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trans\Documents\Steph\Business\H - Need Response\Estimated Innocence\"/>
    </mc:Choice>
  </mc:AlternateContent>
  <xr:revisionPtr revIDLastSave="0" documentId="13_ncr:1_{7130DA75-03F2-4152-B425-1CF0E9BCD4B2}" xr6:coauthVersionLast="47" xr6:coauthVersionMax="47" xr10:uidLastSave="{00000000-0000-0000-0000-000000000000}"/>
  <bookViews>
    <workbookView xWindow="-80" yWindow="-80" windowWidth="19360" windowHeight="10240" tabRatio="767" xr2:uid="{49C4066D-4051-4645-A0F6-4F9B6CF11127}"/>
  </bookViews>
  <sheets>
    <sheet name="EIF draft E01" sheetId="3" r:id="rId1"/>
    <sheet name="EIF E01 sample" sheetId="10" r:id="rId2"/>
    <sheet name="E01 NOVI" sheetId="11" r:id="rId3"/>
    <sheet name="E01  COVI" sheetId="12" r:id="rId4"/>
    <sheet name="E01 EIR" sheetId="14" r:id="rId5"/>
    <sheet name="E01 CQR" sheetId="13" r:id="rId6"/>
  </sheets>
  <definedNames>
    <definedName name="_xlnm._FilterDatabase" localSheetId="0" hidden="1">'EIF draft E01'!$BD$2362:$BK$2391</definedName>
    <definedName name="_xlnm._FilterDatabase" localSheetId="1" hidden="1">'EIF E01 sample'!$BD$2362:$BK$2391</definedName>
    <definedName name="_Hlk528272347" localSheetId="3">'E01  COVI'!#REF!</definedName>
    <definedName name="_Hlk528272347" localSheetId="4">'E01 EIR'!#REF!</definedName>
    <definedName name="_Hlk528272347" localSheetId="2">'E01 NOVI'!#REF!</definedName>
    <definedName name="_Hlk528272347" localSheetId="0">'EIF draft E01'!$AI$935</definedName>
    <definedName name="_Hlk528272347" localSheetId="1">'EIF E01 sample'!$AI$935</definedName>
    <definedName name="_Toc525862527" localSheetId="3">'E01  COVI'!#REF!</definedName>
    <definedName name="_Toc525862527" localSheetId="4">'E01 EIR'!#REF!</definedName>
    <definedName name="_Toc525862527" localSheetId="2">'E01 NOVI'!#REF!</definedName>
    <definedName name="_Toc525862527" localSheetId="0">'EIF draft E01'!#REF!</definedName>
    <definedName name="_Toc525862527" localSheetId="1">'EIF E01 sample'!#REF!</definedName>
    <definedName name="_Toc525862528" localSheetId="3">'E01  COVI'!#REF!</definedName>
    <definedName name="_Toc525862528" localSheetId="4">'E01 EIR'!#REF!</definedName>
    <definedName name="_Toc525862528" localSheetId="2">'E01 NOVI'!#REF!</definedName>
    <definedName name="_Toc525862528" localSheetId="0">'EIF draft E01'!$B$1632</definedName>
    <definedName name="_Toc525862528" localSheetId="1">'EIF E01 sample'!$B$1632</definedName>
    <definedName name="_xlnm.Print_Area" localSheetId="3">'E01  COVI'!$A$1:$E$14</definedName>
    <definedName name="_xlnm.Print_Area" localSheetId="4">'E01 EIR'!$A$1:$F$148</definedName>
    <definedName name="_xlnm.Print_Area" localSheetId="2">'E01 NOVI'!$A$1:$F$42</definedName>
    <definedName name="_xlnm.Print_Area" localSheetId="0">'EIF draft E01'!$A$1:$F$2489</definedName>
    <definedName name="_xlnm.Print_Area" localSheetId="1">'EIF E01 sample'!$A$1:$F$2492</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44" i="3" l="1"/>
  <c r="C2" i="14" l="1"/>
  <c r="B2" i="14"/>
  <c r="B126" i="14"/>
  <c r="B63" i="14"/>
  <c r="B60" i="14"/>
  <c r="B59" i="14"/>
  <c r="B56" i="14"/>
  <c r="B52" i="14"/>
  <c r="B49" i="14"/>
  <c r="B46" i="14"/>
  <c r="B33" i="14"/>
  <c r="B28" i="14"/>
  <c r="C25" i="14"/>
  <c r="B25" i="14"/>
  <c r="C19" i="14"/>
  <c r="C20" i="14"/>
  <c r="C21" i="14"/>
  <c r="C22" i="14"/>
  <c r="C23" i="14"/>
  <c r="B19" i="14"/>
  <c r="B20" i="14"/>
  <c r="B21" i="14"/>
  <c r="B22" i="14"/>
  <c r="B23" i="14"/>
  <c r="B18" i="14"/>
  <c r="B17" i="14"/>
  <c r="C17" i="14"/>
  <c r="C18" i="14"/>
  <c r="C16" i="14"/>
  <c r="B16" i="14"/>
  <c r="B14" i="14"/>
  <c r="C10" i="14"/>
  <c r="C7" i="14"/>
  <c r="D1" i="14"/>
  <c r="C1" i="14"/>
  <c r="B1" i="14"/>
  <c r="BK1" i="14"/>
  <c r="AD1" i="14" s="1"/>
  <c r="BM1" i="14"/>
  <c r="BQ1" i="14"/>
  <c r="AI62" i="14"/>
  <c r="AO62" i="14" s="1"/>
  <c r="AD60" i="14" s="1"/>
  <c r="AI54" i="14"/>
  <c r="AD54" i="14"/>
  <c r="B34" i="14"/>
  <c r="C34" i="14" s="1"/>
  <c r="AU2" i="14"/>
  <c r="AT2" i="14"/>
  <c r="AS2" i="14"/>
  <c r="AR2" i="14"/>
  <c r="AQ2" i="14"/>
  <c r="AL1798" i="3"/>
  <c r="AD56" i="14" l="1"/>
  <c r="BJ2" i="14" l="1"/>
  <c r="AG65" i="14" l="1"/>
  <c r="BG2" i="14" l="1"/>
  <c r="AX2" i="14"/>
  <c r="AG1237" i="10" l="1"/>
  <c r="D4" i="13"/>
  <c r="C4" i="13"/>
  <c r="B4" i="13"/>
  <c r="A4" i="13"/>
  <c r="E3" i="13"/>
  <c r="D3" i="13"/>
  <c r="C3" i="13"/>
  <c r="B3" i="13"/>
  <c r="A3" i="13"/>
  <c r="A1" i="13"/>
  <c r="AS4" i="11" l="1"/>
  <c r="AH7" i="11"/>
  <c r="AH9" i="11"/>
  <c r="BL9" i="11"/>
  <c r="AH10" i="11"/>
  <c r="BL10" i="11"/>
  <c r="AH11" i="11"/>
  <c r="BL11" i="11"/>
  <c r="AH12" i="11"/>
  <c r="BL12" i="11"/>
  <c r="BL13" i="11"/>
  <c r="BL14" i="11"/>
  <c r="AO15" i="11"/>
  <c r="BL15" i="11"/>
  <c r="AO16" i="11"/>
  <c r="BL16" i="11"/>
  <c r="AO17" i="11"/>
  <c r="AO18" i="11"/>
  <c r="AO19" i="11"/>
  <c r="AO20" i="11"/>
  <c r="AO21" i="11"/>
  <c r="AH24" i="11"/>
  <c r="BN24" i="11"/>
  <c r="BK24" i="11" s="1"/>
  <c r="AH25" i="11"/>
  <c r="AH26" i="11"/>
  <c r="AH27" i="11"/>
  <c r="AH28" i="11"/>
  <c r="AH29" i="11"/>
  <c r="AH33" i="11"/>
  <c r="BN13" i="11"/>
  <c r="BK13" i="11" s="1"/>
  <c r="BN12" i="11"/>
  <c r="BK12" i="11" s="1"/>
  <c r="BN9" i="11"/>
  <c r="BK9" i="11" s="1"/>
  <c r="AR914" i="10"/>
  <c r="AR915" i="10"/>
  <c r="AR916" i="10"/>
  <c r="AR917" i="10"/>
  <c r="AR918" i="10"/>
  <c r="AR919" i="10"/>
  <c r="AR920" i="10"/>
  <c r="AR913" i="10"/>
  <c r="D2224" i="10"/>
  <c r="AN204" i="10"/>
  <c r="AQ4" i="11" l="1"/>
  <c r="BN17" i="11"/>
  <c r="BK17" i="11" s="1"/>
  <c r="BN19" i="11"/>
  <c r="BK19" i="11" s="1"/>
  <c r="BN21" i="11"/>
  <c r="BK21" i="11" s="1"/>
  <c r="BN23" i="11"/>
  <c r="BK23" i="11" s="1"/>
  <c r="AL4" i="11"/>
  <c r="AM4" i="11" s="1"/>
  <c r="AL32" i="11"/>
  <c r="AO4" i="11"/>
  <c r="BL2" i="11"/>
  <c r="BK2" i="11"/>
  <c r="BN18" i="11"/>
  <c r="BK18" i="11" s="1"/>
  <c r="BN20" i="11"/>
  <c r="BK20" i="11" s="1"/>
  <c r="BN22" i="11"/>
  <c r="BK22" i="11" s="1"/>
  <c r="BQ1" i="11"/>
  <c r="BN16" i="11"/>
  <c r="BK16" i="11" s="1"/>
  <c r="BM1" i="11"/>
  <c r="BK1" i="11"/>
  <c r="BI1939" i="10"/>
  <c r="AI1854" i="3"/>
  <c r="B935" i="10"/>
  <c r="AB935" i="10" s="1"/>
  <c r="B926" i="10"/>
  <c r="C922" i="10"/>
  <c r="B909" i="10"/>
  <c r="AI1854" i="10" s="1"/>
  <c r="B351" i="10"/>
  <c r="B348" i="10"/>
  <c r="D330" i="10"/>
  <c r="AB330" i="10" s="1"/>
  <c r="AD330" i="10" s="1"/>
  <c r="C212" i="10"/>
  <c r="D212" i="10"/>
  <c r="BS3558" i="10"/>
  <c r="EA3557" i="10"/>
  <c r="DZ3557" i="10"/>
  <c r="BS3557" i="10"/>
  <c r="EA3556" i="10"/>
  <c r="DZ3556" i="10"/>
  <c r="BS3556" i="10"/>
  <c r="EA3555" i="10"/>
  <c r="DZ3555" i="10"/>
  <c r="BS3555" i="10"/>
  <c r="EA3554" i="10"/>
  <c r="DZ3554" i="10"/>
  <c r="BS3554" i="10"/>
  <c r="EA3553" i="10"/>
  <c r="DZ3553" i="10"/>
  <c r="BS3553" i="10"/>
  <c r="EA3552" i="10"/>
  <c r="DZ3552" i="10"/>
  <c r="BS3552" i="10"/>
  <c r="EA3551" i="10"/>
  <c r="DZ3551" i="10"/>
  <c r="BS3551" i="10"/>
  <c r="EA3550" i="10"/>
  <c r="DZ3550" i="10"/>
  <c r="BS3550" i="10"/>
  <c r="EA3549" i="10"/>
  <c r="DZ3549" i="10"/>
  <c r="BS3549" i="10"/>
  <c r="EA3548" i="10"/>
  <c r="DZ3548" i="10"/>
  <c r="BS3548" i="10"/>
  <c r="EA3547" i="10"/>
  <c r="DZ3547" i="10"/>
  <c r="BS3547" i="10"/>
  <c r="EA3546" i="10"/>
  <c r="DZ3546" i="10"/>
  <c r="BS3546" i="10"/>
  <c r="EA3545" i="10"/>
  <c r="DZ3545" i="10"/>
  <c r="BS3545" i="10"/>
  <c r="EA3544" i="10"/>
  <c r="DZ3544" i="10"/>
  <c r="BS3544" i="10"/>
  <c r="EA3543" i="10"/>
  <c r="DZ3543" i="10"/>
  <c r="BS3543" i="10"/>
  <c r="EA3542" i="10"/>
  <c r="DZ3542" i="10"/>
  <c r="BS3542" i="10"/>
  <c r="EA3541" i="10"/>
  <c r="DZ3541" i="10"/>
  <c r="BS3541" i="10"/>
  <c r="EA3540" i="10"/>
  <c r="DZ3540" i="10"/>
  <c r="BS3540" i="10"/>
  <c r="EA3539" i="10"/>
  <c r="DZ3539" i="10"/>
  <c r="BS3539" i="10"/>
  <c r="EA3538" i="10"/>
  <c r="DZ3538" i="10"/>
  <c r="BS3538" i="10"/>
  <c r="EA3537" i="10"/>
  <c r="DZ3537" i="10"/>
  <c r="BS3537" i="10"/>
  <c r="EA3536" i="10"/>
  <c r="DZ3536" i="10"/>
  <c r="BS3536" i="10"/>
  <c r="EA3535" i="10"/>
  <c r="DZ3535" i="10"/>
  <c r="BS3535" i="10"/>
  <c r="EA3534" i="10"/>
  <c r="DZ3534" i="10"/>
  <c r="BS3534" i="10"/>
  <c r="EA3533" i="10"/>
  <c r="DZ3533" i="10"/>
  <c r="BS3533" i="10"/>
  <c r="EA3532" i="10"/>
  <c r="DZ3532" i="10"/>
  <c r="BS3532" i="10"/>
  <c r="EA3531" i="10"/>
  <c r="DZ3531" i="10"/>
  <c r="BS3531" i="10"/>
  <c r="EA3530" i="10"/>
  <c r="DZ3530" i="10"/>
  <c r="BS3530" i="10"/>
  <c r="EA3529" i="10"/>
  <c r="DZ3529" i="10"/>
  <c r="BS3529" i="10"/>
  <c r="EA3528" i="10"/>
  <c r="DZ3528" i="10"/>
  <c r="BS3528" i="10"/>
  <c r="EA3527" i="10"/>
  <c r="DZ3527" i="10"/>
  <c r="BS3527" i="10"/>
  <c r="EA3526" i="10"/>
  <c r="DZ3526" i="10"/>
  <c r="BS3526" i="10"/>
  <c r="EA3525" i="10"/>
  <c r="DZ3525" i="10"/>
  <c r="BS3525" i="10"/>
  <c r="EA3524" i="10"/>
  <c r="DZ3524" i="10"/>
  <c r="BS3524" i="10"/>
  <c r="EA3523" i="10"/>
  <c r="DZ3523" i="10"/>
  <c r="BS3523" i="10"/>
  <c r="EA3522" i="10"/>
  <c r="DZ3522" i="10"/>
  <c r="BS3522" i="10"/>
  <c r="EA3521" i="10"/>
  <c r="DZ3521" i="10"/>
  <c r="BS3521" i="10"/>
  <c r="EA3520" i="10"/>
  <c r="DZ3520" i="10"/>
  <c r="BS3520" i="10"/>
  <c r="EA3519" i="10"/>
  <c r="DZ3519" i="10"/>
  <c r="BS3519" i="10"/>
  <c r="EA3518" i="10"/>
  <c r="DZ3518" i="10"/>
  <c r="BS3518" i="10"/>
  <c r="EA3517" i="10"/>
  <c r="DZ3517" i="10"/>
  <c r="BS3517" i="10"/>
  <c r="EA3516" i="10"/>
  <c r="DZ3516" i="10"/>
  <c r="BS3516" i="10"/>
  <c r="EA3515" i="10"/>
  <c r="DZ3515" i="10"/>
  <c r="BS3515" i="10"/>
  <c r="EA3514" i="10"/>
  <c r="DZ3514" i="10"/>
  <c r="BS3514" i="10"/>
  <c r="EA3513" i="10"/>
  <c r="DZ3513" i="10"/>
  <c r="BS3513" i="10"/>
  <c r="EA3512" i="10"/>
  <c r="DZ3512" i="10"/>
  <c r="BS3512" i="10"/>
  <c r="EA3511" i="10"/>
  <c r="DZ3511" i="10"/>
  <c r="BS3511" i="10"/>
  <c r="EA3510" i="10"/>
  <c r="DZ3510" i="10"/>
  <c r="BS3510" i="10"/>
  <c r="EA3509" i="10"/>
  <c r="DZ3509" i="10"/>
  <c r="BS3509" i="10"/>
  <c r="EA3508" i="10"/>
  <c r="DZ3508" i="10"/>
  <c r="BS3508" i="10"/>
  <c r="EA3507" i="10"/>
  <c r="DZ3507" i="10"/>
  <c r="BS3507" i="10"/>
  <c r="EA3506" i="10"/>
  <c r="DZ3506" i="10"/>
  <c r="BS3506" i="10"/>
  <c r="EA3505" i="10"/>
  <c r="DZ3505" i="10"/>
  <c r="BS3505" i="10"/>
  <c r="EA3504" i="10"/>
  <c r="DZ3504" i="10"/>
  <c r="BS3504" i="10"/>
  <c r="EA3503" i="10"/>
  <c r="DZ3503" i="10"/>
  <c r="BS3503" i="10"/>
  <c r="EA3502" i="10"/>
  <c r="DZ3502" i="10"/>
  <c r="BS3502" i="10"/>
  <c r="EA3501" i="10"/>
  <c r="DZ3501" i="10"/>
  <c r="BS3501" i="10"/>
  <c r="EA3500" i="10"/>
  <c r="DZ3500" i="10"/>
  <c r="BS3500" i="10"/>
  <c r="EA3499" i="10"/>
  <c r="DZ3499" i="10"/>
  <c r="BS3499" i="10"/>
  <c r="EA3498" i="10"/>
  <c r="DZ3498" i="10"/>
  <c r="BS3498" i="10"/>
  <c r="EA3497" i="10"/>
  <c r="DZ3497" i="10"/>
  <c r="BS3497" i="10"/>
  <c r="EA3496" i="10"/>
  <c r="DZ3496" i="10"/>
  <c r="BS3496" i="10"/>
  <c r="EA3495" i="10"/>
  <c r="DZ3495" i="10"/>
  <c r="BS3495" i="10"/>
  <c r="EA3494" i="10"/>
  <c r="DZ3494" i="10"/>
  <c r="BS3494" i="10"/>
  <c r="EA3493" i="10"/>
  <c r="DZ3493" i="10"/>
  <c r="BS3493" i="10"/>
  <c r="EA3492" i="10"/>
  <c r="DZ3492" i="10"/>
  <c r="BS3492" i="10"/>
  <c r="EA3491" i="10"/>
  <c r="DZ3491" i="10"/>
  <c r="BS3491" i="10"/>
  <c r="EA3490" i="10"/>
  <c r="DZ3490" i="10"/>
  <c r="BS3490" i="10"/>
  <c r="EA3489" i="10"/>
  <c r="DZ3489" i="10"/>
  <c r="BS3489" i="10"/>
  <c r="EA3488" i="10"/>
  <c r="DZ3488" i="10"/>
  <c r="BS3488" i="10"/>
  <c r="EA3487" i="10"/>
  <c r="DZ3487" i="10"/>
  <c r="BS3487" i="10"/>
  <c r="EA3486" i="10"/>
  <c r="DZ3486" i="10"/>
  <c r="BS3486" i="10"/>
  <c r="EA3485" i="10"/>
  <c r="DZ3485" i="10"/>
  <c r="BS3485" i="10"/>
  <c r="EA3484" i="10"/>
  <c r="DZ3484" i="10"/>
  <c r="BS3484" i="10"/>
  <c r="EA3483" i="10"/>
  <c r="DZ3483" i="10"/>
  <c r="BS3483" i="10"/>
  <c r="EA3482" i="10"/>
  <c r="DZ3482" i="10"/>
  <c r="BS3482" i="10"/>
  <c r="EA3481" i="10"/>
  <c r="DZ3481" i="10"/>
  <c r="BS3481" i="10"/>
  <c r="EA3480" i="10"/>
  <c r="DZ3480" i="10"/>
  <c r="BS3480" i="10"/>
  <c r="EA3479" i="10"/>
  <c r="DZ3479" i="10"/>
  <c r="BS3479" i="10"/>
  <c r="EA3478" i="10"/>
  <c r="DZ3478" i="10"/>
  <c r="BS3478" i="10"/>
  <c r="EA3477" i="10"/>
  <c r="DZ3477" i="10"/>
  <c r="BS3477" i="10"/>
  <c r="EA3476" i="10"/>
  <c r="DZ3476" i="10"/>
  <c r="BS3476" i="10"/>
  <c r="EA3475" i="10"/>
  <c r="DZ3475" i="10"/>
  <c r="BS3475" i="10"/>
  <c r="EA3474" i="10"/>
  <c r="DZ3474" i="10"/>
  <c r="BS3474" i="10"/>
  <c r="EA3473" i="10"/>
  <c r="DZ3473" i="10"/>
  <c r="BS3473" i="10"/>
  <c r="EA3472" i="10"/>
  <c r="DZ3472" i="10"/>
  <c r="BS3472" i="10"/>
  <c r="EA3471" i="10"/>
  <c r="DZ3471" i="10"/>
  <c r="BS3470" i="10"/>
  <c r="EA3469" i="10"/>
  <c r="DZ3469" i="10"/>
  <c r="BS3469" i="10"/>
  <c r="EA3468" i="10"/>
  <c r="DZ3468" i="10"/>
  <c r="BS3468" i="10"/>
  <c r="EA3467" i="10"/>
  <c r="DZ3467" i="10"/>
  <c r="BS3467" i="10"/>
  <c r="EA3466" i="10"/>
  <c r="DZ3466" i="10"/>
  <c r="BS3466" i="10"/>
  <c r="EA3465" i="10"/>
  <c r="DZ3465" i="10"/>
  <c r="BS3465" i="10"/>
  <c r="EA3464" i="10"/>
  <c r="DZ3464" i="10"/>
  <c r="BS3464" i="10"/>
  <c r="EA3463" i="10"/>
  <c r="DZ3463" i="10"/>
  <c r="BS3462" i="10"/>
  <c r="EA3461" i="10"/>
  <c r="DZ3461" i="10"/>
  <c r="BS3461" i="10"/>
  <c r="EA3460" i="10"/>
  <c r="DZ3460" i="10"/>
  <c r="BS3460" i="10"/>
  <c r="EA3459" i="10"/>
  <c r="DZ3459" i="10"/>
  <c r="BS3459" i="10"/>
  <c r="EA3458" i="10"/>
  <c r="DZ3458" i="10"/>
  <c r="BS3458" i="10"/>
  <c r="EA3457" i="10"/>
  <c r="DZ3457" i="10"/>
  <c r="BS3457" i="10"/>
  <c r="EA3456" i="10"/>
  <c r="DZ3456" i="10"/>
  <c r="BS3456" i="10"/>
  <c r="EA3455" i="10"/>
  <c r="DZ3455" i="10"/>
  <c r="BS3455" i="10"/>
  <c r="EA3454" i="10"/>
  <c r="DZ3454" i="10"/>
  <c r="BS3454" i="10"/>
  <c r="EA3453" i="10"/>
  <c r="DZ3453" i="10"/>
  <c r="BS3453" i="10"/>
  <c r="EA3452" i="10"/>
  <c r="DZ3452" i="10"/>
  <c r="BS3452" i="10"/>
  <c r="EA3451" i="10"/>
  <c r="DZ3451" i="10"/>
  <c r="BS3451" i="10"/>
  <c r="EA3450" i="10"/>
  <c r="DZ3450" i="10"/>
  <c r="BS3450" i="10"/>
  <c r="EA3449" i="10"/>
  <c r="DZ3449" i="10"/>
  <c r="BS3449" i="10"/>
  <c r="EA3448" i="10"/>
  <c r="DZ3448" i="10"/>
  <c r="BS3448" i="10"/>
  <c r="EA3447" i="10"/>
  <c r="DZ3447" i="10"/>
  <c r="BS3447" i="10"/>
  <c r="EA3446" i="10"/>
  <c r="DZ3446" i="10"/>
  <c r="BS3446" i="10"/>
  <c r="EA3445" i="10"/>
  <c r="DZ3445" i="10"/>
  <c r="BS3445" i="10"/>
  <c r="EA3444" i="10"/>
  <c r="DZ3444" i="10"/>
  <c r="BS3444" i="10"/>
  <c r="EA3443" i="10"/>
  <c r="DZ3443" i="10"/>
  <c r="BS3443" i="10"/>
  <c r="EA3442" i="10"/>
  <c r="DZ3442" i="10"/>
  <c r="BS3442" i="10"/>
  <c r="EA3441" i="10"/>
  <c r="DZ3441" i="10"/>
  <c r="BS3441" i="10"/>
  <c r="EA3440" i="10"/>
  <c r="DZ3440" i="10"/>
  <c r="BS3440" i="10"/>
  <c r="EA3439" i="10"/>
  <c r="DZ3439" i="10"/>
  <c r="BS3439" i="10"/>
  <c r="EA3438" i="10"/>
  <c r="DZ3438" i="10"/>
  <c r="BS3438" i="10"/>
  <c r="EA3437" i="10"/>
  <c r="DZ3437" i="10"/>
  <c r="BS3437" i="10"/>
  <c r="EA3436" i="10"/>
  <c r="DZ3436" i="10"/>
  <c r="BS3436" i="10"/>
  <c r="EA3435" i="10"/>
  <c r="DZ3435" i="10"/>
  <c r="BS3435" i="10"/>
  <c r="EA3434" i="10"/>
  <c r="DZ3434" i="10"/>
  <c r="BS3434" i="10"/>
  <c r="EA3433" i="10"/>
  <c r="DZ3433" i="10"/>
  <c r="BS3433" i="10"/>
  <c r="EA3432" i="10"/>
  <c r="DZ3432" i="10"/>
  <c r="BS3432" i="10"/>
  <c r="EA3431" i="10"/>
  <c r="DZ3431" i="10"/>
  <c r="BS3431" i="10"/>
  <c r="EA3430" i="10"/>
  <c r="DZ3430" i="10"/>
  <c r="BS3430" i="10"/>
  <c r="EA3429" i="10"/>
  <c r="DZ3429" i="10"/>
  <c r="BS3429" i="10"/>
  <c r="EA3428" i="10"/>
  <c r="DZ3428" i="10"/>
  <c r="BS3428" i="10"/>
  <c r="EA3427" i="10"/>
  <c r="DZ3427" i="10"/>
  <c r="BS3427" i="10"/>
  <c r="EA3426" i="10"/>
  <c r="DZ3426" i="10"/>
  <c r="BS3426" i="10"/>
  <c r="EA3425" i="10"/>
  <c r="DZ3425" i="10"/>
  <c r="BS3425" i="10"/>
  <c r="EA3424" i="10"/>
  <c r="DZ3424" i="10"/>
  <c r="BS3424" i="10"/>
  <c r="EA3423" i="10"/>
  <c r="DZ3423" i="10"/>
  <c r="BS3423" i="10"/>
  <c r="EA3422" i="10"/>
  <c r="DZ3422" i="10"/>
  <c r="BS3422" i="10"/>
  <c r="EA3421" i="10"/>
  <c r="DZ3421" i="10"/>
  <c r="BS3421" i="10"/>
  <c r="EA3420" i="10"/>
  <c r="DZ3420" i="10"/>
  <c r="BS3420" i="10"/>
  <c r="EA3419" i="10"/>
  <c r="DZ3419" i="10"/>
  <c r="BS3419" i="10"/>
  <c r="EA3418" i="10"/>
  <c r="DZ3418" i="10"/>
  <c r="BS3418" i="10"/>
  <c r="EA3417" i="10"/>
  <c r="DZ3417" i="10"/>
  <c r="BS3417" i="10"/>
  <c r="EA3416" i="10"/>
  <c r="DZ3416" i="10"/>
  <c r="BS3416" i="10"/>
  <c r="EA3415" i="10"/>
  <c r="DZ3415" i="10"/>
  <c r="BS3415" i="10"/>
  <c r="EA3414" i="10"/>
  <c r="DZ3414" i="10"/>
  <c r="BS3414" i="10"/>
  <c r="EA3413" i="10"/>
  <c r="DZ3413" i="10"/>
  <c r="BS3413" i="10"/>
  <c r="EA3412" i="10"/>
  <c r="DZ3412" i="10"/>
  <c r="BS3412" i="10"/>
  <c r="EA3411" i="10"/>
  <c r="DZ3411" i="10"/>
  <c r="BS3411" i="10"/>
  <c r="EA3410" i="10"/>
  <c r="DZ3410" i="10"/>
  <c r="BS3410" i="10"/>
  <c r="EA3409" i="10"/>
  <c r="DZ3409" i="10"/>
  <c r="BS3409" i="10"/>
  <c r="EA3408" i="10"/>
  <c r="DZ3408" i="10"/>
  <c r="BS3408" i="10"/>
  <c r="EA3407" i="10"/>
  <c r="DZ3407" i="10"/>
  <c r="BS3407" i="10"/>
  <c r="EA3406" i="10"/>
  <c r="DZ3406" i="10"/>
  <c r="BS3406" i="10"/>
  <c r="EA3405" i="10"/>
  <c r="DZ3405" i="10"/>
  <c r="BS3405" i="10"/>
  <c r="EA3404" i="10"/>
  <c r="DZ3404" i="10"/>
  <c r="BS3404" i="10"/>
  <c r="EA3403" i="10"/>
  <c r="DZ3403" i="10"/>
  <c r="BS3403" i="10"/>
  <c r="EA3402" i="10"/>
  <c r="DZ3402" i="10"/>
  <c r="BS3402" i="10"/>
  <c r="EA3401" i="10"/>
  <c r="DZ3401" i="10"/>
  <c r="BS3401" i="10"/>
  <c r="EA3400" i="10"/>
  <c r="DZ3400" i="10"/>
  <c r="BS3400" i="10"/>
  <c r="EA3399" i="10"/>
  <c r="DZ3399" i="10"/>
  <c r="BS3399" i="10"/>
  <c r="EA3398" i="10"/>
  <c r="DZ3398" i="10"/>
  <c r="BS3398" i="10"/>
  <c r="EA3397" i="10"/>
  <c r="DZ3397" i="10"/>
  <c r="BS3397" i="10"/>
  <c r="EA3396" i="10"/>
  <c r="DZ3396" i="10"/>
  <c r="BS3396" i="10"/>
  <c r="EA3395" i="10"/>
  <c r="DZ3395" i="10"/>
  <c r="BS3395" i="10"/>
  <c r="EA3394" i="10"/>
  <c r="DZ3394" i="10"/>
  <c r="BS3394" i="10"/>
  <c r="EA3393" i="10"/>
  <c r="DZ3393" i="10"/>
  <c r="BS3393" i="10"/>
  <c r="EA3392" i="10"/>
  <c r="DZ3392" i="10"/>
  <c r="BS3392" i="10"/>
  <c r="EA3391" i="10"/>
  <c r="DZ3391" i="10"/>
  <c r="BS3391" i="10"/>
  <c r="EA3390" i="10"/>
  <c r="DZ3390" i="10"/>
  <c r="BS3390" i="10"/>
  <c r="EA3389" i="10"/>
  <c r="DZ3389" i="10"/>
  <c r="BS3389" i="10"/>
  <c r="EA3388" i="10"/>
  <c r="DZ3388" i="10"/>
  <c r="BS3388" i="10"/>
  <c r="EA3387" i="10"/>
  <c r="DZ3387" i="10"/>
  <c r="BS3387" i="10"/>
  <c r="EA3386" i="10"/>
  <c r="DZ3386" i="10"/>
  <c r="BS3386" i="10"/>
  <c r="EA3385" i="10"/>
  <c r="DZ3385" i="10"/>
  <c r="BS3385" i="10"/>
  <c r="EA3384" i="10"/>
  <c r="DZ3384" i="10"/>
  <c r="BS3384" i="10"/>
  <c r="EA3383" i="10"/>
  <c r="DZ3383" i="10"/>
  <c r="BS3383" i="10"/>
  <c r="EA3382" i="10"/>
  <c r="DZ3382" i="10"/>
  <c r="BS3382" i="10"/>
  <c r="EA3381" i="10"/>
  <c r="DZ3381" i="10"/>
  <c r="BS3381" i="10"/>
  <c r="EA3380" i="10"/>
  <c r="DZ3380" i="10"/>
  <c r="BS3380" i="10"/>
  <c r="EA3379" i="10"/>
  <c r="DZ3379" i="10"/>
  <c r="BS3379" i="10"/>
  <c r="EA3378" i="10"/>
  <c r="DZ3378" i="10"/>
  <c r="BS3378" i="10"/>
  <c r="EA3377" i="10"/>
  <c r="DZ3377" i="10"/>
  <c r="BS3377" i="10"/>
  <c r="EA3376" i="10"/>
  <c r="DZ3376" i="10"/>
  <c r="BS3376" i="10"/>
  <c r="EA3375" i="10"/>
  <c r="DZ3375" i="10"/>
  <c r="BS3375" i="10"/>
  <c r="EH3374" i="10"/>
  <c r="EA3374" i="10"/>
  <c r="DZ3374" i="10"/>
  <c r="BS3374" i="10"/>
  <c r="EH3373" i="10"/>
  <c r="EA3373" i="10"/>
  <c r="DZ3373" i="10"/>
  <c r="BS3373" i="10"/>
  <c r="EA3372" i="10"/>
  <c r="DZ3372" i="10"/>
  <c r="BS3372" i="10"/>
  <c r="EA3371" i="10"/>
  <c r="DZ3371" i="10"/>
  <c r="BS3371" i="10"/>
  <c r="EA3370" i="10"/>
  <c r="DZ3370" i="10"/>
  <c r="BS3370" i="10"/>
  <c r="EA3369" i="10"/>
  <c r="DZ3369" i="10"/>
  <c r="BS3369" i="10"/>
  <c r="EB3368" i="10"/>
  <c r="EA3368" i="10"/>
  <c r="DZ3368" i="10"/>
  <c r="BS3368" i="10"/>
  <c r="D3368" i="10"/>
  <c r="EA3367" i="10"/>
  <c r="DZ3367" i="10"/>
  <c r="BS3367" i="10"/>
  <c r="D3367" i="10"/>
  <c r="B3396" i="10" s="1"/>
  <c r="EH3366" i="10"/>
  <c r="EH3372" i="10" s="1"/>
  <c r="EA3366" i="10"/>
  <c r="DZ3366" i="10"/>
  <c r="BS3366" i="10"/>
  <c r="D3366" i="10"/>
  <c r="B3388" i="10" s="1"/>
  <c r="EA3365" i="10"/>
  <c r="DZ3365" i="10"/>
  <c r="BS3365" i="10"/>
  <c r="D3365" i="10"/>
  <c r="B3386" i="10" s="1"/>
  <c r="EA3364" i="10"/>
  <c r="DZ3364" i="10"/>
  <c r="BS3364" i="10"/>
  <c r="D3364" i="10"/>
  <c r="B3381" i="10" s="1"/>
  <c r="EA3363" i="10"/>
  <c r="DZ3363" i="10"/>
  <c r="BS3363" i="10"/>
  <c r="D3363" i="10"/>
  <c r="EM3362" i="10"/>
  <c r="EL3362" i="10"/>
  <c r="EA3362" i="10"/>
  <c r="DZ3362" i="10"/>
  <c r="BS3362" i="10"/>
  <c r="D3362" i="10"/>
  <c r="B3371" i="10" s="1"/>
  <c r="EH3361" i="10"/>
  <c r="EA3361" i="10"/>
  <c r="DZ3361" i="10"/>
  <c r="BS3361" i="10"/>
  <c r="EA3360" i="10"/>
  <c r="DZ3360" i="10"/>
  <c r="AF3360" i="10"/>
  <c r="AE3360" i="10"/>
  <c r="AD3360" i="10"/>
  <c r="AC3360" i="10"/>
  <c r="AB3360" i="10"/>
  <c r="BS3339" i="10"/>
  <c r="EA3338" i="10"/>
  <c r="DZ3338" i="10"/>
  <c r="BS3338" i="10"/>
  <c r="EH3337" i="10"/>
  <c r="EA3337" i="10"/>
  <c r="DZ3337" i="10"/>
  <c r="BS3337" i="10"/>
  <c r="EA3336" i="10"/>
  <c r="DZ3336" i="10"/>
  <c r="BS3336" i="10"/>
  <c r="EA3335" i="10"/>
  <c r="DZ3335" i="10"/>
  <c r="BS3335" i="10"/>
  <c r="EA3334" i="10"/>
  <c r="DZ3334" i="10"/>
  <c r="BS3334" i="10"/>
  <c r="EL3333" i="10"/>
  <c r="EA3333" i="10"/>
  <c r="DZ3333" i="10"/>
  <c r="BS3333" i="10"/>
  <c r="EA3332" i="10"/>
  <c r="DZ3332" i="10"/>
  <c r="BS3332" i="10"/>
  <c r="BG3332" i="10"/>
  <c r="BH3332" i="10" s="1"/>
  <c r="BJ3332" i="10" s="1"/>
  <c r="EA3331" i="10"/>
  <c r="DZ3331" i="10"/>
  <c r="BS3331" i="10"/>
  <c r="BG3331" i="10"/>
  <c r="BH3331" i="10" s="1"/>
  <c r="C3331" i="10"/>
  <c r="EM3330" i="10"/>
  <c r="EM3333" i="10" s="1"/>
  <c r="EL3330" i="10"/>
  <c r="EH3330" i="10"/>
  <c r="EC3330" i="10"/>
  <c r="EB3330" i="10"/>
  <c r="EA3330" i="10"/>
  <c r="DZ3330" i="10"/>
  <c r="BS3330" i="10"/>
  <c r="BG3330" i="10"/>
  <c r="BH3330" i="10" s="1"/>
  <c r="EA3329" i="10"/>
  <c r="DZ3329" i="10"/>
  <c r="BS3329" i="10"/>
  <c r="BG3329" i="10"/>
  <c r="BH3329" i="10" s="1"/>
  <c r="AI3329" i="10"/>
  <c r="D3329" i="10"/>
  <c r="BB3329" i="10" s="1"/>
  <c r="EA3328" i="10"/>
  <c r="DZ3328" i="10"/>
  <c r="BS3328" i="10"/>
  <c r="BG3328" i="10"/>
  <c r="BH3328" i="10" s="1"/>
  <c r="AI3328" i="10"/>
  <c r="EA3327" i="10"/>
  <c r="DZ3327" i="10"/>
  <c r="BS3327" i="10"/>
  <c r="BG3327" i="10"/>
  <c r="BH3327" i="10" s="1"/>
  <c r="C3327" i="10"/>
  <c r="EL3326" i="10"/>
  <c r="EH3326" i="10"/>
  <c r="EC3326" i="10"/>
  <c r="EC3361" i="10" s="1"/>
  <c r="EB3326" i="10"/>
  <c r="EB3361" i="10" s="1"/>
  <c r="EA3326" i="10"/>
  <c r="DZ3326" i="10"/>
  <c r="BS3326" i="10"/>
  <c r="BG3326" i="10"/>
  <c r="BH3326" i="10" s="1"/>
  <c r="AI3326" i="10"/>
  <c r="EM3325" i="10"/>
  <c r="EM3329" i="10" s="1"/>
  <c r="EM3360" i="10" s="1"/>
  <c r="EM3363" i="10" s="1"/>
  <c r="EM3365" i="10" s="1"/>
  <c r="EA3325" i="10"/>
  <c r="DZ3325" i="10"/>
  <c r="BS3325" i="10"/>
  <c r="BG3325" i="10"/>
  <c r="BH3325" i="10" s="1"/>
  <c r="BJ3325" i="10" s="1"/>
  <c r="D3325" i="10"/>
  <c r="BB3325" i="10" s="1"/>
  <c r="EC3324" i="10"/>
  <c r="EC3336" i="10" s="1"/>
  <c r="EC3363" i="10" s="1"/>
  <c r="EB3324" i="10"/>
  <c r="EB3336" i="10" s="1"/>
  <c r="EB3363" i="10" s="1"/>
  <c r="EA3324" i="10"/>
  <c r="DZ3324" i="10"/>
  <c r="BS3324" i="10"/>
  <c r="BG3324" i="10"/>
  <c r="BH3324" i="10" s="1"/>
  <c r="BJ3324" i="10" s="1"/>
  <c r="AI3324" i="10"/>
  <c r="EM3323" i="10"/>
  <c r="EL3323" i="10"/>
  <c r="EC3323" i="10"/>
  <c r="EB3323" i="10"/>
  <c r="EA3323" i="10"/>
  <c r="DZ3323" i="10"/>
  <c r="BS3323" i="10"/>
  <c r="BG3323" i="10"/>
  <c r="BH3323" i="10" s="1"/>
  <c r="AI3323" i="10"/>
  <c r="EM3322" i="10"/>
  <c r="EM3335" i="10" s="1"/>
  <c r="EL3322" i="10"/>
  <c r="EL3335" i="10" s="1"/>
  <c r="EH3322" i="10"/>
  <c r="EH3365" i="10" s="1"/>
  <c r="EH3376" i="10" s="1"/>
  <c r="EA3322" i="10"/>
  <c r="DZ3322" i="10"/>
  <c r="BS3322" i="10"/>
  <c r="BG3322" i="10"/>
  <c r="BH3322" i="10" s="1"/>
  <c r="EH3321" i="10"/>
  <c r="EH3335" i="10" s="1"/>
  <c r="EH3368" i="10" s="1"/>
  <c r="EA3321" i="10"/>
  <c r="DZ3321" i="10"/>
  <c r="BS3321" i="10"/>
  <c r="BG3321" i="10"/>
  <c r="BH3321" i="10" s="1"/>
  <c r="EH3320" i="10"/>
  <c r="EA3320" i="10"/>
  <c r="DZ3320" i="10"/>
  <c r="BS3320" i="10"/>
  <c r="BG3320" i="10"/>
  <c r="BH3320" i="10" s="1"/>
  <c r="BK3320" i="10" s="1"/>
  <c r="EM3319" i="10"/>
  <c r="EL3319" i="10"/>
  <c r="EL3325" i="10" s="1"/>
  <c r="EL3329" i="10" s="1"/>
  <c r="EL3360" i="10" s="1"/>
  <c r="EL3363" i="10" s="1"/>
  <c r="EL3365" i="10" s="1"/>
  <c r="EH3319" i="10"/>
  <c r="EH3328" i="10" s="1"/>
  <c r="EH3334" i="10" s="1"/>
  <c r="EH3363" i="10" s="1"/>
  <c r="EH3375" i="10" s="1"/>
  <c r="EA3319" i="10"/>
  <c r="DZ3319" i="10"/>
  <c r="BS3319" i="10"/>
  <c r="BG3319" i="10"/>
  <c r="BH3319" i="10" s="1"/>
  <c r="EH3318" i="10"/>
  <c r="EH3362" i="10" s="1"/>
  <c r="EH3369" i="10" s="1"/>
  <c r="EC3318" i="10"/>
  <c r="EC3334" i="10" s="1"/>
  <c r="EB3318" i="10"/>
  <c r="EB3334" i="10" s="1"/>
  <c r="EA3318" i="10"/>
  <c r="DZ3318" i="10"/>
  <c r="BS3318" i="10"/>
  <c r="BG3318" i="10"/>
  <c r="BH3318" i="10" s="1"/>
  <c r="EM3317" i="10"/>
  <c r="EL3317" i="10"/>
  <c r="EA3317" i="10"/>
  <c r="DZ3317" i="10"/>
  <c r="BS3317" i="10"/>
  <c r="BG3317" i="10"/>
  <c r="BH3317" i="10" s="1"/>
  <c r="AI3317" i="10"/>
  <c r="EM3316" i="10"/>
  <c r="EL3316" i="10"/>
  <c r="EH3316" i="10"/>
  <c r="EH3338" i="10" s="1"/>
  <c r="EA3316" i="10"/>
  <c r="DZ3316" i="10"/>
  <c r="BS3316" i="10"/>
  <c r="BG3316" i="10"/>
  <c r="BH3316" i="10" s="1"/>
  <c r="AI3316" i="10"/>
  <c r="EL3315" i="10"/>
  <c r="EL3361" i="10" s="1"/>
  <c r="EC3315" i="10"/>
  <c r="EB3315" i="10"/>
  <c r="EA3315" i="10"/>
  <c r="DZ3315" i="10"/>
  <c r="BS3315" i="10"/>
  <c r="BG3315" i="10"/>
  <c r="BH3315" i="10" s="1"/>
  <c r="EM3314" i="10"/>
  <c r="EM3337" i="10" s="1"/>
  <c r="EL3314" i="10"/>
  <c r="EL3337" i="10" s="1"/>
  <c r="EA3314" i="10"/>
  <c r="DZ3314" i="10"/>
  <c r="BS3314" i="10"/>
  <c r="BG3314" i="10"/>
  <c r="BH3314" i="10" s="1"/>
  <c r="AI3314" i="10"/>
  <c r="EA3313" i="10"/>
  <c r="DZ3313" i="10"/>
  <c r="BS3313" i="10"/>
  <c r="BG3313" i="10"/>
  <c r="BH3313" i="10" s="1"/>
  <c r="BB3313" i="10"/>
  <c r="AI3313" i="10"/>
  <c r="EA3312" i="10"/>
  <c r="DZ3312" i="10"/>
  <c r="BS3312" i="10"/>
  <c r="BG3312" i="10"/>
  <c r="BH3312" i="10" s="1"/>
  <c r="EM3311" i="10"/>
  <c r="EL3311" i="10"/>
  <c r="EC3311" i="10"/>
  <c r="EB3311" i="10"/>
  <c r="EA3311" i="10"/>
  <c r="DZ3311" i="10"/>
  <c r="BS3311" i="10"/>
  <c r="BG3311" i="10"/>
  <c r="BH3311" i="10" s="1"/>
  <c r="AI3311" i="10"/>
  <c r="EH3310" i="10"/>
  <c r="EA3310" i="10"/>
  <c r="DZ3310" i="10"/>
  <c r="BS3310" i="10"/>
  <c r="BG3310" i="10"/>
  <c r="BH3310" i="10" s="1"/>
  <c r="AI3310" i="10"/>
  <c r="EA3309" i="10"/>
  <c r="DZ3309" i="10"/>
  <c r="BS3309" i="10"/>
  <c r="BG3309" i="10"/>
  <c r="BH3309" i="10" s="1"/>
  <c r="BI3309" i="10" s="1"/>
  <c r="EA3308" i="10"/>
  <c r="DZ3308" i="10"/>
  <c r="BS3308" i="10"/>
  <c r="BG3308" i="10"/>
  <c r="BH3308" i="10" s="1"/>
  <c r="BI3308" i="10" s="1"/>
  <c r="AI3308" i="10"/>
  <c r="EM3307" i="10"/>
  <c r="EM3308" i="10" s="1"/>
  <c r="EM3324" i="10" s="1"/>
  <c r="EM3327" i="10" s="1"/>
  <c r="EM3338" i="10" s="1"/>
  <c r="EL3307" i="10"/>
  <c r="EL3308" i="10" s="1"/>
  <c r="EL3324" i="10" s="1"/>
  <c r="EL3327" i="10" s="1"/>
  <c r="EL3338" i="10" s="1"/>
  <c r="EA3307" i="10"/>
  <c r="DZ3307" i="10"/>
  <c r="BS3307" i="10"/>
  <c r="BG3307" i="10"/>
  <c r="BH3307" i="10" s="1"/>
  <c r="BI3307" i="10" s="1"/>
  <c r="AI3307" i="10"/>
  <c r="EA3306" i="10"/>
  <c r="DZ3306" i="10"/>
  <c r="BS3306" i="10"/>
  <c r="BG3306" i="10"/>
  <c r="BH3306" i="10" s="1"/>
  <c r="C3306" i="10"/>
  <c r="EH3305" i="10"/>
  <c r="EH3312" i="10" s="1"/>
  <c r="EH3313" i="10" s="1"/>
  <c r="EH3370" i="10" s="1"/>
  <c r="EC3305" i="10"/>
  <c r="EB3305" i="10"/>
  <c r="EA3305" i="10"/>
  <c r="DZ3305" i="10"/>
  <c r="BS3305" i="10"/>
  <c r="BG3305" i="10"/>
  <c r="BH3305" i="10" s="1"/>
  <c r="BI3305" i="10" s="1"/>
  <c r="AI3305" i="10"/>
  <c r="D3305" i="10"/>
  <c r="EC3304" i="10"/>
  <c r="EC3313" i="10" s="1"/>
  <c r="EC3333" i="10" s="1"/>
  <c r="EC3367" i="10" s="1"/>
  <c r="EB3304" i="10"/>
  <c r="EB3313" i="10" s="1"/>
  <c r="EB3333" i="10" s="1"/>
  <c r="EB3367" i="10" s="1"/>
  <c r="EA3304" i="10"/>
  <c r="DZ3304" i="10"/>
  <c r="BS3304" i="10"/>
  <c r="BG3304" i="10"/>
  <c r="BH3304" i="10" s="1"/>
  <c r="BI3304" i="10" s="1"/>
  <c r="AI3304" i="10"/>
  <c r="EA3303" i="10"/>
  <c r="DZ3303" i="10"/>
  <c r="BS3303" i="10"/>
  <c r="BG3303" i="10"/>
  <c r="BH3303" i="10" s="1"/>
  <c r="BK3303" i="10" s="1"/>
  <c r="AI3303" i="10"/>
  <c r="EA3302" i="10"/>
  <c r="DZ3302" i="10"/>
  <c r="BS3302" i="10"/>
  <c r="BG3302" i="10"/>
  <c r="BH3302" i="10" s="1"/>
  <c r="AI3302" i="10"/>
  <c r="EA3301" i="10"/>
  <c r="DZ3301" i="10"/>
  <c r="BS3301" i="10"/>
  <c r="BG3301" i="10"/>
  <c r="BH3301" i="10" s="1"/>
  <c r="EM3300" i="10"/>
  <c r="EM3315" i="10" s="1"/>
  <c r="EM3361" i="10" s="1"/>
  <c r="EL3300" i="10"/>
  <c r="EA3300" i="10"/>
  <c r="DZ3300" i="10"/>
  <c r="BS3300" i="10"/>
  <c r="BG3300" i="10"/>
  <c r="BH3300" i="10" s="1"/>
  <c r="AI3300" i="10"/>
  <c r="EM3299" i="10"/>
  <c r="EM3302" i="10" s="1"/>
  <c r="EM3318" i="10" s="1"/>
  <c r="EL3299" i="10"/>
  <c r="EL3302" i="10" s="1"/>
  <c r="EL3318" i="10" s="1"/>
  <c r="EC3299" i="10"/>
  <c r="EB3299" i="10"/>
  <c r="EA3299" i="10"/>
  <c r="DZ3299" i="10"/>
  <c r="BS3299" i="10"/>
  <c r="BG3299" i="10"/>
  <c r="BH3299" i="10" s="1"/>
  <c r="AI3299" i="10"/>
  <c r="D3299" i="10"/>
  <c r="EA3298" i="10"/>
  <c r="DZ3298" i="10"/>
  <c r="BS3298" i="10"/>
  <c r="BG3298" i="10"/>
  <c r="BH3298" i="10" s="1"/>
  <c r="BK3298" i="10" s="1"/>
  <c r="EA3297" i="10"/>
  <c r="DZ3297" i="10"/>
  <c r="BS3297" i="10"/>
  <c r="BG3297" i="10"/>
  <c r="BH3297" i="10" s="1"/>
  <c r="AI3297" i="10"/>
  <c r="AI3301" i="10" s="1"/>
  <c r="AI3306" i="10" s="1"/>
  <c r="AI3325" i="10" s="1"/>
  <c r="AI3327" i="10" s="1"/>
  <c r="AI3330" i="10" s="1"/>
  <c r="EH3296" i="10"/>
  <c r="EH3298" i="10" s="1"/>
  <c r="EH3308" i="10" s="1"/>
  <c r="EH3327" i="10" s="1"/>
  <c r="EH3336" i="10" s="1"/>
  <c r="EA3296" i="10"/>
  <c r="DZ3296" i="10"/>
  <c r="BS3296" i="10"/>
  <c r="BG3296" i="10"/>
  <c r="BH3296" i="10" s="1"/>
  <c r="BI3296" i="10" s="1"/>
  <c r="AI3296" i="10"/>
  <c r="C3296" i="10"/>
  <c r="EM3295" i="10"/>
  <c r="EM3303" i="10" s="1"/>
  <c r="EM3328" i="10" s="1"/>
  <c r="EL3295" i="10"/>
  <c r="EL3303" i="10" s="1"/>
  <c r="EL3328" i="10" s="1"/>
  <c r="EC3295" i="10"/>
  <c r="EB3295" i="10"/>
  <c r="EA3295" i="10"/>
  <c r="DZ3295" i="10"/>
  <c r="BS3295" i="10"/>
  <c r="BG3295" i="10"/>
  <c r="BH3295" i="10" s="1"/>
  <c r="AI3295" i="10"/>
  <c r="EM3294" i="10"/>
  <c r="EM3326" i="10" s="1"/>
  <c r="EA3294" i="10"/>
  <c r="DZ3294" i="10"/>
  <c r="BS3294" i="10"/>
  <c r="BG3294" i="10"/>
  <c r="BH3294" i="10" s="1"/>
  <c r="AI3294" i="10"/>
  <c r="EH3293" i="10"/>
  <c r="EH3294" i="10" s="1"/>
  <c r="EH3300" i="10" s="1"/>
  <c r="EH3332" i="10" s="1"/>
  <c r="EH3371" i="10" s="1"/>
  <c r="EC3293" i="10"/>
  <c r="EC3366" i="10" s="1"/>
  <c r="EB3293" i="10"/>
  <c r="EB3366" i="10" s="1"/>
  <c r="EA3293" i="10"/>
  <c r="DZ3293" i="10"/>
  <c r="BS3293" i="10"/>
  <c r="BG3293" i="10"/>
  <c r="BH3293" i="10" s="1"/>
  <c r="EM3292" i="10"/>
  <c r="EM3293" i="10" s="1"/>
  <c r="EM3321" i="10" s="1"/>
  <c r="EM3334" i="10" s="1"/>
  <c r="EM3336" i="10" s="1"/>
  <c r="EL3292" i="10"/>
  <c r="EL3293" i="10" s="1"/>
  <c r="EL3321" i="10" s="1"/>
  <c r="EL3334" i="10" s="1"/>
  <c r="EL3336" i="10" s="1"/>
  <c r="EA3292" i="10"/>
  <c r="DZ3292" i="10"/>
  <c r="BS3292" i="10"/>
  <c r="BG3292" i="10"/>
  <c r="BH3292" i="10" s="1"/>
  <c r="BI3292" i="10" s="1"/>
  <c r="AI3292" i="10"/>
  <c r="EC3291" i="10"/>
  <c r="EC3306" i="10" s="1"/>
  <c r="EB3291" i="10"/>
  <c r="EB3306" i="10" s="1"/>
  <c r="EA3291" i="10"/>
  <c r="DZ3291" i="10"/>
  <c r="BS3291" i="10"/>
  <c r="BG3291" i="10"/>
  <c r="BH3291" i="10" s="1"/>
  <c r="BK3291" i="10" s="1"/>
  <c r="EM3290" i="10"/>
  <c r="EM3312" i="10" s="1"/>
  <c r="EM3331" i="10" s="1"/>
  <c r="EL3290" i="10"/>
  <c r="EL3312" i="10" s="1"/>
  <c r="EL3331" i="10" s="1"/>
  <c r="EA3290" i="10"/>
  <c r="DZ3290" i="10"/>
  <c r="BS3290" i="10"/>
  <c r="BG3290" i="10"/>
  <c r="BH3290" i="10" s="1"/>
  <c r="AI3290" i="10"/>
  <c r="EA3289" i="10"/>
  <c r="DZ3289" i="10"/>
  <c r="BS3289" i="10"/>
  <c r="BG3289" i="10"/>
  <c r="BH3289" i="10" s="1"/>
  <c r="EM3288" i="10"/>
  <c r="EL3288" i="10"/>
  <c r="EA3288" i="10"/>
  <c r="DZ3288" i="10"/>
  <c r="BS3288" i="10"/>
  <c r="BG3288" i="10"/>
  <c r="BH3288" i="10" s="1"/>
  <c r="BK3288" i="10" s="1"/>
  <c r="EA3287" i="10"/>
  <c r="DZ3287" i="10"/>
  <c r="BS3287" i="10"/>
  <c r="BG3287" i="10"/>
  <c r="BH3287" i="10" s="1"/>
  <c r="AI3287" i="10"/>
  <c r="C3287" i="10"/>
  <c r="EH3286" i="10"/>
  <c r="EH3289" i="10" s="1"/>
  <c r="EH3301" i="10" s="1"/>
  <c r="EH3302" i="10" s="1"/>
  <c r="EC3286" i="10"/>
  <c r="EC3301" i="10" s="1"/>
  <c r="EB3286" i="10"/>
  <c r="EB3301" i="10" s="1"/>
  <c r="EA3286" i="10"/>
  <c r="DZ3286" i="10"/>
  <c r="BS3286" i="10"/>
  <c r="BG3286" i="10"/>
  <c r="BH3286" i="10" s="1"/>
  <c r="AI3286" i="10"/>
  <c r="EH3285" i="10"/>
  <c r="EH3325" i="10" s="1"/>
  <c r="EH3331" i="10" s="1"/>
  <c r="EA3285" i="10"/>
  <c r="DZ3285" i="10"/>
  <c r="BS3285" i="10"/>
  <c r="BG3285" i="10"/>
  <c r="BH3285" i="10" s="1"/>
  <c r="BI3285" i="10" s="1"/>
  <c r="AI3285" i="10"/>
  <c r="C3285" i="10"/>
  <c r="EA3284" i="10"/>
  <c r="DZ3284" i="10"/>
  <c r="BS3284" i="10"/>
  <c r="BG3284" i="10"/>
  <c r="BH3284" i="10" s="1"/>
  <c r="C3284" i="10"/>
  <c r="C3288" i="10" s="1"/>
  <c r="EA3283" i="10"/>
  <c r="DZ3283" i="10"/>
  <c r="BS3283" i="10"/>
  <c r="BG3283" i="10"/>
  <c r="BH3283" i="10" s="1"/>
  <c r="BI3283" i="10" s="1"/>
  <c r="C3283" i="10"/>
  <c r="EA3282" i="10"/>
  <c r="DZ3282" i="10"/>
  <c r="BS3282" i="10"/>
  <c r="BG3282" i="10"/>
  <c r="BH3282" i="10" s="1"/>
  <c r="EA3281" i="10"/>
  <c r="DZ3281" i="10"/>
  <c r="BG3281" i="10"/>
  <c r="AI3281" i="10"/>
  <c r="ED3275" i="10"/>
  <c r="EF3269" i="10"/>
  <c r="CI3267" i="10"/>
  <c r="CH3267" i="10"/>
  <c r="CN3267" i="10" s="1"/>
  <c r="CG3267" i="10"/>
  <c r="CN3266" i="10"/>
  <c r="CM3266" i="10"/>
  <c r="CL3266" i="10"/>
  <c r="CK3266" i="10"/>
  <c r="CJ3266" i="10"/>
  <c r="BX3266" i="10"/>
  <c r="B3266" i="10"/>
  <c r="CN3265" i="10"/>
  <c r="CL3265" i="10"/>
  <c r="CM3265" i="10" s="1"/>
  <c r="CK3265" i="10"/>
  <c r="CJ3265" i="10"/>
  <c r="BX3265" i="10"/>
  <c r="B3265" i="10"/>
  <c r="AC3265" i="10" s="1"/>
  <c r="CN3264" i="10"/>
  <c r="CL3264" i="10"/>
  <c r="CM3264" i="10" s="1"/>
  <c r="CK3264" i="10"/>
  <c r="CJ3264" i="10"/>
  <c r="BX3264" i="10"/>
  <c r="B3264" i="10"/>
  <c r="FY3216" i="10" s="1"/>
  <c r="CN3263" i="10"/>
  <c r="CL3263" i="10"/>
  <c r="CM3263" i="10" s="1"/>
  <c r="CK3263" i="10"/>
  <c r="CJ3263" i="10"/>
  <c r="BX3263" i="10"/>
  <c r="B3263" i="10"/>
  <c r="CN3262" i="10"/>
  <c r="CL3262" i="10"/>
  <c r="CM3262" i="10" s="1"/>
  <c r="CK3262" i="10"/>
  <c r="CJ3262" i="10"/>
  <c r="BX3262" i="10"/>
  <c r="B3262" i="10"/>
  <c r="CN3261" i="10"/>
  <c r="CL3261" i="10"/>
  <c r="CM3261" i="10" s="1"/>
  <c r="CK3261" i="10"/>
  <c r="CJ3261" i="10"/>
  <c r="BX3261" i="10"/>
  <c r="AC3261" i="10"/>
  <c r="B3261" i="10"/>
  <c r="CN3260" i="10"/>
  <c r="CL3260" i="10"/>
  <c r="CM3260" i="10" s="1"/>
  <c r="CK3260" i="10"/>
  <c r="CJ3260" i="10"/>
  <c r="BX3260" i="10"/>
  <c r="AC3260" i="10"/>
  <c r="B3260" i="10"/>
  <c r="CN3259" i="10"/>
  <c r="CL3259" i="10"/>
  <c r="CM3259" i="10" s="1"/>
  <c r="CK3259" i="10"/>
  <c r="CJ3259" i="10"/>
  <c r="BX3259" i="10"/>
  <c r="B3259" i="10"/>
  <c r="CN3258" i="10"/>
  <c r="CL3258" i="10"/>
  <c r="CM3258" i="10" s="1"/>
  <c r="CK3258" i="10"/>
  <c r="CJ3258" i="10"/>
  <c r="BX3258" i="10"/>
  <c r="B3258" i="10"/>
  <c r="CN3257" i="10"/>
  <c r="CL3257" i="10"/>
  <c r="CM3257" i="10" s="1"/>
  <c r="CK3257" i="10"/>
  <c r="CJ3257" i="10"/>
  <c r="BX3257" i="10"/>
  <c r="AC3257" i="10"/>
  <c r="B3257" i="10"/>
  <c r="CN3256" i="10"/>
  <c r="CL3256" i="10"/>
  <c r="CM3256" i="10" s="1"/>
  <c r="CK3256" i="10"/>
  <c r="CJ3256" i="10"/>
  <c r="BX3256" i="10"/>
  <c r="B3256" i="10"/>
  <c r="CN3255" i="10"/>
  <c r="CL3255" i="10"/>
  <c r="CM3255" i="10" s="1"/>
  <c r="CK3255" i="10"/>
  <c r="CJ3255" i="10"/>
  <c r="BX3255" i="10"/>
  <c r="B3255" i="10"/>
  <c r="AC3255" i="10" s="1"/>
  <c r="CN3254" i="10"/>
  <c r="CL3254" i="10"/>
  <c r="CM3254" i="10" s="1"/>
  <c r="CK3254" i="10"/>
  <c r="CJ3254" i="10"/>
  <c r="BX3254" i="10"/>
  <c r="B3254" i="10"/>
  <c r="CN3253" i="10"/>
  <c r="CL3253" i="10"/>
  <c r="CM3253" i="10" s="1"/>
  <c r="CK3253" i="10"/>
  <c r="CJ3253" i="10"/>
  <c r="BX3253" i="10"/>
  <c r="AC3253" i="10"/>
  <c r="B3253" i="10"/>
  <c r="FN3216" i="10" s="1"/>
  <c r="CN3252" i="10"/>
  <c r="CL3252" i="10"/>
  <c r="CM3252" i="10" s="1"/>
  <c r="CK3252" i="10"/>
  <c r="CJ3252" i="10"/>
  <c r="BX3252" i="10"/>
  <c r="B3252" i="10"/>
  <c r="AC3252" i="10" s="1"/>
  <c r="CN3251" i="10"/>
  <c r="CL3251" i="10"/>
  <c r="CM3251" i="10" s="1"/>
  <c r="CK3251" i="10"/>
  <c r="CJ3251" i="10"/>
  <c r="BX3251" i="10"/>
  <c r="AC3251" i="10"/>
  <c r="B3251" i="10"/>
  <c r="CN3250" i="10"/>
  <c r="CL3250" i="10"/>
  <c r="CM3250" i="10" s="1"/>
  <c r="CK3250" i="10"/>
  <c r="CJ3250" i="10"/>
  <c r="BX3250" i="10"/>
  <c r="B3250" i="10"/>
  <c r="FK3216" i="10" s="1"/>
  <c r="CN3249" i="10"/>
  <c r="CL3249" i="10"/>
  <c r="CM3249" i="10" s="1"/>
  <c r="CK3249" i="10"/>
  <c r="CJ3249" i="10"/>
  <c r="BX3249" i="10"/>
  <c r="B3249" i="10"/>
  <c r="CN3248" i="10"/>
  <c r="CL3248" i="10"/>
  <c r="CM3248" i="10" s="1"/>
  <c r="CK3248" i="10"/>
  <c r="CJ3248" i="10"/>
  <c r="BX3248" i="10"/>
  <c r="B3248" i="10"/>
  <c r="BS3249" i="10" s="1"/>
  <c r="CN3247" i="10"/>
  <c r="CM3247" i="10"/>
  <c r="CL3247" i="10"/>
  <c r="CK3247" i="10"/>
  <c r="CJ3247" i="10"/>
  <c r="BX3247" i="10"/>
  <c r="B3247" i="10"/>
  <c r="BS3248" i="10" s="1"/>
  <c r="CN3246" i="10"/>
  <c r="CL3246" i="10"/>
  <c r="CM3246" i="10" s="1"/>
  <c r="CK3246" i="10"/>
  <c r="CJ3246" i="10"/>
  <c r="BX3246" i="10"/>
  <c r="AC3246" i="10"/>
  <c r="B3246" i="10"/>
  <c r="CN3245" i="10"/>
  <c r="CL3245" i="10"/>
  <c r="CM3245" i="10" s="1"/>
  <c r="CK3245" i="10"/>
  <c r="CJ3245" i="10"/>
  <c r="BX3245" i="10"/>
  <c r="B3245" i="10"/>
  <c r="CN3244" i="10"/>
  <c r="CL3244" i="10"/>
  <c r="CM3244" i="10" s="1"/>
  <c r="CK3244" i="10"/>
  <c r="CJ3244" i="10"/>
  <c r="BX3244" i="10"/>
  <c r="B3244" i="10"/>
  <c r="CN3243" i="10"/>
  <c r="CM3243" i="10"/>
  <c r="CL3243" i="10"/>
  <c r="CK3243" i="10"/>
  <c r="CJ3243" i="10"/>
  <c r="BX3243" i="10"/>
  <c r="B3243" i="10"/>
  <c r="AC3243" i="10" s="1"/>
  <c r="CN3242" i="10"/>
  <c r="CL3242" i="10"/>
  <c r="CM3242" i="10" s="1"/>
  <c r="CK3242" i="10"/>
  <c r="CJ3242" i="10"/>
  <c r="BX3242" i="10"/>
  <c r="B3242" i="10"/>
  <c r="FC3216" i="10" s="1"/>
  <c r="CN3241" i="10"/>
  <c r="CL3241" i="10"/>
  <c r="CM3241" i="10" s="1"/>
  <c r="CK3241" i="10"/>
  <c r="CJ3241" i="10"/>
  <c r="BX3241" i="10"/>
  <c r="B3241" i="10"/>
  <c r="CN3240" i="10"/>
  <c r="CM3240" i="10"/>
  <c r="CL3240" i="10"/>
  <c r="CK3240" i="10"/>
  <c r="CJ3240" i="10"/>
  <c r="BX3240" i="10"/>
  <c r="B3240" i="10"/>
  <c r="AC3240" i="10" s="1"/>
  <c r="CN3239" i="10"/>
  <c r="CL3239" i="10"/>
  <c r="CM3239" i="10" s="1"/>
  <c r="CK3239" i="10"/>
  <c r="CO3239" i="10" s="1"/>
  <c r="CJ3239" i="10"/>
  <c r="BX3239" i="10"/>
  <c r="B3239" i="10"/>
  <c r="AC3239" i="10" s="1"/>
  <c r="CN3238" i="10"/>
  <c r="CL3238" i="10"/>
  <c r="CM3238" i="10" s="1"/>
  <c r="CK3238" i="10"/>
  <c r="CJ3238" i="10"/>
  <c r="BX3238" i="10"/>
  <c r="AC3238" i="10"/>
  <c r="B3238" i="10"/>
  <c r="BS3243" i="10" s="1"/>
  <c r="CN3237" i="10"/>
  <c r="CL3237" i="10"/>
  <c r="CM3237" i="10" s="1"/>
  <c r="CK3237" i="10"/>
  <c r="CJ3237" i="10"/>
  <c r="BX3237" i="10"/>
  <c r="B3237" i="10"/>
  <c r="CN3236" i="10"/>
  <c r="CM3236" i="10"/>
  <c r="CL3236" i="10"/>
  <c r="CK3236" i="10"/>
  <c r="CJ3236" i="10"/>
  <c r="BX3236" i="10"/>
  <c r="B3236" i="10"/>
  <c r="CN3235" i="10"/>
  <c r="CL3235" i="10"/>
  <c r="CM3235" i="10" s="1"/>
  <c r="CK3235" i="10"/>
  <c r="CJ3235" i="10"/>
  <c r="BX3235" i="10"/>
  <c r="B3235" i="10"/>
  <c r="AC3235" i="10" s="1"/>
  <c r="CN3234" i="10"/>
  <c r="CL3234" i="10"/>
  <c r="CM3234" i="10" s="1"/>
  <c r="CK3234" i="10"/>
  <c r="CO3234" i="10" s="1"/>
  <c r="CJ3234" i="10"/>
  <c r="BX3234" i="10"/>
  <c r="B3234" i="10"/>
  <c r="AC3234" i="10" s="1"/>
  <c r="CN3233" i="10"/>
  <c r="CL3233" i="10"/>
  <c r="CM3233" i="10" s="1"/>
  <c r="CK3233" i="10"/>
  <c r="CJ3233" i="10"/>
  <c r="BX3233" i="10"/>
  <c r="B3233" i="10"/>
  <c r="CN3232" i="10"/>
  <c r="CL3232" i="10"/>
  <c r="CM3232" i="10" s="1"/>
  <c r="CO3232" i="10" s="1"/>
  <c r="CK3232" i="10"/>
  <c r="CJ3232" i="10"/>
  <c r="BX3232" i="10"/>
  <c r="B3232" i="10"/>
  <c r="BS3233" i="10" s="1"/>
  <c r="CN3231" i="10"/>
  <c r="CL3231" i="10"/>
  <c r="CM3231" i="10" s="1"/>
  <c r="CK3231" i="10"/>
  <c r="CJ3231" i="10"/>
  <c r="BX3231" i="10"/>
  <c r="B3231" i="10"/>
  <c r="CN3230" i="10"/>
  <c r="CL3230" i="10"/>
  <c r="CM3230" i="10" s="1"/>
  <c r="CK3230" i="10"/>
  <c r="CJ3230" i="10"/>
  <c r="BX3230" i="10"/>
  <c r="B3230" i="10"/>
  <c r="AC3230" i="10" s="1"/>
  <c r="CN3229" i="10"/>
  <c r="CL3229" i="10"/>
  <c r="CM3229" i="10" s="1"/>
  <c r="CK3229" i="10"/>
  <c r="CJ3229" i="10"/>
  <c r="BX3229" i="10"/>
  <c r="AC3229" i="10"/>
  <c r="B3229" i="10"/>
  <c r="EP3216" i="10" s="1"/>
  <c r="CN3228" i="10"/>
  <c r="CL3228" i="10"/>
  <c r="CM3228" i="10" s="1"/>
  <c r="CK3228" i="10"/>
  <c r="CJ3228" i="10"/>
  <c r="BX3228" i="10"/>
  <c r="B3228" i="10"/>
  <c r="CN3227" i="10"/>
  <c r="CL3227" i="10"/>
  <c r="CM3227" i="10" s="1"/>
  <c r="CK3227" i="10"/>
  <c r="CJ3227" i="10"/>
  <c r="BX3227" i="10"/>
  <c r="B3227" i="10"/>
  <c r="AC3227" i="10" s="1"/>
  <c r="CN3226" i="10"/>
  <c r="CL3226" i="10"/>
  <c r="CM3226" i="10" s="1"/>
  <c r="CK3226" i="10"/>
  <c r="CJ3226" i="10"/>
  <c r="BX3226" i="10"/>
  <c r="B3226" i="10"/>
  <c r="AC3226" i="10" s="1"/>
  <c r="CN3225" i="10"/>
  <c r="CL3225" i="10"/>
  <c r="CM3225" i="10" s="1"/>
  <c r="CK3225" i="10"/>
  <c r="CJ3225" i="10"/>
  <c r="BX3225" i="10"/>
  <c r="B3225" i="10"/>
  <c r="CN3224" i="10"/>
  <c r="CO3224" i="10" s="1"/>
  <c r="BX3224" i="10"/>
  <c r="AC3224" i="10"/>
  <c r="CN3223" i="10"/>
  <c r="CL3223" i="10"/>
  <c r="CM3223" i="10" s="1"/>
  <c r="CK3223" i="10"/>
  <c r="CJ3223" i="10"/>
  <c r="BX3223" i="10"/>
  <c r="B3223" i="10"/>
  <c r="CN3222" i="10"/>
  <c r="CL3222" i="10"/>
  <c r="CM3222" i="10" s="1"/>
  <c r="CK3222" i="10"/>
  <c r="CJ3222" i="10"/>
  <c r="BX3222" i="10"/>
  <c r="B3222" i="10"/>
  <c r="AC3222" i="10" s="1"/>
  <c r="CN3221" i="10"/>
  <c r="CM3221" i="10"/>
  <c r="CL3221" i="10"/>
  <c r="CK3221" i="10"/>
  <c r="CJ3221" i="10"/>
  <c r="BX3221" i="10"/>
  <c r="B3221" i="10"/>
  <c r="CN3220" i="10"/>
  <c r="CL3220" i="10"/>
  <c r="CM3220" i="10" s="1"/>
  <c r="CK3220" i="10"/>
  <c r="CJ3220" i="10"/>
  <c r="BX3220" i="10"/>
  <c r="B3220" i="10"/>
  <c r="BS3221" i="10" s="1"/>
  <c r="ED3219" i="10"/>
  <c r="EE3219" i="10" s="1"/>
  <c r="EF3218" i="10" s="1"/>
  <c r="EG3221" i="10" s="1"/>
  <c r="EH3220" i="10" s="1"/>
  <c r="EI3220" i="10" s="1"/>
  <c r="EJ3219" i="10" s="1"/>
  <c r="EK3219" i="10" s="1"/>
  <c r="EL3220" i="10" s="1"/>
  <c r="EM3219" i="10" s="1"/>
  <c r="EN3219" i="10" s="1"/>
  <c r="EO3219" i="10" s="1"/>
  <c r="EP3221" i="10" s="1"/>
  <c r="EQ3219" i="10" s="1"/>
  <c r="ER3220" i="10" s="1"/>
  <c r="ES3219" i="10" s="1"/>
  <c r="ET3219" i="10" s="1"/>
  <c r="EU3219" i="10" s="1"/>
  <c r="EV3219" i="10" s="1"/>
  <c r="EW3220" i="10" s="1"/>
  <c r="EX3222" i="10" s="1"/>
  <c r="EY3219" i="10" s="1"/>
  <c r="EZ3219" i="10" s="1"/>
  <c r="FA3220" i="10" s="1"/>
  <c r="FB3219" i="10" s="1"/>
  <c r="FC3219" i="10" s="1"/>
  <c r="FD3220" i="10" s="1"/>
  <c r="FE3219" i="10" s="1"/>
  <c r="FF3219" i="10" s="1"/>
  <c r="FG3219" i="10" s="1"/>
  <c r="FH3219" i="10" s="1"/>
  <c r="FI3222" i="10" s="1"/>
  <c r="FJ3221" i="10" s="1"/>
  <c r="FK3220" i="10" s="1"/>
  <c r="FL3219" i="10" s="1"/>
  <c r="FM3219" i="10" s="1"/>
  <c r="FN3219" i="10" s="1"/>
  <c r="FO3219" i="10" s="1"/>
  <c r="FP3220" i="10" s="1"/>
  <c r="FQ3219" i="10" s="1"/>
  <c r="FR3220" i="10" s="1"/>
  <c r="FS3219" i="10" s="1"/>
  <c r="FT3222" i="10" s="1"/>
  <c r="FU3219" i="10" s="1"/>
  <c r="FV3219" i="10" s="1"/>
  <c r="FW3220" i="10" s="1"/>
  <c r="FX3218" i="10" s="1"/>
  <c r="FY3219" i="10" s="1"/>
  <c r="FZ3218" i="10" s="1"/>
  <c r="GA3219" i="10" s="1"/>
  <c r="GB3218" i="10" s="1"/>
  <c r="CN3219" i="10"/>
  <c r="CM3219" i="10"/>
  <c r="CL3219" i="10"/>
  <c r="CK3219" i="10"/>
  <c r="CJ3219" i="10"/>
  <c r="BX3219" i="10"/>
  <c r="B3219" i="10"/>
  <c r="CO3218" i="10"/>
  <c r="CN3218" i="10"/>
  <c r="CL3218" i="10"/>
  <c r="CM3218" i="10" s="1"/>
  <c r="CK3218" i="10"/>
  <c r="CJ3218" i="10"/>
  <c r="BX3218" i="10"/>
  <c r="B3218" i="10"/>
  <c r="AC3218" i="10" s="1"/>
  <c r="GB3217" i="10"/>
  <c r="GA3217" i="10"/>
  <c r="FY3217" i="10"/>
  <c r="FW3217" i="10"/>
  <c r="FV3217" i="10"/>
  <c r="FU3217" i="10"/>
  <c r="FT3217" i="10"/>
  <c r="FS3217" i="10"/>
  <c r="FR3217" i="10"/>
  <c r="FQ3217" i="10"/>
  <c r="FP3217" i="10"/>
  <c r="FO3217" i="10"/>
  <c r="FN3217" i="10"/>
  <c r="FM3217" i="10"/>
  <c r="FK3217" i="10"/>
  <c r="FJ3217" i="10"/>
  <c r="FI3217" i="10"/>
  <c r="FH3217" i="10"/>
  <c r="FG3217" i="10"/>
  <c r="FF3217" i="10"/>
  <c r="FE3217" i="10"/>
  <c r="FD3217" i="10"/>
  <c r="FC3217" i="10"/>
  <c r="FB3217" i="10"/>
  <c r="FA3217" i="10"/>
  <c r="EZ3217" i="10"/>
  <c r="EX3217" i="10"/>
  <c r="EW3217" i="10"/>
  <c r="EV3217" i="10"/>
  <c r="EU3217" i="10"/>
  <c r="ET3217" i="10"/>
  <c r="ES3217" i="10"/>
  <c r="ER3217" i="10"/>
  <c r="EQ3217" i="10"/>
  <c r="EO3217" i="10"/>
  <c r="EN3217" i="10"/>
  <c r="EM3217" i="10"/>
  <c r="EL3217" i="10"/>
  <c r="EK3217" i="10"/>
  <c r="EJ3217" i="10"/>
  <c r="EI3217" i="10"/>
  <c r="EH3217" i="10"/>
  <c r="EF3217" i="10"/>
  <c r="ED3217" i="10"/>
  <c r="EC3217" i="10"/>
  <c r="CN3217" i="10"/>
  <c r="CL3217" i="10"/>
  <c r="CM3217" i="10" s="1"/>
  <c r="CK3217" i="10"/>
  <c r="CJ3217" i="10"/>
  <c r="BX3217" i="10"/>
  <c r="B3217" i="10"/>
  <c r="AC3217" i="10" s="1"/>
  <c r="GB3216" i="10"/>
  <c r="FZ3216" i="10"/>
  <c r="FV3216" i="10"/>
  <c r="FU3216" i="10"/>
  <c r="FR3216" i="10"/>
  <c r="FM3216" i="10"/>
  <c r="FL3216" i="10"/>
  <c r="FG3216" i="10"/>
  <c r="FD3216" i="10"/>
  <c r="EZ3216" i="10"/>
  <c r="EY3216" i="10"/>
  <c r="EV3216" i="10"/>
  <c r="ES3216" i="10"/>
  <c r="EQ3216" i="10"/>
  <c r="EK3216" i="10"/>
  <c r="EI3216" i="10"/>
  <c r="EG3216" i="10"/>
  <c r="EE3216" i="10"/>
  <c r="CN3216" i="10"/>
  <c r="CL3216" i="10"/>
  <c r="CM3216" i="10" s="1"/>
  <c r="CK3216" i="10"/>
  <c r="CO3216" i="10" s="1"/>
  <c r="CJ3216" i="10"/>
  <c r="BX3216" i="10"/>
  <c r="B3216" i="10"/>
  <c r="CD3214" i="10"/>
  <c r="CB3214" i="10"/>
  <c r="CR3212" i="10"/>
  <c r="CL3212" i="10"/>
  <c r="CJ3212" i="10"/>
  <c r="C3210" i="10"/>
  <c r="B3210" i="10"/>
  <c r="D3210" i="10" s="1"/>
  <c r="AM3209" i="10"/>
  <c r="B3207" i="10"/>
  <c r="B3206" i="10"/>
  <c r="B3205" i="10"/>
  <c r="B3204" i="10"/>
  <c r="B3203" i="10"/>
  <c r="B3202" i="10"/>
  <c r="B3201" i="10"/>
  <c r="B3200" i="10"/>
  <c r="B3197" i="10"/>
  <c r="A3197" i="10"/>
  <c r="B3191" i="10"/>
  <c r="A3191" i="10"/>
  <c r="C3187" i="10"/>
  <c r="B3187" i="10"/>
  <c r="C3178" i="10"/>
  <c r="B3178" i="10"/>
  <c r="B3171" i="10"/>
  <c r="A3161" i="10"/>
  <c r="A3151" i="10"/>
  <c r="B3126" i="10"/>
  <c r="B3123" i="10"/>
  <c r="A3123" i="10"/>
  <c r="B3114" i="10"/>
  <c r="B3108" i="10"/>
  <c r="B3102" i="10"/>
  <c r="B3096" i="10"/>
  <c r="B3090" i="10"/>
  <c r="B3084" i="10"/>
  <c r="B3077" i="10"/>
  <c r="B3070" i="10"/>
  <c r="A3070" i="10"/>
  <c r="D3062" i="10"/>
  <c r="D3061" i="10"/>
  <c r="B3056" i="10"/>
  <c r="B3062" i="10" s="1"/>
  <c r="B3044" i="10"/>
  <c r="B3038" i="10"/>
  <c r="B3036" i="10"/>
  <c r="A3036" i="10"/>
  <c r="E3019" i="10"/>
  <c r="AL717" i="10" s="1"/>
  <c r="AE3018" i="10"/>
  <c r="AD3018" i="10"/>
  <c r="AD3017" i="10" s="1"/>
  <c r="AD3016" i="10" s="1"/>
  <c r="AD3015" i="10" s="1"/>
  <c r="AD3014" i="10" s="1"/>
  <c r="AC3018" i="10"/>
  <c r="AB3018" i="10"/>
  <c r="AB3017" i="10" s="1"/>
  <c r="AB3016" i="10" s="1"/>
  <c r="AB3015" i="10" s="1"/>
  <c r="AB3014" i="10" s="1"/>
  <c r="G3018" i="10"/>
  <c r="AE3017" i="10"/>
  <c r="AE3016" i="10" s="1"/>
  <c r="AE3015" i="10" s="1"/>
  <c r="AE3014" i="10" s="1"/>
  <c r="G3017" i="10"/>
  <c r="G3016" i="10" s="1"/>
  <c r="G3015" i="10" s="1"/>
  <c r="G3014" i="10" s="1"/>
  <c r="B3005" i="10"/>
  <c r="AD3001" i="10"/>
  <c r="AD3000" i="10"/>
  <c r="AD2999" i="10"/>
  <c r="AD2998" i="10"/>
  <c r="AD2997" i="10"/>
  <c r="AD2996" i="10"/>
  <c r="AD2995" i="10"/>
  <c r="AD2994" i="10"/>
  <c r="AD2993" i="10"/>
  <c r="E2993" i="10"/>
  <c r="E2994" i="10" s="1"/>
  <c r="E2995" i="10" s="1"/>
  <c r="E2996" i="10" s="1"/>
  <c r="E2997" i="10" s="1"/>
  <c r="E2998" i="10" s="1"/>
  <c r="E2999" i="10" s="1"/>
  <c r="E3000" i="10" s="1"/>
  <c r="E3001" i="10" s="1"/>
  <c r="AR2992" i="10"/>
  <c r="AR2993" i="10" s="1"/>
  <c r="AR2994" i="10" s="1"/>
  <c r="AR2995" i="10" s="1"/>
  <c r="AR2996" i="10" s="1"/>
  <c r="AR2997" i="10" s="1"/>
  <c r="AR2998" i="10" s="1"/>
  <c r="AR2999" i="10" s="1"/>
  <c r="AD2992" i="10"/>
  <c r="D2991" i="10"/>
  <c r="AH2984" i="10"/>
  <c r="AG2984" i="10"/>
  <c r="AG419" i="10" s="1"/>
  <c r="AF2984" i="10"/>
  <c r="AE2984" i="10"/>
  <c r="AD2984" i="10"/>
  <c r="AC2984" i="10"/>
  <c r="AC419" i="10" s="1"/>
  <c r="D2981" i="10"/>
  <c r="B2981" i="10"/>
  <c r="A2981" i="10"/>
  <c r="C2969" i="10"/>
  <c r="C2970" i="10" s="1"/>
  <c r="C2971" i="10" s="1"/>
  <c r="C2972" i="10" s="1"/>
  <c r="C2973" i="10" s="1"/>
  <c r="C2974" i="10" s="1"/>
  <c r="C2975" i="10" s="1"/>
  <c r="C2976" i="10" s="1"/>
  <c r="C2977" i="10" s="1"/>
  <c r="D2967" i="10"/>
  <c r="B2967" i="10"/>
  <c r="C2958" i="10"/>
  <c r="D2958" i="10" s="1"/>
  <c r="C2957" i="10"/>
  <c r="D2957" i="10" s="1"/>
  <c r="C2956" i="10"/>
  <c r="D2956" i="10" s="1"/>
  <c r="C2955" i="10"/>
  <c r="D2955" i="10" s="1"/>
  <c r="D2954" i="10"/>
  <c r="C2954" i="10"/>
  <c r="B2954" i="10"/>
  <c r="E2949" i="10"/>
  <c r="B2947" i="10"/>
  <c r="F2943" i="10"/>
  <c r="F2944" i="10" s="1"/>
  <c r="F2945" i="10" s="1"/>
  <c r="F2946" i="10" s="1"/>
  <c r="F2947" i="10" s="1"/>
  <c r="E2941" i="10"/>
  <c r="D2941" i="10"/>
  <c r="C2941" i="10"/>
  <c r="AP2937" i="10"/>
  <c r="AN2937" i="10"/>
  <c r="E2930" i="10"/>
  <c r="E2931" i="10" s="1"/>
  <c r="E2932" i="10" s="1"/>
  <c r="AO326" i="10" s="1"/>
  <c r="AP2929" i="10"/>
  <c r="AP2930" i="10" s="1"/>
  <c r="AP2931" i="10" s="1"/>
  <c r="AP2932" i="10" s="1"/>
  <c r="AP2933" i="10" s="1"/>
  <c r="AP2936" i="10" s="1"/>
  <c r="AP2939" i="10" s="1"/>
  <c r="AN2929" i="10"/>
  <c r="AN2930" i="10" s="1"/>
  <c r="AN2931" i="10" s="1"/>
  <c r="D2928" i="10"/>
  <c r="AP2920" i="10"/>
  <c r="AP2921" i="10" s="1"/>
  <c r="AP2922" i="10" s="1"/>
  <c r="AP2923" i="10" s="1"/>
  <c r="AP2924" i="10" s="1"/>
  <c r="AP2925" i="10" s="1"/>
  <c r="AP2926" i="10" s="1"/>
  <c r="AP2927" i="10" s="1"/>
  <c r="AP2935" i="10" s="1"/>
  <c r="AP2938" i="10" s="1"/>
  <c r="AN2920" i="10"/>
  <c r="AN2921" i="10" s="1"/>
  <c r="I2917" i="10"/>
  <c r="I2916" i="10" s="1"/>
  <c r="AO1851" i="10" s="1"/>
  <c r="D2917" i="10"/>
  <c r="B2917" i="10"/>
  <c r="C2915" i="10"/>
  <c r="C2914" i="10"/>
  <c r="C2913" i="10"/>
  <c r="C2912" i="10"/>
  <c r="C2911" i="10"/>
  <c r="C2910" i="10"/>
  <c r="B2910" i="10"/>
  <c r="C2894" i="10"/>
  <c r="C2893" i="10"/>
  <c r="C2892" i="10"/>
  <c r="B2885" i="10"/>
  <c r="C2877" i="10"/>
  <c r="B2877" i="10"/>
  <c r="A2816" i="10"/>
  <c r="A2815" i="10"/>
  <c r="BF2815" i="10" s="1"/>
  <c r="BF2814" i="10"/>
  <c r="BL2814" i="10" s="1"/>
  <c r="BN2813" i="10"/>
  <c r="BH2813" i="10"/>
  <c r="B2347" i="10" s="1"/>
  <c r="D2813" i="10"/>
  <c r="B2813" i="10"/>
  <c r="A2812" i="10"/>
  <c r="A2810" i="10"/>
  <c r="A2809" i="10"/>
  <c r="A2808" i="10"/>
  <c r="B2803" i="10"/>
  <c r="A2802" i="10"/>
  <c r="D2774" i="10"/>
  <c r="B2774" i="10"/>
  <c r="A2773" i="10"/>
  <c r="E2765" i="10"/>
  <c r="E2766" i="10" s="1"/>
  <c r="E2767" i="10" s="1"/>
  <c r="E2768" i="10" s="1"/>
  <c r="E2769" i="10" s="1"/>
  <c r="E2770" i="10" s="1"/>
  <c r="E2771" i="10" s="1"/>
  <c r="E2772" i="10" s="1"/>
  <c r="E2763" i="10"/>
  <c r="E2764" i="10" s="1"/>
  <c r="D2761" i="10"/>
  <c r="C2761" i="10"/>
  <c r="B2761" i="10"/>
  <c r="B2756" i="10"/>
  <c r="E2749" i="10"/>
  <c r="E2750" i="10" s="1"/>
  <c r="E2751" i="10" s="1"/>
  <c r="E2752" i="10" s="1"/>
  <c r="E2753" i="10" s="1"/>
  <c r="E2754" i="10" s="1"/>
  <c r="B2747" i="10"/>
  <c r="C2732" i="10"/>
  <c r="B2732" i="10"/>
  <c r="C2726" i="10"/>
  <c r="B2726" i="10"/>
  <c r="I2723" i="10"/>
  <c r="G2723" i="10"/>
  <c r="J2723" i="10" s="1"/>
  <c r="J2719" i="10"/>
  <c r="I2719" i="10"/>
  <c r="H2719" i="10"/>
  <c r="G2719" i="10"/>
  <c r="C2719" i="10"/>
  <c r="B2719" i="10"/>
  <c r="B2717" i="10"/>
  <c r="A2717" i="10"/>
  <c r="D2470" i="10"/>
  <c r="C2470" i="10"/>
  <c r="C2455" i="10"/>
  <c r="B2455" i="10"/>
  <c r="B2452" i="10"/>
  <c r="AH2471" i="10" s="1"/>
  <c r="AI2471" i="10" s="1"/>
  <c r="D2399" i="10"/>
  <c r="BD2395" i="10"/>
  <c r="BF2391" i="10"/>
  <c r="BF2390" i="10"/>
  <c r="BO2389" i="10"/>
  <c r="BF2389" i="10"/>
  <c r="BF2388" i="10"/>
  <c r="BF2387" i="10"/>
  <c r="BO2386" i="10"/>
  <c r="BF2386" i="10"/>
  <c r="BF2385" i="10"/>
  <c r="AN2385" i="10"/>
  <c r="BF2384" i="10"/>
  <c r="AN2384" i="10"/>
  <c r="BO2383" i="10"/>
  <c r="BF2383" i="10"/>
  <c r="AN2383" i="10"/>
  <c r="BF2382" i="10"/>
  <c r="AN2382" i="10"/>
  <c r="BF2381" i="10"/>
  <c r="AN2381" i="10"/>
  <c r="BO2380" i="10"/>
  <c r="BF2380" i="10"/>
  <c r="AN2380" i="10"/>
  <c r="BF2379" i="10"/>
  <c r="AN2379" i="10"/>
  <c r="BF2378" i="10"/>
  <c r="AN2378" i="10"/>
  <c r="BO2377" i="10"/>
  <c r="BF2377" i="10"/>
  <c r="AN2377" i="10"/>
  <c r="BF2376" i="10"/>
  <c r="AN2376" i="10"/>
  <c r="AG2376" i="10"/>
  <c r="BF2375" i="10"/>
  <c r="AN2375" i="10"/>
  <c r="AG2375" i="10"/>
  <c r="A2375" i="10"/>
  <c r="A2377" i="10" s="1"/>
  <c r="A2379" i="10" s="1"/>
  <c r="A2381" i="10" s="1"/>
  <c r="A2383" i="10" s="1"/>
  <c r="A2385" i="10" s="1"/>
  <c r="A2387" i="10" s="1"/>
  <c r="A2389" i="10" s="1"/>
  <c r="BO2374" i="10"/>
  <c r="BF2374" i="10"/>
  <c r="AN2374" i="10"/>
  <c r="AG2374" i="10"/>
  <c r="BF2373" i="10"/>
  <c r="AN2373" i="10"/>
  <c r="AG2373" i="10"/>
  <c r="BF2372" i="10"/>
  <c r="AN2372" i="10"/>
  <c r="AG2372" i="10"/>
  <c r="BO2371" i="10"/>
  <c r="BF2371" i="10"/>
  <c r="BB2371" i="10" s="1"/>
  <c r="BB2372" i="10" s="1"/>
  <c r="AN2371" i="10"/>
  <c r="AG2371" i="10"/>
  <c r="BF2370" i="10"/>
  <c r="AN2370" i="10"/>
  <c r="AG2370" i="10"/>
  <c r="BF2369" i="10"/>
  <c r="AN2369" i="10"/>
  <c r="AG2369" i="10"/>
  <c r="BO2368" i="10"/>
  <c r="BF2368" i="10"/>
  <c r="AN2368" i="10"/>
  <c r="AG2368" i="10"/>
  <c r="BF2367" i="10"/>
  <c r="BF2366" i="10"/>
  <c r="BO2365" i="10"/>
  <c r="BF2365" i="10"/>
  <c r="BE2364" i="10"/>
  <c r="BD2364" i="10"/>
  <c r="BB2364" i="10"/>
  <c r="BH2393" i="10" s="1"/>
  <c r="BH2363" i="10"/>
  <c r="BB2362" i="10"/>
  <c r="B2371" i="10" s="1"/>
  <c r="BF2360" i="10"/>
  <c r="AG2360" i="10"/>
  <c r="B2362" i="10" s="1"/>
  <c r="B2352" i="10"/>
  <c r="AN2351" i="10"/>
  <c r="AF2351" i="10"/>
  <c r="AN2349" i="10"/>
  <c r="AF2349" i="10"/>
  <c r="AM2348" i="10"/>
  <c r="AM2350" i="10" s="1"/>
  <c r="AM2352" i="10" s="1"/>
  <c r="AN2347" i="10"/>
  <c r="AF2347" i="10"/>
  <c r="AP2345" i="10"/>
  <c r="B2345" i="10" s="1"/>
  <c r="AN2345" i="10"/>
  <c r="AF2345" i="10"/>
  <c r="AP2344" i="10"/>
  <c r="B2344" i="10" s="1"/>
  <c r="AP2338" i="10"/>
  <c r="C2342" i="10" s="1"/>
  <c r="AD2338" i="10"/>
  <c r="AD2337" i="10"/>
  <c r="BI2332" i="10"/>
  <c r="BH2332" i="10"/>
  <c r="AP2332" i="10"/>
  <c r="BE2331" i="10"/>
  <c r="AX2331" i="10"/>
  <c r="AO2331" i="10"/>
  <c r="AG2331" i="10"/>
  <c r="BE2330" i="10"/>
  <c r="AX2330" i="10"/>
  <c r="AO2330" i="10"/>
  <c r="AG2330" i="10"/>
  <c r="BE2329" i="10"/>
  <c r="AX2329" i="10"/>
  <c r="AO2329" i="10"/>
  <c r="AG2329" i="10"/>
  <c r="BE2328" i="10"/>
  <c r="AW2328" i="10"/>
  <c r="AF2328" i="10"/>
  <c r="AN2328" i="10" s="1"/>
  <c r="BL2327" i="10"/>
  <c r="BE2327" i="10"/>
  <c r="AD2327" i="10"/>
  <c r="B2324" i="10"/>
  <c r="AG2320" i="10"/>
  <c r="D2319" i="10"/>
  <c r="AR2298" i="10"/>
  <c r="AI2297" i="10"/>
  <c r="AI2296" i="10"/>
  <c r="AJ2295" i="10"/>
  <c r="AI2295" i="10"/>
  <c r="AP2295" i="10" s="1"/>
  <c r="B2295" i="10" s="1"/>
  <c r="AJ2294" i="10"/>
  <c r="AH2294" i="10"/>
  <c r="AJ2293" i="10"/>
  <c r="AH2293" i="10"/>
  <c r="AJ2292" i="10"/>
  <c r="AH2292" i="10"/>
  <c r="AJ2291" i="10"/>
  <c r="AH2291" i="10"/>
  <c r="AP2291" i="10" s="1"/>
  <c r="B2291" i="10" s="1"/>
  <c r="AJ2290" i="10"/>
  <c r="AH2290" i="10"/>
  <c r="AJ2288" i="10"/>
  <c r="AI2288" i="10"/>
  <c r="AP2288" i="10" s="1"/>
  <c r="B2288" i="10" s="1"/>
  <c r="AJ2287" i="10"/>
  <c r="AH2287" i="10"/>
  <c r="AJ2286" i="10"/>
  <c r="AH2286" i="10"/>
  <c r="AJ2285" i="10"/>
  <c r="AH2285" i="10"/>
  <c r="AJ2284" i="10"/>
  <c r="AH2284" i="10"/>
  <c r="AJ2283" i="10"/>
  <c r="AP2283" i="10" s="1"/>
  <c r="B2283" i="10" s="1"/>
  <c r="AH2283" i="10"/>
  <c r="AM2273" i="10"/>
  <c r="AH2273" i="10" s="1"/>
  <c r="B2273" i="10" s="1"/>
  <c r="AF2263" i="10"/>
  <c r="AG2259" i="10"/>
  <c r="AI2254" i="10"/>
  <c r="AE2254" i="10"/>
  <c r="AD2254" i="10"/>
  <c r="AI2253" i="10"/>
  <c r="AE2253" i="10"/>
  <c r="AD2253" i="10"/>
  <c r="AI2252" i="10"/>
  <c r="AP2251" i="10"/>
  <c r="AE2248" i="10"/>
  <c r="AD2248" i="10"/>
  <c r="AE2247" i="10"/>
  <c r="AD2247" i="10"/>
  <c r="AL2242" i="10"/>
  <c r="AE2242" i="10"/>
  <c r="AD2242" i="10"/>
  <c r="AL2241" i="10"/>
  <c r="AE2241" i="10"/>
  <c r="AD2241" i="10"/>
  <c r="AL2240" i="10"/>
  <c r="AL2239" i="10"/>
  <c r="AG2239" i="10" s="1"/>
  <c r="AG2236" i="10"/>
  <c r="AE2236" i="10"/>
  <c r="AD2236" i="10"/>
  <c r="AG2235" i="10"/>
  <c r="AE2235" i="10"/>
  <c r="AD2235" i="10"/>
  <c r="AG2234" i="10"/>
  <c r="AG2233" i="10"/>
  <c r="C2225" i="10"/>
  <c r="AI2224" i="10"/>
  <c r="BH2221" i="10"/>
  <c r="AI2222" i="10"/>
  <c r="C2218" i="10"/>
  <c r="AO2217" i="10"/>
  <c r="AM2217" i="10"/>
  <c r="AI2217" i="10"/>
  <c r="C2216" i="10" s="1"/>
  <c r="AH2217" i="10"/>
  <c r="B2216" i="10" s="1"/>
  <c r="E2217" i="10"/>
  <c r="AO2216" i="10"/>
  <c r="AM2216" i="10"/>
  <c r="AH2216" i="10" s="1"/>
  <c r="AI2216" i="10"/>
  <c r="C2215" i="10" s="1"/>
  <c r="AO2215" i="10"/>
  <c r="AM2215" i="10"/>
  <c r="AH2215" i="10" s="1"/>
  <c r="AI2215" i="10"/>
  <c r="C2214" i="10" s="1"/>
  <c r="AO2214" i="10"/>
  <c r="AM2214" i="10"/>
  <c r="AH2214" i="10" s="1"/>
  <c r="AI2214" i="10"/>
  <c r="AO2213" i="10"/>
  <c r="AM2213" i="10"/>
  <c r="AH2213" i="10" s="1"/>
  <c r="B2212" i="10" s="1"/>
  <c r="AI2213" i="10"/>
  <c r="C2212" i="10" s="1"/>
  <c r="C2213" i="10"/>
  <c r="AO2212" i="10"/>
  <c r="AM2212" i="10"/>
  <c r="AH2212" i="10" s="1"/>
  <c r="AI2212" i="10"/>
  <c r="C2211" i="10" s="1"/>
  <c r="AO2211" i="10"/>
  <c r="AM2211" i="10"/>
  <c r="AH2211" i="10" s="1"/>
  <c r="AI2211" i="10"/>
  <c r="C2210" i="10" s="1"/>
  <c r="AO2210" i="10"/>
  <c r="AM2210" i="10"/>
  <c r="AH2210" i="10" s="1"/>
  <c r="AI2210" i="10"/>
  <c r="AO2209" i="10"/>
  <c r="AM2209" i="10"/>
  <c r="AH2209" i="10" s="1"/>
  <c r="B2208" i="10" s="1"/>
  <c r="AI2209" i="10"/>
  <c r="C2208" i="10" s="1"/>
  <c r="C2209" i="10"/>
  <c r="AO2208" i="10"/>
  <c r="AM2208" i="10"/>
  <c r="AH2208" i="10" s="1"/>
  <c r="AI2208" i="10"/>
  <c r="C2207" i="10" s="1"/>
  <c r="AO2207" i="10"/>
  <c r="AM2207" i="10"/>
  <c r="AH2207" i="10" s="1"/>
  <c r="AI2207" i="10"/>
  <c r="C2206" i="10" s="1"/>
  <c r="AO2206" i="10"/>
  <c r="AM2206" i="10"/>
  <c r="AH2206" i="10" s="1"/>
  <c r="AI2206" i="10"/>
  <c r="AO2205" i="10"/>
  <c r="AM2205" i="10"/>
  <c r="AH2205" i="10" s="1"/>
  <c r="B2204" i="10" s="1"/>
  <c r="AI2205" i="10"/>
  <c r="C2205" i="10"/>
  <c r="AO2204" i="10"/>
  <c r="AM2204" i="10"/>
  <c r="AH2204" i="10" s="1"/>
  <c r="AI2204" i="10"/>
  <c r="C2203" i="10" s="1"/>
  <c r="C2204" i="10"/>
  <c r="AO2203" i="10"/>
  <c r="AM2203" i="10"/>
  <c r="AI2203" i="10"/>
  <c r="C2202" i="10" s="1"/>
  <c r="AH2203" i="10"/>
  <c r="AL2203" i="10" s="1"/>
  <c r="AJ2203" i="10" s="1"/>
  <c r="D2202" i="10" s="1"/>
  <c r="AO2202" i="10"/>
  <c r="AM2202" i="10"/>
  <c r="AH2202" i="10" s="1"/>
  <c r="AI2202" i="10"/>
  <c r="AO2201" i="10"/>
  <c r="AM2201" i="10"/>
  <c r="AH2201" i="10" s="1"/>
  <c r="B2200" i="10" s="1"/>
  <c r="AI2201" i="10"/>
  <c r="C2201" i="10"/>
  <c r="AO2200" i="10"/>
  <c r="AM2200" i="10"/>
  <c r="AH2200" i="10" s="1"/>
  <c r="AI2200" i="10"/>
  <c r="C2199" i="10" s="1"/>
  <c r="C2200" i="10"/>
  <c r="AO2199" i="10"/>
  <c r="AM2199" i="10"/>
  <c r="AH2199" i="10" s="1"/>
  <c r="AI2199" i="10"/>
  <c r="C2198" i="10" s="1"/>
  <c r="AO2198" i="10"/>
  <c r="AM2198" i="10"/>
  <c r="AH2198" i="10" s="1"/>
  <c r="AI2198" i="10"/>
  <c r="AO2197" i="10"/>
  <c r="AM2197" i="10"/>
  <c r="AH2197" i="10" s="1"/>
  <c r="B2196" i="10" s="1"/>
  <c r="AI2197" i="10"/>
  <c r="C2197" i="10"/>
  <c r="AO2196" i="10"/>
  <c r="AM2196" i="10"/>
  <c r="AH2196" i="10" s="1"/>
  <c r="AI2196" i="10"/>
  <c r="C2195" i="10" s="1"/>
  <c r="C2196" i="10"/>
  <c r="AO2195" i="10"/>
  <c r="AM2195" i="10"/>
  <c r="AH2195" i="10" s="1"/>
  <c r="AI2195" i="10"/>
  <c r="C2194" i="10" s="1"/>
  <c r="AO2194" i="10"/>
  <c r="AM2194" i="10"/>
  <c r="AH2194" i="10" s="1"/>
  <c r="AI2194" i="10"/>
  <c r="AO2193" i="10"/>
  <c r="AM2193" i="10"/>
  <c r="AH2193" i="10" s="1"/>
  <c r="B2192" i="10" s="1"/>
  <c r="AI2193" i="10"/>
  <c r="C2193" i="10"/>
  <c r="AO2192" i="10"/>
  <c r="AM2192" i="10"/>
  <c r="AH2192" i="10" s="1"/>
  <c r="AI2192" i="10"/>
  <c r="C2191" i="10" s="1"/>
  <c r="C2192" i="10"/>
  <c r="AO2191" i="10"/>
  <c r="AM2191" i="10"/>
  <c r="AH2191" i="10" s="1"/>
  <c r="AI2191" i="10"/>
  <c r="C2190" i="10" s="1"/>
  <c r="AO2190" i="10"/>
  <c r="AM2190" i="10"/>
  <c r="AH2190" i="10" s="1"/>
  <c r="AI2190" i="10"/>
  <c r="AO2189" i="10"/>
  <c r="AM2189" i="10"/>
  <c r="AH2189" i="10" s="1"/>
  <c r="B2188" i="10" s="1"/>
  <c r="AI2189" i="10"/>
  <c r="C2189" i="10"/>
  <c r="AO2188" i="10"/>
  <c r="AM2188" i="10"/>
  <c r="AH2188" i="10" s="1"/>
  <c r="AI2188" i="10"/>
  <c r="C2187" i="10" s="1"/>
  <c r="C2188" i="10"/>
  <c r="AO2187" i="10"/>
  <c r="AM2187" i="10"/>
  <c r="AI2187" i="10"/>
  <c r="C2186" i="10" s="1"/>
  <c r="AH2187" i="10"/>
  <c r="AL2187" i="10" s="1"/>
  <c r="AO2186" i="10"/>
  <c r="AM2186" i="10"/>
  <c r="AH2186" i="10" s="1"/>
  <c r="AI2186" i="10"/>
  <c r="AO2185" i="10"/>
  <c r="AM2185" i="10"/>
  <c r="AI2185" i="10"/>
  <c r="AH2185" i="10"/>
  <c r="B2184" i="10" s="1"/>
  <c r="C2185" i="10"/>
  <c r="AO2184" i="10"/>
  <c r="AM2184" i="10"/>
  <c r="AH2184" i="10" s="1"/>
  <c r="AI2184" i="10"/>
  <c r="C2183" i="10" s="1"/>
  <c r="C2184" i="10"/>
  <c r="AO2183" i="10"/>
  <c r="AM2183" i="10"/>
  <c r="AI2183" i="10"/>
  <c r="C2182" i="10" s="1"/>
  <c r="AH2183" i="10"/>
  <c r="AL2183" i="10" s="1"/>
  <c r="AO2182" i="10"/>
  <c r="AM2182" i="10"/>
  <c r="AH2182" i="10" s="1"/>
  <c r="AI2182" i="10"/>
  <c r="B2182" i="10"/>
  <c r="AO2181" i="10"/>
  <c r="AM2181" i="10"/>
  <c r="AH2181" i="10" s="1"/>
  <c r="B2180" i="10" s="1"/>
  <c r="AI2181" i="10"/>
  <c r="C2181" i="10"/>
  <c r="AO2180" i="10"/>
  <c r="AM2180" i="10"/>
  <c r="AH2180" i="10" s="1"/>
  <c r="AI2180" i="10"/>
  <c r="C2179" i="10" s="1"/>
  <c r="C2180" i="10"/>
  <c r="AO2179" i="10"/>
  <c r="AM2179" i="10"/>
  <c r="AH2179" i="10" s="1"/>
  <c r="AI2179" i="10"/>
  <c r="C2178" i="10" s="1"/>
  <c r="AO2178" i="10"/>
  <c r="AM2178" i="10"/>
  <c r="AH2178" i="10" s="1"/>
  <c r="AI2178" i="10"/>
  <c r="AO2177" i="10"/>
  <c r="AM2177" i="10"/>
  <c r="AH2177" i="10" s="1"/>
  <c r="B2176" i="10" s="1"/>
  <c r="AI2177" i="10"/>
  <c r="C2177" i="10"/>
  <c r="AO2176" i="10"/>
  <c r="AM2176" i="10"/>
  <c r="AH2176" i="10" s="1"/>
  <c r="AI2176" i="10"/>
  <c r="C2175" i="10" s="1"/>
  <c r="C2176" i="10"/>
  <c r="AO2175" i="10"/>
  <c r="AM2175" i="10"/>
  <c r="AH2175" i="10" s="1"/>
  <c r="AI2175" i="10"/>
  <c r="C2174" i="10" s="1"/>
  <c r="AG2170" i="10"/>
  <c r="AI2251" i="10" s="1"/>
  <c r="AF2166" i="10"/>
  <c r="AF2164" i="10"/>
  <c r="AE2164" i="10"/>
  <c r="AF2163" i="10"/>
  <c r="AE2163" i="10"/>
  <c r="AG2162" i="10"/>
  <c r="AF2162" i="10"/>
  <c r="AF2157" i="10"/>
  <c r="AE2157" i="10"/>
  <c r="AF2156" i="10"/>
  <c r="AE2156" i="10"/>
  <c r="AG2155" i="10"/>
  <c r="AF2155" i="10"/>
  <c r="AF2151" i="10"/>
  <c r="AE2151" i="10"/>
  <c r="AF2150" i="10"/>
  <c r="AE2150" i="10"/>
  <c r="AF2149" i="10"/>
  <c r="AF2145" i="10"/>
  <c r="AE2145" i="10"/>
  <c r="AF2144" i="10"/>
  <c r="AE2144" i="10"/>
  <c r="AF2143" i="10"/>
  <c r="AF2139" i="10"/>
  <c r="AE2139" i="10"/>
  <c r="AF2138" i="10"/>
  <c r="AE2138" i="10"/>
  <c r="AF2137" i="10"/>
  <c r="AM2136" i="10"/>
  <c r="AI2128" i="10"/>
  <c r="C2128" i="10"/>
  <c r="AI2125" i="10"/>
  <c r="AF2119" i="10"/>
  <c r="AF2117" i="10"/>
  <c r="AE2117" i="10"/>
  <c r="AF2116" i="10"/>
  <c r="AE2116" i="10"/>
  <c r="AG2115" i="10"/>
  <c r="AF2115" i="10"/>
  <c r="AF2114" i="10"/>
  <c r="AF2110" i="10"/>
  <c r="AE2110" i="10"/>
  <c r="AF2109" i="10"/>
  <c r="AE2109" i="10"/>
  <c r="AG2108" i="10"/>
  <c r="AF2108" i="10"/>
  <c r="AO2107" i="10"/>
  <c r="AF2104" i="10"/>
  <c r="AE2104" i="10"/>
  <c r="AF2103" i="10"/>
  <c r="AE2103" i="10"/>
  <c r="AF2102" i="10"/>
  <c r="AI2101" i="10"/>
  <c r="BJ2098" i="10"/>
  <c r="AF2098" i="10"/>
  <c r="AE2098" i="10"/>
  <c r="BJ2097" i="10"/>
  <c r="AF2097" i="10"/>
  <c r="AE2097" i="10"/>
  <c r="AF2096" i="10"/>
  <c r="AS2095" i="10"/>
  <c r="AJ2095" i="10"/>
  <c r="AF2092" i="10"/>
  <c r="AE2092" i="10"/>
  <c r="AF2091" i="10"/>
  <c r="AE2091" i="10"/>
  <c r="AF2090" i="10"/>
  <c r="C2081" i="10"/>
  <c r="AK2107" i="10"/>
  <c r="AI2077" i="10"/>
  <c r="C2082" i="10" s="1"/>
  <c r="AM2072" i="10"/>
  <c r="AF2070" i="10"/>
  <c r="AE2070" i="10"/>
  <c r="AF2069" i="10"/>
  <c r="AE2069" i="10"/>
  <c r="AG2068" i="10"/>
  <c r="AF2068" i="10"/>
  <c r="AG2067" i="10"/>
  <c r="AF2067" i="10"/>
  <c r="AF2063" i="10"/>
  <c r="AE2063" i="10"/>
  <c r="AF2062" i="10"/>
  <c r="AE2062" i="10"/>
  <c r="AG2061" i="10"/>
  <c r="AF2061" i="10"/>
  <c r="AF2057" i="10"/>
  <c r="AE2057" i="10"/>
  <c r="AF2056" i="10"/>
  <c r="AE2056" i="10"/>
  <c r="AF2055" i="10"/>
  <c r="AF2051" i="10"/>
  <c r="AE2051" i="10"/>
  <c r="AF2050" i="10"/>
  <c r="AE2050" i="10"/>
  <c r="AF2049" i="10"/>
  <c r="AF2045" i="10"/>
  <c r="AE2045" i="10"/>
  <c r="AF2044" i="10"/>
  <c r="AE2044" i="10"/>
  <c r="AF2043" i="10"/>
  <c r="BN2041" i="10"/>
  <c r="BL2041" i="10"/>
  <c r="BN2040" i="10"/>
  <c r="BL2040" i="10"/>
  <c r="BN2039" i="10"/>
  <c r="BL2039" i="10"/>
  <c r="BN2038" i="10"/>
  <c r="BL2038" i="10"/>
  <c r="CA2036" i="10"/>
  <c r="AE2034" i="10"/>
  <c r="C2034" i="10"/>
  <c r="AE2033" i="10"/>
  <c r="AE2032" i="10"/>
  <c r="AE2031" i="10"/>
  <c r="AI2030" i="10" s="1"/>
  <c r="C2035" i="10" s="1"/>
  <c r="AF2022" i="10"/>
  <c r="AE2022" i="10"/>
  <c r="AF2021" i="10"/>
  <c r="AE2021" i="10"/>
  <c r="AG2020" i="10"/>
  <c r="AF2020" i="10"/>
  <c r="AF2016" i="10"/>
  <c r="AE2016" i="10"/>
  <c r="B2016" i="10"/>
  <c r="AF2015" i="10"/>
  <c r="AE2015" i="10"/>
  <c r="B2015" i="10"/>
  <c r="AG2014" i="10"/>
  <c r="AF2014" i="10"/>
  <c r="B2014" i="10"/>
  <c r="AF2010" i="10"/>
  <c r="AE2010" i="10"/>
  <c r="AF2009" i="10"/>
  <c r="AE2009" i="10"/>
  <c r="AF2008" i="10"/>
  <c r="AF2004" i="10"/>
  <c r="AE2004" i="10"/>
  <c r="AF2003" i="10"/>
  <c r="AE2003" i="10"/>
  <c r="AF2002" i="10"/>
  <c r="Q2000" i="10"/>
  <c r="BH1999" i="10"/>
  <c r="AE1998" i="10"/>
  <c r="AF1997" i="10"/>
  <c r="AE1997" i="10"/>
  <c r="AF1996" i="10"/>
  <c r="AQ1992" i="10"/>
  <c r="B1990" i="10"/>
  <c r="B1986" i="10"/>
  <c r="AB1985" i="10"/>
  <c r="AG1978" i="10"/>
  <c r="AG1977" i="10"/>
  <c r="AG1976" i="10"/>
  <c r="B1976" i="10"/>
  <c r="B1975" i="10" s="1"/>
  <c r="AG1968" i="10"/>
  <c r="AG1960" i="10"/>
  <c r="AI1958" i="10"/>
  <c r="AG1958" i="10" s="1"/>
  <c r="AI1957" i="10"/>
  <c r="AI1956" i="10"/>
  <c r="AI1964" i="10" s="1"/>
  <c r="AI1955" i="10"/>
  <c r="AI1963" i="10" s="1"/>
  <c r="AG1955" i="10"/>
  <c r="AG1952" i="10"/>
  <c r="AJ1950" i="10"/>
  <c r="AG1949" i="10"/>
  <c r="AG1948" i="10"/>
  <c r="AG1947" i="10"/>
  <c r="AG1944" i="10"/>
  <c r="BU1941" i="10"/>
  <c r="BU1940" i="10"/>
  <c r="C1940" i="10"/>
  <c r="BU1939" i="10"/>
  <c r="BU1938" i="10"/>
  <c r="AI1938" i="10"/>
  <c r="AI1939" i="10" s="1"/>
  <c r="AI1940" i="10" s="1"/>
  <c r="AI1942" i="10" s="1"/>
  <c r="AG1927" i="10"/>
  <c r="AF1927" i="10"/>
  <c r="AG1926" i="10"/>
  <c r="AF1926" i="10"/>
  <c r="AG1920" i="10"/>
  <c r="AF1920" i="10"/>
  <c r="AG1919" i="10"/>
  <c r="AF1919" i="10"/>
  <c r="AR1918" i="10"/>
  <c r="AP1918" i="10"/>
  <c r="AG1913" i="10"/>
  <c r="AF1913" i="10"/>
  <c r="AG1912" i="10"/>
  <c r="AF1912" i="10"/>
  <c r="BG1908" i="10"/>
  <c r="AG1906" i="10"/>
  <c r="AF1906" i="10"/>
  <c r="AG1905" i="10"/>
  <c r="AF1905" i="10"/>
  <c r="AG1904" i="10"/>
  <c r="AG1911" i="10" s="1"/>
  <c r="AG1918" i="10" s="1"/>
  <c r="AG1925" i="10" s="1"/>
  <c r="BL1903" i="10"/>
  <c r="AG1903" i="10"/>
  <c r="AG1910" i="10" s="1"/>
  <c r="AG1917" i="10" s="1"/>
  <c r="AG1924" i="10" s="1"/>
  <c r="BL1902" i="10"/>
  <c r="AO1902" i="10"/>
  <c r="D1893" i="10"/>
  <c r="C1893" i="10"/>
  <c r="AQ1891" i="10"/>
  <c r="AR1890" i="10"/>
  <c r="AR1889" i="10"/>
  <c r="AG1882" i="10"/>
  <c r="D1881" i="10" s="1"/>
  <c r="AG1877" i="10"/>
  <c r="D1876" i="10"/>
  <c r="AG1870" i="10"/>
  <c r="D1869" i="10"/>
  <c r="AG1863" i="10"/>
  <c r="C1863" i="10" s="1"/>
  <c r="AG1861" i="10"/>
  <c r="D1860" i="10" s="1"/>
  <c r="AL1860" i="10"/>
  <c r="AE1860" i="10"/>
  <c r="D1859" i="10"/>
  <c r="D1858" i="10"/>
  <c r="D1857" i="10"/>
  <c r="AG1855" i="10"/>
  <c r="AG1854" i="10"/>
  <c r="AE1854" i="10"/>
  <c r="D1854" i="10"/>
  <c r="AE1849" i="10"/>
  <c r="AV1845" i="10"/>
  <c r="AV2122" i="10" s="1"/>
  <c r="AT1845" i="10"/>
  <c r="AT2122" i="10" s="1"/>
  <c r="AR1845" i="10"/>
  <c r="AR2122" i="10" s="1"/>
  <c r="AP1845" i="10"/>
  <c r="AP2122" i="10" s="1"/>
  <c r="AU1844" i="10"/>
  <c r="AS1844" i="10"/>
  <c r="AQ1844" i="10"/>
  <c r="AO1844" i="10"/>
  <c r="AF1844" i="10"/>
  <c r="AE1844" i="10"/>
  <c r="AD1844" i="10"/>
  <c r="AH1844" i="10" s="1"/>
  <c r="AC1844" i="10"/>
  <c r="AU1843" i="10"/>
  <c r="AS1843" i="10"/>
  <c r="AQ1843" i="10"/>
  <c r="AO1843" i="10"/>
  <c r="AF1843" i="10"/>
  <c r="AE1843" i="10"/>
  <c r="AD1843" i="10"/>
  <c r="AH1843" i="10" s="1"/>
  <c r="AC1843" i="10"/>
  <c r="AU1842" i="10"/>
  <c r="AS1842" i="10"/>
  <c r="AQ1842" i="10"/>
  <c r="AO1842" i="10"/>
  <c r="AF1842" i="10"/>
  <c r="AE1842" i="10"/>
  <c r="AD1842" i="10"/>
  <c r="AH1842" i="10" s="1"/>
  <c r="AC1842" i="10"/>
  <c r="AU1841" i="10"/>
  <c r="AS1841" i="10"/>
  <c r="AQ1841" i="10"/>
  <c r="AO1841" i="10"/>
  <c r="AF1841" i="10"/>
  <c r="AE1841" i="10"/>
  <c r="AD1841" i="10"/>
  <c r="AC1841" i="10"/>
  <c r="AU1840" i="10"/>
  <c r="AS1840" i="10"/>
  <c r="AQ1840" i="10"/>
  <c r="AO1840" i="10"/>
  <c r="AF1840" i="10"/>
  <c r="AE1840" i="10"/>
  <c r="AD1840" i="10"/>
  <c r="AC1840" i="10"/>
  <c r="AU1839" i="10"/>
  <c r="AS1839" i="10"/>
  <c r="AQ1839" i="10"/>
  <c r="AO1839" i="10"/>
  <c r="AH1839" i="10"/>
  <c r="AF1839" i="10"/>
  <c r="AE1839" i="10"/>
  <c r="AD1839" i="10"/>
  <c r="AC1839" i="10"/>
  <c r="AU1838" i="10"/>
  <c r="AS1838" i="10"/>
  <c r="AQ1838" i="10"/>
  <c r="AO1838" i="10"/>
  <c r="AF1838" i="10"/>
  <c r="AE1838" i="10"/>
  <c r="AD1838" i="10"/>
  <c r="AC1838" i="10"/>
  <c r="AU1837" i="10"/>
  <c r="AS1837" i="10"/>
  <c r="AQ1837" i="10"/>
  <c r="AO1837" i="10"/>
  <c r="AF1837" i="10"/>
  <c r="AE1837" i="10"/>
  <c r="AD1837" i="10"/>
  <c r="AH1837" i="10" s="1"/>
  <c r="AC1837" i="10"/>
  <c r="AU1836" i="10"/>
  <c r="AS1836" i="10"/>
  <c r="AQ1836" i="10"/>
  <c r="AO1836" i="10"/>
  <c r="AF1836" i="10"/>
  <c r="AE1836" i="10"/>
  <c r="AD1836" i="10"/>
  <c r="AC1836" i="10"/>
  <c r="AU1835" i="10"/>
  <c r="AS1835" i="10"/>
  <c r="AQ1835" i="10"/>
  <c r="AO1835" i="10"/>
  <c r="AF1835" i="10"/>
  <c r="AE1835" i="10"/>
  <c r="AD1835" i="10"/>
  <c r="AH1835" i="10" s="1"/>
  <c r="AC1835" i="10"/>
  <c r="AU1834" i="10"/>
  <c r="AS1834" i="10"/>
  <c r="AQ1834" i="10"/>
  <c r="AO1834" i="10"/>
  <c r="AF1834" i="10"/>
  <c r="AE1834" i="10"/>
  <c r="AD1834" i="10"/>
  <c r="AH1834" i="10" s="1"/>
  <c r="AC1834" i="10"/>
  <c r="AU1833" i="10"/>
  <c r="AS1833" i="10"/>
  <c r="AQ1833" i="10"/>
  <c r="AO1833" i="10"/>
  <c r="AF1833" i="10"/>
  <c r="AE1833" i="10"/>
  <c r="AD1833" i="10"/>
  <c r="AC1833" i="10"/>
  <c r="AU1832" i="10"/>
  <c r="AS1832" i="10"/>
  <c r="AQ1832" i="10"/>
  <c r="AO1832" i="10"/>
  <c r="AF1832" i="10"/>
  <c r="AE1832" i="10"/>
  <c r="AD1832" i="10"/>
  <c r="AC1832" i="10"/>
  <c r="AU1831" i="10"/>
  <c r="AS1831" i="10"/>
  <c r="AQ1831" i="10"/>
  <c r="AO1831" i="10"/>
  <c r="AF1831" i="10"/>
  <c r="AE1831" i="10"/>
  <c r="AD1831" i="10"/>
  <c r="AH1831" i="10" s="1"/>
  <c r="AC1831" i="10"/>
  <c r="AU1830" i="10"/>
  <c r="AS1830" i="10"/>
  <c r="AQ1830" i="10"/>
  <c r="AO1830" i="10"/>
  <c r="AF1830" i="10"/>
  <c r="AE1830" i="10"/>
  <c r="AD1830" i="10"/>
  <c r="AH1830" i="10" s="1"/>
  <c r="AC1830" i="10"/>
  <c r="AU1829" i="10"/>
  <c r="AX1829" i="10" s="1"/>
  <c r="AS1829" i="10"/>
  <c r="AQ1829" i="10"/>
  <c r="AO1829" i="10"/>
  <c r="AH1829" i="10"/>
  <c r="AF1829" i="10"/>
  <c r="AE1829" i="10"/>
  <c r="AD1829" i="10"/>
  <c r="AC1829" i="10"/>
  <c r="AU1828" i="10"/>
  <c r="AS1828" i="10"/>
  <c r="AQ1828" i="10"/>
  <c r="AO1828" i="10"/>
  <c r="AF1828" i="10"/>
  <c r="AE1828" i="10"/>
  <c r="AD1828" i="10"/>
  <c r="AC1828" i="10"/>
  <c r="AU1827" i="10"/>
  <c r="AS1827" i="10"/>
  <c r="AQ1827" i="10"/>
  <c r="AO1827" i="10"/>
  <c r="AF1827" i="10"/>
  <c r="AE1827" i="10"/>
  <c r="AD1827" i="10"/>
  <c r="AC1827" i="10"/>
  <c r="AU1826" i="10"/>
  <c r="AS1826" i="10"/>
  <c r="AQ1826" i="10"/>
  <c r="AO1826" i="10"/>
  <c r="AF1826" i="10"/>
  <c r="AE1826" i="10"/>
  <c r="AD1826" i="10"/>
  <c r="AC1826" i="10"/>
  <c r="AU1825" i="10"/>
  <c r="AS1825" i="10"/>
  <c r="AQ1825" i="10"/>
  <c r="AO1825" i="10"/>
  <c r="AF1825" i="10"/>
  <c r="AE1825" i="10"/>
  <c r="AH1825" i="10" s="1"/>
  <c r="AD1825" i="10"/>
  <c r="AC1825" i="10"/>
  <c r="AU1824" i="10"/>
  <c r="AS1824" i="10"/>
  <c r="AQ1824" i="10"/>
  <c r="AO1824" i="10"/>
  <c r="AF1824" i="10"/>
  <c r="AE1824" i="10"/>
  <c r="AD1824" i="10"/>
  <c r="AC1824" i="10"/>
  <c r="AU1823" i="10"/>
  <c r="AS1823" i="10"/>
  <c r="AQ1823" i="10"/>
  <c r="AO1823" i="10"/>
  <c r="AF1823" i="10"/>
  <c r="AE1823" i="10"/>
  <c r="AD1823" i="10"/>
  <c r="AC1823" i="10"/>
  <c r="AU1822" i="10"/>
  <c r="AS1822" i="10"/>
  <c r="AQ1822" i="10"/>
  <c r="AO1822" i="10"/>
  <c r="AF1822" i="10"/>
  <c r="AE1822" i="10"/>
  <c r="AD1822" i="10"/>
  <c r="AC1822" i="10"/>
  <c r="AU1821" i="10"/>
  <c r="AS1821" i="10"/>
  <c r="AQ1821" i="10"/>
  <c r="AO1821" i="10"/>
  <c r="AF1821" i="10"/>
  <c r="AE1821" i="10"/>
  <c r="AD1821" i="10"/>
  <c r="AH1821" i="10" s="1"/>
  <c r="AC1821" i="10"/>
  <c r="AU1820" i="10"/>
  <c r="AS1820" i="10"/>
  <c r="AQ1820" i="10"/>
  <c r="AO1820" i="10"/>
  <c r="AF1820" i="10"/>
  <c r="AE1820" i="10"/>
  <c r="AD1820" i="10"/>
  <c r="AC1820" i="10"/>
  <c r="AU1819" i="10"/>
  <c r="AS1819" i="10"/>
  <c r="AQ1819" i="10"/>
  <c r="AO1819" i="10"/>
  <c r="AF1819" i="10"/>
  <c r="AE1819" i="10"/>
  <c r="AD1819" i="10"/>
  <c r="AH1819" i="10" s="1"/>
  <c r="AC1819" i="10"/>
  <c r="AU1818" i="10"/>
  <c r="AS1818" i="10"/>
  <c r="AQ1818" i="10"/>
  <c r="AX1818" i="10" s="1"/>
  <c r="AO1818" i="10"/>
  <c r="AF1818" i="10"/>
  <c r="AE1818" i="10"/>
  <c r="AD1818" i="10"/>
  <c r="AH1818" i="10" s="1"/>
  <c r="AC1818" i="10"/>
  <c r="AU1817" i="10"/>
  <c r="AS1817" i="10"/>
  <c r="AQ1817" i="10"/>
  <c r="AO1817" i="10"/>
  <c r="AF1817" i="10"/>
  <c r="AE1817" i="10"/>
  <c r="AD1817" i="10"/>
  <c r="AC1817" i="10"/>
  <c r="AU1816" i="10"/>
  <c r="AS1816" i="10"/>
  <c r="AQ1816" i="10"/>
  <c r="AO1816" i="10"/>
  <c r="AF1816" i="10"/>
  <c r="AE1816" i="10"/>
  <c r="AD1816" i="10"/>
  <c r="AC1816" i="10"/>
  <c r="AU1815" i="10"/>
  <c r="AS1815" i="10"/>
  <c r="AQ1815" i="10"/>
  <c r="AO1815" i="10"/>
  <c r="AF1815" i="10"/>
  <c r="AE1815" i="10"/>
  <c r="AD1815" i="10"/>
  <c r="AH1815" i="10" s="1"/>
  <c r="AC1815" i="10"/>
  <c r="AU1814" i="10"/>
  <c r="AS1814" i="10"/>
  <c r="AQ1814" i="10"/>
  <c r="AO1814" i="10"/>
  <c r="AF1814" i="10"/>
  <c r="AE1814" i="10"/>
  <c r="AD1814" i="10"/>
  <c r="AH1814" i="10" s="1"/>
  <c r="AC1814" i="10"/>
  <c r="AU1813" i="10"/>
  <c r="AS1813" i="10"/>
  <c r="AQ1813" i="10"/>
  <c r="AO1813" i="10"/>
  <c r="AF1813" i="10"/>
  <c r="AE1813" i="10"/>
  <c r="AH1813" i="10" s="1"/>
  <c r="AD1813" i="10"/>
  <c r="AC1813" i="10"/>
  <c r="AU1812" i="10"/>
  <c r="AS1812" i="10"/>
  <c r="AQ1812" i="10"/>
  <c r="AO1812" i="10"/>
  <c r="AF1812" i="10"/>
  <c r="AE1812" i="10"/>
  <c r="AD1812" i="10"/>
  <c r="AC1812" i="10"/>
  <c r="AU1811" i="10"/>
  <c r="AS1811" i="10"/>
  <c r="AQ1811" i="10"/>
  <c r="AO1811" i="10"/>
  <c r="AF1811" i="10"/>
  <c r="AE1811" i="10"/>
  <c r="AD1811" i="10"/>
  <c r="AC1811" i="10"/>
  <c r="AU1810" i="10"/>
  <c r="AS1810" i="10"/>
  <c r="AQ1810" i="10"/>
  <c r="AO1810" i="10"/>
  <c r="AF1810" i="10"/>
  <c r="AE1810" i="10"/>
  <c r="AD1810" i="10"/>
  <c r="AC1810" i="10"/>
  <c r="AU1809" i="10"/>
  <c r="AS1809" i="10"/>
  <c r="AQ1809" i="10"/>
  <c r="AO1809" i="10"/>
  <c r="AF1809" i="10"/>
  <c r="AE1809" i="10"/>
  <c r="AH1809" i="10" s="1"/>
  <c r="AD1809" i="10"/>
  <c r="AC1809" i="10"/>
  <c r="AU1808" i="10"/>
  <c r="AS1808" i="10"/>
  <c r="AQ1808" i="10"/>
  <c r="AO1808" i="10"/>
  <c r="AF1808" i="10"/>
  <c r="AE1808" i="10"/>
  <c r="AD1808" i="10"/>
  <c r="AC1808" i="10"/>
  <c r="AU1807" i="10"/>
  <c r="AS1807" i="10"/>
  <c r="AQ1807" i="10"/>
  <c r="AO1807" i="10"/>
  <c r="AF1807" i="10"/>
  <c r="AE1807" i="10"/>
  <c r="AD1807" i="10"/>
  <c r="AC1807" i="10"/>
  <c r="AU1806" i="10"/>
  <c r="AS1806" i="10"/>
  <c r="AQ1806" i="10"/>
  <c r="AO1806" i="10"/>
  <c r="AE1806" i="10"/>
  <c r="AD1806" i="10"/>
  <c r="AC1806" i="10"/>
  <c r="AU1805" i="10"/>
  <c r="AS1805" i="10"/>
  <c r="AQ1805" i="10"/>
  <c r="AO1805" i="10"/>
  <c r="AF1805" i="10"/>
  <c r="AE1805" i="10"/>
  <c r="AD1805" i="10"/>
  <c r="AH1805" i="10" s="1"/>
  <c r="AC1805" i="10"/>
  <c r="AF1787" i="10"/>
  <c r="BD1770" i="10"/>
  <c r="AL1770" i="10"/>
  <c r="BD1768" i="10"/>
  <c r="AL1768" i="10"/>
  <c r="B1737" i="10"/>
  <c r="AO1736" i="10"/>
  <c r="D1736" i="10" s="1"/>
  <c r="B1736" i="10"/>
  <c r="B1731" i="10"/>
  <c r="AO1730" i="10"/>
  <c r="D1730" i="10"/>
  <c r="B1730" i="10"/>
  <c r="B1725" i="10"/>
  <c r="AO1724" i="10"/>
  <c r="D1724" i="10"/>
  <c r="B1724" i="10"/>
  <c r="B1719" i="10"/>
  <c r="AO1718" i="10"/>
  <c r="D1718" i="10" s="1"/>
  <c r="B1718" i="10"/>
  <c r="B1713" i="10"/>
  <c r="AO1712" i="10"/>
  <c r="D1712" i="10" s="1"/>
  <c r="B1712" i="10"/>
  <c r="AE1695" i="10"/>
  <c r="AD1695" i="10"/>
  <c r="AC1695" i="10"/>
  <c r="AD1694" i="10"/>
  <c r="AD1693" i="10"/>
  <c r="AD1692" i="10"/>
  <c r="AD1691" i="10"/>
  <c r="AD1690" i="10"/>
  <c r="AQ1689" i="10"/>
  <c r="AI1689" i="10" s="1"/>
  <c r="C1688" i="10"/>
  <c r="AE1685" i="10"/>
  <c r="AD1685" i="10"/>
  <c r="AC1685" i="10"/>
  <c r="AD1684" i="10"/>
  <c r="AD1683" i="10"/>
  <c r="AD1682" i="10"/>
  <c r="AD1681" i="10"/>
  <c r="AD1680" i="10"/>
  <c r="AQ1679" i="10"/>
  <c r="AI1679" i="10"/>
  <c r="C1678" i="10"/>
  <c r="AE1675" i="10"/>
  <c r="AD1675" i="10"/>
  <c r="AC1675" i="10"/>
  <c r="AD1674" i="10"/>
  <c r="AD1673" i="10"/>
  <c r="AD1672" i="10"/>
  <c r="CB1671" i="10"/>
  <c r="BZ1671" i="10"/>
  <c r="AD1671" i="10"/>
  <c r="BZ1670" i="10"/>
  <c r="CB1670" i="10" s="1"/>
  <c r="AD1670" i="10"/>
  <c r="CB1669" i="10"/>
  <c r="AQ1669" i="10"/>
  <c r="AI1669" i="10" s="1"/>
  <c r="C1668" i="10"/>
  <c r="AE1665" i="10"/>
  <c r="AD1665" i="10"/>
  <c r="AC1665" i="10"/>
  <c r="AD1664" i="10"/>
  <c r="AD1663" i="10"/>
  <c r="AD1662" i="10"/>
  <c r="AD1661" i="10"/>
  <c r="AD1660" i="10"/>
  <c r="AQ1659" i="10"/>
  <c r="AI1659" i="10" s="1"/>
  <c r="AC1659" i="10"/>
  <c r="C1659" i="10" s="1"/>
  <c r="C1658" i="10"/>
  <c r="AE1655" i="10"/>
  <c r="AD1655" i="10"/>
  <c r="AC1655" i="10"/>
  <c r="AD1654" i="10"/>
  <c r="BF1653" i="10"/>
  <c r="AD1653" i="10"/>
  <c r="BF1652" i="10"/>
  <c r="AD1652" i="10"/>
  <c r="BF1651" i="10"/>
  <c r="AD1651" i="10"/>
  <c r="BJ1650" i="10"/>
  <c r="BH1650" i="10"/>
  <c r="BF1650" i="10"/>
  <c r="AD1650" i="10"/>
  <c r="BJ1649" i="10"/>
  <c r="BH1649" i="10"/>
  <c r="AQ1649" i="10"/>
  <c r="AI1649" i="10" s="1"/>
  <c r="BJ1648" i="10"/>
  <c r="BH1648" i="10"/>
  <c r="BF1648" i="10"/>
  <c r="BJ1647" i="10"/>
  <c r="BH1647" i="10"/>
  <c r="BF1647" i="10"/>
  <c r="BJ1646" i="10"/>
  <c r="BH1646" i="10"/>
  <c r="BF1646" i="10"/>
  <c r="BJ1645" i="10"/>
  <c r="BH1645" i="10"/>
  <c r="BF1645" i="10"/>
  <c r="AE1645" i="10"/>
  <c r="AD1645" i="10"/>
  <c r="AC1645" i="10"/>
  <c r="BJ1644" i="10"/>
  <c r="BH1644" i="10"/>
  <c r="AD1644" i="10"/>
  <c r="BJ1643" i="10"/>
  <c r="BH1643" i="10"/>
  <c r="BF1643" i="10"/>
  <c r="AD1643" i="10"/>
  <c r="BJ1642" i="10"/>
  <c r="BH1642" i="10"/>
  <c r="BF1642" i="10"/>
  <c r="AD1642" i="10"/>
  <c r="CG1641" i="10"/>
  <c r="CD1641" i="10"/>
  <c r="CE1641" i="10" s="1"/>
  <c r="BZ1641" i="10"/>
  <c r="BJ1641" i="10"/>
  <c r="BH1641" i="10"/>
  <c r="BF1641" i="10"/>
  <c r="AD1641" i="10"/>
  <c r="CD1640" i="10"/>
  <c r="CE1640" i="10" s="1"/>
  <c r="CB1640" i="10" s="1"/>
  <c r="BZ1640" i="10"/>
  <c r="BJ1640" i="10"/>
  <c r="BH1640" i="10"/>
  <c r="BF1640" i="10"/>
  <c r="AD1640" i="10"/>
  <c r="CI1639" i="10"/>
  <c r="BJ1639" i="10"/>
  <c r="BH1639" i="10"/>
  <c r="AQ1639" i="10"/>
  <c r="AI1639" i="10"/>
  <c r="AH1591" i="10"/>
  <c r="D1591" i="10"/>
  <c r="C1591" i="10"/>
  <c r="AC1588" i="10"/>
  <c r="AC1587" i="10"/>
  <c r="D1587" i="10"/>
  <c r="AH1587" i="10" s="1"/>
  <c r="C1587" i="10"/>
  <c r="D1581" i="10"/>
  <c r="AH1581" i="10" s="1"/>
  <c r="C1581" i="10"/>
  <c r="AC1578" i="10"/>
  <c r="AH1577" i="10"/>
  <c r="D1577" i="10"/>
  <c r="C1577" i="10"/>
  <c r="AC1577" i="10" s="1"/>
  <c r="D1571" i="10"/>
  <c r="AH1571" i="10" s="1"/>
  <c r="C1571" i="10"/>
  <c r="AC1568" i="10"/>
  <c r="D1567" i="10"/>
  <c r="AH1567" i="10" s="1"/>
  <c r="C1567" i="10"/>
  <c r="AC1567" i="10" s="1"/>
  <c r="D1561" i="10"/>
  <c r="AH1561" i="10" s="1"/>
  <c r="C1561" i="10"/>
  <c r="AC1558" i="10"/>
  <c r="D1557" i="10"/>
  <c r="AH1557" i="10" s="1"/>
  <c r="C1557" i="10"/>
  <c r="AC1557" i="10" s="1"/>
  <c r="AH1551" i="10"/>
  <c r="D1551" i="10"/>
  <c r="C1551" i="10"/>
  <c r="AC1548" i="10"/>
  <c r="D1547" i="10"/>
  <c r="AH1547" i="10" s="1"/>
  <c r="C1547" i="10"/>
  <c r="AC1547" i="10" s="1"/>
  <c r="D1541" i="10"/>
  <c r="AH1541" i="10" s="1"/>
  <c r="C1541" i="10"/>
  <c r="AC1538" i="10"/>
  <c r="AH1537" i="10"/>
  <c r="D1537" i="10"/>
  <c r="C1537" i="10"/>
  <c r="AC1537" i="10" s="1"/>
  <c r="D1531" i="10"/>
  <c r="AH1531" i="10" s="1"/>
  <c r="C1531" i="10"/>
  <c r="AC1528" i="10"/>
  <c r="D1527" i="10"/>
  <c r="AH1527" i="10" s="1"/>
  <c r="C1527" i="10"/>
  <c r="AC1527" i="10" s="1"/>
  <c r="D1521" i="10"/>
  <c r="AH1521" i="10" s="1"/>
  <c r="C1521" i="10"/>
  <c r="AC1518" i="10"/>
  <c r="D1517" i="10"/>
  <c r="AH1517" i="10" s="1"/>
  <c r="C1517" i="10"/>
  <c r="AC1517" i="10" s="1"/>
  <c r="AH1511" i="10"/>
  <c r="D1511" i="10"/>
  <c r="C1511" i="10"/>
  <c r="AC1508" i="10"/>
  <c r="D1507" i="10"/>
  <c r="AH1507" i="10" s="1"/>
  <c r="C1507" i="10"/>
  <c r="AC1507" i="10" s="1"/>
  <c r="D1501" i="10"/>
  <c r="AH1501" i="10" s="1"/>
  <c r="C1501" i="10"/>
  <c r="AC1498" i="10"/>
  <c r="AH1497" i="10"/>
  <c r="D1497" i="10"/>
  <c r="C1497" i="10"/>
  <c r="AC1497" i="10" s="1"/>
  <c r="D1491" i="10"/>
  <c r="AH1491" i="10" s="1"/>
  <c r="C1491" i="10"/>
  <c r="AC1488" i="10"/>
  <c r="D1487" i="10"/>
  <c r="AH1487" i="10" s="1"/>
  <c r="C1487" i="10"/>
  <c r="AC1487" i="10" s="1"/>
  <c r="AH1481" i="10"/>
  <c r="D1481" i="10"/>
  <c r="C1481" i="10"/>
  <c r="AC1478" i="10"/>
  <c r="AC1477" i="10"/>
  <c r="D1477" i="10"/>
  <c r="AH1477" i="10" s="1"/>
  <c r="C1477" i="10"/>
  <c r="D1471" i="10"/>
  <c r="AH1471" i="10" s="1"/>
  <c r="C1471" i="10"/>
  <c r="AC1468" i="10"/>
  <c r="AH1467" i="10"/>
  <c r="D1467" i="10"/>
  <c r="C1467" i="10"/>
  <c r="AC1467" i="10" s="1"/>
  <c r="D1461" i="10"/>
  <c r="AH1461" i="10" s="1"/>
  <c r="C1461" i="10"/>
  <c r="AC1458" i="10"/>
  <c r="D1457" i="10"/>
  <c r="AH1457" i="10" s="1"/>
  <c r="C1457" i="10"/>
  <c r="AC1457" i="10" s="1"/>
  <c r="D1451" i="10"/>
  <c r="AH1451" i="10" s="1"/>
  <c r="C1451" i="10"/>
  <c r="AC1448" i="10"/>
  <c r="AC1447" i="10"/>
  <c r="D1447" i="10"/>
  <c r="AH1447" i="10" s="1"/>
  <c r="C1447" i="10"/>
  <c r="D1441" i="10"/>
  <c r="AH1441" i="10" s="1"/>
  <c r="C1441" i="10"/>
  <c r="AC1438" i="10"/>
  <c r="D1437" i="10"/>
  <c r="AH1437" i="10" s="1"/>
  <c r="C1437" i="10"/>
  <c r="AC1437" i="10" s="1"/>
  <c r="AH1431" i="10"/>
  <c r="D1431" i="10"/>
  <c r="C1431" i="10"/>
  <c r="AC1428" i="10"/>
  <c r="D1427" i="10"/>
  <c r="AH1427" i="10" s="1"/>
  <c r="C1427" i="10"/>
  <c r="AC1427" i="10" s="1"/>
  <c r="D1421" i="10"/>
  <c r="AH1421" i="10" s="1"/>
  <c r="C1421" i="10"/>
  <c r="AE1418" i="10"/>
  <c r="AC1418" i="10"/>
  <c r="D1417" i="10"/>
  <c r="AH1417" i="10" s="1"/>
  <c r="C1417" i="10"/>
  <c r="AC1417" i="10" s="1"/>
  <c r="D1411" i="10"/>
  <c r="AH1411" i="10" s="1"/>
  <c r="C1411" i="10"/>
  <c r="AC1408" i="10"/>
  <c r="AH1407" i="10"/>
  <c r="D1407" i="10"/>
  <c r="C1407" i="10"/>
  <c r="AC1407" i="10" s="1"/>
  <c r="D1401" i="10"/>
  <c r="AH1401" i="10" s="1"/>
  <c r="C1401" i="10"/>
  <c r="AC1398" i="10"/>
  <c r="D1397" i="10"/>
  <c r="AH1397" i="10" s="1"/>
  <c r="C1397" i="10"/>
  <c r="AC1397" i="10" s="1"/>
  <c r="D1391" i="10"/>
  <c r="AH1391" i="10" s="1"/>
  <c r="C1391" i="10"/>
  <c r="AC1388" i="10"/>
  <c r="D1387" i="10"/>
  <c r="AH1387" i="10" s="1"/>
  <c r="C1387" i="10"/>
  <c r="AC1387" i="10" s="1"/>
  <c r="D1381" i="10"/>
  <c r="AH1381" i="10" s="1"/>
  <c r="C1381" i="10"/>
  <c r="AC1378" i="10"/>
  <c r="AC1377" i="10"/>
  <c r="D1377" i="10"/>
  <c r="AH1377" i="10" s="1"/>
  <c r="C1377" i="10"/>
  <c r="D1371" i="10"/>
  <c r="AH1371" i="10" s="1"/>
  <c r="C1371" i="10"/>
  <c r="AS1369" i="10"/>
  <c r="AC1368" i="10"/>
  <c r="D1367" i="10"/>
  <c r="AH1367" i="10" s="1"/>
  <c r="C1367" i="10"/>
  <c r="AC1367" i="10" s="1"/>
  <c r="AX1361" i="10"/>
  <c r="AS1360" i="10" s="1"/>
  <c r="D1361" i="10"/>
  <c r="AH1361" i="10" s="1"/>
  <c r="C1361" i="10"/>
  <c r="D1359" i="10"/>
  <c r="AC1358" i="10"/>
  <c r="AE1408" i="10" s="1"/>
  <c r="D1357" i="10"/>
  <c r="AH1357" i="10" s="1"/>
  <c r="C1357" i="10"/>
  <c r="A1357" i="10" s="1"/>
  <c r="A1367" i="10" s="1"/>
  <c r="AC1355" i="10"/>
  <c r="AI1355" i="10" s="1"/>
  <c r="AJ1353" i="10"/>
  <c r="B1353" i="10"/>
  <c r="BN1352" i="10"/>
  <c r="B1254" i="10"/>
  <c r="B1253" i="10"/>
  <c r="B1252" i="10"/>
  <c r="B1251" i="10"/>
  <c r="B1246" i="10"/>
  <c r="B1245" i="10"/>
  <c r="B1244" i="10"/>
  <c r="B1243" i="10"/>
  <c r="B1237" i="10"/>
  <c r="AG1236" i="10"/>
  <c r="B1236" i="10" s="1"/>
  <c r="AG1235" i="10"/>
  <c r="B1235" i="10" s="1"/>
  <c r="B1234" i="10"/>
  <c r="AG1229" i="10"/>
  <c r="B1229" i="10" s="1"/>
  <c r="AG1228" i="10"/>
  <c r="B1228" i="10" s="1"/>
  <c r="AG1227" i="10"/>
  <c r="B1227" i="10" s="1"/>
  <c r="AG1226" i="10"/>
  <c r="B1226" i="10" s="1"/>
  <c r="AG1225" i="10"/>
  <c r="B1225" i="10" s="1"/>
  <c r="AG1224" i="10"/>
  <c r="B1224" i="10" s="1"/>
  <c r="AG1223" i="10"/>
  <c r="B1223" i="10" s="1"/>
  <c r="AG1222" i="10"/>
  <c r="B1222" i="10" s="1"/>
  <c r="B1221" i="10"/>
  <c r="BB1212" i="10"/>
  <c r="BB1211" i="10" s="1"/>
  <c r="BH1211" i="10" s="1"/>
  <c r="AH1211" i="10"/>
  <c r="AM1211" i="10" s="1"/>
  <c r="B1211" i="10" s="1"/>
  <c r="BB1209" i="10"/>
  <c r="BB1208" i="10" s="1"/>
  <c r="BH1208" i="10" s="1"/>
  <c r="AM1208" i="10"/>
  <c r="B1208" i="10" s="1"/>
  <c r="AH1208" i="10"/>
  <c r="BB1206" i="10"/>
  <c r="BB1205" i="10" s="1"/>
  <c r="BH1205" i="10" s="1"/>
  <c r="AH1205" i="10"/>
  <c r="AM1205" i="10" s="1"/>
  <c r="B1205" i="10" s="1"/>
  <c r="BD1203" i="10"/>
  <c r="BD1202" i="10" s="1"/>
  <c r="BJ1202" i="10" s="1"/>
  <c r="BB1203" i="10"/>
  <c r="BB1202" i="10" s="1"/>
  <c r="BH1202" i="10" s="1"/>
  <c r="AJ1202" i="10"/>
  <c r="AM1202" i="10" s="1"/>
  <c r="B1202" i="10" s="1"/>
  <c r="AH1202" i="10"/>
  <c r="BB1200" i="10"/>
  <c r="BB1199" i="10" s="1"/>
  <c r="BH1199" i="10" s="1"/>
  <c r="AH1199" i="10"/>
  <c r="AM1199" i="10" s="1"/>
  <c r="B1199" i="10" s="1"/>
  <c r="BD1197" i="10"/>
  <c r="BD1196" i="10" s="1"/>
  <c r="BJ1196" i="10" s="1"/>
  <c r="BB1197" i="10"/>
  <c r="BB1196" i="10" s="1"/>
  <c r="BH1196" i="10" s="1"/>
  <c r="AJ1196" i="10"/>
  <c r="AH1196" i="10"/>
  <c r="AM1196" i="10" s="1"/>
  <c r="B1196" i="10" s="1"/>
  <c r="BB1194" i="10"/>
  <c r="BB1193" i="10" s="1"/>
  <c r="BH1193" i="10" s="1"/>
  <c r="AM1193" i="10"/>
  <c r="B1193" i="10" s="1"/>
  <c r="AH1193" i="10"/>
  <c r="BD1191" i="10"/>
  <c r="BD1190" i="10" s="1"/>
  <c r="BB1191" i="10"/>
  <c r="BB1190" i="10" s="1"/>
  <c r="BH1190" i="10" s="1"/>
  <c r="AM1190" i="10"/>
  <c r="AJ1190" i="10"/>
  <c r="AH1190" i="10"/>
  <c r="B1190" i="10"/>
  <c r="BD1188" i="10"/>
  <c r="BD1187" i="10" s="1"/>
  <c r="BJ1187" i="10" s="1"/>
  <c r="BB1188" i="10"/>
  <c r="BB1187" i="10" s="1"/>
  <c r="BH1187" i="10" s="1"/>
  <c r="AJ1187" i="10"/>
  <c r="AH1187" i="10"/>
  <c r="AM1187" i="10" s="1"/>
  <c r="B1187" i="10" s="1"/>
  <c r="BB1185" i="10"/>
  <c r="BB1184" i="10" s="1"/>
  <c r="BH1184" i="10" s="1"/>
  <c r="AH1184" i="10"/>
  <c r="AM1184" i="10" s="1"/>
  <c r="B1184" i="10" s="1"/>
  <c r="BD1182" i="10"/>
  <c r="BD1181" i="10" s="1"/>
  <c r="BJ1181" i="10" s="1"/>
  <c r="BB1182" i="10"/>
  <c r="BB1181" i="10" s="1"/>
  <c r="BH1181" i="10" s="1"/>
  <c r="AJ1181" i="10"/>
  <c r="AH1181" i="10"/>
  <c r="AM1181" i="10" s="1"/>
  <c r="B1181" i="10" s="1"/>
  <c r="BD1179" i="10"/>
  <c r="BD1178" i="10" s="1"/>
  <c r="BJ1178" i="10" s="1"/>
  <c r="BB1179" i="10"/>
  <c r="BB1178" i="10" s="1"/>
  <c r="BH1178" i="10" s="1"/>
  <c r="AJ1178" i="10"/>
  <c r="AH1178" i="10"/>
  <c r="AM1178" i="10" s="1"/>
  <c r="B1178" i="10" s="1"/>
  <c r="AR1176" i="10"/>
  <c r="AL1176" i="10"/>
  <c r="AL1175" i="10"/>
  <c r="AR1175" i="10" s="1"/>
  <c r="AL1174" i="10"/>
  <c r="AR1174" i="10" s="1"/>
  <c r="AR1173" i="10"/>
  <c r="AC1171" i="10" s="1"/>
  <c r="C1174" i="10" s="1"/>
  <c r="AL1173" i="10"/>
  <c r="AL1172" i="10"/>
  <c r="AR1172" i="10" s="1"/>
  <c r="C1172" i="10"/>
  <c r="AX1171" i="10"/>
  <c r="AR1208" i="10" s="1"/>
  <c r="BP1167" i="10"/>
  <c r="BR1167" i="10" s="1"/>
  <c r="BL1167" i="10"/>
  <c r="BN1167" i="10" s="1"/>
  <c r="BQ1166" i="10"/>
  <c r="AJ1129" i="10"/>
  <c r="D1129" i="10" s="1"/>
  <c r="D1113" i="10"/>
  <c r="D1116" i="10" s="1"/>
  <c r="AG1102" i="10"/>
  <c r="C1090" i="10"/>
  <c r="AF1092" i="10" s="1"/>
  <c r="AF1089" i="10"/>
  <c r="AF1086" i="10"/>
  <c r="AG1085" i="10"/>
  <c r="C1085" i="10"/>
  <c r="AF1088" i="10" s="1"/>
  <c r="C1080" i="10"/>
  <c r="AF1083" i="10" s="1"/>
  <c r="AF1079" i="10"/>
  <c r="AF1076" i="10"/>
  <c r="C1075" i="10"/>
  <c r="C1070" i="10"/>
  <c r="AF1073" i="10" s="1"/>
  <c r="AF1069" i="10"/>
  <c r="AG1065" i="10"/>
  <c r="C1065" i="10"/>
  <c r="C1060" i="10"/>
  <c r="AF1063" i="10" s="1"/>
  <c r="AF1056" i="10"/>
  <c r="AG1055" i="10"/>
  <c r="C1055" i="10"/>
  <c r="C1050" i="10"/>
  <c r="AF1053" i="10" s="1"/>
  <c r="AF1049" i="10"/>
  <c r="AF1046" i="10"/>
  <c r="AG1045" i="10"/>
  <c r="C1045" i="10"/>
  <c r="AF1048" i="10" s="1"/>
  <c r="C1040" i="10"/>
  <c r="AF1043" i="10" s="1"/>
  <c r="AF1039" i="10"/>
  <c r="AF1036" i="10"/>
  <c r="C1035" i="10"/>
  <c r="C1030" i="10"/>
  <c r="AF1033" i="10" s="1"/>
  <c r="AF1029" i="10"/>
  <c r="AG1025" i="10"/>
  <c r="C1025" i="10"/>
  <c r="C1020" i="10"/>
  <c r="AF1023" i="10" s="1"/>
  <c r="AF1016" i="10"/>
  <c r="AG1015" i="10"/>
  <c r="C1015" i="10"/>
  <c r="C1010" i="10"/>
  <c r="AF1013" i="10" s="1"/>
  <c r="AF1009" i="10"/>
  <c r="AF1006" i="10"/>
  <c r="AG1005" i="10"/>
  <c r="C1005" i="10"/>
  <c r="AF1008" i="10" s="1"/>
  <c r="C1000" i="10"/>
  <c r="AF1003" i="10" s="1"/>
  <c r="C995" i="10"/>
  <c r="AF996" i="10" s="1"/>
  <c r="C990" i="10"/>
  <c r="AF993" i="10" s="1"/>
  <c r="D989" i="10"/>
  <c r="B987" i="10"/>
  <c r="AD978" i="10"/>
  <c r="AC978" i="10"/>
  <c r="AC977" i="10"/>
  <c r="AE970" i="10"/>
  <c r="AF962" i="10"/>
  <c r="AE962" i="10"/>
  <c r="AF958" i="10"/>
  <c r="AE958" i="10"/>
  <c r="AE955" i="10"/>
  <c r="AE954" i="10"/>
  <c r="AF950" i="10"/>
  <c r="AF970" i="10" s="1"/>
  <c r="AE950" i="10"/>
  <c r="AD950" i="10"/>
  <c r="AD958" i="10" s="1"/>
  <c r="AC950" i="10"/>
  <c r="AC973" i="10" s="1"/>
  <c r="B944" i="10"/>
  <c r="AB926" i="10"/>
  <c r="AR922" i="10"/>
  <c r="AB922" i="10"/>
  <c r="AB920" i="10"/>
  <c r="C920" i="10"/>
  <c r="BI1943" i="10" s="1"/>
  <c r="AB919" i="10"/>
  <c r="C919" i="10"/>
  <c r="C72" i="10" s="1"/>
  <c r="B72" i="10" s="1"/>
  <c r="AB918" i="10"/>
  <c r="C918" i="10"/>
  <c r="AB917" i="10"/>
  <c r="C917" i="10"/>
  <c r="AB916" i="10"/>
  <c r="C916" i="10"/>
  <c r="BK1938" i="10" s="1"/>
  <c r="AB915" i="10"/>
  <c r="C915" i="10"/>
  <c r="BN19" i="10" s="1"/>
  <c r="BK19" i="10" s="1"/>
  <c r="AB914" i="10"/>
  <c r="C914" i="10"/>
  <c r="AB913" i="10"/>
  <c r="C913" i="10"/>
  <c r="BN17" i="10" s="1"/>
  <c r="AB909" i="10"/>
  <c r="AK891" i="10"/>
  <c r="BA899" i="10" s="1"/>
  <c r="AD891" i="10"/>
  <c r="AE891" i="10" s="1"/>
  <c r="AF891" i="10" s="1"/>
  <c r="AG891" i="10" s="1"/>
  <c r="AH891" i="10" s="1"/>
  <c r="AI891" i="10" s="1"/>
  <c r="AI890" i="10"/>
  <c r="AI893" i="10" s="1"/>
  <c r="AH890" i="10"/>
  <c r="AH896" i="10" s="1"/>
  <c r="AG890" i="10"/>
  <c r="AG896" i="10" s="1"/>
  <c r="AF890" i="10"/>
  <c r="AF896" i="10" s="1"/>
  <c r="AE890" i="10"/>
  <c r="AE896" i="10" s="1"/>
  <c r="AD890" i="10"/>
  <c r="AD896" i="10" s="1"/>
  <c r="AC890" i="10"/>
  <c r="AC896" i="10" s="1"/>
  <c r="AD886" i="10"/>
  <c r="AD885" i="10"/>
  <c r="AF881" i="10"/>
  <c r="AG881" i="10" s="1"/>
  <c r="AE881" i="10"/>
  <c r="AD881" i="10"/>
  <c r="AG880" i="10"/>
  <c r="AG887" i="10" s="1"/>
  <c r="AF880" i="10"/>
  <c r="AF887" i="10" s="1"/>
  <c r="AE880" i="10"/>
  <c r="AE887" i="10" s="1"/>
  <c r="AD880" i="10"/>
  <c r="AD884" i="10" s="1"/>
  <c r="AC880" i="10"/>
  <c r="AC887" i="10" s="1"/>
  <c r="AS872" i="10"/>
  <c r="BD872" i="10" s="1"/>
  <c r="BF872" i="10" s="1"/>
  <c r="AS869" i="10"/>
  <c r="BD869" i="10" s="1"/>
  <c r="BF869" i="10" s="1"/>
  <c r="BJ864" i="10"/>
  <c r="BI865" i="10" s="1"/>
  <c r="BJ865" i="10" s="1"/>
  <c r="BI864" i="10"/>
  <c r="AS863" i="10"/>
  <c r="BD863" i="10" s="1"/>
  <c r="BF863" i="10" s="1"/>
  <c r="BJ862" i="10"/>
  <c r="BI862" i="10"/>
  <c r="AS862" i="10"/>
  <c r="BD862" i="10" s="1"/>
  <c r="BF862" i="10" s="1"/>
  <c r="AS861" i="10"/>
  <c r="AF861" i="10"/>
  <c r="AP859" i="10"/>
  <c r="AO859" i="10"/>
  <c r="AO870" i="10" s="1"/>
  <c r="AN859" i="10"/>
  <c r="AN872" i="10" s="1"/>
  <c r="AM859" i="10"/>
  <c r="AM870" i="10" s="1"/>
  <c r="AL859" i="10"/>
  <c r="AL872" i="10" s="1"/>
  <c r="AK859" i="10"/>
  <c r="AK870" i="10" s="1"/>
  <c r="AJ859" i="10"/>
  <c r="AJ872" i="10" s="1"/>
  <c r="AI859" i="10"/>
  <c r="AI870" i="10" s="1"/>
  <c r="AF859" i="10"/>
  <c r="AE859" i="10"/>
  <c r="AE872" i="10" s="1"/>
  <c r="AD859" i="10"/>
  <c r="AD869" i="10" s="1"/>
  <c r="AC859" i="10"/>
  <c r="AC872" i="10" s="1"/>
  <c r="AJ858" i="10"/>
  <c r="AK858" i="10" s="1"/>
  <c r="AL858" i="10" s="1"/>
  <c r="AM858" i="10" s="1"/>
  <c r="AN858" i="10" s="1"/>
  <c r="AO858" i="10" s="1"/>
  <c r="AP858" i="10" s="1"/>
  <c r="AD858" i="10"/>
  <c r="AE858" i="10" s="1"/>
  <c r="AF858" i="10" s="1"/>
  <c r="AI853" i="10"/>
  <c r="AH853" i="10"/>
  <c r="AG853" i="10"/>
  <c r="AE853" i="10"/>
  <c r="AD853" i="10"/>
  <c r="AC853" i="10"/>
  <c r="AI852" i="10"/>
  <c r="AH852" i="10"/>
  <c r="AG852" i="10"/>
  <c r="AE852" i="10"/>
  <c r="AD852" i="10"/>
  <c r="AC852" i="10"/>
  <c r="AI851" i="10"/>
  <c r="AH851" i="10"/>
  <c r="AG851" i="10"/>
  <c r="AE851" i="10"/>
  <c r="AD851" i="10"/>
  <c r="AC851" i="10"/>
  <c r="AI850" i="10"/>
  <c r="AH850" i="10"/>
  <c r="AG850" i="10"/>
  <c r="AE850" i="10"/>
  <c r="AD850" i="10"/>
  <c r="AC850" i="10"/>
  <c r="AS849" i="10"/>
  <c r="AI849" i="10"/>
  <c r="AH849" i="10"/>
  <c r="AG849" i="10"/>
  <c r="AE849" i="10"/>
  <c r="AD849" i="10"/>
  <c r="AC849" i="10"/>
  <c r="AI848" i="10"/>
  <c r="AH848" i="10"/>
  <c r="AG848" i="10"/>
  <c r="AE848" i="10"/>
  <c r="AD848" i="10"/>
  <c r="AC848" i="10"/>
  <c r="AI847" i="10"/>
  <c r="AH847" i="10"/>
  <c r="AG847" i="10"/>
  <c r="AE847" i="10"/>
  <c r="AD847" i="10"/>
  <c r="AC847" i="10"/>
  <c r="AI846" i="10"/>
  <c r="AH846" i="10"/>
  <c r="AG846" i="10"/>
  <c r="AE846" i="10"/>
  <c r="AD846" i="10"/>
  <c r="AC846" i="10"/>
  <c r="AI845" i="10"/>
  <c r="AH845" i="10"/>
  <c r="AG845" i="10"/>
  <c r="AE845" i="10"/>
  <c r="AD845" i="10"/>
  <c r="AC845" i="10"/>
  <c r="AI844" i="10"/>
  <c r="AH844" i="10"/>
  <c r="AG844" i="10"/>
  <c r="AE844" i="10"/>
  <c r="AD844" i="10"/>
  <c r="AC844" i="10"/>
  <c r="AI843" i="10"/>
  <c r="AH843" i="10"/>
  <c r="AG843" i="10"/>
  <c r="AE843" i="10"/>
  <c r="AD843" i="10"/>
  <c r="AC843" i="10"/>
  <c r="AI842" i="10"/>
  <c r="AH842" i="10"/>
  <c r="AG842" i="10"/>
  <c r="AE842" i="10"/>
  <c r="AD842" i="10"/>
  <c r="AC842" i="10"/>
  <c r="AI841" i="10"/>
  <c r="AJ841" i="10" s="1"/>
  <c r="AH841" i="10"/>
  <c r="AG841" i="10"/>
  <c r="AE841" i="10"/>
  <c r="AD841" i="10"/>
  <c r="AC841" i="10"/>
  <c r="AI840" i="10"/>
  <c r="AH840" i="10"/>
  <c r="AG840" i="10"/>
  <c r="AE840" i="10"/>
  <c r="AD840" i="10"/>
  <c r="AC840" i="10"/>
  <c r="AI839" i="10"/>
  <c r="AJ839" i="10" s="1"/>
  <c r="AH839" i="10"/>
  <c r="AG839" i="10"/>
  <c r="AE839" i="10"/>
  <c r="AD839" i="10"/>
  <c r="AC839" i="10"/>
  <c r="AI838" i="10"/>
  <c r="AH838" i="10"/>
  <c r="AG838" i="10"/>
  <c r="AE838" i="10"/>
  <c r="AD838" i="10"/>
  <c r="AC838" i="10"/>
  <c r="AI837" i="10"/>
  <c r="AJ837" i="10" s="1"/>
  <c r="AH837" i="10"/>
  <c r="AG837" i="10"/>
  <c r="AE837" i="10"/>
  <c r="AD837" i="10"/>
  <c r="AC837" i="10"/>
  <c r="AI836" i="10"/>
  <c r="AH836" i="10"/>
  <c r="AG836" i="10"/>
  <c r="AE836" i="10"/>
  <c r="AD836" i="10"/>
  <c r="AC836" i="10"/>
  <c r="AT835" i="10"/>
  <c r="AT836" i="10" s="1"/>
  <c r="AS835" i="10"/>
  <c r="AI835" i="10"/>
  <c r="AH835" i="10"/>
  <c r="AG835" i="10"/>
  <c r="AE835" i="10"/>
  <c r="AD835" i="10"/>
  <c r="AC835" i="10"/>
  <c r="AI834" i="10"/>
  <c r="AH834" i="10"/>
  <c r="AG834" i="10"/>
  <c r="AE834" i="10"/>
  <c r="AD834" i="10"/>
  <c r="AC834" i="10"/>
  <c r="AV817" i="10"/>
  <c r="AS817" i="10"/>
  <c r="AQ817" i="10"/>
  <c r="AO817" i="10"/>
  <c r="AM817" i="10"/>
  <c r="AK817" i="10"/>
  <c r="AI817" i="10"/>
  <c r="AG817" i="10"/>
  <c r="AV816" i="10"/>
  <c r="AS816" i="10"/>
  <c r="AQ816" i="10"/>
  <c r="AO816" i="10"/>
  <c r="AM816" i="10"/>
  <c r="AK816" i="10"/>
  <c r="AI816" i="10"/>
  <c r="AG816" i="10"/>
  <c r="AZ815" i="10"/>
  <c r="AX816" i="10" s="1"/>
  <c r="AX815" i="10"/>
  <c r="AV815" i="10"/>
  <c r="AS815" i="10"/>
  <c r="AQ815" i="10"/>
  <c r="AO815" i="10"/>
  <c r="AM815" i="10"/>
  <c r="AK815" i="10"/>
  <c r="AI815" i="10"/>
  <c r="AG815" i="10"/>
  <c r="AZ814" i="10"/>
  <c r="AX814" i="10"/>
  <c r="AV814" i="10"/>
  <c r="AS814" i="10"/>
  <c r="AQ814" i="10"/>
  <c r="AO814" i="10"/>
  <c r="AM814" i="10"/>
  <c r="AK814" i="10"/>
  <c r="AI814" i="10"/>
  <c r="AG814" i="10"/>
  <c r="AV813" i="10"/>
  <c r="AS813" i="10"/>
  <c r="AQ813" i="10"/>
  <c r="AO813" i="10"/>
  <c r="AM813" i="10"/>
  <c r="AK813" i="10"/>
  <c r="AI813" i="10"/>
  <c r="AG813" i="10"/>
  <c r="A813" i="10"/>
  <c r="A3077" i="10" s="1"/>
  <c r="AV812" i="10"/>
  <c r="AU781" i="10"/>
  <c r="AT781" i="10"/>
  <c r="AS781" i="10"/>
  <c r="AR781" i="10"/>
  <c r="AQ781" i="10"/>
  <c r="AP781" i="10"/>
  <c r="AO781" i="10"/>
  <c r="AN781" i="10"/>
  <c r="AL781" i="10"/>
  <c r="AK781" i="10"/>
  <c r="AJ781" i="10"/>
  <c r="AI781" i="10"/>
  <c r="AH781" i="10"/>
  <c r="AG781" i="10"/>
  <c r="AE781" i="10"/>
  <c r="AD781" i="10"/>
  <c r="AC781" i="10"/>
  <c r="AB781" i="10"/>
  <c r="D780" i="10"/>
  <c r="C780" i="10"/>
  <c r="B780" i="10"/>
  <c r="AE779" i="10"/>
  <c r="AC779" i="10"/>
  <c r="AB779" i="10"/>
  <c r="AL777" i="10"/>
  <c r="D777" i="10"/>
  <c r="AU776" i="10"/>
  <c r="AT776" i="10"/>
  <c r="AS776" i="10"/>
  <c r="AR776" i="10"/>
  <c r="AQ776" i="10"/>
  <c r="AP776" i="10"/>
  <c r="AO776" i="10"/>
  <c r="AN776" i="10"/>
  <c r="AL776" i="10"/>
  <c r="AK776" i="10"/>
  <c r="AJ776" i="10"/>
  <c r="AI776" i="10"/>
  <c r="AH776" i="10"/>
  <c r="AG776" i="10"/>
  <c r="AE776" i="10"/>
  <c r="AD776" i="10"/>
  <c r="AC776" i="10"/>
  <c r="AB776" i="10"/>
  <c r="D775" i="10"/>
  <c r="B775" i="10"/>
  <c r="C775" i="10" s="1"/>
  <c r="AE774" i="10"/>
  <c r="AC774" i="10"/>
  <c r="AB774" i="10"/>
  <c r="AL772" i="10"/>
  <c r="AM772" i="10" s="1"/>
  <c r="AS755" i="10" s="1"/>
  <c r="AR755" i="10" s="1"/>
  <c r="D772" i="10"/>
  <c r="AU771" i="10"/>
  <c r="AT771" i="10"/>
  <c r="AS771" i="10"/>
  <c r="AR771" i="10"/>
  <c r="AQ771" i="10"/>
  <c r="AP771" i="10"/>
  <c r="AO771" i="10"/>
  <c r="AN771" i="10"/>
  <c r="AV771" i="10" s="1"/>
  <c r="AL771" i="10"/>
  <c r="AK771" i="10"/>
  <c r="AJ771" i="10"/>
  <c r="AI771" i="10"/>
  <c r="AH771" i="10"/>
  <c r="AG771" i="10"/>
  <c r="AE771" i="10"/>
  <c r="AD771" i="10"/>
  <c r="AC771" i="10"/>
  <c r="AB771" i="10"/>
  <c r="D770" i="10"/>
  <c r="B770" i="10"/>
  <c r="C770" i="10" s="1"/>
  <c r="AE769" i="10"/>
  <c r="AC769" i="10"/>
  <c r="AB769" i="10"/>
  <c r="AL767" i="10"/>
  <c r="AM767" i="10" s="1"/>
  <c r="AQ755" i="10" s="1"/>
  <c r="AP755" i="10" s="1"/>
  <c r="D767" i="10"/>
  <c r="AU766" i="10"/>
  <c r="AT766" i="10"/>
  <c r="AS766" i="10"/>
  <c r="AR766" i="10"/>
  <c r="AQ766" i="10"/>
  <c r="AP766" i="10"/>
  <c r="AO766" i="10"/>
  <c r="AN766" i="10"/>
  <c r="AL766" i="10"/>
  <c r="AK766" i="10"/>
  <c r="AJ766" i="10"/>
  <c r="AI766" i="10"/>
  <c r="AH766" i="10"/>
  <c r="AG766" i="10"/>
  <c r="AE766" i="10"/>
  <c r="AD766" i="10"/>
  <c r="AC766" i="10"/>
  <c r="AB766" i="10"/>
  <c r="D765" i="10"/>
  <c r="C765" i="10"/>
  <c r="B765" i="10"/>
  <c r="AE764" i="10"/>
  <c r="AC764" i="10"/>
  <c r="AB764" i="10"/>
  <c r="AL762" i="10"/>
  <c r="AM762" i="10" s="1"/>
  <c r="D762" i="10"/>
  <c r="AU761" i="10"/>
  <c r="AT761" i="10"/>
  <c r="AS761" i="10"/>
  <c r="AR761" i="10"/>
  <c r="AQ761" i="10"/>
  <c r="AP761" i="10"/>
  <c r="AO761" i="10"/>
  <c r="AN761" i="10"/>
  <c r="AL761" i="10"/>
  <c r="AK761" i="10"/>
  <c r="AJ761" i="10"/>
  <c r="AI761" i="10"/>
  <c r="AH761" i="10"/>
  <c r="AG761" i="10"/>
  <c r="AE761" i="10"/>
  <c r="AD761" i="10"/>
  <c r="AC761" i="10"/>
  <c r="AB761" i="10"/>
  <c r="D760" i="10"/>
  <c r="B760" i="10"/>
  <c r="C760" i="10" s="1"/>
  <c r="AE759" i="10"/>
  <c r="AC759" i="10"/>
  <c r="AB759" i="10"/>
  <c r="AL757" i="10"/>
  <c r="AM757" i="10" s="1"/>
  <c r="AM755" i="10" s="1"/>
  <c r="D757" i="10"/>
  <c r="AU756" i="10"/>
  <c r="AS756" i="10"/>
  <c r="AQ756" i="10"/>
  <c r="AO756" i="10"/>
  <c r="AN756" i="10"/>
  <c r="AD756" i="10"/>
  <c r="AY755" i="10"/>
  <c r="AW755" i="10"/>
  <c r="AV755" i="10" s="1"/>
  <c r="AO755" i="10"/>
  <c r="AN755" i="10" s="1"/>
  <c r="AU751" i="10"/>
  <c r="AT751" i="10"/>
  <c r="AS751" i="10"/>
  <c r="AR751" i="10"/>
  <c r="AQ751" i="10"/>
  <c r="AP751" i="10"/>
  <c r="AO751" i="10"/>
  <c r="AN751" i="10"/>
  <c r="AL751" i="10"/>
  <c r="AK751" i="10"/>
  <c r="AJ751" i="10"/>
  <c r="AI751" i="10"/>
  <c r="AH751" i="10"/>
  <c r="AG751" i="10"/>
  <c r="AE751" i="10"/>
  <c r="AC751" i="10"/>
  <c r="AB751" i="10"/>
  <c r="D750" i="10"/>
  <c r="B750" i="10"/>
  <c r="C750" i="10" s="1"/>
  <c r="AE749" i="10"/>
  <c r="AC749" i="10"/>
  <c r="AB749" i="10"/>
  <c r="AL747" i="10"/>
  <c r="AM747" i="10" s="1"/>
  <c r="D747" i="10"/>
  <c r="AU746" i="10"/>
  <c r="AS746" i="10"/>
  <c r="AQ746" i="10"/>
  <c r="AO746" i="10"/>
  <c r="AN746" i="10"/>
  <c r="AD746" i="10"/>
  <c r="AU743" i="10"/>
  <c r="AT743" i="10"/>
  <c r="AS743" i="10"/>
  <c r="AR743" i="10"/>
  <c r="AQ743" i="10"/>
  <c r="AP743" i="10"/>
  <c r="AO743" i="10"/>
  <c r="AN743" i="10"/>
  <c r="AL743" i="10"/>
  <c r="AK743" i="10"/>
  <c r="AJ743" i="10"/>
  <c r="AI743" i="10"/>
  <c r="AH743" i="10"/>
  <c r="AG743" i="10"/>
  <c r="AE743" i="10"/>
  <c r="AD743" i="10"/>
  <c r="AB743" i="10"/>
  <c r="D742" i="10"/>
  <c r="B742" i="10"/>
  <c r="C742" i="10" s="1"/>
  <c r="AE741" i="10"/>
  <c r="AC741" i="10"/>
  <c r="AB741" i="10"/>
  <c r="AL739" i="10"/>
  <c r="AK739" i="10" s="1"/>
  <c r="D739" i="10"/>
  <c r="AU738" i="10"/>
  <c r="AT738" i="10"/>
  <c r="AS738" i="10"/>
  <c r="AR738" i="10"/>
  <c r="AQ738" i="10"/>
  <c r="AP738" i="10"/>
  <c r="AO738" i="10"/>
  <c r="AN738" i="10"/>
  <c r="AL738" i="10"/>
  <c r="AK738" i="10"/>
  <c r="AJ738" i="10"/>
  <c r="AH738" i="10"/>
  <c r="AG738" i="10"/>
  <c r="AE738" i="10"/>
  <c r="AC738" i="10"/>
  <c r="AB738" i="10"/>
  <c r="D737" i="10"/>
  <c r="B737" i="10"/>
  <c r="C737" i="10" s="1"/>
  <c r="AE736" i="10"/>
  <c r="AC736" i="10"/>
  <c r="AB736" i="10"/>
  <c r="AL734" i="10"/>
  <c r="AM734" i="10" s="1"/>
  <c r="AX706" i="10" s="1"/>
  <c r="AW706" i="10" s="1"/>
  <c r="AV706" i="10" s="1"/>
  <c r="AK734" i="10"/>
  <c r="D734" i="10"/>
  <c r="AU733" i="10"/>
  <c r="AT733" i="10"/>
  <c r="AS733" i="10"/>
  <c r="AR733" i="10"/>
  <c r="AQ733" i="10"/>
  <c r="AP733" i="10"/>
  <c r="AO733" i="10"/>
  <c r="AN733" i="10"/>
  <c r="AL733" i="10"/>
  <c r="AK733" i="10"/>
  <c r="AJ733" i="10"/>
  <c r="AI733" i="10"/>
  <c r="AH733" i="10"/>
  <c r="AG733" i="10"/>
  <c r="AE733" i="10"/>
  <c r="AD733" i="10"/>
  <c r="AC733" i="10"/>
  <c r="AB733" i="10"/>
  <c r="D732" i="10"/>
  <c r="B732" i="10"/>
  <c r="C732" i="10" s="1"/>
  <c r="AE731" i="10"/>
  <c r="AC731" i="10"/>
  <c r="AB731" i="10"/>
  <c r="AL729" i="10"/>
  <c r="AK729" i="10" s="1"/>
  <c r="D729" i="10"/>
  <c r="AU728" i="10"/>
  <c r="AT728" i="10"/>
  <c r="AS728" i="10"/>
  <c r="AR728" i="10"/>
  <c r="AQ728" i="10"/>
  <c r="AP728" i="10"/>
  <c r="AO728" i="10"/>
  <c r="AN728" i="10"/>
  <c r="AL728" i="10"/>
  <c r="AK728" i="10"/>
  <c r="AJ728" i="10"/>
  <c r="AI728" i="10"/>
  <c r="AH728" i="10"/>
  <c r="AG728" i="10"/>
  <c r="AE728" i="10"/>
  <c r="AD728" i="10"/>
  <c r="AC728" i="10"/>
  <c r="AB728" i="10"/>
  <c r="D727" i="10"/>
  <c r="B727" i="10"/>
  <c r="C727" i="10" s="1"/>
  <c r="AE726" i="10"/>
  <c r="AC726" i="10"/>
  <c r="AB726" i="10"/>
  <c r="AL724" i="10"/>
  <c r="AM724" i="10" s="1"/>
  <c r="AS706" i="10" s="1"/>
  <c r="AR706" i="10" s="1"/>
  <c r="AK724" i="10"/>
  <c r="D724" i="10"/>
  <c r="AU722" i="10"/>
  <c r="AT722" i="10"/>
  <c r="AS722" i="10"/>
  <c r="AR722" i="10"/>
  <c r="AQ722" i="10"/>
  <c r="AP722" i="10"/>
  <c r="AO722" i="10"/>
  <c r="AN722" i="10"/>
  <c r="AL722" i="10"/>
  <c r="AK722" i="10"/>
  <c r="AJ722" i="10"/>
  <c r="AI722" i="10"/>
  <c r="AM722" i="10" s="1"/>
  <c r="AH722" i="10"/>
  <c r="AG722" i="10"/>
  <c r="AE722" i="10"/>
  <c r="AD722" i="10"/>
  <c r="AC722" i="10"/>
  <c r="AB722" i="10"/>
  <c r="D721" i="10"/>
  <c r="B721" i="10"/>
  <c r="C721" i="10" s="1"/>
  <c r="AE720" i="10"/>
  <c r="AC720" i="10"/>
  <c r="AB720" i="10"/>
  <c r="AL718" i="10"/>
  <c r="AK718" i="10" s="1"/>
  <c r="D718" i="10"/>
  <c r="AU717" i="10"/>
  <c r="AT717" i="10"/>
  <c r="AS717" i="10"/>
  <c r="AR717" i="10"/>
  <c r="AQ717" i="10"/>
  <c r="AP717" i="10"/>
  <c r="AO717" i="10"/>
  <c r="AN717" i="10"/>
  <c r="AK717" i="10"/>
  <c r="AJ717" i="10"/>
  <c r="AI717" i="10"/>
  <c r="AH717" i="10"/>
  <c r="AG717" i="10"/>
  <c r="AE717" i="10"/>
  <c r="AD717" i="10"/>
  <c r="AB717" i="10"/>
  <c r="D716" i="10"/>
  <c r="B716" i="10"/>
  <c r="C716" i="10" s="1"/>
  <c r="AE715" i="10"/>
  <c r="AC715" i="10"/>
  <c r="AB715" i="10"/>
  <c r="AL713" i="10"/>
  <c r="AK713" i="10" s="1"/>
  <c r="D713" i="10"/>
  <c r="AU712" i="10"/>
  <c r="AT712" i="10"/>
  <c r="AS712" i="10"/>
  <c r="AR712" i="10"/>
  <c r="AQ712" i="10"/>
  <c r="AP712" i="10"/>
  <c r="AO712" i="10"/>
  <c r="AN712" i="10"/>
  <c r="AL712" i="10"/>
  <c r="AK712" i="10"/>
  <c r="AJ712" i="10"/>
  <c r="AI712" i="10"/>
  <c r="AH712" i="10"/>
  <c r="AG712" i="10"/>
  <c r="AE712" i="10"/>
  <c r="AC712" i="10"/>
  <c r="AB712" i="10"/>
  <c r="D711" i="10"/>
  <c r="B711" i="10"/>
  <c r="C711" i="10" s="1"/>
  <c r="AE710" i="10"/>
  <c r="AC710" i="10"/>
  <c r="AB710" i="10"/>
  <c r="AL708" i="10"/>
  <c r="D708" i="10"/>
  <c r="AU707" i="10"/>
  <c r="AT707" i="10"/>
  <c r="AS707" i="10"/>
  <c r="AQ707" i="10"/>
  <c r="AP707" i="10"/>
  <c r="AO707" i="10"/>
  <c r="AN707" i="10"/>
  <c r="AD707" i="10"/>
  <c r="AC707" i="10"/>
  <c r="AB706" i="10"/>
  <c r="AB705" i="10" s="1"/>
  <c r="AU696" i="10"/>
  <c r="AT696" i="10"/>
  <c r="AS696" i="10"/>
  <c r="AR696" i="10"/>
  <c r="AQ696" i="10"/>
  <c r="AP696" i="10"/>
  <c r="AO696" i="10"/>
  <c r="AN696" i="10"/>
  <c r="AL696" i="10"/>
  <c r="AK696" i="10"/>
  <c r="AJ696" i="10"/>
  <c r="AI696" i="10"/>
  <c r="AG696" i="10"/>
  <c r="AE696" i="10"/>
  <c r="AC696" i="10"/>
  <c r="AB696" i="10"/>
  <c r="D695" i="10"/>
  <c r="B695" i="10"/>
  <c r="C695" i="10" s="1"/>
  <c r="AE694" i="10"/>
  <c r="AC694" i="10"/>
  <c r="AB694" i="10"/>
  <c r="AL692" i="10"/>
  <c r="AM692" i="10" s="1"/>
  <c r="AK692" i="10"/>
  <c r="D692" i="10"/>
  <c r="AU690" i="10"/>
  <c r="AT690" i="10"/>
  <c r="AS690" i="10"/>
  <c r="AR690" i="10"/>
  <c r="AQ690" i="10"/>
  <c r="AP690" i="10"/>
  <c r="AO690" i="10"/>
  <c r="AN690" i="10"/>
  <c r="AL690" i="10"/>
  <c r="AK690" i="10"/>
  <c r="AI690" i="10"/>
  <c r="AH690" i="10"/>
  <c r="AG690" i="10"/>
  <c r="AE690" i="10"/>
  <c r="AD690" i="10"/>
  <c r="AC690" i="10"/>
  <c r="AB690" i="10"/>
  <c r="D689" i="10"/>
  <c r="B689" i="10"/>
  <c r="C689" i="10" s="1"/>
  <c r="AE688" i="10"/>
  <c r="AC688" i="10"/>
  <c r="AB688" i="10"/>
  <c r="AL686" i="10"/>
  <c r="AM686" i="10" s="1"/>
  <c r="AX658" i="10" s="1"/>
  <c r="AW658" i="10" s="1"/>
  <c r="AV658" i="10" s="1"/>
  <c r="D686" i="10"/>
  <c r="AU685" i="10"/>
  <c r="AT685" i="10"/>
  <c r="AS685" i="10"/>
  <c r="AR685" i="10"/>
  <c r="AQ685" i="10"/>
  <c r="AP685" i="10"/>
  <c r="AO685" i="10"/>
  <c r="AN685" i="10"/>
  <c r="AL685" i="10"/>
  <c r="AK685" i="10"/>
  <c r="AJ685" i="10"/>
  <c r="AH685" i="10"/>
  <c r="AG685" i="10"/>
  <c r="AE685" i="10"/>
  <c r="AC685" i="10"/>
  <c r="AB685" i="10"/>
  <c r="D684" i="10"/>
  <c r="B684" i="10"/>
  <c r="C684" i="10" s="1"/>
  <c r="AE683" i="10"/>
  <c r="AC683" i="10"/>
  <c r="AB683" i="10"/>
  <c r="AL681" i="10"/>
  <c r="AM681" i="10" s="1"/>
  <c r="AU658" i="10" s="1"/>
  <c r="AT658" i="10" s="1"/>
  <c r="D681" i="10"/>
  <c r="AU680" i="10"/>
  <c r="AT680" i="10"/>
  <c r="AS680" i="10"/>
  <c r="AR680" i="10"/>
  <c r="AQ680" i="10"/>
  <c r="AP680" i="10"/>
  <c r="AO680" i="10"/>
  <c r="AN680" i="10"/>
  <c r="AL680" i="10"/>
  <c r="AJ680" i="10"/>
  <c r="AI680" i="10"/>
  <c r="AH680" i="10"/>
  <c r="AG680" i="10"/>
  <c r="AE680" i="10"/>
  <c r="AC680" i="10"/>
  <c r="AB680" i="10"/>
  <c r="D679" i="10"/>
  <c r="B679" i="10"/>
  <c r="C679" i="10" s="1"/>
  <c r="AE678" i="10"/>
  <c r="AC678" i="10"/>
  <c r="AB678" i="10"/>
  <c r="AL676" i="10"/>
  <c r="AM676" i="10" s="1"/>
  <c r="AS658" i="10" s="1"/>
  <c r="AR658" i="10" s="1"/>
  <c r="D676" i="10"/>
  <c r="AU674" i="10"/>
  <c r="AT674" i="10"/>
  <c r="AS674" i="10"/>
  <c r="AR674" i="10"/>
  <c r="AQ674" i="10"/>
  <c r="AP674" i="10"/>
  <c r="AO674" i="10"/>
  <c r="AN674" i="10"/>
  <c r="AL674" i="10"/>
  <c r="AJ674" i="10"/>
  <c r="AI674" i="10"/>
  <c r="AH674" i="10"/>
  <c r="AG674" i="10"/>
  <c r="AE674" i="10"/>
  <c r="AC674" i="10"/>
  <c r="AB674" i="10"/>
  <c r="D673" i="10"/>
  <c r="C673" i="10"/>
  <c r="B673" i="10"/>
  <c r="AE672" i="10"/>
  <c r="AC672" i="10"/>
  <c r="AB672" i="10"/>
  <c r="AL670" i="10"/>
  <c r="AM670" i="10" s="1"/>
  <c r="AQ658" i="10" s="1"/>
  <c r="AP658" i="10" s="1"/>
  <c r="D670" i="10"/>
  <c r="AU669" i="10"/>
  <c r="AT669" i="10"/>
  <c r="AS669" i="10"/>
  <c r="AR669" i="10"/>
  <c r="AQ669" i="10"/>
  <c r="AP669" i="10"/>
  <c r="AO669" i="10"/>
  <c r="AN669" i="10"/>
  <c r="AL669" i="10"/>
  <c r="AK669" i="10"/>
  <c r="AJ669" i="10"/>
  <c r="AI669" i="10"/>
  <c r="AH669" i="10"/>
  <c r="AG669" i="10"/>
  <c r="AE669" i="10"/>
  <c r="AD669" i="10"/>
  <c r="AC669" i="10"/>
  <c r="AB669" i="10"/>
  <c r="D668" i="10"/>
  <c r="B668" i="10"/>
  <c r="C668" i="10" s="1"/>
  <c r="AE667" i="10"/>
  <c r="AC667" i="10"/>
  <c r="AB667" i="10"/>
  <c r="AL665" i="10"/>
  <c r="AM665" i="10" s="1"/>
  <c r="AO658" i="10" s="1"/>
  <c r="AN658" i="10" s="1"/>
  <c r="D665" i="10"/>
  <c r="AU664" i="10"/>
  <c r="AT664" i="10"/>
  <c r="AS664" i="10"/>
  <c r="AR664" i="10"/>
  <c r="AQ664" i="10"/>
  <c r="AP664" i="10"/>
  <c r="AO664" i="10"/>
  <c r="AN664" i="10"/>
  <c r="AL664" i="10"/>
  <c r="AJ664" i="10"/>
  <c r="AI664" i="10"/>
  <c r="AH664" i="10"/>
  <c r="AG664" i="10"/>
  <c r="AE664" i="10"/>
  <c r="AD664" i="10"/>
  <c r="AC664" i="10"/>
  <c r="AB664" i="10"/>
  <c r="D663" i="10"/>
  <c r="B663" i="10"/>
  <c r="C663" i="10" s="1"/>
  <c r="AE662" i="10"/>
  <c r="AC662" i="10"/>
  <c r="AB662" i="10"/>
  <c r="D660" i="10"/>
  <c r="AU659" i="10"/>
  <c r="AS659" i="10"/>
  <c r="AQ659" i="10"/>
  <c r="AP659" i="10"/>
  <c r="AO659" i="10"/>
  <c r="AN659" i="10"/>
  <c r="AD659" i="10"/>
  <c r="AT659" i="10" s="1"/>
  <c r="AC659" i="10"/>
  <c r="AZ658" i="10"/>
  <c r="AY658" i="10" s="1"/>
  <c r="AM658" i="10"/>
  <c r="AL657" i="10"/>
  <c r="AK657" i="10" s="1"/>
  <c r="AU656" i="10"/>
  <c r="AT656" i="10"/>
  <c r="AS656" i="10"/>
  <c r="AR656" i="10"/>
  <c r="AQ656" i="10"/>
  <c r="AP656" i="10"/>
  <c r="AO656" i="10"/>
  <c r="AN656" i="10"/>
  <c r="AL656" i="10"/>
  <c r="AK656" i="10"/>
  <c r="AJ656" i="10"/>
  <c r="AH656" i="10"/>
  <c r="AG656" i="10"/>
  <c r="AE656" i="10"/>
  <c r="AD656" i="10"/>
  <c r="AC656" i="10"/>
  <c r="AB656" i="10"/>
  <c r="D655" i="10"/>
  <c r="B655" i="10"/>
  <c r="C655" i="10" s="1"/>
  <c r="AE654" i="10"/>
  <c r="AC654" i="10"/>
  <c r="AB654" i="10"/>
  <c r="AL652" i="10"/>
  <c r="AK652" i="10" s="1"/>
  <c r="D652" i="10"/>
  <c r="AU651" i="10"/>
  <c r="AT651" i="10"/>
  <c r="AS651" i="10"/>
  <c r="AR651" i="10"/>
  <c r="AQ651" i="10"/>
  <c r="AP651" i="10"/>
  <c r="AO651" i="10"/>
  <c r="AN651" i="10"/>
  <c r="AL651" i="10"/>
  <c r="AK651" i="10"/>
  <c r="AJ651" i="10"/>
  <c r="AI651" i="10"/>
  <c r="AH651" i="10"/>
  <c r="AE651" i="10"/>
  <c r="AC651" i="10"/>
  <c r="AB651" i="10"/>
  <c r="D650" i="10"/>
  <c r="B650" i="10"/>
  <c r="C650" i="10" s="1"/>
  <c r="AE649" i="10"/>
  <c r="AC649" i="10"/>
  <c r="AB649" i="10"/>
  <c r="AL647" i="10"/>
  <c r="AK647" i="10" s="1"/>
  <c r="D647" i="10"/>
  <c r="AU646" i="10"/>
  <c r="AT646" i="10"/>
  <c r="AS646" i="10"/>
  <c r="AR646" i="10"/>
  <c r="AQ646" i="10"/>
  <c r="AP646" i="10"/>
  <c r="AO646" i="10"/>
  <c r="AN646" i="10"/>
  <c r="AL646" i="10"/>
  <c r="AK646" i="10"/>
  <c r="AJ646" i="10"/>
  <c r="AI646" i="10"/>
  <c r="AG646" i="10"/>
  <c r="AE646" i="10"/>
  <c r="AC646" i="10"/>
  <c r="AB646" i="10"/>
  <c r="D645" i="10"/>
  <c r="B645" i="10"/>
  <c r="C645" i="10" s="1"/>
  <c r="AE644" i="10"/>
  <c r="AC644" i="10"/>
  <c r="AB644" i="10"/>
  <c r="AL642" i="10"/>
  <c r="AK642" i="10" s="1"/>
  <c r="D642" i="10"/>
  <c r="AU640" i="10"/>
  <c r="AT640" i="10"/>
  <c r="AS640" i="10"/>
  <c r="AR640" i="10"/>
  <c r="AQ640" i="10"/>
  <c r="AP640" i="10"/>
  <c r="AO640" i="10"/>
  <c r="AN640" i="10"/>
  <c r="AL640" i="10"/>
  <c r="AJ640" i="10"/>
  <c r="AI640" i="10"/>
  <c r="AH640" i="10"/>
  <c r="AG640" i="10"/>
  <c r="AE640" i="10"/>
  <c r="AD640" i="10"/>
  <c r="AC640" i="10"/>
  <c r="AB640" i="10"/>
  <c r="D639" i="10"/>
  <c r="B639" i="10"/>
  <c r="C639" i="10" s="1"/>
  <c r="AE638" i="10"/>
  <c r="AC638" i="10"/>
  <c r="AB638" i="10"/>
  <c r="AL636" i="10"/>
  <c r="AK636" i="10" s="1"/>
  <c r="D636" i="10"/>
  <c r="AU635" i="10"/>
  <c r="AT635" i="10"/>
  <c r="AS635" i="10"/>
  <c r="AR635" i="10"/>
  <c r="AQ635" i="10"/>
  <c r="AP635" i="10"/>
  <c r="AO635" i="10"/>
  <c r="AN635" i="10"/>
  <c r="AL635" i="10"/>
  <c r="AK635" i="10"/>
  <c r="AJ635" i="10"/>
  <c r="AI635" i="10"/>
  <c r="AH635" i="10"/>
  <c r="AE635" i="10"/>
  <c r="AC635" i="10"/>
  <c r="AB635" i="10"/>
  <c r="D634" i="10"/>
  <c r="B634" i="10"/>
  <c r="C634" i="10" s="1"/>
  <c r="AE633" i="10"/>
  <c r="AC633" i="10"/>
  <c r="AB633" i="10"/>
  <c r="AL631" i="10"/>
  <c r="AK631" i="10" s="1"/>
  <c r="D631" i="10"/>
  <c r="AU630" i="10"/>
  <c r="AT630" i="10"/>
  <c r="AS630" i="10"/>
  <c r="AR630" i="10"/>
  <c r="AQ630" i="10"/>
  <c r="AP630" i="10"/>
  <c r="AO630" i="10"/>
  <c r="AN630" i="10"/>
  <c r="AL630" i="10"/>
  <c r="AK630" i="10"/>
  <c r="AJ630" i="10"/>
  <c r="AI630" i="10"/>
  <c r="AH630" i="10"/>
  <c r="AE630" i="10"/>
  <c r="AD630" i="10"/>
  <c r="AB630" i="10"/>
  <c r="D629" i="10"/>
  <c r="B629" i="10"/>
  <c r="C629" i="10" s="1"/>
  <c r="AE628" i="10"/>
  <c r="AC628" i="10"/>
  <c r="AB628" i="10"/>
  <c r="AL626" i="10"/>
  <c r="AK626" i="10" s="1"/>
  <c r="D626" i="10"/>
  <c r="AU625" i="10"/>
  <c r="AS625" i="10"/>
  <c r="AQ625" i="10"/>
  <c r="AO625" i="10"/>
  <c r="AN625" i="10"/>
  <c r="AD625" i="10"/>
  <c r="AP625" i="10" s="1"/>
  <c r="AL623" i="10"/>
  <c r="AM623" i="10" s="1"/>
  <c r="AU622" i="10"/>
  <c r="AT622" i="10"/>
  <c r="AS622" i="10"/>
  <c r="AR622" i="10"/>
  <c r="AQ622" i="10"/>
  <c r="AP622" i="10"/>
  <c r="AO622" i="10"/>
  <c r="AN622" i="10"/>
  <c r="AL622" i="10"/>
  <c r="AK622" i="10"/>
  <c r="AJ622" i="10"/>
  <c r="AH622" i="10"/>
  <c r="AG622" i="10"/>
  <c r="AE622" i="10"/>
  <c r="AD622" i="10"/>
  <c r="AC622" i="10"/>
  <c r="AB622" i="10"/>
  <c r="D621" i="10"/>
  <c r="B621" i="10"/>
  <c r="C621" i="10" s="1"/>
  <c r="AE620" i="10"/>
  <c r="AC620" i="10"/>
  <c r="AB620" i="10"/>
  <c r="AL618" i="10"/>
  <c r="AM618" i="10" s="1"/>
  <c r="D618" i="10"/>
  <c r="AU617" i="10"/>
  <c r="AT617" i="10"/>
  <c r="AS617" i="10"/>
  <c r="AR617" i="10"/>
  <c r="AQ617" i="10"/>
  <c r="AP617" i="10"/>
  <c r="AO617" i="10"/>
  <c r="AN617" i="10"/>
  <c r="AL617" i="10"/>
  <c r="AK617" i="10"/>
  <c r="AJ617" i="10"/>
  <c r="AI617" i="10"/>
  <c r="AH617" i="10"/>
  <c r="AG617" i="10"/>
  <c r="AE617" i="10"/>
  <c r="AD617" i="10"/>
  <c r="AC617" i="10"/>
  <c r="AB617" i="10"/>
  <c r="D616" i="10"/>
  <c r="B616" i="10"/>
  <c r="C616" i="10" s="1"/>
  <c r="AE615" i="10"/>
  <c r="AC615" i="10"/>
  <c r="AB615" i="10"/>
  <c r="AL613" i="10"/>
  <c r="AM613" i="10" s="1"/>
  <c r="AU590" i="10" s="1"/>
  <c r="AT590" i="10" s="1"/>
  <c r="D613" i="10"/>
  <c r="AU612" i="10"/>
  <c r="AT612" i="10"/>
  <c r="AS612" i="10"/>
  <c r="AR612" i="10"/>
  <c r="AQ612" i="10"/>
  <c r="AP612" i="10"/>
  <c r="AO612" i="10"/>
  <c r="AN612" i="10"/>
  <c r="AL612" i="10"/>
  <c r="AK612" i="10"/>
  <c r="AJ612" i="10"/>
  <c r="AI612" i="10"/>
  <c r="AH612" i="10"/>
  <c r="AG612" i="10"/>
  <c r="AE612" i="10"/>
  <c r="AD612" i="10"/>
  <c r="AC612" i="10"/>
  <c r="AB612" i="10"/>
  <c r="D611" i="10"/>
  <c r="C611" i="10"/>
  <c r="B611" i="10"/>
  <c r="AE610" i="10"/>
  <c r="AC610" i="10"/>
  <c r="AB610" i="10"/>
  <c r="AL608" i="10"/>
  <c r="AM608" i="10" s="1"/>
  <c r="AS590" i="10" s="1"/>
  <c r="AR590" i="10" s="1"/>
  <c r="D608" i="10"/>
  <c r="AU606" i="10"/>
  <c r="AT606" i="10"/>
  <c r="AS606" i="10"/>
  <c r="AR606" i="10"/>
  <c r="AQ606" i="10"/>
  <c r="AP606" i="10"/>
  <c r="AO606" i="10"/>
  <c r="AN606" i="10"/>
  <c r="AL606" i="10"/>
  <c r="AK606" i="10"/>
  <c r="AJ606" i="10"/>
  <c r="AI606" i="10"/>
  <c r="AH606" i="10"/>
  <c r="AG606" i="10"/>
  <c r="AE606" i="10"/>
  <c r="AD606" i="10"/>
  <c r="AC606" i="10"/>
  <c r="AB606" i="10"/>
  <c r="D605" i="10"/>
  <c r="C605" i="10"/>
  <c r="B605" i="10"/>
  <c r="AE604" i="10"/>
  <c r="AC604" i="10"/>
  <c r="AB604" i="10"/>
  <c r="AL602" i="10"/>
  <c r="AM602" i="10" s="1"/>
  <c r="AQ590" i="10" s="1"/>
  <c r="AP590" i="10" s="1"/>
  <c r="D602" i="10"/>
  <c r="AU601" i="10"/>
  <c r="AT601" i="10"/>
  <c r="AS601" i="10"/>
  <c r="AR601" i="10"/>
  <c r="AQ601" i="10"/>
  <c r="AP601" i="10"/>
  <c r="AO601" i="10"/>
  <c r="AN601" i="10"/>
  <c r="AL601" i="10"/>
  <c r="AK601" i="10"/>
  <c r="AJ601" i="10"/>
  <c r="AI601" i="10"/>
  <c r="AH601" i="10"/>
  <c r="AG601" i="10"/>
  <c r="AM601" i="10" s="1"/>
  <c r="AE601" i="10"/>
  <c r="AC601" i="10"/>
  <c r="AB601" i="10"/>
  <c r="D600" i="10"/>
  <c r="B600" i="10"/>
  <c r="C600" i="10" s="1"/>
  <c r="AE599" i="10"/>
  <c r="AC599" i="10"/>
  <c r="AB599" i="10"/>
  <c r="AL597" i="10"/>
  <c r="AM597" i="10" s="1"/>
  <c r="AO590" i="10" s="1"/>
  <c r="AN590" i="10" s="1"/>
  <c r="D597" i="10"/>
  <c r="AU596" i="10"/>
  <c r="AT596" i="10"/>
  <c r="AS596" i="10"/>
  <c r="AR596" i="10"/>
  <c r="AQ596" i="10"/>
  <c r="AP596" i="10"/>
  <c r="AO596" i="10"/>
  <c r="AN596" i="10"/>
  <c r="AL596" i="10"/>
  <c r="AK596" i="10"/>
  <c r="AJ596" i="10"/>
  <c r="AI596" i="10"/>
  <c r="AG596" i="10"/>
  <c r="AE596" i="10"/>
  <c r="AD596" i="10"/>
  <c r="AC596" i="10"/>
  <c r="AB596" i="10"/>
  <c r="D595" i="10"/>
  <c r="C595" i="10"/>
  <c r="B595" i="10"/>
  <c r="AE594" i="10"/>
  <c r="AC594" i="10"/>
  <c r="AB594" i="10"/>
  <c r="AL592" i="10"/>
  <c r="AM592" i="10" s="1"/>
  <c r="AM590" i="10" s="1"/>
  <c r="D592" i="10"/>
  <c r="AU591" i="10"/>
  <c r="AT591" i="10"/>
  <c r="AS591" i="10"/>
  <c r="AQ591" i="10"/>
  <c r="AO591" i="10"/>
  <c r="AN591" i="10"/>
  <c r="AD591" i="10"/>
  <c r="AP591" i="10" s="1"/>
  <c r="AV590" i="10"/>
  <c r="AU588" i="10"/>
  <c r="AT588" i="10"/>
  <c r="AS588" i="10"/>
  <c r="AR588" i="10"/>
  <c r="AQ588" i="10"/>
  <c r="AP588" i="10"/>
  <c r="AO588" i="10"/>
  <c r="AN588" i="10"/>
  <c r="AL588" i="10"/>
  <c r="AK588" i="10"/>
  <c r="AJ588" i="10"/>
  <c r="AI588" i="10"/>
  <c r="AH588" i="10"/>
  <c r="AG588" i="10"/>
  <c r="AE588" i="10"/>
  <c r="AD588" i="10"/>
  <c r="AC588" i="10"/>
  <c r="AB588" i="10"/>
  <c r="D587" i="10"/>
  <c r="B587" i="10"/>
  <c r="C587" i="10" s="1"/>
  <c r="AE586" i="10"/>
  <c r="AC586" i="10"/>
  <c r="AB586" i="10"/>
  <c r="AL584" i="10"/>
  <c r="AK584" i="10" s="1"/>
  <c r="D584" i="10"/>
  <c r="AU583" i="10"/>
  <c r="AT583" i="10"/>
  <c r="AS583" i="10"/>
  <c r="AR583" i="10"/>
  <c r="AQ583" i="10"/>
  <c r="AP583" i="10"/>
  <c r="AO583" i="10"/>
  <c r="AN583" i="10"/>
  <c r="AL583" i="10"/>
  <c r="AK583" i="10"/>
  <c r="AJ583" i="10"/>
  <c r="AI583" i="10"/>
  <c r="AH583" i="10"/>
  <c r="AG583" i="10"/>
  <c r="AE583" i="10"/>
  <c r="AD583" i="10"/>
  <c r="AC583" i="10"/>
  <c r="AB583" i="10"/>
  <c r="D582" i="10"/>
  <c r="B582" i="10"/>
  <c r="C582" i="10" s="1"/>
  <c r="AE581" i="10"/>
  <c r="AC581" i="10"/>
  <c r="AB581" i="10"/>
  <c r="AL579" i="10"/>
  <c r="AK579" i="10" s="1"/>
  <c r="D579" i="10"/>
  <c r="AU578" i="10"/>
  <c r="AT578" i="10"/>
  <c r="AS578" i="10"/>
  <c r="AR578" i="10"/>
  <c r="AQ578" i="10"/>
  <c r="AP578" i="10"/>
  <c r="AO578" i="10"/>
  <c r="AN578" i="10"/>
  <c r="AL578" i="10"/>
  <c r="AK578" i="10"/>
  <c r="AJ578" i="10"/>
  <c r="AH578" i="10"/>
  <c r="AG578" i="10"/>
  <c r="AE578" i="10"/>
  <c r="AD578" i="10"/>
  <c r="AC578" i="10"/>
  <c r="AB578" i="10"/>
  <c r="D577" i="10"/>
  <c r="B577" i="10"/>
  <c r="C577" i="10" s="1"/>
  <c r="AE576" i="10"/>
  <c r="AC576" i="10"/>
  <c r="AB576" i="10"/>
  <c r="AL574" i="10"/>
  <c r="AK574" i="10" s="1"/>
  <c r="D574" i="10"/>
  <c r="AU572" i="10"/>
  <c r="AT572" i="10"/>
  <c r="AS572" i="10"/>
  <c r="AR572" i="10"/>
  <c r="AQ572" i="10"/>
  <c r="AP572" i="10"/>
  <c r="AO572" i="10"/>
  <c r="AN572" i="10"/>
  <c r="AL572" i="10"/>
  <c r="AK572" i="10"/>
  <c r="AJ572" i="10"/>
  <c r="AI572" i="10"/>
  <c r="AH572" i="10"/>
  <c r="AG572" i="10"/>
  <c r="AE572" i="10"/>
  <c r="AD572" i="10"/>
  <c r="AC572" i="10"/>
  <c r="AB572" i="10"/>
  <c r="D571" i="10"/>
  <c r="B571" i="10"/>
  <c r="C571" i="10" s="1"/>
  <c r="AE570" i="10"/>
  <c r="AC570" i="10"/>
  <c r="AB570" i="10"/>
  <c r="AL568" i="10"/>
  <c r="AK568" i="10" s="1"/>
  <c r="D568" i="10"/>
  <c r="AU567" i="10"/>
  <c r="AT567" i="10"/>
  <c r="AS567" i="10"/>
  <c r="AR567" i="10"/>
  <c r="AQ567" i="10"/>
  <c r="AP567" i="10"/>
  <c r="AO567" i="10"/>
  <c r="AN567" i="10"/>
  <c r="AL567" i="10"/>
  <c r="AK567" i="10"/>
  <c r="AJ567" i="10"/>
  <c r="AI567" i="10"/>
  <c r="AG567" i="10"/>
  <c r="AE567" i="10"/>
  <c r="AD567" i="10"/>
  <c r="AC567" i="10"/>
  <c r="AB567" i="10"/>
  <c r="AF567" i="10" s="1"/>
  <c r="D566" i="10"/>
  <c r="B566" i="10"/>
  <c r="C566" i="10" s="1"/>
  <c r="AE565" i="10"/>
  <c r="AC565" i="10"/>
  <c r="AB565" i="10"/>
  <c r="AL563" i="10"/>
  <c r="AK563" i="10" s="1"/>
  <c r="D563" i="10"/>
  <c r="AU562" i="10"/>
  <c r="AT562" i="10"/>
  <c r="AS562" i="10"/>
  <c r="AR562" i="10"/>
  <c r="AQ562" i="10"/>
  <c r="AP562" i="10"/>
  <c r="AO562" i="10"/>
  <c r="AN562" i="10"/>
  <c r="AL562" i="10"/>
  <c r="AJ562" i="10"/>
  <c r="AI562" i="10"/>
  <c r="AH562" i="10"/>
  <c r="AG562" i="10"/>
  <c r="AE562" i="10"/>
  <c r="AD562" i="10"/>
  <c r="AC562" i="10"/>
  <c r="AB562" i="10"/>
  <c r="D561" i="10"/>
  <c r="B561" i="10"/>
  <c r="C561" i="10" s="1"/>
  <c r="AE560" i="10"/>
  <c r="AC560" i="10"/>
  <c r="AB560" i="10"/>
  <c r="AL558" i="10"/>
  <c r="AK558" i="10" s="1"/>
  <c r="D558" i="10"/>
  <c r="AU557" i="10"/>
  <c r="AT557" i="10"/>
  <c r="AS557" i="10"/>
  <c r="AQ557" i="10"/>
  <c r="AP557" i="10"/>
  <c r="AO557" i="10"/>
  <c r="AN557" i="10"/>
  <c r="AD557" i="10"/>
  <c r="AC557" i="10"/>
  <c r="AV556" i="10"/>
  <c r="AU554" i="10"/>
  <c r="AT554" i="10"/>
  <c r="AS554" i="10"/>
  <c r="AR554" i="10"/>
  <c r="AQ554" i="10"/>
  <c r="AP554" i="10"/>
  <c r="AO554" i="10"/>
  <c r="AN554" i="10"/>
  <c r="AL554" i="10"/>
  <c r="AK554" i="10"/>
  <c r="AJ554" i="10"/>
  <c r="AI554" i="10"/>
  <c r="AH554" i="10"/>
  <c r="AG554" i="10"/>
  <c r="AE554" i="10"/>
  <c r="AD554" i="10"/>
  <c r="AB554" i="10"/>
  <c r="D553" i="10"/>
  <c r="B553" i="10"/>
  <c r="C553" i="10" s="1"/>
  <c r="AE552" i="10"/>
  <c r="AC552" i="10"/>
  <c r="AB552" i="10"/>
  <c r="AL550" i="10"/>
  <c r="AK550" i="10" s="1"/>
  <c r="D550" i="10"/>
  <c r="AU549" i="10"/>
  <c r="AT549" i="10"/>
  <c r="AS549" i="10"/>
  <c r="AR549" i="10"/>
  <c r="AQ549" i="10"/>
  <c r="AP549" i="10"/>
  <c r="AO549" i="10"/>
  <c r="AN549" i="10"/>
  <c r="AL549" i="10"/>
  <c r="AK549" i="10"/>
  <c r="AJ549" i="10"/>
  <c r="AI549" i="10"/>
  <c r="AH549" i="10"/>
  <c r="AG549" i="10"/>
  <c r="AE549" i="10"/>
  <c r="AD549" i="10"/>
  <c r="AC549" i="10"/>
  <c r="AB549" i="10"/>
  <c r="D548" i="10"/>
  <c r="B548" i="10"/>
  <c r="C548" i="10" s="1"/>
  <c r="AE547" i="10"/>
  <c r="AC547" i="10"/>
  <c r="AB547" i="10"/>
  <c r="AL545" i="10"/>
  <c r="AK545" i="10" s="1"/>
  <c r="D545" i="10"/>
  <c r="AU543" i="10"/>
  <c r="AT543" i="10"/>
  <c r="AS543" i="10"/>
  <c r="AR543" i="10"/>
  <c r="AQ543" i="10"/>
  <c r="AP543" i="10"/>
  <c r="AO543" i="10"/>
  <c r="AN543" i="10"/>
  <c r="AL543" i="10"/>
  <c r="AK543" i="10"/>
  <c r="AJ543" i="10"/>
  <c r="AI543" i="10"/>
  <c r="AH543" i="10"/>
  <c r="AG543" i="10"/>
  <c r="AE543" i="10"/>
  <c r="AD543" i="10"/>
  <c r="AC543" i="10"/>
  <c r="AB543" i="10"/>
  <c r="D542" i="10"/>
  <c r="B542" i="10"/>
  <c r="C542" i="10" s="1"/>
  <c r="AE541" i="10"/>
  <c r="AB541" i="10"/>
  <c r="AL539" i="10"/>
  <c r="AM539" i="10" s="1"/>
  <c r="AS521" i="10" s="1"/>
  <c r="AR521" i="10" s="1"/>
  <c r="D539" i="10"/>
  <c r="AU538" i="10"/>
  <c r="AT538" i="10"/>
  <c r="AS538" i="10"/>
  <c r="AR538" i="10"/>
  <c r="AQ538" i="10"/>
  <c r="AP538" i="10"/>
  <c r="AO538" i="10"/>
  <c r="AN538" i="10"/>
  <c r="AL538" i="10"/>
  <c r="AK538" i="10"/>
  <c r="AJ538" i="10"/>
  <c r="AI538" i="10"/>
  <c r="AH538" i="10"/>
  <c r="AG538" i="10"/>
  <c r="AE538" i="10"/>
  <c r="AD538" i="10"/>
  <c r="AC538" i="10"/>
  <c r="AB538" i="10"/>
  <c r="D537" i="10"/>
  <c r="B537" i="10"/>
  <c r="C537" i="10" s="1"/>
  <c r="AE536" i="10"/>
  <c r="AC536" i="10"/>
  <c r="AB536" i="10"/>
  <c r="AL534" i="10"/>
  <c r="AM534" i="10" s="1"/>
  <c r="AQ521" i="10" s="1"/>
  <c r="AP521" i="10" s="1"/>
  <c r="D534" i="10"/>
  <c r="AU532" i="10"/>
  <c r="AT532" i="10"/>
  <c r="AS532" i="10"/>
  <c r="AR532" i="10"/>
  <c r="AQ532" i="10"/>
  <c r="AP532" i="10"/>
  <c r="AO532" i="10"/>
  <c r="AN532" i="10"/>
  <c r="AL532" i="10"/>
  <c r="AK532" i="10"/>
  <c r="AJ532" i="10"/>
  <c r="AI532" i="10"/>
  <c r="AH532" i="10"/>
  <c r="AG532" i="10"/>
  <c r="AE532" i="10"/>
  <c r="AD532" i="10"/>
  <c r="AC532" i="10"/>
  <c r="AB532" i="10"/>
  <c r="D531" i="10"/>
  <c r="C531" i="10"/>
  <c r="B531" i="10"/>
  <c r="AE530" i="10"/>
  <c r="AB530" i="10"/>
  <c r="AA530" i="10"/>
  <c r="AA536" i="10" s="1"/>
  <c r="AA541" i="10" s="1"/>
  <c r="AA547" i="10" s="1"/>
  <c r="AA552" i="10" s="1"/>
  <c r="AA560" i="10" s="1"/>
  <c r="AA565" i="10" s="1"/>
  <c r="AA570" i="10" s="1"/>
  <c r="AA576" i="10" s="1"/>
  <c r="AA581" i="10" s="1"/>
  <c r="AA586" i="10" s="1"/>
  <c r="AA594" i="10" s="1"/>
  <c r="AA599" i="10" s="1"/>
  <c r="AA604" i="10" s="1"/>
  <c r="AA610" i="10" s="1"/>
  <c r="AA615" i="10" s="1"/>
  <c r="AA620" i="10" s="1"/>
  <c r="AA628" i="10" s="1"/>
  <c r="AA633" i="10" s="1"/>
  <c r="AA638" i="10" s="1"/>
  <c r="AA644" i="10" s="1"/>
  <c r="AA649" i="10" s="1"/>
  <c r="AA654" i="10" s="1"/>
  <c r="AA662" i="10" s="1"/>
  <c r="AA667" i="10" s="1"/>
  <c r="AA672" i="10" s="1"/>
  <c r="AA678" i="10" s="1"/>
  <c r="AA683" i="10" s="1"/>
  <c r="AA688" i="10" s="1"/>
  <c r="AA694" i="10" s="1"/>
  <c r="AA710" i="10" s="1"/>
  <c r="AA715" i="10" s="1"/>
  <c r="AA720" i="10" s="1"/>
  <c r="AA726" i="10" s="1"/>
  <c r="AA731" i="10" s="1"/>
  <c r="AA736" i="10" s="1"/>
  <c r="AA741" i="10" s="1"/>
  <c r="AA749" i="10" s="1"/>
  <c r="AA759" i="10" s="1"/>
  <c r="AA764" i="10" s="1"/>
  <c r="AA769" i="10" s="1"/>
  <c r="AA774" i="10" s="1"/>
  <c r="AA779" i="10" s="1"/>
  <c r="AL528" i="10"/>
  <c r="AM528" i="10" s="1"/>
  <c r="AO521" i="10" s="1"/>
  <c r="AN521" i="10" s="1"/>
  <c r="D528" i="10"/>
  <c r="AU527" i="10"/>
  <c r="AT527" i="10"/>
  <c r="AS527" i="10"/>
  <c r="AR527" i="10"/>
  <c r="AQ527" i="10"/>
  <c r="AP527" i="10"/>
  <c r="AO527" i="10"/>
  <c r="AN527" i="10"/>
  <c r="AL527" i="10"/>
  <c r="AK527" i="10"/>
  <c r="AF514" i="10" s="1"/>
  <c r="AJ527" i="10"/>
  <c r="AI527" i="10"/>
  <c r="AH527" i="10"/>
  <c r="AG527" i="10"/>
  <c r="AE527" i="10"/>
  <c r="AD527" i="10"/>
  <c r="AC527" i="10"/>
  <c r="AB527" i="10"/>
  <c r="D526" i="10"/>
  <c r="C526" i="10"/>
  <c r="B526" i="10"/>
  <c r="AE525" i="10"/>
  <c r="AC525" i="10"/>
  <c r="AB525" i="10"/>
  <c r="AL523" i="10"/>
  <c r="AM523" i="10" s="1"/>
  <c r="AM521" i="10" s="1"/>
  <c r="D523" i="10"/>
  <c r="AU522" i="10"/>
  <c r="AS522" i="10"/>
  <c r="AQ522" i="10"/>
  <c r="AO522" i="10"/>
  <c r="AN522" i="10"/>
  <c r="AD522" i="10"/>
  <c r="AD712" i="10" s="1"/>
  <c r="AV521" i="10"/>
  <c r="AG516" i="10"/>
  <c r="AF516" i="10"/>
  <c r="AE516" i="10"/>
  <c r="AE514" i="10"/>
  <c r="AG512" i="10"/>
  <c r="AF512" i="10"/>
  <c r="AE512" i="10"/>
  <c r="AD512" i="10" s="1"/>
  <c r="AG510" i="10"/>
  <c r="AE510" i="10"/>
  <c r="AG508" i="10"/>
  <c r="AF508" i="10"/>
  <c r="AE508" i="10"/>
  <c r="AG506" i="10"/>
  <c r="AF506" i="10"/>
  <c r="AE506" i="10"/>
  <c r="AG504" i="10"/>
  <c r="AF504" i="10"/>
  <c r="AD504" i="10" s="1"/>
  <c r="AE504" i="10"/>
  <c r="AJ502" i="10"/>
  <c r="AI503" i="10" s="1"/>
  <c r="AJ503" i="10" s="1"/>
  <c r="AI504" i="10" s="1"/>
  <c r="AJ504" i="10" s="1"/>
  <c r="BF501" i="10"/>
  <c r="AN2251" i="10" s="1"/>
  <c r="AL499" i="10"/>
  <c r="AE1711" i="10" s="1"/>
  <c r="AE1717" i="10" s="1"/>
  <c r="AE1723" i="10" s="1"/>
  <c r="AE1729" i="10" s="1"/>
  <c r="AE1735" i="10" s="1"/>
  <c r="AT495" i="10"/>
  <c r="AS495" i="10"/>
  <c r="AR495" i="10"/>
  <c r="AQ495" i="10"/>
  <c r="AU495" i="10" s="1"/>
  <c r="AP495" i="10"/>
  <c r="AK495" i="10"/>
  <c r="BD491" i="10" s="1"/>
  <c r="AJ495" i="10"/>
  <c r="C494" i="10" s="1"/>
  <c r="AG495" i="10"/>
  <c r="AF495" i="10"/>
  <c r="AE495" i="10"/>
  <c r="AD495" i="10"/>
  <c r="AT494" i="10"/>
  <c r="D494" i="10"/>
  <c r="B494" i="10"/>
  <c r="D495" i="10" s="1"/>
  <c r="B493" i="10"/>
  <c r="BB491" i="10"/>
  <c r="B491" i="10"/>
  <c r="BJ490" i="10"/>
  <c r="BI490" i="10"/>
  <c r="BH490" i="10"/>
  <c r="BG490" i="10"/>
  <c r="BD490" i="10"/>
  <c r="BB490" i="10"/>
  <c r="AH489" i="10"/>
  <c r="AG489" i="10"/>
  <c r="AF489" i="10"/>
  <c r="AE489" i="10"/>
  <c r="AD489" i="10"/>
  <c r="AI489" i="10" s="1"/>
  <c r="AC489" i="10"/>
  <c r="AD488" i="10"/>
  <c r="AE488" i="10" s="1"/>
  <c r="AF488" i="10" s="1"/>
  <c r="AG488" i="10" s="1"/>
  <c r="AH488" i="10" s="1"/>
  <c r="AT485" i="10"/>
  <c r="AS485" i="10"/>
  <c r="AR485" i="10"/>
  <c r="AQ485" i="10"/>
  <c r="AP485" i="10"/>
  <c r="AK485" i="10"/>
  <c r="AX485" i="10" s="1"/>
  <c r="AJ485" i="10"/>
  <c r="AG485" i="10"/>
  <c r="AF485" i="10"/>
  <c r="AE485" i="10"/>
  <c r="AD485" i="10"/>
  <c r="AT484" i="10"/>
  <c r="D484" i="10"/>
  <c r="C484" i="10"/>
  <c r="B484" i="10"/>
  <c r="D485" i="10" s="1"/>
  <c r="B483" i="10"/>
  <c r="BD481" i="10"/>
  <c r="B481" i="10"/>
  <c r="BJ480" i="10"/>
  <c r="BI480" i="10"/>
  <c r="BH480" i="10"/>
  <c r="BG480" i="10"/>
  <c r="BD480" i="10"/>
  <c r="BB480" i="10"/>
  <c r="AH479" i="10"/>
  <c r="AF479" i="10"/>
  <c r="AE479" i="10"/>
  <c r="AD479" i="10"/>
  <c r="AD478" i="10"/>
  <c r="AE478" i="10" s="1"/>
  <c r="AF478" i="10" s="1"/>
  <c r="AG478" i="10" s="1"/>
  <c r="AH478" i="10" s="1"/>
  <c r="AT475" i="10"/>
  <c r="AS475" i="10"/>
  <c r="AR475" i="10"/>
  <c r="AQ475" i="10"/>
  <c r="AP475" i="10"/>
  <c r="AK475" i="10"/>
  <c r="BD471" i="10" s="1"/>
  <c r="AJ475" i="10"/>
  <c r="C474" i="10" s="1"/>
  <c r="AG475" i="10"/>
  <c r="AF475" i="10"/>
  <c r="AE475" i="10"/>
  <c r="AD475" i="10"/>
  <c r="AT474" i="10"/>
  <c r="D474" i="10"/>
  <c r="B474" i="10"/>
  <c r="D475" i="10" s="1"/>
  <c r="B473" i="10"/>
  <c r="BB471" i="10"/>
  <c r="B471" i="10"/>
  <c r="BJ470" i="10"/>
  <c r="BI470" i="10"/>
  <c r="BH470" i="10"/>
  <c r="BG470" i="10"/>
  <c r="BD470" i="10"/>
  <c r="BB470" i="10"/>
  <c r="AH469" i="10"/>
  <c r="AG469" i="10"/>
  <c r="AF469" i="10"/>
  <c r="AE469" i="10"/>
  <c r="AD469" i="10"/>
  <c r="AC469" i="10"/>
  <c r="AD468" i="10"/>
  <c r="AE468" i="10" s="1"/>
  <c r="AF468" i="10" s="1"/>
  <c r="AG468" i="10" s="1"/>
  <c r="AH468" i="10" s="1"/>
  <c r="AT465" i="10"/>
  <c r="AS465" i="10"/>
  <c r="AR465" i="10"/>
  <c r="AQ465" i="10"/>
  <c r="AP465" i="10"/>
  <c r="AK465" i="10"/>
  <c r="AX465" i="10" s="1"/>
  <c r="AJ465" i="10"/>
  <c r="AG465" i="10"/>
  <c r="AF465" i="10"/>
  <c r="AE465" i="10"/>
  <c r="AD465" i="10"/>
  <c r="AT464" i="10"/>
  <c r="D464" i="10"/>
  <c r="C464" i="10"/>
  <c r="B464" i="10"/>
  <c r="D465" i="10" s="1"/>
  <c r="B463" i="10"/>
  <c r="BD461" i="10"/>
  <c r="B461" i="10"/>
  <c r="BJ460" i="10"/>
  <c r="BI460" i="10"/>
  <c r="BH460" i="10"/>
  <c r="BG460" i="10"/>
  <c r="BD460" i="10"/>
  <c r="BB460" i="10"/>
  <c r="AH459" i="10"/>
  <c r="AG459" i="10"/>
  <c r="AF459" i="10"/>
  <c r="AE459" i="10"/>
  <c r="AD459" i="10"/>
  <c r="AC459" i="10"/>
  <c r="AD458" i="10"/>
  <c r="AE458" i="10" s="1"/>
  <c r="AF458" i="10" s="1"/>
  <c r="AG458" i="10" s="1"/>
  <c r="AH458" i="10" s="1"/>
  <c r="AT455" i="10"/>
  <c r="AS455" i="10"/>
  <c r="AR455" i="10"/>
  <c r="AQ455" i="10"/>
  <c r="AP455" i="10"/>
  <c r="AK455" i="10"/>
  <c r="BD451" i="10" s="1"/>
  <c r="AJ455" i="10"/>
  <c r="C454" i="10" s="1"/>
  <c r="AG455" i="10"/>
  <c r="AF455" i="10"/>
  <c r="AE455" i="10"/>
  <c r="AD455" i="10"/>
  <c r="D454" i="10"/>
  <c r="B454" i="10"/>
  <c r="D455" i="10" s="1"/>
  <c r="B453" i="10"/>
  <c r="B451" i="10"/>
  <c r="BJ450" i="10"/>
  <c r="BI450" i="10"/>
  <c r="BH450" i="10"/>
  <c r="BG450" i="10"/>
  <c r="BD450" i="10"/>
  <c r="BB450" i="10"/>
  <c r="AH449" i="10"/>
  <c r="AG449" i="10"/>
  <c r="AF449" i="10"/>
  <c r="AE449" i="10"/>
  <c r="AD449" i="10"/>
  <c r="AC449" i="10"/>
  <c r="AD448" i="10"/>
  <c r="AE448" i="10" s="1"/>
  <c r="AF448" i="10" s="1"/>
  <c r="AG448" i="10" s="1"/>
  <c r="AH448" i="10" s="1"/>
  <c r="AT445" i="10"/>
  <c r="AS445" i="10"/>
  <c r="AR445" i="10"/>
  <c r="AQ445" i="10"/>
  <c r="AP445" i="10"/>
  <c r="AK445" i="10"/>
  <c r="AX445" i="10" s="1"/>
  <c r="AJ445" i="10"/>
  <c r="AG445" i="10"/>
  <c r="AF445" i="10"/>
  <c r="AE445" i="10"/>
  <c r="AD445" i="10"/>
  <c r="AT444" i="10"/>
  <c r="D444" i="10"/>
  <c r="C444" i="10"/>
  <c r="B444" i="10"/>
  <c r="D445" i="10" s="1"/>
  <c r="B443" i="10"/>
  <c r="BD441" i="10"/>
  <c r="B441" i="10"/>
  <c r="BJ440" i="10"/>
  <c r="BI440" i="10"/>
  <c r="BH440" i="10"/>
  <c r="BG440" i="10"/>
  <c r="BD440" i="10"/>
  <c r="BB440" i="10"/>
  <c r="AH439" i="10"/>
  <c r="AF439" i="10"/>
  <c r="AE439" i="10"/>
  <c r="AD439" i="10"/>
  <c r="AD438" i="10"/>
  <c r="AE438" i="10" s="1"/>
  <c r="AF438" i="10" s="1"/>
  <c r="AG438" i="10" s="1"/>
  <c r="AH438" i="10" s="1"/>
  <c r="AT435" i="10"/>
  <c r="AS435" i="10"/>
  <c r="AR435" i="10"/>
  <c r="AQ435" i="10"/>
  <c r="AP435" i="10"/>
  <c r="AJ435" i="10"/>
  <c r="C434" i="10" s="1"/>
  <c r="AG435" i="10"/>
  <c r="AF435" i="10"/>
  <c r="AE435" i="10"/>
  <c r="AD435" i="10"/>
  <c r="D434" i="10"/>
  <c r="B434" i="10"/>
  <c r="B433" i="10"/>
  <c r="B431" i="10"/>
  <c r="BJ430" i="10"/>
  <c r="BI430" i="10"/>
  <c r="BH430" i="10"/>
  <c r="BG430" i="10"/>
  <c r="BD430" i="10"/>
  <c r="BB430" i="10"/>
  <c r="AH429" i="10"/>
  <c r="AF429" i="10"/>
  <c r="AE429" i="10"/>
  <c r="AD429" i="10"/>
  <c r="AF428" i="10"/>
  <c r="AG428" i="10" s="1"/>
  <c r="AH428" i="10" s="1"/>
  <c r="AE428" i="10"/>
  <c r="AD428" i="10"/>
  <c r="AT425" i="10"/>
  <c r="AS425" i="10"/>
  <c r="AR425" i="10"/>
  <c r="AQ425" i="10"/>
  <c r="AP425" i="10"/>
  <c r="AJ425" i="10"/>
  <c r="AT424" i="10" s="1"/>
  <c r="AG425" i="10"/>
  <c r="AF425" i="10"/>
  <c r="AE425" i="10"/>
  <c r="AD425" i="10"/>
  <c r="D424" i="10"/>
  <c r="B424" i="10"/>
  <c r="B423" i="10"/>
  <c r="B421" i="10"/>
  <c r="BJ420" i="10"/>
  <c r="BI420" i="10"/>
  <c r="BH420" i="10"/>
  <c r="BG420" i="10"/>
  <c r="BD420" i="10"/>
  <c r="BB420" i="10"/>
  <c r="AH419" i="10"/>
  <c r="AF419" i="10"/>
  <c r="AE419" i="10"/>
  <c r="AD419" i="10"/>
  <c r="AD418" i="10"/>
  <c r="AE418" i="10" s="1"/>
  <c r="AF418" i="10" s="1"/>
  <c r="AG418" i="10" s="1"/>
  <c r="AH418" i="10" s="1"/>
  <c r="AT415" i="10"/>
  <c r="AS415" i="10"/>
  <c r="AR415" i="10"/>
  <c r="AQ415" i="10"/>
  <c r="AP415" i="10"/>
  <c r="AJ415" i="10"/>
  <c r="C414" i="10" s="1"/>
  <c r="AG415" i="10"/>
  <c r="AF415" i="10"/>
  <c r="AE415" i="10"/>
  <c r="AD415" i="10"/>
  <c r="D414" i="10"/>
  <c r="B414" i="10"/>
  <c r="B413" i="10"/>
  <c r="B411" i="10"/>
  <c r="BJ410" i="10"/>
  <c r="BI410" i="10"/>
  <c r="BH410" i="10"/>
  <c r="BG410" i="10"/>
  <c r="BD410" i="10"/>
  <c r="BB410" i="10"/>
  <c r="AH409" i="10"/>
  <c r="AG409" i="10"/>
  <c r="AF409" i="10"/>
  <c r="AE409" i="10"/>
  <c r="AD409" i="10"/>
  <c r="AC409" i="10"/>
  <c r="AD408" i="10"/>
  <c r="AE408" i="10" s="1"/>
  <c r="AF408" i="10" s="1"/>
  <c r="AG408" i="10" s="1"/>
  <c r="AH408" i="10" s="1"/>
  <c r="AT405" i="10"/>
  <c r="AS405" i="10"/>
  <c r="AR405" i="10"/>
  <c r="AQ405" i="10"/>
  <c r="AP405" i="10"/>
  <c r="AJ405" i="10"/>
  <c r="AT404" i="10" s="1"/>
  <c r="AG405" i="10"/>
  <c r="AF405" i="10"/>
  <c r="AE405" i="10"/>
  <c r="AD405" i="10"/>
  <c r="D404" i="10"/>
  <c r="B404" i="10"/>
  <c r="B403" i="10"/>
  <c r="B401" i="10"/>
  <c r="BJ400" i="10"/>
  <c r="BI400" i="10"/>
  <c r="BH400" i="10"/>
  <c r="BG400" i="10"/>
  <c r="BD400" i="10"/>
  <c r="BB400" i="10"/>
  <c r="AH399" i="10"/>
  <c r="AF399" i="10"/>
  <c r="AE399" i="10"/>
  <c r="AD399" i="10"/>
  <c r="AD398" i="10"/>
  <c r="AE398" i="10" s="1"/>
  <c r="AF398" i="10" s="1"/>
  <c r="AG398" i="10" s="1"/>
  <c r="AH398" i="10" s="1"/>
  <c r="AT395" i="10"/>
  <c r="AS395" i="10"/>
  <c r="AR395" i="10"/>
  <c r="AQ395" i="10"/>
  <c r="AP395" i="10"/>
  <c r="AK395" i="10"/>
  <c r="BD391" i="10" s="1"/>
  <c r="AJ395" i="10"/>
  <c r="C394" i="10" s="1"/>
  <c r="AG395" i="10"/>
  <c r="AF395" i="10"/>
  <c r="AE395" i="10"/>
  <c r="AD395" i="10"/>
  <c r="AT394" i="10"/>
  <c r="D394" i="10"/>
  <c r="B394" i="10"/>
  <c r="D395" i="10" s="1"/>
  <c r="B393" i="10"/>
  <c r="B391" i="10"/>
  <c r="BJ390" i="10"/>
  <c r="BI390" i="10"/>
  <c r="BH390" i="10"/>
  <c r="BG390" i="10"/>
  <c r="BD390" i="10"/>
  <c r="BB390" i="10"/>
  <c r="AH389" i="10"/>
  <c r="AG389" i="10"/>
  <c r="AF389" i="10"/>
  <c r="AE389" i="10"/>
  <c r="AD389" i="10"/>
  <c r="AC389" i="10"/>
  <c r="AD388" i="10"/>
  <c r="AE388" i="10" s="1"/>
  <c r="AF388" i="10" s="1"/>
  <c r="AG388" i="10" s="1"/>
  <c r="AT385" i="10"/>
  <c r="AS385" i="10"/>
  <c r="AR385" i="10"/>
  <c r="AQ385" i="10"/>
  <c r="AP385" i="10"/>
  <c r="AJ385" i="10"/>
  <c r="AT384" i="10" s="1"/>
  <c r="AG385" i="10"/>
  <c r="AF385" i="10"/>
  <c r="AE385" i="10"/>
  <c r="AD385" i="10"/>
  <c r="D384" i="10"/>
  <c r="B384" i="10"/>
  <c r="B383" i="10"/>
  <c r="B381" i="10"/>
  <c r="BJ380" i="10"/>
  <c r="BI380" i="10"/>
  <c r="BH380" i="10"/>
  <c r="BG380" i="10"/>
  <c r="BD380" i="10"/>
  <c r="BB380" i="10"/>
  <c r="AH379" i="10"/>
  <c r="AF379" i="10"/>
  <c r="AE379" i="10"/>
  <c r="AD379" i="10"/>
  <c r="AF378" i="10"/>
  <c r="AG378" i="10" s="1"/>
  <c r="AH378" i="10" s="1"/>
  <c r="AD378" i="10"/>
  <c r="AE378" i="10" s="1"/>
  <c r="AT375" i="10"/>
  <c r="AS375" i="10"/>
  <c r="AR375" i="10"/>
  <c r="AQ375" i="10"/>
  <c r="AP375" i="10"/>
  <c r="AJ375" i="10"/>
  <c r="AT374" i="10" s="1"/>
  <c r="AG375" i="10"/>
  <c r="AF375" i="10"/>
  <c r="AE375" i="10"/>
  <c r="AD375" i="10"/>
  <c r="D374" i="10"/>
  <c r="B374" i="10"/>
  <c r="B373" i="10"/>
  <c r="B371" i="10"/>
  <c r="BJ370" i="10"/>
  <c r="BI370" i="10"/>
  <c r="BH370" i="10"/>
  <c r="BG370" i="10"/>
  <c r="BD370" i="10"/>
  <c r="BB370" i="10"/>
  <c r="AH369" i="10"/>
  <c r="AF369" i="10"/>
  <c r="AE369" i="10"/>
  <c r="AD369" i="10"/>
  <c r="AD368" i="10"/>
  <c r="AE368" i="10" s="1"/>
  <c r="AF368" i="10" s="1"/>
  <c r="AG368" i="10" s="1"/>
  <c r="AH368" i="10" s="1"/>
  <c r="A367" i="10"/>
  <c r="A377" i="10" s="1"/>
  <c r="A387" i="10" s="1"/>
  <c r="A397" i="10" s="1"/>
  <c r="A407" i="10" s="1"/>
  <c r="A417" i="10" s="1"/>
  <c r="A427" i="10" s="1"/>
  <c r="A437" i="10" s="1"/>
  <c r="A447" i="10" s="1"/>
  <c r="A457" i="10" s="1"/>
  <c r="A467" i="10" s="1"/>
  <c r="A477" i="10" s="1"/>
  <c r="A487" i="10" s="1"/>
  <c r="A523" i="10" s="1"/>
  <c r="AT365" i="10"/>
  <c r="AS365" i="10"/>
  <c r="AR365" i="10"/>
  <c r="AQ365" i="10"/>
  <c r="AP365" i="10"/>
  <c r="AJ365" i="10"/>
  <c r="AG365" i="10"/>
  <c r="AF365" i="10"/>
  <c r="AE365" i="10"/>
  <c r="AD365" i="10"/>
  <c r="BF364" i="10"/>
  <c r="BF374" i="10" s="1"/>
  <c r="BF384" i="10" s="1"/>
  <c r="BF394" i="10" s="1"/>
  <c r="BF404" i="10" s="1"/>
  <c r="BF414" i="10" s="1"/>
  <c r="BF424" i="10" s="1"/>
  <c r="BF434" i="10" s="1"/>
  <c r="BF444" i="10" s="1"/>
  <c r="BF454" i="10" s="1"/>
  <c r="BF464" i="10" s="1"/>
  <c r="BF474" i="10" s="1"/>
  <c r="BF484" i="10" s="1"/>
  <c r="BF494" i="10" s="1"/>
  <c r="BF499" i="10" s="1"/>
  <c r="AT364" i="10"/>
  <c r="D364" i="10"/>
  <c r="C364" i="10"/>
  <c r="B364" i="10"/>
  <c r="B363" i="10"/>
  <c r="B361" i="10"/>
  <c r="BJ360" i="10"/>
  <c r="BI360" i="10"/>
  <c r="BH360" i="10"/>
  <c r="BG360" i="10"/>
  <c r="BD360" i="10"/>
  <c r="BB360" i="10"/>
  <c r="BJ359" i="10"/>
  <c r="BH359" i="10"/>
  <c r="BH369" i="10" s="1"/>
  <c r="AH359" i="10"/>
  <c r="AG359" i="10"/>
  <c r="AF359" i="10"/>
  <c r="AE359" i="10"/>
  <c r="AD359" i="10"/>
  <c r="AC359" i="10"/>
  <c r="AD358" i="10"/>
  <c r="AE358" i="10" s="1"/>
  <c r="AF358" i="10" s="1"/>
  <c r="AG358" i="10" s="1"/>
  <c r="AH358" i="10" s="1"/>
  <c r="AS356" i="10"/>
  <c r="AR356" i="10" s="1"/>
  <c r="AQ356" i="10" s="1"/>
  <c r="AP356" i="10" s="1"/>
  <c r="B353" i="10"/>
  <c r="AO344" i="10"/>
  <c r="AO343" i="10"/>
  <c r="AH343" i="10"/>
  <c r="B339" i="10"/>
  <c r="BB338" i="10"/>
  <c r="AX338" i="10"/>
  <c r="AO338" i="10"/>
  <c r="B338" i="10"/>
  <c r="B2960" i="10" s="1"/>
  <c r="AZ337" i="10"/>
  <c r="AL337" i="10"/>
  <c r="AV330" i="10"/>
  <c r="AF330" i="10"/>
  <c r="AS329" i="10"/>
  <c r="AR329" i="10"/>
  <c r="AQ329" i="10"/>
  <c r="AP329" i="10"/>
  <c r="AO328" i="10"/>
  <c r="AK327" i="10"/>
  <c r="AV326" i="10"/>
  <c r="AK325" i="10"/>
  <c r="AO324" i="10"/>
  <c r="B323" i="10"/>
  <c r="AC322" i="10"/>
  <c r="AB322" i="10"/>
  <c r="AE322" i="10" s="1"/>
  <c r="B322" i="10"/>
  <c r="AG321" i="10"/>
  <c r="AB321" i="10" s="1"/>
  <c r="AE321" i="10" s="1"/>
  <c r="AC1129" i="10" s="1"/>
  <c r="AF1129" i="10" s="1"/>
  <c r="C1129" i="10" s="1"/>
  <c r="AX315" i="10"/>
  <c r="AW315" i="10"/>
  <c r="AV315" i="10"/>
  <c r="AS315" i="10"/>
  <c r="AR315" i="10"/>
  <c r="AQ315" i="10"/>
  <c r="AP315" i="10"/>
  <c r="AO315" i="10"/>
  <c r="AN315" i="10"/>
  <c r="AM315" i="10"/>
  <c r="AL315" i="10"/>
  <c r="AV314" i="10"/>
  <c r="AO314" i="10"/>
  <c r="AV312" i="10"/>
  <c r="AO310" i="10"/>
  <c r="D301" i="10"/>
  <c r="C301" i="10"/>
  <c r="B301" i="10"/>
  <c r="D300" i="10"/>
  <c r="C300" i="10"/>
  <c r="B300" i="10"/>
  <c r="D299" i="10"/>
  <c r="C299" i="10"/>
  <c r="B299" i="10"/>
  <c r="A299" i="10"/>
  <c r="D297" i="10"/>
  <c r="C297" i="10"/>
  <c r="B297" i="10"/>
  <c r="D296" i="10"/>
  <c r="C296" i="10"/>
  <c r="B296" i="10"/>
  <c r="D295" i="10"/>
  <c r="C295" i="10"/>
  <c r="B295" i="10"/>
  <c r="A295" i="10"/>
  <c r="D293" i="10"/>
  <c r="C293" i="10"/>
  <c r="B293" i="10"/>
  <c r="D292" i="10"/>
  <c r="C292" i="10"/>
  <c r="B292" i="10"/>
  <c r="D291" i="10"/>
  <c r="C291" i="10"/>
  <c r="B291" i="10"/>
  <c r="A291" i="10"/>
  <c r="D289" i="10"/>
  <c r="C289" i="10"/>
  <c r="B289" i="10"/>
  <c r="D288" i="10"/>
  <c r="C288" i="10"/>
  <c r="B288" i="10"/>
  <c r="D287" i="10"/>
  <c r="C287" i="10"/>
  <c r="B287" i="10"/>
  <c r="A287" i="10"/>
  <c r="D285" i="10"/>
  <c r="C285" i="10"/>
  <c r="B285" i="10"/>
  <c r="D284" i="10"/>
  <c r="C284" i="10"/>
  <c r="B284" i="10"/>
  <c r="D283" i="10"/>
  <c r="C283" i="10"/>
  <c r="B283" i="10"/>
  <c r="A283" i="10"/>
  <c r="D281" i="10"/>
  <c r="C281" i="10"/>
  <c r="B281" i="10"/>
  <c r="D280" i="10"/>
  <c r="C280" i="10"/>
  <c r="B280" i="10"/>
  <c r="D279" i="10"/>
  <c r="C279" i="10"/>
  <c r="B279" i="10"/>
  <c r="A279" i="10"/>
  <c r="B278" i="10"/>
  <c r="C264" i="10"/>
  <c r="C2813" i="10" s="1"/>
  <c r="B260" i="10"/>
  <c r="AO259" i="10"/>
  <c r="AG259" i="10"/>
  <c r="AO256" i="10"/>
  <c r="AI253" i="10"/>
  <c r="AO250" i="10"/>
  <c r="AL250" i="10"/>
  <c r="AK250" i="10"/>
  <c r="AJ250" i="10"/>
  <c r="AI248" i="10"/>
  <c r="B248" i="10"/>
  <c r="C2774" i="10" s="1"/>
  <c r="B246" i="10"/>
  <c r="B2778" i="10" s="1"/>
  <c r="B244" i="10"/>
  <c r="AD244" i="10" s="1"/>
  <c r="AI242" i="10" s="1"/>
  <c r="AV243" i="10"/>
  <c r="AI243" i="10"/>
  <c r="AK235" i="10"/>
  <c r="AM235" i="10" s="1"/>
  <c r="A235" i="10"/>
  <c r="AK234" i="10"/>
  <c r="AM234" i="10" s="1"/>
  <c r="A234" i="10"/>
  <c r="AK233" i="10"/>
  <c r="AM233" i="10" s="1"/>
  <c r="A233" i="10"/>
  <c r="AK232" i="10"/>
  <c r="AM232" i="10" s="1"/>
  <c r="A232" i="10"/>
  <c r="AK231" i="10"/>
  <c r="AM231" i="10" s="1"/>
  <c r="A231" i="10"/>
  <c r="AK230" i="10"/>
  <c r="AM230" i="10" s="1"/>
  <c r="A230" i="10"/>
  <c r="AK229" i="10"/>
  <c r="AM229" i="10" s="1"/>
  <c r="A229" i="10"/>
  <c r="AK228" i="10"/>
  <c r="AM228" i="10" s="1"/>
  <c r="A228" i="10"/>
  <c r="AK227" i="10"/>
  <c r="AM227" i="10" s="1"/>
  <c r="A227" i="10"/>
  <c r="AK226" i="10"/>
  <c r="A226" i="10"/>
  <c r="AO222" i="10"/>
  <c r="AO220" i="10"/>
  <c r="AQ220" i="10" s="1"/>
  <c r="AV212" i="10"/>
  <c r="AN212" i="10"/>
  <c r="AC1937" i="10" s="1"/>
  <c r="AA1937" i="10" s="1"/>
  <c r="AV210" i="10"/>
  <c r="AU209" i="10"/>
  <c r="AU208" i="10"/>
  <c r="AP208" i="10"/>
  <c r="AP209" i="10" s="1"/>
  <c r="AL208" i="10"/>
  <c r="AL209" i="10" s="1"/>
  <c r="AH208" i="10"/>
  <c r="AH209" i="10" s="1"/>
  <c r="AA208" i="10"/>
  <c r="AA226" i="10" s="1"/>
  <c r="AA243" i="10" s="1"/>
  <c r="AA246" i="10" s="1"/>
  <c r="AA248" i="10" s="1"/>
  <c r="AA250" i="10" s="1"/>
  <c r="AA256" i="10" s="1"/>
  <c r="AA259" i="10" s="1"/>
  <c r="AA310" i="10" s="1"/>
  <c r="AA314" i="10" s="1"/>
  <c r="AA324" i="10" s="1"/>
  <c r="AA325" i="10" s="1"/>
  <c r="AA326" i="10" s="1"/>
  <c r="AA327" i="10" s="1"/>
  <c r="AA328" i="10" s="1"/>
  <c r="AA337" i="10" s="1"/>
  <c r="AA338" i="10" s="1"/>
  <c r="AA343" i="10" s="1"/>
  <c r="AA344" i="10" s="1"/>
  <c r="BK206" i="10"/>
  <c r="BJ206" i="10"/>
  <c r="BI206" i="10"/>
  <c r="BH206" i="10"/>
  <c r="BD311" i="10" s="1"/>
  <c r="BG206" i="10"/>
  <c r="AV338" i="10" s="1"/>
  <c r="AQ206" i="10"/>
  <c r="AJ206" i="10" s="1"/>
  <c r="AX202" i="10"/>
  <c r="AD202" i="10"/>
  <c r="BK202" i="10"/>
  <c r="BF1889" i="10" s="1"/>
  <c r="B186" i="10"/>
  <c r="A186" i="10"/>
  <c r="B184" i="10"/>
  <c r="A184" i="10"/>
  <c r="B182" i="10"/>
  <c r="B180" i="10"/>
  <c r="B178" i="10"/>
  <c r="B176" i="10"/>
  <c r="B174" i="10"/>
  <c r="B172" i="10"/>
  <c r="B170" i="10"/>
  <c r="B168" i="10"/>
  <c r="B166" i="10"/>
  <c r="B164" i="10"/>
  <c r="B162" i="10"/>
  <c r="B160" i="10"/>
  <c r="B158" i="10"/>
  <c r="AI104" i="10"/>
  <c r="B3212" i="10" s="1"/>
  <c r="AD104" i="10"/>
  <c r="B78" i="10"/>
  <c r="C75" i="10"/>
  <c r="B75" i="10"/>
  <c r="C73" i="10"/>
  <c r="B73" i="10" s="1"/>
  <c r="C71" i="10"/>
  <c r="B71" i="10" s="1"/>
  <c r="C70" i="10"/>
  <c r="B70" i="10" s="1"/>
  <c r="C69" i="10"/>
  <c r="B69" i="10" s="1"/>
  <c r="C67" i="10"/>
  <c r="B67" i="10" s="1"/>
  <c r="C66" i="10"/>
  <c r="B66" i="10" s="1"/>
  <c r="B64" i="10"/>
  <c r="C60" i="10"/>
  <c r="AU51" i="10"/>
  <c r="AU52" i="10" s="1"/>
  <c r="AT51" i="10"/>
  <c r="AT52" i="10" s="1"/>
  <c r="AS51" i="10"/>
  <c r="AS52" i="10" s="1"/>
  <c r="AR51" i="10"/>
  <c r="AR52" i="10" s="1"/>
  <c r="AQ51" i="10"/>
  <c r="AQ52" i="10" s="1"/>
  <c r="BT46" i="10"/>
  <c r="BT45" i="10"/>
  <c r="BM45" i="10"/>
  <c r="AR45" i="10" s="1"/>
  <c r="AP44" i="10"/>
  <c r="AI44" i="10"/>
  <c r="B44" i="10" s="1"/>
  <c r="AH33" i="10"/>
  <c r="AH29" i="10"/>
  <c r="AH28" i="10"/>
  <c r="AH27" i="10"/>
  <c r="AH26" i="10"/>
  <c r="AH25" i="10"/>
  <c r="BN24" i="10"/>
  <c r="BK24" i="10" s="1"/>
  <c r="AH24" i="10"/>
  <c r="BN23" i="10"/>
  <c r="BK23" i="10" s="1"/>
  <c r="BN22" i="10"/>
  <c r="BK22" i="10" s="1"/>
  <c r="BN21" i="10"/>
  <c r="BK21" i="10" s="1"/>
  <c r="AO21" i="10"/>
  <c r="BN20" i="10"/>
  <c r="BK20" i="10"/>
  <c r="AO20" i="10"/>
  <c r="AO19" i="10"/>
  <c r="BN18" i="10"/>
  <c r="BK18" i="10" s="1"/>
  <c r="AO18" i="10"/>
  <c r="BK17" i="10"/>
  <c r="AO17" i="10"/>
  <c r="BL16" i="10"/>
  <c r="AO16" i="10"/>
  <c r="BL15" i="10"/>
  <c r="AO15" i="10"/>
  <c r="BL14" i="10"/>
  <c r="BN13" i="10"/>
  <c r="BK13" i="10" s="1"/>
  <c r="BL13" i="10"/>
  <c r="BL12" i="10"/>
  <c r="AH12" i="10"/>
  <c r="BL11" i="10"/>
  <c r="AH11" i="10"/>
  <c r="BL10" i="10"/>
  <c r="AH10" i="10"/>
  <c r="BN9" i="10"/>
  <c r="BK9" i="10" s="1"/>
  <c r="BL9" i="10"/>
  <c r="AH9" i="10"/>
  <c r="AH7" i="10"/>
  <c r="AS4" i="10"/>
  <c r="AQ4" i="10"/>
  <c r="AO4" i="10"/>
  <c r="B1254" i="3"/>
  <c r="B1253" i="3"/>
  <c r="B1252" i="3"/>
  <c r="B1251" i="3"/>
  <c r="B1246" i="3"/>
  <c r="B1244" i="3"/>
  <c r="B1245" i="3"/>
  <c r="B1243" i="3"/>
  <c r="B1221" i="3"/>
  <c r="B1237" i="3"/>
  <c r="B1234" i="3"/>
  <c r="AG1235" i="3"/>
  <c r="B1235" i="3" s="1"/>
  <c r="AG1236" i="3"/>
  <c r="B1236" i="3" s="1"/>
  <c r="AG1229" i="3"/>
  <c r="B1229" i="3" s="1"/>
  <c r="AG1222" i="3"/>
  <c r="B1222" i="3" s="1"/>
  <c r="AG1223" i="3"/>
  <c r="B1223" i="3" s="1"/>
  <c r="AG1224" i="3"/>
  <c r="B1224" i="3" s="1"/>
  <c r="AG1225" i="3"/>
  <c r="B1225" i="3" s="1"/>
  <c r="AG1226" i="3"/>
  <c r="B1226" i="3" s="1"/>
  <c r="AG1227" i="3"/>
  <c r="B1227" i="3" s="1"/>
  <c r="AG1228" i="3"/>
  <c r="B1228" i="3" s="1"/>
  <c r="C922" i="3"/>
  <c r="AI1850" i="3" s="1"/>
  <c r="B944" i="3"/>
  <c r="AG2360" i="3"/>
  <c r="BK3305" i="10" l="1"/>
  <c r="BB2365" i="10"/>
  <c r="BB2366" i="10" s="1"/>
  <c r="BB2368" i="10"/>
  <c r="BB2369" i="10" s="1"/>
  <c r="BB2383" i="10"/>
  <c r="BB2384" i="10" s="1"/>
  <c r="BB2377" i="10"/>
  <c r="D2381" i="10" s="1"/>
  <c r="BQ2377" i="10" s="1"/>
  <c r="D2382" i="10" s="1"/>
  <c r="AL2175" i="10"/>
  <c r="B2174" i="10"/>
  <c r="AD518" i="10"/>
  <c r="B503" i="10" s="1"/>
  <c r="AA909" i="10"/>
  <c r="AA913" i="10" s="1"/>
  <c r="AA914" i="10" s="1"/>
  <c r="AA915" i="10" s="1"/>
  <c r="AA916" i="10" s="1"/>
  <c r="AA917" i="10" s="1"/>
  <c r="AA918" i="10" s="1"/>
  <c r="AA919" i="10" s="1"/>
  <c r="AA920" i="10" s="1"/>
  <c r="AA922" i="10" s="1"/>
  <c r="AA926" i="10" s="1"/>
  <c r="AA935" i="10" s="1"/>
  <c r="AA944" i="10" s="1"/>
  <c r="BL2" i="10" s="1"/>
  <c r="BK2" i="10"/>
  <c r="AC3223" i="10"/>
  <c r="EJ3216" i="10"/>
  <c r="C68" i="10"/>
  <c r="B68" i="10" s="1"/>
  <c r="AC369" i="10"/>
  <c r="AG369" i="10"/>
  <c r="AC379" i="10"/>
  <c r="AG379" i="10"/>
  <c r="C424" i="10"/>
  <c r="AC429" i="10"/>
  <c r="AG429" i="10"/>
  <c r="AI429" i="10" s="1"/>
  <c r="AK429" i="10" s="1"/>
  <c r="AT434" i="10"/>
  <c r="AC439" i="10"/>
  <c r="AG439" i="10"/>
  <c r="BB461" i="10"/>
  <c r="AI465" i="10"/>
  <c r="AN465" i="10" s="1"/>
  <c r="AI475" i="10"/>
  <c r="AN475" i="10" s="1"/>
  <c r="AC479" i="10"/>
  <c r="AG479" i="10"/>
  <c r="AD508" i="10"/>
  <c r="AV538" i="10"/>
  <c r="AV543" i="10"/>
  <c r="AM554" i="10"/>
  <c r="AV596" i="10"/>
  <c r="AK608" i="10"/>
  <c r="AT625" i="10"/>
  <c r="AM657" i="10"/>
  <c r="AZ624" i="10" s="1"/>
  <c r="AY624" i="10" s="1"/>
  <c r="AD696" i="10"/>
  <c r="AD738" i="10"/>
  <c r="AV761" i="10"/>
  <c r="AF766" i="10"/>
  <c r="AX766" i="10" s="1"/>
  <c r="AZ766" i="10" s="1"/>
  <c r="BD766" i="10" s="1"/>
  <c r="AM766" i="10"/>
  <c r="AZ816" i="10"/>
  <c r="AZ817" i="10" s="1"/>
  <c r="AI863" i="10"/>
  <c r="AC864" i="10"/>
  <c r="AC866" i="10"/>
  <c r="AI869" i="10"/>
  <c r="AI871" i="10"/>
  <c r="AF897" i="10"/>
  <c r="BI1937" i="10"/>
  <c r="BK1944" i="10"/>
  <c r="BG1938" i="10"/>
  <c r="BK1940" i="10"/>
  <c r="BI1941" i="10"/>
  <c r="BG1942" i="10"/>
  <c r="AE973" i="10"/>
  <c r="AE966" i="10"/>
  <c r="AF954" i="10"/>
  <c r="AE959" i="10"/>
  <c r="AE963" i="10"/>
  <c r="AE967" i="10"/>
  <c r="AE971" i="10"/>
  <c r="AF1018" i="10"/>
  <c r="AF1019" i="10"/>
  <c r="AF1028" i="10"/>
  <c r="AF1026" i="10"/>
  <c r="AF1038" i="10"/>
  <c r="AG1035" i="10"/>
  <c r="AC1357" i="10"/>
  <c r="AE1647" i="10"/>
  <c r="AE1637" i="10"/>
  <c r="AC1689" i="10"/>
  <c r="C1689" i="10" s="1"/>
  <c r="AX1834" i="10"/>
  <c r="BA2247" i="10"/>
  <c r="AG2247" i="10" s="1"/>
  <c r="AG2241" i="10"/>
  <c r="E2933" i="10"/>
  <c r="E2934" i="10" s="1"/>
  <c r="FP3216" i="10"/>
  <c r="CO3222" i="10"/>
  <c r="AC3225" i="10"/>
  <c r="EL3216" i="10"/>
  <c r="BS3245" i="10"/>
  <c r="FE3216" i="10"/>
  <c r="BG1944" i="10"/>
  <c r="BK1942" i="10"/>
  <c r="AD635" i="10"/>
  <c r="AF635" i="10" s="1"/>
  <c r="AD646" i="10"/>
  <c r="AD651" i="10"/>
  <c r="AD685" i="10"/>
  <c r="AC865" i="10"/>
  <c r="AM868" i="10"/>
  <c r="AC870" i="10"/>
  <c r="AF895" i="10"/>
  <c r="AD973" i="10"/>
  <c r="AD972" i="10"/>
  <c r="AD970" i="10"/>
  <c r="AD963" i="10"/>
  <c r="AD960" i="10"/>
  <c r="AD956" i="10"/>
  <c r="AD959" i="10"/>
  <c r="AD967" i="10"/>
  <c r="AD971" i="10"/>
  <c r="AF998" i="10"/>
  <c r="AG995" i="10"/>
  <c r="AL2207" i="10"/>
  <c r="AJ2207" i="10" s="1"/>
  <c r="D2206" i="10" s="1"/>
  <c r="B2206" i="10"/>
  <c r="BA2248" i="10"/>
  <c r="AG2242" i="10"/>
  <c r="AO337" i="10"/>
  <c r="AC399" i="10"/>
  <c r="AI399" i="10" s="1"/>
  <c r="AG399" i="10"/>
  <c r="AD506" i="10"/>
  <c r="AT522" i="10"/>
  <c r="AV578" i="10"/>
  <c r="AF588" i="10"/>
  <c r="AM588" i="10"/>
  <c r="AD601" i="10"/>
  <c r="AF601" i="10" s="1"/>
  <c r="AC625" i="10"/>
  <c r="AF656" i="10"/>
  <c r="AM739" i="10"/>
  <c r="AZ706" i="10" s="1"/>
  <c r="AY706" i="10" s="1"/>
  <c r="AM743" i="10"/>
  <c r="AD751" i="10"/>
  <c r="AI818" i="10"/>
  <c r="AQ818" i="10"/>
  <c r="AS836" i="10"/>
  <c r="AF850" i="10"/>
  <c r="AF852" i="10"/>
  <c r="AC862" i="10"/>
  <c r="AL863" i="10"/>
  <c r="AL866" i="10"/>
  <c r="AM869" i="10"/>
  <c r="AM871" i="10"/>
  <c r="AD955" i="10"/>
  <c r="AD962" i="10"/>
  <c r="AD964" i="10"/>
  <c r="AD968" i="10"/>
  <c r="AF999" i="10"/>
  <c r="AF1058" i="10"/>
  <c r="AF1059" i="10"/>
  <c r="AF1068" i="10"/>
  <c r="AF1066" i="10"/>
  <c r="AF1078" i="10"/>
  <c r="AG1075" i="10"/>
  <c r="AE1578" i="10"/>
  <c r="AE1368" i="10"/>
  <c r="AC1352" i="10"/>
  <c r="AC1362" i="10" s="1"/>
  <c r="D1362" i="10" s="1"/>
  <c r="AI1364" i="10" s="1"/>
  <c r="AJ1364" i="10" s="1"/>
  <c r="AK1364" i="10" s="1"/>
  <c r="AE1388" i="10"/>
  <c r="AE1358" i="10"/>
  <c r="AC1669" i="10"/>
  <c r="C1669" i="10" s="1"/>
  <c r="AC1679" i="10"/>
  <c r="C1679" i="10" s="1"/>
  <c r="AX1813" i="10"/>
  <c r="AX1842" i="10"/>
  <c r="AX1844" i="10"/>
  <c r="AP2286" i="10"/>
  <c r="B2286" i="10" s="1"/>
  <c r="BB2386" i="10"/>
  <c r="BB2387" i="10" s="1"/>
  <c r="FI3216" i="10"/>
  <c r="CO3221" i="10"/>
  <c r="CO3226" i="10"/>
  <c r="AC3231" i="10"/>
  <c r="ER3216" i="10"/>
  <c r="CO3233" i="10"/>
  <c r="BG1940" i="10"/>
  <c r="AT454" i="10"/>
  <c r="AD516" i="10"/>
  <c r="AC522" i="10"/>
  <c r="AP522" i="10"/>
  <c r="AV612" i="10"/>
  <c r="AM617" i="10"/>
  <c r="AV646" i="10"/>
  <c r="AD674" i="10"/>
  <c r="AF674" i="10" s="1"/>
  <c r="AD680" i="10"/>
  <c r="AK681" i="10"/>
  <c r="AV690" i="10"/>
  <c r="AF696" i="10"/>
  <c r="AK818" i="10"/>
  <c r="AS818" i="10"/>
  <c r="AF845" i="10"/>
  <c r="AF849" i="10"/>
  <c r="AL849" i="10" s="1"/>
  <c r="AO849" i="10" s="1"/>
  <c r="AJ851" i="10"/>
  <c r="AJ853" i="10"/>
  <c r="AM862" i="10"/>
  <c r="AM863" i="10"/>
  <c r="AI868" i="10"/>
  <c r="AI872" i="10"/>
  <c r="BG1937" i="10"/>
  <c r="BI1944" i="10"/>
  <c r="BK1943" i="10"/>
  <c r="BK1937" i="10"/>
  <c r="BI1938" i="10"/>
  <c r="BG1939" i="10"/>
  <c r="BK1939" i="10"/>
  <c r="BI1940" i="10"/>
  <c r="BG1941" i="10"/>
  <c r="BK1941" i="10"/>
  <c r="BI1942" i="10"/>
  <c r="BG1943" i="10"/>
  <c r="AD954" i="10"/>
  <c r="AD966" i="10"/>
  <c r="AI1965" i="10"/>
  <c r="AI1973" i="10" s="1"/>
  <c r="AG1973" i="10" s="1"/>
  <c r="AG1957" i="10"/>
  <c r="BK3323" i="10"/>
  <c r="BI3323" i="10"/>
  <c r="AC1639" i="10"/>
  <c r="C1639" i="10" s="1"/>
  <c r="CI1640" i="10"/>
  <c r="CB1641" i="10"/>
  <c r="AC1649" i="10"/>
  <c r="C1649" i="10" s="1"/>
  <c r="AS1845" i="10"/>
  <c r="AS2122" i="10" s="1"/>
  <c r="AH1817" i="10"/>
  <c r="AH1822" i="10"/>
  <c r="AH1823" i="10"/>
  <c r="AH1826" i="10"/>
  <c r="AX1826" i="10"/>
  <c r="AH1827" i="10"/>
  <c r="AX1837" i="10"/>
  <c r="AH1841" i="10"/>
  <c r="AJ2175" i="10"/>
  <c r="D2174" i="10" s="1"/>
  <c r="AP2287" i="10"/>
  <c r="B2287" i="10" s="1"/>
  <c r="AP2292" i="10"/>
  <c r="B2292" i="10" s="1"/>
  <c r="CO3255" i="10"/>
  <c r="CO3258" i="10"/>
  <c r="CO3262" i="10"/>
  <c r="AH1807" i="10"/>
  <c r="AH1810" i="10"/>
  <c r="AX1810" i="10"/>
  <c r="AH1811" i="10"/>
  <c r="AX1821" i="10"/>
  <c r="AH1833" i="10"/>
  <c r="AH1838" i="10"/>
  <c r="AP2293" i="10"/>
  <c r="B2293" i="10" s="1"/>
  <c r="AN2344" i="10"/>
  <c r="AG2342" i="10" s="1"/>
  <c r="AD2342" i="10" s="1"/>
  <c r="BG2393" i="10"/>
  <c r="BH2394" i="10" s="1"/>
  <c r="BG2394" i="10" s="1"/>
  <c r="BH2395" i="10" s="1"/>
  <c r="BG2395" i="10" s="1"/>
  <c r="BH2396" i="10" s="1"/>
  <c r="BG2396" i="10" s="1"/>
  <c r="BH2397" i="10" s="1"/>
  <c r="BG2397" i="10" s="1"/>
  <c r="FH3216" i="10"/>
  <c r="CO3231" i="10"/>
  <c r="B3369" i="10"/>
  <c r="AD1" i="11"/>
  <c r="AD9" i="11"/>
  <c r="AD11" i="11"/>
  <c r="AD22" i="11"/>
  <c r="AD24" i="11"/>
  <c r="AD26" i="11"/>
  <c r="AD32" i="11"/>
  <c r="AD7" i="11"/>
  <c r="AD15" i="11"/>
  <c r="AD25" i="11"/>
  <c r="AD29" i="11"/>
  <c r="AD33" i="11"/>
  <c r="AD10" i="11"/>
  <c r="AD12" i="11"/>
  <c r="AD16" i="11"/>
  <c r="AD28" i="11"/>
  <c r="AD17" i="11"/>
  <c r="AD19" i="11"/>
  <c r="AD21" i="11"/>
  <c r="AD18" i="11"/>
  <c r="AD20" i="11"/>
  <c r="AD27" i="11"/>
  <c r="AJ14" i="11"/>
  <c r="AH14" i="11" s="1"/>
  <c r="AD14" i="11" s="1"/>
  <c r="AJ22" i="11"/>
  <c r="AH22" i="11" s="1"/>
  <c r="AJ31" i="11"/>
  <c r="AH31" i="11" s="1"/>
  <c r="AD31" i="11" s="1"/>
  <c r="AJ32" i="11"/>
  <c r="AH32" i="11" s="1"/>
  <c r="AJ34" i="11"/>
  <c r="AH34" i="11" s="1"/>
  <c r="AD34" i="11" s="1"/>
  <c r="AJ36" i="11"/>
  <c r="AH36" i="11" s="1"/>
  <c r="AD36" i="11" s="1"/>
  <c r="AJ4" i="11"/>
  <c r="AH4" i="11" s="1"/>
  <c r="AD4" i="11" s="1"/>
  <c r="BN10" i="11"/>
  <c r="BK10" i="11" s="1"/>
  <c r="B83" i="10"/>
  <c r="BN11" i="11"/>
  <c r="BK11" i="11" s="1"/>
  <c r="AQ222" i="10"/>
  <c r="AI375" i="10"/>
  <c r="AI395" i="10"/>
  <c r="AN395" i="10" s="1"/>
  <c r="AI415" i="10"/>
  <c r="AI419" i="10"/>
  <c r="BB441" i="10"/>
  <c r="AI445" i="10"/>
  <c r="AN445" i="10" s="1"/>
  <c r="AI455" i="10"/>
  <c r="AN455" i="10" s="1"/>
  <c r="AI459" i="10"/>
  <c r="AI469" i="10"/>
  <c r="AU475" i="10"/>
  <c r="AU485" i="10"/>
  <c r="AK523" i="10"/>
  <c r="AF510" i="10" s="1"/>
  <c r="AE944" i="10"/>
  <c r="BQ1" i="10" s="1"/>
  <c r="AF527" i="10"/>
  <c r="AM527" i="10"/>
  <c r="BB527" i="10" s="1"/>
  <c r="AV532" i="10"/>
  <c r="AM549" i="10"/>
  <c r="AV572" i="10"/>
  <c r="AK602" i="10"/>
  <c r="AM606" i="10"/>
  <c r="AV622" i="10"/>
  <c r="AK623" i="10"/>
  <c r="AV640" i="10"/>
  <c r="AF651" i="10"/>
  <c r="AK670" i="10"/>
  <c r="AK686" i="10"/>
  <c r="AK747" i="10"/>
  <c r="AK767" i="10"/>
  <c r="AF776" i="10"/>
  <c r="AM776" i="10"/>
  <c r="AV781" i="10"/>
  <c r="AF838" i="10"/>
  <c r="AF869" i="10"/>
  <c r="AF871" i="10"/>
  <c r="AF865" i="10"/>
  <c r="AF864" i="10"/>
  <c r="AP872" i="10"/>
  <c r="AP869" i="10"/>
  <c r="AP866" i="10"/>
  <c r="AP863" i="10"/>
  <c r="AL862" i="10"/>
  <c r="AF867" i="10"/>
  <c r="AL869" i="10"/>
  <c r="AF870" i="10"/>
  <c r="AI896" i="10"/>
  <c r="AI895" i="10"/>
  <c r="AE893" i="10"/>
  <c r="AE897" i="10"/>
  <c r="EM3216" i="10"/>
  <c r="EU3216" i="10"/>
  <c r="FA3216" i="10"/>
  <c r="AC3233" i="10"/>
  <c r="ET3216" i="10"/>
  <c r="BS3237" i="10"/>
  <c r="EW3216" i="10"/>
  <c r="CO3240" i="10"/>
  <c r="AC3241" i="10"/>
  <c r="FB3216" i="10"/>
  <c r="CO3254" i="10"/>
  <c r="AC3258" i="10"/>
  <c r="FS3216" i="10"/>
  <c r="CO3265" i="10"/>
  <c r="AC3017" i="10"/>
  <c r="E3018" i="10"/>
  <c r="AC3254" i="10"/>
  <c r="FO3216" i="10"/>
  <c r="BS3265" i="10"/>
  <c r="AI250" i="10"/>
  <c r="AI389" i="10"/>
  <c r="AU445" i="10"/>
  <c r="BB481" i="10"/>
  <c r="AI485" i="10"/>
  <c r="AN485" i="10" s="1"/>
  <c r="AI495" i="10"/>
  <c r="AN495" i="10" s="1"/>
  <c r="AV527" i="10"/>
  <c r="AM532" i="10"/>
  <c r="AX532" i="10" s="1"/>
  <c r="AZ532" i="10" s="1"/>
  <c r="BD532" i="10" s="1"/>
  <c r="AV549" i="10"/>
  <c r="AV562" i="10"/>
  <c r="AF572" i="10"/>
  <c r="BB572" i="10" s="1"/>
  <c r="AM572" i="10"/>
  <c r="AX572" i="10" s="1"/>
  <c r="AZ572" i="10" s="1"/>
  <c r="BD572" i="10" s="1"/>
  <c r="AV583" i="10"/>
  <c r="AK597" i="10"/>
  <c r="AV606" i="10"/>
  <c r="AF622" i="10"/>
  <c r="AV630" i="10"/>
  <c r="AF640" i="10"/>
  <c r="AV651" i="10"/>
  <c r="AV664" i="10"/>
  <c r="AV674" i="10"/>
  <c r="AV680" i="10"/>
  <c r="AF685" i="10"/>
  <c r="AK708" i="10"/>
  <c r="AM708" i="10"/>
  <c r="AM706" i="10" s="1"/>
  <c r="AV717" i="10"/>
  <c r="AM733" i="10"/>
  <c r="AV751" i="10"/>
  <c r="AV776" i="10"/>
  <c r="AF844" i="10"/>
  <c r="AF846" i="10"/>
  <c r="AP862" i="10"/>
  <c r="AF866" i="10"/>
  <c r="AD887" i="10"/>
  <c r="AD883" i="10"/>
  <c r="AD882" i="10"/>
  <c r="AE895" i="10"/>
  <c r="AI897" i="10"/>
  <c r="H2723" i="10"/>
  <c r="AC3219" i="10"/>
  <c r="EF3216" i="10"/>
  <c r="CO3225" i="10"/>
  <c r="AC3228" i="10"/>
  <c r="EO3216" i="10"/>
  <c r="BS3246" i="10"/>
  <c r="FF3216" i="10"/>
  <c r="AC3249" i="10"/>
  <c r="FJ3216" i="10"/>
  <c r="AC3250" i="10"/>
  <c r="BS3260" i="10"/>
  <c r="FT3216" i="10"/>
  <c r="CO3263" i="10"/>
  <c r="AC3264" i="10"/>
  <c r="AK225" i="10"/>
  <c r="BB391" i="10"/>
  <c r="AU395" i="10"/>
  <c r="AU415" i="10"/>
  <c r="AI439" i="10"/>
  <c r="AI449" i="10"/>
  <c r="BB451" i="10"/>
  <c r="AU455" i="10"/>
  <c r="AU465" i="10"/>
  <c r="AV554" i="10"/>
  <c r="AV567" i="10"/>
  <c r="AV588" i="10"/>
  <c r="AV601" i="10"/>
  <c r="AM612" i="10"/>
  <c r="AV617" i="10"/>
  <c r="AV635" i="10"/>
  <c r="AF646" i="10"/>
  <c r="AV656" i="10"/>
  <c r="AV669" i="10"/>
  <c r="AM777" i="10"/>
  <c r="AU755" i="10" s="1"/>
  <c r="AT755" i="10" s="1"/>
  <c r="AB755" i="10" s="1"/>
  <c r="AB754" i="10" s="1"/>
  <c r="AK777" i="10"/>
  <c r="AF834" i="10"/>
  <c r="AL834" i="10" s="1"/>
  <c r="AO834" i="10" s="1"/>
  <c r="AJ843" i="10"/>
  <c r="BS3264" i="10"/>
  <c r="FX3216" i="10"/>
  <c r="CO3227" i="10"/>
  <c r="CO3245" i="10"/>
  <c r="CO3246" i="10"/>
  <c r="CO3248" i="10"/>
  <c r="CO3259" i="10"/>
  <c r="CO3260" i="10"/>
  <c r="CO3261" i="10"/>
  <c r="AF680" i="10"/>
  <c r="AV685" i="10"/>
  <c r="AV696" i="10"/>
  <c r="AM712" i="10"/>
  <c r="AM717" i="10"/>
  <c r="AM728" i="10"/>
  <c r="AM761" i="10"/>
  <c r="AV766" i="10"/>
  <c r="AF781" i="10"/>
  <c r="AM781" i="10"/>
  <c r="AJ834" i="10"/>
  <c r="AJ835" i="10"/>
  <c r="AJ836" i="10"/>
  <c r="AJ844" i="10"/>
  <c r="AL844" i="10" s="1"/>
  <c r="AO844" i="10" s="1"/>
  <c r="AF853" i="10"/>
  <c r="AL853" i="10" s="1"/>
  <c r="AO853" i="10" s="1"/>
  <c r="AC861" i="10"/>
  <c r="AI862" i="10"/>
  <c r="AC869" i="10"/>
  <c r="AM872" i="10"/>
  <c r="AF893" i="10"/>
  <c r="CO3237" i="10"/>
  <c r="CO3238" i="10"/>
  <c r="CO3214" i="10" s="1"/>
  <c r="CO3247" i="10"/>
  <c r="CO3252" i="10"/>
  <c r="CO3256" i="10"/>
  <c r="CO3257" i="10"/>
  <c r="CO3266" i="10"/>
  <c r="BB2374" i="10"/>
  <c r="D2375" i="10"/>
  <c r="BQ2368" i="10" s="1"/>
  <c r="D2376" i="10" s="1"/>
  <c r="D2387" i="10"/>
  <c r="BQ2386" i="10" s="1"/>
  <c r="D2388" i="10" s="1"/>
  <c r="BB2389" i="10"/>
  <c r="D2373" i="10"/>
  <c r="BQ2365" i="10" s="1"/>
  <c r="D2374" i="10" s="1"/>
  <c r="D2377" i="10"/>
  <c r="BQ2371" i="10" s="1"/>
  <c r="D2378" i="10" s="1"/>
  <c r="D2385" i="10"/>
  <c r="BQ2383" i="10" s="1"/>
  <c r="D2386" i="10" s="1"/>
  <c r="BB2380" i="10"/>
  <c r="AU1845" i="10"/>
  <c r="AU2122" i="10" s="1"/>
  <c r="AX1807" i="10"/>
  <c r="AH1812" i="10"/>
  <c r="AX1812" i="10"/>
  <c r="AX1815" i="10"/>
  <c r="AH1820" i="10"/>
  <c r="AX1820" i="10"/>
  <c r="AX1823" i="10"/>
  <c r="AH1828" i="10"/>
  <c r="AX1828" i="10"/>
  <c r="AX1831" i="10"/>
  <c r="AH1836" i="10"/>
  <c r="AX1836" i="10"/>
  <c r="AX1839" i="10"/>
  <c r="AO1845" i="10"/>
  <c r="AO2122" i="10" s="1"/>
  <c r="AX1806" i="10"/>
  <c r="AX1809" i="10"/>
  <c r="AX1814" i="10"/>
  <c r="AX1817" i="10"/>
  <c r="AX1822" i="10"/>
  <c r="AX1825" i="10"/>
  <c r="AX1830" i="10"/>
  <c r="AX1833" i="10"/>
  <c r="AX1838" i="10"/>
  <c r="AX1841" i="10"/>
  <c r="AQ1845" i="10"/>
  <c r="AQ2122" i="10" s="1"/>
  <c r="AH1806" i="10"/>
  <c r="AD1890" i="10" s="1"/>
  <c r="AH1808" i="10"/>
  <c r="AX1808" i="10"/>
  <c r="AX1811" i="10"/>
  <c r="AH1816" i="10"/>
  <c r="AX1816" i="10"/>
  <c r="AX1819" i="10"/>
  <c r="AH1824" i="10"/>
  <c r="AX1824" i="10"/>
  <c r="AX1827" i="10"/>
  <c r="AH1832" i="10"/>
  <c r="AX1832" i="10"/>
  <c r="AX1835" i="10"/>
  <c r="AH1840" i="10"/>
  <c r="AX1840" i="10"/>
  <c r="AX1843" i="10"/>
  <c r="BO1208" i="10"/>
  <c r="C1208" i="10" s="1"/>
  <c r="BJ3303" i="10"/>
  <c r="BK3309" i="10"/>
  <c r="C1854" i="10"/>
  <c r="AP2290" i="10"/>
  <c r="B2290" i="10" s="1"/>
  <c r="AP2294" i="10"/>
  <c r="B2294" i="10" s="1"/>
  <c r="AP2285" i="10"/>
  <c r="B2285" i="10" s="1"/>
  <c r="AP2284" i="10"/>
  <c r="B2284" i="10" s="1"/>
  <c r="AJ838" i="10"/>
  <c r="AJ840" i="10"/>
  <c r="AJ842" i="10"/>
  <c r="AJ846" i="10"/>
  <c r="AJ848" i="10"/>
  <c r="AJ850" i="10"/>
  <c r="AJ845" i="10"/>
  <c r="AJ847" i="10"/>
  <c r="AL847" i="10" s="1"/>
  <c r="AO847" i="10" s="1"/>
  <c r="AJ849" i="10"/>
  <c r="AJ852" i="10"/>
  <c r="AF835" i="10"/>
  <c r="AL835" i="10" s="1"/>
  <c r="AO835" i="10" s="1"/>
  <c r="AF836" i="10"/>
  <c r="AL836" i="10" s="1"/>
  <c r="AO836" i="10" s="1"/>
  <c r="AF847" i="10"/>
  <c r="AF840" i="10"/>
  <c r="AF842" i="10"/>
  <c r="AF848" i="10"/>
  <c r="AF837" i="10"/>
  <c r="AF839" i="10"/>
  <c r="AF841" i="10"/>
  <c r="AF843" i="10"/>
  <c r="AL843" i="10" s="1"/>
  <c r="AO843" i="10" s="1"/>
  <c r="AF851" i="10"/>
  <c r="AM818" i="10"/>
  <c r="AV818" i="10"/>
  <c r="AG818" i="10"/>
  <c r="AU818" i="10" s="1"/>
  <c r="AV819" i="10" s="1"/>
  <c r="AO818" i="10"/>
  <c r="AK772" i="10"/>
  <c r="AL2215" i="10"/>
  <c r="AJ2215" i="10" s="1"/>
  <c r="D2214" i="10" s="1"/>
  <c r="B2214" i="10"/>
  <c r="AF771" i="10"/>
  <c r="AM771" i="10"/>
  <c r="BB771" i="10" s="1"/>
  <c r="AF761" i="10"/>
  <c r="BB761" i="10" s="1"/>
  <c r="AF751" i="10"/>
  <c r="AL2211" i="10"/>
  <c r="AJ2211" i="10" s="1"/>
  <c r="D2210" i="10" s="1"/>
  <c r="B2210" i="10"/>
  <c r="AM729" i="10"/>
  <c r="AU706" i="10" s="1"/>
  <c r="AT706" i="10" s="1"/>
  <c r="AM718" i="10"/>
  <c r="AQ706" i="10" s="1"/>
  <c r="AP706" i="10" s="1"/>
  <c r="AM713" i="10"/>
  <c r="AO706" i="10" s="1"/>
  <c r="AN706" i="10" s="1"/>
  <c r="AB658" i="10"/>
  <c r="B2202" i="10"/>
  <c r="AF690" i="10"/>
  <c r="AK676" i="10"/>
  <c r="AL2199" i="10"/>
  <c r="AJ2199" i="10" s="1"/>
  <c r="D2198" i="10" s="1"/>
  <c r="B2198" i="10"/>
  <c r="AF669" i="10"/>
  <c r="AF664" i="10"/>
  <c r="AO206" i="10"/>
  <c r="AN209" i="10"/>
  <c r="AJ209" i="10"/>
  <c r="AL2195" i="10"/>
  <c r="B2194" i="10"/>
  <c r="AJ2195" i="10"/>
  <c r="D2194" i="10" s="1"/>
  <c r="AK618" i="10"/>
  <c r="AL2191" i="10"/>
  <c r="AJ2191" i="10" s="1"/>
  <c r="D2190" i="10" s="1"/>
  <c r="B2190" i="10"/>
  <c r="AK613" i="10"/>
  <c r="AF617" i="10"/>
  <c r="BB617" i="10" s="1"/>
  <c r="AF612" i="10"/>
  <c r="BN2037" i="10"/>
  <c r="AF606" i="10"/>
  <c r="BB606" i="10" s="1"/>
  <c r="AB590" i="10"/>
  <c r="B2186" i="10"/>
  <c r="AK592" i="10"/>
  <c r="AF596" i="10"/>
  <c r="AJ2187" i="10"/>
  <c r="D2186" i="10" s="1"/>
  <c r="AF583" i="10"/>
  <c r="AM583" i="10"/>
  <c r="AF578" i="10"/>
  <c r="AJ2183" i="10"/>
  <c r="D2182" i="10" s="1"/>
  <c r="AF562" i="10"/>
  <c r="AM543" i="10"/>
  <c r="AM538" i="10"/>
  <c r="AF538" i="10"/>
  <c r="BB538" i="10" s="1"/>
  <c r="AF532" i="10"/>
  <c r="AC944" i="10"/>
  <c r="BM1" i="10" s="1"/>
  <c r="AL2179" i="10"/>
  <c r="AJ2179" i="10" s="1"/>
  <c r="D2178" i="10" s="1"/>
  <c r="B2178" i="10"/>
  <c r="AF549" i="10"/>
  <c r="BB549" i="10" s="1"/>
  <c r="AF543" i="10"/>
  <c r="AB944" i="10"/>
  <c r="AD510" i="10"/>
  <c r="AC355" i="10"/>
  <c r="AU435" i="10"/>
  <c r="AU425" i="10"/>
  <c r="AU405" i="10"/>
  <c r="AU385" i="10"/>
  <c r="AU375" i="10"/>
  <c r="AU365" i="10"/>
  <c r="AI435" i="10"/>
  <c r="AI425" i="10"/>
  <c r="AI409" i="10"/>
  <c r="AT414" i="10"/>
  <c r="C404" i="10"/>
  <c r="C384" i="10"/>
  <c r="AI379" i="10"/>
  <c r="AK379" i="10" s="1"/>
  <c r="C374" i="10"/>
  <c r="AI359" i="10"/>
  <c r="AK359" i="10" s="1"/>
  <c r="AE330" i="10"/>
  <c r="BB3311" i="10" s="1"/>
  <c r="AO329" i="10"/>
  <c r="AM329" i="10" s="1"/>
  <c r="B330" i="10" s="1"/>
  <c r="AY315" i="10"/>
  <c r="AM325" i="10"/>
  <c r="AN325" i="10" s="1"/>
  <c r="AO325" i="10" s="1"/>
  <c r="AK315" i="10"/>
  <c r="D315" i="10" s="1"/>
  <c r="AM327" i="10"/>
  <c r="AO327" i="10" s="1"/>
  <c r="BU1167" i="10"/>
  <c r="BK3299" i="10"/>
  <c r="BI3299" i="10"/>
  <c r="BK3315" i="10"/>
  <c r="BI3315" i="10"/>
  <c r="BK3330" i="10"/>
  <c r="BI3330" i="10"/>
  <c r="BI3287" i="10"/>
  <c r="BJ3287" i="10"/>
  <c r="BI3294" i="10"/>
  <c r="BJ3294" i="10"/>
  <c r="BK3312" i="10"/>
  <c r="BI3312" i="10"/>
  <c r="BK3328" i="10"/>
  <c r="BI3328" i="10"/>
  <c r="BK3331" i="10"/>
  <c r="BI3331" i="10"/>
  <c r="BJ3283" i="10"/>
  <c r="BJ3296" i="10"/>
  <c r="BI3298" i="10"/>
  <c r="BJ3298" i="10"/>
  <c r="BK3307" i="10"/>
  <c r="BJ3309" i="10"/>
  <c r="EA3277" i="10"/>
  <c r="A2804" i="10"/>
  <c r="C258" i="10" s="1"/>
  <c r="AD214" i="10"/>
  <c r="AL4" i="10"/>
  <c r="AM4" i="10" s="1"/>
  <c r="AL32" i="10"/>
  <c r="AF1355" i="10"/>
  <c r="AE2471" i="10"/>
  <c r="B2470" i="10" s="1"/>
  <c r="C315" i="10"/>
  <c r="AU315" i="10"/>
  <c r="B321" i="10"/>
  <c r="BA316" i="10"/>
  <c r="AS845" i="10"/>
  <c r="AV316" i="10"/>
  <c r="AK389" i="10"/>
  <c r="AG2175" i="10"/>
  <c r="A2174" i="10" s="1"/>
  <c r="A528" i="10"/>
  <c r="AB523" i="10"/>
  <c r="DY1920" i="10"/>
  <c r="BX1889" i="10"/>
  <c r="AM1890" i="10"/>
  <c r="AQ1890" i="10" s="1"/>
  <c r="BH556" i="10"/>
  <c r="BH521" i="10"/>
  <c r="BG202" i="10"/>
  <c r="AI45" i="10" s="1"/>
  <c r="C57" i="10"/>
  <c r="AN202" i="10"/>
  <c r="AD1106" i="10" s="1"/>
  <c r="AI112" i="10"/>
  <c r="AO112" i="10" s="1"/>
  <c r="AD110" i="10" s="1"/>
  <c r="B113" i="10" s="1"/>
  <c r="BJ202" i="10"/>
  <c r="BD1889" i="10" s="1"/>
  <c r="D3292" i="10"/>
  <c r="AF2329" i="10"/>
  <c r="BO1166" i="10"/>
  <c r="BJ369" i="10"/>
  <c r="BH379" i="10"/>
  <c r="AO2298" i="10"/>
  <c r="AL2261" i="10"/>
  <c r="AL2251" i="10"/>
  <c r="AO2928" i="10"/>
  <c r="AL2248" i="10"/>
  <c r="AN2248" i="10" s="1"/>
  <c r="AM2154" i="10"/>
  <c r="AO2148" i="10"/>
  <c r="AP2235" i="10"/>
  <c r="AL2148" i="10"/>
  <c r="AN2142" i="10"/>
  <c r="AQ2136" i="10"/>
  <c r="AT2245" i="10"/>
  <c r="AN2235" i="10"/>
  <c r="AO2154" i="10"/>
  <c r="AR2013" i="10"/>
  <c r="AL1876" i="10"/>
  <c r="AU2107" i="10"/>
  <c r="AM1953" i="10"/>
  <c r="AQ1945" i="10"/>
  <c r="AN1909" i="10"/>
  <c r="AT1869" i="10"/>
  <c r="AL1869" i="10"/>
  <c r="AN1869" i="10" s="1"/>
  <c r="AQ2089" i="10"/>
  <c r="AT2013" i="10"/>
  <c r="AV2013" i="10" s="1"/>
  <c r="AU1923" i="10"/>
  <c r="AW1909" i="10"/>
  <c r="BG501" i="10"/>
  <c r="AN214" i="10"/>
  <c r="AM226" i="10"/>
  <c r="AM225" i="10" s="1"/>
  <c r="AO225" i="10" s="1"/>
  <c r="AQ225" i="10" s="1"/>
  <c r="AQ243" i="10" s="1"/>
  <c r="AQ246" i="10" s="1"/>
  <c r="AQ250" i="10" s="1"/>
  <c r="AQ256" i="10" s="1"/>
  <c r="AQ259" i="10" s="1"/>
  <c r="AQ310" i="10" s="1"/>
  <c r="AQ314" i="10" s="1"/>
  <c r="AQ324" i="10" s="1"/>
  <c r="BD328" i="10"/>
  <c r="AK419" i="10"/>
  <c r="AX527" i="10"/>
  <c r="AZ527" i="10" s="1"/>
  <c r="BD527" i="10" s="1"/>
  <c r="BB543" i="10"/>
  <c r="BB588" i="10"/>
  <c r="AX588" i="10"/>
  <c r="AZ588" i="10" s="1"/>
  <c r="BD588" i="10" s="1"/>
  <c r="AX606" i="10"/>
  <c r="AZ606" i="10" s="1"/>
  <c r="BD606" i="10" s="1"/>
  <c r="BB766" i="10"/>
  <c r="AD106" i="10"/>
  <c r="AL2245" i="10"/>
  <c r="AP2013" i="10"/>
  <c r="AL2089" i="10"/>
  <c r="AL1909" i="10"/>
  <c r="AL1884" i="10"/>
  <c r="AZ501" i="10"/>
  <c r="AN2019" i="10"/>
  <c r="AN2001" i="10"/>
  <c r="AM2089" i="10"/>
  <c r="AK2013" i="10"/>
  <c r="AM1902" i="10"/>
  <c r="AT2019" i="10"/>
  <c r="AI321" i="10"/>
  <c r="AI369" i="10"/>
  <c r="AI405" i="10"/>
  <c r="AK439" i="10"/>
  <c r="AK449" i="10"/>
  <c r="AC3206" i="10"/>
  <c r="B106" i="10" s="1"/>
  <c r="AQ2275" i="10"/>
  <c r="AP2245" i="10"/>
  <c r="AO2275" i="10"/>
  <c r="AO2253" i="10"/>
  <c r="AL2142" i="10"/>
  <c r="AR2245" i="10"/>
  <c r="AO2089" i="10"/>
  <c r="AN2095" i="10" s="1"/>
  <c r="AU1902" i="10"/>
  <c r="AL1945" i="10"/>
  <c r="AP1923" i="10"/>
  <c r="AP1884" i="10"/>
  <c r="AL2161" i="10"/>
  <c r="AK2060" i="10"/>
  <c r="AN2013" i="10"/>
  <c r="AQ1902" i="10"/>
  <c r="AO1945" i="10"/>
  <c r="AM1889" i="10"/>
  <c r="AN1889" i="10"/>
  <c r="BG212" i="10"/>
  <c r="AN2245" i="10"/>
  <c r="BB1889" i="10"/>
  <c r="BG1889" i="10" s="1"/>
  <c r="B1930" i="10" s="1"/>
  <c r="AK1902" i="10"/>
  <c r="BV1889" i="10"/>
  <c r="AZ311" i="10"/>
  <c r="AV311" i="10" s="1"/>
  <c r="AM1945" i="10" s="1"/>
  <c r="AZ338" i="10"/>
  <c r="BI338" i="10" s="1"/>
  <c r="AK409" i="10"/>
  <c r="AK459" i="10"/>
  <c r="AK469" i="10"/>
  <c r="AZ528" i="10"/>
  <c r="BB532" i="10"/>
  <c r="AX617" i="10"/>
  <c r="AZ617" i="10" s="1"/>
  <c r="BD617" i="10" s="1"/>
  <c r="BZ1889" i="10"/>
  <c r="AN1890" i="10"/>
  <c r="AO2934" i="10"/>
  <c r="AO2918" i="10"/>
  <c r="AF2918" i="10" s="1"/>
  <c r="AM2253" i="10"/>
  <c r="AO2919" i="10"/>
  <c r="AL2247" i="10"/>
  <c r="BS1904" i="10"/>
  <c r="AX2019" i="10"/>
  <c r="BB1902" i="10"/>
  <c r="AQ2107" i="10"/>
  <c r="AP1961" i="10"/>
  <c r="AL1881" i="10"/>
  <c r="AR2001" i="10"/>
  <c r="BE250" i="10"/>
  <c r="BB311" i="10"/>
  <c r="AI365" i="10"/>
  <c r="AI385" i="10"/>
  <c r="AK489" i="10"/>
  <c r="BB583" i="10"/>
  <c r="AX583" i="10"/>
  <c r="AZ583" i="10" s="1"/>
  <c r="BD583" i="10" s="1"/>
  <c r="BB612" i="10"/>
  <c r="AX612" i="10"/>
  <c r="AZ612" i="10" s="1"/>
  <c r="BD612" i="10" s="1"/>
  <c r="AK528" i="10"/>
  <c r="AK534" i="10"/>
  <c r="AK539" i="10"/>
  <c r="AF722" i="10"/>
  <c r="AF728" i="10"/>
  <c r="AF733" i="10"/>
  <c r="AF738" i="10"/>
  <c r="AP756" i="10"/>
  <c r="AC756" i="10"/>
  <c r="AT756" i="10"/>
  <c r="AL848" i="10"/>
  <c r="AO848" i="10" s="1"/>
  <c r="AM545" i="10"/>
  <c r="AU521" i="10" s="1"/>
  <c r="AT521" i="10" s="1"/>
  <c r="AB521" i="10" s="1"/>
  <c r="AM550" i="10"/>
  <c r="AX521" i="10" s="1"/>
  <c r="AM558" i="10"/>
  <c r="AM556" i="10" s="1"/>
  <c r="AM563" i="10"/>
  <c r="AO556" i="10" s="1"/>
  <c r="AN556" i="10" s="1"/>
  <c r="AM568" i="10"/>
  <c r="AQ556" i="10" s="1"/>
  <c r="AP556" i="10" s="1"/>
  <c r="AM574" i="10"/>
  <c r="AS556" i="10" s="1"/>
  <c r="AR556" i="10" s="1"/>
  <c r="AM579" i="10"/>
  <c r="AU556" i="10" s="1"/>
  <c r="AT556" i="10" s="1"/>
  <c r="AM584" i="10"/>
  <c r="AX556" i="10" s="1"/>
  <c r="AM626" i="10"/>
  <c r="AM624" i="10" s="1"/>
  <c r="AM631" i="10"/>
  <c r="AO624" i="10" s="1"/>
  <c r="AN624" i="10" s="1"/>
  <c r="AM636" i="10"/>
  <c r="AQ624" i="10" s="1"/>
  <c r="AP624" i="10" s="1"/>
  <c r="AM642" i="10"/>
  <c r="AS624" i="10" s="1"/>
  <c r="AR624" i="10" s="1"/>
  <c r="AM647" i="10"/>
  <c r="AU624" i="10" s="1"/>
  <c r="AT624" i="10" s="1"/>
  <c r="AM652" i="10"/>
  <c r="AX624" i="10" s="1"/>
  <c r="AW624" i="10" s="1"/>
  <c r="AK665" i="10"/>
  <c r="AV712" i="10"/>
  <c r="AM751" i="10"/>
  <c r="AK757" i="10"/>
  <c r="AX781" i="10"/>
  <c r="BB781" i="10"/>
  <c r="AL837" i="10"/>
  <c r="AO837" i="10" s="1"/>
  <c r="AL839" i="10"/>
  <c r="AO839" i="10" s="1"/>
  <c r="AL841" i="10"/>
  <c r="AO841" i="10" s="1"/>
  <c r="AL851" i="10"/>
  <c r="AO851" i="10" s="1"/>
  <c r="AJ896" i="10"/>
  <c r="AX395" i="10"/>
  <c r="AX455" i="10"/>
  <c r="AX475" i="10"/>
  <c r="AX495" i="10"/>
  <c r="AF712" i="10"/>
  <c r="AX776" i="10"/>
  <c r="AZ776" i="10" s="1"/>
  <c r="BD776" i="10" s="1"/>
  <c r="BB776" i="10"/>
  <c r="AL845" i="10"/>
  <c r="AO845" i="10" s="1"/>
  <c r="AL852" i="10"/>
  <c r="AO852" i="10" s="1"/>
  <c r="AH887" i="10"/>
  <c r="AC591" i="10"/>
  <c r="AM669" i="10"/>
  <c r="AX669" i="10" s="1"/>
  <c r="AV722" i="10"/>
  <c r="AV728" i="10"/>
  <c r="AV733" i="10"/>
  <c r="AV738" i="10"/>
  <c r="AV743" i="10"/>
  <c r="AP746" i="10"/>
  <c r="AC746" i="10"/>
  <c r="AT746" i="10"/>
  <c r="AK762" i="10"/>
  <c r="AX771" i="10"/>
  <c r="AZ771" i="10" s="1"/>
  <c r="BD771" i="10" s="1"/>
  <c r="AT837" i="10"/>
  <c r="AS837" i="10"/>
  <c r="AL838" i="10"/>
  <c r="AO838" i="10" s="1"/>
  <c r="AL840" i="10"/>
  <c r="AO840" i="10" s="1"/>
  <c r="AL842" i="10"/>
  <c r="AO842" i="10" s="1"/>
  <c r="AX817" i="10"/>
  <c r="AD861" i="10"/>
  <c r="AL861" i="10"/>
  <c r="AP861" i="10"/>
  <c r="BD861" i="10"/>
  <c r="BF861" i="10" s="1"/>
  <c r="AE862" i="10"/>
  <c r="AJ862" i="10"/>
  <c r="AN862" i="10"/>
  <c r="AF863" i="10"/>
  <c r="AJ863" i="10"/>
  <c r="AN863" i="10"/>
  <c r="AD864" i="10"/>
  <c r="AL864" i="10"/>
  <c r="AP864" i="10"/>
  <c r="AD865" i="10"/>
  <c r="AL865" i="10"/>
  <c r="AP865" i="10"/>
  <c r="AD866" i="10"/>
  <c r="AI866" i="10"/>
  <c r="AM866" i="10"/>
  <c r="AC867" i="10"/>
  <c r="AL867" i="10"/>
  <c r="AP867" i="10"/>
  <c r="AF868" i="10"/>
  <c r="AK868" i="10"/>
  <c r="AO868" i="10"/>
  <c r="AE869" i="10"/>
  <c r="AG869" i="10" s="1"/>
  <c r="AQ869" i="10" s="1"/>
  <c r="AJ869" i="10"/>
  <c r="AN869" i="10"/>
  <c r="AD870" i="10"/>
  <c r="AL870" i="10"/>
  <c r="AP870" i="10"/>
  <c r="AC871" i="10"/>
  <c r="AK871" i="10"/>
  <c r="AO871" i="10"/>
  <c r="AF872" i="10"/>
  <c r="AK872" i="10"/>
  <c r="AO872" i="10"/>
  <c r="AE882" i="10"/>
  <c r="AE883" i="10"/>
  <c r="AE884" i="10"/>
  <c r="AE885" i="10"/>
  <c r="AE886" i="10"/>
  <c r="AE892" i="10"/>
  <c r="AI892" i="10"/>
  <c r="AC893" i="10"/>
  <c r="AG893" i="10"/>
  <c r="AE894" i="10"/>
  <c r="AI894" i="10"/>
  <c r="AC895" i="10"/>
  <c r="AG895" i="10"/>
  <c r="AC897" i="10"/>
  <c r="AG897" i="10"/>
  <c r="AI1849" i="10"/>
  <c r="AG1849" i="10" s="1"/>
  <c r="C1849" i="10" s="1"/>
  <c r="AN1995" i="10"/>
  <c r="AI1850" i="10"/>
  <c r="AG1850" i="10" s="1"/>
  <c r="D1849" i="10" s="1"/>
  <c r="AF1983" i="10"/>
  <c r="AQ1983" i="10" s="1"/>
  <c r="AD953" i="10"/>
  <c r="AC954" i="10"/>
  <c r="AG954" i="10" s="1"/>
  <c r="AF955" i="10"/>
  <c r="AE956" i="10"/>
  <c r="AD957" i="10"/>
  <c r="AC958" i="10"/>
  <c r="AG958" i="10" s="1"/>
  <c r="AF959" i="10"/>
  <c r="AE960" i="10"/>
  <c r="AD961" i="10"/>
  <c r="AC962" i="10"/>
  <c r="AG962" i="10" s="1"/>
  <c r="AF963" i="10"/>
  <c r="AE964" i="10"/>
  <c r="AD965" i="10"/>
  <c r="AC966" i="10"/>
  <c r="AF967" i="10"/>
  <c r="AE968" i="10"/>
  <c r="AD969" i="10"/>
  <c r="AC970" i="10"/>
  <c r="AG970" i="10" s="1"/>
  <c r="AF971" i="10"/>
  <c r="AE972" i="10"/>
  <c r="AG990" i="10"/>
  <c r="AF994" i="10"/>
  <c r="AF997" i="10"/>
  <c r="AG1000" i="10"/>
  <c r="AF1004" i="10"/>
  <c r="AF1007" i="10"/>
  <c r="AG1010" i="10"/>
  <c r="AF1014" i="10"/>
  <c r="AF1017" i="10"/>
  <c r="AG1020" i="10"/>
  <c r="AF1024" i="10"/>
  <c r="AF1027" i="10"/>
  <c r="AG1030" i="10"/>
  <c r="AF1034" i="10"/>
  <c r="AF1037" i="10"/>
  <c r="AG1040" i="10"/>
  <c r="AF1044" i="10"/>
  <c r="AF1047" i="10"/>
  <c r="AG1050" i="10"/>
  <c r="AF1054" i="10"/>
  <c r="AF1057" i="10"/>
  <c r="AG1060" i="10"/>
  <c r="AF1064" i="10"/>
  <c r="AF1067" i="10"/>
  <c r="AG1070" i="10"/>
  <c r="AF1074" i="10"/>
  <c r="AF1077" i="10"/>
  <c r="AG1080" i="10"/>
  <c r="AF1084" i="10"/>
  <c r="AF1087" i="10"/>
  <c r="AG1090" i="10"/>
  <c r="AF1093" i="10"/>
  <c r="AC1127" i="10"/>
  <c r="AR1178" i="10"/>
  <c r="BO1178" i="10" s="1"/>
  <c r="C1178" i="10" s="1"/>
  <c r="AR1190" i="10"/>
  <c r="BJ1190" i="10"/>
  <c r="AR1193" i="10"/>
  <c r="BO1193" i="10" s="1"/>
  <c r="C1193" i="10" s="1"/>
  <c r="AR1202" i="10"/>
  <c r="BO1202" i="10" s="1"/>
  <c r="C1202" i="10" s="1"/>
  <c r="AR1205" i="10"/>
  <c r="BO1205" i="10" s="1"/>
  <c r="C1205" i="10" s="1"/>
  <c r="A814" i="10"/>
  <c r="AE861" i="10"/>
  <c r="AI861" i="10"/>
  <c r="AM861" i="10"/>
  <c r="AF862" i="10"/>
  <c r="AK862" i="10"/>
  <c r="AO862" i="10"/>
  <c r="AC863" i="10"/>
  <c r="AK863" i="10"/>
  <c r="AO863" i="10"/>
  <c r="AE864" i="10"/>
  <c r="AI864" i="10"/>
  <c r="AM864" i="10"/>
  <c r="AE865" i="10"/>
  <c r="AG865" i="10" s="1"/>
  <c r="AI865" i="10"/>
  <c r="AM865" i="10"/>
  <c r="AE866" i="10"/>
  <c r="AJ866" i="10"/>
  <c r="AN866" i="10"/>
  <c r="AD867" i="10"/>
  <c r="AI867" i="10"/>
  <c r="AM867" i="10"/>
  <c r="AC868" i="10"/>
  <c r="AL868" i="10"/>
  <c r="AP868" i="10"/>
  <c r="AK869" i="10"/>
  <c r="AO869" i="10"/>
  <c r="AE870" i="10"/>
  <c r="AD871" i="10"/>
  <c r="AL871" i="10"/>
  <c r="AP871" i="10"/>
  <c r="AF882" i="10"/>
  <c r="AF883" i="10"/>
  <c r="AF884" i="10"/>
  <c r="AF885" i="10"/>
  <c r="AF886" i="10"/>
  <c r="AF892" i="10"/>
  <c r="AD893" i="10"/>
  <c r="AH893" i="10"/>
  <c r="AF894" i="10"/>
  <c r="AD895" i="10"/>
  <c r="AH895" i="10"/>
  <c r="AD897" i="10"/>
  <c r="AH897" i="10"/>
  <c r="AE953" i="10"/>
  <c r="AC955" i="10"/>
  <c r="AG955" i="10" s="1"/>
  <c r="AF956" i="10"/>
  <c r="AE957" i="10"/>
  <c r="AC959" i="10"/>
  <c r="AF960" i="10"/>
  <c r="AE961" i="10"/>
  <c r="AC963" i="10"/>
  <c r="AF964" i="10"/>
  <c r="AE965" i="10"/>
  <c r="AC967" i="10"/>
  <c r="AF968" i="10"/>
  <c r="AE969" i="10"/>
  <c r="AC971" i="10"/>
  <c r="AG971" i="10" s="1"/>
  <c r="AF972" i="10"/>
  <c r="AF991" i="10"/>
  <c r="AF1001" i="10"/>
  <c r="AF1011" i="10"/>
  <c r="AF1021" i="10"/>
  <c r="AF1031" i="10"/>
  <c r="AF1041" i="10"/>
  <c r="AF1051" i="10"/>
  <c r="AF1061" i="10"/>
  <c r="AF1071" i="10"/>
  <c r="AF1081" i="10"/>
  <c r="AF1094" i="10"/>
  <c r="AR1181" i="10"/>
  <c r="BO1181" i="10" s="1"/>
  <c r="C1181" i="10" s="1"/>
  <c r="AR1184" i="10"/>
  <c r="BO1184" i="10" s="1"/>
  <c r="C1184" i="10" s="1"/>
  <c r="AR1211" i="10"/>
  <c r="BO1211" i="10" s="1"/>
  <c r="C1211" i="10" s="1"/>
  <c r="AC1592" i="10"/>
  <c r="D1592" i="10" s="1"/>
  <c r="AC1452" i="10"/>
  <c r="D1452" i="10" s="1"/>
  <c r="AC1502" i="10"/>
  <c r="D1502" i="10" s="1"/>
  <c r="AC1372" i="10"/>
  <c r="D1372" i="10" s="1"/>
  <c r="AC1432" i="10"/>
  <c r="D1432" i="10" s="1"/>
  <c r="AC1492" i="10"/>
  <c r="D1492" i="10" s="1"/>
  <c r="A1377" i="10"/>
  <c r="A1387" i="10" s="1"/>
  <c r="A1397" i="10" s="1"/>
  <c r="A1407" i="10" s="1"/>
  <c r="A1417" i="10" s="1"/>
  <c r="A1427" i="10" s="1"/>
  <c r="A1437" i="10" s="1"/>
  <c r="A1447" i="10" s="1"/>
  <c r="A1457" i="10" s="1"/>
  <c r="A1467" i="10" s="1"/>
  <c r="A1477" i="10" s="1"/>
  <c r="A1487" i="10" s="1"/>
  <c r="A1497" i="10" s="1"/>
  <c r="A1507" i="10" s="1"/>
  <c r="A1517" i="10" s="1"/>
  <c r="A1527" i="10" s="1"/>
  <c r="A1537" i="10" s="1"/>
  <c r="A1547" i="10" s="1"/>
  <c r="A1557" i="10" s="1"/>
  <c r="A1567" i="10" s="1"/>
  <c r="A1577" i="10" s="1"/>
  <c r="A1587" i="10" s="1"/>
  <c r="AF1657" i="10"/>
  <c r="AJ861" i="10"/>
  <c r="AN861" i="10"/>
  <c r="AD863" i="10"/>
  <c r="AJ864" i="10"/>
  <c r="AN864" i="10"/>
  <c r="AJ865" i="10"/>
  <c r="AN865" i="10"/>
  <c r="AK866" i="10"/>
  <c r="AO866" i="10"/>
  <c r="AE867" i="10"/>
  <c r="AJ867" i="10"/>
  <c r="AN867" i="10"/>
  <c r="AD868" i="10"/>
  <c r="AJ870" i="10"/>
  <c r="AN870" i="10"/>
  <c r="AE871" i="10"/>
  <c r="AD872" i="10"/>
  <c r="AG872" i="10" s="1"/>
  <c r="AQ872" i="10" s="1"/>
  <c r="AC882" i="10"/>
  <c r="AG882" i="10"/>
  <c r="AC883" i="10"/>
  <c r="AG883" i="10"/>
  <c r="AC884" i="10"/>
  <c r="AG884" i="10"/>
  <c r="AC885" i="10"/>
  <c r="AG885" i="10"/>
  <c r="AC886" i="10"/>
  <c r="AG886" i="10"/>
  <c r="AC892" i="10"/>
  <c r="AG892" i="10"/>
  <c r="AC894" i="10"/>
  <c r="AG894" i="10"/>
  <c r="AF953" i="10"/>
  <c r="AC956" i="10"/>
  <c r="AG956" i="10" s="1"/>
  <c r="AF957" i="10"/>
  <c r="AC960" i="10"/>
  <c r="AG960" i="10" s="1"/>
  <c r="AF961" i="10"/>
  <c r="AC964" i="10"/>
  <c r="AF965" i="10"/>
  <c r="AC968" i="10"/>
  <c r="AG968" i="10" s="1"/>
  <c r="AF969" i="10"/>
  <c r="AC972" i="10"/>
  <c r="AG972" i="10" s="1"/>
  <c r="AF973" i="10"/>
  <c r="AF992" i="10"/>
  <c r="AF1002" i="10"/>
  <c r="AF1012" i="10"/>
  <c r="AF1022" i="10"/>
  <c r="AF1032" i="10"/>
  <c r="AF1042" i="10"/>
  <c r="AF1052" i="10"/>
  <c r="AF1062" i="10"/>
  <c r="AF1072" i="10"/>
  <c r="AF1082" i="10"/>
  <c r="AF1091" i="10"/>
  <c r="BN3293" i="10"/>
  <c r="AR1196" i="10"/>
  <c r="BO1196" i="10" s="1"/>
  <c r="C1196" i="10" s="1"/>
  <c r="AR1199" i="10"/>
  <c r="BO1199" i="10" s="1"/>
  <c r="C1199" i="10" s="1"/>
  <c r="AS1379" i="10"/>
  <c r="D1369" i="10"/>
  <c r="CI1641" i="10"/>
  <c r="AF1687" i="10"/>
  <c r="AK861" i="10"/>
  <c r="AO861" i="10"/>
  <c r="AV861" i="10"/>
  <c r="AD862" i="10"/>
  <c r="AE863" i="10"/>
  <c r="AK864" i="10"/>
  <c r="AO864" i="10"/>
  <c r="AK865" i="10"/>
  <c r="AO865" i="10"/>
  <c r="AK867" i="10"/>
  <c r="AO867" i="10"/>
  <c r="AE868" i="10"/>
  <c r="AJ868" i="10"/>
  <c r="AN868" i="10"/>
  <c r="AJ871" i="10"/>
  <c r="AN871" i="10"/>
  <c r="AD892" i="10"/>
  <c r="AH892" i="10"/>
  <c r="AD894" i="10"/>
  <c r="AH894" i="10"/>
  <c r="AC953" i="10"/>
  <c r="AC957" i="10"/>
  <c r="AC961" i="10"/>
  <c r="AG961" i="10" s="1"/>
  <c r="AC965" i="10"/>
  <c r="AF966" i="10"/>
  <c r="AC969" i="10"/>
  <c r="D3204" i="10"/>
  <c r="C1148" i="10" s="1"/>
  <c r="D3202" i="10"/>
  <c r="C1141" i="10" s="1"/>
  <c r="D3205" i="10"/>
  <c r="C1150" i="10" s="1"/>
  <c r="D3206" i="10"/>
  <c r="C1153" i="10" s="1"/>
  <c r="D3203" i="10"/>
  <c r="C1145" i="10" s="1"/>
  <c r="D3201" i="10"/>
  <c r="C1133" i="10" s="1"/>
  <c r="D3207" i="10"/>
  <c r="C1156" i="10" s="1"/>
  <c r="D3200" i="10"/>
  <c r="C1131" i="10" s="1"/>
  <c r="AR1187" i="10"/>
  <c r="BO1187" i="10" s="1"/>
  <c r="C1187" i="10" s="1"/>
  <c r="AF1667" i="10"/>
  <c r="AF1637" i="10"/>
  <c r="AF1677" i="10"/>
  <c r="AF1647" i="10"/>
  <c r="AE1378" i="10"/>
  <c r="AE1448" i="10"/>
  <c r="AE1478" i="10"/>
  <c r="AE1508" i="10"/>
  <c r="AE1548" i="10"/>
  <c r="AE1588" i="10"/>
  <c r="AE1677" i="10"/>
  <c r="BK1906" i="10"/>
  <c r="AX2034" i="10"/>
  <c r="AE2128" i="10" s="1"/>
  <c r="AE2225" i="10" s="1"/>
  <c r="AI1971" i="10"/>
  <c r="AG1971" i="10" s="1"/>
  <c r="AG1963" i="10"/>
  <c r="AE1488" i="10"/>
  <c r="AE1518" i="10"/>
  <c r="AE1558" i="10"/>
  <c r="AE1657" i="10"/>
  <c r="AE1687" i="10"/>
  <c r="AG1964" i="10"/>
  <c r="AI1972" i="10"/>
  <c r="AG1972" i="10" s="1"/>
  <c r="AE1398" i="10"/>
  <c r="AE1428" i="10"/>
  <c r="AE1458" i="10"/>
  <c r="AE1528" i="10"/>
  <c r="AE1568" i="10"/>
  <c r="AE1667" i="10"/>
  <c r="AE1438" i="10"/>
  <c r="AE1468" i="10"/>
  <c r="AE1498" i="10"/>
  <c r="AE1538" i="10"/>
  <c r="AD2317" i="10"/>
  <c r="AD2316" i="10"/>
  <c r="AD2315" i="10"/>
  <c r="AD2318" i="10"/>
  <c r="AX1805" i="10"/>
  <c r="AG1956" i="10"/>
  <c r="AI1966" i="10"/>
  <c r="B2205" i="10"/>
  <c r="AL2206" i="10"/>
  <c r="AJ2206" i="10" s="1"/>
  <c r="D2205" i="10" s="1"/>
  <c r="AL2208" i="10"/>
  <c r="AJ2208" i="10" s="1"/>
  <c r="D2207" i="10" s="1"/>
  <c r="B2207" i="10"/>
  <c r="AG1965" i="10"/>
  <c r="B2209" i="10"/>
  <c r="AL2210" i="10"/>
  <c r="AJ2210" i="10" s="1"/>
  <c r="D2209" i="10" s="1"/>
  <c r="AL2212" i="10"/>
  <c r="AJ2212" i="10" s="1"/>
  <c r="D2211" i="10" s="1"/>
  <c r="B2211" i="10"/>
  <c r="AD1889" i="10"/>
  <c r="D1891" i="10" s="1"/>
  <c r="AL2176" i="10"/>
  <c r="AJ2176" i="10" s="1"/>
  <c r="D2175" i="10" s="1"/>
  <c r="B2175" i="10"/>
  <c r="B2177" i="10"/>
  <c r="AL2178" i="10"/>
  <c r="AJ2178" i="10" s="1"/>
  <c r="D2177" i="10" s="1"/>
  <c r="AL2180" i="10"/>
  <c r="AJ2180" i="10" s="1"/>
  <c r="D2179" i="10" s="1"/>
  <c r="B2179" i="10"/>
  <c r="B2181" i="10"/>
  <c r="AL2182" i="10"/>
  <c r="AJ2182" i="10" s="1"/>
  <c r="D2181" i="10" s="1"/>
  <c r="AL2184" i="10"/>
  <c r="AJ2184" i="10" s="1"/>
  <c r="D2183" i="10" s="1"/>
  <c r="B2183" i="10"/>
  <c r="B2185" i="10"/>
  <c r="AL2186" i="10"/>
  <c r="AJ2186" i="10" s="1"/>
  <c r="D2185" i="10" s="1"/>
  <c r="AL2188" i="10"/>
  <c r="AJ2188" i="10" s="1"/>
  <c r="D2187" i="10" s="1"/>
  <c r="B2187" i="10"/>
  <c r="B2189" i="10"/>
  <c r="AL2190" i="10"/>
  <c r="AJ2190" i="10" s="1"/>
  <c r="D2189" i="10" s="1"/>
  <c r="AL2192" i="10"/>
  <c r="AJ2192" i="10" s="1"/>
  <c r="D2191" i="10" s="1"/>
  <c r="B2191" i="10"/>
  <c r="B2193" i="10"/>
  <c r="AL2194" i="10"/>
  <c r="AJ2194" i="10" s="1"/>
  <c r="D2193" i="10" s="1"/>
  <c r="AL2196" i="10"/>
  <c r="AJ2196" i="10" s="1"/>
  <c r="D2195" i="10" s="1"/>
  <c r="B2195" i="10"/>
  <c r="B2197" i="10"/>
  <c r="AL2198" i="10"/>
  <c r="AJ2198" i="10" s="1"/>
  <c r="D2197" i="10" s="1"/>
  <c r="AL2200" i="10"/>
  <c r="AJ2200" i="10" s="1"/>
  <c r="D2199" i="10" s="1"/>
  <c r="B2199" i="10"/>
  <c r="B2213" i="10"/>
  <c r="AL2214" i="10"/>
  <c r="AJ2214" i="10" s="1"/>
  <c r="D2213" i="10" s="1"/>
  <c r="AL2216" i="10"/>
  <c r="AJ2216" i="10" s="1"/>
  <c r="D2215" i="10" s="1"/>
  <c r="B2215" i="10"/>
  <c r="AI1941" i="10"/>
  <c r="AL2177" i="10"/>
  <c r="AJ2177" i="10" s="1"/>
  <c r="D2176" i="10" s="1"/>
  <c r="AL2181" i="10"/>
  <c r="AJ2181" i="10" s="1"/>
  <c r="D2180" i="10" s="1"/>
  <c r="AL2185" i="10"/>
  <c r="AJ2185" i="10" s="1"/>
  <c r="D2184" i="10" s="1"/>
  <c r="AL2189" i="10"/>
  <c r="AJ2189" i="10" s="1"/>
  <c r="D2188" i="10" s="1"/>
  <c r="AL2193" i="10"/>
  <c r="AJ2193" i="10" s="1"/>
  <c r="D2192" i="10" s="1"/>
  <c r="AL2197" i="10"/>
  <c r="AJ2197" i="10" s="1"/>
  <c r="D2196" i="10" s="1"/>
  <c r="B2201" i="10"/>
  <c r="AL2202" i="10"/>
  <c r="AJ2202" i="10" s="1"/>
  <c r="D2201" i="10" s="1"/>
  <c r="AL2204" i="10"/>
  <c r="AJ2204" i="10" s="1"/>
  <c r="D2203" i="10" s="1"/>
  <c r="B2203" i="10"/>
  <c r="AL2201" i="10"/>
  <c r="AJ2201" i="10" s="1"/>
  <c r="D2200" i="10" s="1"/>
  <c r="AL2205" i="10"/>
  <c r="AJ2205" i="10" s="1"/>
  <c r="D2204" i="10" s="1"/>
  <c r="AL2209" i="10"/>
  <c r="AJ2209" i="10" s="1"/>
  <c r="D2208" i="10" s="1"/>
  <c r="AL2213" i="10"/>
  <c r="AJ2213" i="10" s="1"/>
  <c r="D2212" i="10" s="1"/>
  <c r="AL2217" i="10"/>
  <c r="AJ2217" i="10" s="1"/>
  <c r="D2216" i="10" s="1"/>
  <c r="AE2350" i="10"/>
  <c r="AE2348" i="10"/>
  <c r="AN2922" i="10"/>
  <c r="AG2240" i="10"/>
  <c r="BA2246" i="10"/>
  <c r="EH3216" i="10"/>
  <c r="BS3222" i="10"/>
  <c r="BZ3214" i="10"/>
  <c r="AS2254" i="10"/>
  <c r="AG2248" i="10"/>
  <c r="BA2245" i="10"/>
  <c r="AD2334" i="10"/>
  <c r="C2333" i="10" s="1"/>
  <c r="BO2392" i="10"/>
  <c r="BL2815" i="10"/>
  <c r="AN2932" i="10"/>
  <c r="A2817" i="10"/>
  <c r="BF2816" i="10"/>
  <c r="BL2816" i="10" s="1"/>
  <c r="AM3208" i="10"/>
  <c r="EN3216" i="10"/>
  <c r="CO3217" i="10"/>
  <c r="CO3223" i="10"/>
  <c r="CO3235" i="10"/>
  <c r="CO3236" i="10"/>
  <c r="BS3238" i="10"/>
  <c r="EX3216" i="10"/>
  <c r="AC3266" i="10"/>
  <c r="GA3216" i="10"/>
  <c r="BK3284" i="10"/>
  <c r="BJ3284" i="10"/>
  <c r="BI3284" i="10"/>
  <c r="BX3214" i="10"/>
  <c r="AR2095" i="10" s="1"/>
  <c r="EC3216" i="10"/>
  <c r="AC3216" i="10"/>
  <c r="CO3219" i="10"/>
  <c r="CO3220" i="10"/>
  <c r="CO3228" i="10"/>
  <c r="CO3229" i="10"/>
  <c r="CO3230" i="10"/>
  <c r="CO3250" i="10"/>
  <c r="AC3256" i="10"/>
  <c r="FQ3216" i="10"/>
  <c r="AC3262" i="10"/>
  <c r="FW3216" i="10"/>
  <c r="BJ3302" i="10"/>
  <c r="BK3302" i="10"/>
  <c r="BI3302" i="10"/>
  <c r="BK3310" i="10"/>
  <c r="BJ3310" i="10"/>
  <c r="BI3310" i="10"/>
  <c r="BK3321" i="10"/>
  <c r="BJ3321" i="10"/>
  <c r="BI3321" i="10"/>
  <c r="CO3241" i="10"/>
  <c r="CO3243" i="10"/>
  <c r="BK3282" i="10"/>
  <c r="BI3282" i="10"/>
  <c r="BK3286" i="10"/>
  <c r="BJ3286" i="10"/>
  <c r="BK3295" i="10"/>
  <c r="BJ3295" i="10"/>
  <c r="BJ3297" i="10"/>
  <c r="BK3297" i="10"/>
  <c r="BI3297" i="10"/>
  <c r="BI3301" i="10"/>
  <c r="BK3301" i="10"/>
  <c r="BJ3301" i="10"/>
  <c r="BK3313" i="10"/>
  <c r="BJ3313" i="10"/>
  <c r="BI3313" i="10"/>
  <c r="BJ3318" i="10"/>
  <c r="BI3318" i="10"/>
  <c r="BK3318" i="10"/>
  <c r="BI3329" i="10"/>
  <c r="BK3329" i="10"/>
  <c r="BJ3329" i="10"/>
  <c r="ED3216" i="10"/>
  <c r="CO3249" i="10"/>
  <c r="CO3253" i="10"/>
  <c r="CO3264" i="10"/>
  <c r="DZ3279" i="10"/>
  <c r="BH3281" i="10"/>
  <c r="BG3280" i="10"/>
  <c r="BJ3282" i="10"/>
  <c r="BK3285" i="10"/>
  <c r="BJ3285" i="10"/>
  <c r="BI3286" i="10"/>
  <c r="BJ3291" i="10"/>
  <c r="BI3291" i="10"/>
  <c r="BK3292" i="10"/>
  <c r="BJ3292" i="10"/>
  <c r="BK3293" i="10"/>
  <c r="BJ3293" i="10"/>
  <c r="BI3293" i="10"/>
  <c r="BI3295" i="10"/>
  <c r="BK3300" i="10"/>
  <c r="BJ3300" i="10"/>
  <c r="BI3300" i="10"/>
  <c r="BI3314" i="10"/>
  <c r="BK3314" i="10"/>
  <c r="BJ3314" i="10"/>
  <c r="BJ3327" i="10"/>
  <c r="BI3327" i="10"/>
  <c r="BK3327" i="10"/>
  <c r="CO3242" i="10"/>
  <c r="CO3244" i="10"/>
  <c r="CO3251" i="10"/>
  <c r="BJ3288" i="10"/>
  <c r="BI3288" i="10"/>
  <c r="BK3289" i="10"/>
  <c r="BJ3289" i="10"/>
  <c r="BI3289" i="10"/>
  <c r="BK3290" i="10"/>
  <c r="BJ3290" i="10"/>
  <c r="BI3290" i="10"/>
  <c r="BJ3306" i="10"/>
  <c r="BI3306" i="10"/>
  <c r="BK3306" i="10"/>
  <c r="BK3311" i="10"/>
  <c r="BJ3311" i="10"/>
  <c r="BI3311" i="10"/>
  <c r="BK3283" i="10"/>
  <c r="BK3287" i="10"/>
  <c r="BK3294" i="10"/>
  <c r="BK3296" i="10"/>
  <c r="BK3308" i="10"/>
  <c r="BJ3308" i="10"/>
  <c r="BK3317" i="10"/>
  <c r="BJ3317" i="10"/>
  <c r="BI3317" i="10"/>
  <c r="BJ3320" i="10"/>
  <c r="BI3320" i="10"/>
  <c r="BI3325" i="10"/>
  <c r="BK3325" i="10"/>
  <c r="BK3326" i="10"/>
  <c r="BJ3326" i="10"/>
  <c r="BI3326" i="10"/>
  <c r="BI3332" i="10"/>
  <c r="BK3332" i="10"/>
  <c r="C3291" i="10"/>
  <c r="BJ3316" i="10"/>
  <c r="BI3316" i="10"/>
  <c r="BK3319" i="10"/>
  <c r="BJ3319" i="10"/>
  <c r="BI3319" i="10"/>
  <c r="BJ3322" i="10"/>
  <c r="BI3322" i="10"/>
  <c r="B3373" i="10"/>
  <c r="B3376" i="10"/>
  <c r="B3375" i="10"/>
  <c r="B3374" i="10"/>
  <c r="BJ3299" i="10"/>
  <c r="BI3303" i="10"/>
  <c r="BK3304" i="10"/>
  <c r="BJ3304" i="10"/>
  <c r="BJ3305" i="10"/>
  <c r="BJ3307" i="10"/>
  <c r="BK3316" i="10"/>
  <c r="BK3322" i="10"/>
  <c r="BI3324" i="10"/>
  <c r="BK3324" i="10"/>
  <c r="BJ3312" i="10"/>
  <c r="BJ3315" i="10"/>
  <c r="BJ3323" i="10"/>
  <c r="BJ3328" i="10"/>
  <c r="BJ3330" i="10"/>
  <c r="BJ3331" i="10"/>
  <c r="B3368" i="10"/>
  <c r="B3370" i="10"/>
  <c r="B3383" i="10"/>
  <c r="B3384" i="10"/>
  <c r="B3385" i="10"/>
  <c r="B3378" i="10"/>
  <c r="B3379" i="10"/>
  <c r="B3380" i="10"/>
  <c r="B3395" i="10"/>
  <c r="AI1849" i="3"/>
  <c r="AO16" i="3"/>
  <c r="AO17" i="3"/>
  <c r="AO18" i="3"/>
  <c r="AO19" i="3"/>
  <c r="AO20" i="3"/>
  <c r="AO21" i="3"/>
  <c r="AO15" i="3"/>
  <c r="AH33" i="3"/>
  <c r="AH25" i="3"/>
  <c r="AH26" i="3"/>
  <c r="AH27" i="3"/>
  <c r="AH28" i="3"/>
  <c r="AH29" i="3"/>
  <c r="AH24" i="3"/>
  <c r="AH11" i="3"/>
  <c r="AH12" i="3"/>
  <c r="AH10" i="3"/>
  <c r="AH9" i="3"/>
  <c r="AH7" i="3"/>
  <c r="AA530" i="3"/>
  <c r="AA536" i="3" s="1"/>
  <c r="AA541" i="3" s="1"/>
  <c r="AA547" i="3" s="1"/>
  <c r="AA552" i="3" s="1"/>
  <c r="AA560" i="3" s="1"/>
  <c r="AA565" i="3" s="1"/>
  <c r="AA570" i="3" s="1"/>
  <c r="AA576" i="3" s="1"/>
  <c r="AA581" i="3" s="1"/>
  <c r="AA586" i="3" s="1"/>
  <c r="AA594" i="3" s="1"/>
  <c r="AA599" i="3" s="1"/>
  <c r="AA604" i="3" s="1"/>
  <c r="AA610" i="3" s="1"/>
  <c r="AA615" i="3" s="1"/>
  <c r="AA620" i="3" s="1"/>
  <c r="AA628" i="3" s="1"/>
  <c r="AA633" i="3" s="1"/>
  <c r="AA638" i="3" s="1"/>
  <c r="AA644" i="3" s="1"/>
  <c r="AA649" i="3" s="1"/>
  <c r="AA654" i="3" s="1"/>
  <c r="AA662" i="3" s="1"/>
  <c r="AA667" i="3" s="1"/>
  <c r="AA672" i="3" s="1"/>
  <c r="AA678" i="3" s="1"/>
  <c r="AA683" i="3" s="1"/>
  <c r="AA688" i="3" s="1"/>
  <c r="AA694" i="3" s="1"/>
  <c r="AA710" i="3" s="1"/>
  <c r="AA715" i="3" s="1"/>
  <c r="AA720" i="3" s="1"/>
  <c r="AA726" i="3" s="1"/>
  <c r="AA731" i="3" s="1"/>
  <c r="AA736" i="3" s="1"/>
  <c r="AA741" i="3" s="1"/>
  <c r="AA749" i="3" s="1"/>
  <c r="AA759" i="3" s="1"/>
  <c r="AA764" i="3" s="1"/>
  <c r="AA769" i="3" s="1"/>
  <c r="AA774" i="3" s="1"/>
  <c r="AA779" i="3" s="1"/>
  <c r="BK2" i="3" s="1"/>
  <c r="AC779" i="3"/>
  <c r="AC774" i="3"/>
  <c r="AC769" i="3"/>
  <c r="AC764" i="3"/>
  <c r="AC759" i="3"/>
  <c r="AC749" i="3"/>
  <c r="AC741" i="3"/>
  <c r="AC736" i="3"/>
  <c r="AC731" i="3"/>
  <c r="AC726" i="3"/>
  <c r="AC720" i="3"/>
  <c r="AC715" i="3"/>
  <c r="AC710" i="3"/>
  <c r="AC694" i="3"/>
  <c r="AC683" i="3"/>
  <c r="AC688" i="3"/>
  <c r="AC678" i="3"/>
  <c r="AC672" i="3"/>
  <c r="AC667" i="3"/>
  <c r="AC662" i="3"/>
  <c r="AC649" i="3"/>
  <c r="AC654" i="3"/>
  <c r="AC644" i="3"/>
  <c r="AC638" i="3"/>
  <c r="AC633" i="3"/>
  <c r="AC628" i="3"/>
  <c r="AC620" i="3"/>
  <c r="AC615" i="3"/>
  <c r="AC610" i="3"/>
  <c r="AC604" i="3"/>
  <c r="AC599" i="3"/>
  <c r="AC594" i="3"/>
  <c r="AC586" i="3"/>
  <c r="AC581" i="3"/>
  <c r="AC576" i="3"/>
  <c r="AC570" i="3"/>
  <c r="AC565" i="3"/>
  <c r="AC560" i="3"/>
  <c r="AC552" i="3"/>
  <c r="AC547" i="3"/>
  <c r="AC536" i="3"/>
  <c r="AC525" i="3"/>
  <c r="AE779" i="3"/>
  <c r="AE774" i="3"/>
  <c r="AE769" i="3"/>
  <c r="AE764" i="3"/>
  <c r="AE759" i="3"/>
  <c r="AE749" i="3"/>
  <c r="AE741" i="3"/>
  <c r="AE736" i="3"/>
  <c r="AE731" i="3"/>
  <c r="AE726" i="3"/>
  <c r="AE720" i="3"/>
  <c r="AE715" i="3"/>
  <c r="AE710" i="3"/>
  <c r="AE694" i="3"/>
  <c r="AE688" i="3"/>
  <c r="AE683" i="3"/>
  <c r="AE678" i="3"/>
  <c r="AE672" i="3"/>
  <c r="AE667" i="3"/>
  <c r="AE662" i="3"/>
  <c r="AE654" i="3"/>
  <c r="AE649" i="3"/>
  <c r="AE644" i="3"/>
  <c r="AE638" i="3"/>
  <c r="AE633" i="3"/>
  <c r="AE628" i="3"/>
  <c r="AE620" i="3"/>
  <c r="AE615" i="3"/>
  <c r="AE610" i="3"/>
  <c r="AE604" i="3"/>
  <c r="AE599" i="3"/>
  <c r="AE594" i="3"/>
  <c r="AE586" i="3"/>
  <c r="AE581" i="3"/>
  <c r="AE576" i="3"/>
  <c r="AE570" i="3"/>
  <c r="AE565" i="3"/>
  <c r="AE560" i="3"/>
  <c r="AE552" i="3"/>
  <c r="AE547" i="3"/>
  <c r="AE541" i="3"/>
  <c r="AE536" i="3"/>
  <c r="AE530" i="3"/>
  <c r="AE525" i="3"/>
  <c r="AB935" i="3"/>
  <c r="AB926" i="3"/>
  <c r="AB779" i="3"/>
  <c r="AB774" i="3"/>
  <c r="AB769" i="3"/>
  <c r="AB764" i="3"/>
  <c r="AB759" i="3"/>
  <c r="AB749" i="3"/>
  <c r="AB741" i="3"/>
  <c r="AB736" i="3"/>
  <c r="AB731" i="3"/>
  <c r="AB726" i="3"/>
  <c r="AB720" i="3"/>
  <c r="AB715" i="3"/>
  <c r="AB710" i="3"/>
  <c r="AB694" i="3"/>
  <c r="AB688" i="3"/>
  <c r="AB683" i="3"/>
  <c r="AB678" i="3"/>
  <c r="AB672" i="3"/>
  <c r="AB667" i="3"/>
  <c r="AB662" i="3"/>
  <c r="AB654" i="3"/>
  <c r="AB649" i="3"/>
  <c r="AB644" i="3"/>
  <c r="AB638" i="3"/>
  <c r="AB633" i="3"/>
  <c r="AB628" i="3"/>
  <c r="AB620" i="3"/>
  <c r="AB615" i="3"/>
  <c r="AB610" i="3"/>
  <c r="AB604" i="3"/>
  <c r="AB599" i="3"/>
  <c r="AB594" i="3"/>
  <c r="AB586" i="3"/>
  <c r="AB581" i="3"/>
  <c r="AB576" i="3"/>
  <c r="AB570" i="3"/>
  <c r="AB565" i="3"/>
  <c r="AB560" i="3"/>
  <c r="AB552" i="3"/>
  <c r="AB547" i="3"/>
  <c r="AB541" i="3"/>
  <c r="AB536" i="3"/>
  <c r="AB530" i="3"/>
  <c r="AB525" i="3"/>
  <c r="BB2378" i="10" l="1"/>
  <c r="AX601" i="10"/>
  <c r="AZ601" i="10" s="1"/>
  <c r="BD601" i="10" s="1"/>
  <c r="BB601" i="10"/>
  <c r="AL1352" i="10"/>
  <c r="AC1412" i="10"/>
  <c r="D1412" i="10" s="1"/>
  <c r="AC1482" i="10"/>
  <c r="D1482" i="10" s="1"/>
  <c r="AG861" i="10"/>
  <c r="AZ781" i="10"/>
  <c r="BD781" i="10" s="1"/>
  <c r="AV1363" i="10"/>
  <c r="AZ1363" i="10" s="1"/>
  <c r="AX1363" i="10" s="1"/>
  <c r="AQ1889" i="10"/>
  <c r="AC717" i="10"/>
  <c r="AF717" i="10" s="1"/>
  <c r="AC630" i="10"/>
  <c r="AF630" i="10" s="1"/>
  <c r="AC554" i="10"/>
  <c r="AF554" i="10" s="1"/>
  <c r="AC743" i="10"/>
  <c r="AF743" i="10" s="1"/>
  <c r="AG973" i="10"/>
  <c r="AC1522" i="10"/>
  <c r="D1522" i="10" s="1"/>
  <c r="AV1523" i="10" s="1"/>
  <c r="AC1462" i="10"/>
  <c r="D1462" i="10" s="1"/>
  <c r="AC1542" i="10"/>
  <c r="D1542" i="10" s="1"/>
  <c r="AL850" i="10"/>
  <c r="AO850" i="10" s="1"/>
  <c r="AG2340" i="10"/>
  <c r="AD2340" i="10" s="1"/>
  <c r="AG953" i="10"/>
  <c r="AG964" i="10"/>
  <c r="AC1392" i="10"/>
  <c r="D1392" i="10" s="1"/>
  <c r="AC1562" i="10"/>
  <c r="D1562" i="10" s="1"/>
  <c r="AV1563" i="10" s="1"/>
  <c r="AC1532" i="10"/>
  <c r="D1532" i="10" s="1"/>
  <c r="AC1442" i="10"/>
  <c r="D1442" i="10" s="1"/>
  <c r="AC1582" i="10"/>
  <c r="D1582" i="10" s="1"/>
  <c r="AC1512" i="10"/>
  <c r="D1512" i="10" s="1"/>
  <c r="AV1513" i="10" s="1"/>
  <c r="AG963" i="10"/>
  <c r="AC1353" i="10"/>
  <c r="AX761" i="10"/>
  <c r="AZ761" i="10" s="1"/>
  <c r="BD761" i="10" s="1"/>
  <c r="AX538" i="10"/>
  <c r="AZ538" i="10" s="1"/>
  <c r="BD538" i="10" s="1"/>
  <c r="B328" i="10"/>
  <c r="B2941" i="10" s="1"/>
  <c r="AX543" i="10"/>
  <c r="AZ543" i="10" s="1"/>
  <c r="BD543" i="10" s="1"/>
  <c r="AI479" i="10"/>
  <c r="AK479" i="10" s="1"/>
  <c r="AG2353" i="10"/>
  <c r="AF873" i="10"/>
  <c r="AS2253" i="10"/>
  <c r="AG2339" i="10"/>
  <c r="AD2339" i="10" s="1"/>
  <c r="AD2336" i="10" s="1"/>
  <c r="C2332" i="10" s="1"/>
  <c r="AE2349" i="10"/>
  <c r="AG2341" i="10"/>
  <c r="AD2341" i="10" s="1"/>
  <c r="AE2347" i="10"/>
  <c r="AX1845" i="10"/>
  <c r="AC1422" i="10"/>
  <c r="D1422" i="10" s="1"/>
  <c r="AV1423" i="10" s="1"/>
  <c r="AC1402" i="10"/>
  <c r="D1402" i="10" s="1"/>
  <c r="AC1572" i="10"/>
  <c r="D1572" i="10" s="1"/>
  <c r="AC1472" i="10"/>
  <c r="D1472" i="10" s="1"/>
  <c r="AC1382" i="10"/>
  <c r="D1382" i="10" s="1"/>
  <c r="AV1383" i="10" s="1"/>
  <c r="AC1552" i="10"/>
  <c r="D1552" i="10" s="1"/>
  <c r="AG864" i="10"/>
  <c r="AZ669" i="10"/>
  <c r="BD669" i="10" s="1"/>
  <c r="AX751" i="10"/>
  <c r="AZ751" i="10" s="1"/>
  <c r="BD751" i="10" s="1"/>
  <c r="BM1889" i="10"/>
  <c r="AX549" i="10"/>
  <c r="AZ549" i="10" s="1"/>
  <c r="BD549" i="10" s="1"/>
  <c r="B315" i="10"/>
  <c r="BK1" i="10"/>
  <c r="AD1" i="10" s="1"/>
  <c r="AD21" i="10" s="1"/>
  <c r="AJ1909" i="10"/>
  <c r="AB520" i="10"/>
  <c r="AN405" i="10"/>
  <c r="AK405" i="10"/>
  <c r="AW209" i="10"/>
  <c r="AR209" i="10"/>
  <c r="AN385" i="10"/>
  <c r="AK385" i="10"/>
  <c r="AN425" i="10"/>
  <c r="AK425" i="10"/>
  <c r="AN435" i="10"/>
  <c r="AK435" i="10"/>
  <c r="AM209" i="10"/>
  <c r="AQ209" i="10"/>
  <c r="AS209" i="10" s="1"/>
  <c r="AM206" i="10"/>
  <c r="BB206" i="10" s="1"/>
  <c r="AI209" i="10"/>
  <c r="AK209" i="10" s="1"/>
  <c r="AV209" i="10"/>
  <c r="AX209" i="10" s="1"/>
  <c r="AK680" i="10"/>
  <c r="AM680" i="10" s="1"/>
  <c r="BB680" i="10" s="1"/>
  <c r="AK640" i="10"/>
  <c r="AM640" i="10" s="1"/>
  <c r="AK674" i="10"/>
  <c r="AM674" i="10" s="1"/>
  <c r="BB674" i="10" s="1"/>
  <c r="AK664" i="10"/>
  <c r="AM664" i="10" s="1"/>
  <c r="BB664" i="10" s="1"/>
  <c r="AK562" i="10"/>
  <c r="AM562" i="10" s="1"/>
  <c r="AN375" i="10"/>
  <c r="AK375" i="10"/>
  <c r="AN365" i="10"/>
  <c r="AK365" i="10"/>
  <c r="AO209" i="10"/>
  <c r="AL846" i="10"/>
  <c r="AO846" i="10" s="1"/>
  <c r="AO854" i="10" s="1"/>
  <c r="E3017" i="10"/>
  <c r="AJ690" i="10" s="1"/>
  <c r="AM690" i="10" s="1"/>
  <c r="AX690" i="10" s="1"/>
  <c r="AZ690" i="10" s="1"/>
  <c r="BD690" i="10" s="1"/>
  <c r="AC3016" i="10"/>
  <c r="AN415" i="10"/>
  <c r="AK415" i="10"/>
  <c r="BB2375" i="10"/>
  <c r="D2379" i="10"/>
  <c r="BQ2374" i="10" s="1"/>
  <c r="D2380" i="10" s="1"/>
  <c r="BB2381" i="10"/>
  <c r="D2383" i="10"/>
  <c r="BQ2380" i="10" s="1"/>
  <c r="D2384" i="10" s="1"/>
  <c r="BB2390" i="10"/>
  <c r="D2389" i="10"/>
  <c r="BQ2389" i="10" s="1"/>
  <c r="D2390" i="10" s="1"/>
  <c r="AD2344" i="10"/>
  <c r="BD501" i="10"/>
  <c r="BP501" i="10" s="1"/>
  <c r="AR1909" i="10" s="1"/>
  <c r="AU1891" i="10"/>
  <c r="AU1892" i="10" s="1"/>
  <c r="AU1893" i="10" s="1"/>
  <c r="AU1894" i="10" s="1"/>
  <c r="AU1895" i="10" s="1"/>
  <c r="AU1896" i="10" s="1"/>
  <c r="AU1898" i="10" s="1"/>
  <c r="AU1899" i="10" s="1"/>
  <c r="AG1899" i="10" s="1"/>
  <c r="AD1899" i="10" s="1"/>
  <c r="BO1904" i="10"/>
  <c r="BO1905" i="10" s="1"/>
  <c r="BL1905" i="10" s="1"/>
  <c r="BK1905" i="10" s="1"/>
  <c r="AT1897" i="10"/>
  <c r="AG1897" i="10" s="1"/>
  <c r="AD1897" i="10" s="1"/>
  <c r="AL1916" i="10"/>
  <c r="AL1923" i="10" s="1"/>
  <c r="BO1190" i="10"/>
  <c r="C1190" i="10" s="1"/>
  <c r="AH885" i="10"/>
  <c r="AH883" i="10"/>
  <c r="AH886" i="10"/>
  <c r="AK1101" i="10" s="1"/>
  <c r="AH884" i="10"/>
  <c r="AK1099" i="10" s="1"/>
  <c r="AH882" i="10"/>
  <c r="AN873" i="10"/>
  <c r="AK873" i="10"/>
  <c r="AG870" i="10"/>
  <c r="AG862" i="10"/>
  <c r="AQ862" i="10" s="1"/>
  <c r="AG866" i="10"/>
  <c r="AX680" i="10"/>
  <c r="AZ680" i="10" s="1"/>
  <c r="BD680" i="10" s="1"/>
  <c r="AX664" i="10"/>
  <c r="AZ664" i="10" s="1"/>
  <c r="BD664" i="10" s="1"/>
  <c r="AB624" i="10"/>
  <c r="BG556" i="10"/>
  <c r="BJ556" i="10" s="1"/>
  <c r="AB556" i="10"/>
  <c r="AB555" i="10" s="1"/>
  <c r="BB3282" i="10"/>
  <c r="BB3328" i="10"/>
  <c r="BB3285" i="10"/>
  <c r="BB3284" i="10"/>
  <c r="BB3326" i="10"/>
  <c r="BB3324" i="10"/>
  <c r="BB3286" i="10"/>
  <c r="BB3316" i="10"/>
  <c r="BB3307" i="10"/>
  <c r="BB3304" i="10"/>
  <c r="BB3288" i="10"/>
  <c r="BB3283" i="10"/>
  <c r="BB3295" i="10"/>
  <c r="BB3290" i="10"/>
  <c r="BB3299" i="10"/>
  <c r="BB3330" i="10"/>
  <c r="BB3327" i="10"/>
  <c r="BB3306" i="10"/>
  <c r="BB3331" i="10"/>
  <c r="BB3296" i="10"/>
  <c r="BB3287" i="10"/>
  <c r="BB3305" i="10"/>
  <c r="BB3301" i="10"/>
  <c r="BB3314" i="10"/>
  <c r="BB3297" i="10"/>
  <c r="BB3281" i="10"/>
  <c r="BB3303" i="10"/>
  <c r="AD265" i="10" s="1"/>
  <c r="D1119" i="10" s="1"/>
  <c r="D1121" i="10" s="1"/>
  <c r="BB3289" i="10"/>
  <c r="BB3323" i="10"/>
  <c r="AQ325" i="10"/>
  <c r="AQ326" i="10" s="1"/>
  <c r="AQ327" i="10" s="1"/>
  <c r="AQ328" i="10" s="1"/>
  <c r="AQ337" i="10" s="1"/>
  <c r="AQ338" i="10" s="1"/>
  <c r="AQ343" i="10" s="1"/>
  <c r="BJ522" i="10" s="1"/>
  <c r="BG522" i="10" s="1"/>
  <c r="D1892" i="10"/>
  <c r="AQ865" i="10"/>
  <c r="AS865" i="10" s="1"/>
  <c r="BD865" i="10" s="1"/>
  <c r="BF865" i="10" s="1"/>
  <c r="AH865" i="10"/>
  <c r="AQ870" i="10"/>
  <c r="AH870" i="10"/>
  <c r="AQ864" i="10"/>
  <c r="AS864" i="10" s="1"/>
  <c r="AH864" i="10"/>
  <c r="AQ861" i="10"/>
  <c r="AH861" i="10"/>
  <c r="BB3291" i="10"/>
  <c r="C3292" i="10"/>
  <c r="BJ3281" i="10"/>
  <c r="BJ3280" i="10" s="1"/>
  <c r="BI1167" i="10" s="1"/>
  <c r="AJ1167" i="10" s="1"/>
  <c r="BI3281" i="10"/>
  <c r="BI3280" i="10" s="1"/>
  <c r="BH1167" i="10" s="1"/>
  <c r="BI1166" i="10" s="1"/>
  <c r="BH3280" i="10"/>
  <c r="BG1167" i="10" s="1"/>
  <c r="BL1166" i="10" s="1"/>
  <c r="BS1166" i="10" s="1"/>
  <c r="AF2330" i="10" s="1"/>
  <c r="BK3281" i="10"/>
  <c r="BK3280" i="10" s="1"/>
  <c r="BJ1167" i="10" s="1"/>
  <c r="AJ1166" i="10" s="1"/>
  <c r="AG1966" i="10"/>
  <c r="AI1974" i="10"/>
  <c r="AG1974" i="10" s="1"/>
  <c r="AG2321" i="10"/>
  <c r="AD2321" i="10" s="1"/>
  <c r="B2320" i="10" s="1"/>
  <c r="BE44" i="10"/>
  <c r="AG1687" i="10"/>
  <c r="AG1657" i="10"/>
  <c r="AG1637" i="10"/>
  <c r="AD1637" i="10" s="1"/>
  <c r="AU1637" i="10" s="1"/>
  <c r="AT1637" i="10" s="1"/>
  <c r="AJ1637" i="10" s="1"/>
  <c r="D1637" i="10" s="1"/>
  <c r="AG1677" i="10"/>
  <c r="AG1647" i="10"/>
  <c r="AD1647" i="10" s="1"/>
  <c r="AG1667" i="10"/>
  <c r="AJ892" i="10"/>
  <c r="E2286" i="10"/>
  <c r="AK1100" i="10"/>
  <c r="E2284" i="10"/>
  <c r="AK1098" i="10"/>
  <c r="AV1493" i="10"/>
  <c r="AI1494" i="10"/>
  <c r="AJ1494" i="10" s="1"/>
  <c r="AK1494" i="10" s="1"/>
  <c r="AI1434" i="10"/>
  <c r="AJ1434" i="10" s="1"/>
  <c r="AK1434" i="10" s="1"/>
  <c r="AV1433" i="10"/>
  <c r="AI1374" i="10"/>
  <c r="AJ1374" i="10" s="1"/>
  <c r="AK1374" i="10" s="1"/>
  <c r="AV1373" i="10"/>
  <c r="AI1504" i="10"/>
  <c r="AJ1504" i="10" s="1"/>
  <c r="AK1504" i="10" s="1"/>
  <c r="AV1503" i="10"/>
  <c r="AV1453" i="10"/>
  <c r="AI1454" i="10"/>
  <c r="AJ1454" i="10" s="1"/>
  <c r="AK1454" i="10" s="1"/>
  <c r="AV1593" i="10"/>
  <c r="AI1594" i="10"/>
  <c r="AJ1594" i="10" s="1"/>
  <c r="AK1594" i="10" s="1"/>
  <c r="AF1103" i="10"/>
  <c r="AT1103" i="10" s="1"/>
  <c r="AG863" i="10"/>
  <c r="AM873" i="10"/>
  <c r="AJ897" i="10"/>
  <c r="AG871" i="10"/>
  <c r="AG867" i="10"/>
  <c r="AT838" i="10"/>
  <c r="AS838" i="10"/>
  <c r="AX728" i="10"/>
  <c r="AZ728" i="10" s="1"/>
  <c r="BD728" i="10" s="1"/>
  <c r="BB728" i="10"/>
  <c r="AG514" i="10"/>
  <c r="AD514" i="10" s="1"/>
  <c r="BG521" i="10"/>
  <c r="AF2919" i="10"/>
  <c r="AO2920" i="10"/>
  <c r="AK2154" i="10"/>
  <c r="AB1984" i="10"/>
  <c r="AX2032" i="10"/>
  <c r="BB669" i="10"/>
  <c r="AO2251" i="10"/>
  <c r="AK2246" i="10" s="1"/>
  <c r="AQ2992" i="10"/>
  <c r="BP503" i="10"/>
  <c r="BD504" i="10"/>
  <c r="AP2095" i="10"/>
  <c r="AS2089" i="10"/>
  <c r="CN3212" i="10"/>
  <c r="AK2298" i="10"/>
  <c r="AJ2235" i="10"/>
  <c r="AM2275" i="10"/>
  <c r="AJ2245" i="10"/>
  <c r="AI2246" i="10" s="1"/>
  <c r="AK2253" i="10" s="1"/>
  <c r="AJ2236" i="10"/>
  <c r="AL2223" i="10"/>
  <c r="AO2136" i="10"/>
  <c r="AM2107" i="10"/>
  <c r="AB1983" i="10"/>
  <c r="AI1946" i="10"/>
  <c r="AJ1945" i="10"/>
  <c r="AI1902" i="10"/>
  <c r="AJ1851" i="10"/>
  <c r="AX2031" i="10"/>
  <c r="AJ1995" i="10"/>
  <c r="AL1950" i="10"/>
  <c r="AJ4" i="10"/>
  <c r="AH4" i="10" s="1"/>
  <c r="DZ3239" i="10"/>
  <c r="DX3239" i="10" s="1"/>
  <c r="DZ3236" i="10"/>
  <c r="DX3236" i="10" s="1"/>
  <c r="DZ3230" i="10"/>
  <c r="DX3230" i="10" s="1"/>
  <c r="DZ3221" i="10"/>
  <c r="DZ3219" i="10"/>
  <c r="DZ3243" i="10"/>
  <c r="DX3243" i="10" s="1"/>
  <c r="DZ3241" i="10"/>
  <c r="DX3241" i="10" s="1"/>
  <c r="DZ3237" i="10"/>
  <c r="DX3237" i="10" s="1"/>
  <c r="DZ3233" i="10"/>
  <c r="DX3233" i="10" s="1"/>
  <c r="DZ3232" i="10"/>
  <c r="DX3232" i="10" s="1"/>
  <c r="DZ3231" i="10"/>
  <c r="DX3231" i="10" s="1"/>
  <c r="DZ3227" i="10"/>
  <c r="AH1788" i="10" s="1"/>
  <c r="DZ3217" i="10"/>
  <c r="DZ3234" i="10"/>
  <c r="DX3234" i="10" s="1"/>
  <c r="DZ3228" i="10"/>
  <c r="DX3228" i="10" s="1"/>
  <c r="DZ3222" i="10"/>
  <c r="DZ3218" i="10"/>
  <c r="DZ3229" i="10"/>
  <c r="DX3229" i="10" s="1"/>
  <c r="DZ3235" i="10"/>
  <c r="DX3235" i="10" s="1"/>
  <c r="DZ3220" i="10"/>
  <c r="DZ3240" i="10"/>
  <c r="DX3240" i="10" s="1"/>
  <c r="DZ3238" i="10"/>
  <c r="DX3238" i="10" s="1"/>
  <c r="DZ3242" i="10"/>
  <c r="DX3242" i="10" s="1"/>
  <c r="A2818" i="10"/>
  <c r="BF2817" i="10"/>
  <c r="BL2817" i="10" s="1"/>
  <c r="AN2933" i="10"/>
  <c r="AG2245" i="10"/>
  <c r="AS2251" i="10"/>
  <c r="BZ3215" i="10"/>
  <c r="BZ3213" i="10"/>
  <c r="AN1923" i="10" s="1"/>
  <c r="AS2107" i="10"/>
  <c r="AR1869" i="10"/>
  <c r="AG969" i="10"/>
  <c r="AG957" i="10"/>
  <c r="AO873" i="10"/>
  <c r="AI1464" i="10"/>
  <c r="AJ1464" i="10" s="1"/>
  <c r="AK1464" i="10" s="1"/>
  <c r="AV1463" i="10"/>
  <c r="AV1413" i="10"/>
  <c r="AI1414" i="10"/>
  <c r="AJ1414" i="10" s="1"/>
  <c r="AK1414" i="10" s="1"/>
  <c r="AI1544" i="10"/>
  <c r="AJ1544" i="10" s="1"/>
  <c r="AK1544" i="10" s="1"/>
  <c r="AV1543" i="10"/>
  <c r="AV1483" i="10"/>
  <c r="AI1484" i="10"/>
  <c r="AJ1484" i="10" s="1"/>
  <c r="AK1484" i="10" s="1"/>
  <c r="AG967" i="10"/>
  <c r="AG868" i="10"/>
  <c r="AI873" i="10"/>
  <c r="BI872" i="10" s="1"/>
  <c r="AG966" i="10"/>
  <c r="AP873" i="10"/>
  <c r="AX717" i="10"/>
  <c r="AZ717" i="10" s="1"/>
  <c r="BD717" i="10" s="1"/>
  <c r="BB717" i="10"/>
  <c r="BD1363" i="10"/>
  <c r="AT1363" i="10"/>
  <c r="AC1363" i="10" s="1"/>
  <c r="AI1362" i="10"/>
  <c r="AO1362" i="10" s="1"/>
  <c r="D1363" i="10"/>
  <c r="AX743" i="10"/>
  <c r="AZ743" i="10" s="1"/>
  <c r="BD743" i="10" s="1"/>
  <c r="BB743" i="10"/>
  <c r="AX722" i="10"/>
  <c r="AZ722" i="10" s="1"/>
  <c r="BD722" i="10" s="1"/>
  <c r="BB722" i="10"/>
  <c r="BB751" i="10"/>
  <c r="AK369" i="10"/>
  <c r="BH389" i="10"/>
  <c r="BJ379" i="10"/>
  <c r="AH1937" i="10"/>
  <c r="AG2176" i="10"/>
  <c r="A2175" i="10" s="1"/>
  <c r="AB528" i="10"/>
  <c r="A534" i="10"/>
  <c r="AE3200" i="10"/>
  <c r="AC3220" i="10" s="1"/>
  <c r="AE3201" i="10"/>
  <c r="AC3242" i="10" s="1"/>
  <c r="AE3204" i="10"/>
  <c r="AG2246" i="10"/>
  <c r="AS2252" i="10"/>
  <c r="AG2252" i="10" s="1"/>
  <c r="AN2923" i="10"/>
  <c r="AE2330" i="10"/>
  <c r="C2330" i="10" s="1"/>
  <c r="AD2329" i="10"/>
  <c r="B2329" i="10" s="1"/>
  <c r="AD2330" i="10"/>
  <c r="B2330" i="10" s="1"/>
  <c r="AE2329" i="10"/>
  <c r="C2329" i="10" s="1"/>
  <c r="AE2331" i="10"/>
  <c r="AD2328" i="10"/>
  <c r="B2328" i="10" s="1"/>
  <c r="AD1687" i="10"/>
  <c r="AD1677" i="10"/>
  <c r="AS1389" i="10"/>
  <c r="D1379" i="10"/>
  <c r="AJ894" i="10"/>
  <c r="E2285" i="10"/>
  <c r="E2283" i="10"/>
  <c r="AK1097" i="10"/>
  <c r="AV1393" i="10"/>
  <c r="AI1394" i="10"/>
  <c r="AJ1394" i="10" s="1"/>
  <c r="AK1394" i="10" s="1"/>
  <c r="AI1534" i="10"/>
  <c r="AJ1534" i="10" s="1"/>
  <c r="AK1534" i="10" s="1"/>
  <c r="AV1533" i="10"/>
  <c r="AI1444" i="10"/>
  <c r="AJ1444" i="10" s="1"/>
  <c r="AK1444" i="10" s="1"/>
  <c r="AV1443" i="10"/>
  <c r="AI1584" i="10"/>
  <c r="AJ1584" i="10" s="1"/>
  <c r="AK1584" i="10" s="1"/>
  <c r="AV1583" i="10"/>
  <c r="AE873" i="10"/>
  <c r="BN3330" i="10"/>
  <c r="BN3328" i="10"/>
  <c r="BN3323" i="10"/>
  <c r="BN3329" i="10"/>
  <c r="BN3325" i="10"/>
  <c r="BN3324" i="10"/>
  <c r="BN3314" i="10"/>
  <c r="BN3303" i="10"/>
  <c r="D3208" i="10" s="1"/>
  <c r="C1159" i="10" s="1"/>
  <c r="BN3327" i="10"/>
  <c r="BN3316" i="10"/>
  <c r="BN3307" i="10"/>
  <c r="BN3305" i="10"/>
  <c r="BN3308" i="10"/>
  <c r="BN3306" i="10"/>
  <c r="BN3302" i="10"/>
  <c r="BN3301" i="10"/>
  <c r="BN3300" i="10"/>
  <c r="BN3292" i="10"/>
  <c r="BN3286" i="10"/>
  <c r="BN3285" i="10"/>
  <c r="BN3281" i="10"/>
  <c r="BN3326" i="10"/>
  <c r="BN3317" i="10"/>
  <c r="BN3296" i="10"/>
  <c r="BN3294" i="10"/>
  <c r="BN3287" i="10"/>
  <c r="BN3313" i="10"/>
  <c r="BN3311" i="10"/>
  <c r="BN3310" i="10"/>
  <c r="BN3304" i="10"/>
  <c r="BN3299" i="10"/>
  <c r="BN3297" i="10"/>
  <c r="BN3290" i="10"/>
  <c r="BN3289" i="10"/>
  <c r="AD1156" i="10"/>
  <c r="AG1156" i="10"/>
  <c r="AF1156" i="10"/>
  <c r="AI1127" i="10"/>
  <c r="B1127" i="10" s="1"/>
  <c r="AE1156" i="10"/>
  <c r="AG1103" i="10"/>
  <c r="AJ895" i="10"/>
  <c r="AJ893" i="10"/>
  <c r="AC873" i="10"/>
  <c r="AL873" i="10"/>
  <c r="E2288" i="10"/>
  <c r="AK1102" i="10"/>
  <c r="BG812" i="10"/>
  <c r="BD812" i="10"/>
  <c r="AK399" i="10"/>
  <c r="AJ2327" i="10"/>
  <c r="AJ2248" i="10"/>
  <c r="AJ2247" i="10"/>
  <c r="AX2245" i="10"/>
  <c r="AK2252" i="10"/>
  <c r="AJ2258" i="10"/>
  <c r="AL2236" i="10"/>
  <c r="AJ2161" i="10"/>
  <c r="AF2161" i="10" s="1"/>
  <c r="AL2127" i="10"/>
  <c r="AI2127" i="10" s="1"/>
  <c r="AL2126" i="10"/>
  <c r="AJ2261" i="10"/>
  <c r="AM2246" i="10"/>
  <c r="AI2154" i="10"/>
  <c r="AF2154" i="10" s="1"/>
  <c r="AJ2148" i="10"/>
  <c r="AF2148" i="10" s="1"/>
  <c r="AJ2251" i="10"/>
  <c r="AR2019" i="10"/>
  <c r="AJ2007" i="10"/>
  <c r="AO1953" i="10"/>
  <c r="AS1923" i="10"/>
  <c r="AJ1923" i="10"/>
  <c r="AJ1884" i="10"/>
  <c r="AP1869" i="10"/>
  <c r="AH1784" i="10"/>
  <c r="AJ2142" i="10"/>
  <c r="AU2089" i="10"/>
  <c r="AL1998" i="10"/>
  <c r="AJ1961" i="10"/>
  <c r="AS1945" i="10"/>
  <c r="AC1936" i="10"/>
  <c r="AA1936" i="10" s="1"/>
  <c r="BQ1904" i="10"/>
  <c r="AS1902" i="10"/>
  <c r="AJ1876" i="10"/>
  <c r="AG1876" i="10" s="1"/>
  <c r="C1876" i="10" s="1"/>
  <c r="AJ1860" i="10"/>
  <c r="AG1860" i="10" s="1"/>
  <c r="C1860" i="10" s="1"/>
  <c r="AU2095" i="10"/>
  <c r="AV2019" i="10"/>
  <c r="AL2001" i="10"/>
  <c r="AL1995" i="10"/>
  <c r="AC1938" i="10"/>
  <c r="AN1884" i="10"/>
  <c r="AL1867" i="10"/>
  <c r="AQ1851" i="10"/>
  <c r="AJ1865" i="10" s="1"/>
  <c r="AI2060" i="10"/>
  <c r="AJ2019" i="10"/>
  <c r="AM2007" i="10"/>
  <c r="AJ2001" i="10"/>
  <c r="AN1961" i="10"/>
  <c r="AP1916" i="10"/>
  <c r="AJ1885" i="10"/>
  <c r="AG1885" i="10" s="1"/>
  <c r="D1884" i="10" s="1"/>
  <c r="AJ1881" i="10"/>
  <c r="AJ1869" i="10"/>
  <c r="AG1869" i="10" s="1"/>
  <c r="C1869" i="10" s="1"/>
  <c r="AJ1868" i="10"/>
  <c r="AG1868" i="10" s="1"/>
  <c r="D1866" i="10" s="1"/>
  <c r="AJ1867" i="10"/>
  <c r="BB250" i="10"/>
  <c r="AZ250" i="10" s="1"/>
  <c r="AV250" i="10" s="1"/>
  <c r="BN10" i="10" s="1"/>
  <c r="BK10" i="10" s="1"/>
  <c r="AD204" i="10"/>
  <c r="AJ36" i="10"/>
  <c r="AH36" i="10" s="1"/>
  <c r="AJ34" i="10"/>
  <c r="AH34" i="10" s="1"/>
  <c r="AJ32" i="10"/>
  <c r="AH32" i="10" s="1"/>
  <c r="AJ31" i="10"/>
  <c r="AH31" i="10" s="1"/>
  <c r="AJ22" i="10"/>
  <c r="AH22" i="10" s="1"/>
  <c r="AJ14" i="10"/>
  <c r="AH14" i="10" s="1"/>
  <c r="AV337" i="10"/>
  <c r="BI337" i="10" s="1"/>
  <c r="BB324" i="10"/>
  <c r="C44" i="10"/>
  <c r="BF44" i="10"/>
  <c r="BB343" i="10"/>
  <c r="AZ343" i="10" s="1"/>
  <c r="AV343" i="10" s="1"/>
  <c r="BN16" i="10" s="1"/>
  <c r="BK16" i="10" s="1"/>
  <c r="AL1961" i="10"/>
  <c r="AL2019" i="10"/>
  <c r="AJ1998" i="10"/>
  <c r="CP3212" i="10"/>
  <c r="AJ2136" i="10"/>
  <c r="BJ2099" i="10"/>
  <c r="AM2260" i="10"/>
  <c r="AG2260" i="10" s="1"/>
  <c r="AG2253" i="10"/>
  <c r="AS2261" i="10"/>
  <c r="AG2261" i="10" s="1"/>
  <c r="AG2254" i="10"/>
  <c r="AD1667" i="10"/>
  <c r="AG1898" i="10"/>
  <c r="AD1657" i="10"/>
  <c r="AG965" i="10"/>
  <c r="AJ873" i="10"/>
  <c r="AI1404" i="10"/>
  <c r="AJ1404" i="10" s="1"/>
  <c r="AK1404" i="10" s="1"/>
  <c r="AV1403" i="10"/>
  <c r="AI1574" i="10"/>
  <c r="AJ1574" i="10" s="1"/>
  <c r="AK1574" i="10" s="1"/>
  <c r="AV1573" i="10"/>
  <c r="AI1474" i="10"/>
  <c r="AJ1474" i="10" s="1"/>
  <c r="AK1474" i="10" s="1"/>
  <c r="AV1473" i="10"/>
  <c r="AV1553" i="10"/>
  <c r="AI1554" i="10"/>
  <c r="AJ1554" i="10" s="1"/>
  <c r="AK1554" i="10" s="1"/>
  <c r="AG959" i="10"/>
  <c r="A3084" i="10"/>
  <c r="A815" i="10"/>
  <c r="AD873" i="10"/>
  <c r="AX712" i="10"/>
  <c r="AZ712" i="10" s="1"/>
  <c r="BD712" i="10" s="1"/>
  <c r="BB712" i="10"/>
  <c r="E2294" i="10"/>
  <c r="AL1101" i="10"/>
  <c r="AL896" i="10"/>
  <c r="AV896" i="10" s="1"/>
  <c r="AX733" i="10"/>
  <c r="AZ733" i="10" s="1"/>
  <c r="BD733" i="10" s="1"/>
  <c r="BB733" i="10"/>
  <c r="AO2937" i="10"/>
  <c r="AF2937" i="10" s="1"/>
  <c r="AF2934" i="10"/>
  <c r="AN2329" i="10"/>
  <c r="AN2330" i="10"/>
  <c r="AL321" i="10"/>
  <c r="AO2929" i="10"/>
  <c r="AF2928" i="10"/>
  <c r="D2170" i="10"/>
  <c r="AN874" i="10"/>
  <c r="AU874" i="10"/>
  <c r="AD983" i="10"/>
  <c r="AF1984" i="10"/>
  <c r="AF1985" i="10"/>
  <c r="AE944" i="3"/>
  <c r="BQ1" i="3" s="1"/>
  <c r="AC944" i="3"/>
  <c r="BM1" i="3" s="1"/>
  <c r="AA909" i="3"/>
  <c r="AA913" i="3" s="1"/>
  <c r="AA914" i="3" s="1"/>
  <c r="AA915" i="3" s="1"/>
  <c r="AA916" i="3" s="1"/>
  <c r="AA917" i="3" s="1"/>
  <c r="AA918" i="3" s="1"/>
  <c r="AA919" i="3" s="1"/>
  <c r="AA920" i="3" s="1"/>
  <c r="AA922" i="3" s="1"/>
  <c r="AA926" i="3" s="1"/>
  <c r="AA935" i="3" s="1"/>
  <c r="AA944" i="3" s="1"/>
  <c r="BL2" i="3" s="1"/>
  <c r="AD17" i="10" l="1"/>
  <c r="AD34" i="10"/>
  <c r="B34" i="10" s="1"/>
  <c r="AO44" i="10"/>
  <c r="E44" i="10" s="1"/>
  <c r="AD10" i="10"/>
  <c r="B10" i="10" s="1"/>
  <c r="AD19" i="10"/>
  <c r="AD25" i="10"/>
  <c r="B25" i="10" s="1"/>
  <c r="AL886" i="10"/>
  <c r="AT886" i="10" s="1"/>
  <c r="AI1424" i="10"/>
  <c r="AJ1424" i="10" s="1"/>
  <c r="AK1424" i="10" s="1"/>
  <c r="E2287" i="10"/>
  <c r="AH2296" i="10" s="1"/>
  <c r="AJ2296" i="10" s="1"/>
  <c r="AX674" i="10"/>
  <c r="AZ674" i="10" s="1"/>
  <c r="BD674" i="10" s="1"/>
  <c r="AI1524" i="10"/>
  <c r="AJ1524" i="10" s="1"/>
  <c r="AK1524" i="10" s="1"/>
  <c r="AD7" i="10"/>
  <c r="AD28" i="10"/>
  <c r="B28" i="10" s="1"/>
  <c r="AD24" i="10"/>
  <c r="B24" i="10" s="1"/>
  <c r="AD4" i="10"/>
  <c r="B4" i="10" s="1"/>
  <c r="AD14" i="10"/>
  <c r="B14" i="10" s="1"/>
  <c r="AP45" i="10"/>
  <c r="AP43" i="10" s="1"/>
  <c r="AI1384" i="10"/>
  <c r="AJ1384" i="10" s="1"/>
  <c r="AK1384" i="10" s="1"/>
  <c r="AG975" i="10"/>
  <c r="AI1514" i="10"/>
  <c r="AJ1514" i="10" s="1"/>
  <c r="AK1514" i="10" s="1"/>
  <c r="AI1564" i="10"/>
  <c r="AJ1564" i="10" s="1"/>
  <c r="AK1564" i="10" s="1"/>
  <c r="AU1647" i="10"/>
  <c r="AT1647" i="10" s="1"/>
  <c r="AJ1647" i="10" s="1"/>
  <c r="D1647" i="10" s="1"/>
  <c r="AD29" i="10"/>
  <c r="B29" i="10" s="1"/>
  <c r="AD33" i="10"/>
  <c r="B33" i="10" s="1"/>
  <c r="AD15" i="10"/>
  <c r="AD22" i="10"/>
  <c r="B22" i="10" s="1"/>
  <c r="AD26" i="10"/>
  <c r="B26" i="10" s="1"/>
  <c r="AF1998" i="10"/>
  <c r="AD11" i="10"/>
  <c r="B11" i="10" s="1"/>
  <c r="AD9" i="10"/>
  <c r="B9" i="10" s="1"/>
  <c r="AD20" i="10"/>
  <c r="AD27" i="10"/>
  <c r="B27" i="10" s="1"/>
  <c r="B1" i="10"/>
  <c r="AD18" i="10"/>
  <c r="BB554" i="10"/>
  <c r="AX554" i="10"/>
  <c r="AZ554" i="10" s="1"/>
  <c r="BD554" i="10" s="1"/>
  <c r="AD31" i="10"/>
  <c r="B31" i="10" s="1"/>
  <c r="AD32" i="10"/>
  <c r="B32" i="10" s="1"/>
  <c r="AD36" i="10"/>
  <c r="B36" i="10" s="1"/>
  <c r="AD12" i="10"/>
  <c r="B12" i="10" s="1"/>
  <c r="AD16" i="10"/>
  <c r="AJ6" i="11"/>
  <c r="AK6" i="11"/>
  <c r="AT1101" i="10"/>
  <c r="BB361" i="10"/>
  <c r="D365" i="10"/>
  <c r="AX365" i="10"/>
  <c r="BD361" i="10"/>
  <c r="BB562" i="10"/>
  <c r="AX562" i="10"/>
  <c r="AZ562" i="10" s="1"/>
  <c r="BD562" i="10" s="1"/>
  <c r="AX425" i="10"/>
  <c r="BB421" i="10"/>
  <c r="D425" i="10"/>
  <c r="BD421" i="10"/>
  <c r="AX405" i="10"/>
  <c r="BD401" i="10"/>
  <c r="BB401" i="10"/>
  <c r="D405" i="10"/>
  <c r="AL356" i="10"/>
  <c r="AN356" i="10" s="1"/>
  <c r="AN459" i="10" s="1"/>
  <c r="D457" i="10" s="1"/>
  <c r="BB690" i="10"/>
  <c r="BD411" i="10"/>
  <c r="BB411" i="10"/>
  <c r="AX415" i="10"/>
  <c r="D415" i="10"/>
  <c r="AH881" i="10"/>
  <c r="AZ209" i="10"/>
  <c r="BB209" i="10" s="1"/>
  <c r="AX375" i="10"/>
  <c r="BB371" i="10"/>
  <c r="BD371" i="10"/>
  <c r="D375" i="10"/>
  <c r="BD431" i="10"/>
  <c r="BB431" i="10"/>
  <c r="D435" i="10"/>
  <c r="AX435" i="10"/>
  <c r="BD381" i="10"/>
  <c r="BH381" i="10" s="1"/>
  <c r="BH385" i="10" s="1"/>
  <c r="BB381" i="10"/>
  <c r="BG381" i="10" s="1"/>
  <c r="AX385" i="10"/>
  <c r="D385" i="10"/>
  <c r="AC3015" i="10"/>
  <c r="E3016" i="10"/>
  <c r="AX640" i="10"/>
  <c r="AZ640" i="10" s="1"/>
  <c r="BD640" i="10" s="1"/>
  <c r="BB640" i="10"/>
  <c r="BB2392" i="10"/>
  <c r="AJ2353" i="10"/>
  <c r="C2339" i="10"/>
  <c r="C2337" i="10"/>
  <c r="C2338" i="10"/>
  <c r="C2340" i="10"/>
  <c r="AD2353" i="10"/>
  <c r="AG1895" i="10"/>
  <c r="AD1895" i="10" s="1"/>
  <c r="BL1904" i="10"/>
  <c r="AG1894" i="10"/>
  <c r="AD1894" i="10" s="1"/>
  <c r="AG1893" i="10"/>
  <c r="AD1893" i="10" s="1"/>
  <c r="AG1891" i="10"/>
  <c r="AD1891" i="10" s="1"/>
  <c r="AG1896" i="10"/>
  <c r="AD1896" i="10" s="1"/>
  <c r="AG1892" i="10"/>
  <c r="AD1892" i="10" s="1"/>
  <c r="BD864" i="10"/>
  <c r="BF864" i="10" s="1"/>
  <c r="AQ868" i="10"/>
  <c r="AS868" i="10" s="1"/>
  <c r="BD868" i="10" s="1"/>
  <c r="BF868" i="10" s="1"/>
  <c r="AQ866" i="10"/>
  <c r="AS866" i="10" s="1"/>
  <c r="BD866" i="10" s="1"/>
  <c r="BF866" i="10" s="1"/>
  <c r="AQ867" i="10"/>
  <c r="AS867" i="10" s="1"/>
  <c r="BD867" i="10" s="1"/>
  <c r="BF867" i="10" s="1"/>
  <c r="AS870" i="10"/>
  <c r="BD870" i="10" s="1"/>
  <c r="BF870" i="10" s="1"/>
  <c r="BB818" i="10"/>
  <c r="BB820" i="10" s="1"/>
  <c r="B821" i="10" s="1"/>
  <c r="BL556" i="10"/>
  <c r="BP556" i="10" s="1"/>
  <c r="AK1909" i="10" s="1"/>
  <c r="B84" i="10"/>
  <c r="C84" i="10" s="1"/>
  <c r="AQ344" i="10"/>
  <c r="DX3227" i="10"/>
  <c r="AF2253" i="10" s="1"/>
  <c r="AP1942" i="10"/>
  <c r="AG1884" i="10"/>
  <c r="C1884" i="10" s="1"/>
  <c r="AF2136" i="10"/>
  <c r="AG1923" i="10"/>
  <c r="AZ983" i="10"/>
  <c r="AG978" i="10"/>
  <c r="BB977" i="10" s="1"/>
  <c r="AN981" i="10"/>
  <c r="BD1573" i="10"/>
  <c r="AT1573" i="10"/>
  <c r="AC1573" i="10" s="1"/>
  <c r="AI1572" i="10"/>
  <c r="AO1572" i="10" s="1"/>
  <c r="D1573" i="10"/>
  <c r="AZ1573" i="10"/>
  <c r="AX1573" i="10" s="1"/>
  <c r="AU1657" i="10"/>
  <c r="AT1657" i="10" s="1"/>
  <c r="AJ1657" i="10" s="1"/>
  <c r="D1657" i="10" s="1"/>
  <c r="E2291" i="10"/>
  <c r="AL1098" i="10"/>
  <c r="AT1098" i="10" s="1"/>
  <c r="AL893" i="10"/>
  <c r="AV893" i="10" s="1"/>
  <c r="AL883" i="10"/>
  <c r="AT883" i="10" s="1"/>
  <c r="D1513" i="10"/>
  <c r="BD1513" i="10"/>
  <c r="AT1513" i="10"/>
  <c r="AC1513" i="10" s="1"/>
  <c r="AI1512" i="10"/>
  <c r="AO1512" i="10" s="1"/>
  <c r="AZ1513" i="10"/>
  <c r="AX1513" i="10" s="1"/>
  <c r="BD1563" i="10"/>
  <c r="AT1563" i="10"/>
  <c r="AC1563" i="10" s="1"/>
  <c r="AI1562" i="10"/>
  <c r="AO1562" i="10" s="1"/>
  <c r="D1563" i="10"/>
  <c r="AZ1563" i="10"/>
  <c r="AX1563" i="10" s="1"/>
  <c r="D1389" i="10"/>
  <c r="AS1399" i="10"/>
  <c r="BJ381" i="10"/>
  <c r="AK499" i="10"/>
  <c r="BF2818" i="10"/>
  <c r="A2819" i="10"/>
  <c r="AB1987" i="10"/>
  <c r="E1986" i="10" s="1"/>
  <c r="AB1988" i="10"/>
  <c r="E1987" i="10" s="1"/>
  <c r="AQ2993" i="10"/>
  <c r="AV2992" i="10"/>
  <c r="AT839" i="10"/>
  <c r="AS839" i="10"/>
  <c r="D1593" i="10"/>
  <c r="BD1593" i="10"/>
  <c r="AT1593" i="10"/>
  <c r="AC1593" i="10" s="1"/>
  <c r="AI1592" i="10"/>
  <c r="AO1592" i="10" s="1"/>
  <c r="AZ1593" i="10"/>
  <c r="AX1593" i="10" s="1"/>
  <c r="AN409" i="10"/>
  <c r="D407" i="10" s="1"/>
  <c r="AN469" i="10"/>
  <c r="D467" i="10" s="1"/>
  <c r="AN419" i="10"/>
  <c r="D417" i="10" s="1"/>
  <c r="AN449" i="10"/>
  <c r="D447" i="10" s="1"/>
  <c r="AN359" i="10"/>
  <c r="D357" i="10" s="1"/>
  <c r="AN439" i="10"/>
  <c r="D437" i="10" s="1"/>
  <c r="AO2930" i="10"/>
  <c r="AF2929" i="10"/>
  <c r="D1383" i="10"/>
  <c r="BD1383" i="10"/>
  <c r="AT1383" i="10"/>
  <c r="AC1383" i="10" s="1"/>
  <c r="AI1382" i="10"/>
  <c r="AO1382" i="10" s="1"/>
  <c r="AZ1383" i="10"/>
  <c r="AX1383" i="10" s="1"/>
  <c r="BD1423" i="10"/>
  <c r="AT1423" i="10"/>
  <c r="AC1423" i="10" s="1"/>
  <c r="AZ1423" i="10"/>
  <c r="AX1423" i="10" s="1"/>
  <c r="AI1422" i="10"/>
  <c r="AO1422" i="10" s="1"/>
  <c r="D1423" i="10"/>
  <c r="BB325" i="10"/>
  <c r="AZ324" i="10"/>
  <c r="AV324" i="10" s="1"/>
  <c r="BN11" i="10" s="1"/>
  <c r="BK11" i="10" s="1"/>
  <c r="AG2019" i="10"/>
  <c r="AF2019" i="10"/>
  <c r="AL1969" i="10"/>
  <c r="AJ1969" i="10"/>
  <c r="AG1961" i="10"/>
  <c r="AP1801" i="10"/>
  <c r="AL1798" i="10" s="1"/>
  <c r="B1801" i="10" s="1"/>
  <c r="AH1785" i="10"/>
  <c r="AF1784" i="10"/>
  <c r="E2293" i="10"/>
  <c r="AL1100" i="10"/>
  <c r="AT1100" i="10" s="1"/>
  <c r="AL895" i="10"/>
  <c r="AV895" i="10" s="1"/>
  <c r="AL885" i="10"/>
  <c r="AT885" i="10" s="1"/>
  <c r="AI1582" i="10"/>
  <c r="AO1582" i="10" s="1"/>
  <c r="D1583" i="10"/>
  <c r="BD1583" i="10"/>
  <c r="AT1583" i="10"/>
  <c r="AC1583" i="10" s="1"/>
  <c r="AZ1583" i="10"/>
  <c r="AX1583" i="10" s="1"/>
  <c r="BD1533" i="10"/>
  <c r="AT1533" i="10"/>
  <c r="AC1533" i="10" s="1"/>
  <c r="AI1532" i="10"/>
  <c r="AO1532" i="10" s="1"/>
  <c r="D1533" i="10"/>
  <c r="AZ1533" i="10"/>
  <c r="AX1533" i="10" s="1"/>
  <c r="AJ973" i="10"/>
  <c r="BI2333" i="10"/>
  <c r="BH2333" i="10"/>
  <c r="BL2328" i="10"/>
  <c r="BO3264" i="10"/>
  <c r="BO3259" i="10"/>
  <c r="AC3259" i="10" s="1"/>
  <c r="BO3247" i="10"/>
  <c r="AC3247" i="10" s="1"/>
  <c r="BO3263" i="10"/>
  <c r="AC3263" i="10" s="1"/>
  <c r="BO3236" i="10"/>
  <c r="AC3236" i="10" s="1"/>
  <c r="BO3248" i="10"/>
  <c r="AC3248" i="10" s="1"/>
  <c r="BO3237" i="10"/>
  <c r="AC3237" i="10" s="1"/>
  <c r="BO3221" i="10"/>
  <c r="AC3221" i="10" s="1"/>
  <c r="BO3245" i="10"/>
  <c r="AC3245" i="10" s="1"/>
  <c r="BO3232" i="10"/>
  <c r="AC3232" i="10" s="1"/>
  <c r="BO3220" i="10"/>
  <c r="AE3205" i="10" s="1"/>
  <c r="BO3242" i="10"/>
  <c r="BO3244" i="10"/>
  <c r="AC3244" i="10" s="1"/>
  <c r="BH399" i="10"/>
  <c r="BH391" i="10"/>
  <c r="BG391" i="10"/>
  <c r="BJ389" i="10"/>
  <c r="BD1357" i="10"/>
  <c r="BD1356" i="10"/>
  <c r="BF1356" i="10" s="1"/>
  <c r="BK872" i="10"/>
  <c r="D1483" i="10"/>
  <c r="BD1483" i="10"/>
  <c r="AT1483" i="10"/>
  <c r="AC1483" i="10" s="1"/>
  <c r="AI1482" i="10"/>
  <c r="AO1482" i="10" s="1"/>
  <c r="AZ1483" i="10"/>
  <c r="AX1483" i="10" s="1"/>
  <c r="AI1412" i="10"/>
  <c r="AO1412" i="10" s="1"/>
  <c r="D1413" i="10"/>
  <c r="BD1413" i="10"/>
  <c r="BB1413" i="10"/>
  <c r="AT1413" i="10"/>
  <c r="AC1413" i="10" s="1"/>
  <c r="AZ1413" i="10"/>
  <c r="AX1413" i="10" s="1"/>
  <c r="BD1523" i="10"/>
  <c r="AT1523" i="10"/>
  <c r="AC1523" i="10" s="1"/>
  <c r="AI1522" i="10"/>
  <c r="AO1522" i="10" s="1"/>
  <c r="D1523" i="10"/>
  <c r="AZ1523" i="10"/>
  <c r="AX1523" i="10" s="1"/>
  <c r="AF2107" i="10"/>
  <c r="CF3213" i="10"/>
  <c r="AK2101" i="10" s="1"/>
  <c r="AF2101" i="10" s="1"/>
  <c r="BJ521" i="10"/>
  <c r="BP522" i="10" s="1"/>
  <c r="BL521" i="10"/>
  <c r="AQ863" i="10"/>
  <c r="AH863" i="10"/>
  <c r="AZ1373" i="10"/>
  <c r="AX1373" i="10" s="1"/>
  <c r="AI1372" i="10"/>
  <c r="AO1372" i="10" s="1"/>
  <c r="D1373" i="10"/>
  <c r="BD1373" i="10"/>
  <c r="AT1373" i="10"/>
  <c r="AC1373" i="10" s="1"/>
  <c r="E2173" i="10"/>
  <c r="BG557" i="10"/>
  <c r="BG591" i="10" s="1"/>
  <c r="BG625" i="10" s="1"/>
  <c r="BG659" i="10" s="1"/>
  <c r="BG707" i="10" s="1"/>
  <c r="BG746" i="10" s="1"/>
  <c r="BG756" i="10" s="1"/>
  <c r="BG527" i="10"/>
  <c r="BH527" i="10"/>
  <c r="AF1986" i="10"/>
  <c r="AI2282" i="10"/>
  <c r="AP2282" i="10" s="1"/>
  <c r="B2282" i="10" s="1"/>
  <c r="AI2289" i="10"/>
  <c r="AP2289" i="10" s="1"/>
  <c r="B2289" i="10" s="1"/>
  <c r="AI1472" i="10"/>
  <c r="AO1472" i="10" s="1"/>
  <c r="D1473" i="10"/>
  <c r="BD1473" i="10"/>
  <c r="AT1473" i="10"/>
  <c r="AC1473" i="10" s="1"/>
  <c r="AZ1473" i="10"/>
  <c r="AX1473" i="10" s="1"/>
  <c r="BD1403" i="10"/>
  <c r="AT1403" i="10"/>
  <c r="AC1403" i="10" s="1"/>
  <c r="AI1402" i="10"/>
  <c r="AO1402" i="10" s="1"/>
  <c r="D1403" i="10"/>
  <c r="AZ1403" i="10"/>
  <c r="AX1403" i="10" s="1"/>
  <c r="AI1916" i="10"/>
  <c r="AG1916" i="10" s="1"/>
  <c r="AJ1953" i="10"/>
  <c r="AG1953" i="10" s="1"/>
  <c r="BM1911" i="10"/>
  <c r="CF1911" i="10" s="1"/>
  <c r="AG2060" i="10"/>
  <c r="AF2060" i="10"/>
  <c r="AX2033" i="10"/>
  <c r="AE2127" i="10" s="1"/>
  <c r="AE2224" i="10" s="1"/>
  <c r="AA1938" i="10"/>
  <c r="AS854" i="10"/>
  <c r="AS851" i="10" s="1"/>
  <c r="AC856" i="10" s="1"/>
  <c r="B96" i="10" s="1"/>
  <c r="AN1103" i="10"/>
  <c r="AN1104" i="10"/>
  <c r="BD1393" i="10"/>
  <c r="AT1393" i="10"/>
  <c r="AC1393" i="10" s="1"/>
  <c r="AZ1393" i="10"/>
  <c r="AX1393" i="10" s="1"/>
  <c r="AI1392" i="10"/>
  <c r="AO1392" i="10" s="1"/>
  <c r="D1393" i="10"/>
  <c r="E2292" i="10"/>
  <c r="AL894" i="10"/>
  <c r="AV894" i="10" s="1"/>
  <c r="AL1099" i="10"/>
  <c r="AT1099" i="10" s="1"/>
  <c r="AL884" i="10"/>
  <c r="AT884" i="10" s="1"/>
  <c r="BH2335" i="10"/>
  <c r="BL2330" i="10"/>
  <c r="BI2335" i="10"/>
  <c r="AN2924" i="10"/>
  <c r="BH384" i="10"/>
  <c r="AH1938" i="10"/>
  <c r="BP1937" i="10"/>
  <c r="AI1542" i="10"/>
  <c r="AO1542" i="10" s="1"/>
  <c r="D1543" i="10"/>
  <c r="BD1543" i="10"/>
  <c r="AT1543" i="10"/>
  <c r="AC1543" i="10" s="1"/>
  <c r="AZ1543" i="10"/>
  <c r="AX1543" i="10" s="1"/>
  <c r="BD1463" i="10"/>
  <c r="AT1463" i="10"/>
  <c r="AC1463" i="10" s="1"/>
  <c r="AI1462" i="10"/>
  <c r="AO1462" i="10" s="1"/>
  <c r="D1463" i="10"/>
  <c r="AZ1463" i="10"/>
  <c r="AX1463" i="10" s="1"/>
  <c r="AF2261" i="10"/>
  <c r="AF2239" i="10"/>
  <c r="AF2259" i="10"/>
  <c r="AF2246" i="10"/>
  <c r="AF2233" i="10"/>
  <c r="AF2248" i="10"/>
  <c r="AF2234" i="10"/>
  <c r="AN2936" i="10"/>
  <c r="AF1995" i="10"/>
  <c r="AQ871" i="10"/>
  <c r="AS871" i="10" s="1"/>
  <c r="BD871" i="10" s="1"/>
  <c r="BF871" i="10" s="1"/>
  <c r="AH871" i="10"/>
  <c r="AE1126" i="10"/>
  <c r="AY1090" i="10"/>
  <c r="D1453" i="10"/>
  <c r="BD1453" i="10"/>
  <c r="BB1453" i="10"/>
  <c r="AT1453" i="10"/>
  <c r="AC1453" i="10" s="1"/>
  <c r="AI1452" i="10"/>
  <c r="AO1452" i="10" s="1"/>
  <c r="AZ1453" i="10"/>
  <c r="AX1453" i="10" s="1"/>
  <c r="BD1493" i="10"/>
  <c r="BB1493" i="10"/>
  <c r="AT1493" i="10"/>
  <c r="AC1493" i="10" s="1"/>
  <c r="AI1492" i="10"/>
  <c r="AO1492" i="10" s="1"/>
  <c r="D1493" i="10"/>
  <c r="AZ1493" i="10"/>
  <c r="AX1493" i="10" s="1"/>
  <c r="BB44" i="10"/>
  <c r="B1166" i="10"/>
  <c r="C3293" i="10"/>
  <c r="BB3292" i="10"/>
  <c r="AJ2042" i="10"/>
  <c r="AF2042" i="10" s="1"/>
  <c r="A3090" i="10"/>
  <c r="A816" i="10"/>
  <c r="D1553" i="10"/>
  <c r="BD1553" i="10"/>
  <c r="AT1553" i="10"/>
  <c r="AC1553" i="10" s="1"/>
  <c r="AI1552" i="10"/>
  <c r="AO1552" i="10" s="1"/>
  <c r="AZ1553" i="10"/>
  <c r="AX1553" i="10" s="1"/>
  <c r="AD1898" i="10"/>
  <c r="AL2095" i="10"/>
  <c r="AF2095" i="10" s="1"/>
  <c r="AJ1866" i="10"/>
  <c r="AG1866" i="10" s="1"/>
  <c r="D1865" i="10" s="1"/>
  <c r="AG1865" i="10"/>
  <c r="C1865" i="10" s="1"/>
  <c r="AJ2013" i="10"/>
  <c r="AG2007" i="10"/>
  <c r="AF2007" i="10"/>
  <c r="AG2327" i="10"/>
  <c r="AJ2328" i="10"/>
  <c r="AG2328" i="10" s="1"/>
  <c r="AI1442" i="10"/>
  <c r="AO1442" i="10" s="1"/>
  <c r="D1443" i="10"/>
  <c r="BD1443" i="10"/>
  <c r="AT1443" i="10"/>
  <c r="AC1443" i="10" s="1"/>
  <c r="AZ1443" i="10"/>
  <c r="AX1443" i="10" s="1"/>
  <c r="AK1096" i="10"/>
  <c r="AR881" i="10"/>
  <c r="BL2329" i="10"/>
  <c r="BI2334" i="10"/>
  <c r="BH2334" i="10"/>
  <c r="AG2177" i="10"/>
  <c r="A2176" i="10" s="1"/>
  <c r="AB534" i="10"/>
  <c r="A539" i="10"/>
  <c r="AP1362" i="10"/>
  <c r="C1364" i="10" s="1"/>
  <c r="AG2251" i="10"/>
  <c r="AF2251" i="10" s="1"/>
  <c r="AM2258" i="10"/>
  <c r="AG2258" i="10" s="1"/>
  <c r="AE2125" i="10"/>
  <c r="BL2034" i="10"/>
  <c r="AN2048" i="10"/>
  <c r="BL2035" i="10"/>
  <c r="BD2034" i="10"/>
  <c r="BL2033" i="10"/>
  <c r="BL2031" i="10"/>
  <c r="BL2030" i="10" s="1"/>
  <c r="AJ2048" i="10" s="1"/>
  <c r="BD2035" i="10"/>
  <c r="BD2033" i="10"/>
  <c r="AJ2054" i="10" s="1"/>
  <c r="BD2031" i="10"/>
  <c r="AI2089" i="10"/>
  <c r="AI1954" i="10"/>
  <c r="AG1946" i="10"/>
  <c r="AL2225" i="10"/>
  <c r="AI2225" i="10" s="1"/>
  <c r="AE2126" i="10"/>
  <c r="AE2223" i="10" s="1"/>
  <c r="BL2032" i="10"/>
  <c r="AO2921" i="10"/>
  <c r="AF2920" i="10"/>
  <c r="E2295" i="10"/>
  <c r="AL1102" i="10"/>
  <c r="AT1102" i="10" s="1"/>
  <c r="AL897" i="10"/>
  <c r="AV897" i="10" s="1"/>
  <c r="AL887" i="10"/>
  <c r="AT887" i="10" s="1"/>
  <c r="AI1502" i="10"/>
  <c r="AO1502" i="10" s="1"/>
  <c r="D1503" i="10"/>
  <c r="BD1503" i="10"/>
  <c r="AT1503" i="10"/>
  <c r="AC1503" i="10" s="1"/>
  <c r="AZ1503" i="10"/>
  <c r="AX1503" i="10" s="1"/>
  <c r="BD1433" i="10"/>
  <c r="AT1433" i="10"/>
  <c r="AC1433" i="10" s="1"/>
  <c r="AI1432" i="10"/>
  <c r="AO1432" i="10" s="1"/>
  <c r="D1433" i="10"/>
  <c r="AZ1433" i="10"/>
  <c r="AX1433" i="10" s="1"/>
  <c r="E2290" i="10"/>
  <c r="AJ891" i="10"/>
  <c r="AL1097" i="10"/>
  <c r="AT1097" i="10" s="1"/>
  <c r="AZ1106" i="10" s="1"/>
  <c r="AL892" i="10"/>
  <c r="AV892" i="10" s="1"/>
  <c r="AL882" i="10"/>
  <c r="AT882" i="10" s="1"/>
  <c r="AG873" i="10"/>
  <c r="BM45" i="3"/>
  <c r="AR45" i="3" s="1"/>
  <c r="AI44" i="3"/>
  <c r="B44" i="3" s="1"/>
  <c r="B4" i="12" s="1"/>
  <c r="BL16" i="3"/>
  <c r="BL12" i="3"/>
  <c r="BL13" i="3"/>
  <c r="BL14" i="3"/>
  <c r="BL15" i="3"/>
  <c r="BL11" i="3"/>
  <c r="BL10" i="3"/>
  <c r="BL9" i="3"/>
  <c r="AV330" i="3"/>
  <c r="AV243" i="3"/>
  <c r="BN9" i="3" s="1"/>
  <c r="BK9" i="3" s="1"/>
  <c r="E46" i="10" l="1"/>
  <c r="AQ2327" i="10"/>
  <c r="AE2327" i="10"/>
  <c r="C2327" i="10" s="1"/>
  <c r="AN399" i="10"/>
  <c r="D397" i="10" s="1"/>
  <c r="AF2242" i="10"/>
  <c r="AF2254" i="10"/>
  <c r="AF2240" i="10"/>
  <c r="AF2241" i="10"/>
  <c r="AN489" i="10"/>
  <c r="D487" i="10" s="1"/>
  <c r="AN389" i="10"/>
  <c r="D387" i="10" s="1"/>
  <c r="AN379" i="10"/>
  <c r="D377" i="10" s="1"/>
  <c r="BI381" i="10"/>
  <c r="AH2297" i="10"/>
  <c r="AJ2297" i="10" s="1"/>
  <c r="AM2298" i="10" s="1"/>
  <c r="AN369" i="10"/>
  <c r="D367" i="10" s="1"/>
  <c r="AQ2328" i="10"/>
  <c r="AE2328" i="10"/>
  <c r="C2328" i="10" s="1"/>
  <c r="AF2247" i="10"/>
  <c r="AF2260" i="10"/>
  <c r="AF2258" i="10"/>
  <c r="AN479" i="10"/>
  <c r="D477" i="10" s="1"/>
  <c r="AN429" i="10"/>
  <c r="D427" i="10" s="1"/>
  <c r="B498" i="10" s="1"/>
  <c r="C498" i="10" s="1"/>
  <c r="BJ52" i="10" s="1"/>
  <c r="AU1667" i="10"/>
  <c r="AH6" i="11"/>
  <c r="AD6" i="11" s="1"/>
  <c r="BN15" i="11"/>
  <c r="BK15" i="11" s="1"/>
  <c r="BN14" i="11"/>
  <c r="BK14" i="11" s="1"/>
  <c r="AX499" i="10"/>
  <c r="AI738" i="10"/>
  <c r="AM738" i="10" s="1"/>
  <c r="AI685" i="10"/>
  <c r="AM685" i="10" s="1"/>
  <c r="AI656" i="10"/>
  <c r="AM656" i="10" s="1"/>
  <c r="AI578" i="10"/>
  <c r="AM578" i="10" s="1"/>
  <c r="AI622" i="10"/>
  <c r="AM622" i="10" s="1"/>
  <c r="BH371" i="10"/>
  <c r="BJ371" i="10"/>
  <c r="E3015" i="10"/>
  <c r="AC3014" i="10"/>
  <c r="E3014" i="10" s="1"/>
  <c r="BG384" i="10"/>
  <c r="BG385" i="10"/>
  <c r="BG371" i="10"/>
  <c r="BI371" i="10"/>
  <c r="BI361" i="10"/>
  <c r="BG361" i="10"/>
  <c r="BB499" i="10"/>
  <c r="BJ361" i="10"/>
  <c r="BH361" i="10"/>
  <c r="BD499" i="10"/>
  <c r="BE2394" i="10"/>
  <c r="BB2394" i="10" s="1"/>
  <c r="D2393" i="10" s="1"/>
  <c r="BG2360" i="10"/>
  <c r="BE2393" i="10"/>
  <c r="BB2393" i="10" s="1"/>
  <c r="B2393" i="10" s="1"/>
  <c r="BE2395" i="10"/>
  <c r="BI2360" i="10"/>
  <c r="AD1921" i="10"/>
  <c r="B1919" i="10" s="1"/>
  <c r="B1888" i="10"/>
  <c r="AT1915" i="10"/>
  <c r="AG1915" i="10" s="1"/>
  <c r="AT1901" i="10"/>
  <c r="AG1901" i="10" s="1"/>
  <c r="AD1914" i="10"/>
  <c r="B1911" i="10" s="1"/>
  <c r="AT1908" i="10"/>
  <c r="AG1908" i="10" s="1"/>
  <c r="AT1922" i="10"/>
  <c r="AG1922" i="10" s="1"/>
  <c r="AQ873" i="10"/>
  <c r="BI870" i="10" s="1"/>
  <c r="BK870" i="10" s="1"/>
  <c r="BD878" i="10" s="1"/>
  <c r="AH873" i="10"/>
  <c r="BI859" i="10"/>
  <c r="BJ859" i="10" s="1"/>
  <c r="AK6" i="10"/>
  <c r="BP521" i="10"/>
  <c r="AI1909" i="10" s="1"/>
  <c r="BI2336" i="10"/>
  <c r="AD1959" i="10"/>
  <c r="B1957" i="10" s="1"/>
  <c r="D1939" i="10"/>
  <c r="BQ1942" i="10" s="1"/>
  <c r="BU1942" i="10" s="1"/>
  <c r="AD1951" i="10"/>
  <c r="B1949" i="10" s="1"/>
  <c r="AD1975" i="10"/>
  <c r="B1968" i="10" s="1"/>
  <c r="BD2032" i="10"/>
  <c r="AL2072" i="10" s="1"/>
  <c r="BI871" i="10"/>
  <c r="BK871" i="10" s="1"/>
  <c r="BF878" i="10" s="1"/>
  <c r="BD874" i="10"/>
  <c r="AE2222" i="10"/>
  <c r="AI2221" i="10" s="1"/>
  <c r="AI2124" i="10"/>
  <c r="AG2013" i="10"/>
  <c r="AF2013" i="10"/>
  <c r="AP1492" i="10"/>
  <c r="C1494" i="10" s="1"/>
  <c r="BH409" i="10"/>
  <c r="BJ399" i="10"/>
  <c r="BH401" i="10"/>
  <c r="BG401" i="10"/>
  <c r="AI2298" i="10"/>
  <c r="AT840" i="10"/>
  <c r="AS840" i="10"/>
  <c r="BI385" i="10"/>
  <c r="BI384" i="10"/>
  <c r="AP1562" i="10"/>
  <c r="C1564" i="10" s="1"/>
  <c r="AP1512" i="10"/>
  <c r="C1514" i="10" s="1"/>
  <c r="AZ2327" i="10"/>
  <c r="AX2327" i="10" s="1"/>
  <c r="AO2327" i="10"/>
  <c r="AP1552" i="10"/>
  <c r="C1554" i="10" s="1"/>
  <c r="A3096" i="10"/>
  <c r="A817" i="10"/>
  <c r="AP1452" i="10"/>
  <c r="C1454" i="10" s="1"/>
  <c r="AP1542" i="10"/>
  <c r="C1544" i="10" s="1"/>
  <c r="AP1392" i="10"/>
  <c r="C1394" i="10" s="1"/>
  <c r="AM1106" i="10"/>
  <c r="AD1107" i="10" s="1"/>
  <c r="B110" i="10" s="1"/>
  <c r="B1104" i="10"/>
  <c r="BI527" i="10"/>
  <c r="E526" i="10" s="1"/>
  <c r="AK2175" i="10" s="1"/>
  <c r="E2174" i="10" s="1"/>
  <c r="BG532" i="10"/>
  <c r="AJ6" i="10"/>
  <c r="AH6" i="10" s="1"/>
  <c r="AD6" i="10" s="1"/>
  <c r="B6" i="10" s="1"/>
  <c r="AP1482" i="10"/>
  <c r="C1484" i="10" s="1"/>
  <c r="BI391" i="10"/>
  <c r="BJ391" i="10"/>
  <c r="AP1422" i="10"/>
  <c r="C1424" i="10" s="1"/>
  <c r="AP1572" i="10"/>
  <c r="C1574" i="10" s="1"/>
  <c r="B981" i="10"/>
  <c r="AM983" i="10"/>
  <c r="AD984" i="10" s="1"/>
  <c r="AZ2328" i="10"/>
  <c r="AX2328" i="10" s="1"/>
  <c r="AO2328" i="10"/>
  <c r="BJ527" i="10"/>
  <c r="E527" i="10" s="1"/>
  <c r="BH532" i="10"/>
  <c r="AZ1356" i="10"/>
  <c r="AC1356" i="10" s="1"/>
  <c r="C1355" i="10" s="1"/>
  <c r="AO1355" i="10"/>
  <c r="AH1786" i="10"/>
  <c r="AF1785" i="10"/>
  <c r="AZ325" i="10"/>
  <c r="AV325" i="10" s="1"/>
  <c r="BN12" i="10" s="1"/>
  <c r="BK12" i="10" s="1"/>
  <c r="BB326" i="10"/>
  <c r="BL2818" i="10"/>
  <c r="D1399" i="10"/>
  <c r="AS1409" i="10"/>
  <c r="AP1502" i="10"/>
  <c r="C1504" i="10" s="1"/>
  <c r="AP1442" i="10"/>
  <c r="C1444" i="10" s="1"/>
  <c r="AP1462" i="10"/>
  <c r="C1464" i="10" s="1"/>
  <c r="AH1939" i="10"/>
  <c r="AN2925" i="10"/>
  <c r="AP1472" i="10"/>
  <c r="C1474" i="10" s="1"/>
  <c r="AQ1986" i="10"/>
  <c r="AF1987" i="10"/>
  <c r="BS874" i="10"/>
  <c r="BG878" i="10"/>
  <c r="BG395" i="10"/>
  <c r="BG394" i="10"/>
  <c r="BL2331" i="10"/>
  <c r="AP1582" i="10"/>
  <c r="C1584" i="10" s="1"/>
  <c r="AP1382" i="10"/>
  <c r="C1384" i="10" s="1"/>
  <c r="AV2993" i="10"/>
  <c r="AQ2994" i="10"/>
  <c r="AO2922" i="10"/>
  <c r="AF2921" i="10"/>
  <c r="AL1096" i="10"/>
  <c r="AN1096" i="10" s="1"/>
  <c r="AV891" i="10"/>
  <c r="AC900" i="10" s="1"/>
  <c r="B102" i="10" s="1"/>
  <c r="AP1432" i="10"/>
  <c r="C1434" i="10" s="1"/>
  <c r="AI1962" i="10"/>
  <c r="AG1954" i="10"/>
  <c r="AF2054" i="10"/>
  <c r="AG2054" i="10"/>
  <c r="AG2178" i="10"/>
  <c r="A2177" i="10" s="1"/>
  <c r="AB539" i="10"/>
  <c r="A545" i="10"/>
  <c r="BB3293" i="10"/>
  <c r="C3294" i="10"/>
  <c r="AN2939" i="10"/>
  <c r="C1404" i="10"/>
  <c r="AP1402" i="10"/>
  <c r="AP1372" i="10"/>
  <c r="C1374" i="10"/>
  <c r="C1524" i="10"/>
  <c r="AP1522" i="10"/>
  <c r="AP1412" i="10"/>
  <c r="C1414" i="10" s="1"/>
  <c r="D1594" i="10"/>
  <c r="D1554" i="10"/>
  <c r="D1514" i="10"/>
  <c r="D1484" i="10"/>
  <c r="D1414" i="10"/>
  <c r="D1384" i="10"/>
  <c r="D1584" i="10"/>
  <c r="D1544" i="10"/>
  <c r="D1504" i="10"/>
  <c r="D1474" i="10"/>
  <c r="D1444" i="10"/>
  <c r="D1374" i="10"/>
  <c r="D1574" i="10"/>
  <c r="D1534" i="10"/>
  <c r="D1494" i="10"/>
  <c r="D1464" i="10"/>
  <c r="D1434" i="10"/>
  <c r="D1404" i="10"/>
  <c r="D1564" i="10"/>
  <c r="D1524" i="10"/>
  <c r="D1454" i="10"/>
  <c r="D1424" i="10"/>
  <c r="D1394" i="10"/>
  <c r="D1364" i="10"/>
  <c r="BH395" i="10"/>
  <c r="BH394" i="10"/>
  <c r="AP1532" i="10"/>
  <c r="C1534" i="10" s="1"/>
  <c r="AG1969" i="10"/>
  <c r="AD1967" i="10" s="1"/>
  <c r="B1962" i="10" s="1"/>
  <c r="AO2931" i="10"/>
  <c r="AF2930" i="10"/>
  <c r="AP1592" i="10"/>
  <c r="C1594" i="10" s="1"/>
  <c r="BF2819" i="10"/>
  <c r="BL2819" i="10" s="1"/>
  <c r="A2820" i="10"/>
  <c r="BJ382" i="10"/>
  <c r="BJ385" i="10"/>
  <c r="BJ384" i="10"/>
  <c r="BT45" i="3"/>
  <c r="BT46" i="3"/>
  <c r="AJ2072" i="10" l="1"/>
  <c r="AQ2298" i="10"/>
  <c r="AV2298" i="10" s="1"/>
  <c r="B2297" i="10" s="1"/>
  <c r="AT1667" i="10"/>
  <c r="AJ1667" i="10" s="1"/>
  <c r="D1667" i="10" s="1"/>
  <c r="AU1677" i="10"/>
  <c r="BH364" i="10"/>
  <c r="BH365" i="10"/>
  <c r="BI365" i="10"/>
  <c r="BI364" i="10"/>
  <c r="BH374" i="10"/>
  <c r="BH375" i="10"/>
  <c r="AX685" i="10"/>
  <c r="AZ685" i="10" s="1"/>
  <c r="BD685" i="10" s="1"/>
  <c r="BB685" i="10"/>
  <c r="BJ365" i="10"/>
  <c r="BJ364" i="10"/>
  <c r="BJ362" i="10"/>
  <c r="BI374" i="10"/>
  <c r="BI375" i="10"/>
  <c r="AG635" i="10"/>
  <c r="AM635" i="10" s="1"/>
  <c r="AG651" i="10"/>
  <c r="AM651" i="10" s="1"/>
  <c r="AG630" i="10"/>
  <c r="AM630" i="10" s="1"/>
  <c r="BB622" i="10"/>
  <c r="AX622" i="10"/>
  <c r="AZ622" i="10" s="1"/>
  <c r="BD622" i="10" s="1"/>
  <c r="BB738" i="10"/>
  <c r="AX738" i="10"/>
  <c r="AZ738" i="10" s="1"/>
  <c r="BD738" i="10" s="1"/>
  <c r="BG375" i="10"/>
  <c r="BG374" i="10"/>
  <c r="AH696" i="10"/>
  <c r="AM696" i="10" s="1"/>
  <c r="AH567" i="10"/>
  <c r="AM567" i="10" s="1"/>
  <c r="AH646" i="10"/>
  <c r="AM646" i="10" s="1"/>
  <c r="AH596" i="10"/>
  <c r="AM596" i="10" s="1"/>
  <c r="BB578" i="10"/>
  <c r="AX578" i="10"/>
  <c r="AZ578" i="10" s="1"/>
  <c r="BD578" i="10" s="1"/>
  <c r="BG364" i="10"/>
  <c r="BG365" i="10"/>
  <c r="BJ374" i="10"/>
  <c r="BJ375" i="10"/>
  <c r="BJ372" i="10"/>
  <c r="BB656" i="10"/>
  <c r="AX656" i="10"/>
  <c r="AZ656" i="10" s="1"/>
  <c r="BD656" i="10" s="1"/>
  <c r="AD1711" i="10"/>
  <c r="AD1729" i="10"/>
  <c r="AD1723" i="10"/>
  <c r="AD1717" i="10"/>
  <c r="AP499" i="10"/>
  <c r="AD1735" i="10"/>
  <c r="BB2446" i="10"/>
  <c r="BB2395" i="10"/>
  <c r="B2394" i="10" s="1"/>
  <c r="BB2360" i="10"/>
  <c r="BB2359" i="10" s="1"/>
  <c r="B2366" i="10" s="1"/>
  <c r="B2331" i="10"/>
  <c r="AE2344" i="10" s="1"/>
  <c r="BO870" i="10"/>
  <c r="AH1940" i="10"/>
  <c r="AJ1788" i="10"/>
  <c r="AF1788" i="10" s="1"/>
  <c r="AF1786" i="10"/>
  <c r="B109" i="10"/>
  <c r="AG115" i="10"/>
  <c r="BI395" i="10"/>
  <c r="BI394" i="10"/>
  <c r="BH419" i="10"/>
  <c r="BJ409" i="10"/>
  <c r="BG411" i="10"/>
  <c r="BH411" i="10"/>
  <c r="AH876" i="10"/>
  <c r="AC876" i="10"/>
  <c r="AO2923" i="10"/>
  <c r="AF2922" i="10"/>
  <c r="AN2926" i="10"/>
  <c r="BJ532" i="10"/>
  <c r="E532" i="10" s="1"/>
  <c r="BH538" i="10"/>
  <c r="AO2932" i="10"/>
  <c r="AF2931" i="10"/>
  <c r="AG2179" i="10"/>
  <c r="A2178" i="10" s="1"/>
  <c r="AB545" i="10"/>
  <c r="A550" i="10"/>
  <c r="AV2994" i="10"/>
  <c r="AQ2995" i="10"/>
  <c r="AF2072" i="10"/>
  <c r="B2063" i="10" s="1"/>
  <c r="AG2072" i="10"/>
  <c r="AS1419" i="10"/>
  <c r="D1409" i="10"/>
  <c r="AZ326" i="10"/>
  <c r="BB327" i="10"/>
  <c r="BI532" i="10"/>
  <c r="E531" i="10" s="1"/>
  <c r="AK2176" i="10" s="1"/>
  <c r="E2175" i="10" s="1"/>
  <c r="BG538" i="10"/>
  <c r="BG404" i="10"/>
  <c r="BG405" i="10"/>
  <c r="BB3294" i="10"/>
  <c r="C3298" i="10"/>
  <c r="BD3294" i="10"/>
  <c r="AG1962" i="10"/>
  <c r="AI1970" i="10"/>
  <c r="AG1970" i="10" s="1"/>
  <c r="BJ395" i="10"/>
  <c r="BJ394" i="10"/>
  <c r="BJ392" i="10"/>
  <c r="BJ401" i="10"/>
  <c r="BI401" i="10"/>
  <c r="A2821" i="10"/>
  <c r="BF2820" i="10"/>
  <c r="AQ1987" i="10"/>
  <c r="AF1988" i="10"/>
  <c r="A3102" i="10"/>
  <c r="A818" i="10"/>
  <c r="AT841" i="10"/>
  <c r="AS841" i="10"/>
  <c r="BH405" i="10"/>
  <c r="BH404" i="10"/>
  <c r="BK874" i="10"/>
  <c r="BO871" i="10"/>
  <c r="D2399" i="3"/>
  <c r="AT1677" i="10" l="1"/>
  <c r="AJ1677" i="10" s="1"/>
  <c r="D1677" i="10" s="1"/>
  <c r="AU1687" i="10"/>
  <c r="AT1687" i="10" s="1"/>
  <c r="AJ1687" i="10" s="1"/>
  <c r="D1687" i="10" s="1"/>
  <c r="B2332" i="10"/>
  <c r="BI2337" i="10"/>
  <c r="BI2338" i="10" s="1"/>
  <c r="B2333" i="10" s="1"/>
  <c r="D2334" i="10" s="1"/>
  <c r="AI1731" i="10"/>
  <c r="C1731" i="10" s="1"/>
  <c r="AI1730" i="10"/>
  <c r="C1729" i="10"/>
  <c r="BB567" i="10"/>
  <c r="AX567" i="10"/>
  <c r="AZ567" i="10" s="1"/>
  <c r="BD567" i="10" s="1"/>
  <c r="C1717" i="10"/>
  <c r="AI1718" i="10"/>
  <c r="AI1719" i="10"/>
  <c r="C1719" i="10" s="1"/>
  <c r="BB696" i="10"/>
  <c r="AX696" i="10"/>
  <c r="AZ696" i="10" s="1"/>
  <c r="BD696" i="10" s="1"/>
  <c r="BB651" i="10"/>
  <c r="AX651" i="10"/>
  <c r="AZ651" i="10" s="1"/>
  <c r="BD651" i="10" s="1"/>
  <c r="AI1736" i="10"/>
  <c r="AI1737" i="10"/>
  <c r="C1737" i="10" s="1"/>
  <c r="C1735" i="10"/>
  <c r="AI1713" i="10"/>
  <c r="C1713" i="10" s="1"/>
  <c r="C1711" i="10"/>
  <c r="AI1712" i="10"/>
  <c r="AX630" i="10"/>
  <c r="AZ630" i="10" s="1"/>
  <c r="BD630" i="10" s="1"/>
  <c r="BB630" i="10"/>
  <c r="AI1724" i="10"/>
  <c r="C1723" i="10"/>
  <c r="AI1725" i="10"/>
  <c r="C1725" i="10" s="1"/>
  <c r="BB596" i="10"/>
  <c r="AX596" i="10"/>
  <c r="AZ596" i="10" s="1"/>
  <c r="BD596" i="10" s="1"/>
  <c r="BB635" i="10"/>
  <c r="AX635" i="10"/>
  <c r="AZ635" i="10" s="1"/>
  <c r="BD635" i="10" s="1"/>
  <c r="AX646" i="10"/>
  <c r="AZ646" i="10" s="1"/>
  <c r="BD646" i="10" s="1"/>
  <c r="BB646" i="10"/>
  <c r="AC875" i="10"/>
  <c r="B99" i="10" s="1"/>
  <c r="BJ402" i="10"/>
  <c r="BJ405" i="10"/>
  <c r="BJ404" i="10"/>
  <c r="BJ538" i="10"/>
  <c r="E538" i="10" s="1"/>
  <c r="BH543" i="10"/>
  <c r="A3108" i="10"/>
  <c r="A819" i="10"/>
  <c r="A3114" i="10" s="1"/>
  <c r="AF1989" i="10"/>
  <c r="AQ1988" i="10"/>
  <c r="BL2820" i="10"/>
  <c r="D1419" i="10"/>
  <c r="AS1429" i="10"/>
  <c r="BH429" i="10"/>
  <c r="BJ419" i="10"/>
  <c r="BH421" i="10"/>
  <c r="BG421" i="10"/>
  <c r="AH1942" i="10"/>
  <c r="AH1941" i="10"/>
  <c r="BB3298" i="10"/>
  <c r="C3300" i="10"/>
  <c r="AV2995" i="10"/>
  <c r="AQ2996" i="10"/>
  <c r="A2822" i="10"/>
  <c r="BF2821" i="10"/>
  <c r="BL2821" i="10" s="1"/>
  <c r="BB328" i="10"/>
  <c r="AZ328" i="10" s="1"/>
  <c r="AV328" i="10" s="1"/>
  <c r="BN15" i="10" s="1"/>
  <c r="BK15" i="10" s="1"/>
  <c r="AZ327" i="10"/>
  <c r="AV327" i="10" s="1"/>
  <c r="BN14" i="10" s="1"/>
  <c r="BK14" i="10" s="1"/>
  <c r="AG2180" i="10"/>
  <c r="A2179" i="10" s="1"/>
  <c r="AB550" i="10"/>
  <c r="A558" i="10"/>
  <c r="AO2933" i="10"/>
  <c r="AF2932" i="10"/>
  <c r="AO2924" i="10"/>
  <c r="AF2923" i="10"/>
  <c r="BH415" i="10"/>
  <c r="BH414" i="10"/>
  <c r="BI538" i="10"/>
  <c r="E537" i="10" s="1"/>
  <c r="AK2177" i="10" s="1"/>
  <c r="E2176" i="10" s="1"/>
  <c r="BG543" i="10"/>
  <c r="BJ411" i="10"/>
  <c r="BI411" i="10"/>
  <c r="AT842" i="10"/>
  <c r="AS842" i="10"/>
  <c r="BI405" i="10"/>
  <c r="BI404" i="10"/>
  <c r="AN2927" i="10"/>
  <c r="BG415" i="10"/>
  <c r="BG414" i="10"/>
  <c r="I2914" i="3"/>
  <c r="I2913" i="3" s="1"/>
  <c r="AO1851" i="3" s="1"/>
  <c r="AN2934" i="3"/>
  <c r="AP2934" i="3"/>
  <c r="AP2926" i="3"/>
  <c r="AP2927" i="3" s="1"/>
  <c r="AP2928" i="3" s="1"/>
  <c r="AP2929" i="3" s="1"/>
  <c r="AP2930" i="3" s="1"/>
  <c r="AP2933" i="3" s="1"/>
  <c r="AP2936" i="3" s="1"/>
  <c r="AN2926" i="3"/>
  <c r="AN2927" i="3" s="1"/>
  <c r="AN2928" i="3" s="1"/>
  <c r="AN2929" i="3" s="1"/>
  <c r="AP2917" i="3"/>
  <c r="AP2918" i="3" s="1"/>
  <c r="AN2917" i="3"/>
  <c r="AN2918" i="3" s="1"/>
  <c r="AN2919" i="3" s="1"/>
  <c r="AN2920" i="3" s="1"/>
  <c r="C1730" i="10" l="1"/>
  <c r="AO1731" i="10"/>
  <c r="D1731" i="10" s="1"/>
  <c r="AO1725" i="10"/>
  <c r="D1725" i="10" s="1"/>
  <c r="C1724" i="10"/>
  <c r="C1736" i="10"/>
  <c r="AO1737" i="10"/>
  <c r="D1737" i="10" s="1"/>
  <c r="AO1713" i="10"/>
  <c r="D1713" i="10" s="1"/>
  <c r="C1712" i="10"/>
  <c r="C1718" i="10"/>
  <c r="AO1719" i="10"/>
  <c r="D1719" i="10" s="1"/>
  <c r="AT843" i="10"/>
  <c r="AS843" i="10"/>
  <c r="AO2925" i="10"/>
  <c r="AF2924" i="10"/>
  <c r="AF2917" i="10" s="1"/>
  <c r="AF2916" i="10" s="1"/>
  <c r="AN1881" i="10" s="1"/>
  <c r="AG1881" i="10" s="1"/>
  <c r="C1881" i="10" s="1"/>
  <c r="BB3300" i="10"/>
  <c r="C3302" i="10"/>
  <c r="BH439" i="10"/>
  <c r="BJ429" i="10"/>
  <c r="BG431" i="10"/>
  <c r="BH431" i="10"/>
  <c r="AG2181" i="10"/>
  <c r="A2180" i="10" s="1"/>
  <c r="AB558" i="10"/>
  <c r="A563" i="10"/>
  <c r="AF1990" i="10"/>
  <c r="AQ1989" i="10"/>
  <c r="BI415" i="10"/>
  <c r="BI414" i="10"/>
  <c r="BF2822" i="10"/>
  <c r="BL2822" i="10" s="1"/>
  <c r="A2823" i="10"/>
  <c r="BG425" i="10"/>
  <c r="BG424" i="10"/>
  <c r="D1429" i="10"/>
  <c r="AS1439" i="10"/>
  <c r="BI543" i="10"/>
  <c r="E542" i="10" s="1"/>
  <c r="AK2178" i="10" s="1"/>
  <c r="E2177" i="10" s="1"/>
  <c r="BG549" i="10"/>
  <c r="BI421" i="10"/>
  <c r="BJ421" i="10"/>
  <c r="BJ543" i="10"/>
  <c r="E543" i="10" s="1"/>
  <c r="BH549" i="10"/>
  <c r="AN2935" i="10"/>
  <c r="BJ415" i="10"/>
  <c r="BJ414" i="10"/>
  <c r="BJ412" i="10"/>
  <c r="AO2936" i="10"/>
  <c r="AF2933" i="10"/>
  <c r="AQ2997" i="10"/>
  <c r="AV2996" i="10"/>
  <c r="BH425" i="10"/>
  <c r="BH424" i="10"/>
  <c r="AN2930" i="3"/>
  <c r="AN2933" i="3" s="1"/>
  <c r="AN2936" i="3" s="1"/>
  <c r="AN2921" i="3"/>
  <c r="AP2919" i="3"/>
  <c r="AS1449" i="10" l="1"/>
  <c r="D1439" i="10"/>
  <c r="BI431" i="10"/>
  <c r="BJ431" i="10"/>
  <c r="BJ549" i="10"/>
  <c r="E549" i="10" s="1"/>
  <c r="BH554" i="10"/>
  <c r="BF2823" i="10"/>
  <c r="BL2823" i="10" s="1"/>
  <c r="A2824" i="10"/>
  <c r="AQ1990" i="10"/>
  <c r="AF1991" i="10"/>
  <c r="AQ1991" i="10" s="1"/>
  <c r="BG441" i="10"/>
  <c r="BH449" i="10"/>
  <c r="BJ439" i="10"/>
  <c r="BH441" i="10"/>
  <c r="AG2182" i="10"/>
  <c r="A2181" i="10" s="1"/>
  <c r="AB563" i="10"/>
  <c r="A568" i="10"/>
  <c r="BH435" i="10"/>
  <c r="BH434" i="10"/>
  <c r="AO2926" i="10"/>
  <c r="AF2925" i="10"/>
  <c r="BI425" i="10"/>
  <c r="BI424" i="10"/>
  <c r="AO2939" i="10"/>
  <c r="AF2939" i="10" s="1"/>
  <c r="AF2936" i="10"/>
  <c r="BI549" i="10"/>
  <c r="E548" i="10" s="1"/>
  <c r="AK2179" i="10" s="1"/>
  <c r="E2178" i="10" s="1"/>
  <c r="BG554" i="10"/>
  <c r="AQ2998" i="10"/>
  <c r="AV2997" i="10"/>
  <c r="AN2938" i="10"/>
  <c r="BJ422" i="10"/>
  <c r="BJ425" i="10"/>
  <c r="BJ424" i="10"/>
  <c r="BG435" i="10"/>
  <c r="BG434" i="10"/>
  <c r="BB3302" i="10"/>
  <c r="C3308" i="10"/>
  <c r="AP2920" i="3"/>
  <c r="AN2922" i="3"/>
  <c r="AO2927" i="10" l="1"/>
  <c r="AF2926" i="10"/>
  <c r="BI554" i="10"/>
  <c r="E553" i="10" s="1"/>
  <c r="AK2180" i="10" s="1"/>
  <c r="E2179" i="10" s="1"/>
  <c r="BG562" i="10"/>
  <c r="BG445" i="10"/>
  <c r="BG444" i="10"/>
  <c r="BJ435" i="10"/>
  <c r="BJ434" i="10"/>
  <c r="BJ432" i="10"/>
  <c r="BH459" i="10"/>
  <c r="BJ449" i="10"/>
  <c r="BH451" i="10"/>
  <c r="BG451" i="10"/>
  <c r="D1449" i="10"/>
  <c r="AS1459" i="10"/>
  <c r="BH445" i="10"/>
  <c r="BH444" i="10"/>
  <c r="BI435" i="10"/>
  <c r="BI434" i="10"/>
  <c r="A2825" i="10"/>
  <c r="BF2824" i="10"/>
  <c r="C3309" i="10"/>
  <c r="BB3308" i="10"/>
  <c r="AV2998" i="10"/>
  <c r="AQ2999" i="10"/>
  <c r="AG2183" i="10"/>
  <c r="A2182" i="10" s="1"/>
  <c r="AB568" i="10"/>
  <c r="A574" i="10"/>
  <c r="BI441" i="10"/>
  <c r="BJ441" i="10"/>
  <c r="BJ554" i="10"/>
  <c r="E554" i="10" s="1"/>
  <c r="BH562" i="10"/>
  <c r="AN2923" i="3"/>
  <c r="AP2921" i="3"/>
  <c r="AV2991" i="10" l="1"/>
  <c r="AN1950" i="10" s="1"/>
  <c r="AG1950" i="10" s="1"/>
  <c r="BB1935" i="10" s="1"/>
  <c r="BF504" i="10"/>
  <c r="BP504" i="10" s="1"/>
  <c r="AL2235" i="10" s="1"/>
  <c r="AF2235" i="10" s="1"/>
  <c r="BB3309" i="10"/>
  <c r="C3310" i="10"/>
  <c r="BL2824" i="10"/>
  <c r="D1459" i="10"/>
  <c r="AS1469" i="10"/>
  <c r="BJ451" i="10"/>
  <c r="BI451" i="10"/>
  <c r="BI562" i="10"/>
  <c r="E561" i="10" s="1"/>
  <c r="AK2181" i="10" s="1"/>
  <c r="E2180" i="10" s="1"/>
  <c r="BG567" i="10"/>
  <c r="AO2935" i="10"/>
  <c r="AF2927" i="10"/>
  <c r="AV2999" i="10"/>
  <c r="AQ3000" i="10"/>
  <c r="BJ562" i="10"/>
  <c r="E562" i="10" s="1"/>
  <c r="BH567" i="10"/>
  <c r="AG2184" i="10"/>
  <c r="A2183" i="10" s="1"/>
  <c r="AB574" i="10"/>
  <c r="A579" i="10"/>
  <c r="A2826" i="10"/>
  <c r="BF2825" i="10"/>
  <c r="BL2825" i="10" s="1"/>
  <c r="BG461" i="10"/>
  <c r="BH469" i="10"/>
  <c r="BJ459" i="10"/>
  <c r="BH461" i="10"/>
  <c r="BI445" i="10"/>
  <c r="BI444" i="10"/>
  <c r="BH455" i="10"/>
  <c r="BH454" i="10"/>
  <c r="BJ442" i="10"/>
  <c r="BJ445" i="10"/>
  <c r="BJ444" i="10"/>
  <c r="BG455" i="10"/>
  <c r="BG454" i="10"/>
  <c r="AN2924" i="3"/>
  <c r="AN2932" i="3" s="1"/>
  <c r="AP2922" i="3"/>
  <c r="BG465" i="10" l="1"/>
  <c r="BG464" i="10"/>
  <c r="AV3000" i="10"/>
  <c r="AQ3001" i="10"/>
  <c r="AV3001" i="10" s="1"/>
  <c r="BH465" i="10"/>
  <c r="BH464" i="10"/>
  <c r="BB3310" i="10"/>
  <c r="C3312" i="10"/>
  <c r="AS1479" i="10"/>
  <c r="D1469" i="10"/>
  <c r="BJ461" i="10"/>
  <c r="BI461" i="10"/>
  <c r="BF2826" i="10"/>
  <c r="BL2826" i="10" s="1"/>
  <c r="A2827" i="10"/>
  <c r="BJ567" i="10"/>
  <c r="E567" i="10" s="1"/>
  <c r="BH572" i="10"/>
  <c r="BI455" i="10"/>
  <c r="BI454" i="10"/>
  <c r="BI567" i="10"/>
  <c r="E566" i="10" s="1"/>
  <c r="AK2182" i="10" s="1"/>
  <c r="E2181" i="10" s="1"/>
  <c r="BG572" i="10"/>
  <c r="BH479" i="10"/>
  <c r="BJ469" i="10"/>
  <c r="BG471" i="10"/>
  <c r="BH471" i="10"/>
  <c r="AG2185" i="10"/>
  <c r="A2184" i="10" s="1"/>
  <c r="AB579" i="10"/>
  <c r="A584" i="10"/>
  <c r="AO2938" i="10"/>
  <c r="AF2938" i="10" s="1"/>
  <c r="AF2935" i="10"/>
  <c r="BJ455" i="10"/>
  <c r="BJ454" i="10"/>
  <c r="BJ452" i="10"/>
  <c r="AN2935" i="3"/>
  <c r="AP2923" i="3"/>
  <c r="BG481" i="10" l="1"/>
  <c r="BH489" i="10"/>
  <c r="BJ479" i="10"/>
  <c r="BH481" i="10"/>
  <c r="BJ462" i="10"/>
  <c r="BJ465" i="10"/>
  <c r="BJ464" i="10"/>
  <c r="BF2827" i="10"/>
  <c r="A2828" i="10"/>
  <c r="AG2186" i="10"/>
  <c r="A2185" i="10" s="1"/>
  <c r="AB584" i="10"/>
  <c r="A592" i="10"/>
  <c r="BG475" i="10"/>
  <c r="BG474" i="10"/>
  <c r="BI572" i="10"/>
  <c r="E571" i="10" s="1"/>
  <c r="AK2183" i="10" s="1"/>
  <c r="E2182" i="10" s="1"/>
  <c r="BG578" i="10"/>
  <c r="AS1489" i="10"/>
  <c r="D1479" i="10"/>
  <c r="BH475" i="10"/>
  <c r="BH474" i="10"/>
  <c r="BI471" i="10"/>
  <c r="BJ471" i="10"/>
  <c r="BJ572" i="10"/>
  <c r="E572" i="10" s="1"/>
  <c r="BH578" i="10"/>
  <c r="BI465" i="10"/>
  <c r="BI464" i="10"/>
  <c r="BB3312" i="10"/>
  <c r="C3315" i="10"/>
  <c r="AP2924" i="3"/>
  <c r="BJ578" i="10" l="1"/>
  <c r="E578" i="10" s="1"/>
  <c r="BH583" i="10"/>
  <c r="BH485" i="10"/>
  <c r="BH484" i="10"/>
  <c r="BJ475" i="10"/>
  <c r="BJ474" i="10"/>
  <c r="BJ472" i="10"/>
  <c r="AG2187" i="10"/>
  <c r="A2186" i="10" s="1"/>
  <c r="AB592" i="10"/>
  <c r="A597" i="10"/>
  <c r="BI481" i="10"/>
  <c r="BJ481" i="10"/>
  <c r="D1489" i="10"/>
  <c r="AS1499" i="10"/>
  <c r="BL2827" i="10"/>
  <c r="BG485" i="10"/>
  <c r="BG484" i="10"/>
  <c r="BI578" i="10"/>
  <c r="E577" i="10" s="1"/>
  <c r="AK2184" i="10" s="1"/>
  <c r="E2183" i="10" s="1"/>
  <c r="BG583" i="10"/>
  <c r="BB3315" i="10"/>
  <c r="C3317" i="10"/>
  <c r="BI475" i="10"/>
  <c r="BI474" i="10"/>
  <c r="A2829" i="10"/>
  <c r="BF2828" i="10"/>
  <c r="BL2828" i="10" s="1"/>
  <c r="BJ489" i="10"/>
  <c r="BG491" i="10"/>
  <c r="BG498" i="10" s="1"/>
  <c r="BH491" i="10"/>
  <c r="AP2932" i="3"/>
  <c r="AP2935" i="3" s="1"/>
  <c r="AS1509" i="10" l="1"/>
  <c r="D1499" i="10"/>
  <c r="AG2188" i="10"/>
  <c r="A2187" i="10" s="1"/>
  <c r="AB597" i="10"/>
  <c r="A602" i="10"/>
  <c r="BI583" i="10"/>
  <c r="E582" i="10" s="1"/>
  <c r="AK2185" i="10" s="1"/>
  <c r="E2184" i="10" s="1"/>
  <c r="BG588" i="10"/>
  <c r="BJ482" i="10"/>
  <c r="BJ485" i="10"/>
  <c r="BJ484" i="10"/>
  <c r="BJ583" i="10"/>
  <c r="E583" i="10" s="1"/>
  <c r="BH588" i="10"/>
  <c r="BG495" i="10"/>
  <c r="BG500" i="10" s="1"/>
  <c r="BG494" i="10"/>
  <c r="BG499" i="10" s="1"/>
  <c r="C3318" i="10"/>
  <c r="BB3317" i="10"/>
  <c r="BJ491" i="10"/>
  <c r="BJ498" i="10" s="1"/>
  <c r="BI491" i="10"/>
  <c r="BH495" i="10"/>
  <c r="BH500" i="10" s="1"/>
  <c r="BH494" i="10"/>
  <c r="BH499" i="10" s="1"/>
  <c r="BH498" i="10"/>
  <c r="A2830" i="10"/>
  <c r="BF2829" i="10"/>
  <c r="BL2829" i="10" s="1"/>
  <c r="BI485" i="10"/>
  <c r="BI484" i="10"/>
  <c r="BI498" i="10"/>
  <c r="AL1860" i="3"/>
  <c r="AG1863" i="3"/>
  <c r="C1863" i="3" s="1"/>
  <c r="AG2320" i="3"/>
  <c r="D1858" i="3"/>
  <c r="D1859" i="3"/>
  <c r="D1857" i="3"/>
  <c r="AE1860" i="3"/>
  <c r="AE1854" i="3"/>
  <c r="AE1849" i="3"/>
  <c r="AG1882" i="3"/>
  <c r="D1881" i="3" s="1"/>
  <c r="AG1877" i="3"/>
  <c r="D1876" i="3" s="1"/>
  <c r="AG1870" i="3"/>
  <c r="D1869" i="3" s="1"/>
  <c r="AG1861" i="3"/>
  <c r="D1860" i="3" s="1"/>
  <c r="AG1855" i="3"/>
  <c r="D1854" i="3" s="1"/>
  <c r="AG1850" i="3"/>
  <c r="AG1849" i="3"/>
  <c r="BB3318" i="10" l="1"/>
  <c r="C3319" i="10"/>
  <c r="AG2189" i="10"/>
  <c r="A2188" i="10" s="1"/>
  <c r="AB602" i="10"/>
  <c r="A608" i="10"/>
  <c r="AS1519" i="10"/>
  <c r="D1509" i="10"/>
  <c r="BF2830" i="10"/>
  <c r="BL2830" i="10" s="1"/>
  <c r="A2831" i="10"/>
  <c r="BI495" i="10"/>
  <c r="BI500" i="10" s="1"/>
  <c r="BI494" i="10"/>
  <c r="BI499" i="10" s="1"/>
  <c r="BJ588" i="10"/>
  <c r="BH596" i="10"/>
  <c r="BJ495" i="10"/>
  <c r="BJ500" i="10" s="1"/>
  <c r="BJ494" i="10"/>
  <c r="BJ499" i="10" s="1"/>
  <c r="BJ492" i="10"/>
  <c r="BI588" i="10"/>
  <c r="E587" i="10" s="1"/>
  <c r="BG596" i="10"/>
  <c r="AG1854" i="3"/>
  <c r="AB909" i="3"/>
  <c r="C1854" i="3"/>
  <c r="D1849" i="3"/>
  <c r="C1849" i="3"/>
  <c r="BF2831" i="10" l="1"/>
  <c r="A2832" i="10"/>
  <c r="AG2190" i="10"/>
  <c r="A2189" i="10" s="1"/>
  <c r="AB608" i="10"/>
  <c r="A613" i="10"/>
  <c r="D1519" i="10"/>
  <c r="AS1529" i="10"/>
  <c r="BI596" i="10"/>
  <c r="E595" i="10" s="1"/>
  <c r="AK2187" i="10" s="1"/>
  <c r="E2186" i="10" s="1"/>
  <c r="BG601" i="10"/>
  <c r="BJ596" i="10"/>
  <c r="E596" i="10" s="1"/>
  <c r="BH601" i="10"/>
  <c r="C3320" i="10"/>
  <c r="BB3319" i="10"/>
  <c r="AK2186" i="10"/>
  <c r="E2185" i="10" s="1"/>
  <c r="E588" i="10"/>
  <c r="BI206" i="3"/>
  <c r="D1529" i="10" l="1"/>
  <c r="AS1539" i="10"/>
  <c r="BJ601" i="10"/>
  <c r="E601" i="10" s="1"/>
  <c r="BH606" i="10"/>
  <c r="A2833" i="10"/>
  <c r="BF2832" i="10"/>
  <c r="BL2832" i="10" s="1"/>
  <c r="BB3320" i="10"/>
  <c r="C3321" i="10"/>
  <c r="BI601" i="10"/>
  <c r="E600" i="10" s="1"/>
  <c r="AK2188" i="10" s="1"/>
  <c r="E2187" i="10" s="1"/>
  <c r="BG606" i="10"/>
  <c r="AG2191" i="10"/>
  <c r="A2190" i="10" s="1"/>
  <c r="AB613" i="10"/>
  <c r="A618" i="10"/>
  <c r="BL2831" i="10"/>
  <c r="AO2916" i="3"/>
  <c r="AO2931" i="3"/>
  <c r="AO2915" i="3"/>
  <c r="AF2915" i="3" s="1"/>
  <c r="AL1881" i="3"/>
  <c r="AD2254" i="3"/>
  <c r="AD2253" i="3"/>
  <c r="AD2248" i="3"/>
  <c r="AD2247" i="3"/>
  <c r="AD2242" i="3"/>
  <c r="AD2241" i="3"/>
  <c r="AD2236" i="3"/>
  <c r="AD2235" i="3"/>
  <c r="AE2235" i="3"/>
  <c r="AE2254" i="3"/>
  <c r="AE2253" i="3"/>
  <c r="AE2248" i="3"/>
  <c r="AE2247" i="3"/>
  <c r="AE2242" i="3"/>
  <c r="AE2241" i="3"/>
  <c r="AE2236" i="3"/>
  <c r="Q2000" i="3"/>
  <c r="AE1998" i="3"/>
  <c r="AF1997" i="3"/>
  <c r="AE1997" i="3"/>
  <c r="AF2145" i="3"/>
  <c r="AE2145" i="3"/>
  <c r="AF2144" i="3"/>
  <c r="AE2144" i="3"/>
  <c r="AF2098" i="3"/>
  <c r="AE2098" i="3"/>
  <c r="AF2097" i="3"/>
  <c r="AE2097" i="3"/>
  <c r="AF2117" i="3"/>
  <c r="AE2117" i="3"/>
  <c r="AF2116" i="3"/>
  <c r="AE2116" i="3"/>
  <c r="AF2164" i="3"/>
  <c r="AE2164" i="3"/>
  <c r="AF2163" i="3"/>
  <c r="AE2163" i="3"/>
  <c r="AF2157" i="3"/>
  <c r="AE2157" i="3"/>
  <c r="AF2156" i="3"/>
  <c r="AE2156" i="3"/>
  <c r="AF2151" i="3"/>
  <c r="AE2151" i="3"/>
  <c r="AF2150" i="3"/>
  <c r="AE2150" i="3"/>
  <c r="AF2139" i="3"/>
  <c r="AE2139" i="3"/>
  <c r="AF2138" i="3"/>
  <c r="AE2138" i="3"/>
  <c r="AF2110" i="3"/>
  <c r="AE2110" i="3"/>
  <c r="AF2109" i="3"/>
  <c r="AE2109" i="3"/>
  <c r="AF2104" i="3"/>
  <c r="AE2104" i="3"/>
  <c r="AF2103" i="3"/>
  <c r="AE2103" i="3"/>
  <c r="AF2092" i="3"/>
  <c r="AE2092" i="3"/>
  <c r="AF2091" i="3"/>
  <c r="AE2091" i="3"/>
  <c r="AF2070" i="3"/>
  <c r="AE2070" i="3"/>
  <c r="AF2069" i="3"/>
  <c r="AE2069" i="3"/>
  <c r="AF2063" i="3"/>
  <c r="AE2063" i="3"/>
  <c r="AF2062" i="3"/>
  <c r="AE2062" i="3"/>
  <c r="AF2057" i="3"/>
  <c r="AE2057" i="3"/>
  <c r="AF2056" i="3"/>
  <c r="AE2056" i="3"/>
  <c r="AF2051" i="3"/>
  <c r="AE2051" i="3"/>
  <c r="AF2050" i="3"/>
  <c r="AE2050" i="3"/>
  <c r="AF2045" i="3"/>
  <c r="AE2045" i="3"/>
  <c r="AF2044" i="3"/>
  <c r="AE2044" i="3"/>
  <c r="AF2022" i="3"/>
  <c r="AE2022" i="3"/>
  <c r="AF2021" i="3"/>
  <c r="AE2021" i="3"/>
  <c r="AF2016" i="3"/>
  <c r="AE2016" i="3"/>
  <c r="AF2015" i="3"/>
  <c r="AE2015" i="3"/>
  <c r="AF2010" i="3"/>
  <c r="AE2010" i="3"/>
  <c r="AF2009" i="3"/>
  <c r="AE2009" i="3"/>
  <c r="AF2004" i="3"/>
  <c r="AE2004" i="3"/>
  <c r="AF2003" i="3"/>
  <c r="AE2003" i="3"/>
  <c r="AG1927" i="3"/>
  <c r="AF1927" i="3"/>
  <c r="AG1926" i="3"/>
  <c r="AF1926" i="3"/>
  <c r="AG1920" i="3"/>
  <c r="AF1920" i="3"/>
  <c r="AG1919" i="3"/>
  <c r="AF1919" i="3"/>
  <c r="BJ606" i="10" l="1"/>
  <c r="E606" i="10" s="1"/>
  <c r="BH612" i="10"/>
  <c r="BI606" i="10"/>
  <c r="E605" i="10" s="1"/>
  <c r="AK2189" i="10" s="1"/>
  <c r="E2188" i="10" s="1"/>
  <c r="BG612" i="10"/>
  <c r="AS1549" i="10"/>
  <c r="D1539" i="10"/>
  <c r="C3322" i="10"/>
  <c r="BB3321" i="10"/>
  <c r="AG2192" i="10"/>
  <c r="A2191" i="10" s="1"/>
  <c r="AB618" i="10"/>
  <c r="A626" i="10"/>
  <c r="A2834" i="10"/>
  <c r="BF2833" i="10"/>
  <c r="AF2931" i="3"/>
  <c r="AO2934" i="3"/>
  <c r="AF2934" i="3" s="1"/>
  <c r="AF2916" i="3"/>
  <c r="AO2917" i="3"/>
  <c r="C920" i="3"/>
  <c r="C919" i="3"/>
  <c r="C918" i="3"/>
  <c r="C917" i="3"/>
  <c r="C916" i="3"/>
  <c r="C915" i="3"/>
  <c r="C914" i="3"/>
  <c r="C913" i="3"/>
  <c r="AB922" i="3"/>
  <c r="B301" i="3"/>
  <c r="D301" i="3"/>
  <c r="C301" i="3"/>
  <c r="D300" i="3"/>
  <c r="C300" i="3"/>
  <c r="B300" i="3"/>
  <c r="D299" i="3"/>
  <c r="C299" i="3"/>
  <c r="B299" i="3"/>
  <c r="D297" i="3"/>
  <c r="C297" i="3"/>
  <c r="D296" i="3"/>
  <c r="C296" i="3"/>
  <c r="B296" i="3"/>
  <c r="D295" i="3"/>
  <c r="C295" i="3"/>
  <c r="B295" i="3"/>
  <c r="B297" i="3"/>
  <c r="B293" i="3"/>
  <c r="D291" i="3"/>
  <c r="C291" i="3"/>
  <c r="B291" i="3"/>
  <c r="D293" i="3"/>
  <c r="C293" i="3"/>
  <c r="D292" i="3"/>
  <c r="C292" i="3"/>
  <c r="B292" i="3"/>
  <c r="D289" i="3"/>
  <c r="C289" i="3"/>
  <c r="D288" i="3"/>
  <c r="C288" i="3"/>
  <c r="B288" i="3"/>
  <c r="D287" i="3"/>
  <c r="C287" i="3"/>
  <c r="B287" i="3"/>
  <c r="B289" i="3"/>
  <c r="B285" i="3"/>
  <c r="D281" i="3"/>
  <c r="C281" i="3"/>
  <c r="D280" i="3"/>
  <c r="C280" i="3"/>
  <c r="B280" i="3"/>
  <c r="D279" i="3"/>
  <c r="C279" i="3"/>
  <c r="B279" i="3"/>
  <c r="AG2193" i="10" l="1"/>
  <c r="A2192" i="10" s="1"/>
  <c r="AB626" i="10"/>
  <c r="A631" i="10"/>
  <c r="C3323" i="10"/>
  <c r="BB3322" i="10"/>
  <c r="BL2833" i="10"/>
  <c r="AS1559" i="10"/>
  <c r="D1549" i="10"/>
  <c r="BJ612" i="10"/>
  <c r="E612" i="10" s="1"/>
  <c r="BH617" i="10"/>
  <c r="BF2834" i="10"/>
  <c r="BL2834" i="10" s="1"/>
  <c r="A2835" i="10"/>
  <c r="BI612" i="10"/>
  <c r="E611" i="10" s="1"/>
  <c r="AK2190" i="10" s="1"/>
  <c r="E2189" i="10" s="1"/>
  <c r="BG617" i="10"/>
  <c r="BN22" i="3"/>
  <c r="BK22" i="3" s="1"/>
  <c r="AB918" i="3"/>
  <c r="BN23" i="3"/>
  <c r="BK23" i="3" s="1"/>
  <c r="AB919" i="3"/>
  <c r="BN20" i="3"/>
  <c r="BK20" i="3" s="1"/>
  <c r="AB916" i="3"/>
  <c r="BN24" i="3"/>
  <c r="BK24" i="3" s="1"/>
  <c r="AB920" i="3"/>
  <c r="BN18" i="3"/>
  <c r="BK18" i="3" s="1"/>
  <c r="AB914" i="3"/>
  <c r="BN19" i="3"/>
  <c r="BK19" i="3" s="1"/>
  <c r="AB915" i="3"/>
  <c r="BN17" i="3"/>
  <c r="BK17" i="3" s="1"/>
  <c r="AB913" i="3"/>
  <c r="BN21" i="3"/>
  <c r="BK21" i="3" s="1"/>
  <c r="AB917" i="3"/>
  <c r="AO2918" i="3"/>
  <c r="AF2917" i="3"/>
  <c r="B2248" i="3"/>
  <c r="B2243" i="3"/>
  <c r="B2238" i="3"/>
  <c r="B2233" i="3"/>
  <c r="B2228" i="3"/>
  <c r="B2155" i="3"/>
  <c r="B2149" i="3"/>
  <c r="B2143" i="3"/>
  <c r="B2137" i="3"/>
  <c r="B2131" i="3"/>
  <c r="AF2088" i="3"/>
  <c r="B2108" i="3"/>
  <c r="B2100" i="3"/>
  <c r="B2092" i="3"/>
  <c r="B2084" i="3"/>
  <c r="B2018" i="3"/>
  <c r="B2010" i="3"/>
  <c r="B2003" i="3"/>
  <c r="B1998" i="3"/>
  <c r="B1992" i="3"/>
  <c r="B1990" i="3"/>
  <c r="D212" i="3"/>
  <c r="C212" i="3"/>
  <c r="D202" i="3"/>
  <c r="AD104" i="3"/>
  <c r="AI104" i="3"/>
  <c r="BI617" i="10" l="1"/>
  <c r="E616" i="10" s="1"/>
  <c r="AK2191" i="10" s="1"/>
  <c r="E2190" i="10" s="1"/>
  <c r="BG622" i="10"/>
  <c r="BJ617" i="10"/>
  <c r="E617" i="10" s="1"/>
  <c r="BH622" i="10"/>
  <c r="AG2194" i="10"/>
  <c r="A2193" i="10" s="1"/>
  <c r="AB631" i="10"/>
  <c r="A636" i="10"/>
  <c r="D1559" i="10"/>
  <c r="AS1569" i="10"/>
  <c r="BF2835" i="10"/>
  <c r="BL2835" i="10" s="1"/>
  <c r="A2836" i="10"/>
  <c r="AB944" i="3"/>
  <c r="AO2919" i="3"/>
  <c r="AF2918" i="3"/>
  <c r="AG2329" i="3"/>
  <c r="AG2330" i="3"/>
  <c r="AO2329" i="3"/>
  <c r="AO2330" i="3"/>
  <c r="AX2329" i="3"/>
  <c r="AX2330" i="3"/>
  <c r="BE2328" i="3"/>
  <c r="BE2329" i="3"/>
  <c r="BE2330" i="3"/>
  <c r="BE2327" i="3"/>
  <c r="BK1" i="3" l="1"/>
  <c r="AD1" i="3" s="1"/>
  <c r="B1" i="3" s="1"/>
  <c r="B1" i="11" s="1"/>
  <c r="AB636" i="10"/>
  <c r="A642" i="10"/>
  <c r="BJ622" i="10"/>
  <c r="E622" i="10" s="1"/>
  <c r="BH630" i="10"/>
  <c r="D1569" i="10"/>
  <c r="AS1579" i="10"/>
  <c r="BI622" i="10"/>
  <c r="E621" i="10" s="1"/>
  <c r="AK2192" i="10" s="1"/>
  <c r="E2191" i="10" s="1"/>
  <c r="BG630" i="10"/>
  <c r="A2837" i="10"/>
  <c r="BF2836" i="10"/>
  <c r="BL2836" i="10" s="1"/>
  <c r="AD33" i="3"/>
  <c r="B33" i="3" s="1"/>
  <c r="B33" i="11" s="1"/>
  <c r="AD19" i="3"/>
  <c r="B19" i="3" s="1"/>
  <c r="B19" i="11" s="1"/>
  <c r="AD27" i="3"/>
  <c r="B27" i="3" s="1"/>
  <c r="B27" i="11" s="1"/>
  <c r="AP45" i="3"/>
  <c r="E46" i="3" s="1"/>
  <c r="B12" i="12" s="1"/>
  <c r="AD21" i="3"/>
  <c r="B21" i="3" s="1"/>
  <c r="B21" i="11" s="1"/>
  <c r="AD20" i="3"/>
  <c r="B20" i="3" s="1"/>
  <c r="B20" i="11" s="1"/>
  <c r="AI46" i="3"/>
  <c r="AD34" i="3"/>
  <c r="B34" i="3" s="1"/>
  <c r="B34" i="11" s="1"/>
  <c r="AD22" i="3"/>
  <c r="B22" i="3" s="1"/>
  <c r="B22" i="11" s="1"/>
  <c r="AD17" i="3"/>
  <c r="B17" i="3" s="1"/>
  <c r="B17" i="11" s="1"/>
  <c r="AD6" i="3"/>
  <c r="B6" i="3" s="1"/>
  <c r="B6" i="11" s="1"/>
  <c r="AD11" i="3"/>
  <c r="B11" i="3" s="1"/>
  <c r="B11" i="11" s="1"/>
  <c r="AD24" i="3"/>
  <c r="B24" i="3" s="1"/>
  <c r="B24" i="11" s="1"/>
  <c r="AD4" i="3"/>
  <c r="B4" i="3" s="1"/>
  <c r="B4" i="11" s="1"/>
  <c r="AD18" i="3"/>
  <c r="B18" i="3" s="1"/>
  <c r="B18" i="11" s="1"/>
  <c r="AO44" i="3"/>
  <c r="E44" i="3" s="1"/>
  <c r="D12" i="12" s="1"/>
  <c r="AD10" i="3"/>
  <c r="B10" i="3" s="1"/>
  <c r="B10" i="11" s="1"/>
  <c r="AD26" i="3"/>
  <c r="B26" i="3" s="1"/>
  <c r="B26" i="11" s="1"/>
  <c r="AD28" i="3"/>
  <c r="B28" i="3" s="1"/>
  <c r="B28" i="11" s="1"/>
  <c r="AD12" i="3"/>
  <c r="B12" i="3" s="1"/>
  <c r="B12" i="11" s="1"/>
  <c r="AD16" i="3"/>
  <c r="B16" i="3" s="1"/>
  <c r="B16" i="11" s="1"/>
  <c r="AD32" i="3"/>
  <c r="B32" i="3" s="1"/>
  <c r="B32" i="11" s="1"/>
  <c r="AD9" i="3"/>
  <c r="B9" i="3" s="1"/>
  <c r="B9" i="11" s="1"/>
  <c r="AD29" i="3"/>
  <c r="B29" i="3" s="1"/>
  <c r="B29" i="11" s="1"/>
  <c r="AD15" i="3"/>
  <c r="B15" i="3" s="1"/>
  <c r="B15" i="11" s="1"/>
  <c r="AD31" i="3"/>
  <c r="B31" i="3" s="1"/>
  <c r="B31" i="11" s="1"/>
  <c r="AO2920" i="3"/>
  <c r="AF2919" i="3"/>
  <c r="BF2360" i="3"/>
  <c r="BB2362" i="3"/>
  <c r="B2371" i="3" s="1"/>
  <c r="BO2389" i="3"/>
  <c r="BO2386" i="3"/>
  <c r="BO2383" i="3"/>
  <c r="BO2380" i="3"/>
  <c r="BO2377" i="3"/>
  <c r="BO2374" i="3"/>
  <c r="BO2371" i="3"/>
  <c r="BO2368" i="3"/>
  <c r="BO2365" i="3"/>
  <c r="BF2391" i="3"/>
  <c r="BF2390" i="3"/>
  <c r="BF2389" i="3"/>
  <c r="BF2368" i="3"/>
  <c r="BF2369" i="3"/>
  <c r="BF2370" i="3"/>
  <c r="BF2371" i="3"/>
  <c r="BF2372" i="3"/>
  <c r="BF2373" i="3"/>
  <c r="BF2374" i="3"/>
  <c r="BF2375" i="3"/>
  <c r="BF2376" i="3"/>
  <c r="BF2377" i="3"/>
  <c r="BF2378" i="3"/>
  <c r="BF2379" i="3"/>
  <c r="BF2380" i="3"/>
  <c r="BF2381" i="3"/>
  <c r="BF2382" i="3"/>
  <c r="BF2383" i="3"/>
  <c r="BF2384" i="3"/>
  <c r="BF2385" i="3"/>
  <c r="BF2386" i="3"/>
  <c r="BF2387" i="3"/>
  <c r="BF2388" i="3"/>
  <c r="BF2366" i="3"/>
  <c r="BF2367" i="3"/>
  <c r="BF2365" i="3"/>
  <c r="BD2395" i="3"/>
  <c r="BE2364" i="3"/>
  <c r="BD2364" i="3"/>
  <c r="BB2364" i="3"/>
  <c r="BH2393" i="3" s="1"/>
  <c r="AG2369" i="3"/>
  <c r="AG2370" i="3"/>
  <c r="AG2371" i="3"/>
  <c r="AG2372" i="3"/>
  <c r="AG2373" i="3"/>
  <c r="AG2374" i="3"/>
  <c r="AG2375" i="3"/>
  <c r="AG2376" i="3"/>
  <c r="AN2369" i="3"/>
  <c r="AN2370" i="3"/>
  <c r="AN2371" i="3"/>
  <c r="AN2372" i="3"/>
  <c r="AN2373" i="3"/>
  <c r="AN2374" i="3"/>
  <c r="AN2375" i="3"/>
  <c r="AN2376" i="3"/>
  <c r="AN2378" i="3"/>
  <c r="AN2379" i="3"/>
  <c r="AN2380" i="3"/>
  <c r="AN2381" i="3"/>
  <c r="AN2382" i="3"/>
  <c r="AN2383" i="3"/>
  <c r="AN2384" i="3"/>
  <c r="AN2385" i="3"/>
  <c r="AN2377" i="3"/>
  <c r="AN2368" i="3"/>
  <c r="AG2368" i="3"/>
  <c r="AD25" i="3" l="1"/>
  <c r="B25" i="3" s="1"/>
  <c r="B25" i="11" s="1"/>
  <c r="AD14" i="3"/>
  <c r="B14" i="3" s="1"/>
  <c r="B14" i="11" s="1"/>
  <c r="AD7" i="3"/>
  <c r="AD36" i="3"/>
  <c r="B36" i="3" s="1"/>
  <c r="B36" i="11" s="1"/>
  <c r="AS1589" i="10"/>
  <c r="D1589" i="10" s="1"/>
  <c r="D1579" i="10"/>
  <c r="AG2195" i="10"/>
  <c r="A2194" i="10" s="1"/>
  <c r="AB642" i="10"/>
  <c r="A647" i="10"/>
  <c r="A2838" i="10"/>
  <c r="BF2837" i="10"/>
  <c r="BI630" i="10"/>
  <c r="E629" i="10" s="1"/>
  <c r="AK2193" i="10" s="1"/>
  <c r="E2192" i="10" s="1"/>
  <c r="BG635" i="10"/>
  <c r="BJ630" i="10"/>
  <c r="E630" i="10" s="1"/>
  <c r="BH635" i="10"/>
  <c r="AP43" i="3"/>
  <c r="AO2921" i="3"/>
  <c r="AF2920" i="3"/>
  <c r="BB2377" i="3"/>
  <c r="BB2371" i="3"/>
  <c r="BB2380" i="3"/>
  <c r="BB2374" i="3"/>
  <c r="BB2389" i="3"/>
  <c r="BB2386" i="3"/>
  <c r="BO2392" i="3"/>
  <c r="BB2383" i="3"/>
  <c r="D2385" i="3" s="1"/>
  <c r="BB2368" i="3"/>
  <c r="D2375" i="3" s="1"/>
  <c r="BB2365" i="3"/>
  <c r="BH2363" i="3"/>
  <c r="BG2393" i="3" s="1"/>
  <c r="BH2394" i="3" s="1"/>
  <c r="BF2838" i="10" l="1"/>
  <c r="BL2838" i="10" s="1"/>
  <c r="A2839" i="10"/>
  <c r="BI635" i="10"/>
  <c r="E634" i="10" s="1"/>
  <c r="BG640" i="10"/>
  <c r="BJ635" i="10"/>
  <c r="E635" i="10" s="1"/>
  <c r="BH640" i="10"/>
  <c r="BL2837" i="10"/>
  <c r="AG2196" i="10"/>
  <c r="A2195" i="10" s="1"/>
  <c r="AB647" i="10"/>
  <c r="A652" i="10"/>
  <c r="BB2381" i="3"/>
  <c r="D2383" i="3"/>
  <c r="BQ2380" i="3" s="1"/>
  <c r="D2384" i="3" s="1"/>
  <c r="BB2366" i="3"/>
  <c r="D2373" i="3"/>
  <c r="BQ2365" i="3" s="1"/>
  <c r="D2374" i="3" s="1"/>
  <c r="BB2387" i="3"/>
  <c r="D2387" i="3"/>
  <c r="BQ2386" i="3" s="1"/>
  <c r="D2388" i="3" s="1"/>
  <c r="D2377" i="3"/>
  <c r="BQ2371" i="3" s="1"/>
  <c r="D2378" i="3" s="1"/>
  <c r="D2389" i="3"/>
  <c r="BQ2389" i="3" s="1"/>
  <c r="D2390" i="3" s="1"/>
  <c r="BB2378" i="3"/>
  <c r="D2381" i="3"/>
  <c r="BQ2377" i="3" s="1"/>
  <c r="D2382" i="3" s="1"/>
  <c r="D2379" i="3"/>
  <c r="BQ2374" i="3" s="1"/>
  <c r="D2380" i="3" s="1"/>
  <c r="AO2922" i="3"/>
  <c r="AF2921" i="3"/>
  <c r="AF2914" i="3" s="1"/>
  <c r="BG2394" i="3"/>
  <c r="BH2395" i="3" s="1"/>
  <c r="BG2395" i="3" s="1"/>
  <c r="BB2372" i="3"/>
  <c r="BB2375" i="3"/>
  <c r="BB2390" i="3"/>
  <c r="BB2369" i="3"/>
  <c r="BQ2368" i="3"/>
  <c r="BB2384" i="3"/>
  <c r="BQ2383" i="3"/>
  <c r="D2386" i="3" s="1"/>
  <c r="BI640" i="10" l="1"/>
  <c r="E639" i="10" s="1"/>
  <c r="AK2194" i="10" s="1"/>
  <c r="E2193" i="10" s="1"/>
  <c r="BG646" i="10"/>
  <c r="AG2197" i="10"/>
  <c r="A2196" i="10" s="1"/>
  <c r="A660" i="10"/>
  <c r="AB652" i="10"/>
  <c r="BJ640" i="10"/>
  <c r="E640" i="10" s="1"/>
  <c r="BH646" i="10"/>
  <c r="BF2839" i="10"/>
  <c r="A2840" i="10"/>
  <c r="AO2923" i="3"/>
  <c r="AF2922" i="3"/>
  <c r="BH2396" i="3"/>
  <c r="BB2392" i="3"/>
  <c r="BL2839" i="10" l="1"/>
  <c r="AG2198" i="10"/>
  <c r="A2197" i="10" s="1"/>
  <c r="A665" i="10"/>
  <c r="AB660" i="10"/>
  <c r="BJ646" i="10"/>
  <c r="E646" i="10" s="1"/>
  <c r="BH651" i="10"/>
  <c r="BI646" i="10"/>
  <c r="E645" i="10" s="1"/>
  <c r="AK2195" i="10" s="1"/>
  <c r="E2194" i="10" s="1"/>
  <c r="BG651" i="10"/>
  <c r="A2841" i="10"/>
  <c r="BF2840" i="10"/>
  <c r="BL2840" i="10" s="1"/>
  <c r="AO2924" i="3"/>
  <c r="AF2923" i="3"/>
  <c r="BG2396" i="3"/>
  <c r="A2842" i="10" l="1"/>
  <c r="BF2841" i="10"/>
  <c r="AG2199" i="10"/>
  <c r="A2198" i="10" s="1"/>
  <c r="AB665" i="10"/>
  <c r="A670" i="10"/>
  <c r="BJ651" i="10"/>
  <c r="E651" i="10" s="1"/>
  <c r="BH656" i="10"/>
  <c r="BI651" i="10"/>
  <c r="E650" i="10" s="1"/>
  <c r="AK2196" i="10" s="1"/>
  <c r="E2195" i="10" s="1"/>
  <c r="BG656" i="10"/>
  <c r="AO2932" i="3"/>
  <c r="AF2924" i="3"/>
  <c r="BH2397" i="3"/>
  <c r="BG2397" i="3" s="1"/>
  <c r="BJ656" i="10" l="1"/>
  <c r="E656" i="10" s="1"/>
  <c r="BH664" i="10"/>
  <c r="BL2841" i="10"/>
  <c r="BI656" i="10"/>
  <c r="E655" i="10" s="1"/>
  <c r="AK2197" i="10" s="1"/>
  <c r="E2196" i="10" s="1"/>
  <c r="BG664" i="10"/>
  <c r="AG2200" i="10"/>
  <c r="A2199" i="10" s="1"/>
  <c r="AB670" i="10"/>
  <c r="A676" i="10"/>
  <c r="BF2842" i="10"/>
  <c r="BL2842" i="10" s="1"/>
  <c r="A2843" i="10"/>
  <c r="AO2935" i="3"/>
  <c r="AF2935" i="3" s="1"/>
  <c r="AF2932" i="3"/>
  <c r="BG2360" i="3"/>
  <c r="BI2360" i="3"/>
  <c r="BE2395" i="3"/>
  <c r="BB2446" i="3" s="1"/>
  <c r="BE2393" i="3"/>
  <c r="BB2393" i="3" s="1"/>
  <c r="B2393" i="3" s="1"/>
  <c r="BE2394" i="3"/>
  <c r="BB2394" i="3" s="1"/>
  <c r="D2393" i="3" s="1"/>
  <c r="BF2843" i="10" l="1"/>
  <c r="A2844" i="10"/>
  <c r="BI664" i="10"/>
  <c r="E663" i="10" s="1"/>
  <c r="AK2198" i="10" s="1"/>
  <c r="E2197" i="10" s="1"/>
  <c r="BG669" i="10"/>
  <c r="BJ664" i="10"/>
  <c r="E664" i="10" s="1"/>
  <c r="BH669" i="10"/>
  <c r="AG2201" i="10"/>
  <c r="A2200" i="10" s="1"/>
  <c r="AB676" i="10"/>
  <c r="A681" i="10"/>
  <c r="BB2360" i="3"/>
  <c r="BB2359" i="3" s="1"/>
  <c r="B2366" i="3" s="1"/>
  <c r="BB2395" i="3"/>
  <c r="B2394" i="3" s="1"/>
  <c r="AG2202" i="10" l="1"/>
  <c r="A2201" i="10" s="1"/>
  <c r="AB681" i="10"/>
  <c r="A686" i="10"/>
  <c r="A2845" i="10"/>
  <c r="BF2844" i="10"/>
  <c r="BL2844" i="10" s="1"/>
  <c r="BJ669" i="10"/>
  <c r="E669" i="10" s="1"/>
  <c r="BH674" i="10"/>
  <c r="BI669" i="10"/>
  <c r="E668" i="10" s="1"/>
  <c r="AK2199" i="10" s="1"/>
  <c r="E2198" i="10" s="1"/>
  <c r="BG674" i="10"/>
  <c r="BL2843" i="10"/>
  <c r="AF2328" i="3"/>
  <c r="AN2328" i="3" s="1"/>
  <c r="AW2328" i="3" s="1"/>
  <c r="AH2471" i="3"/>
  <c r="AP2345" i="3"/>
  <c r="B2345" i="3" s="1"/>
  <c r="AP2344" i="3"/>
  <c r="B2344" i="3" s="1"/>
  <c r="AP2338" i="3"/>
  <c r="C2342" i="3" s="1"/>
  <c r="D2319" i="3"/>
  <c r="AF2351" i="3"/>
  <c r="AF2349" i="3"/>
  <c r="AF2347" i="3"/>
  <c r="AF2345" i="3"/>
  <c r="AP2332" i="3"/>
  <c r="AD2334" i="3" s="1"/>
  <c r="BL2327" i="3"/>
  <c r="AN2345" i="3"/>
  <c r="AG321" i="3"/>
  <c r="AB321" i="3" s="1"/>
  <c r="BI2332" i="3"/>
  <c r="BD1770" i="3"/>
  <c r="AD2316" i="3" s="1"/>
  <c r="BQ1166" i="3"/>
  <c r="BP1167" i="3"/>
  <c r="BR1167" i="3" s="1"/>
  <c r="BL1167" i="3"/>
  <c r="BN1167" i="3" s="1"/>
  <c r="B2324" i="3"/>
  <c r="AD2327" i="3"/>
  <c r="BH2332" i="3"/>
  <c r="AD2338" i="3"/>
  <c r="AD2337" i="3"/>
  <c r="AG2331" i="3"/>
  <c r="AO2331" i="3"/>
  <c r="AX2331" i="3"/>
  <c r="BE2331" i="3"/>
  <c r="BN2810" i="3"/>
  <c r="B2352" i="3" s="1"/>
  <c r="BH2810" i="3"/>
  <c r="B2347" i="3" s="1"/>
  <c r="BF2811" i="3"/>
  <c r="BL2811" i="3" s="1"/>
  <c r="BJ674" i="10" l="1"/>
  <c r="E674" i="10" s="1"/>
  <c r="BH680" i="10"/>
  <c r="AG2203" i="10"/>
  <c r="A2202" i="10" s="1"/>
  <c r="AB686" i="10"/>
  <c r="A692" i="10"/>
  <c r="A2846" i="10"/>
  <c r="BF2845" i="10"/>
  <c r="BI674" i="10"/>
  <c r="E673" i="10" s="1"/>
  <c r="AK2200" i="10" s="1"/>
  <c r="E2199" i="10" s="1"/>
  <c r="BG680" i="10"/>
  <c r="AI2471" i="3"/>
  <c r="AE2471" i="3" s="1"/>
  <c r="BU1167" i="3"/>
  <c r="AI321" i="3"/>
  <c r="AN2330" i="3" s="1"/>
  <c r="AD2315" i="3"/>
  <c r="AD2317" i="3"/>
  <c r="AD2318" i="3"/>
  <c r="BL2845" i="10" l="1"/>
  <c r="BF2846" i="10"/>
  <c r="BL2846" i="10" s="1"/>
  <c r="A2847" i="10"/>
  <c r="BI680" i="10"/>
  <c r="E679" i="10" s="1"/>
  <c r="AK2201" i="10" s="1"/>
  <c r="E2200" i="10" s="1"/>
  <c r="BG685" i="10"/>
  <c r="BJ680" i="10"/>
  <c r="E680" i="10" s="1"/>
  <c r="BH685" i="10"/>
  <c r="AG2204" i="10"/>
  <c r="A2203" i="10" s="1"/>
  <c r="A708" i="10"/>
  <c r="AB692" i="10"/>
  <c r="AD2328" i="3"/>
  <c r="B2328" i="3" s="1"/>
  <c r="BI2333" i="3" s="1"/>
  <c r="AN2329" i="3"/>
  <c r="AL321" i="3"/>
  <c r="AE2331" i="3"/>
  <c r="AE2329" i="3"/>
  <c r="C2329" i="3" s="1"/>
  <c r="AE2330" i="3"/>
  <c r="C2330" i="3" s="1"/>
  <c r="BF2847" i="10" l="1"/>
  <c r="A2848" i="10"/>
  <c r="BJ685" i="10"/>
  <c r="E685" i="10" s="1"/>
  <c r="BH690" i="10"/>
  <c r="AG2205" i="10"/>
  <c r="A2204" i="10" s="1"/>
  <c r="A713" i="10"/>
  <c r="AB708" i="10"/>
  <c r="BI685" i="10"/>
  <c r="E684" i="10" s="1"/>
  <c r="AK2202" i="10" s="1"/>
  <c r="E2201" i="10" s="1"/>
  <c r="BG690" i="10"/>
  <c r="BH2333" i="3"/>
  <c r="BL2328" i="3"/>
  <c r="AR2298" i="3"/>
  <c r="AI2296" i="3"/>
  <c r="AI2297" i="3"/>
  <c r="AJ2295" i="3"/>
  <c r="AJ2293" i="3"/>
  <c r="AJ2294" i="3"/>
  <c r="AJ2290" i="3"/>
  <c r="AJ2291" i="3"/>
  <c r="AJ2292" i="3"/>
  <c r="AI2295" i="3"/>
  <c r="AJ2288" i="3"/>
  <c r="AI2288" i="3"/>
  <c r="AJ2284" i="3"/>
  <c r="AJ2285" i="3"/>
  <c r="AJ2286" i="3"/>
  <c r="AJ2287" i="3"/>
  <c r="AJ2283" i="3"/>
  <c r="AH2291" i="3"/>
  <c r="AH2292" i="3"/>
  <c r="AH2293" i="3"/>
  <c r="AH2294" i="3"/>
  <c r="AH2290" i="3"/>
  <c r="AH2284" i="3"/>
  <c r="AH2285" i="3"/>
  <c r="AH2286" i="3"/>
  <c r="AH2287" i="3"/>
  <c r="AH2283" i="3"/>
  <c r="AM2273" i="3"/>
  <c r="AH2273" i="3" s="1"/>
  <c r="B2273" i="3" s="1"/>
  <c r="AL2242" i="3"/>
  <c r="BA2248" i="3" s="1"/>
  <c r="AL2241" i="3"/>
  <c r="AG2241" i="3" s="1"/>
  <c r="AL2240" i="3"/>
  <c r="AG2240" i="3" s="1"/>
  <c r="AL2239" i="3"/>
  <c r="BA2245" i="3" s="1"/>
  <c r="AS2251" i="3" s="1"/>
  <c r="AG2236" i="3"/>
  <c r="AG2234" i="3"/>
  <c r="A2375" i="3"/>
  <c r="A2377" i="3" s="1"/>
  <c r="A2379" i="3" s="1"/>
  <c r="A2381" i="3" s="1"/>
  <c r="A2383" i="3" s="1"/>
  <c r="A2385" i="3" s="1"/>
  <c r="A2387" i="3" s="1"/>
  <c r="A2389" i="3" s="1"/>
  <c r="AM2253" i="3"/>
  <c r="BF501" i="3"/>
  <c r="AG2235" i="3"/>
  <c r="AM2348" i="3"/>
  <c r="AM2350" i="3" s="1"/>
  <c r="AM2352" i="3" s="1"/>
  <c r="AF1787" i="3"/>
  <c r="AI2254" i="3"/>
  <c r="AI2253" i="3"/>
  <c r="AI2252" i="3"/>
  <c r="AG2170" i="3"/>
  <c r="AI2251" i="3" s="1"/>
  <c r="D2224" i="3"/>
  <c r="BH2221" i="3" s="1"/>
  <c r="AG2259" i="3"/>
  <c r="AG2233" i="3"/>
  <c r="AP2251" i="3"/>
  <c r="C2225" i="3"/>
  <c r="B2362" i="3"/>
  <c r="AG2206" i="10" l="1"/>
  <c r="A2205" i="10" s="1"/>
  <c r="A718" i="10"/>
  <c r="AB713" i="10"/>
  <c r="A2849" i="10"/>
  <c r="BF2848" i="10"/>
  <c r="BL2848" i="10" s="1"/>
  <c r="BJ690" i="10"/>
  <c r="E690" i="10" s="1"/>
  <c r="BH696" i="10"/>
  <c r="BI690" i="10"/>
  <c r="E689" i="10" s="1"/>
  <c r="AK2203" i="10" s="1"/>
  <c r="E2202" i="10" s="1"/>
  <c r="BG696" i="10"/>
  <c r="BL2847" i="10"/>
  <c r="AG2239" i="3"/>
  <c r="AP2293" i="3"/>
  <c r="B2293" i="3" s="1"/>
  <c r="AN2349" i="3"/>
  <c r="AN2347" i="3"/>
  <c r="AP2291" i="3"/>
  <c r="B2291" i="3" s="1"/>
  <c r="AP2283" i="3"/>
  <c r="B2283" i="3" s="1"/>
  <c r="AP2287" i="3"/>
  <c r="B2287" i="3" s="1"/>
  <c r="AP2292" i="3"/>
  <c r="B2292" i="3" s="1"/>
  <c r="AG2242" i="3"/>
  <c r="AP2290" i="3"/>
  <c r="B2290" i="3" s="1"/>
  <c r="AP2294" i="3"/>
  <c r="B2294" i="3" s="1"/>
  <c r="AP2288" i="3"/>
  <c r="B2288" i="3" s="1"/>
  <c r="AP2295" i="3"/>
  <c r="B2295" i="3" s="1"/>
  <c r="AP2286" i="3"/>
  <c r="B2286" i="3" s="1"/>
  <c r="AP2285" i="3"/>
  <c r="B2285" i="3" s="1"/>
  <c r="AP2284" i="3"/>
  <c r="B2284" i="3" s="1"/>
  <c r="AG2251" i="3"/>
  <c r="AM2258" i="3"/>
  <c r="AG2258" i="3" s="1"/>
  <c r="AS2254" i="3"/>
  <c r="AG2248" i="3"/>
  <c r="BA2247" i="3"/>
  <c r="BA2246" i="3"/>
  <c r="AG2245" i="3"/>
  <c r="AL2247" i="3"/>
  <c r="AN2351" i="3"/>
  <c r="AG2207" i="10" l="1"/>
  <c r="A2206" i="10" s="1"/>
  <c r="A724" i="10"/>
  <c r="AB718" i="10"/>
  <c r="A2850" i="10"/>
  <c r="BF2849" i="10"/>
  <c r="BJ696" i="10"/>
  <c r="E696" i="10" s="1"/>
  <c r="BH712" i="10"/>
  <c r="BI696" i="10"/>
  <c r="E695" i="10" s="1"/>
  <c r="AK2204" i="10" s="1"/>
  <c r="E2203" i="10" s="1"/>
  <c r="BG712" i="10"/>
  <c r="AG2254" i="3"/>
  <c r="AS2261" i="3"/>
  <c r="AG2261" i="3" s="1"/>
  <c r="AG2247" i="3"/>
  <c r="AS2253" i="3"/>
  <c r="AS2252" i="3"/>
  <c r="AG2252" i="3" s="1"/>
  <c r="AG2246" i="3"/>
  <c r="AN2344" i="3"/>
  <c r="BJ712" i="10" l="1"/>
  <c r="E712" i="10" s="1"/>
  <c r="BH717" i="10"/>
  <c r="AG2208" i="10"/>
  <c r="A2207" i="10" s="1"/>
  <c r="A729" i="10"/>
  <c r="AB724" i="10"/>
  <c r="BI712" i="10"/>
  <c r="E711" i="10" s="1"/>
  <c r="AK2205" i="10" s="1"/>
  <c r="E2204" i="10" s="1"/>
  <c r="BG717" i="10"/>
  <c r="BL2849" i="10"/>
  <c r="BF2850" i="10"/>
  <c r="BL2850" i="10" s="1"/>
  <c r="A2851" i="10"/>
  <c r="AE2349" i="3"/>
  <c r="AE2348" i="3"/>
  <c r="AE2347" i="3"/>
  <c r="AE2350" i="3"/>
  <c r="AG2342" i="3"/>
  <c r="AD2342" i="3" s="1"/>
  <c r="AG2341" i="3"/>
  <c r="AD2341" i="3" s="1"/>
  <c r="AG2340" i="3"/>
  <c r="AD2340" i="3" s="1"/>
  <c r="AG2339" i="3"/>
  <c r="AD2339" i="3" s="1"/>
  <c r="AG2353" i="3"/>
  <c r="AG2253" i="3"/>
  <c r="AM2260" i="3"/>
  <c r="AG2260" i="3" s="1"/>
  <c r="AM2136" i="3"/>
  <c r="AF2263" i="3"/>
  <c r="AI2224" i="3"/>
  <c r="AI2222" i="3"/>
  <c r="AI2128" i="3"/>
  <c r="AI2125" i="3"/>
  <c r="AF2166" i="3"/>
  <c r="AG2162" i="3"/>
  <c r="AF2162" i="3"/>
  <c r="AG2155" i="3"/>
  <c r="AF2155" i="3"/>
  <c r="AF2149" i="3"/>
  <c r="AF2143" i="3"/>
  <c r="AF2137" i="3"/>
  <c r="AG1913" i="3"/>
  <c r="AG1912" i="3"/>
  <c r="C2218" i="3"/>
  <c r="C2128" i="3"/>
  <c r="D2079" i="3"/>
  <c r="AK2107" i="3" s="1"/>
  <c r="AO2107" i="3"/>
  <c r="AI2101" i="3"/>
  <c r="AS2095" i="3"/>
  <c r="BX3214" i="3"/>
  <c r="BX3215" i="3"/>
  <c r="BX3216" i="3"/>
  <c r="BX3217" i="3"/>
  <c r="BX3218" i="3"/>
  <c r="BX3219" i="3"/>
  <c r="BX3220" i="3"/>
  <c r="BX3221" i="3"/>
  <c r="BX3222" i="3"/>
  <c r="BX3223" i="3"/>
  <c r="BX3224" i="3"/>
  <c r="BX3225" i="3"/>
  <c r="BX3226" i="3"/>
  <c r="BX3227" i="3"/>
  <c r="BX3228" i="3"/>
  <c r="BX3229" i="3"/>
  <c r="BX3230" i="3"/>
  <c r="BX3231" i="3"/>
  <c r="BX3232" i="3"/>
  <c r="BX3233" i="3"/>
  <c r="BX3234" i="3"/>
  <c r="BX3235" i="3"/>
  <c r="BX3236" i="3"/>
  <c r="BX3237" i="3"/>
  <c r="BX3238" i="3"/>
  <c r="BX3239" i="3"/>
  <c r="BX3240" i="3"/>
  <c r="BX3241" i="3"/>
  <c r="BX3242" i="3"/>
  <c r="BX3243" i="3"/>
  <c r="BX3244" i="3"/>
  <c r="BX3245" i="3"/>
  <c r="BX3246" i="3"/>
  <c r="BX3247" i="3"/>
  <c r="BX3248" i="3"/>
  <c r="BX3249" i="3"/>
  <c r="BX3250" i="3"/>
  <c r="BX3251" i="3"/>
  <c r="BX3252" i="3"/>
  <c r="BX3253" i="3"/>
  <c r="BX3254" i="3"/>
  <c r="BX3255" i="3"/>
  <c r="BX3256" i="3"/>
  <c r="BX3257" i="3"/>
  <c r="BX3258" i="3"/>
  <c r="BX3259" i="3"/>
  <c r="BX3260" i="3"/>
  <c r="BX3261" i="3"/>
  <c r="BX3262" i="3"/>
  <c r="BX3263" i="3"/>
  <c r="BX3213" i="3"/>
  <c r="CR3209" i="3"/>
  <c r="CL3209" i="3"/>
  <c r="CJ3209" i="3"/>
  <c r="AJ2095" i="3"/>
  <c r="BJ2098" i="3"/>
  <c r="BJ2097" i="3"/>
  <c r="CN3214" i="3"/>
  <c r="CN3215" i="3"/>
  <c r="CN3216" i="3"/>
  <c r="CN3217" i="3"/>
  <c r="CN3218" i="3"/>
  <c r="CN3219" i="3"/>
  <c r="CN3220" i="3"/>
  <c r="CN3221" i="3"/>
  <c r="CO3221" i="3" s="1"/>
  <c r="CN3222" i="3"/>
  <c r="CN3223" i="3"/>
  <c r="CN3224" i="3"/>
  <c r="CN3225" i="3"/>
  <c r="CN3226" i="3"/>
  <c r="CN3227" i="3"/>
  <c r="CN3228" i="3"/>
  <c r="CN3229" i="3"/>
  <c r="CN3230" i="3"/>
  <c r="CN3231" i="3"/>
  <c r="CN3232" i="3"/>
  <c r="CN3233" i="3"/>
  <c r="CN3234" i="3"/>
  <c r="CN3235" i="3"/>
  <c r="CN3236" i="3"/>
  <c r="CN3237" i="3"/>
  <c r="CN3238" i="3"/>
  <c r="CN3239" i="3"/>
  <c r="CN3240" i="3"/>
  <c r="CN3241" i="3"/>
  <c r="CN3242" i="3"/>
  <c r="CN3243" i="3"/>
  <c r="CN3244" i="3"/>
  <c r="CN3245" i="3"/>
  <c r="CN3246" i="3"/>
  <c r="CN3247" i="3"/>
  <c r="CN3248" i="3"/>
  <c r="CN3249" i="3"/>
  <c r="CN3250" i="3"/>
  <c r="CN3251" i="3"/>
  <c r="CN3252" i="3"/>
  <c r="CN3253" i="3"/>
  <c r="CN3254" i="3"/>
  <c r="CN3255" i="3"/>
  <c r="CN3256" i="3"/>
  <c r="CN3257" i="3"/>
  <c r="CN3258" i="3"/>
  <c r="CN3259" i="3"/>
  <c r="CN3260" i="3"/>
  <c r="CN3261" i="3"/>
  <c r="CN3262" i="3"/>
  <c r="CN3263" i="3"/>
  <c r="CN3213" i="3"/>
  <c r="CJ3223" i="3"/>
  <c r="CJ3224" i="3"/>
  <c r="CJ3225" i="3"/>
  <c r="CJ3226" i="3"/>
  <c r="CJ3227" i="3"/>
  <c r="CJ3228" i="3"/>
  <c r="CJ3229" i="3"/>
  <c r="CJ3230" i="3"/>
  <c r="CJ3231" i="3"/>
  <c r="CJ3232" i="3"/>
  <c r="CJ3233" i="3"/>
  <c r="CJ3234" i="3"/>
  <c r="CJ3235" i="3"/>
  <c r="CJ3236" i="3"/>
  <c r="CJ3237" i="3"/>
  <c r="CJ3238" i="3"/>
  <c r="CJ3239" i="3"/>
  <c r="CJ3240" i="3"/>
  <c r="CJ3241" i="3"/>
  <c r="CJ3242" i="3"/>
  <c r="CJ3243" i="3"/>
  <c r="CJ3244" i="3"/>
  <c r="CJ3245" i="3"/>
  <c r="CJ3246" i="3"/>
  <c r="CJ3247" i="3"/>
  <c r="CJ3248" i="3"/>
  <c r="CJ3249" i="3"/>
  <c r="CJ3250" i="3"/>
  <c r="CJ3251" i="3"/>
  <c r="CJ3252" i="3"/>
  <c r="CJ3253" i="3"/>
  <c r="CJ3254" i="3"/>
  <c r="CJ3255" i="3"/>
  <c r="CJ3256" i="3"/>
  <c r="CJ3257" i="3"/>
  <c r="CJ3258" i="3"/>
  <c r="CJ3259" i="3"/>
  <c r="CJ3260" i="3"/>
  <c r="CJ3261" i="3"/>
  <c r="CJ3262" i="3"/>
  <c r="CJ3263" i="3"/>
  <c r="CJ3222" i="3"/>
  <c r="CJ3220" i="3"/>
  <c r="CJ3214" i="3"/>
  <c r="CJ3215" i="3"/>
  <c r="CJ3216" i="3"/>
  <c r="CJ3217" i="3"/>
  <c r="CJ3218" i="3"/>
  <c r="CJ3219" i="3"/>
  <c r="CJ3213" i="3"/>
  <c r="CK3214" i="3"/>
  <c r="CL3214" i="3"/>
  <c r="CM3214" i="3" s="1"/>
  <c r="CK3215" i="3"/>
  <c r="CL3215" i="3"/>
  <c r="CM3215" i="3" s="1"/>
  <c r="CK3216" i="3"/>
  <c r="CL3216" i="3"/>
  <c r="CM3216" i="3" s="1"/>
  <c r="CK3217" i="3"/>
  <c r="CL3217" i="3"/>
  <c r="CM3217" i="3" s="1"/>
  <c r="CK3218" i="3"/>
  <c r="CL3218" i="3"/>
  <c r="CM3218" i="3" s="1"/>
  <c r="CK3219" i="3"/>
  <c r="CL3219" i="3"/>
  <c r="CM3219" i="3" s="1"/>
  <c r="CK3220" i="3"/>
  <c r="CL3220" i="3"/>
  <c r="CM3220" i="3" s="1"/>
  <c r="CK3222" i="3"/>
  <c r="CL3222" i="3"/>
  <c r="CM3222" i="3" s="1"/>
  <c r="CK3223" i="3"/>
  <c r="CL3223" i="3"/>
  <c r="CM3223" i="3" s="1"/>
  <c r="CK3224" i="3"/>
  <c r="CL3224" i="3"/>
  <c r="CM3224" i="3" s="1"/>
  <c r="CK3225" i="3"/>
  <c r="CL3225" i="3"/>
  <c r="CM3225" i="3" s="1"/>
  <c r="CK3226" i="3"/>
  <c r="CL3226" i="3"/>
  <c r="CM3226" i="3" s="1"/>
  <c r="CK3227" i="3"/>
  <c r="CL3227" i="3"/>
  <c r="CM3227" i="3" s="1"/>
  <c r="CK3228" i="3"/>
  <c r="CL3228" i="3"/>
  <c r="CM3228" i="3" s="1"/>
  <c r="CK3229" i="3"/>
  <c r="CL3229" i="3"/>
  <c r="CM3229" i="3" s="1"/>
  <c r="CK3230" i="3"/>
  <c r="CL3230" i="3"/>
  <c r="CM3230" i="3" s="1"/>
  <c r="CK3231" i="3"/>
  <c r="CL3231" i="3"/>
  <c r="CM3231" i="3" s="1"/>
  <c r="CK3232" i="3"/>
  <c r="CL3232" i="3"/>
  <c r="CM3232" i="3" s="1"/>
  <c r="CK3233" i="3"/>
  <c r="CL3233" i="3"/>
  <c r="CM3233" i="3" s="1"/>
  <c r="CK3234" i="3"/>
  <c r="CL3234" i="3"/>
  <c r="CM3234" i="3" s="1"/>
  <c r="CK3235" i="3"/>
  <c r="CL3235" i="3"/>
  <c r="CM3235" i="3" s="1"/>
  <c r="CK3236" i="3"/>
  <c r="CL3236" i="3"/>
  <c r="CM3236" i="3" s="1"/>
  <c r="CK3237" i="3"/>
  <c r="CL3237" i="3"/>
  <c r="CM3237" i="3" s="1"/>
  <c r="CK3238" i="3"/>
  <c r="CL3238" i="3"/>
  <c r="CM3238" i="3" s="1"/>
  <c r="CK3239" i="3"/>
  <c r="CL3239" i="3"/>
  <c r="CM3239" i="3" s="1"/>
  <c r="CK3240" i="3"/>
  <c r="CL3240" i="3"/>
  <c r="CM3240" i="3" s="1"/>
  <c r="CK3241" i="3"/>
  <c r="CL3241" i="3"/>
  <c r="CM3241" i="3" s="1"/>
  <c r="CK3242" i="3"/>
  <c r="CL3242" i="3"/>
  <c r="CM3242" i="3" s="1"/>
  <c r="CK3243" i="3"/>
  <c r="CL3243" i="3"/>
  <c r="CM3243" i="3" s="1"/>
  <c r="CK3244" i="3"/>
  <c r="CL3244" i="3"/>
  <c r="CM3244" i="3" s="1"/>
  <c r="CK3245" i="3"/>
  <c r="CL3245" i="3"/>
  <c r="CM3245" i="3" s="1"/>
  <c r="CK3246" i="3"/>
  <c r="CL3246" i="3"/>
  <c r="CM3246" i="3" s="1"/>
  <c r="CK3247" i="3"/>
  <c r="CL3247" i="3"/>
  <c r="CM3247" i="3" s="1"/>
  <c r="CK3248" i="3"/>
  <c r="CL3248" i="3"/>
  <c r="CM3248" i="3" s="1"/>
  <c r="CK3249" i="3"/>
  <c r="CL3249" i="3"/>
  <c r="CM3249" i="3" s="1"/>
  <c r="CK3250" i="3"/>
  <c r="CL3250" i="3"/>
  <c r="CM3250" i="3" s="1"/>
  <c r="CK3251" i="3"/>
  <c r="CL3251" i="3"/>
  <c r="CM3251" i="3" s="1"/>
  <c r="CK3252" i="3"/>
  <c r="CL3252" i="3"/>
  <c r="CM3252" i="3" s="1"/>
  <c r="CK3253" i="3"/>
  <c r="CL3253" i="3"/>
  <c r="CM3253" i="3" s="1"/>
  <c r="CK3254" i="3"/>
  <c r="CL3254" i="3"/>
  <c r="CM3254" i="3" s="1"/>
  <c r="CK3255" i="3"/>
  <c r="CL3255" i="3"/>
  <c r="CM3255" i="3" s="1"/>
  <c r="CK3256" i="3"/>
  <c r="CL3256" i="3"/>
  <c r="CM3256" i="3" s="1"/>
  <c r="CK3257" i="3"/>
  <c r="CL3257" i="3"/>
  <c r="CM3257" i="3" s="1"/>
  <c r="CK3258" i="3"/>
  <c r="CL3258" i="3"/>
  <c r="CM3258" i="3" s="1"/>
  <c r="CK3259" i="3"/>
  <c r="CL3259" i="3"/>
  <c r="CM3259" i="3" s="1"/>
  <c r="CK3260" i="3"/>
  <c r="CL3260" i="3"/>
  <c r="CM3260" i="3" s="1"/>
  <c r="CK3261" i="3"/>
  <c r="CL3261" i="3"/>
  <c r="CM3261" i="3" s="1"/>
  <c r="CK3262" i="3"/>
  <c r="CL3262" i="3"/>
  <c r="CM3262" i="3" s="1"/>
  <c r="CK3263" i="3"/>
  <c r="CL3263" i="3"/>
  <c r="CM3263" i="3" s="1"/>
  <c r="CL3213" i="3"/>
  <c r="CM3213" i="3" s="1"/>
  <c r="CK3213" i="3"/>
  <c r="CI3264" i="3"/>
  <c r="CH3264" i="3"/>
  <c r="CN3264" i="3" s="1"/>
  <c r="CG3264" i="3"/>
  <c r="C2081" i="3"/>
  <c r="AF2119" i="3"/>
  <c r="AG2115" i="3"/>
  <c r="AF2115" i="3"/>
  <c r="AF2114" i="3"/>
  <c r="AG2108" i="3"/>
  <c r="AF2108" i="3"/>
  <c r="AF2102" i="3"/>
  <c r="AF2096" i="3"/>
  <c r="AF2090" i="3"/>
  <c r="AI2077" i="3"/>
  <c r="C2082" i="3" s="1"/>
  <c r="AM2072" i="3"/>
  <c r="BN2038" i="3"/>
  <c r="BN2039" i="3"/>
  <c r="BN2040" i="3"/>
  <c r="BN2041" i="3"/>
  <c r="BL2039" i="3"/>
  <c r="BL2038" i="3"/>
  <c r="BL2041" i="3"/>
  <c r="BL2040" i="3"/>
  <c r="CA2036" i="3"/>
  <c r="AG2068" i="3"/>
  <c r="AF2068" i="3"/>
  <c r="AE2032" i="3"/>
  <c r="AE2033" i="3"/>
  <c r="AE2034" i="3"/>
  <c r="AE2031" i="3"/>
  <c r="BL1902" i="3"/>
  <c r="BL1903" i="3"/>
  <c r="AR2989" i="3"/>
  <c r="AR2990" i="3" s="1"/>
  <c r="AR2991" i="3" s="1"/>
  <c r="AR2992" i="3" s="1"/>
  <c r="AR2993" i="3" s="1"/>
  <c r="AR2994" i="3" s="1"/>
  <c r="AR2995" i="3" s="1"/>
  <c r="AR2996" i="3" s="1"/>
  <c r="AD2990" i="3"/>
  <c r="AD2991" i="3"/>
  <c r="AD2992" i="3"/>
  <c r="AD2993" i="3"/>
  <c r="AD2994" i="3"/>
  <c r="AD2995" i="3"/>
  <c r="AD2996" i="3"/>
  <c r="AD2997" i="3"/>
  <c r="AD2998" i="3"/>
  <c r="AD2989" i="3"/>
  <c r="AJ1950" i="3"/>
  <c r="C2034" i="3"/>
  <c r="AG2061" i="3"/>
  <c r="AF2061" i="3"/>
  <c r="AF2055" i="3"/>
  <c r="AF2049" i="3"/>
  <c r="AF2043" i="3"/>
  <c r="B1976" i="3"/>
  <c r="B1975" i="3" s="1"/>
  <c r="AG1978" i="3"/>
  <c r="AG1977" i="3"/>
  <c r="AG1976" i="3"/>
  <c r="BU1938" i="3"/>
  <c r="BU1939" i="3"/>
  <c r="BU1940" i="3"/>
  <c r="BU1941" i="3"/>
  <c r="BS1904" i="3"/>
  <c r="AI1958" i="3"/>
  <c r="AI1966" i="3" s="1"/>
  <c r="AI1955" i="3"/>
  <c r="AG1955" i="3" s="1"/>
  <c r="AI1956" i="3"/>
  <c r="AG1956" i="3" s="1"/>
  <c r="AI1957" i="3"/>
  <c r="AI1965" i="3" s="1"/>
  <c r="AG1965" i="3" s="1"/>
  <c r="AG1968" i="3"/>
  <c r="AG1960" i="3"/>
  <c r="AG1952" i="3"/>
  <c r="AG1949" i="3"/>
  <c r="AG1948" i="3"/>
  <c r="AG1947" i="3"/>
  <c r="AG1944" i="3"/>
  <c r="BK202" i="3"/>
  <c r="BF1889" i="3" s="1"/>
  <c r="B2015" i="3"/>
  <c r="B2016" i="3"/>
  <c r="B2014" i="3"/>
  <c r="AF2002" i="3"/>
  <c r="AG2020" i="3"/>
  <c r="AF2020" i="3"/>
  <c r="AF2014" i="3"/>
  <c r="AF2008" i="3"/>
  <c r="AF1996" i="3"/>
  <c r="AV312" i="3"/>
  <c r="AK2013" i="3" s="1"/>
  <c r="AV314" i="3"/>
  <c r="AT2019" i="3" s="1"/>
  <c r="AX202" i="3"/>
  <c r="AG2014" i="3"/>
  <c r="AB1985" i="3"/>
  <c r="BG212" i="3"/>
  <c r="AG2209" i="10" l="1"/>
  <c r="A2208" i="10" s="1"/>
  <c r="A734" i="10"/>
  <c r="AB729" i="10"/>
  <c r="BF2851" i="10"/>
  <c r="BL2851" i="10" s="1"/>
  <c r="A2852" i="10"/>
  <c r="BI717" i="10"/>
  <c r="E716" i="10" s="1"/>
  <c r="AK2206" i="10" s="1"/>
  <c r="E2205" i="10" s="1"/>
  <c r="BG722" i="10"/>
  <c r="BJ717" i="10"/>
  <c r="E717" i="10" s="1"/>
  <c r="BH722" i="10"/>
  <c r="AB1984" i="3"/>
  <c r="AK2154" i="3"/>
  <c r="AI2030" i="3"/>
  <c r="C2035" i="3" s="1"/>
  <c r="AD2336" i="3"/>
  <c r="C2332" i="3" s="1"/>
  <c r="AD2344" i="3"/>
  <c r="C2338" i="3" s="1"/>
  <c r="CO3262" i="3"/>
  <c r="CO3258" i="3"/>
  <c r="CO3254" i="3"/>
  <c r="CO3250" i="3"/>
  <c r="CO3246" i="3"/>
  <c r="CO3242" i="3"/>
  <c r="CO3238" i="3"/>
  <c r="CO3234" i="3"/>
  <c r="CO3230" i="3"/>
  <c r="CO3226" i="3"/>
  <c r="CO3222" i="3"/>
  <c r="CO3219" i="3"/>
  <c r="CO3217" i="3"/>
  <c r="CO3215" i="3"/>
  <c r="AM2089" i="3"/>
  <c r="BN2037" i="3"/>
  <c r="AQ2107" i="3"/>
  <c r="CO3244" i="3"/>
  <c r="CO3240" i="3"/>
  <c r="CO3236" i="3"/>
  <c r="CO3232" i="3"/>
  <c r="CO3228" i="3"/>
  <c r="CO3224" i="3"/>
  <c r="CO3260" i="3"/>
  <c r="CO3256" i="3"/>
  <c r="CO3252" i="3"/>
  <c r="CO3248" i="3"/>
  <c r="CO3213" i="3"/>
  <c r="CO3263" i="3"/>
  <c r="CO3261" i="3"/>
  <c r="CO3259" i="3"/>
  <c r="CO3257" i="3"/>
  <c r="CO3255" i="3"/>
  <c r="CO3253" i="3"/>
  <c r="CO3251" i="3"/>
  <c r="CO3249" i="3"/>
  <c r="CO3247" i="3"/>
  <c r="CO3245" i="3"/>
  <c r="CO3243" i="3"/>
  <c r="CO3241" i="3"/>
  <c r="CO3239" i="3"/>
  <c r="CO3237" i="3"/>
  <c r="CO3235" i="3"/>
  <c r="CO3233" i="3"/>
  <c r="CO3231" i="3"/>
  <c r="CO3229" i="3"/>
  <c r="CO3227" i="3"/>
  <c r="CO3225" i="3"/>
  <c r="CO3223" i="3"/>
  <c r="CO3220" i="3"/>
  <c r="CO3218" i="3"/>
  <c r="CO3216" i="3"/>
  <c r="CO3214" i="3"/>
  <c r="AI1963" i="3"/>
  <c r="AG1963" i="3" s="1"/>
  <c r="AP1961" i="3"/>
  <c r="AX2032" i="3"/>
  <c r="AI1974" i="3"/>
  <c r="AG1974" i="3" s="1"/>
  <c r="AG1966" i="3"/>
  <c r="AG1958" i="3"/>
  <c r="AI1964" i="3"/>
  <c r="AG1957" i="3"/>
  <c r="AI1973" i="3"/>
  <c r="AG1973" i="3" s="1"/>
  <c r="BK1937" i="3"/>
  <c r="CD3211" i="3"/>
  <c r="CB3211" i="3"/>
  <c r="AR1918" i="3"/>
  <c r="AP1918" i="3"/>
  <c r="AG1903" i="3"/>
  <c r="AG1910" i="3" s="1"/>
  <c r="AG1917" i="3" s="1"/>
  <c r="AG1924" i="3" s="1"/>
  <c r="AG1904" i="3"/>
  <c r="AG1905" i="3"/>
  <c r="AG1906" i="3"/>
  <c r="AG2210" i="10" l="1"/>
  <c r="A2209" i="10" s="1"/>
  <c r="A739" i="10"/>
  <c r="AB734" i="10"/>
  <c r="BJ722" i="10"/>
  <c r="E722" i="10" s="1"/>
  <c r="BH728" i="10"/>
  <c r="A2853" i="10"/>
  <c r="BF2852" i="10"/>
  <c r="BI722" i="10"/>
  <c r="E721" i="10" s="1"/>
  <c r="AK2207" i="10" s="1"/>
  <c r="E2206" i="10" s="1"/>
  <c r="BG728" i="10"/>
  <c r="B2052" i="3"/>
  <c r="B2047" i="3"/>
  <c r="B2037" i="3"/>
  <c r="B2063" i="3"/>
  <c r="B2042" i="3"/>
  <c r="B2057" i="3"/>
  <c r="C2337" i="3"/>
  <c r="C2339" i="3"/>
  <c r="AJ2353" i="3"/>
  <c r="AD2353" i="3" s="1"/>
  <c r="C2340" i="3"/>
  <c r="AN2251" i="3"/>
  <c r="AI1971" i="3"/>
  <c r="AG1971" i="3" s="1"/>
  <c r="AG1911" i="3"/>
  <c r="AG1918" i="3" s="1"/>
  <c r="AG1925" i="3" s="1"/>
  <c r="BL2032" i="3"/>
  <c r="AE2126" i="3"/>
  <c r="AE2223" i="3" s="1"/>
  <c r="AI1972" i="3"/>
  <c r="AG1972" i="3" s="1"/>
  <c r="AG1964" i="3"/>
  <c r="AN1995" i="3"/>
  <c r="BG1937" i="3"/>
  <c r="BI1937" i="3"/>
  <c r="AM1902" i="3"/>
  <c r="AO1902" i="3"/>
  <c r="AG259" i="3"/>
  <c r="AZ337" i="3"/>
  <c r="BB338" i="3"/>
  <c r="AX338" i="3"/>
  <c r="BJ206" i="3"/>
  <c r="AL337" i="3"/>
  <c r="BK206" i="3"/>
  <c r="AX2019" i="3"/>
  <c r="BH206" i="3"/>
  <c r="AL32" i="3" s="1"/>
  <c r="BG206" i="3"/>
  <c r="AL1884" i="3" s="1"/>
  <c r="AY755" i="3"/>
  <c r="AW755" i="3"/>
  <c r="AV755" i="3" s="1"/>
  <c r="AM658" i="3"/>
  <c r="AL626" i="3"/>
  <c r="AM626" i="3" s="1"/>
  <c r="AM624" i="3" s="1"/>
  <c r="AV556" i="3"/>
  <c r="AV521" i="3"/>
  <c r="AV590" i="3"/>
  <c r="AL777" i="3"/>
  <c r="AM777" i="3" s="1"/>
  <c r="AU755" i="3" s="1"/>
  <c r="AT755" i="3" s="1"/>
  <c r="AL772" i="3"/>
  <c r="AM772" i="3" s="1"/>
  <c r="AS755" i="3" s="1"/>
  <c r="AR755" i="3" s="1"/>
  <c r="AL767" i="3"/>
  <c r="AM767" i="3" s="1"/>
  <c r="AQ755" i="3" s="1"/>
  <c r="AP755" i="3" s="1"/>
  <c r="AL762" i="3"/>
  <c r="AM762" i="3" s="1"/>
  <c r="AO755" i="3" s="1"/>
  <c r="AN755" i="3" s="1"/>
  <c r="AL757" i="3"/>
  <c r="AM757" i="3" s="1"/>
  <c r="AM755" i="3" s="1"/>
  <c r="AL747" i="3"/>
  <c r="AM747" i="3" s="1"/>
  <c r="AL739" i="3"/>
  <c r="AM739" i="3" s="1"/>
  <c r="AZ706" i="3" s="1"/>
  <c r="AY706" i="3" s="1"/>
  <c r="AL734" i="3"/>
  <c r="AM734" i="3" s="1"/>
  <c r="AX706" i="3" s="1"/>
  <c r="AW706" i="3" s="1"/>
  <c r="AV706" i="3" s="1"/>
  <c r="AL729" i="3"/>
  <c r="AK729" i="3" s="1"/>
  <c r="AL724" i="3"/>
  <c r="AM724" i="3" s="1"/>
  <c r="AS706" i="3" s="1"/>
  <c r="AR706" i="3" s="1"/>
  <c r="AL718" i="3"/>
  <c r="AM718" i="3" s="1"/>
  <c r="AQ706" i="3" s="1"/>
  <c r="AP706" i="3" s="1"/>
  <c r="AL713" i="3"/>
  <c r="AM713" i="3" s="1"/>
  <c r="AO706" i="3" s="1"/>
  <c r="AN706" i="3" s="1"/>
  <c r="AL708" i="3"/>
  <c r="AM708" i="3" s="1"/>
  <c r="AM706" i="3" s="1"/>
  <c r="AL692" i="3"/>
  <c r="AM692" i="3" s="1"/>
  <c r="AZ658" i="3" s="1"/>
  <c r="AY658" i="3" s="1"/>
  <c r="AL686" i="3"/>
  <c r="AM686" i="3" s="1"/>
  <c r="AX658" i="3" s="1"/>
  <c r="AW658" i="3" s="1"/>
  <c r="AV658" i="3" s="1"/>
  <c r="AL681" i="3"/>
  <c r="AK681" i="3" s="1"/>
  <c r="AL676" i="3"/>
  <c r="AM676" i="3" s="1"/>
  <c r="AS658" i="3" s="1"/>
  <c r="AR658" i="3" s="1"/>
  <c r="AL670" i="3"/>
  <c r="AM670" i="3" s="1"/>
  <c r="AQ658" i="3" s="1"/>
  <c r="AP658" i="3" s="1"/>
  <c r="AL665" i="3"/>
  <c r="AM665" i="3" s="1"/>
  <c r="AO658" i="3" s="1"/>
  <c r="AN658" i="3" s="1"/>
  <c r="AL657" i="3"/>
  <c r="AM657" i="3" s="1"/>
  <c r="AZ624" i="3" s="1"/>
  <c r="AY624" i="3" s="1"/>
  <c r="AL652" i="3"/>
  <c r="AM652" i="3" s="1"/>
  <c r="AX624" i="3" s="1"/>
  <c r="AW624" i="3" s="1"/>
  <c r="AL647" i="3"/>
  <c r="AM647" i="3" s="1"/>
  <c r="AU624" i="3" s="1"/>
  <c r="AT624" i="3" s="1"/>
  <c r="AL642" i="3"/>
  <c r="AM642" i="3" s="1"/>
  <c r="AS624" i="3" s="1"/>
  <c r="AR624" i="3" s="1"/>
  <c r="AL636" i="3"/>
  <c r="AM636" i="3" s="1"/>
  <c r="AQ624" i="3" s="1"/>
  <c r="AP624" i="3" s="1"/>
  <c r="AL631" i="3"/>
  <c r="AM631" i="3" s="1"/>
  <c r="AO624" i="3" s="1"/>
  <c r="AN624" i="3" s="1"/>
  <c r="AL623" i="3"/>
  <c r="AM623" i="3" s="1"/>
  <c r="AL618" i="3"/>
  <c r="AM618" i="3" s="1"/>
  <c r="AL613" i="3"/>
  <c r="AM613" i="3" s="1"/>
  <c r="AU590" i="3" s="1"/>
  <c r="AT590" i="3" s="1"/>
  <c r="AL608" i="3"/>
  <c r="AM608" i="3" s="1"/>
  <c r="AS590" i="3" s="1"/>
  <c r="AR590" i="3" s="1"/>
  <c r="AL602" i="3"/>
  <c r="AM602" i="3" s="1"/>
  <c r="AQ590" i="3" s="1"/>
  <c r="AP590" i="3" s="1"/>
  <c r="AL597" i="3"/>
  <c r="AM597" i="3" s="1"/>
  <c r="AO590" i="3" s="1"/>
  <c r="AN590" i="3" s="1"/>
  <c r="AL592" i="3"/>
  <c r="AM592" i="3" s="1"/>
  <c r="AM590" i="3" s="1"/>
  <c r="AL584" i="3"/>
  <c r="AM584" i="3" s="1"/>
  <c r="AX556" i="3" s="1"/>
  <c r="AL579" i="3"/>
  <c r="AM579" i="3" s="1"/>
  <c r="AU556" i="3" s="1"/>
  <c r="AT556" i="3" s="1"/>
  <c r="AL574" i="3"/>
  <c r="AM574" i="3" s="1"/>
  <c r="AS556" i="3" s="1"/>
  <c r="AR556" i="3" s="1"/>
  <c r="AL568" i="3"/>
  <c r="AM568" i="3" s="1"/>
  <c r="AQ556" i="3" s="1"/>
  <c r="AP556" i="3" s="1"/>
  <c r="AL563" i="3"/>
  <c r="AK563" i="3" s="1"/>
  <c r="AL558" i="3"/>
  <c r="AM558" i="3" s="1"/>
  <c r="AM556" i="3" s="1"/>
  <c r="AL550" i="3"/>
  <c r="AM550" i="3" s="1"/>
  <c r="AX521" i="3" s="1"/>
  <c r="AL545" i="3"/>
  <c r="AM545" i="3" s="1"/>
  <c r="AU521" i="3" s="1"/>
  <c r="AT521" i="3" s="1"/>
  <c r="AL539" i="3"/>
  <c r="AM539" i="3" s="1"/>
  <c r="AS521" i="3" s="1"/>
  <c r="AR521" i="3" s="1"/>
  <c r="AL534" i="3"/>
  <c r="AM534" i="3" s="1"/>
  <c r="AQ521" i="3" s="1"/>
  <c r="AP521" i="3" s="1"/>
  <c r="AL528" i="3"/>
  <c r="AM528" i="3" s="1"/>
  <c r="AO521" i="3" s="1"/>
  <c r="AN521" i="3" s="1"/>
  <c r="AL523" i="3"/>
  <c r="AM523" i="3" s="1"/>
  <c r="AM521" i="3" s="1"/>
  <c r="AC612" i="3"/>
  <c r="B75" i="3"/>
  <c r="A2854" i="10" l="1"/>
  <c r="BF2853" i="10"/>
  <c r="BL2853" i="10" s="1"/>
  <c r="AG2211" i="10"/>
  <c r="A2210" i="10" s="1"/>
  <c r="A747" i="10"/>
  <c r="AB739" i="10"/>
  <c r="BL2852" i="10"/>
  <c r="BI728" i="10"/>
  <c r="E727" i="10" s="1"/>
  <c r="AK2208" i="10" s="1"/>
  <c r="E2207" i="10" s="1"/>
  <c r="BG733" i="10"/>
  <c r="BJ728" i="10"/>
  <c r="E728" i="10" s="1"/>
  <c r="BH733" i="10"/>
  <c r="AS4" i="3"/>
  <c r="BE250" i="3"/>
  <c r="BD328" i="3"/>
  <c r="AP1884" i="3"/>
  <c r="AQ4" i="3"/>
  <c r="AL4" i="3"/>
  <c r="AM4" i="3" s="1"/>
  <c r="AO259" i="3"/>
  <c r="AO4" i="3"/>
  <c r="AL2148" i="3"/>
  <c r="AO2925" i="3"/>
  <c r="AT1869" i="3"/>
  <c r="AL1869" i="3"/>
  <c r="AN1869" i="3" s="1"/>
  <c r="AL1876" i="3"/>
  <c r="AL2245" i="3"/>
  <c r="AL1909" i="3"/>
  <c r="AO2298" i="3"/>
  <c r="AM2154" i="3"/>
  <c r="AO2154" i="3"/>
  <c r="AN1909" i="3"/>
  <c r="AW1909" i="3"/>
  <c r="AZ338" i="3"/>
  <c r="AO2253" i="3"/>
  <c r="AQ2275" i="3"/>
  <c r="AO2275" i="3"/>
  <c r="AL2248" i="3"/>
  <c r="AN2248" i="3" s="1"/>
  <c r="AL2261" i="3"/>
  <c r="AP2235" i="3"/>
  <c r="AN2235" i="3"/>
  <c r="AK1902" i="3"/>
  <c r="AN2245" i="3"/>
  <c r="AP2245" i="3"/>
  <c r="AR2245" i="3"/>
  <c r="AT2245" i="3"/>
  <c r="AL2251" i="3"/>
  <c r="AL2161" i="3"/>
  <c r="AL2142" i="3"/>
  <c r="AQ2136" i="3"/>
  <c r="AO2148" i="3"/>
  <c r="AN2142" i="3"/>
  <c r="AQ2089" i="3"/>
  <c r="AP2095" i="3" s="1"/>
  <c r="AU2107" i="3"/>
  <c r="AP2013" i="3"/>
  <c r="AL2089" i="3"/>
  <c r="AK2060" i="3"/>
  <c r="AO2089" i="3"/>
  <c r="AN2095" i="3" s="1"/>
  <c r="AO1945" i="3"/>
  <c r="AZ311" i="3"/>
  <c r="AV311" i="3" s="1"/>
  <c r="AM1945" i="3" s="1"/>
  <c r="BD311" i="3"/>
  <c r="AL1945" i="3"/>
  <c r="BB311" i="3"/>
  <c r="AM1953" i="3"/>
  <c r="AQ1945" i="3"/>
  <c r="AN2019" i="3"/>
  <c r="AN2001" i="3"/>
  <c r="AU1923" i="3"/>
  <c r="AT2013" i="3"/>
  <c r="AV2013" i="3" s="1"/>
  <c r="AR2013" i="3"/>
  <c r="BB1902" i="3"/>
  <c r="AR2001" i="3"/>
  <c r="AP1923" i="3"/>
  <c r="AN2013" i="3"/>
  <c r="AV338" i="3"/>
  <c r="BI338" i="3" s="1"/>
  <c r="AZ501" i="3"/>
  <c r="AU1902" i="3"/>
  <c r="BG501" i="3"/>
  <c r="AK574" i="3"/>
  <c r="AK665" i="3"/>
  <c r="AB590" i="3"/>
  <c r="AB624" i="3"/>
  <c r="AM729" i="3"/>
  <c r="AU706" i="3" s="1"/>
  <c r="AT706" i="3" s="1"/>
  <c r="AB706" i="3" s="1"/>
  <c r="AB705" i="3" s="1"/>
  <c r="AK597" i="3"/>
  <c r="AK618" i="3"/>
  <c r="AK626" i="3"/>
  <c r="AQ1902" i="3"/>
  <c r="AB755" i="3"/>
  <c r="AB754" i="3" s="1"/>
  <c r="AK539" i="3"/>
  <c r="AK579" i="3"/>
  <c r="AK602" i="3"/>
  <c r="AK623" i="3"/>
  <c r="AK686" i="3"/>
  <c r="AK734" i="3"/>
  <c r="AK767" i="3"/>
  <c r="AK762" i="3"/>
  <c r="AK545" i="3"/>
  <c r="AK584" i="3"/>
  <c r="AK608" i="3"/>
  <c r="AK713" i="3"/>
  <c r="AK747" i="3"/>
  <c r="AK772" i="3"/>
  <c r="AK550" i="3"/>
  <c r="AK592" i="3"/>
  <c r="AK613" i="3"/>
  <c r="AK657" i="3"/>
  <c r="AK724" i="3"/>
  <c r="AK757" i="3"/>
  <c r="AK777" i="3"/>
  <c r="AK708" i="3"/>
  <c r="AK739" i="3"/>
  <c r="AK718" i="3"/>
  <c r="AB521" i="3"/>
  <c r="AJ1909" i="3" s="1"/>
  <c r="AK692" i="3"/>
  <c r="AM681" i="3"/>
  <c r="AU658" i="3" s="1"/>
  <c r="AT658" i="3" s="1"/>
  <c r="AB658" i="3" s="1"/>
  <c r="AK676" i="3"/>
  <c r="AK670" i="3"/>
  <c r="AK647" i="3"/>
  <c r="AK652" i="3"/>
  <c r="AK642" i="3"/>
  <c r="AK631" i="3"/>
  <c r="AK636" i="3"/>
  <c r="AK568" i="3"/>
  <c r="AK558" i="3"/>
  <c r="AM563" i="3"/>
  <c r="AO556" i="3" s="1"/>
  <c r="AN556" i="3" s="1"/>
  <c r="AK528" i="3"/>
  <c r="AK523" i="3"/>
  <c r="AK534" i="3"/>
  <c r="AO344" i="3"/>
  <c r="AO328" i="3"/>
  <c r="AK327" i="3"/>
  <c r="AK325" i="3"/>
  <c r="E2946" i="3"/>
  <c r="AO324" i="3"/>
  <c r="AO314" i="3"/>
  <c r="AO315" i="3"/>
  <c r="F2940" i="3"/>
  <c r="F2941" i="3" s="1"/>
  <c r="F2942" i="3" s="1"/>
  <c r="AO222" i="3"/>
  <c r="AO220" i="3"/>
  <c r="AQ220" i="3" s="1"/>
  <c r="E2746" i="3"/>
  <c r="E2747" i="3" s="1"/>
  <c r="E2748" i="3" s="1"/>
  <c r="E2749" i="3" s="1"/>
  <c r="E2750" i="3" s="1"/>
  <c r="E2751" i="3" s="1"/>
  <c r="B2753" i="3"/>
  <c r="B2758" i="3"/>
  <c r="B2744" i="3"/>
  <c r="AK228" i="3"/>
  <c r="AM228" i="3" s="1"/>
  <c r="AK229" i="3"/>
  <c r="AM229" i="3" s="1"/>
  <c r="AK230" i="3"/>
  <c r="AM230" i="3" s="1"/>
  <c r="AK232" i="3"/>
  <c r="AM232" i="3" s="1"/>
  <c r="AK233" i="3"/>
  <c r="AM233" i="3" s="1"/>
  <c r="AK234" i="3"/>
  <c r="AK235" i="3"/>
  <c r="AM235" i="3" s="1"/>
  <c r="E2760" i="3"/>
  <c r="E2761" i="3" s="1"/>
  <c r="E2762" i="3" s="1"/>
  <c r="E2763" i="3" s="1"/>
  <c r="AO250" i="3"/>
  <c r="AO256" i="3"/>
  <c r="AO310" i="3"/>
  <c r="AO338" i="3"/>
  <c r="AO326" i="3"/>
  <c r="E2927" i="3"/>
  <c r="E2928" i="3" s="1"/>
  <c r="E2929" i="3" s="1"/>
  <c r="E2930" i="3" s="1"/>
  <c r="E2931" i="3" s="1"/>
  <c r="D2925" i="3"/>
  <c r="C2966" i="3"/>
  <c r="C2967" i="3" s="1"/>
  <c r="C2968" i="3" s="1"/>
  <c r="C2969" i="3" s="1"/>
  <c r="C2970" i="3" s="1"/>
  <c r="C2971" i="3" s="1"/>
  <c r="C2972" i="3" s="1"/>
  <c r="C2973" i="3" s="1"/>
  <c r="C2974" i="3" s="1"/>
  <c r="AA208" i="3"/>
  <c r="AA226" i="3" s="1"/>
  <c r="BB3310" i="3"/>
  <c r="C3328" i="3"/>
  <c r="C3280" i="3"/>
  <c r="C3281" i="3" s="1"/>
  <c r="C3285" i="3" s="1"/>
  <c r="C3288" i="3" s="1"/>
  <c r="C3289" i="3" s="1"/>
  <c r="C3290" i="3" s="1"/>
  <c r="C3291" i="3" s="1"/>
  <c r="C3295" i="3" s="1"/>
  <c r="C3297" i="3" s="1"/>
  <c r="C3299" i="3" s="1"/>
  <c r="C3305" i="3" s="1"/>
  <c r="C3306" i="3" s="1"/>
  <c r="C3307" i="3" s="1"/>
  <c r="C3309" i="3" s="1"/>
  <c r="C3312" i="3" s="1"/>
  <c r="C3314" i="3" s="1"/>
  <c r="C3315" i="3" s="1"/>
  <c r="C3316" i="3" s="1"/>
  <c r="C3317" i="3" s="1"/>
  <c r="C3318" i="3" s="1"/>
  <c r="C3319" i="3" s="1"/>
  <c r="C3320" i="3" s="1"/>
  <c r="AQ206" i="3"/>
  <c r="AJ206" i="3" s="1"/>
  <c r="AV212" i="3"/>
  <c r="E2990" i="3"/>
  <c r="E2991" i="3" s="1"/>
  <c r="E2992" i="3" s="1"/>
  <c r="E2993" i="3" s="1"/>
  <c r="E2994" i="3" s="1"/>
  <c r="E2995" i="3" s="1"/>
  <c r="E2996" i="3" s="1"/>
  <c r="E2997" i="3" s="1"/>
  <c r="E2998" i="3" s="1"/>
  <c r="D285" i="3"/>
  <c r="C285" i="3"/>
  <c r="D284" i="3"/>
  <c r="C284" i="3"/>
  <c r="B284" i="3"/>
  <c r="D283" i="3"/>
  <c r="C283" i="3"/>
  <c r="B283" i="3"/>
  <c r="B244" i="3"/>
  <c r="AD244" i="3" s="1"/>
  <c r="AJ1129" i="3"/>
  <c r="D1129" i="3" s="1"/>
  <c r="B3194" i="3"/>
  <c r="A3194" i="3"/>
  <c r="A3188" i="3"/>
  <c r="B3188" i="3"/>
  <c r="C3175" i="3"/>
  <c r="B3175" i="3"/>
  <c r="B3184" i="3"/>
  <c r="C3184" i="3"/>
  <c r="B3168" i="3"/>
  <c r="A3158" i="3"/>
  <c r="B3123" i="3"/>
  <c r="B3120" i="3"/>
  <c r="A3120" i="3"/>
  <c r="B3111" i="3"/>
  <c r="B3105" i="3"/>
  <c r="B3099" i="3"/>
  <c r="B3093" i="3"/>
  <c r="B3087" i="3"/>
  <c r="B3081" i="3"/>
  <c r="B3074" i="3"/>
  <c r="B3067" i="3"/>
  <c r="A3067" i="3"/>
  <c r="D3058" i="3"/>
  <c r="D3059" i="3"/>
  <c r="B3053" i="3"/>
  <c r="B3059" i="3" s="1"/>
  <c r="B3041" i="3"/>
  <c r="B3035" i="3"/>
  <c r="B3033" i="3"/>
  <c r="A3033" i="3"/>
  <c r="A3148" i="3"/>
  <c r="B3002" i="3"/>
  <c r="C2953" i="3"/>
  <c r="D2953" i="3" s="1"/>
  <c r="C2954" i="3"/>
  <c r="D2954" i="3" s="1"/>
  <c r="C2955" i="3"/>
  <c r="D2955" i="3" s="1"/>
  <c r="C2952" i="3"/>
  <c r="D2952" i="3" s="1"/>
  <c r="D2951" i="3"/>
  <c r="C2951" i="3"/>
  <c r="B2951" i="3"/>
  <c r="B2944" i="3"/>
  <c r="D2978" i="3"/>
  <c r="B2978" i="3"/>
  <c r="A2978" i="3"/>
  <c r="D2964" i="3"/>
  <c r="B2964" i="3"/>
  <c r="E2938" i="3"/>
  <c r="D2938" i="3"/>
  <c r="D2914" i="3"/>
  <c r="C2938" i="3"/>
  <c r="B2914" i="3"/>
  <c r="C2909" i="3"/>
  <c r="C2910" i="3"/>
  <c r="C2911" i="3"/>
  <c r="C2912" i="3"/>
  <c r="C2908" i="3"/>
  <c r="C2907" i="3"/>
  <c r="B2907" i="3"/>
  <c r="C2874" i="3"/>
  <c r="B2874" i="3"/>
  <c r="C2890" i="3"/>
  <c r="C2891" i="3"/>
  <c r="C2889" i="3"/>
  <c r="B2882" i="3"/>
  <c r="D2810" i="3"/>
  <c r="B2810" i="3"/>
  <c r="A2809" i="3"/>
  <c r="A2807" i="3"/>
  <c r="A2806" i="3"/>
  <c r="A2805" i="3"/>
  <c r="B2800" i="3"/>
  <c r="A2799" i="3"/>
  <c r="D2771" i="3"/>
  <c r="A2770" i="3"/>
  <c r="B2771" i="3"/>
  <c r="C2758" i="3"/>
  <c r="D2758" i="3"/>
  <c r="C2729" i="3"/>
  <c r="B2729" i="3"/>
  <c r="C2723" i="3"/>
  <c r="B2723" i="3"/>
  <c r="C2716" i="3"/>
  <c r="B2716" i="3"/>
  <c r="B2714" i="3"/>
  <c r="A2714" i="3"/>
  <c r="AO2177" i="3"/>
  <c r="AO2176" i="3"/>
  <c r="AO2175" i="3"/>
  <c r="E2217" i="3"/>
  <c r="AM2217" i="3"/>
  <c r="AH2217" i="3" s="1"/>
  <c r="AO2217" i="3"/>
  <c r="AI2217" i="3"/>
  <c r="C2216" i="3" s="1"/>
  <c r="C47" i="13" s="1"/>
  <c r="AM2216" i="3"/>
  <c r="AH2216" i="3" s="1"/>
  <c r="AO2216" i="3"/>
  <c r="AI2216" i="3"/>
  <c r="C2215" i="3" s="1"/>
  <c r="C46" i="13" s="1"/>
  <c r="AM2215" i="3"/>
  <c r="AH2215" i="3" s="1"/>
  <c r="AO2215" i="3"/>
  <c r="AI2215" i="3"/>
  <c r="C2214" i="3" s="1"/>
  <c r="C45" i="13" s="1"/>
  <c r="AM2214" i="3"/>
  <c r="AH2214" i="3" s="1"/>
  <c r="AL2214" i="3" s="1"/>
  <c r="AO2214" i="3"/>
  <c r="AI2214" i="3"/>
  <c r="C2213" i="3" s="1"/>
  <c r="C44" i="13" s="1"/>
  <c r="AM2213" i="3"/>
  <c r="AH2213" i="3" s="1"/>
  <c r="AO2213" i="3"/>
  <c r="AI2213" i="3"/>
  <c r="C2212" i="3" s="1"/>
  <c r="C43" i="13" s="1"/>
  <c r="AM2212" i="3"/>
  <c r="AH2212" i="3" s="1"/>
  <c r="AO2212" i="3"/>
  <c r="AI2212" i="3"/>
  <c r="C2211" i="3" s="1"/>
  <c r="C42" i="13" s="1"/>
  <c r="AM2211" i="3"/>
  <c r="AH2211" i="3" s="1"/>
  <c r="AO2211" i="3"/>
  <c r="AI2211" i="3"/>
  <c r="C2210" i="3" s="1"/>
  <c r="C41" i="13" s="1"/>
  <c r="AM2210" i="3"/>
  <c r="AH2210" i="3" s="1"/>
  <c r="AL2210" i="3" s="1"/>
  <c r="AO2210" i="3"/>
  <c r="AI2210" i="3"/>
  <c r="C2209" i="3" s="1"/>
  <c r="C40" i="13" s="1"/>
  <c r="AM2209" i="3"/>
  <c r="AH2209" i="3" s="1"/>
  <c r="AO2209" i="3"/>
  <c r="AI2209" i="3"/>
  <c r="C2208" i="3" s="1"/>
  <c r="C39" i="13" s="1"/>
  <c r="AM2208" i="3"/>
  <c r="AH2208" i="3" s="1"/>
  <c r="AO2208" i="3"/>
  <c r="AI2208" i="3"/>
  <c r="C2207" i="3" s="1"/>
  <c r="C38" i="13" s="1"/>
  <c r="AM2207" i="3"/>
  <c r="AH2207" i="3" s="1"/>
  <c r="AO2207" i="3"/>
  <c r="AI2207" i="3"/>
  <c r="C2206" i="3" s="1"/>
  <c r="C37" i="13" s="1"/>
  <c r="AM2206" i="3"/>
  <c r="AH2206" i="3" s="1"/>
  <c r="AL2206" i="3" s="1"/>
  <c r="AO2206" i="3"/>
  <c r="AI2206" i="3"/>
  <c r="C2205" i="3" s="1"/>
  <c r="C36" i="13" s="1"/>
  <c r="AM2205" i="3"/>
  <c r="AH2205" i="3" s="1"/>
  <c r="AO2205" i="3"/>
  <c r="AI2205" i="3"/>
  <c r="C2204" i="3" s="1"/>
  <c r="C35" i="13" s="1"/>
  <c r="AM2204" i="3"/>
  <c r="AH2204" i="3" s="1"/>
  <c r="AO2204" i="3"/>
  <c r="AI2204" i="3"/>
  <c r="C2203" i="3" s="1"/>
  <c r="C34" i="13" s="1"/>
  <c r="AM2203" i="3"/>
  <c r="AH2203" i="3" s="1"/>
  <c r="AO2203" i="3"/>
  <c r="AI2203" i="3"/>
  <c r="C2202" i="3" s="1"/>
  <c r="C33" i="13" s="1"/>
  <c r="AM2202" i="3"/>
  <c r="AH2202" i="3" s="1"/>
  <c r="AL2202" i="3" s="1"/>
  <c r="AO2202" i="3"/>
  <c r="AI2202" i="3"/>
  <c r="C2201" i="3" s="1"/>
  <c r="C32" i="13" s="1"/>
  <c r="AM2201" i="3"/>
  <c r="AH2201" i="3" s="1"/>
  <c r="AO2201" i="3"/>
  <c r="AI2201" i="3"/>
  <c r="C2200" i="3" s="1"/>
  <c r="C31" i="13" s="1"/>
  <c r="AM2200" i="3"/>
  <c r="AH2200" i="3" s="1"/>
  <c r="AO2200" i="3"/>
  <c r="AI2200" i="3"/>
  <c r="C2199" i="3" s="1"/>
  <c r="C30" i="13" s="1"/>
  <c r="AM2199" i="3"/>
  <c r="AH2199" i="3" s="1"/>
  <c r="AO2199" i="3"/>
  <c r="AI2199" i="3"/>
  <c r="C2198" i="3" s="1"/>
  <c r="C29" i="13" s="1"/>
  <c r="AM2198" i="3"/>
  <c r="AH2198" i="3" s="1"/>
  <c r="AL2198" i="3" s="1"/>
  <c r="AO2198" i="3"/>
  <c r="AI2198" i="3"/>
  <c r="C2197" i="3" s="1"/>
  <c r="C28" i="13" s="1"/>
  <c r="AM2197" i="3"/>
  <c r="AH2197" i="3" s="1"/>
  <c r="AO2197" i="3"/>
  <c r="AI2197" i="3"/>
  <c r="C2196" i="3" s="1"/>
  <c r="C27" i="13" s="1"/>
  <c r="AM2196" i="3"/>
  <c r="AH2196" i="3" s="1"/>
  <c r="AO2196" i="3"/>
  <c r="AI2196" i="3"/>
  <c r="C2195" i="3" s="1"/>
  <c r="C26" i="13" s="1"/>
  <c r="AM2195" i="3"/>
  <c r="AH2195" i="3" s="1"/>
  <c r="AO2195" i="3"/>
  <c r="AI2195" i="3"/>
  <c r="C2194" i="3" s="1"/>
  <c r="C25" i="13" s="1"/>
  <c r="AM2194" i="3"/>
  <c r="AH2194" i="3" s="1"/>
  <c r="AO2194" i="3"/>
  <c r="AI2194" i="3"/>
  <c r="C2193" i="3" s="1"/>
  <c r="C24" i="13" s="1"/>
  <c r="AM2193" i="3"/>
  <c r="AH2193" i="3" s="1"/>
  <c r="AO2193" i="3"/>
  <c r="AI2193" i="3"/>
  <c r="C2192" i="3" s="1"/>
  <c r="C23" i="13" s="1"/>
  <c r="AM2192" i="3"/>
  <c r="AH2192" i="3" s="1"/>
  <c r="AO2192" i="3"/>
  <c r="AI2192" i="3"/>
  <c r="C2191" i="3" s="1"/>
  <c r="C22" i="13" s="1"/>
  <c r="AM2191" i="3"/>
  <c r="AH2191" i="3" s="1"/>
  <c r="AO2191" i="3"/>
  <c r="AI2191" i="3"/>
  <c r="C2190" i="3" s="1"/>
  <c r="C21" i="13" s="1"/>
  <c r="AM2190" i="3"/>
  <c r="AH2190" i="3" s="1"/>
  <c r="AO2190" i="3"/>
  <c r="AI2190" i="3"/>
  <c r="C2189" i="3" s="1"/>
  <c r="C20" i="13" s="1"/>
  <c r="AM2189" i="3"/>
  <c r="AH2189" i="3" s="1"/>
  <c r="AO2189" i="3"/>
  <c r="AI2189" i="3"/>
  <c r="C2188" i="3" s="1"/>
  <c r="C19" i="13" s="1"/>
  <c r="AM2188" i="3"/>
  <c r="AH2188" i="3" s="1"/>
  <c r="AO2188" i="3"/>
  <c r="AI2188" i="3"/>
  <c r="C2187" i="3" s="1"/>
  <c r="C18" i="13" s="1"/>
  <c r="AM2187" i="3"/>
  <c r="AH2187" i="3" s="1"/>
  <c r="AO2187" i="3"/>
  <c r="AI2187" i="3"/>
  <c r="C2186" i="3" s="1"/>
  <c r="C17" i="13" s="1"/>
  <c r="AM2186" i="3"/>
  <c r="AH2186" i="3" s="1"/>
  <c r="AO2186" i="3"/>
  <c r="AI2186" i="3"/>
  <c r="C2185" i="3" s="1"/>
  <c r="C16" i="13" s="1"/>
  <c r="AM2185" i="3"/>
  <c r="AH2185" i="3" s="1"/>
  <c r="AO2185" i="3"/>
  <c r="AI2185" i="3"/>
  <c r="C2184" i="3" s="1"/>
  <c r="C15" i="13" s="1"/>
  <c r="AM2184" i="3"/>
  <c r="AH2184" i="3" s="1"/>
  <c r="AO2184" i="3"/>
  <c r="AI2184" i="3"/>
  <c r="C2183" i="3" s="1"/>
  <c r="C14" i="13" s="1"/>
  <c r="AM2183" i="3"/>
  <c r="AH2183" i="3" s="1"/>
  <c r="AO2183" i="3"/>
  <c r="AI2183" i="3"/>
  <c r="C2182" i="3" s="1"/>
  <c r="C13" i="13" s="1"/>
  <c r="AM2182" i="3"/>
  <c r="AH2182" i="3" s="1"/>
  <c r="AO2182" i="3"/>
  <c r="AI2182" i="3"/>
  <c r="C2181" i="3" s="1"/>
  <c r="C12" i="13" s="1"/>
  <c r="AM2181" i="3"/>
  <c r="AH2181" i="3" s="1"/>
  <c r="AO2181" i="3"/>
  <c r="AI2181" i="3"/>
  <c r="C2180" i="3" s="1"/>
  <c r="C11" i="13" s="1"/>
  <c r="AM2180" i="3"/>
  <c r="AH2180" i="3" s="1"/>
  <c r="AO2180" i="3"/>
  <c r="AI2180" i="3"/>
  <c r="C2179" i="3" s="1"/>
  <c r="C10" i="13" s="1"/>
  <c r="AM2179" i="3"/>
  <c r="AH2179" i="3" s="1"/>
  <c r="AO2179" i="3"/>
  <c r="AI2179" i="3"/>
  <c r="C2178" i="3" s="1"/>
  <c r="C9" i="13" s="1"/>
  <c r="AM2178" i="3"/>
  <c r="AH2178" i="3" s="1"/>
  <c r="AO2178" i="3"/>
  <c r="AI2178" i="3"/>
  <c r="C2177" i="3" s="1"/>
  <c r="C8" i="13" s="1"/>
  <c r="AM2177" i="3"/>
  <c r="AH2177" i="3" s="1"/>
  <c r="AI2177" i="3"/>
  <c r="C2176" i="3" s="1"/>
  <c r="C7" i="13" s="1"/>
  <c r="AM2176" i="3"/>
  <c r="AH2176" i="3" s="1"/>
  <c r="AL2176" i="3" s="1"/>
  <c r="AI2176" i="3"/>
  <c r="C2175" i="3" s="1"/>
  <c r="C6" i="13" s="1"/>
  <c r="AM2175" i="3"/>
  <c r="AH2175" i="3" s="1"/>
  <c r="B2174" i="3" s="1"/>
  <c r="B5" i="13" s="1"/>
  <c r="AI2175" i="3"/>
  <c r="C2174" i="3" s="1"/>
  <c r="C5" i="13" s="1"/>
  <c r="BJ733" i="10" l="1"/>
  <c r="E733" i="10" s="1"/>
  <c r="BH738" i="10"/>
  <c r="AG2212" i="10"/>
  <c r="A2211" i="10" s="1"/>
  <c r="AB747" i="10"/>
  <c r="A757" i="10"/>
  <c r="BI733" i="10"/>
  <c r="E732" i="10" s="1"/>
  <c r="AK2209" i="10" s="1"/>
  <c r="E2208" i="10" s="1"/>
  <c r="BG738" i="10"/>
  <c r="BF2854" i="10"/>
  <c r="A2855" i="10"/>
  <c r="AF2925" i="3"/>
  <c r="AF2913" i="3" s="1"/>
  <c r="AN1881" i="3" s="1"/>
  <c r="AO2926" i="3"/>
  <c r="BP503" i="3"/>
  <c r="BD504" i="3"/>
  <c r="AQ2989" i="3"/>
  <c r="AQ2990" i="3" s="1"/>
  <c r="AO2251" i="3"/>
  <c r="AK2246" i="3" s="1"/>
  <c r="AS2089" i="3"/>
  <c r="BK1938" i="3"/>
  <c r="BG1938" i="3"/>
  <c r="BI1938" i="3"/>
  <c r="AB520" i="3"/>
  <c r="AN1890" i="3"/>
  <c r="BZ1889" i="3"/>
  <c r="BG521" i="3"/>
  <c r="BJ521" i="3" s="1"/>
  <c r="BG556" i="3"/>
  <c r="AB556" i="3"/>
  <c r="AQ222" i="3"/>
  <c r="F2943" i="3"/>
  <c r="F2944" i="3" s="1"/>
  <c r="AO337" i="3"/>
  <c r="AN1889" i="3"/>
  <c r="AK226" i="3"/>
  <c r="AM226" i="3" s="1"/>
  <c r="AA243" i="3"/>
  <c r="AA246" i="3" s="1"/>
  <c r="E2764" i="3"/>
  <c r="E2765" i="3" s="1"/>
  <c r="E2766" i="3" s="1"/>
  <c r="E2767" i="3" s="1"/>
  <c r="E2768" i="3" s="1"/>
  <c r="E2769" i="3" s="1"/>
  <c r="AK231" i="3"/>
  <c r="AM231" i="3" s="1"/>
  <c r="AK227" i="3"/>
  <c r="AM227" i="3" s="1"/>
  <c r="AO343" i="3"/>
  <c r="C60" i="3"/>
  <c r="AM1889" i="3"/>
  <c r="AM234" i="3"/>
  <c r="D2988" i="3"/>
  <c r="AC355" i="3" s="1"/>
  <c r="A2801" i="3"/>
  <c r="C258" i="3" s="1"/>
  <c r="AJ2206" i="3"/>
  <c r="D2205" i="3" s="1"/>
  <c r="D36" i="13" s="1"/>
  <c r="AJ2176" i="3"/>
  <c r="D2175" i="3" s="1"/>
  <c r="D6" i="13" s="1"/>
  <c r="AJ2198" i="3"/>
  <c r="D2197" i="3" s="1"/>
  <c r="D28" i="13" s="1"/>
  <c r="AJ2202" i="3"/>
  <c r="D2201" i="3" s="1"/>
  <c r="D32" i="13" s="1"/>
  <c r="AJ2210" i="3"/>
  <c r="D2209" i="3" s="1"/>
  <c r="D40" i="13" s="1"/>
  <c r="AJ2214" i="3"/>
  <c r="D2213" i="3" s="1"/>
  <c r="D44" i="13" s="1"/>
  <c r="B2179" i="3"/>
  <c r="B10" i="13" s="1"/>
  <c r="AL2180" i="3"/>
  <c r="AJ2180" i="3" s="1"/>
  <c r="D2179" i="3" s="1"/>
  <c r="D10" i="13" s="1"/>
  <c r="B2183" i="3"/>
  <c r="B14" i="13" s="1"/>
  <c r="AL2184" i="3"/>
  <c r="AJ2184" i="3" s="1"/>
  <c r="D2183" i="3" s="1"/>
  <c r="D14" i="13" s="1"/>
  <c r="B2187" i="3"/>
  <c r="B18" i="13" s="1"/>
  <c r="AL2188" i="3"/>
  <c r="AJ2188" i="3" s="1"/>
  <c r="D2187" i="3" s="1"/>
  <c r="D18" i="13" s="1"/>
  <c r="B2191" i="3"/>
  <c r="B22" i="13" s="1"/>
  <c r="AL2192" i="3"/>
  <c r="AJ2192" i="3" s="1"/>
  <c r="D2191" i="3" s="1"/>
  <c r="D22" i="13" s="1"/>
  <c r="B2195" i="3"/>
  <c r="B26" i="13" s="1"/>
  <c r="AL2196" i="3"/>
  <c r="AJ2196" i="3" s="1"/>
  <c r="D2195" i="3" s="1"/>
  <c r="D26" i="13" s="1"/>
  <c r="B2199" i="3"/>
  <c r="B30" i="13" s="1"/>
  <c r="AL2200" i="3"/>
  <c r="AJ2200" i="3" s="1"/>
  <c r="D2199" i="3" s="1"/>
  <c r="D30" i="13" s="1"/>
  <c r="B2203" i="3"/>
  <c r="B34" i="13" s="1"/>
  <c r="AL2204" i="3"/>
  <c r="AJ2204" i="3" s="1"/>
  <c r="D2203" i="3" s="1"/>
  <c r="D34" i="13" s="1"/>
  <c r="B2207" i="3"/>
  <c r="B38" i="13" s="1"/>
  <c r="AL2208" i="3"/>
  <c r="AJ2208" i="3" s="1"/>
  <c r="D2207" i="3" s="1"/>
  <c r="D38" i="13" s="1"/>
  <c r="B2211" i="3"/>
  <c r="B42" i="13" s="1"/>
  <c r="AL2212" i="3"/>
  <c r="AJ2212" i="3" s="1"/>
  <c r="D2211" i="3" s="1"/>
  <c r="D42" i="13" s="1"/>
  <c r="B2215" i="3"/>
  <c r="B46" i="13" s="1"/>
  <c r="AL2216" i="3"/>
  <c r="AJ2216" i="3" s="1"/>
  <c r="D2215" i="3" s="1"/>
  <c r="D46" i="13" s="1"/>
  <c r="B2197" i="3"/>
  <c r="B28" i="13" s="1"/>
  <c r="AL2175" i="3"/>
  <c r="AJ2175" i="3" s="1"/>
  <c r="D2174" i="3" s="1"/>
  <c r="D5" i="13" s="1"/>
  <c r="B2214" i="3"/>
  <c r="B45" i="13" s="1"/>
  <c r="AL2215" i="3"/>
  <c r="AJ2215" i="3" s="1"/>
  <c r="D2214" i="3" s="1"/>
  <c r="D45" i="13" s="1"/>
  <c r="AL2217" i="3"/>
  <c r="AJ2217" i="3" s="1"/>
  <c r="D2216" i="3" s="1"/>
  <c r="D47" i="13" s="1"/>
  <c r="B2216" i="3"/>
  <c r="B47" i="13" s="1"/>
  <c r="AL2178" i="3"/>
  <c r="AJ2178" i="3" s="1"/>
  <c r="D2177" i="3" s="1"/>
  <c r="D8" i="13" s="1"/>
  <c r="B2177" i="3"/>
  <c r="B8" i="13" s="1"/>
  <c r="AL2182" i="3"/>
  <c r="AJ2182" i="3" s="1"/>
  <c r="D2181" i="3" s="1"/>
  <c r="D12" i="13" s="1"/>
  <c r="B2181" i="3"/>
  <c r="B12" i="13" s="1"/>
  <c r="AL2186" i="3"/>
  <c r="AJ2186" i="3" s="1"/>
  <c r="D2185" i="3" s="1"/>
  <c r="D16" i="13" s="1"/>
  <c r="B2185" i="3"/>
  <c r="B16" i="13" s="1"/>
  <c r="AL2190" i="3"/>
  <c r="AJ2190" i="3" s="1"/>
  <c r="D2189" i="3" s="1"/>
  <c r="D20" i="13" s="1"/>
  <c r="B2189" i="3"/>
  <c r="B20" i="13" s="1"/>
  <c r="AL2194" i="3"/>
  <c r="AJ2194" i="3" s="1"/>
  <c r="D2193" i="3" s="1"/>
  <c r="D24" i="13" s="1"/>
  <c r="B2193" i="3"/>
  <c r="B24" i="13" s="1"/>
  <c r="AL2177" i="3"/>
  <c r="AJ2177" i="3" s="1"/>
  <c r="D2176" i="3" s="1"/>
  <c r="D7" i="13" s="1"/>
  <c r="B2176" i="3"/>
  <c r="B7" i="13" s="1"/>
  <c r="B2210" i="3"/>
  <c r="B41" i="13" s="1"/>
  <c r="AL2211" i="3"/>
  <c r="AJ2211" i="3" s="1"/>
  <c r="D2210" i="3" s="1"/>
  <c r="D41" i="13" s="1"/>
  <c r="B2202" i="3"/>
  <c r="B33" i="13" s="1"/>
  <c r="AL2203" i="3"/>
  <c r="AJ2203" i="3" s="1"/>
  <c r="D2202" i="3" s="1"/>
  <c r="D33" i="13" s="1"/>
  <c r="B2194" i="3"/>
  <c r="B25" i="13" s="1"/>
  <c r="AL2195" i="3"/>
  <c r="AJ2195" i="3" s="1"/>
  <c r="D2194" i="3" s="1"/>
  <c r="D25" i="13" s="1"/>
  <c r="B2186" i="3"/>
  <c r="B17" i="13" s="1"/>
  <c r="AL2187" i="3"/>
  <c r="AJ2187" i="3" s="1"/>
  <c r="D2186" i="3" s="1"/>
  <c r="D17" i="13" s="1"/>
  <c r="B2178" i="3"/>
  <c r="B9" i="13" s="1"/>
  <c r="AL2179" i="3"/>
  <c r="AJ2179" i="3" s="1"/>
  <c r="D2178" i="3" s="1"/>
  <c r="D9" i="13" s="1"/>
  <c r="B2213" i="3"/>
  <c r="B44" i="13" s="1"/>
  <c r="B2205" i="3"/>
  <c r="B36" i="13" s="1"/>
  <c r="AL2181" i="3"/>
  <c r="AJ2181" i="3" s="1"/>
  <c r="D2180" i="3" s="1"/>
  <c r="D11" i="13" s="1"/>
  <c r="B2180" i="3"/>
  <c r="B11" i="13" s="1"/>
  <c r="AL2185" i="3"/>
  <c r="AJ2185" i="3" s="1"/>
  <c r="D2184" i="3" s="1"/>
  <c r="D15" i="13" s="1"/>
  <c r="B2184" i="3"/>
  <c r="B15" i="13" s="1"/>
  <c r="AL2189" i="3"/>
  <c r="AJ2189" i="3" s="1"/>
  <c r="D2188" i="3" s="1"/>
  <c r="D19" i="13" s="1"/>
  <c r="B2188" i="3"/>
  <c r="B19" i="13" s="1"/>
  <c r="AL2193" i="3"/>
  <c r="AJ2193" i="3" s="1"/>
  <c r="D2192" i="3" s="1"/>
  <c r="D23" i="13" s="1"/>
  <c r="B2192" i="3"/>
  <c r="B23" i="13" s="1"/>
  <c r="AL2197" i="3"/>
  <c r="AJ2197" i="3" s="1"/>
  <c r="D2196" i="3" s="1"/>
  <c r="D27" i="13" s="1"/>
  <c r="B2196" i="3"/>
  <c r="B27" i="13" s="1"/>
  <c r="AL2201" i="3"/>
  <c r="AJ2201" i="3" s="1"/>
  <c r="D2200" i="3" s="1"/>
  <c r="D31" i="13" s="1"/>
  <c r="B2200" i="3"/>
  <c r="B31" i="13" s="1"/>
  <c r="AL2205" i="3"/>
  <c r="AJ2205" i="3" s="1"/>
  <c r="D2204" i="3" s="1"/>
  <c r="D35" i="13" s="1"/>
  <c r="B2204" i="3"/>
  <c r="B35" i="13" s="1"/>
  <c r="AL2209" i="3"/>
  <c r="AJ2209" i="3" s="1"/>
  <c r="D2208" i="3" s="1"/>
  <c r="D39" i="13" s="1"/>
  <c r="B2208" i="3"/>
  <c r="B39" i="13" s="1"/>
  <c r="AL2213" i="3"/>
  <c r="AJ2213" i="3" s="1"/>
  <c r="D2212" i="3" s="1"/>
  <c r="D43" i="13" s="1"/>
  <c r="B2212" i="3"/>
  <c r="B43" i="13" s="1"/>
  <c r="B2206" i="3"/>
  <c r="B37" i="13" s="1"/>
  <c r="AL2207" i="3"/>
  <c r="AJ2207" i="3" s="1"/>
  <c r="D2206" i="3" s="1"/>
  <c r="D37" i="13" s="1"/>
  <c r="B2198" i="3"/>
  <c r="B29" i="13" s="1"/>
  <c r="AL2199" i="3"/>
  <c r="AJ2199" i="3" s="1"/>
  <c r="D2198" i="3" s="1"/>
  <c r="D29" i="13" s="1"/>
  <c r="B2190" i="3"/>
  <c r="B21" i="13" s="1"/>
  <c r="AL2191" i="3"/>
  <c r="AJ2191" i="3" s="1"/>
  <c r="D2190" i="3" s="1"/>
  <c r="D21" i="13" s="1"/>
  <c r="B2182" i="3"/>
  <c r="B13" i="13" s="1"/>
  <c r="AL2183" i="3"/>
  <c r="AJ2183" i="3" s="1"/>
  <c r="D2182" i="3" s="1"/>
  <c r="D13" i="13" s="1"/>
  <c r="B2209" i="3"/>
  <c r="B40" i="13" s="1"/>
  <c r="B2201" i="3"/>
  <c r="B32" i="13" s="1"/>
  <c r="B2175" i="3"/>
  <c r="B6" i="13" s="1"/>
  <c r="B491" i="3"/>
  <c r="B481" i="3"/>
  <c r="B471" i="3"/>
  <c r="B461" i="3"/>
  <c r="B451" i="3"/>
  <c r="B441" i="3"/>
  <c r="B431" i="3"/>
  <c r="B421" i="3"/>
  <c r="B411" i="3"/>
  <c r="B401" i="3"/>
  <c r="BD1768" i="3"/>
  <c r="AL1770" i="3"/>
  <c r="AX2034" i="3" s="1"/>
  <c r="AE2128" i="3" s="1"/>
  <c r="AE2225" i="3" s="1"/>
  <c r="AL1768" i="3"/>
  <c r="ED3216" i="3"/>
  <c r="EE3216" i="3" s="1"/>
  <c r="EF3215" i="3" s="1"/>
  <c r="EG3218" i="3" s="1"/>
  <c r="EH3217" i="3" s="1"/>
  <c r="EI3217" i="3" s="1"/>
  <c r="EJ3216" i="3" s="1"/>
  <c r="EK3216" i="3" s="1"/>
  <c r="EL3217" i="3" s="1"/>
  <c r="EM3216" i="3" s="1"/>
  <c r="EN3216" i="3" s="1"/>
  <c r="EO3216" i="3" s="1"/>
  <c r="EP3218" i="3" s="1"/>
  <c r="EQ3216" i="3" s="1"/>
  <c r="ER3217" i="3" s="1"/>
  <c r="ES3216" i="3" s="1"/>
  <c r="ET3216" i="3" s="1"/>
  <c r="EU3216" i="3" s="1"/>
  <c r="EV3216" i="3" s="1"/>
  <c r="EW3217" i="3" s="1"/>
  <c r="EX3219" i="3" s="1"/>
  <c r="EY3216" i="3" s="1"/>
  <c r="EZ3216" i="3" s="1"/>
  <c r="FA3217" i="3" s="1"/>
  <c r="FB3216" i="3" s="1"/>
  <c r="FC3216" i="3" s="1"/>
  <c r="FD3217" i="3" s="1"/>
  <c r="FE3216" i="3" s="1"/>
  <c r="FF3216" i="3" s="1"/>
  <c r="FG3216" i="3" s="1"/>
  <c r="FH3216" i="3" s="1"/>
  <c r="FI3219" i="3" s="1"/>
  <c r="FJ3218" i="3" s="1"/>
  <c r="FK3217" i="3" s="1"/>
  <c r="FL3216" i="3" s="1"/>
  <c r="FM3216" i="3" s="1"/>
  <c r="FN3216" i="3" s="1"/>
  <c r="FO3216" i="3" s="1"/>
  <c r="FP3217" i="3" s="1"/>
  <c r="FQ3216" i="3" s="1"/>
  <c r="FR3217" i="3" s="1"/>
  <c r="FS3216" i="3" s="1"/>
  <c r="FT3219" i="3" s="1"/>
  <c r="FU3216" i="3" s="1"/>
  <c r="FV3216" i="3" s="1"/>
  <c r="FW3217" i="3" s="1"/>
  <c r="FX3215" i="3" s="1"/>
  <c r="FY3216" i="3" s="1"/>
  <c r="FZ3215" i="3" s="1"/>
  <c r="GA3216" i="3" s="1"/>
  <c r="GB3215" i="3" s="1"/>
  <c r="ED3214" i="3"/>
  <c r="EF3214" i="3"/>
  <c r="EH3214" i="3"/>
  <c r="EI3214" i="3"/>
  <c r="EJ3214" i="3"/>
  <c r="EK3214" i="3"/>
  <c r="EL3214" i="3"/>
  <c r="EM3214" i="3"/>
  <c r="EN3214" i="3"/>
  <c r="EO3214" i="3"/>
  <c r="EQ3214" i="3"/>
  <c r="ER3214" i="3"/>
  <c r="ES3214" i="3"/>
  <c r="ET3214" i="3"/>
  <c r="EU3214" i="3"/>
  <c r="EV3214" i="3"/>
  <c r="EW3214" i="3"/>
  <c r="EX3214" i="3"/>
  <c r="EZ3214" i="3"/>
  <c r="FA3214" i="3"/>
  <c r="FB3214" i="3"/>
  <c r="FC3214" i="3"/>
  <c r="FD3214" i="3"/>
  <c r="FE3214" i="3"/>
  <c r="FF3214" i="3"/>
  <c r="FG3214" i="3"/>
  <c r="FH3214" i="3"/>
  <c r="FI3214" i="3"/>
  <c r="FJ3214" i="3"/>
  <c r="FK3214" i="3"/>
  <c r="FM3214" i="3"/>
  <c r="FN3214" i="3"/>
  <c r="FO3214" i="3"/>
  <c r="FP3214" i="3"/>
  <c r="FQ3214" i="3"/>
  <c r="FR3214" i="3"/>
  <c r="FS3214" i="3"/>
  <c r="FT3214" i="3"/>
  <c r="FU3214" i="3"/>
  <c r="FV3214" i="3"/>
  <c r="FW3214" i="3"/>
  <c r="FY3214" i="3"/>
  <c r="GA3214" i="3"/>
  <c r="GB3214" i="3"/>
  <c r="EC3214" i="3"/>
  <c r="EK3213" i="3"/>
  <c r="GB3213" i="3"/>
  <c r="BF2855" i="10" l="1"/>
  <c r="BL2855" i="10" s="1"/>
  <c r="A2856" i="10"/>
  <c r="AG2213" i="10"/>
  <c r="A2212" i="10" s="1"/>
  <c r="AB757" i="10"/>
  <c r="A762" i="10"/>
  <c r="BJ738" i="10"/>
  <c r="E738" i="10" s="1"/>
  <c r="BH743" i="10"/>
  <c r="BI738" i="10"/>
  <c r="E737" i="10" s="1"/>
  <c r="AK2210" i="10" s="1"/>
  <c r="E2209" i="10" s="1"/>
  <c r="BG743" i="10"/>
  <c r="BL2854" i="10"/>
  <c r="AO2927" i="3"/>
  <c r="AF2926" i="3"/>
  <c r="AV2989" i="3"/>
  <c r="AF1913" i="3"/>
  <c r="AF1905" i="3"/>
  <c r="AF1912" i="3"/>
  <c r="AF1906" i="3"/>
  <c r="BK1906" i="3"/>
  <c r="AV2990" i="3"/>
  <c r="BF504" i="3" s="1"/>
  <c r="BP504" i="3" s="1"/>
  <c r="AL2235" i="3" s="1"/>
  <c r="AQ2991" i="3"/>
  <c r="BK1942" i="3"/>
  <c r="BG1942" i="3"/>
  <c r="BI1942" i="3"/>
  <c r="BI1941" i="3"/>
  <c r="BK1941" i="3"/>
  <c r="BG1941" i="3"/>
  <c r="BI1944" i="3"/>
  <c r="BK1944" i="3"/>
  <c r="BG1944" i="3"/>
  <c r="BI1940" i="3"/>
  <c r="BK1940" i="3"/>
  <c r="BG1940" i="3"/>
  <c r="BG1943" i="3"/>
  <c r="BK1943" i="3"/>
  <c r="BI1943" i="3"/>
  <c r="BK1939" i="3"/>
  <c r="BG1939" i="3"/>
  <c r="BI1939" i="3"/>
  <c r="BL521" i="3"/>
  <c r="BL556" i="3"/>
  <c r="BJ556" i="3"/>
  <c r="AB555" i="3"/>
  <c r="AM225" i="3"/>
  <c r="AK225" i="3"/>
  <c r="AA248" i="3"/>
  <c r="AQ1992" i="3"/>
  <c r="A2857" i="10" l="1"/>
  <c r="BF2856" i="10"/>
  <c r="BJ743" i="10"/>
  <c r="E743" i="10" s="1"/>
  <c r="BH751" i="10"/>
  <c r="BI743" i="10"/>
  <c r="E742" i="10" s="1"/>
  <c r="AK2211" i="10" s="1"/>
  <c r="E2210" i="10" s="1"/>
  <c r="BG751" i="10"/>
  <c r="AG2214" i="10"/>
  <c r="A2213" i="10" s="1"/>
  <c r="A767" i="10"/>
  <c r="AB762" i="10"/>
  <c r="AO2928" i="3"/>
  <c r="AF2927" i="3"/>
  <c r="AO225" i="3"/>
  <c r="AQ225" i="3" s="1"/>
  <c r="AQ243" i="3" s="1"/>
  <c r="AQ246" i="3" s="1"/>
  <c r="AQ250" i="3" s="1"/>
  <c r="AQ256" i="3" s="1"/>
  <c r="AV2991" i="3"/>
  <c r="AQ2992" i="3"/>
  <c r="AA250" i="3"/>
  <c r="B338" i="3"/>
  <c r="B2957" i="3" s="1"/>
  <c r="AG2215" i="10" l="1"/>
  <c r="A2214" i="10" s="1"/>
  <c r="A772" i="10"/>
  <c r="AB767" i="10"/>
  <c r="BJ751" i="10"/>
  <c r="E751" i="10" s="1"/>
  <c r="BH761" i="10"/>
  <c r="BI751" i="10"/>
  <c r="E750" i="10" s="1"/>
  <c r="AK2212" i="10" s="1"/>
  <c r="E2211" i="10" s="1"/>
  <c r="BG761" i="10"/>
  <c r="BL2856" i="10"/>
  <c r="A2858" i="10"/>
  <c r="BF2857" i="10"/>
  <c r="BL2857" i="10" s="1"/>
  <c r="AF2928" i="3"/>
  <c r="AO2929" i="3"/>
  <c r="AQ2993" i="3"/>
  <c r="AV2992" i="3"/>
  <c r="AA256" i="3"/>
  <c r="BG1908" i="3"/>
  <c r="C1940" i="3"/>
  <c r="AI1938" i="3"/>
  <c r="AI1939" i="3" s="1"/>
  <c r="AI1940" i="3" s="1"/>
  <c r="AI1942" i="3" s="1"/>
  <c r="BI761" i="10" l="1"/>
  <c r="E760" i="10" s="1"/>
  <c r="AK2213" i="10" s="1"/>
  <c r="E2212" i="10" s="1"/>
  <c r="BG766" i="10"/>
  <c r="BF2858" i="10"/>
  <c r="A2859" i="10"/>
  <c r="AG2216" i="10"/>
  <c r="A2215" i="10" s="1"/>
  <c r="A777" i="10"/>
  <c r="AB772" i="10"/>
  <c r="BJ761" i="10"/>
  <c r="E761" i="10" s="1"/>
  <c r="BH766" i="10"/>
  <c r="AO2930" i="3"/>
  <c r="AF2929" i="3"/>
  <c r="AV2993" i="3"/>
  <c r="AQ2994" i="3"/>
  <c r="AA259" i="3"/>
  <c r="AI1941" i="3"/>
  <c r="AF1983" i="3"/>
  <c r="AQ1983" i="3" s="1"/>
  <c r="AV1845" i="3"/>
  <c r="AV2122" i="3" s="1"/>
  <c r="AT1845" i="3"/>
  <c r="AT2122" i="3" s="1"/>
  <c r="AR1845" i="3"/>
  <c r="AR2122" i="3" s="1"/>
  <c r="AP1845" i="3"/>
  <c r="AP2122" i="3" s="1"/>
  <c r="AO1812" i="3"/>
  <c r="AQ1812" i="3"/>
  <c r="AS1812" i="3"/>
  <c r="AU1812" i="3"/>
  <c r="AO1813" i="3"/>
  <c r="AQ1813" i="3"/>
  <c r="AS1813" i="3"/>
  <c r="AU1813" i="3"/>
  <c r="AO1814" i="3"/>
  <c r="AQ1814" i="3"/>
  <c r="AS1814" i="3"/>
  <c r="AU1814" i="3"/>
  <c r="AO1815" i="3"/>
  <c r="AQ1815" i="3"/>
  <c r="AS1815" i="3"/>
  <c r="AU1815" i="3"/>
  <c r="AO1816" i="3"/>
  <c r="AQ1816" i="3"/>
  <c r="AS1816" i="3"/>
  <c r="AU1816" i="3"/>
  <c r="AO1817" i="3"/>
  <c r="AQ1817" i="3"/>
  <c r="AS1817" i="3"/>
  <c r="AU1817" i="3"/>
  <c r="AO1818" i="3"/>
  <c r="AQ1818" i="3"/>
  <c r="AS1818" i="3"/>
  <c r="AU1818" i="3"/>
  <c r="AO1819" i="3"/>
  <c r="AQ1819" i="3"/>
  <c r="AS1819" i="3"/>
  <c r="AU1819" i="3"/>
  <c r="AO1820" i="3"/>
  <c r="AQ1820" i="3"/>
  <c r="AS1820" i="3"/>
  <c r="AU1820" i="3"/>
  <c r="AO1821" i="3"/>
  <c r="AQ1821" i="3"/>
  <c r="AS1821" i="3"/>
  <c r="AU1821" i="3"/>
  <c r="AO1822" i="3"/>
  <c r="AQ1822" i="3"/>
  <c r="AS1822" i="3"/>
  <c r="AU1822" i="3"/>
  <c r="AO1823" i="3"/>
  <c r="AQ1823" i="3"/>
  <c r="AS1823" i="3"/>
  <c r="AU1823" i="3"/>
  <c r="AO1824" i="3"/>
  <c r="AQ1824" i="3"/>
  <c r="AS1824" i="3"/>
  <c r="AU1824" i="3"/>
  <c r="AO1825" i="3"/>
  <c r="AQ1825" i="3"/>
  <c r="AS1825" i="3"/>
  <c r="AU1825" i="3"/>
  <c r="AO1826" i="3"/>
  <c r="AQ1826" i="3"/>
  <c r="AS1826" i="3"/>
  <c r="AU1826" i="3"/>
  <c r="AO1827" i="3"/>
  <c r="AQ1827" i="3"/>
  <c r="AS1827" i="3"/>
  <c r="AU1827" i="3"/>
  <c r="AO1828" i="3"/>
  <c r="AQ1828" i="3"/>
  <c r="AS1828" i="3"/>
  <c r="AU1828" i="3"/>
  <c r="AO1829" i="3"/>
  <c r="AQ1829" i="3"/>
  <c r="AS1829" i="3"/>
  <c r="AU1829" i="3"/>
  <c r="AO1830" i="3"/>
  <c r="AQ1830" i="3"/>
  <c r="AS1830" i="3"/>
  <c r="AU1830" i="3"/>
  <c r="AO1831" i="3"/>
  <c r="AQ1831" i="3"/>
  <c r="AS1831" i="3"/>
  <c r="AU1831" i="3"/>
  <c r="AO1832" i="3"/>
  <c r="AQ1832" i="3"/>
  <c r="AS1832" i="3"/>
  <c r="AU1832" i="3"/>
  <c r="AO1833" i="3"/>
  <c r="AQ1833" i="3"/>
  <c r="AS1833" i="3"/>
  <c r="AU1833" i="3"/>
  <c r="AO1834" i="3"/>
  <c r="AQ1834" i="3"/>
  <c r="AS1834" i="3"/>
  <c r="AU1834" i="3"/>
  <c r="AO1835" i="3"/>
  <c r="AQ1835" i="3"/>
  <c r="AS1835" i="3"/>
  <c r="AU1835" i="3"/>
  <c r="AO1836" i="3"/>
  <c r="AQ1836" i="3"/>
  <c r="AS1836" i="3"/>
  <c r="AU1836" i="3"/>
  <c r="AO1837" i="3"/>
  <c r="AQ1837" i="3"/>
  <c r="AS1837" i="3"/>
  <c r="AU1837" i="3"/>
  <c r="AO1838" i="3"/>
  <c r="AQ1838" i="3"/>
  <c r="AS1838" i="3"/>
  <c r="AU1838" i="3"/>
  <c r="AO1839" i="3"/>
  <c r="AQ1839" i="3"/>
  <c r="AS1839" i="3"/>
  <c r="AU1839" i="3"/>
  <c r="AO1840" i="3"/>
  <c r="AQ1840" i="3"/>
  <c r="AS1840" i="3"/>
  <c r="AU1840" i="3"/>
  <c r="AO1841" i="3"/>
  <c r="AQ1841" i="3"/>
  <c r="AS1841" i="3"/>
  <c r="AU1841" i="3"/>
  <c r="AO1842" i="3"/>
  <c r="AQ1842" i="3"/>
  <c r="AS1842" i="3"/>
  <c r="AU1842" i="3"/>
  <c r="AO1843" i="3"/>
  <c r="AQ1843" i="3"/>
  <c r="AS1843" i="3"/>
  <c r="AU1843" i="3"/>
  <c r="AO1844" i="3"/>
  <c r="AQ1844" i="3"/>
  <c r="AS1844" i="3"/>
  <c r="AU1844" i="3"/>
  <c r="AQ1806" i="3"/>
  <c r="AS1806" i="3"/>
  <c r="AU1806" i="3"/>
  <c r="AQ1807" i="3"/>
  <c r="AS1807" i="3"/>
  <c r="AU1807" i="3"/>
  <c r="AQ1808" i="3"/>
  <c r="AS1808" i="3"/>
  <c r="AU1808" i="3"/>
  <c r="AQ1809" i="3"/>
  <c r="AS1809" i="3"/>
  <c r="AU1809" i="3"/>
  <c r="AQ1810" i="3"/>
  <c r="AS1810" i="3"/>
  <c r="AU1810" i="3"/>
  <c r="AQ1811" i="3"/>
  <c r="AS1811" i="3"/>
  <c r="AU1811" i="3"/>
  <c r="AU1805" i="3"/>
  <c r="AS1805" i="3"/>
  <c r="AQ1805" i="3"/>
  <c r="AO1806" i="3"/>
  <c r="AO1807" i="3"/>
  <c r="AO1808" i="3"/>
  <c r="AO1809" i="3"/>
  <c r="AO1810" i="3"/>
  <c r="AO1811" i="3"/>
  <c r="AO1805" i="3"/>
  <c r="AR1889" i="3"/>
  <c r="AR1890" i="3"/>
  <c r="AQ1891" i="3"/>
  <c r="D1893" i="3" s="1"/>
  <c r="AF1807" i="3"/>
  <c r="AF1808" i="3"/>
  <c r="AF1809" i="3"/>
  <c r="AF1810" i="3"/>
  <c r="AF1811" i="3"/>
  <c r="AF1812" i="3"/>
  <c r="AF1813" i="3"/>
  <c r="AF1814" i="3"/>
  <c r="AF1815" i="3"/>
  <c r="AF1816" i="3"/>
  <c r="AF1817" i="3"/>
  <c r="AF1818" i="3"/>
  <c r="AF1819" i="3"/>
  <c r="AF1820" i="3"/>
  <c r="AF1821" i="3"/>
  <c r="AF1822" i="3"/>
  <c r="AF1823" i="3"/>
  <c r="AF1824" i="3"/>
  <c r="AF1825" i="3"/>
  <c r="AF1826" i="3"/>
  <c r="AF1827" i="3"/>
  <c r="AF1828" i="3"/>
  <c r="AF1829" i="3"/>
  <c r="AF1830" i="3"/>
  <c r="AF1831" i="3"/>
  <c r="AF1832" i="3"/>
  <c r="AF1833" i="3"/>
  <c r="AF1834" i="3"/>
  <c r="AF1835" i="3"/>
  <c r="AF1836" i="3"/>
  <c r="AF1837" i="3"/>
  <c r="AF1838" i="3"/>
  <c r="AF1839" i="3"/>
  <c r="AF1840" i="3"/>
  <c r="AF1841" i="3"/>
  <c r="AF1842" i="3"/>
  <c r="AF1843" i="3"/>
  <c r="AF1844" i="3"/>
  <c r="AF1805" i="3"/>
  <c r="AD1806" i="3"/>
  <c r="AE1806" i="3"/>
  <c r="AD1807" i="3"/>
  <c r="AE1807" i="3"/>
  <c r="AD1808" i="3"/>
  <c r="AE1808" i="3"/>
  <c r="AD1809" i="3"/>
  <c r="AE1809" i="3"/>
  <c r="AD1810" i="3"/>
  <c r="AE1810" i="3"/>
  <c r="AD1811" i="3"/>
  <c r="AE1811" i="3"/>
  <c r="AD1812" i="3"/>
  <c r="AE1812" i="3"/>
  <c r="AD1813" i="3"/>
  <c r="AE1813" i="3"/>
  <c r="AD1814" i="3"/>
  <c r="AE1814" i="3"/>
  <c r="AD1815" i="3"/>
  <c r="AE1815" i="3"/>
  <c r="AD1816" i="3"/>
  <c r="AE1816" i="3"/>
  <c r="AD1817" i="3"/>
  <c r="AE1817" i="3"/>
  <c r="AD1818" i="3"/>
  <c r="AE1818" i="3"/>
  <c r="AD1819" i="3"/>
  <c r="AE1819" i="3"/>
  <c r="AD1820" i="3"/>
  <c r="AE1820" i="3"/>
  <c r="AD1821" i="3"/>
  <c r="AE1821" i="3"/>
  <c r="AD1822" i="3"/>
  <c r="AE1822" i="3"/>
  <c r="AD1823" i="3"/>
  <c r="AE1823" i="3"/>
  <c r="AD1824" i="3"/>
  <c r="AE1824" i="3"/>
  <c r="AD1825" i="3"/>
  <c r="AE1825" i="3"/>
  <c r="AD1826" i="3"/>
  <c r="AE1826" i="3"/>
  <c r="AD1827" i="3"/>
  <c r="AE1827" i="3"/>
  <c r="AD1828" i="3"/>
  <c r="AE1828" i="3"/>
  <c r="AD1829" i="3"/>
  <c r="AE1829" i="3"/>
  <c r="AD1830" i="3"/>
  <c r="AE1830" i="3"/>
  <c r="AD1831" i="3"/>
  <c r="AE1831" i="3"/>
  <c r="AD1832" i="3"/>
  <c r="AE1832" i="3"/>
  <c r="AD1833" i="3"/>
  <c r="AE1833" i="3"/>
  <c r="AD1834" i="3"/>
  <c r="AE1834" i="3"/>
  <c r="AD1835" i="3"/>
  <c r="AE1835" i="3"/>
  <c r="AD1836" i="3"/>
  <c r="AE1836" i="3"/>
  <c r="AD1837" i="3"/>
  <c r="AE1837" i="3"/>
  <c r="AD1838" i="3"/>
  <c r="AE1838" i="3"/>
  <c r="AD1839" i="3"/>
  <c r="AE1839" i="3"/>
  <c r="AD1840" i="3"/>
  <c r="AE1840" i="3"/>
  <c r="AD1841" i="3"/>
  <c r="AE1841" i="3"/>
  <c r="AD1842" i="3"/>
  <c r="AE1842" i="3"/>
  <c r="AD1843" i="3"/>
  <c r="AE1843" i="3"/>
  <c r="AD1844" i="3"/>
  <c r="AE1844" i="3"/>
  <c r="AE1805" i="3"/>
  <c r="AD1805" i="3"/>
  <c r="AC1840" i="3"/>
  <c r="AC1841" i="3"/>
  <c r="AC1842" i="3"/>
  <c r="AC1843" i="3"/>
  <c r="AC1844" i="3"/>
  <c r="AC1806" i="3"/>
  <c r="AC1807" i="3"/>
  <c r="AC1808" i="3"/>
  <c r="AC1809" i="3"/>
  <c r="AC1810" i="3"/>
  <c r="AC1811" i="3"/>
  <c r="AC1812" i="3"/>
  <c r="AC1813" i="3"/>
  <c r="AC1814" i="3"/>
  <c r="AC1815" i="3"/>
  <c r="AC1816" i="3"/>
  <c r="AC1817" i="3"/>
  <c r="AC1818" i="3"/>
  <c r="AC1819" i="3"/>
  <c r="AC1820" i="3"/>
  <c r="AC1821" i="3"/>
  <c r="AC1822" i="3"/>
  <c r="AC1823" i="3"/>
  <c r="AC1824" i="3"/>
  <c r="AC1825" i="3"/>
  <c r="AC1826" i="3"/>
  <c r="AC1827" i="3"/>
  <c r="AC1828" i="3"/>
  <c r="AC1829" i="3"/>
  <c r="AC1830" i="3"/>
  <c r="AC1831" i="3"/>
  <c r="AC1832" i="3"/>
  <c r="AC1833" i="3"/>
  <c r="AC1834" i="3"/>
  <c r="AC1835" i="3"/>
  <c r="AC1836" i="3"/>
  <c r="AC1837" i="3"/>
  <c r="AC1838" i="3"/>
  <c r="AC1839" i="3"/>
  <c r="AC1805" i="3"/>
  <c r="C1172" i="3"/>
  <c r="BL2858" i="10" l="1"/>
  <c r="AG2217" i="10"/>
  <c r="A2216" i="10" s="1"/>
  <c r="A785" i="10"/>
  <c r="A789" i="10" s="1"/>
  <c r="A793" i="10" s="1"/>
  <c r="A797" i="10" s="1"/>
  <c r="A810" i="10" s="1"/>
  <c r="A831" i="10" s="1"/>
  <c r="AB777" i="10"/>
  <c r="BI766" i="10"/>
  <c r="E765" i="10" s="1"/>
  <c r="AK2214" i="10" s="1"/>
  <c r="E2213" i="10" s="1"/>
  <c r="BG771" i="10"/>
  <c r="BJ766" i="10"/>
  <c r="E766" i="10" s="1"/>
  <c r="BH771" i="10"/>
  <c r="BF2859" i="10"/>
  <c r="BL2859" i="10" s="1"/>
  <c r="A2860" i="10"/>
  <c r="AX1809" i="3"/>
  <c r="AX1844" i="3"/>
  <c r="AX1843" i="3"/>
  <c r="AX1842" i="3"/>
  <c r="AX1841" i="3"/>
  <c r="AX1840" i="3"/>
  <c r="AX1832" i="3"/>
  <c r="AX1831" i="3"/>
  <c r="AX1830" i="3"/>
  <c r="AX1829" i="3"/>
  <c r="AX1828" i="3"/>
  <c r="AX1827" i="3"/>
  <c r="AX1826" i="3"/>
  <c r="AX1825" i="3"/>
  <c r="AX1824" i="3"/>
  <c r="AX1823" i="3"/>
  <c r="AX1822" i="3"/>
  <c r="AX1821" i="3"/>
  <c r="AX1820" i="3"/>
  <c r="AX1819" i="3"/>
  <c r="AX1818" i="3"/>
  <c r="AX1817" i="3"/>
  <c r="AX1816" i="3"/>
  <c r="AX1815" i="3"/>
  <c r="AX1814" i="3"/>
  <c r="AX1813" i="3"/>
  <c r="AX1812" i="3"/>
  <c r="AX1805" i="3"/>
  <c r="AX1811" i="3"/>
  <c r="AX1807" i="3"/>
  <c r="AX1808" i="3"/>
  <c r="AX1810" i="3"/>
  <c r="AX1806" i="3"/>
  <c r="AO2933" i="3"/>
  <c r="AF2930" i="3"/>
  <c r="AX1838" i="3"/>
  <c r="AX1837" i="3"/>
  <c r="AX1836" i="3"/>
  <c r="AX1835" i="3"/>
  <c r="AX1834" i="3"/>
  <c r="AX1839" i="3"/>
  <c r="AX1833" i="3"/>
  <c r="AV2994" i="3"/>
  <c r="AQ2995" i="3"/>
  <c r="BV1889" i="3"/>
  <c r="BB1889" i="3"/>
  <c r="AQ259" i="3"/>
  <c r="AQ310" i="3" s="1"/>
  <c r="AQ314" i="3" s="1"/>
  <c r="AQ324" i="3" s="1"/>
  <c r="AA310" i="3"/>
  <c r="AS1845" i="3"/>
  <c r="AS2122" i="3" s="1"/>
  <c r="AH1816" i="3"/>
  <c r="AQ1845" i="3"/>
  <c r="AQ2122" i="3" s="1"/>
  <c r="AU1845" i="3"/>
  <c r="AU2122" i="3" s="1"/>
  <c r="AO1845" i="3"/>
  <c r="AO2122" i="3" s="1"/>
  <c r="AH1840" i="3"/>
  <c r="AH1808" i="3"/>
  <c r="AH1832" i="3"/>
  <c r="AH1824" i="3"/>
  <c r="AH1844" i="3"/>
  <c r="AH1836" i="3"/>
  <c r="AH1830" i="3"/>
  <c r="AH1826" i="3"/>
  <c r="AH1820" i="3"/>
  <c r="AH1812" i="3"/>
  <c r="AH1842" i="3"/>
  <c r="AH1838" i="3"/>
  <c r="AH1834" i="3"/>
  <c r="AH1828" i="3"/>
  <c r="AH1822" i="3"/>
  <c r="AH1818" i="3"/>
  <c r="AH1814" i="3"/>
  <c r="AH1810" i="3"/>
  <c r="AH1843" i="3"/>
  <c r="AH1841" i="3"/>
  <c r="AH1839" i="3"/>
  <c r="AH1837" i="3"/>
  <c r="AH1835" i="3"/>
  <c r="AH1833" i="3"/>
  <c r="AH1831" i="3"/>
  <c r="AH1829" i="3"/>
  <c r="AH1827" i="3"/>
  <c r="AH1825" i="3"/>
  <c r="AH1823" i="3"/>
  <c r="AH1821" i="3"/>
  <c r="AH1819" i="3"/>
  <c r="AH1817" i="3"/>
  <c r="AH1815" i="3"/>
  <c r="AH1813" i="3"/>
  <c r="AH1811" i="3"/>
  <c r="AH1809" i="3"/>
  <c r="AH1807" i="3"/>
  <c r="AH1806" i="3"/>
  <c r="AH1805" i="3"/>
  <c r="A3126" i="10" l="1"/>
  <c r="A858" i="10"/>
  <c r="A877" i="10" s="1"/>
  <c r="A2861" i="10"/>
  <c r="BF2860" i="10"/>
  <c r="BL2860" i="10" s="1"/>
  <c r="BI771" i="10"/>
  <c r="E770" i="10" s="1"/>
  <c r="AK2215" i="10" s="1"/>
  <c r="E2214" i="10" s="1"/>
  <c r="BG776" i="10"/>
  <c r="BJ771" i="10"/>
  <c r="E771" i="10" s="1"/>
  <c r="BH776" i="10"/>
  <c r="AO2936" i="3"/>
  <c r="AF2936" i="3" s="1"/>
  <c r="AF2933" i="3"/>
  <c r="AX1845" i="3"/>
  <c r="AF2257" i="3"/>
  <c r="AF2250" i="3"/>
  <c r="AF2232" i="3"/>
  <c r="AF2244" i="3"/>
  <c r="AF2238" i="3"/>
  <c r="AF2160" i="3"/>
  <c r="AF2153" i="3"/>
  <c r="AF2147" i="3"/>
  <c r="AF2141" i="3"/>
  <c r="AF2135" i="3"/>
  <c r="AF2100" i="3"/>
  <c r="AF2113" i="3"/>
  <c r="AF2094" i="3"/>
  <c r="AF2106" i="3"/>
  <c r="AF2066" i="3"/>
  <c r="AF2053" i="3"/>
  <c r="AF2047" i="3"/>
  <c r="AF2041" i="3"/>
  <c r="AF2059" i="3"/>
  <c r="AQ2996" i="3"/>
  <c r="AV2995" i="3"/>
  <c r="AV2988" i="3" s="1"/>
  <c r="AN1950" i="3" s="1"/>
  <c r="AD1890" i="3"/>
  <c r="BO1904" i="3" s="1"/>
  <c r="AA314" i="3"/>
  <c r="AD1889" i="3"/>
  <c r="D1891" i="3" s="1"/>
  <c r="A2862" i="10" l="1"/>
  <c r="BF2861" i="10"/>
  <c r="BI776" i="10"/>
  <c r="E775" i="10" s="1"/>
  <c r="AK2216" i="10" s="1"/>
  <c r="E2215" i="10" s="1"/>
  <c r="BG781" i="10"/>
  <c r="BI781" i="10" s="1"/>
  <c r="E780" i="10" s="1"/>
  <c r="A3171" i="10"/>
  <c r="A907" i="10"/>
  <c r="A911" i="10" s="1"/>
  <c r="A924" i="10" s="1"/>
  <c r="A928" i="10" s="1"/>
  <c r="BJ776" i="10"/>
  <c r="E776" i="10" s="1"/>
  <c r="BH781" i="10"/>
  <c r="BJ781" i="10" s="1"/>
  <c r="E781" i="10" s="1"/>
  <c r="AG2321" i="3"/>
  <c r="AD2321" i="3" s="1"/>
  <c r="B2320" i="3" s="1"/>
  <c r="BE44" i="3"/>
  <c r="BO1905" i="3"/>
  <c r="BL1905" i="3" s="1"/>
  <c r="BK1905" i="3" s="1"/>
  <c r="AQ2997" i="3"/>
  <c r="AV2996" i="3"/>
  <c r="BD501" i="3"/>
  <c r="BP501" i="3" s="1"/>
  <c r="AR1909" i="3" s="1"/>
  <c r="AL1916" i="3"/>
  <c r="AL1923" i="3" s="1"/>
  <c r="AA324" i="3"/>
  <c r="AT1897" i="3"/>
  <c r="AG1897" i="3" s="1"/>
  <c r="AD1897" i="3" s="1"/>
  <c r="AU1891" i="3"/>
  <c r="AU1892" i="3" s="1"/>
  <c r="AU1893" i="3" s="1"/>
  <c r="AU1894" i="3" s="1"/>
  <c r="AU1895" i="3" s="1"/>
  <c r="AU1896" i="3" s="1"/>
  <c r="AU1898" i="3" s="1"/>
  <c r="AU1899" i="3" s="1"/>
  <c r="AG1899" i="3" s="1"/>
  <c r="AD1899" i="3" s="1"/>
  <c r="AI1985" i="10" l="1"/>
  <c r="AH1985" i="10"/>
  <c r="B52" i="10"/>
  <c r="BL2861" i="10"/>
  <c r="AK2217" i="10"/>
  <c r="E2216" i="10" s="1"/>
  <c r="AI1984" i="10"/>
  <c r="AH1984" i="10"/>
  <c r="B51" i="10"/>
  <c r="BF2862" i="10"/>
  <c r="BL2862" i="10" s="1"/>
  <c r="A2863" i="10"/>
  <c r="AQ2998" i="3"/>
  <c r="AV2998" i="3" s="1"/>
  <c r="AV2997" i="3"/>
  <c r="AA325" i="3"/>
  <c r="AG1892" i="3"/>
  <c r="AD1892" i="3" s="1"/>
  <c r="AG1898" i="3"/>
  <c r="AG1891" i="3"/>
  <c r="AG1893" i="3"/>
  <c r="AD1893" i="3" s="1"/>
  <c r="AQ1985" i="10" l="1"/>
  <c r="AQ1984" i="10"/>
  <c r="AX1902" i="10"/>
  <c r="AU813" i="10"/>
  <c r="BG51" i="10"/>
  <c r="D51" i="10" s="1"/>
  <c r="AF51" i="10"/>
  <c r="AX51" i="10"/>
  <c r="AJ1937" i="10" s="1"/>
  <c r="AE51" i="10"/>
  <c r="AD51" i="10"/>
  <c r="AG51" i="10"/>
  <c r="AC51" i="10"/>
  <c r="BM2813" i="10"/>
  <c r="BF2863" i="10"/>
  <c r="BL2863" i="10" s="1"/>
  <c r="A2864" i="10"/>
  <c r="A2865" i="10" s="1"/>
  <c r="A2866" i="10" s="1"/>
  <c r="A2867" i="10" s="1"/>
  <c r="A2868" i="10" s="1"/>
  <c r="A2869" i="10" s="1"/>
  <c r="A2870" i="10" s="1"/>
  <c r="A2871" i="10" s="1"/>
  <c r="A2872" i="10" s="1"/>
  <c r="A2873" i="10" s="1"/>
  <c r="A2874" i="10" s="1"/>
  <c r="AN2236" i="10"/>
  <c r="AF2236" i="10" s="1"/>
  <c r="AV2245" i="10"/>
  <c r="AS2275" i="10"/>
  <c r="AH2275" i="10" s="1"/>
  <c r="B2278" i="10" s="1"/>
  <c r="AN2223" i="10"/>
  <c r="AI2223" i="10" s="1"/>
  <c r="AP2142" i="10"/>
  <c r="AF2142" i="10" s="1"/>
  <c r="AN2126" i="10"/>
  <c r="AI2126" i="10" s="1"/>
  <c r="AX2089" i="10"/>
  <c r="AF2089" i="10" s="1"/>
  <c r="AP2001" i="10"/>
  <c r="AF2001" i="10" s="1"/>
  <c r="AU1945" i="10"/>
  <c r="AG1945" i="10" s="1"/>
  <c r="AD1943" i="10" s="1"/>
  <c r="B1943" i="10" s="1"/>
  <c r="AM1851" i="10"/>
  <c r="BS1937" i="10"/>
  <c r="BR1937" i="10" s="1"/>
  <c r="BU1937" i="10" s="1"/>
  <c r="BO1936" i="10" s="1"/>
  <c r="C1941" i="10" s="1"/>
  <c r="AN1867" i="10"/>
  <c r="AG1867" i="10" s="1"/>
  <c r="C1866" i="10" s="1"/>
  <c r="AL2048" i="10"/>
  <c r="AF2048" i="10" s="1"/>
  <c r="BX44" i="10"/>
  <c r="BW44" i="10" s="1"/>
  <c r="BT44" i="10" s="1"/>
  <c r="AI46" i="10" s="1"/>
  <c r="D44" i="10" s="1"/>
  <c r="AU814" i="10"/>
  <c r="AX52" i="10"/>
  <c r="C51" i="10"/>
  <c r="C52" i="10"/>
  <c r="BG52" i="10"/>
  <c r="BG2813" i="10"/>
  <c r="AD1898" i="3"/>
  <c r="AD1891" i="3"/>
  <c r="AA326" i="3"/>
  <c r="AG1894" i="3"/>
  <c r="AD1894" i="3" s="1"/>
  <c r="AM2252" i="10" l="1"/>
  <c r="AF2252" i="10" s="1"/>
  <c r="AF2245" i="10"/>
  <c r="AT1994" i="10"/>
  <c r="AF2088" i="10" s="1"/>
  <c r="AC2152" i="10"/>
  <c r="B2149" i="10" s="1"/>
  <c r="AC2087" i="10"/>
  <c r="B2084" i="10" s="1"/>
  <c r="AC2134" i="10"/>
  <c r="B2131" i="10" s="1"/>
  <c r="AC2093" i="10"/>
  <c r="B2092" i="10" s="1"/>
  <c r="AC2005" i="10"/>
  <c r="B2003" i="10" s="1"/>
  <c r="AC2052" i="10"/>
  <c r="B2047" i="10" s="1"/>
  <c r="AC2040" i="10"/>
  <c r="B2037" i="10" s="1"/>
  <c r="AC1993" i="10"/>
  <c r="B1992" i="10" s="1"/>
  <c r="AC1999" i="10"/>
  <c r="B1998" i="10" s="1"/>
  <c r="AC2017" i="10"/>
  <c r="B2018" i="10" s="1"/>
  <c r="AC2058" i="10"/>
  <c r="B2052" i="10" s="1"/>
  <c r="AC2140" i="10"/>
  <c r="B2137" i="10" s="1"/>
  <c r="AC2011" i="10"/>
  <c r="B2010" i="10" s="1"/>
  <c r="AC2099" i="10"/>
  <c r="B2100" i="10" s="1"/>
  <c r="AC2046" i="10"/>
  <c r="B2042" i="10" s="1"/>
  <c r="AC2159" i="10"/>
  <c r="B2155" i="10" s="1"/>
  <c r="AC2065" i="10"/>
  <c r="B2057" i="10" s="1"/>
  <c r="AC2105" i="10"/>
  <c r="B2108" i="10" s="1"/>
  <c r="AC2146" i="10"/>
  <c r="B2143" i="10" s="1"/>
  <c r="AC2112" i="10"/>
  <c r="AI1852" i="10"/>
  <c r="AL1851" i="10"/>
  <c r="AG1851" i="10" s="1"/>
  <c r="C1851" i="10" s="1"/>
  <c r="AP1909" i="10"/>
  <c r="AG1909" i="10" s="1"/>
  <c r="AD1907" i="10" s="1"/>
  <c r="B1903" i="10" s="1"/>
  <c r="AZ1902" i="10"/>
  <c r="AG1902" i="10" s="1"/>
  <c r="AD1900" i="10" s="1"/>
  <c r="B1896" i="10" s="1"/>
  <c r="AK1852" i="10"/>
  <c r="BJ2249" i="10"/>
  <c r="AC2243" i="10"/>
  <c r="B2238" i="10" s="1"/>
  <c r="AC2237" i="10"/>
  <c r="B2233" i="10" s="1"/>
  <c r="AC2231" i="10"/>
  <c r="B2228" i="10" s="1"/>
  <c r="AC2256" i="10"/>
  <c r="B2248" i="10" s="1"/>
  <c r="AC2249" i="10"/>
  <c r="B2243" i="10" s="1"/>
  <c r="AJ1938" i="10"/>
  <c r="AD1937" i="10"/>
  <c r="BI275" i="10"/>
  <c r="AA327" i="3"/>
  <c r="AG1895" i="3"/>
  <c r="AF2232" i="10" l="1"/>
  <c r="AF2141" i="10"/>
  <c r="AF2135" i="10"/>
  <c r="AF2094" i="10"/>
  <c r="AF2059" i="10"/>
  <c r="AF2047" i="10"/>
  <c r="AF2041" i="10"/>
  <c r="AF2018" i="10"/>
  <c r="AF2257" i="10"/>
  <c r="AF2244" i="10"/>
  <c r="AF2238" i="10"/>
  <c r="AF2147" i="10"/>
  <c r="AF2113" i="10"/>
  <c r="AF2100" i="10"/>
  <c r="AF2066" i="10"/>
  <c r="AF2000" i="10"/>
  <c r="AF1994" i="10"/>
  <c r="AF2012" i="10"/>
  <c r="AF2250" i="10"/>
  <c r="AF2160" i="10"/>
  <c r="AF2153" i="10"/>
  <c r="AF2106" i="10"/>
  <c r="AF2053" i="10"/>
  <c r="AF2006" i="10"/>
  <c r="AJ1939" i="10"/>
  <c r="AD1938" i="10"/>
  <c r="AG1852" i="10"/>
  <c r="D1851" i="10" s="1"/>
  <c r="AD1895" i="3"/>
  <c r="AA328" i="3"/>
  <c r="AA337" i="3" s="1"/>
  <c r="AG1896" i="3"/>
  <c r="B1888" i="3" s="1"/>
  <c r="AJ1940" i="10" l="1"/>
  <c r="AD1939" i="10"/>
  <c r="AT1922" i="3"/>
  <c r="AG1922" i="3" s="1"/>
  <c r="AD1896" i="3"/>
  <c r="AT1908" i="3"/>
  <c r="AG1908" i="3" s="1"/>
  <c r="AT1915" i="3"/>
  <c r="AG1915" i="3" s="1"/>
  <c r="AT1901" i="3"/>
  <c r="AG1901" i="3" s="1"/>
  <c r="ED3272" i="3"/>
  <c r="EF3266" i="3"/>
  <c r="B1986" i="3"/>
  <c r="AJ1941" i="10" l="1"/>
  <c r="AD1940" i="10"/>
  <c r="EM3359" i="3"/>
  <c r="EL3359" i="3"/>
  <c r="EM3327" i="3"/>
  <c r="EM3330" i="3" s="1"/>
  <c r="EL3327" i="3"/>
  <c r="EL3330" i="3" s="1"/>
  <c r="EL3323" i="3"/>
  <c r="EM3320" i="3"/>
  <c r="EL3320" i="3"/>
  <c r="EM3319" i="3"/>
  <c r="EM3332" i="3" s="1"/>
  <c r="EL3319" i="3"/>
  <c r="EL3332" i="3" s="1"/>
  <c r="EM3316" i="3"/>
  <c r="EM3322" i="3" s="1"/>
  <c r="EM3326" i="3" s="1"/>
  <c r="EM3357" i="3" s="1"/>
  <c r="EM3360" i="3" s="1"/>
  <c r="EM3362" i="3" s="1"/>
  <c r="EL3316" i="3"/>
  <c r="EL3322" i="3" s="1"/>
  <c r="EL3326" i="3" s="1"/>
  <c r="EL3357" i="3" s="1"/>
  <c r="EL3360" i="3" s="1"/>
  <c r="EL3362" i="3" s="1"/>
  <c r="EM3314" i="3"/>
  <c r="EL3314" i="3"/>
  <c r="EM3313" i="3"/>
  <c r="EL3313" i="3"/>
  <c r="EM3311" i="3"/>
  <c r="EM3334" i="3" s="1"/>
  <c r="EL3311" i="3"/>
  <c r="EL3334" i="3" s="1"/>
  <c r="EM3308" i="3"/>
  <c r="EL3308" i="3"/>
  <c r="EM3304" i="3"/>
  <c r="EM3305" i="3" s="1"/>
  <c r="EM3321" i="3" s="1"/>
  <c r="EM3324" i="3" s="1"/>
  <c r="EM3335" i="3" s="1"/>
  <c r="EL3304" i="3"/>
  <c r="EL3305" i="3" s="1"/>
  <c r="EL3321" i="3" s="1"/>
  <c r="EL3324" i="3" s="1"/>
  <c r="EL3335" i="3" s="1"/>
  <c r="EM3297" i="3"/>
  <c r="EM3312" i="3" s="1"/>
  <c r="EM3358" i="3" s="1"/>
  <c r="EL3297" i="3"/>
  <c r="EL3312" i="3" s="1"/>
  <c r="EL3358" i="3" s="1"/>
  <c r="EM3296" i="3"/>
  <c r="EM3299" i="3" s="1"/>
  <c r="EM3315" i="3" s="1"/>
  <c r="EL3296" i="3"/>
  <c r="EL3299" i="3" s="1"/>
  <c r="EL3315" i="3" s="1"/>
  <c r="EM3292" i="3"/>
  <c r="EM3300" i="3" s="1"/>
  <c r="EM3325" i="3" s="1"/>
  <c r="EL3292" i="3"/>
  <c r="EL3300" i="3" s="1"/>
  <c r="EL3325" i="3" s="1"/>
  <c r="EM3291" i="3"/>
  <c r="EM3323" i="3" s="1"/>
  <c r="EM3289" i="3"/>
  <c r="EM3290" i="3" s="1"/>
  <c r="EM3318" i="3" s="1"/>
  <c r="EM3331" i="3" s="1"/>
  <c r="EM3333" i="3" s="1"/>
  <c r="EL3289" i="3"/>
  <c r="EL3290" i="3" s="1"/>
  <c r="EL3318" i="3" s="1"/>
  <c r="EL3331" i="3" s="1"/>
  <c r="EL3333" i="3" s="1"/>
  <c r="EM3287" i="3"/>
  <c r="EM3309" i="3" s="1"/>
  <c r="EM3328" i="3" s="1"/>
  <c r="EL3287" i="3"/>
  <c r="EL3309" i="3" s="1"/>
  <c r="EL3328" i="3" s="1"/>
  <c r="EM3285" i="3"/>
  <c r="EL3285" i="3"/>
  <c r="EH3371" i="3"/>
  <c r="EH3370" i="3"/>
  <c r="EH3363" i="3"/>
  <c r="EH3369" i="3" s="1"/>
  <c r="EH3358" i="3"/>
  <c r="EH3334" i="3"/>
  <c r="EH3327" i="3"/>
  <c r="EH3323" i="3"/>
  <c r="EH3319" i="3"/>
  <c r="EH3362" i="3" s="1"/>
  <c r="EH3373" i="3" s="1"/>
  <c r="EH3318" i="3"/>
  <c r="EH3332" i="3" s="1"/>
  <c r="EH3365" i="3" s="1"/>
  <c r="EH3317" i="3"/>
  <c r="EH3316" i="3"/>
  <c r="EH3325" i="3" s="1"/>
  <c r="EH3331" i="3" s="1"/>
  <c r="EH3360" i="3" s="1"/>
  <c r="EH3372" i="3" s="1"/>
  <c r="EH3315" i="3"/>
  <c r="EH3359" i="3" s="1"/>
  <c r="EH3366" i="3" s="1"/>
  <c r="EH3313" i="3"/>
  <c r="EH3335" i="3" s="1"/>
  <c r="EH3307" i="3"/>
  <c r="EH3302" i="3"/>
  <c r="EH3309" i="3" s="1"/>
  <c r="EH3310" i="3" s="1"/>
  <c r="EH3367" i="3" s="1"/>
  <c r="EH3293" i="3"/>
  <c r="EH3295" i="3" s="1"/>
  <c r="EH3305" i="3" s="1"/>
  <c r="EH3324" i="3" s="1"/>
  <c r="EH3333" i="3" s="1"/>
  <c r="EH3290" i="3"/>
  <c r="EH3291" i="3" s="1"/>
  <c r="EH3297" i="3" s="1"/>
  <c r="EH3329" i="3" s="1"/>
  <c r="EH3368" i="3" s="1"/>
  <c r="EH3283" i="3"/>
  <c r="EH3286" i="3" s="1"/>
  <c r="EH3298" i="3" s="1"/>
  <c r="EH3299" i="3" s="1"/>
  <c r="EH3282" i="3"/>
  <c r="EH3322" i="3" s="1"/>
  <c r="EH3328" i="3" s="1"/>
  <c r="EB3365" i="3"/>
  <c r="EC3327" i="3"/>
  <c r="EB3327" i="3"/>
  <c r="EC3323" i="3"/>
  <c r="EC3358" i="3" s="1"/>
  <c r="EA3358" i="3" s="1"/>
  <c r="EB3323" i="3"/>
  <c r="EB3358" i="3" s="1"/>
  <c r="DZ3358" i="3" s="1"/>
  <c r="EC3321" i="3"/>
  <c r="EC3333" i="3" s="1"/>
  <c r="EB3321" i="3"/>
  <c r="EB3333" i="3" s="1"/>
  <c r="EB3360" i="3" s="1"/>
  <c r="DZ3360" i="3" s="1"/>
  <c r="EC3320" i="3"/>
  <c r="EB3320" i="3"/>
  <c r="EC3315" i="3"/>
  <c r="EB3315" i="3"/>
  <c r="EB3331" i="3" s="1"/>
  <c r="DZ3331" i="3" s="1"/>
  <c r="EC3312" i="3"/>
  <c r="EB3312" i="3"/>
  <c r="EC3308" i="3"/>
  <c r="EB3308" i="3"/>
  <c r="EC3302" i="3"/>
  <c r="EB3302" i="3"/>
  <c r="EC3301" i="3"/>
  <c r="EB3301" i="3"/>
  <c r="EB3310" i="3" s="1"/>
  <c r="EC3296" i="3"/>
  <c r="EB3296" i="3"/>
  <c r="EC3292" i="3"/>
  <c r="EB3292" i="3"/>
  <c r="EC3290" i="3"/>
  <c r="EB3290" i="3"/>
  <c r="EB3363" i="3" s="1"/>
  <c r="DZ3363" i="3" s="1"/>
  <c r="EC3288" i="3"/>
  <c r="EC3303" i="3" s="1"/>
  <c r="EB3288" i="3"/>
  <c r="EB3303" i="3" s="1"/>
  <c r="DZ3303" i="3" s="1"/>
  <c r="EC3283" i="3"/>
  <c r="EC3298" i="3" s="1"/>
  <c r="EB3283" i="3"/>
  <c r="EB3298" i="3" s="1"/>
  <c r="DZ3279" i="3"/>
  <c r="DZ3280" i="3"/>
  <c r="DZ3281" i="3"/>
  <c r="DZ3282" i="3"/>
  <c r="DZ3283" i="3"/>
  <c r="DZ3284" i="3"/>
  <c r="DZ3285" i="3"/>
  <c r="DZ3286" i="3"/>
  <c r="DZ3287" i="3"/>
  <c r="DZ3288" i="3"/>
  <c r="DZ3289" i="3"/>
  <c r="DZ3290" i="3"/>
  <c r="DZ3291" i="3"/>
  <c r="DZ3292" i="3"/>
  <c r="DZ3293" i="3"/>
  <c r="DZ3294" i="3"/>
  <c r="DZ3295" i="3"/>
  <c r="DZ3296" i="3"/>
  <c r="DZ3297" i="3"/>
  <c r="DZ3298" i="3"/>
  <c r="DZ3299" i="3"/>
  <c r="DZ3300" i="3"/>
  <c r="DZ3301" i="3"/>
  <c r="DZ3302" i="3"/>
  <c r="DZ3304" i="3"/>
  <c r="DZ3305" i="3"/>
  <c r="DZ3306" i="3"/>
  <c r="DZ3307" i="3"/>
  <c r="DZ3308" i="3"/>
  <c r="DZ3309" i="3"/>
  <c r="DZ3311" i="3"/>
  <c r="DZ3312" i="3"/>
  <c r="DZ3313" i="3"/>
  <c r="DZ3314" i="3"/>
  <c r="DZ3315" i="3"/>
  <c r="DZ3316" i="3"/>
  <c r="DZ3317" i="3"/>
  <c r="DZ3318" i="3"/>
  <c r="DZ3319" i="3"/>
  <c r="DZ3320" i="3"/>
  <c r="DZ3321" i="3"/>
  <c r="DZ3322" i="3"/>
  <c r="DZ3323" i="3"/>
  <c r="DZ3324" i="3"/>
  <c r="DZ3325" i="3"/>
  <c r="DZ3326" i="3"/>
  <c r="DZ3327" i="3"/>
  <c r="DZ3328" i="3"/>
  <c r="DZ3329" i="3"/>
  <c r="DZ3332" i="3"/>
  <c r="EA3332" i="3"/>
  <c r="DZ3333" i="3"/>
  <c r="DZ3334" i="3"/>
  <c r="EA3334" i="3"/>
  <c r="DZ3335" i="3"/>
  <c r="EA3335" i="3"/>
  <c r="DZ3357" i="3"/>
  <c r="EA3357" i="3"/>
  <c r="DZ3359" i="3"/>
  <c r="EA3359" i="3"/>
  <c r="DZ3361" i="3"/>
  <c r="EA3361" i="3"/>
  <c r="DZ3362" i="3"/>
  <c r="EA3362" i="3"/>
  <c r="DZ3365" i="3"/>
  <c r="EA3365" i="3"/>
  <c r="DZ3366" i="3"/>
  <c r="EA3366" i="3"/>
  <c r="DZ3367" i="3"/>
  <c r="EA3367" i="3"/>
  <c r="DZ3368" i="3"/>
  <c r="EA3368" i="3"/>
  <c r="DZ3369" i="3"/>
  <c r="EA3369" i="3"/>
  <c r="DZ3370" i="3"/>
  <c r="EA3370" i="3"/>
  <c r="DZ3371" i="3"/>
  <c r="EA3371" i="3"/>
  <c r="DZ3372" i="3"/>
  <c r="EA3372" i="3"/>
  <c r="DZ3373" i="3"/>
  <c r="EA3373" i="3"/>
  <c r="DZ3374" i="3"/>
  <c r="EA3374" i="3"/>
  <c r="DZ3375" i="3"/>
  <c r="EA3375" i="3"/>
  <c r="DZ3376" i="3"/>
  <c r="EA3376" i="3"/>
  <c r="DZ3377" i="3"/>
  <c r="EA3377" i="3"/>
  <c r="DZ3378" i="3"/>
  <c r="EA3378" i="3"/>
  <c r="DZ3379" i="3"/>
  <c r="EA3379" i="3"/>
  <c r="DZ3380" i="3"/>
  <c r="EA3380" i="3"/>
  <c r="DZ3381" i="3"/>
  <c r="EA3381" i="3"/>
  <c r="DZ3382" i="3"/>
  <c r="EA3382" i="3"/>
  <c r="DZ3383" i="3"/>
  <c r="EA3383" i="3"/>
  <c r="DZ3384" i="3"/>
  <c r="EA3384" i="3"/>
  <c r="DZ3385" i="3"/>
  <c r="EA3385" i="3"/>
  <c r="DZ3386" i="3"/>
  <c r="EA3386" i="3"/>
  <c r="DZ3387" i="3"/>
  <c r="EA3387" i="3"/>
  <c r="DZ3388" i="3"/>
  <c r="EA3388" i="3"/>
  <c r="DZ3389" i="3"/>
  <c r="EA3389" i="3"/>
  <c r="DZ3390" i="3"/>
  <c r="EA3390" i="3"/>
  <c r="DZ3391" i="3"/>
  <c r="EA3391" i="3"/>
  <c r="DZ3392" i="3"/>
  <c r="EA3392" i="3"/>
  <c r="DZ3393" i="3"/>
  <c r="EA3393" i="3"/>
  <c r="DZ3394" i="3"/>
  <c r="EA3394" i="3"/>
  <c r="DZ3395" i="3"/>
  <c r="EA3395" i="3"/>
  <c r="DZ3396" i="3"/>
  <c r="EA3396" i="3"/>
  <c r="DZ3397" i="3"/>
  <c r="EA3397" i="3"/>
  <c r="DZ3398" i="3"/>
  <c r="EA3398" i="3"/>
  <c r="DZ3399" i="3"/>
  <c r="EA3399" i="3"/>
  <c r="DZ3400" i="3"/>
  <c r="EA3400" i="3"/>
  <c r="DZ3401" i="3"/>
  <c r="EA3401" i="3"/>
  <c r="DZ3402" i="3"/>
  <c r="EA3402" i="3"/>
  <c r="DZ3403" i="3"/>
  <c r="EA3403" i="3"/>
  <c r="DZ3404" i="3"/>
  <c r="EA3404" i="3"/>
  <c r="DZ3405" i="3"/>
  <c r="EA3405" i="3"/>
  <c r="DZ3406" i="3"/>
  <c r="EA3406" i="3"/>
  <c r="DZ3407" i="3"/>
  <c r="EA3407" i="3"/>
  <c r="DZ3408" i="3"/>
  <c r="EA3408" i="3"/>
  <c r="DZ3409" i="3"/>
  <c r="EA3409" i="3"/>
  <c r="DZ3410" i="3"/>
  <c r="EA3410" i="3"/>
  <c r="DZ3411" i="3"/>
  <c r="EA3411" i="3"/>
  <c r="DZ3412" i="3"/>
  <c r="EA3412" i="3"/>
  <c r="DZ3413" i="3"/>
  <c r="EA3413" i="3"/>
  <c r="DZ3414" i="3"/>
  <c r="EA3414" i="3"/>
  <c r="DZ3415" i="3"/>
  <c r="EA3415" i="3"/>
  <c r="DZ3416" i="3"/>
  <c r="EA3416" i="3"/>
  <c r="DZ3417" i="3"/>
  <c r="EA3417" i="3"/>
  <c r="DZ3418" i="3"/>
  <c r="EA3418" i="3"/>
  <c r="DZ3419" i="3"/>
  <c r="EA3419" i="3"/>
  <c r="DZ3420" i="3"/>
  <c r="EA3420" i="3"/>
  <c r="DZ3421" i="3"/>
  <c r="EA3421" i="3"/>
  <c r="DZ3422" i="3"/>
  <c r="EA3422" i="3"/>
  <c r="DZ3423" i="3"/>
  <c r="EA3423" i="3"/>
  <c r="DZ3424" i="3"/>
  <c r="EA3424" i="3"/>
  <c r="DZ3425" i="3"/>
  <c r="EA3425" i="3"/>
  <c r="DZ3426" i="3"/>
  <c r="EA3426" i="3"/>
  <c r="DZ3427" i="3"/>
  <c r="EA3427" i="3"/>
  <c r="DZ3428" i="3"/>
  <c r="EA3428" i="3"/>
  <c r="DZ3429" i="3"/>
  <c r="EA3429" i="3"/>
  <c r="DZ3430" i="3"/>
  <c r="EA3430" i="3"/>
  <c r="DZ3431" i="3"/>
  <c r="EA3431" i="3"/>
  <c r="DZ3432" i="3"/>
  <c r="EA3432" i="3"/>
  <c r="DZ3433" i="3"/>
  <c r="EA3433" i="3"/>
  <c r="DZ3434" i="3"/>
  <c r="EA3434" i="3"/>
  <c r="DZ3435" i="3"/>
  <c r="EA3435" i="3"/>
  <c r="DZ3436" i="3"/>
  <c r="EA3436" i="3"/>
  <c r="DZ3437" i="3"/>
  <c r="EA3437" i="3"/>
  <c r="DZ3438" i="3"/>
  <c r="EA3438" i="3"/>
  <c r="DZ3439" i="3"/>
  <c r="EA3439" i="3"/>
  <c r="DZ3440" i="3"/>
  <c r="EA3440" i="3"/>
  <c r="DZ3441" i="3"/>
  <c r="EA3441" i="3"/>
  <c r="DZ3442" i="3"/>
  <c r="EA3442" i="3"/>
  <c r="DZ3443" i="3"/>
  <c r="EA3443" i="3"/>
  <c r="DZ3444" i="3"/>
  <c r="EA3444" i="3"/>
  <c r="DZ3445" i="3"/>
  <c r="EA3445" i="3"/>
  <c r="DZ3446" i="3"/>
  <c r="EA3446" i="3"/>
  <c r="DZ3447" i="3"/>
  <c r="EA3447" i="3"/>
  <c r="DZ3448" i="3"/>
  <c r="EA3448" i="3"/>
  <c r="DZ3449" i="3"/>
  <c r="EA3449" i="3"/>
  <c r="DZ3450" i="3"/>
  <c r="EA3450" i="3"/>
  <c r="DZ3451" i="3"/>
  <c r="EA3451" i="3"/>
  <c r="DZ3452" i="3"/>
  <c r="EA3452" i="3"/>
  <c r="DZ3453" i="3"/>
  <c r="EA3453" i="3"/>
  <c r="DZ3454" i="3"/>
  <c r="EA3454" i="3"/>
  <c r="DZ3455" i="3"/>
  <c r="EA3455" i="3"/>
  <c r="DZ3456" i="3"/>
  <c r="EA3456" i="3"/>
  <c r="DZ3457" i="3"/>
  <c r="EA3457" i="3"/>
  <c r="DZ3458" i="3"/>
  <c r="EA3458" i="3"/>
  <c r="DZ3460" i="3"/>
  <c r="EA3460" i="3"/>
  <c r="DZ3461" i="3"/>
  <c r="EA3461" i="3"/>
  <c r="DZ3462" i="3"/>
  <c r="EA3462" i="3"/>
  <c r="DZ3463" i="3"/>
  <c r="EA3463" i="3"/>
  <c r="DZ3464" i="3"/>
  <c r="EA3464" i="3"/>
  <c r="DZ3465" i="3"/>
  <c r="EA3465" i="3"/>
  <c r="DZ3466" i="3"/>
  <c r="EA3466" i="3"/>
  <c r="DZ3468" i="3"/>
  <c r="EA3468" i="3"/>
  <c r="DZ3469" i="3"/>
  <c r="EA3469" i="3"/>
  <c r="DZ3470" i="3"/>
  <c r="EA3470" i="3"/>
  <c r="DZ3471" i="3"/>
  <c r="EA3471" i="3"/>
  <c r="DZ3472" i="3"/>
  <c r="EA3472" i="3"/>
  <c r="DZ3473" i="3"/>
  <c r="EA3473" i="3"/>
  <c r="DZ3474" i="3"/>
  <c r="EA3474" i="3"/>
  <c r="DZ3475" i="3"/>
  <c r="EA3475" i="3"/>
  <c r="DZ3476" i="3"/>
  <c r="EA3476" i="3"/>
  <c r="DZ3477" i="3"/>
  <c r="EA3477" i="3"/>
  <c r="DZ3478" i="3"/>
  <c r="EA3478" i="3"/>
  <c r="DZ3479" i="3"/>
  <c r="EA3479" i="3"/>
  <c r="DZ3480" i="3"/>
  <c r="EA3480" i="3"/>
  <c r="DZ3481" i="3"/>
  <c r="EA3481" i="3"/>
  <c r="DZ3482" i="3"/>
  <c r="EA3482" i="3"/>
  <c r="DZ3483" i="3"/>
  <c r="EA3483" i="3"/>
  <c r="DZ3484" i="3"/>
  <c r="EA3484" i="3"/>
  <c r="DZ3485" i="3"/>
  <c r="EA3485" i="3"/>
  <c r="DZ3486" i="3"/>
  <c r="EA3486" i="3"/>
  <c r="DZ3487" i="3"/>
  <c r="EA3487" i="3"/>
  <c r="DZ3488" i="3"/>
  <c r="EA3488" i="3"/>
  <c r="DZ3489" i="3"/>
  <c r="EA3489" i="3"/>
  <c r="DZ3490" i="3"/>
  <c r="EA3490" i="3"/>
  <c r="DZ3491" i="3"/>
  <c r="EA3491" i="3"/>
  <c r="DZ3492" i="3"/>
  <c r="EA3492" i="3"/>
  <c r="DZ3493" i="3"/>
  <c r="EA3493" i="3"/>
  <c r="DZ3494" i="3"/>
  <c r="EA3494" i="3"/>
  <c r="DZ3495" i="3"/>
  <c r="EA3495" i="3"/>
  <c r="DZ3496" i="3"/>
  <c r="EA3496" i="3"/>
  <c r="DZ3497" i="3"/>
  <c r="EA3497" i="3"/>
  <c r="DZ3498" i="3"/>
  <c r="EA3498" i="3"/>
  <c r="DZ3499" i="3"/>
  <c r="EA3499" i="3"/>
  <c r="DZ3500" i="3"/>
  <c r="EA3500" i="3"/>
  <c r="DZ3501" i="3"/>
  <c r="EA3501" i="3"/>
  <c r="DZ3502" i="3"/>
  <c r="EA3502" i="3"/>
  <c r="DZ3503" i="3"/>
  <c r="EA3503" i="3"/>
  <c r="DZ3504" i="3"/>
  <c r="EA3504" i="3"/>
  <c r="DZ3505" i="3"/>
  <c r="EA3505" i="3"/>
  <c r="DZ3506" i="3"/>
  <c r="EA3506" i="3"/>
  <c r="DZ3507" i="3"/>
  <c r="EA3507" i="3"/>
  <c r="DZ3508" i="3"/>
  <c r="EA3508" i="3"/>
  <c r="DZ3509" i="3"/>
  <c r="EA3509" i="3"/>
  <c r="DZ3510" i="3"/>
  <c r="EA3510" i="3"/>
  <c r="DZ3511" i="3"/>
  <c r="EA3511" i="3"/>
  <c r="DZ3512" i="3"/>
  <c r="EA3512" i="3"/>
  <c r="DZ3513" i="3"/>
  <c r="EA3513" i="3"/>
  <c r="DZ3514" i="3"/>
  <c r="EA3514" i="3"/>
  <c r="DZ3515" i="3"/>
  <c r="EA3515" i="3"/>
  <c r="DZ3516" i="3"/>
  <c r="EA3516" i="3"/>
  <c r="DZ3517" i="3"/>
  <c r="EA3517" i="3"/>
  <c r="DZ3518" i="3"/>
  <c r="EA3518" i="3"/>
  <c r="DZ3519" i="3"/>
  <c r="EA3519" i="3"/>
  <c r="DZ3520" i="3"/>
  <c r="EA3520" i="3"/>
  <c r="DZ3521" i="3"/>
  <c r="EA3521" i="3"/>
  <c r="DZ3522" i="3"/>
  <c r="EA3522" i="3"/>
  <c r="DZ3523" i="3"/>
  <c r="EA3523" i="3"/>
  <c r="DZ3524" i="3"/>
  <c r="EA3524" i="3"/>
  <c r="DZ3525" i="3"/>
  <c r="EA3525" i="3"/>
  <c r="DZ3526" i="3"/>
  <c r="EA3526" i="3"/>
  <c r="DZ3527" i="3"/>
  <c r="EA3527" i="3"/>
  <c r="DZ3528" i="3"/>
  <c r="EA3528" i="3"/>
  <c r="DZ3529" i="3"/>
  <c r="EA3529" i="3"/>
  <c r="DZ3530" i="3"/>
  <c r="EA3530" i="3"/>
  <c r="DZ3531" i="3"/>
  <c r="EA3531" i="3"/>
  <c r="DZ3532" i="3"/>
  <c r="EA3532" i="3"/>
  <c r="DZ3533" i="3"/>
  <c r="EA3533" i="3"/>
  <c r="DZ3534" i="3"/>
  <c r="EA3534" i="3"/>
  <c r="DZ3535" i="3"/>
  <c r="EA3535" i="3"/>
  <c r="DZ3536" i="3"/>
  <c r="EA3536" i="3"/>
  <c r="DZ3537" i="3"/>
  <c r="EA3537" i="3"/>
  <c r="DZ3538" i="3"/>
  <c r="EA3538" i="3"/>
  <c r="DZ3539" i="3"/>
  <c r="EA3539" i="3"/>
  <c r="DZ3540" i="3"/>
  <c r="EA3540" i="3"/>
  <c r="DZ3541" i="3"/>
  <c r="EA3541" i="3"/>
  <c r="DZ3542" i="3"/>
  <c r="EA3542" i="3"/>
  <c r="DZ3543" i="3"/>
  <c r="EA3543" i="3"/>
  <c r="DZ3544" i="3"/>
  <c r="EA3544" i="3"/>
  <c r="DZ3545" i="3"/>
  <c r="EA3545" i="3"/>
  <c r="DZ3546" i="3"/>
  <c r="EA3546" i="3"/>
  <c r="DZ3547" i="3"/>
  <c r="EA3547" i="3"/>
  <c r="DZ3548" i="3"/>
  <c r="EA3548" i="3"/>
  <c r="DZ3549" i="3"/>
  <c r="EA3549" i="3"/>
  <c r="DZ3550" i="3"/>
  <c r="EA3550" i="3"/>
  <c r="DZ3551" i="3"/>
  <c r="EA3551" i="3"/>
  <c r="DZ3552" i="3"/>
  <c r="EA3552" i="3"/>
  <c r="DZ3553" i="3"/>
  <c r="EA3553" i="3"/>
  <c r="DZ3554" i="3"/>
  <c r="EA3554" i="3"/>
  <c r="DZ3278" i="3"/>
  <c r="BS3279" i="3"/>
  <c r="BS3555" i="3"/>
  <c r="BS3554" i="3"/>
  <c r="BS3553" i="3"/>
  <c r="BS3552" i="3"/>
  <c r="BS3551" i="3"/>
  <c r="BS3550" i="3"/>
  <c r="BS3549" i="3"/>
  <c r="BS3548" i="3"/>
  <c r="BS3547" i="3"/>
  <c r="BS3546" i="3"/>
  <c r="BS3545" i="3"/>
  <c r="BS3544" i="3"/>
  <c r="BS3543" i="3"/>
  <c r="BS3542" i="3"/>
  <c r="BS3541" i="3"/>
  <c r="BS3540" i="3"/>
  <c r="BS3539" i="3"/>
  <c r="BS3538" i="3"/>
  <c r="BS3537" i="3"/>
  <c r="BS3536" i="3"/>
  <c r="BS3535" i="3"/>
  <c r="BS3534" i="3"/>
  <c r="BS3533" i="3"/>
  <c r="BS3532" i="3"/>
  <c r="BS3531" i="3"/>
  <c r="BS3530" i="3"/>
  <c r="BS3529" i="3"/>
  <c r="BS3528" i="3"/>
  <c r="BS3527" i="3"/>
  <c r="BS3526" i="3"/>
  <c r="BS3525" i="3"/>
  <c r="BS3524" i="3"/>
  <c r="BS3523" i="3"/>
  <c r="BS3522" i="3"/>
  <c r="BS3521" i="3"/>
  <c r="BS3520" i="3"/>
  <c r="BS3519" i="3"/>
  <c r="BS3518" i="3"/>
  <c r="BS3517" i="3"/>
  <c r="BS3516" i="3"/>
  <c r="BS3515" i="3"/>
  <c r="BS3514" i="3"/>
  <c r="BS3513" i="3"/>
  <c r="BS3512" i="3"/>
  <c r="BS3511" i="3"/>
  <c r="BS3510" i="3"/>
  <c r="BS3509" i="3"/>
  <c r="BS3508" i="3"/>
  <c r="BS3507" i="3"/>
  <c r="BS3506" i="3"/>
  <c r="BS3505" i="3"/>
  <c r="BS3504" i="3"/>
  <c r="BS3503" i="3"/>
  <c r="BS3502" i="3"/>
  <c r="BS3501" i="3"/>
  <c r="BS3500" i="3"/>
  <c r="BS3499" i="3"/>
  <c r="BS3498" i="3"/>
  <c r="BS3497" i="3"/>
  <c r="BS3496" i="3"/>
  <c r="BS3495" i="3"/>
  <c r="BS3494" i="3"/>
  <c r="BS3493" i="3"/>
  <c r="BS3492" i="3"/>
  <c r="BS3491" i="3"/>
  <c r="BS3490" i="3"/>
  <c r="BS3489" i="3"/>
  <c r="BS3488" i="3"/>
  <c r="BS3487" i="3"/>
  <c r="BS3486" i="3"/>
  <c r="BS3485" i="3"/>
  <c r="BS3484" i="3"/>
  <c r="BS3483" i="3"/>
  <c r="BS3482" i="3"/>
  <c r="BS3481" i="3"/>
  <c r="BS3480" i="3"/>
  <c r="BS3479" i="3"/>
  <c r="BS3478" i="3"/>
  <c r="BS3477" i="3"/>
  <c r="BS3476" i="3"/>
  <c r="BS3475" i="3"/>
  <c r="BS3474" i="3"/>
  <c r="BS3473" i="3"/>
  <c r="BS3472" i="3"/>
  <c r="BS3471" i="3"/>
  <c r="BS3470" i="3"/>
  <c r="BS3469" i="3"/>
  <c r="BS3467" i="3"/>
  <c r="BS3466" i="3"/>
  <c r="BS3465" i="3"/>
  <c r="BS3464" i="3"/>
  <c r="BS3463" i="3"/>
  <c r="BS3462" i="3"/>
  <c r="BS3461" i="3"/>
  <c r="BS3459" i="3"/>
  <c r="BS3458" i="3"/>
  <c r="BS3457" i="3"/>
  <c r="BS3456" i="3"/>
  <c r="BS3455" i="3"/>
  <c r="BS3454" i="3"/>
  <c r="BS3453" i="3"/>
  <c r="BS3452" i="3"/>
  <c r="BS3451" i="3"/>
  <c r="BS3450" i="3"/>
  <c r="BS3449" i="3"/>
  <c r="BS3448" i="3"/>
  <c r="BS3447" i="3"/>
  <c r="BS3446" i="3"/>
  <c r="BS3445" i="3"/>
  <c r="BS3444" i="3"/>
  <c r="BS3443" i="3"/>
  <c r="BS3442" i="3"/>
  <c r="BS3441" i="3"/>
  <c r="BS3440" i="3"/>
  <c r="BS3439" i="3"/>
  <c r="BS3438" i="3"/>
  <c r="BS3437" i="3"/>
  <c r="BS3436" i="3"/>
  <c r="BS3435" i="3"/>
  <c r="BS3434" i="3"/>
  <c r="BS3433" i="3"/>
  <c r="BS3432" i="3"/>
  <c r="BS3431" i="3"/>
  <c r="BS3430" i="3"/>
  <c r="BS3429" i="3"/>
  <c r="BS3428" i="3"/>
  <c r="BS3427" i="3"/>
  <c r="BS3426" i="3"/>
  <c r="BS3425" i="3"/>
  <c r="BS3424" i="3"/>
  <c r="BS3423" i="3"/>
  <c r="BS3422" i="3"/>
  <c r="BS3421" i="3"/>
  <c r="BS3420" i="3"/>
  <c r="BS3419" i="3"/>
  <c r="BS3418" i="3"/>
  <c r="BS3417" i="3"/>
  <c r="BS3416" i="3"/>
  <c r="BS3415" i="3"/>
  <c r="BS3414" i="3"/>
  <c r="BS3413" i="3"/>
  <c r="BS3412" i="3"/>
  <c r="BS3411" i="3"/>
  <c r="BS3410" i="3"/>
  <c r="BS3409" i="3"/>
  <c r="BS3408" i="3"/>
  <c r="BS3407" i="3"/>
  <c r="BS3406" i="3"/>
  <c r="BS3405" i="3"/>
  <c r="BS3404" i="3"/>
  <c r="BS3403" i="3"/>
  <c r="BS3402" i="3"/>
  <c r="BS3401" i="3"/>
  <c r="BS3400" i="3"/>
  <c r="BS3399" i="3"/>
  <c r="BS3398" i="3"/>
  <c r="BS3397" i="3"/>
  <c r="BS3396" i="3"/>
  <c r="BS3395" i="3"/>
  <c r="BS3394" i="3"/>
  <c r="BS3393" i="3"/>
  <c r="BS3392" i="3"/>
  <c r="BS3391" i="3"/>
  <c r="BS3390" i="3"/>
  <c r="BS3389" i="3"/>
  <c r="BS3388" i="3"/>
  <c r="BS3387" i="3"/>
  <c r="BS3386" i="3"/>
  <c r="BS3385" i="3"/>
  <c r="BS3384" i="3"/>
  <c r="BS3383" i="3"/>
  <c r="BS3382" i="3"/>
  <c r="BS3381" i="3"/>
  <c r="BS3380" i="3"/>
  <c r="BS3379" i="3"/>
  <c r="BS3378" i="3"/>
  <c r="BS3377" i="3"/>
  <c r="BS3376" i="3"/>
  <c r="BS3375" i="3"/>
  <c r="BS3374" i="3"/>
  <c r="BS3373" i="3"/>
  <c r="BS3372" i="3"/>
  <c r="BS3371" i="3"/>
  <c r="BS3370" i="3"/>
  <c r="BS3369" i="3"/>
  <c r="BS3368" i="3"/>
  <c r="BS3367" i="3"/>
  <c r="BS3366" i="3"/>
  <c r="BS3365" i="3"/>
  <c r="BS3364" i="3"/>
  <c r="BS3363" i="3"/>
  <c r="BS3362" i="3"/>
  <c r="BS3361" i="3"/>
  <c r="BS3360" i="3"/>
  <c r="BS3359" i="3"/>
  <c r="BS3358" i="3"/>
  <c r="BS3336" i="3"/>
  <c r="BS3335" i="3"/>
  <c r="BS3334" i="3"/>
  <c r="BS3333" i="3"/>
  <c r="BS3332" i="3"/>
  <c r="BS3331" i="3"/>
  <c r="BS3330" i="3"/>
  <c r="BS3329" i="3"/>
  <c r="BS3328" i="3"/>
  <c r="BS3327" i="3"/>
  <c r="BS3326" i="3"/>
  <c r="BS3325" i="3"/>
  <c r="BS3324" i="3"/>
  <c r="BS3323" i="3"/>
  <c r="BS3322" i="3"/>
  <c r="BS3321" i="3"/>
  <c r="BS3320" i="3"/>
  <c r="BS3319" i="3"/>
  <c r="BS3318" i="3"/>
  <c r="BS3317" i="3"/>
  <c r="BS3316" i="3"/>
  <c r="BS3315" i="3"/>
  <c r="BS3314" i="3"/>
  <c r="BS3313" i="3"/>
  <c r="BS3312" i="3"/>
  <c r="BS3311" i="3"/>
  <c r="BS3310" i="3"/>
  <c r="BS3309" i="3"/>
  <c r="BS3308" i="3"/>
  <c r="BS3307" i="3"/>
  <c r="BS3306" i="3"/>
  <c r="BS3305" i="3"/>
  <c r="BS3304" i="3"/>
  <c r="BS3303" i="3"/>
  <c r="BS3302" i="3"/>
  <c r="BS3301" i="3"/>
  <c r="BS3300" i="3"/>
  <c r="BS3299" i="3"/>
  <c r="BS3298" i="3"/>
  <c r="BS3297" i="3"/>
  <c r="BS3296" i="3"/>
  <c r="BS3295" i="3"/>
  <c r="BS3294" i="3"/>
  <c r="BS3293" i="3"/>
  <c r="BS3292" i="3"/>
  <c r="BS3291" i="3"/>
  <c r="BS3290" i="3"/>
  <c r="BS3289" i="3"/>
  <c r="BS3288" i="3"/>
  <c r="BS3287" i="3"/>
  <c r="BS3286" i="3"/>
  <c r="BS3285" i="3"/>
  <c r="BS3284" i="3"/>
  <c r="BS3283" i="3"/>
  <c r="BS3282" i="3"/>
  <c r="BS3281" i="3"/>
  <c r="BS3280" i="3"/>
  <c r="B3204" i="3"/>
  <c r="B3203" i="3"/>
  <c r="B3202" i="3"/>
  <c r="B3201" i="3"/>
  <c r="B3200" i="3"/>
  <c r="B3199" i="3"/>
  <c r="B3198" i="3"/>
  <c r="B3197" i="3"/>
  <c r="B3263" i="3"/>
  <c r="GA3213" i="3" s="1"/>
  <c r="B3262" i="3"/>
  <c r="FZ3213" i="3" s="1"/>
  <c r="B3261" i="3"/>
  <c r="FY3213" i="3" s="1"/>
  <c r="B3260" i="3"/>
  <c r="FX3213" i="3" s="1"/>
  <c r="B3259" i="3"/>
  <c r="FW3213" i="3" s="1"/>
  <c r="B3258" i="3"/>
  <c r="FV3213" i="3" s="1"/>
  <c r="B3257" i="3"/>
  <c r="FU3213" i="3" s="1"/>
  <c r="B3256" i="3"/>
  <c r="FT3213" i="3" s="1"/>
  <c r="B3255" i="3"/>
  <c r="FS3213" i="3" s="1"/>
  <c r="B3254" i="3"/>
  <c r="FR3213" i="3" s="1"/>
  <c r="B3253" i="3"/>
  <c r="FQ3213" i="3" s="1"/>
  <c r="B3252" i="3"/>
  <c r="FP3213" i="3" s="1"/>
  <c r="B3251" i="3"/>
  <c r="FO3213" i="3" s="1"/>
  <c r="B3250" i="3"/>
  <c r="FN3213" i="3" s="1"/>
  <c r="B3249" i="3"/>
  <c r="FM3213" i="3" s="1"/>
  <c r="B3248" i="3"/>
  <c r="FL3213" i="3" s="1"/>
  <c r="B3247" i="3"/>
  <c r="FK3213" i="3" s="1"/>
  <c r="B3246" i="3"/>
  <c r="FJ3213" i="3" s="1"/>
  <c r="B3245" i="3"/>
  <c r="FI3213" i="3" s="1"/>
  <c r="B3244" i="3"/>
  <c r="FH3213" i="3" s="1"/>
  <c r="B3243" i="3"/>
  <c r="FG3213" i="3" s="1"/>
  <c r="B3242" i="3"/>
  <c r="FF3213" i="3" s="1"/>
  <c r="B3241" i="3"/>
  <c r="FE3213" i="3" s="1"/>
  <c r="B3240" i="3"/>
  <c r="FD3213" i="3" s="1"/>
  <c r="B3239" i="3"/>
  <c r="FC3213" i="3" s="1"/>
  <c r="B3238" i="3"/>
  <c r="FB3213" i="3" s="1"/>
  <c r="B3237" i="3"/>
  <c r="FA3213" i="3" s="1"/>
  <c r="B3236" i="3"/>
  <c r="EZ3213" i="3" s="1"/>
  <c r="B3235" i="3"/>
  <c r="EY3213" i="3" s="1"/>
  <c r="B3234" i="3"/>
  <c r="EX3213" i="3" s="1"/>
  <c r="B3233" i="3"/>
  <c r="EW3213" i="3" s="1"/>
  <c r="B3232" i="3"/>
  <c r="EV3213" i="3" s="1"/>
  <c r="B3231" i="3"/>
  <c r="EU3213" i="3" s="1"/>
  <c r="B3230" i="3"/>
  <c r="ET3213" i="3" s="1"/>
  <c r="B3229" i="3"/>
  <c r="ES3213" i="3" s="1"/>
  <c r="B3228" i="3"/>
  <c r="ER3213" i="3" s="1"/>
  <c r="B3227" i="3"/>
  <c r="EQ3213" i="3" s="1"/>
  <c r="B3226" i="3"/>
  <c r="EP3213" i="3" s="1"/>
  <c r="B3225" i="3"/>
  <c r="EO3213" i="3" s="1"/>
  <c r="B3224" i="3"/>
  <c r="EN3213" i="3" s="1"/>
  <c r="B3223" i="3"/>
  <c r="EM3213" i="3" s="1"/>
  <c r="B3222" i="3"/>
  <c r="EL3213" i="3" s="1"/>
  <c r="B3220" i="3"/>
  <c r="EJ3213" i="3" s="1"/>
  <c r="B3219" i="3"/>
  <c r="EI3213" i="3" s="1"/>
  <c r="B3218" i="3"/>
  <c r="EH3213" i="3" s="1"/>
  <c r="B3217" i="3"/>
  <c r="EG3213" i="3" s="1"/>
  <c r="B3216" i="3"/>
  <c r="EF3213" i="3" s="1"/>
  <c r="B3215" i="3"/>
  <c r="EE3213" i="3" s="1"/>
  <c r="B3214" i="3"/>
  <c r="ED3213" i="3" s="1"/>
  <c r="B3213" i="3"/>
  <c r="AM3206" i="3"/>
  <c r="AF3357" i="3"/>
  <c r="AE3357" i="3"/>
  <c r="AD3357" i="3"/>
  <c r="AC3357" i="3"/>
  <c r="AB3357" i="3"/>
  <c r="D3365" i="3"/>
  <c r="D3364" i="3"/>
  <c r="D3363" i="3"/>
  <c r="D3362" i="3"/>
  <c r="D3361" i="3"/>
  <c r="D3360" i="3"/>
  <c r="D3359" i="3"/>
  <c r="AH2981" i="3"/>
  <c r="AG2981" i="3"/>
  <c r="AF2981" i="3"/>
  <c r="AE2981" i="3"/>
  <c r="AD2981" i="3"/>
  <c r="AC2981" i="3"/>
  <c r="A2812" i="3"/>
  <c r="CD1641" i="3"/>
  <c r="CD1640" i="3"/>
  <c r="B1353" i="3"/>
  <c r="B987" i="3"/>
  <c r="AI890" i="3"/>
  <c r="AH890" i="3"/>
  <c r="AG890" i="3"/>
  <c r="AF890" i="3"/>
  <c r="AE890" i="3"/>
  <c r="AD890" i="3"/>
  <c r="AC890" i="3"/>
  <c r="AG880" i="3"/>
  <c r="AF880" i="3"/>
  <c r="AE880" i="3"/>
  <c r="AD880" i="3"/>
  <c r="AC880" i="3"/>
  <c r="BI864" i="3"/>
  <c r="BJ864" i="3" s="1"/>
  <c r="BI865" i="3" s="1"/>
  <c r="BJ865" i="3" s="1"/>
  <c r="BJ862" i="3"/>
  <c r="BI862" i="3"/>
  <c r="AG495" i="3"/>
  <c r="AF495" i="3"/>
  <c r="AE495" i="3"/>
  <c r="AD495" i="3"/>
  <c r="BJ490" i="3"/>
  <c r="BI490" i="3"/>
  <c r="BH490" i="3"/>
  <c r="BG490" i="3"/>
  <c r="AG485" i="3"/>
  <c r="AF485" i="3"/>
  <c r="AE485" i="3"/>
  <c r="AD485" i="3"/>
  <c r="BJ480" i="3"/>
  <c r="BI480" i="3"/>
  <c r="BH480" i="3"/>
  <c r="BG480" i="3"/>
  <c r="AG475" i="3"/>
  <c r="AF475" i="3"/>
  <c r="AE475" i="3"/>
  <c r="AD475" i="3"/>
  <c r="BJ470" i="3"/>
  <c r="BI470" i="3"/>
  <c r="BH470" i="3"/>
  <c r="BG470" i="3"/>
  <c r="AG465" i="3"/>
  <c r="AF465" i="3"/>
  <c r="AE465" i="3"/>
  <c r="AD465" i="3"/>
  <c r="BJ460" i="3"/>
  <c r="BI460" i="3"/>
  <c r="BH460" i="3"/>
  <c r="BG460" i="3"/>
  <c r="AG455" i="3"/>
  <c r="AF455" i="3"/>
  <c r="AE455" i="3"/>
  <c r="AD455" i="3"/>
  <c r="BJ450" i="3"/>
  <c r="BI450" i="3"/>
  <c r="BH450" i="3"/>
  <c r="BG450" i="3"/>
  <c r="AG445" i="3"/>
  <c r="AF445" i="3"/>
  <c r="AE445" i="3"/>
  <c r="AD445" i="3"/>
  <c r="BJ440" i="3"/>
  <c r="BI440" i="3"/>
  <c r="BH440" i="3"/>
  <c r="BG440" i="3"/>
  <c r="AG435" i="3"/>
  <c r="AF435" i="3"/>
  <c r="AE435" i="3"/>
  <c r="AD435" i="3"/>
  <c r="BJ430" i="3"/>
  <c r="BI430" i="3"/>
  <c r="BH430" i="3"/>
  <c r="BG430" i="3"/>
  <c r="AG425" i="3"/>
  <c r="AF425" i="3"/>
  <c r="AE425" i="3"/>
  <c r="AD425" i="3"/>
  <c r="BJ420" i="3"/>
  <c r="BI420" i="3"/>
  <c r="BH420" i="3"/>
  <c r="BG420" i="3"/>
  <c r="AG415" i="3"/>
  <c r="AF415" i="3"/>
  <c r="AE415" i="3"/>
  <c r="AD415" i="3"/>
  <c r="BJ410" i="3"/>
  <c r="BI410" i="3"/>
  <c r="BH410" i="3"/>
  <c r="BG410" i="3"/>
  <c r="AG405" i="3"/>
  <c r="AF405" i="3"/>
  <c r="AE405" i="3"/>
  <c r="AD405" i="3"/>
  <c r="BJ400" i="3"/>
  <c r="BI400" i="3"/>
  <c r="BH400" i="3"/>
  <c r="BG400" i="3"/>
  <c r="AG395" i="3"/>
  <c r="AF395" i="3"/>
  <c r="AE395" i="3"/>
  <c r="AD395" i="3"/>
  <c r="BJ390" i="3"/>
  <c r="BI390" i="3"/>
  <c r="BH390" i="3"/>
  <c r="BG390" i="3"/>
  <c r="AG385" i="3"/>
  <c r="AF385" i="3"/>
  <c r="AE385" i="3"/>
  <c r="AD385" i="3"/>
  <c r="BJ380" i="3"/>
  <c r="BI380" i="3"/>
  <c r="BH380" i="3"/>
  <c r="BG380" i="3"/>
  <c r="AG375" i="3"/>
  <c r="AF375" i="3"/>
  <c r="AE375" i="3"/>
  <c r="AD375" i="3"/>
  <c r="BJ370" i="3"/>
  <c r="BI370" i="3"/>
  <c r="BH370" i="3"/>
  <c r="BG370" i="3"/>
  <c r="AG365" i="3"/>
  <c r="AF365" i="3"/>
  <c r="AE365" i="3"/>
  <c r="AD365" i="3"/>
  <c r="BF364" i="3"/>
  <c r="BF374" i="3" s="1"/>
  <c r="BF384" i="3" s="1"/>
  <c r="BF394" i="3" s="1"/>
  <c r="BF404" i="3" s="1"/>
  <c r="BF414" i="3" s="1"/>
  <c r="BF424" i="3" s="1"/>
  <c r="BF434" i="3" s="1"/>
  <c r="BF444" i="3" s="1"/>
  <c r="BF454" i="3" s="1"/>
  <c r="BF464" i="3" s="1"/>
  <c r="BF474" i="3" s="1"/>
  <c r="BF484" i="3" s="1"/>
  <c r="BF494" i="3" s="1"/>
  <c r="BF499" i="3" s="1"/>
  <c r="BJ360" i="3"/>
  <c r="BI360" i="3"/>
  <c r="BH360" i="3"/>
  <c r="BG360" i="3"/>
  <c r="BH359" i="3"/>
  <c r="BH369" i="3" s="1"/>
  <c r="BH379" i="3" s="1"/>
  <c r="BH389" i="3" s="1"/>
  <c r="BH399" i="3" s="1"/>
  <c r="BH409" i="3" s="1"/>
  <c r="BH419" i="3" s="1"/>
  <c r="BH429" i="3" s="1"/>
  <c r="BH439" i="3" s="1"/>
  <c r="BH449" i="3" s="1"/>
  <c r="BH459" i="3" s="1"/>
  <c r="BH469" i="3" s="1"/>
  <c r="BH479" i="3" s="1"/>
  <c r="BH489" i="3" s="1"/>
  <c r="AH343" i="3"/>
  <c r="B339" i="3"/>
  <c r="AS329" i="3"/>
  <c r="AR329" i="3"/>
  <c r="AQ329" i="3"/>
  <c r="AP329" i="3"/>
  <c r="B246" i="3"/>
  <c r="B2775" i="3" s="1"/>
  <c r="B186" i="3"/>
  <c r="B136" i="14" s="1"/>
  <c r="B184" i="3"/>
  <c r="B134" i="14" s="1"/>
  <c r="B182" i="3"/>
  <c r="B132" i="14" s="1"/>
  <c r="B180" i="3"/>
  <c r="B130" i="14" s="1"/>
  <c r="B178" i="3"/>
  <c r="B128" i="14" s="1"/>
  <c r="B176" i="3"/>
  <c r="B174" i="3"/>
  <c r="B124" i="14" s="1"/>
  <c r="B172" i="3"/>
  <c r="B122" i="14" s="1"/>
  <c r="B170" i="3"/>
  <c r="B120" i="14" s="1"/>
  <c r="B168" i="3"/>
  <c r="B118" i="14" s="1"/>
  <c r="B166" i="3"/>
  <c r="B116" i="14" s="1"/>
  <c r="B164" i="3"/>
  <c r="B114" i="14" s="1"/>
  <c r="B162" i="3"/>
  <c r="B112" i="14" s="1"/>
  <c r="B160" i="3"/>
  <c r="B110" i="14" s="1"/>
  <c r="B158" i="3"/>
  <c r="B108" i="14" s="1"/>
  <c r="C1893" i="3"/>
  <c r="C264" i="3"/>
  <c r="C2810" i="3" s="1"/>
  <c r="AJ1942" i="10" l="1"/>
  <c r="AD1942" i="10" s="1"/>
  <c r="AD1941" i="10"/>
  <c r="A2813" i="3"/>
  <c r="BF2812" i="3"/>
  <c r="BX3211" i="3"/>
  <c r="AR2095" i="3" s="1"/>
  <c r="BZ3211" i="3"/>
  <c r="AR1869" i="3" s="1"/>
  <c r="CO3211" i="3"/>
  <c r="AJ2136" i="3" s="1"/>
  <c r="EC3213" i="3"/>
  <c r="DZ3235" i="3" s="1"/>
  <c r="DX3235" i="3" s="1"/>
  <c r="AA338" i="3"/>
  <c r="DZ3276" i="3"/>
  <c r="EC3360" i="3"/>
  <c r="EA3360" i="3" s="1"/>
  <c r="EA3333" i="3"/>
  <c r="EB3330" i="3"/>
  <c r="DZ3310" i="3"/>
  <c r="EC3310" i="3"/>
  <c r="EC3331" i="3"/>
  <c r="EA3331" i="3" s="1"/>
  <c r="EC3363" i="3"/>
  <c r="EA3363" i="3" s="1"/>
  <c r="D3199" i="3"/>
  <c r="C1141" i="3" s="1"/>
  <c r="D3197" i="3"/>
  <c r="C1131" i="3" s="1"/>
  <c r="D3204" i="3"/>
  <c r="C1156" i="3" s="1"/>
  <c r="D3202" i="3"/>
  <c r="C1150" i="3" s="1"/>
  <c r="D3200" i="3"/>
  <c r="C1145" i="3" s="1"/>
  <c r="D3198" i="3"/>
  <c r="C1133" i="3" s="1"/>
  <c r="BG3329" i="3"/>
  <c r="BH3329" i="3" s="1"/>
  <c r="BG3328" i="3"/>
  <c r="BH3328" i="3" s="1"/>
  <c r="BG3327" i="3"/>
  <c r="BH3327" i="3" s="1"/>
  <c r="BG3326" i="3"/>
  <c r="BH3326" i="3" s="1"/>
  <c r="AI3326" i="3"/>
  <c r="BG3325" i="3"/>
  <c r="BH3325" i="3" s="1"/>
  <c r="AI3325" i="3"/>
  <c r="BG3324" i="3"/>
  <c r="BH3324" i="3" s="1"/>
  <c r="C3324" i="3"/>
  <c r="BG3323" i="3"/>
  <c r="BH3323" i="3" s="1"/>
  <c r="AI3323" i="3"/>
  <c r="BG3322" i="3"/>
  <c r="BH3322" i="3" s="1"/>
  <c r="D3322" i="3"/>
  <c r="BB3322" i="3" s="1"/>
  <c r="BG3321" i="3"/>
  <c r="BH3321" i="3" s="1"/>
  <c r="AI3321" i="3"/>
  <c r="BG3320" i="3"/>
  <c r="BH3320" i="3" s="1"/>
  <c r="AI3320" i="3"/>
  <c r="BG3319" i="3"/>
  <c r="BH3319" i="3" s="1"/>
  <c r="BG3318" i="3"/>
  <c r="BH3318" i="3" s="1"/>
  <c r="BG3317" i="3"/>
  <c r="BH3317" i="3" s="1"/>
  <c r="BG3316" i="3"/>
  <c r="BH3316" i="3" s="1"/>
  <c r="BG3315" i="3"/>
  <c r="BH3315" i="3" s="1"/>
  <c r="BG3314" i="3"/>
  <c r="BH3314" i="3" s="1"/>
  <c r="AI3314" i="3"/>
  <c r="BG3313" i="3"/>
  <c r="BH3313" i="3" s="1"/>
  <c r="AI3313" i="3"/>
  <c r="BG3312" i="3"/>
  <c r="BH3312" i="3" s="1"/>
  <c r="BG3311" i="3"/>
  <c r="BH3311" i="3" s="1"/>
  <c r="AI3311" i="3"/>
  <c r="BG3310" i="3"/>
  <c r="BH3310" i="3" s="1"/>
  <c r="AI3310" i="3"/>
  <c r="D3326" i="3"/>
  <c r="BB3326" i="3" s="1"/>
  <c r="BG3309" i="3"/>
  <c r="BH3309" i="3" s="1"/>
  <c r="BG3308" i="3"/>
  <c r="BH3308" i="3" s="1"/>
  <c r="AI3308" i="3"/>
  <c r="BG3307" i="3"/>
  <c r="BH3307" i="3" s="1"/>
  <c r="AI3307" i="3"/>
  <c r="BG3306" i="3"/>
  <c r="BH3306" i="3" s="1"/>
  <c r="BG3305" i="3"/>
  <c r="BH3305" i="3" s="1"/>
  <c r="AI3305" i="3"/>
  <c r="BG3304" i="3"/>
  <c r="BH3304" i="3" s="1"/>
  <c r="AI3304" i="3"/>
  <c r="BG3303" i="3"/>
  <c r="BH3303" i="3" s="1"/>
  <c r="C3303" i="3"/>
  <c r="BG3302" i="3"/>
  <c r="BH3302" i="3" s="1"/>
  <c r="AI3302" i="3"/>
  <c r="D3302" i="3"/>
  <c r="BG3301" i="3"/>
  <c r="BH3301" i="3" s="1"/>
  <c r="AI3301" i="3"/>
  <c r="BG3300" i="3"/>
  <c r="BH3300" i="3" s="1"/>
  <c r="AI3300" i="3"/>
  <c r="BG3299" i="3"/>
  <c r="BH3299" i="3" s="1"/>
  <c r="AI3299" i="3"/>
  <c r="BG3298" i="3"/>
  <c r="BH3298" i="3" s="1"/>
  <c r="BG3297" i="3"/>
  <c r="BH3297" i="3" s="1"/>
  <c r="AI3297" i="3"/>
  <c r="BG3296" i="3"/>
  <c r="BH3296" i="3" s="1"/>
  <c r="AI3296" i="3"/>
  <c r="D3296" i="3"/>
  <c r="BG3295" i="3"/>
  <c r="BH3295" i="3" s="1"/>
  <c r="BG3294" i="3"/>
  <c r="BH3294" i="3" s="1"/>
  <c r="AI3294" i="3"/>
  <c r="AI3298" i="3" s="1"/>
  <c r="AI3303" i="3" s="1"/>
  <c r="AI3322" i="3" s="1"/>
  <c r="AI3324" i="3" s="1"/>
  <c r="AI3327" i="3" s="1"/>
  <c r="BG3293" i="3"/>
  <c r="BH3293" i="3" s="1"/>
  <c r="AI3293" i="3"/>
  <c r="C3293" i="3"/>
  <c r="BG3292" i="3"/>
  <c r="BH3292" i="3" s="1"/>
  <c r="AI3292" i="3"/>
  <c r="BG3291" i="3"/>
  <c r="BH3291" i="3" s="1"/>
  <c r="AI3291" i="3"/>
  <c r="BG3290" i="3"/>
  <c r="BH3290" i="3" s="1"/>
  <c r="BG3289" i="3"/>
  <c r="BH3289" i="3" s="1"/>
  <c r="AI3289" i="3"/>
  <c r="BG3288" i="3"/>
  <c r="BH3288" i="3" s="1"/>
  <c r="BG3287" i="3"/>
  <c r="BH3287" i="3" s="1"/>
  <c r="AI3287" i="3"/>
  <c r="BG3286" i="3"/>
  <c r="BH3286" i="3" s="1"/>
  <c r="BG3285" i="3"/>
  <c r="BH3285" i="3" s="1"/>
  <c r="BG3284" i="3"/>
  <c r="BH3284" i="3" s="1"/>
  <c r="AI3284" i="3"/>
  <c r="C3284" i="3"/>
  <c r="BG3283" i="3"/>
  <c r="BH3283" i="3" s="1"/>
  <c r="AI3283" i="3"/>
  <c r="BG3282" i="3"/>
  <c r="BH3282" i="3" s="1"/>
  <c r="AI3282" i="3"/>
  <c r="C3282" i="3"/>
  <c r="D3203" i="3" s="1"/>
  <c r="C1153" i="3" s="1"/>
  <c r="BG3281" i="3"/>
  <c r="BH3281" i="3" s="1"/>
  <c r="BG3280" i="3"/>
  <c r="BH3280" i="3" s="1"/>
  <c r="BG3279" i="3"/>
  <c r="BH3279" i="3" s="1"/>
  <c r="BG3278" i="3"/>
  <c r="AI3278" i="3"/>
  <c r="AC3263" i="3"/>
  <c r="AC3262" i="3"/>
  <c r="BS3262" i="3"/>
  <c r="BS3261" i="3"/>
  <c r="AC3259" i="3"/>
  <c r="AC3258" i="3"/>
  <c r="AC3257" i="3"/>
  <c r="BS3257" i="3"/>
  <c r="AC3255" i="3"/>
  <c r="AC3254" i="3"/>
  <c r="AC3253" i="3"/>
  <c r="AC3252" i="3"/>
  <c r="AC3251" i="3"/>
  <c r="AC3250" i="3"/>
  <c r="AC3249" i="3"/>
  <c r="AC3248" i="3"/>
  <c r="AC3247" i="3"/>
  <c r="AC3246" i="3"/>
  <c r="BS3246" i="3"/>
  <c r="BS3245" i="3"/>
  <c r="AC3243" i="3"/>
  <c r="BS3243" i="3"/>
  <c r="BS3242" i="3"/>
  <c r="AC3240" i="3"/>
  <c r="AC3238" i="3"/>
  <c r="AC3237" i="3"/>
  <c r="AC3236" i="3"/>
  <c r="BS3240" i="3"/>
  <c r="BS3235" i="3"/>
  <c r="BS3234" i="3"/>
  <c r="AC3232" i="3"/>
  <c r="AC3231" i="3"/>
  <c r="AC3230" i="3"/>
  <c r="BS3230" i="3"/>
  <c r="AC3228" i="3"/>
  <c r="AC3227" i="3"/>
  <c r="AC3226" i="3"/>
  <c r="AC3225" i="3"/>
  <c r="AC3224" i="3"/>
  <c r="AC3223" i="3"/>
  <c r="AC3222" i="3"/>
  <c r="AC3221" i="3"/>
  <c r="AC3220" i="3"/>
  <c r="AC3219" i="3"/>
  <c r="BS3219" i="3"/>
  <c r="BS3218" i="3"/>
  <c r="AC3216" i="3"/>
  <c r="AC3215" i="3"/>
  <c r="AC3214" i="3"/>
  <c r="AC3213" i="3"/>
  <c r="C3207" i="3"/>
  <c r="B3207" i="3"/>
  <c r="B3392" i="3"/>
  <c r="B3385" i="3"/>
  <c r="B3376" i="3"/>
  <c r="B3371" i="3"/>
  <c r="B3366" i="3"/>
  <c r="AH479" i="3"/>
  <c r="AG469" i="3"/>
  <c r="AF469" i="3"/>
  <c r="AE459" i="3"/>
  <c r="AD459" i="3"/>
  <c r="AC459" i="3"/>
  <c r="E3016" i="3"/>
  <c r="AL527" i="3" s="1"/>
  <c r="AE3015" i="3"/>
  <c r="AE3014" i="3" s="1"/>
  <c r="AE3013" i="3" s="1"/>
  <c r="AE3012" i="3" s="1"/>
  <c r="AE3011" i="3" s="1"/>
  <c r="AD3015" i="3"/>
  <c r="AD3014" i="3" s="1"/>
  <c r="AD3013" i="3" s="1"/>
  <c r="AD3012" i="3" s="1"/>
  <c r="AD3011" i="3" s="1"/>
  <c r="AC3015" i="3"/>
  <c r="AC3014" i="3" s="1"/>
  <c r="AB3015" i="3"/>
  <c r="AB3014" i="3" s="1"/>
  <c r="AB3013" i="3" s="1"/>
  <c r="AB3012" i="3" s="1"/>
  <c r="AB3011" i="3" s="1"/>
  <c r="G3015" i="3"/>
  <c r="G3014" i="3" s="1"/>
  <c r="G3013" i="3" s="1"/>
  <c r="G3012" i="3" s="1"/>
  <c r="G3011" i="3" s="1"/>
  <c r="BB1212" i="3"/>
  <c r="BB1211" i="3" s="1"/>
  <c r="BH1211" i="3" s="1"/>
  <c r="AH1211" i="3"/>
  <c r="AM1211" i="3" s="1"/>
  <c r="B1211" i="3" s="1"/>
  <c r="BB1209" i="3"/>
  <c r="BB1208" i="3" s="1"/>
  <c r="BH1208" i="3" s="1"/>
  <c r="AH1208" i="3"/>
  <c r="AM1208" i="3" s="1"/>
  <c r="B1208" i="3" s="1"/>
  <c r="BB1206" i="3"/>
  <c r="BB1205" i="3" s="1"/>
  <c r="BH1205" i="3" s="1"/>
  <c r="AH1205" i="3"/>
  <c r="AM1205" i="3" s="1"/>
  <c r="B1205" i="3" s="1"/>
  <c r="BD1203" i="3"/>
  <c r="BD1202" i="3" s="1"/>
  <c r="BJ1202" i="3" s="1"/>
  <c r="BB1203" i="3"/>
  <c r="BB1202" i="3" s="1"/>
  <c r="BH1202" i="3" s="1"/>
  <c r="AJ1202" i="3"/>
  <c r="AH1202" i="3"/>
  <c r="BB1200" i="3"/>
  <c r="BB1199" i="3" s="1"/>
  <c r="BH1199" i="3" s="1"/>
  <c r="AH1199" i="3"/>
  <c r="AM1199" i="3" s="1"/>
  <c r="B1199" i="3" s="1"/>
  <c r="BD1197" i="3"/>
  <c r="BD1196" i="3" s="1"/>
  <c r="BJ1196" i="3" s="1"/>
  <c r="BB1197" i="3"/>
  <c r="BB1196" i="3" s="1"/>
  <c r="BH1196" i="3" s="1"/>
  <c r="AJ1196" i="3"/>
  <c r="AH1196" i="3"/>
  <c r="BB1194" i="3"/>
  <c r="BB1193" i="3" s="1"/>
  <c r="BH1193" i="3" s="1"/>
  <c r="AH1193" i="3"/>
  <c r="AM1193" i="3" s="1"/>
  <c r="B1193" i="3" s="1"/>
  <c r="BD1191" i="3"/>
  <c r="BB1191" i="3"/>
  <c r="BB1190" i="3" s="1"/>
  <c r="BH1190" i="3" s="1"/>
  <c r="AJ1190" i="3"/>
  <c r="AH1190" i="3"/>
  <c r="BD1188" i="3"/>
  <c r="BB1188" i="3"/>
  <c r="BB1187" i="3" s="1"/>
  <c r="BH1187" i="3" s="1"/>
  <c r="AJ1187" i="3"/>
  <c r="AH1187" i="3"/>
  <c r="BB1185" i="3"/>
  <c r="BB1184" i="3" s="1"/>
  <c r="BH1184" i="3" s="1"/>
  <c r="AH1184" i="3"/>
  <c r="AM1184" i="3" s="1"/>
  <c r="B1184" i="3" s="1"/>
  <c r="BD1182" i="3"/>
  <c r="BB1182" i="3"/>
  <c r="BB1181" i="3" s="1"/>
  <c r="BH1181" i="3" s="1"/>
  <c r="AJ1181" i="3"/>
  <c r="AH1181" i="3"/>
  <c r="BD1179" i="3"/>
  <c r="BD1178" i="3" s="1"/>
  <c r="BJ1178" i="3" s="1"/>
  <c r="BB1179" i="3"/>
  <c r="BB1178" i="3" s="1"/>
  <c r="BH1178" i="3" s="1"/>
  <c r="AJ1178" i="3"/>
  <c r="AH1178" i="3"/>
  <c r="AR1176" i="3"/>
  <c r="AL1176" i="3"/>
  <c r="AL1175" i="3"/>
  <c r="AR1175" i="3" s="1"/>
  <c r="AC1171" i="3" s="1"/>
  <c r="C1174" i="3" s="1"/>
  <c r="AL1174" i="3"/>
  <c r="AR1174" i="3" s="1"/>
  <c r="AL1173" i="3"/>
  <c r="AR1173" i="3" s="1"/>
  <c r="AL1172" i="3"/>
  <c r="AR1172" i="3" s="1"/>
  <c r="AX1171" i="3"/>
  <c r="B1737" i="3"/>
  <c r="AO1736" i="3"/>
  <c r="D1736" i="3" s="1"/>
  <c r="B1736" i="3"/>
  <c r="B1731" i="3"/>
  <c r="AO1730" i="3"/>
  <c r="D1730" i="3" s="1"/>
  <c r="B1730" i="3"/>
  <c r="B1725" i="3"/>
  <c r="AO1724" i="3"/>
  <c r="D1724" i="3" s="1"/>
  <c r="B1724" i="3"/>
  <c r="B1719" i="3"/>
  <c r="AO1718" i="3"/>
  <c r="D1718" i="3" s="1"/>
  <c r="B1718" i="3"/>
  <c r="B1713" i="3"/>
  <c r="AO1712" i="3"/>
  <c r="D1712" i="3" s="1"/>
  <c r="B1712" i="3"/>
  <c r="AE1695" i="3"/>
  <c r="AD1695" i="3"/>
  <c r="AC1695" i="3"/>
  <c r="AD1694" i="3"/>
  <c r="AD1693" i="3"/>
  <c r="AD1692" i="3"/>
  <c r="AD1691" i="3"/>
  <c r="AD1690" i="3"/>
  <c r="AQ1689" i="3"/>
  <c r="AI1689" i="3" s="1"/>
  <c r="C1688" i="3"/>
  <c r="AE1685" i="3"/>
  <c r="AD1685" i="3"/>
  <c r="AC1685" i="3"/>
  <c r="AD1684" i="3"/>
  <c r="AD1683" i="3"/>
  <c r="AD1682" i="3"/>
  <c r="AD1681" i="3"/>
  <c r="AD1680" i="3"/>
  <c r="AQ1679" i="3"/>
  <c r="AI1679" i="3" s="1"/>
  <c r="C1678" i="3"/>
  <c r="AE1675" i="3"/>
  <c r="AD1675" i="3"/>
  <c r="AC1675" i="3"/>
  <c r="AD1674" i="3"/>
  <c r="AD1673" i="3"/>
  <c r="AD1672" i="3"/>
  <c r="BZ1671" i="3"/>
  <c r="CB1671" i="3" s="1"/>
  <c r="AD1671" i="3"/>
  <c r="BZ1670" i="3"/>
  <c r="CB1670" i="3" s="1"/>
  <c r="AD1670" i="3"/>
  <c r="CB1669" i="3"/>
  <c r="AQ1669" i="3"/>
  <c r="AI1669" i="3" s="1"/>
  <c r="C1668" i="3"/>
  <c r="AE1665" i="3"/>
  <c r="AD1665" i="3"/>
  <c r="AC1665" i="3"/>
  <c r="AD1664" i="3"/>
  <c r="AD1663" i="3"/>
  <c r="AD1662" i="3"/>
  <c r="AD1661" i="3"/>
  <c r="AD1660" i="3"/>
  <c r="AQ1659" i="3"/>
  <c r="AI1659" i="3" s="1"/>
  <c r="C1658" i="3"/>
  <c r="AE1655" i="3"/>
  <c r="AD1655" i="3"/>
  <c r="AC1655" i="3"/>
  <c r="AD1654" i="3"/>
  <c r="BF1653" i="3"/>
  <c r="AD1653" i="3"/>
  <c r="BF1652" i="3"/>
  <c r="AD1652" i="3"/>
  <c r="BF1651" i="3"/>
  <c r="AD1651" i="3"/>
  <c r="BJ1650" i="3"/>
  <c r="BH1650" i="3"/>
  <c r="BF1650" i="3"/>
  <c r="AD1650" i="3"/>
  <c r="BJ1649" i="3"/>
  <c r="BH1649" i="3"/>
  <c r="AQ1649" i="3"/>
  <c r="AI1649" i="3" s="1"/>
  <c r="BJ1648" i="3"/>
  <c r="BH1648" i="3"/>
  <c r="BF1648" i="3"/>
  <c r="BJ1647" i="3"/>
  <c r="BH1647" i="3"/>
  <c r="BF1647" i="3"/>
  <c r="BJ1646" i="3"/>
  <c r="BH1646" i="3"/>
  <c r="BF1646" i="3"/>
  <c r="BJ1645" i="3"/>
  <c r="BH1645" i="3"/>
  <c r="BF1645" i="3"/>
  <c r="AE1645" i="3"/>
  <c r="AD1645" i="3"/>
  <c r="AC1645" i="3"/>
  <c r="BJ1644" i="3"/>
  <c r="BH1644" i="3"/>
  <c r="AD1644" i="3"/>
  <c r="BJ1643" i="3"/>
  <c r="BH1643" i="3"/>
  <c r="BF1643" i="3"/>
  <c r="AD1643" i="3"/>
  <c r="BJ1642" i="3"/>
  <c r="BH1642" i="3"/>
  <c r="BF1642" i="3"/>
  <c r="AD1642" i="3"/>
  <c r="CG1641" i="3"/>
  <c r="CE1641" i="3"/>
  <c r="BZ1641" i="3"/>
  <c r="BJ1641" i="3"/>
  <c r="BH1641" i="3"/>
  <c r="BF1641" i="3"/>
  <c r="AD1641" i="3"/>
  <c r="CE1640" i="3"/>
  <c r="CB1640" i="3" s="1"/>
  <c r="BZ1640" i="3"/>
  <c r="BJ1640" i="3"/>
  <c r="BH1640" i="3"/>
  <c r="AD1640" i="3"/>
  <c r="CI1639" i="3"/>
  <c r="AE1687" i="3" s="1"/>
  <c r="BJ1639" i="3"/>
  <c r="BF1640" i="3" s="1"/>
  <c r="BH1639" i="3" s="1"/>
  <c r="AQ1639" i="3"/>
  <c r="AI1639" i="3" s="1"/>
  <c r="D1591" i="3"/>
  <c r="AH1591" i="3" s="1"/>
  <c r="C1591" i="3"/>
  <c r="AC1588" i="3"/>
  <c r="D1587" i="3"/>
  <c r="AH1587" i="3" s="1"/>
  <c r="C1587" i="3"/>
  <c r="AC1587" i="3" s="1"/>
  <c r="D1581" i="3"/>
  <c r="AH1581" i="3" s="1"/>
  <c r="C1581" i="3"/>
  <c r="AC1578" i="3"/>
  <c r="D1577" i="3"/>
  <c r="AH1577" i="3" s="1"/>
  <c r="C1577" i="3"/>
  <c r="D1571" i="3"/>
  <c r="AH1571" i="3" s="1"/>
  <c r="C1571" i="3"/>
  <c r="AC1568" i="3"/>
  <c r="D1567" i="3"/>
  <c r="AH1567" i="3" s="1"/>
  <c r="C1567" i="3"/>
  <c r="AC1567" i="3" s="1"/>
  <c r="D1561" i="3"/>
  <c r="AH1561" i="3" s="1"/>
  <c r="C1561" i="3"/>
  <c r="AC1558" i="3"/>
  <c r="D1557" i="3"/>
  <c r="AH1557" i="3" s="1"/>
  <c r="C1557" i="3"/>
  <c r="AC1557" i="3" s="1"/>
  <c r="D1551" i="3"/>
  <c r="AH1551" i="3" s="1"/>
  <c r="C1551" i="3"/>
  <c r="AC1548" i="3"/>
  <c r="D1547" i="3"/>
  <c r="AH1547" i="3" s="1"/>
  <c r="C1547" i="3"/>
  <c r="AC1547" i="3" s="1"/>
  <c r="D1541" i="3"/>
  <c r="AH1541" i="3" s="1"/>
  <c r="C1541" i="3"/>
  <c r="AC1538" i="3"/>
  <c r="D1537" i="3"/>
  <c r="AH1537" i="3" s="1"/>
  <c r="C1537" i="3"/>
  <c r="D1531" i="3"/>
  <c r="AH1531" i="3" s="1"/>
  <c r="C1531" i="3"/>
  <c r="AC1528" i="3"/>
  <c r="D1527" i="3"/>
  <c r="AH1527" i="3" s="1"/>
  <c r="C1527" i="3"/>
  <c r="AC1527" i="3" s="1"/>
  <c r="D1521" i="3"/>
  <c r="AH1521" i="3" s="1"/>
  <c r="C1521" i="3"/>
  <c r="AC1518" i="3"/>
  <c r="D1517" i="3"/>
  <c r="AH1517" i="3" s="1"/>
  <c r="C1517" i="3"/>
  <c r="AC1517" i="3" s="1"/>
  <c r="D1511" i="3"/>
  <c r="AH1511" i="3" s="1"/>
  <c r="C1511" i="3"/>
  <c r="AC1508" i="3"/>
  <c r="D1507" i="3"/>
  <c r="AH1507" i="3" s="1"/>
  <c r="C1507" i="3"/>
  <c r="AC1507" i="3" s="1"/>
  <c r="D1501" i="3"/>
  <c r="AH1501" i="3" s="1"/>
  <c r="C1501" i="3"/>
  <c r="AC1498" i="3"/>
  <c r="D1497" i="3"/>
  <c r="AH1497" i="3" s="1"/>
  <c r="C1497" i="3"/>
  <c r="D1491" i="3"/>
  <c r="AH1491" i="3" s="1"/>
  <c r="C1491" i="3"/>
  <c r="AC1488" i="3"/>
  <c r="D1487" i="3"/>
  <c r="AH1487" i="3" s="1"/>
  <c r="C1487" i="3"/>
  <c r="AC1487" i="3" s="1"/>
  <c r="D1481" i="3"/>
  <c r="AH1481" i="3" s="1"/>
  <c r="C1481" i="3"/>
  <c r="AC1478" i="3"/>
  <c r="D1477" i="3"/>
  <c r="AH1477" i="3" s="1"/>
  <c r="C1477" i="3"/>
  <c r="AC1477" i="3" s="1"/>
  <c r="D1471" i="3"/>
  <c r="AH1471" i="3" s="1"/>
  <c r="C1471" i="3"/>
  <c r="AC1468" i="3"/>
  <c r="D1467" i="3"/>
  <c r="AH1467" i="3" s="1"/>
  <c r="C1467" i="3"/>
  <c r="AC1467" i="3" s="1"/>
  <c r="D1461" i="3"/>
  <c r="AH1461" i="3" s="1"/>
  <c r="C1461" i="3"/>
  <c r="AC1458" i="3"/>
  <c r="D1457" i="3"/>
  <c r="AH1457" i="3" s="1"/>
  <c r="C1457" i="3"/>
  <c r="AC1457" i="3" s="1"/>
  <c r="D1451" i="3"/>
  <c r="AH1451" i="3" s="1"/>
  <c r="C1451" i="3"/>
  <c r="AC1448" i="3"/>
  <c r="D1447" i="3"/>
  <c r="AH1447" i="3" s="1"/>
  <c r="C1447" i="3"/>
  <c r="D1441" i="3"/>
  <c r="AH1441" i="3" s="1"/>
  <c r="C1441" i="3"/>
  <c r="AC1438" i="3"/>
  <c r="D1437" i="3"/>
  <c r="AH1437" i="3" s="1"/>
  <c r="C1437" i="3"/>
  <c r="AC1437" i="3" s="1"/>
  <c r="D1431" i="3"/>
  <c r="AH1431" i="3" s="1"/>
  <c r="C1431" i="3"/>
  <c r="AC1428" i="3"/>
  <c r="D1427" i="3"/>
  <c r="AH1427" i="3" s="1"/>
  <c r="C1427" i="3"/>
  <c r="AC1427" i="3" s="1"/>
  <c r="D1421" i="3"/>
  <c r="AH1421" i="3" s="1"/>
  <c r="C1421" i="3"/>
  <c r="AC1418" i="3"/>
  <c r="D1417" i="3"/>
  <c r="AH1417" i="3" s="1"/>
  <c r="C1417" i="3"/>
  <c r="AC1417" i="3" s="1"/>
  <c r="D1411" i="3"/>
  <c r="AH1411" i="3" s="1"/>
  <c r="C1411" i="3"/>
  <c r="AC1408" i="3"/>
  <c r="D1407" i="3"/>
  <c r="AH1407" i="3" s="1"/>
  <c r="C1407" i="3"/>
  <c r="AC1407" i="3" s="1"/>
  <c r="D1401" i="3"/>
  <c r="AH1401" i="3" s="1"/>
  <c r="C1401" i="3"/>
  <c r="AC1398" i="3"/>
  <c r="D1397" i="3"/>
  <c r="AH1397" i="3" s="1"/>
  <c r="C1397" i="3"/>
  <c r="AC1397" i="3" s="1"/>
  <c r="D1391" i="3"/>
  <c r="AH1391" i="3" s="1"/>
  <c r="C1391" i="3"/>
  <c r="AC1388" i="3"/>
  <c r="D1387" i="3"/>
  <c r="AH1387" i="3" s="1"/>
  <c r="C1387" i="3"/>
  <c r="AC1387" i="3" s="1"/>
  <c r="D1381" i="3"/>
  <c r="AH1381" i="3" s="1"/>
  <c r="C1381" i="3"/>
  <c r="AC1378" i="3"/>
  <c r="D1377" i="3"/>
  <c r="AH1377" i="3" s="1"/>
  <c r="C1377" i="3"/>
  <c r="AC1377" i="3" s="1"/>
  <c r="D1371" i="3"/>
  <c r="AH1371" i="3" s="1"/>
  <c r="C1371" i="3"/>
  <c r="AS1369" i="3"/>
  <c r="AC1368" i="3"/>
  <c r="D1367" i="3"/>
  <c r="AH1367" i="3" s="1"/>
  <c r="C1367" i="3"/>
  <c r="AC1367" i="3" s="1"/>
  <c r="AX1361" i="3"/>
  <c r="AS1360" i="3" s="1"/>
  <c r="D1361" i="3"/>
  <c r="AH1361" i="3" s="1"/>
  <c r="C1361" i="3"/>
  <c r="BN1352" i="3" s="1"/>
  <c r="D1359" i="3"/>
  <c r="AC1358" i="3"/>
  <c r="AE1478" i="3" s="1"/>
  <c r="D1357" i="3"/>
  <c r="AH1357" i="3" s="1"/>
  <c r="C1357" i="3"/>
  <c r="A1357" i="3" s="1"/>
  <c r="AC1355" i="3"/>
  <c r="AF1355" i="3" s="1"/>
  <c r="AJ1353" i="3"/>
  <c r="D1113" i="3"/>
  <c r="D1116" i="3" s="1"/>
  <c r="AG1102" i="3"/>
  <c r="C1090" i="3"/>
  <c r="AF1093" i="3" s="1"/>
  <c r="C1085" i="3"/>
  <c r="AF1088" i="3" s="1"/>
  <c r="C1080" i="3"/>
  <c r="AF1084" i="3" s="1"/>
  <c r="C1075" i="3"/>
  <c r="AF1078" i="3" s="1"/>
  <c r="C1070" i="3"/>
  <c r="AF1074" i="3" s="1"/>
  <c r="C1065" i="3"/>
  <c r="AF1068" i="3" s="1"/>
  <c r="C1060" i="3"/>
  <c r="AF1064" i="3" s="1"/>
  <c r="C1055" i="3"/>
  <c r="AF1058" i="3" s="1"/>
  <c r="C1050" i="3"/>
  <c r="AF1054" i="3" s="1"/>
  <c r="C1045" i="3"/>
  <c r="AF1048" i="3" s="1"/>
  <c r="C1040" i="3"/>
  <c r="AF1044" i="3" s="1"/>
  <c r="C1035" i="3"/>
  <c r="AF1038" i="3" s="1"/>
  <c r="C1030" i="3"/>
  <c r="AF1034" i="3" s="1"/>
  <c r="C1025" i="3"/>
  <c r="AF1028" i="3" s="1"/>
  <c r="C1020" i="3"/>
  <c r="AF1024" i="3" s="1"/>
  <c r="C1015" i="3"/>
  <c r="AF1018" i="3" s="1"/>
  <c r="C1010" i="3"/>
  <c r="AF1014" i="3" s="1"/>
  <c r="C1005" i="3"/>
  <c r="AF1008" i="3" s="1"/>
  <c r="C1000" i="3"/>
  <c r="AF1004" i="3" s="1"/>
  <c r="C995" i="3"/>
  <c r="AF998" i="3" s="1"/>
  <c r="C990" i="3"/>
  <c r="AF994" i="3" s="1"/>
  <c r="D989" i="3"/>
  <c r="AD978" i="3"/>
  <c r="AC978" i="3"/>
  <c r="AC977" i="3"/>
  <c r="AF950" i="3"/>
  <c r="AF961" i="3" s="1"/>
  <c r="AE950" i="3"/>
  <c r="AE962" i="3" s="1"/>
  <c r="AD950" i="3"/>
  <c r="AD973" i="3" s="1"/>
  <c r="AC950" i="3"/>
  <c r="AC970" i="3" s="1"/>
  <c r="AR922" i="3"/>
  <c r="C75" i="3" s="1"/>
  <c r="AR920" i="3"/>
  <c r="AR919" i="3"/>
  <c r="AR918" i="3"/>
  <c r="AR917" i="3"/>
  <c r="AR916" i="3"/>
  <c r="AR915" i="3"/>
  <c r="AR914" i="3"/>
  <c r="C67" i="3" s="1"/>
  <c r="AR913" i="3"/>
  <c r="AK891" i="3"/>
  <c r="BA899" i="3" s="1"/>
  <c r="AD891" i="3"/>
  <c r="AE891" i="3" s="1"/>
  <c r="AF891" i="3" s="1"/>
  <c r="AG891" i="3" s="1"/>
  <c r="AH894" i="3"/>
  <c r="AG896" i="3"/>
  <c r="AE896" i="3"/>
  <c r="AD896" i="3"/>
  <c r="AC896" i="3"/>
  <c r="AD881" i="3"/>
  <c r="AE881" i="3" s="1"/>
  <c r="AF881" i="3" s="1"/>
  <c r="AG881" i="3" s="1"/>
  <c r="AF887" i="3"/>
  <c r="AE887" i="3"/>
  <c r="AD883" i="3"/>
  <c r="AS872" i="3"/>
  <c r="BD872" i="3" s="1"/>
  <c r="BF872" i="3" s="1"/>
  <c r="AS869" i="3"/>
  <c r="BD869" i="3" s="1"/>
  <c r="BF869" i="3" s="1"/>
  <c r="AS863" i="3"/>
  <c r="BD863" i="3" s="1"/>
  <c r="BF863" i="3" s="1"/>
  <c r="AS862" i="3"/>
  <c r="BD862" i="3" s="1"/>
  <c r="BF862" i="3" s="1"/>
  <c r="AS861" i="3"/>
  <c r="AP859" i="3"/>
  <c r="AP862" i="3" s="1"/>
  <c r="AO859" i="3"/>
  <c r="AN859" i="3"/>
  <c r="AN863" i="3" s="1"/>
  <c r="AM859" i="3"/>
  <c r="AM872" i="3" s="1"/>
  <c r="AL859" i="3"/>
  <c r="AL867" i="3" s="1"/>
  <c r="AK859" i="3"/>
  <c r="AJ859" i="3"/>
  <c r="AJ870" i="3" s="1"/>
  <c r="AI859" i="3"/>
  <c r="AI871" i="3" s="1"/>
  <c r="AF859" i="3"/>
  <c r="AF871" i="3" s="1"/>
  <c r="AE859" i="3"/>
  <c r="AD859" i="3"/>
  <c r="AD867" i="3" s="1"/>
  <c r="AC859" i="3"/>
  <c r="AC867" i="3" s="1"/>
  <c r="AJ858" i="3"/>
  <c r="AK858" i="3" s="1"/>
  <c r="AL858" i="3" s="1"/>
  <c r="AD858" i="3"/>
  <c r="AE858" i="3" s="1"/>
  <c r="AF858" i="3" s="1"/>
  <c r="AI853" i="3"/>
  <c r="AH853" i="3"/>
  <c r="AG853" i="3"/>
  <c r="AE853" i="3"/>
  <c r="AD853" i="3"/>
  <c r="AC853" i="3"/>
  <c r="AI852" i="3"/>
  <c r="AH852" i="3"/>
  <c r="AG852" i="3"/>
  <c r="AE852" i="3"/>
  <c r="AD852" i="3"/>
  <c r="AC852" i="3"/>
  <c r="AI851" i="3"/>
  <c r="AH851" i="3"/>
  <c r="AG851" i="3"/>
  <c r="AE851" i="3"/>
  <c r="AD851" i="3"/>
  <c r="AC851" i="3"/>
  <c r="AI850" i="3"/>
  <c r="AH850" i="3"/>
  <c r="AG850" i="3"/>
  <c r="AE850" i="3"/>
  <c r="AD850" i="3"/>
  <c r="AC850" i="3"/>
  <c r="AI849" i="3"/>
  <c r="AH849" i="3"/>
  <c r="AG849" i="3"/>
  <c r="AE849" i="3"/>
  <c r="AD849" i="3"/>
  <c r="AC849" i="3"/>
  <c r="AI848" i="3"/>
  <c r="AH848" i="3"/>
  <c r="AG848" i="3"/>
  <c r="AE848" i="3"/>
  <c r="AD848" i="3"/>
  <c r="AC848" i="3"/>
  <c r="AI847" i="3"/>
  <c r="AH847" i="3"/>
  <c r="AG847" i="3"/>
  <c r="AE847" i="3"/>
  <c r="AD847" i="3"/>
  <c r="AC847" i="3"/>
  <c r="AI846" i="3"/>
  <c r="AH846" i="3"/>
  <c r="AG846" i="3"/>
  <c r="AE846" i="3"/>
  <c r="AD846" i="3"/>
  <c r="AC846" i="3"/>
  <c r="AI845" i="3"/>
  <c r="AH845" i="3"/>
  <c r="AG845" i="3"/>
  <c r="AE845" i="3"/>
  <c r="AD845" i="3"/>
  <c r="AC845" i="3"/>
  <c r="AI844" i="3"/>
  <c r="AH844" i="3"/>
  <c r="AG844" i="3"/>
  <c r="AE844" i="3"/>
  <c r="AD844" i="3"/>
  <c r="AC844" i="3"/>
  <c r="AI843" i="3"/>
  <c r="AH843" i="3"/>
  <c r="AG843" i="3"/>
  <c r="AE843" i="3"/>
  <c r="AD843" i="3"/>
  <c r="AC843" i="3"/>
  <c r="AI842" i="3"/>
  <c r="AH842" i="3"/>
  <c r="AG842" i="3"/>
  <c r="AE842" i="3"/>
  <c r="AD842" i="3"/>
  <c r="AC842" i="3"/>
  <c r="AI841" i="3"/>
  <c r="AH841" i="3"/>
  <c r="AG841" i="3"/>
  <c r="AE841" i="3"/>
  <c r="AD841" i="3"/>
  <c r="AC841" i="3"/>
  <c r="AI840" i="3"/>
  <c r="AH840" i="3"/>
  <c r="AG840" i="3"/>
  <c r="AE840" i="3"/>
  <c r="AD840" i="3"/>
  <c r="AC840" i="3"/>
  <c r="AI839" i="3"/>
  <c r="AH839" i="3"/>
  <c r="AG839" i="3"/>
  <c r="AE839" i="3"/>
  <c r="AD839" i="3"/>
  <c r="AC839" i="3"/>
  <c r="AI838" i="3"/>
  <c r="AH838" i="3"/>
  <c r="AG838" i="3"/>
  <c r="AE838" i="3"/>
  <c r="AD838" i="3"/>
  <c r="AC838" i="3"/>
  <c r="AI837" i="3"/>
  <c r="AH837" i="3"/>
  <c r="AG837" i="3"/>
  <c r="AE837" i="3"/>
  <c r="AD837" i="3"/>
  <c r="AC837" i="3"/>
  <c r="AI836" i="3"/>
  <c r="AH836" i="3"/>
  <c r="AG836" i="3"/>
  <c r="AE836" i="3"/>
  <c r="AD836" i="3"/>
  <c r="AC836" i="3"/>
  <c r="AT835" i="3"/>
  <c r="AT836" i="3" s="1"/>
  <c r="AS835" i="3"/>
  <c r="AI835" i="3"/>
  <c r="AH835" i="3"/>
  <c r="AG835" i="3"/>
  <c r="AE835" i="3"/>
  <c r="AD835" i="3"/>
  <c r="AC835" i="3"/>
  <c r="AI834" i="3"/>
  <c r="AH834" i="3"/>
  <c r="AG834" i="3"/>
  <c r="AE834" i="3"/>
  <c r="AD834" i="3"/>
  <c r="AC834" i="3"/>
  <c r="AV817" i="3"/>
  <c r="AS817" i="3"/>
  <c r="AQ817" i="3"/>
  <c r="AO817" i="3"/>
  <c r="AM817" i="3"/>
  <c r="AK817" i="3"/>
  <c r="AI817" i="3"/>
  <c r="AG817" i="3"/>
  <c r="AV816" i="3"/>
  <c r="AS816" i="3"/>
  <c r="AQ816" i="3"/>
  <c r="AO816" i="3"/>
  <c r="AM816" i="3"/>
  <c r="AK816" i="3"/>
  <c r="AI816" i="3"/>
  <c r="AG816" i="3"/>
  <c r="AV815" i="3"/>
  <c r="AS815" i="3"/>
  <c r="AQ815" i="3"/>
  <c r="AO815" i="3"/>
  <c r="AM815" i="3"/>
  <c r="AK815" i="3"/>
  <c r="AI815" i="3"/>
  <c r="AG815" i="3"/>
  <c r="AZ814" i="3"/>
  <c r="AZ815" i="3" s="1"/>
  <c r="AX814" i="3"/>
  <c r="AV814" i="3"/>
  <c r="AS814" i="3"/>
  <c r="AQ814" i="3"/>
  <c r="AO814" i="3"/>
  <c r="AM814" i="3"/>
  <c r="AK814" i="3"/>
  <c r="AI814" i="3"/>
  <c r="AG814" i="3"/>
  <c r="AV813" i="3"/>
  <c r="AS813" i="3"/>
  <c r="AQ813" i="3"/>
  <c r="AO813" i="3"/>
  <c r="AM813" i="3"/>
  <c r="AK813" i="3"/>
  <c r="AI813" i="3"/>
  <c r="AG813" i="3"/>
  <c r="A813" i="3"/>
  <c r="AV812" i="3"/>
  <c r="AU781" i="3"/>
  <c r="AT781" i="3"/>
  <c r="AS781" i="3"/>
  <c r="AR781" i="3"/>
  <c r="AQ781" i="3"/>
  <c r="AP781" i="3"/>
  <c r="AO781" i="3"/>
  <c r="AN781" i="3"/>
  <c r="AL781" i="3"/>
  <c r="AK781" i="3"/>
  <c r="AJ781" i="3"/>
  <c r="AI781" i="3"/>
  <c r="AH781" i="3"/>
  <c r="AG781" i="3"/>
  <c r="AE781" i="3"/>
  <c r="AD781" i="3"/>
  <c r="AC781" i="3"/>
  <c r="AB781" i="3"/>
  <c r="D780" i="3"/>
  <c r="B780" i="3"/>
  <c r="C780" i="3" s="1"/>
  <c r="D777" i="3"/>
  <c r="AU776" i="3"/>
  <c r="AT776" i="3"/>
  <c r="AS776" i="3"/>
  <c r="AR776" i="3"/>
  <c r="AQ776" i="3"/>
  <c r="AP776" i="3"/>
  <c r="AO776" i="3"/>
  <c r="AN776" i="3"/>
  <c r="AL776" i="3"/>
  <c r="AK776" i="3"/>
  <c r="AJ776" i="3"/>
  <c r="AI776" i="3"/>
  <c r="AH776" i="3"/>
  <c r="AG776" i="3"/>
  <c r="AE776" i="3"/>
  <c r="AD776" i="3"/>
  <c r="AC776" i="3"/>
  <c r="AB776" i="3"/>
  <c r="D775" i="3"/>
  <c r="B775" i="3"/>
  <c r="C775" i="3" s="1"/>
  <c r="D772" i="3"/>
  <c r="AU771" i="3"/>
  <c r="AT771" i="3"/>
  <c r="AS771" i="3"/>
  <c r="AR771" i="3"/>
  <c r="AQ771" i="3"/>
  <c r="AP771" i="3"/>
  <c r="AO771" i="3"/>
  <c r="AN771" i="3"/>
  <c r="AL771" i="3"/>
  <c r="AK771" i="3"/>
  <c r="AJ771" i="3"/>
  <c r="AI771" i="3"/>
  <c r="AH771" i="3"/>
  <c r="AG771" i="3"/>
  <c r="AE771" i="3"/>
  <c r="AD771" i="3"/>
  <c r="AC771" i="3"/>
  <c r="AB771" i="3"/>
  <c r="D770" i="3"/>
  <c r="B770" i="3"/>
  <c r="C770" i="3" s="1"/>
  <c r="D767" i="3"/>
  <c r="AU766" i="3"/>
  <c r="AT766" i="3"/>
  <c r="AS766" i="3"/>
  <c r="AR766" i="3"/>
  <c r="AQ766" i="3"/>
  <c r="AP766" i="3"/>
  <c r="AO766" i="3"/>
  <c r="AN766" i="3"/>
  <c r="AL766" i="3"/>
  <c r="AK766" i="3"/>
  <c r="AJ766" i="3"/>
  <c r="AI766" i="3"/>
  <c r="AH766" i="3"/>
  <c r="AG766" i="3"/>
  <c r="AE766" i="3"/>
  <c r="AD766" i="3"/>
  <c r="AC766" i="3"/>
  <c r="AB766" i="3"/>
  <c r="D765" i="3"/>
  <c r="B765" i="3"/>
  <c r="C765" i="3" s="1"/>
  <c r="D762" i="3"/>
  <c r="AU761" i="3"/>
  <c r="AT761" i="3"/>
  <c r="AS761" i="3"/>
  <c r="AR761" i="3"/>
  <c r="AQ761" i="3"/>
  <c r="AP761" i="3"/>
  <c r="AO761" i="3"/>
  <c r="AN761" i="3"/>
  <c r="AL761" i="3"/>
  <c r="AK761" i="3"/>
  <c r="AJ761" i="3"/>
  <c r="AI761" i="3"/>
  <c r="AH761" i="3"/>
  <c r="AG761" i="3"/>
  <c r="AE761" i="3"/>
  <c r="AD761" i="3"/>
  <c r="AC761" i="3"/>
  <c r="AB761" i="3"/>
  <c r="D760" i="3"/>
  <c r="B760" i="3"/>
  <c r="C760" i="3" s="1"/>
  <c r="D757" i="3"/>
  <c r="AU756" i="3"/>
  <c r="AS756" i="3"/>
  <c r="AQ756" i="3"/>
  <c r="AO756" i="3"/>
  <c r="AN756" i="3"/>
  <c r="AD756" i="3"/>
  <c r="AP756" i="3" s="1"/>
  <c r="AU751" i="3"/>
  <c r="AT751" i="3"/>
  <c r="AS751" i="3"/>
  <c r="AR751" i="3"/>
  <c r="AQ751" i="3"/>
  <c r="AP751" i="3"/>
  <c r="AO751" i="3"/>
  <c r="AN751" i="3"/>
  <c r="AL751" i="3"/>
  <c r="AK751" i="3"/>
  <c r="AJ751" i="3"/>
  <c r="AI751" i="3"/>
  <c r="AH751" i="3"/>
  <c r="AE751" i="3"/>
  <c r="AC751" i="3"/>
  <c r="AB751" i="3"/>
  <c r="D750" i="3"/>
  <c r="B750" i="3"/>
  <c r="C750" i="3" s="1"/>
  <c r="D747" i="3"/>
  <c r="AU746" i="3"/>
  <c r="AS746" i="3"/>
  <c r="AQ746" i="3"/>
  <c r="AO746" i="3"/>
  <c r="AN746" i="3"/>
  <c r="AD746" i="3"/>
  <c r="AP746" i="3" s="1"/>
  <c r="AU743" i="3"/>
  <c r="AT743" i="3"/>
  <c r="AS743" i="3"/>
  <c r="AR743" i="3"/>
  <c r="AQ743" i="3"/>
  <c r="AP743" i="3"/>
  <c r="AO743" i="3"/>
  <c r="AN743" i="3"/>
  <c r="AL743" i="3"/>
  <c r="AK743" i="3"/>
  <c r="AJ743" i="3"/>
  <c r="AI743" i="3"/>
  <c r="AH743" i="3"/>
  <c r="AG743" i="3"/>
  <c r="AE743" i="3"/>
  <c r="AD743" i="3"/>
  <c r="AC743" i="3"/>
  <c r="AB743" i="3"/>
  <c r="D742" i="3"/>
  <c r="B742" i="3"/>
  <c r="C742" i="3" s="1"/>
  <c r="D739" i="3"/>
  <c r="AU738" i="3"/>
  <c r="AT738" i="3"/>
  <c r="AS738" i="3"/>
  <c r="AR738" i="3"/>
  <c r="AQ738" i="3"/>
  <c r="AP738" i="3"/>
  <c r="AO738" i="3"/>
  <c r="AN738" i="3"/>
  <c r="AL738" i="3"/>
  <c r="AK738" i="3"/>
  <c r="AJ738" i="3"/>
  <c r="AH738" i="3"/>
  <c r="AG738" i="3"/>
  <c r="AE738" i="3"/>
  <c r="AC738" i="3"/>
  <c r="AB738" i="3"/>
  <c r="D737" i="3"/>
  <c r="B737" i="3"/>
  <c r="C737" i="3" s="1"/>
  <c r="D734" i="3"/>
  <c r="AU733" i="3"/>
  <c r="AT733" i="3"/>
  <c r="AS733" i="3"/>
  <c r="AR733" i="3"/>
  <c r="AQ733" i="3"/>
  <c r="AP733" i="3"/>
  <c r="AO733" i="3"/>
  <c r="AN733" i="3"/>
  <c r="AL733" i="3"/>
  <c r="AK733" i="3"/>
  <c r="AJ733" i="3"/>
  <c r="AI733" i="3"/>
  <c r="AH733" i="3"/>
  <c r="AG733" i="3"/>
  <c r="AE733" i="3"/>
  <c r="AD733" i="3"/>
  <c r="AC733" i="3"/>
  <c r="AB733" i="3"/>
  <c r="D732" i="3"/>
  <c r="B732" i="3"/>
  <c r="C732" i="3" s="1"/>
  <c r="D729" i="3"/>
  <c r="AU728" i="3"/>
  <c r="AT728" i="3"/>
  <c r="AS728" i="3"/>
  <c r="AR728" i="3"/>
  <c r="AQ728" i="3"/>
  <c r="AP728" i="3"/>
  <c r="AO728" i="3"/>
  <c r="AN728" i="3"/>
  <c r="AL728" i="3"/>
  <c r="AK728" i="3"/>
  <c r="AJ728" i="3"/>
  <c r="AI728" i="3"/>
  <c r="AH728" i="3"/>
  <c r="AG728" i="3"/>
  <c r="AE728" i="3"/>
  <c r="AD728" i="3"/>
  <c r="AC728" i="3"/>
  <c r="AB728" i="3"/>
  <c r="D727" i="3"/>
  <c r="B727" i="3"/>
  <c r="C727" i="3" s="1"/>
  <c r="D724" i="3"/>
  <c r="AU722" i="3"/>
  <c r="AT722" i="3"/>
  <c r="AS722" i="3"/>
  <c r="AR722" i="3"/>
  <c r="AQ722" i="3"/>
  <c r="AP722" i="3"/>
  <c r="AO722" i="3"/>
  <c r="AN722" i="3"/>
  <c r="AL722" i="3"/>
  <c r="AK722" i="3"/>
  <c r="AJ722" i="3"/>
  <c r="AI722" i="3"/>
  <c r="AH722" i="3"/>
  <c r="AG722" i="3"/>
  <c r="AE722" i="3"/>
  <c r="AD722" i="3"/>
  <c r="AC722" i="3"/>
  <c r="AB722" i="3"/>
  <c r="D721" i="3"/>
  <c r="B721" i="3"/>
  <c r="C721" i="3" s="1"/>
  <c r="D718" i="3"/>
  <c r="AU717" i="3"/>
  <c r="AT717" i="3"/>
  <c r="AS717" i="3"/>
  <c r="AR717" i="3"/>
  <c r="AQ717" i="3"/>
  <c r="AP717" i="3"/>
  <c r="AO717" i="3"/>
  <c r="AN717" i="3"/>
  <c r="AL717" i="3"/>
  <c r="AK717" i="3"/>
  <c r="AJ717" i="3"/>
  <c r="AI717" i="3"/>
  <c r="AH717" i="3"/>
  <c r="AG717" i="3"/>
  <c r="AE717" i="3"/>
  <c r="AD717" i="3"/>
  <c r="AB717" i="3"/>
  <c r="D716" i="3"/>
  <c r="B716" i="3"/>
  <c r="C716" i="3" s="1"/>
  <c r="D713" i="3"/>
  <c r="AU712" i="3"/>
  <c r="AT712" i="3"/>
  <c r="AS712" i="3"/>
  <c r="AR712" i="3"/>
  <c r="AQ712" i="3"/>
  <c r="AP712" i="3"/>
  <c r="AO712" i="3"/>
  <c r="AN712" i="3"/>
  <c r="AL712" i="3"/>
  <c r="AK712" i="3"/>
  <c r="AJ712" i="3"/>
  <c r="AI712" i="3"/>
  <c r="AH712" i="3"/>
  <c r="AG712" i="3"/>
  <c r="AE712" i="3"/>
  <c r="AC712" i="3"/>
  <c r="AB712" i="3"/>
  <c r="D711" i="3"/>
  <c r="B711" i="3"/>
  <c r="C711" i="3" s="1"/>
  <c r="D708" i="3"/>
  <c r="AU707" i="3"/>
  <c r="AS707" i="3"/>
  <c r="AQ707" i="3"/>
  <c r="AO707" i="3"/>
  <c r="AN707" i="3"/>
  <c r="AD707" i="3"/>
  <c r="AU696" i="3"/>
  <c r="AT696" i="3"/>
  <c r="AS696" i="3"/>
  <c r="AR696" i="3"/>
  <c r="AQ696" i="3"/>
  <c r="AP696" i="3"/>
  <c r="AO696" i="3"/>
  <c r="AN696" i="3"/>
  <c r="AL696" i="3"/>
  <c r="AK696" i="3"/>
  <c r="AJ696" i="3"/>
  <c r="AI696" i="3"/>
  <c r="AG696" i="3"/>
  <c r="AE696" i="3"/>
  <c r="AC696" i="3"/>
  <c r="AB696" i="3"/>
  <c r="D695" i="3"/>
  <c r="B695" i="3"/>
  <c r="C695" i="3" s="1"/>
  <c r="D692" i="3"/>
  <c r="AU690" i="3"/>
  <c r="AT690" i="3"/>
  <c r="AS690" i="3"/>
  <c r="AR690" i="3"/>
  <c r="AQ690" i="3"/>
  <c r="AP690" i="3"/>
  <c r="AO690" i="3"/>
  <c r="AN690" i="3"/>
  <c r="AL690" i="3"/>
  <c r="AK690" i="3"/>
  <c r="AI690" i="3"/>
  <c r="AH690" i="3"/>
  <c r="AG690" i="3"/>
  <c r="AE690" i="3"/>
  <c r="AC690" i="3"/>
  <c r="AB690" i="3"/>
  <c r="D689" i="3"/>
  <c r="B689" i="3"/>
  <c r="C689" i="3" s="1"/>
  <c r="D686" i="3"/>
  <c r="AU685" i="3"/>
  <c r="AT685" i="3"/>
  <c r="AS685" i="3"/>
  <c r="AR685" i="3"/>
  <c r="AQ685" i="3"/>
  <c r="AP685" i="3"/>
  <c r="AO685" i="3"/>
  <c r="AN685" i="3"/>
  <c r="AL685" i="3"/>
  <c r="AK685" i="3"/>
  <c r="AJ685" i="3"/>
  <c r="AI685" i="3"/>
  <c r="AH685" i="3"/>
  <c r="AE685" i="3"/>
  <c r="AC685" i="3"/>
  <c r="AB685" i="3"/>
  <c r="D684" i="3"/>
  <c r="B684" i="3"/>
  <c r="C684" i="3" s="1"/>
  <c r="D681" i="3"/>
  <c r="AU680" i="3"/>
  <c r="AT680" i="3"/>
  <c r="AS680" i="3"/>
  <c r="AR680" i="3"/>
  <c r="AQ680" i="3"/>
  <c r="AP680" i="3"/>
  <c r="AO680" i="3"/>
  <c r="AN680" i="3"/>
  <c r="AL680" i="3"/>
  <c r="AK680" i="3"/>
  <c r="AJ680" i="3"/>
  <c r="AI680" i="3"/>
  <c r="AH680" i="3"/>
  <c r="AG680" i="3"/>
  <c r="AE680" i="3"/>
  <c r="AC680" i="3"/>
  <c r="AB680" i="3"/>
  <c r="D679" i="3"/>
  <c r="B679" i="3"/>
  <c r="C679" i="3" s="1"/>
  <c r="D676" i="3"/>
  <c r="AU674" i="3"/>
  <c r="AT674" i="3"/>
  <c r="AS674" i="3"/>
  <c r="AR674" i="3"/>
  <c r="AQ674" i="3"/>
  <c r="AP674" i="3"/>
  <c r="AO674" i="3"/>
  <c r="AN674" i="3"/>
  <c r="AL674" i="3"/>
  <c r="AK674" i="3"/>
  <c r="AJ674" i="3"/>
  <c r="AI674" i="3"/>
  <c r="AH674" i="3"/>
  <c r="AG674" i="3"/>
  <c r="AE674" i="3"/>
  <c r="AD674" i="3"/>
  <c r="AC674" i="3"/>
  <c r="AB674" i="3"/>
  <c r="D673" i="3"/>
  <c r="B673" i="3"/>
  <c r="C673" i="3" s="1"/>
  <c r="D670" i="3"/>
  <c r="AU669" i="3"/>
  <c r="AT669" i="3"/>
  <c r="AS669" i="3"/>
  <c r="AR669" i="3"/>
  <c r="AQ669" i="3"/>
  <c r="AP669" i="3"/>
  <c r="AO669" i="3"/>
  <c r="AN669" i="3"/>
  <c r="AL669" i="3"/>
  <c r="AK669" i="3"/>
  <c r="AJ669" i="3"/>
  <c r="AI669" i="3"/>
  <c r="AH669" i="3"/>
  <c r="AG669" i="3"/>
  <c r="AE669" i="3"/>
  <c r="AD669" i="3"/>
  <c r="AC669" i="3"/>
  <c r="AB669" i="3"/>
  <c r="D668" i="3"/>
  <c r="B668" i="3"/>
  <c r="C668" i="3" s="1"/>
  <c r="D665" i="3"/>
  <c r="AU664" i="3"/>
  <c r="AT664" i="3"/>
  <c r="AS664" i="3"/>
  <c r="AR664" i="3"/>
  <c r="AQ664" i="3"/>
  <c r="AP664" i="3"/>
  <c r="AO664" i="3"/>
  <c r="AN664" i="3"/>
  <c r="AL664" i="3"/>
  <c r="AK664" i="3"/>
  <c r="AJ664" i="3"/>
  <c r="AI664" i="3"/>
  <c r="AH664" i="3"/>
  <c r="AG664" i="3"/>
  <c r="AE664" i="3"/>
  <c r="AD664" i="3"/>
  <c r="AC664" i="3"/>
  <c r="AB664" i="3"/>
  <c r="D663" i="3"/>
  <c r="B663" i="3"/>
  <c r="C663" i="3" s="1"/>
  <c r="D660" i="3"/>
  <c r="AU659" i="3"/>
  <c r="AS659" i="3"/>
  <c r="AQ659" i="3"/>
  <c r="AO659" i="3"/>
  <c r="AN659" i="3"/>
  <c r="AD659" i="3"/>
  <c r="AP659" i="3" s="1"/>
  <c r="AU656" i="3"/>
  <c r="AT656" i="3"/>
  <c r="AS656" i="3"/>
  <c r="AR656" i="3"/>
  <c r="AQ656" i="3"/>
  <c r="AP656" i="3"/>
  <c r="AO656" i="3"/>
  <c r="AN656" i="3"/>
  <c r="AL656" i="3"/>
  <c r="AK656" i="3"/>
  <c r="AJ656" i="3"/>
  <c r="AH656" i="3"/>
  <c r="AG656" i="3"/>
  <c r="AE656" i="3"/>
  <c r="AD656" i="3"/>
  <c r="AC656" i="3"/>
  <c r="AB656" i="3"/>
  <c r="D655" i="3"/>
  <c r="B655" i="3"/>
  <c r="C655" i="3" s="1"/>
  <c r="D652" i="3"/>
  <c r="AU651" i="3"/>
  <c r="AT651" i="3"/>
  <c r="AS651" i="3"/>
  <c r="AR651" i="3"/>
  <c r="AQ651" i="3"/>
  <c r="AP651" i="3"/>
  <c r="AO651" i="3"/>
  <c r="AN651" i="3"/>
  <c r="AL651" i="3"/>
  <c r="AK651" i="3"/>
  <c r="AJ651" i="3"/>
  <c r="AI651" i="3"/>
  <c r="AH651" i="3"/>
  <c r="AE651" i="3"/>
  <c r="AC651" i="3"/>
  <c r="AB651" i="3"/>
  <c r="D650" i="3"/>
  <c r="B650" i="3"/>
  <c r="C650" i="3" s="1"/>
  <c r="D647" i="3"/>
  <c r="AU646" i="3"/>
  <c r="AT646" i="3"/>
  <c r="AS646" i="3"/>
  <c r="AR646" i="3"/>
  <c r="AQ646" i="3"/>
  <c r="AP646" i="3"/>
  <c r="AO646" i="3"/>
  <c r="AN646" i="3"/>
  <c r="AL646" i="3"/>
  <c r="AK646" i="3"/>
  <c r="AJ646" i="3"/>
  <c r="AI646" i="3"/>
  <c r="AG646" i="3"/>
  <c r="AE646" i="3"/>
  <c r="AC646" i="3"/>
  <c r="AB646" i="3"/>
  <c r="D645" i="3"/>
  <c r="B645" i="3"/>
  <c r="C645" i="3" s="1"/>
  <c r="D642" i="3"/>
  <c r="AU640" i="3"/>
  <c r="AT640" i="3"/>
  <c r="AS640" i="3"/>
  <c r="AR640" i="3"/>
  <c r="AQ640" i="3"/>
  <c r="AP640" i="3"/>
  <c r="AO640" i="3"/>
  <c r="AN640" i="3"/>
  <c r="AL640" i="3"/>
  <c r="AK640" i="3"/>
  <c r="AJ640" i="3"/>
  <c r="AI640" i="3"/>
  <c r="AH640" i="3"/>
  <c r="AG640" i="3"/>
  <c r="AE640" i="3"/>
  <c r="AD640" i="3"/>
  <c r="AC640" i="3"/>
  <c r="AB640" i="3"/>
  <c r="D639" i="3"/>
  <c r="B639" i="3"/>
  <c r="C639" i="3" s="1"/>
  <c r="D636" i="3"/>
  <c r="AU635" i="3"/>
  <c r="AT635" i="3"/>
  <c r="AS635" i="3"/>
  <c r="AR635" i="3"/>
  <c r="AQ635" i="3"/>
  <c r="AP635" i="3"/>
  <c r="AO635" i="3"/>
  <c r="AN635" i="3"/>
  <c r="AL635" i="3"/>
  <c r="AK635" i="3"/>
  <c r="AJ635" i="3"/>
  <c r="AI635" i="3"/>
  <c r="AH635" i="3"/>
  <c r="AE635" i="3"/>
  <c r="AC635" i="3"/>
  <c r="AB635" i="3"/>
  <c r="D634" i="3"/>
  <c r="B634" i="3"/>
  <c r="C634" i="3" s="1"/>
  <c r="D631" i="3"/>
  <c r="AU630" i="3"/>
  <c r="AT630" i="3"/>
  <c r="AS630" i="3"/>
  <c r="AR630" i="3"/>
  <c r="AQ630" i="3"/>
  <c r="AP630" i="3"/>
  <c r="AO630" i="3"/>
  <c r="AN630" i="3"/>
  <c r="AL630" i="3"/>
  <c r="AK630" i="3"/>
  <c r="AJ630" i="3"/>
  <c r="AI630" i="3"/>
  <c r="AH630" i="3"/>
  <c r="AE630" i="3"/>
  <c r="AD630" i="3"/>
  <c r="AB630" i="3"/>
  <c r="D629" i="3"/>
  <c r="B629" i="3"/>
  <c r="C629" i="3" s="1"/>
  <c r="D626" i="3"/>
  <c r="AU625" i="3"/>
  <c r="AS625" i="3"/>
  <c r="AQ625" i="3"/>
  <c r="AO625" i="3"/>
  <c r="AN625" i="3"/>
  <c r="AD625" i="3"/>
  <c r="AU622" i="3"/>
  <c r="AT622" i="3"/>
  <c r="AS622" i="3"/>
  <c r="AR622" i="3"/>
  <c r="AQ622" i="3"/>
  <c r="AP622" i="3"/>
  <c r="AO622" i="3"/>
  <c r="AN622" i="3"/>
  <c r="AL622" i="3"/>
  <c r="AK622" i="3"/>
  <c r="AJ622" i="3"/>
  <c r="AH622" i="3"/>
  <c r="AG622" i="3"/>
  <c r="AE622" i="3"/>
  <c r="AD622" i="3"/>
  <c r="AC622" i="3"/>
  <c r="AB622" i="3"/>
  <c r="D621" i="3"/>
  <c r="B621" i="3"/>
  <c r="C621" i="3" s="1"/>
  <c r="D618" i="3"/>
  <c r="AU617" i="3"/>
  <c r="AT617" i="3"/>
  <c r="AS617" i="3"/>
  <c r="AR617" i="3"/>
  <c r="AQ617" i="3"/>
  <c r="AP617" i="3"/>
  <c r="AO617" i="3"/>
  <c r="AN617" i="3"/>
  <c r="AL617" i="3"/>
  <c r="AK617" i="3"/>
  <c r="AJ617" i="3"/>
  <c r="AI617" i="3"/>
  <c r="AH617" i="3"/>
  <c r="AG617" i="3"/>
  <c r="AE617" i="3"/>
  <c r="AD617" i="3"/>
  <c r="AC617" i="3"/>
  <c r="AB617" i="3"/>
  <c r="D616" i="3"/>
  <c r="B616" i="3"/>
  <c r="C616" i="3" s="1"/>
  <c r="D613" i="3"/>
  <c r="AU612" i="3"/>
  <c r="AT612" i="3"/>
  <c r="AS612" i="3"/>
  <c r="AR612" i="3"/>
  <c r="AQ612" i="3"/>
  <c r="AP612" i="3"/>
  <c r="AO612" i="3"/>
  <c r="AN612" i="3"/>
  <c r="AL612" i="3"/>
  <c r="AK612" i="3"/>
  <c r="AJ612" i="3"/>
  <c r="AI612" i="3"/>
  <c r="AH612" i="3"/>
  <c r="AG612" i="3"/>
  <c r="AE612" i="3"/>
  <c r="AD612" i="3"/>
  <c r="AB612" i="3"/>
  <c r="D611" i="3"/>
  <c r="B611" i="3"/>
  <c r="C611" i="3" s="1"/>
  <c r="D608" i="3"/>
  <c r="AU606" i="3"/>
  <c r="AT606" i="3"/>
  <c r="AS606" i="3"/>
  <c r="AR606" i="3"/>
  <c r="AQ606" i="3"/>
  <c r="AP606" i="3"/>
  <c r="AO606" i="3"/>
  <c r="AN606" i="3"/>
  <c r="AL606" i="3"/>
  <c r="AK606" i="3"/>
  <c r="AJ606" i="3"/>
  <c r="AI606" i="3"/>
  <c r="AH606" i="3"/>
  <c r="AG606" i="3"/>
  <c r="AE606" i="3"/>
  <c r="AD606" i="3"/>
  <c r="AC606" i="3"/>
  <c r="AB606" i="3"/>
  <c r="D605" i="3"/>
  <c r="B605" i="3"/>
  <c r="C605" i="3" s="1"/>
  <c r="D602" i="3"/>
  <c r="AU601" i="3"/>
  <c r="AT601" i="3"/>
  <c r="AS601" i="3"/>
  <c r="AR601" i="3"/>
  <c r="AQ601" i="3"/>
  <c r="AP601" i="3"/>
  <c r="AO601" i="3"/>
  <c r="AN601" i="3"/>
  <c r="AL601" i="3"/>
  <c r="AK601" i="3"/>
  <c r="AJ601" i="3"/>
  <c r="AI601" i="3"/>
  <c r="AH601" i="3"/>
  <c r="AG601" i="3"/>
  <c r="AE601" i="3"/>
  <c r="AC601" i="3"/>
  <c r="AB601" i="3"/>
  <c r="D600" i="3"/>
  <c r="B600" i="3"/>
  <c r="C600" i="3" s="1"/>
  <c r="D597" i="3"/>
  <c r="AU596" i="3"/>
  <c r="AT596" i="3"/>
  <c r="AS596" i="3"/>
  <c r="AR596" i="3"/>
  <c r="AQ596" i="3"/>
  <c r="AP596" i="3"/>
  <c r="AO596" i="3"/>
  <c r="AN596" i="3"/>
  <c r="AL596" i="3"/>
  <c r="AK596" i="3"/>
  <c r="AJ596" i="3"/>
  <c r="AI596" i="3"/>
  <c r="AG596" i="3"/>
  <c r="AE596" i="3"/>
  <c r="AD596" i="3"/>
  <c r="AC596" i="3"/>
  <c r="AB596" i="3"/>
  <c r="D595" i="3"/>
  <c r="B595" i="3"/>
  <c r="C595" i="3" s="1"/>
  <c r="D592" i="3"/>
  <c r="AU591" i="3"/>
  <c r="AS591" i="3"/>
  <c r="AQ591" i="3"/>
  <c r="AO591" i="3"/>
  <c r="AN591" i="3"/>
  <c r="AD591" i="3"/>
  <c r="AP591" i="3" s="1"/>
  <c r="AU588" i="3"/>
  <c r="AT588" i="3"/>
  <c r="AS588" i="3"/>
  <c r="AR588" i="3"/>
  <c r="AQ588" i="3"/>
  <c r="AP588" i="3"/>
  <c r="AO588" i="3"/>
  <c r="AN588" i="3"/>
  <c r="AL588" i="3"/>
  <c r="AK588" i="3"/>
  <c r="AJ588" i="3"/>
  <c r="AI588" i="3"/>
  <c r="AH588" i="3"/>
  <c r="AG588" i="3"/>
  <c r="AE588" i="3"/>
  <c r="AD588" i="3"/>
  <c r="AC588" i="3"/>
  <c r="AB588" i="3"/>
  <c r="D587" i="3"/>
  <c r="B587" i="3"/>
  <c r="C587" i="3" s="1"/>
  <c r="D584" i="3"/>
  <c r="AU583" i="3"/>
  <c r="AT583" i="3"/>
  <c r="AS583" i="3"/>
  <c r="AR583" i="3"/>
  <c r="AQ583" i="3"/>
  <c r="AP583" i="3"/>
  <c r="AO583" i="3"/>
  <c r="AN583" i="3"/>
  <c r="AL583" i="3"/>
  <c r="AK583" i="3"/>
  <c r="AJ583" i="3"/>
  <c r="AI583" i="3"/>
  <c r="AH583" i="3"/>
  <c r="AG583" i="3"/>
  <c r="AE583" i="3"/>
  <c r="AD583" i="3"/>
  <c r="AC583" i="3"/>
  <c r="AB583" i="3"/>
  <c r="D582" i="3"/>
  <c r="B582" i="3"/>
  <c r="C582" i="3" s="1"/>
  <c r="D579" i="3"/>
  <c r="AU578" i="3"/>
  <c r="AT578" i="3"/>
  <c r="AS578" i="3"/>
  <c r="AR578" i="3"/>
  <c r="AQ578" i="3"/>
  <c r="AP578" i="3"/>
  <c r="AO578" i="3"/>
  <c r="AN578" i="3"/>
  <c r="AL578" i="3"/>
  <c r="AK578" i="3"/>
  <c r="AJ578" i="3"/>
  <c r="AH578" i="3"/>
  <c r="AG578" i="3"/>
  <c r="AE578" i="3"/>
  <c r="AD578" i="3"/>
  <c r="AC578" i="3"/>
  <c r="AB578" i="3"/>
  <c r="D577" i="3"/>
  <c r="B577" i="3"/>
  <c r="C577" i="3" s="1"/>
  <c r="D574" i="3"/>
  <c r="AU572" i="3"/>
  <c r="AT572" i="3"/>
  <c r="AS572" i="3"/>
  <c r="AR572" i="3"/>
  <c r="AQ572" i="3"/>
  <c r="AP572" i="3"/>
  <c r="AO572" i="3"/>
  <c r="AN572" i="3"/>
  <c r="AL572" i="3"/>
  <c r="AK572" i="3"/>
  <c r="AJ572" i="3"/>
  <c r="AI572" i="3"/>
  <c r="AH572" i="3"/>
  <c r="AG572" i="3"/>
  <c r="AE572" i="3"/>
  <c r="AD572" i="3"/>
  <c r="AC572" i="3"/>
  <c r="AB572" i="3"/>
  <c r="D571" i="3"/>
  <c r="B571" i="3"/>
  <c r="C571" i="3" s="1"/>
  <c r="D568" i="3"/>
  <c r="AU567" i="3"/>
  <c r="AT567" i="3"/>
  <c r="AS567" i="3"/>
  <c r="AR567" i="3"/>
  <c r="AQ567" i="3"/>
  <c r="AP567" i="3"/>
  <c r="AO567" i="3"/>
  <c r="AN567" i="3"/>
  <c r="AL567" i="3"/>
  <c r="AK567" i="3"/>
  <c r="AJ567" i="3"/>
  <c r="AI567" i="3"/>
  <c r="AG567" i="3"/>
  <c r="AE567" i="3"/>
  <c r="AD567" i="3"/>
  <c r="AC567" i="3"/>
  <c r="AB567" i="3"/>
  <c r="D566" i="3"/>
  <c r="B566" i="3"/>
  <c r="C566" i="3" s="1"/>
  <c r="D563" i="3"/>
  <c r="AU562" i="3"/>
  <c r="AT562" i="3"/>
  <c r="AS562" i="3"/>
  <c r="AR562" i="3"/>
  <c r="AQ562" i="3"/>
  <c r="AP562" i="3"/>
  <c r="AO562" i="3"/>
  <c r="AN562" i="3"/>
  <c r="AL562" i="3"/>
  <c r="AK562" i="3"/>
  <c r="AJ562" i="3"/>
  <c r="AI562" i="3"/>
  <c r="AH562" i="3"/>
  <c r="AG562" i="3"/>
  <c r="AE562" i="3"/>
  <c r="AC562" i="3"/>
  <c r="AB562" i="3"/>
  <c r="D561" i="3"/>
  <c r="B561" i="3"/>
  <c r="C561" i="3" s="1"/>
  <c r="D558" i="3"/>
  <c r="AU557" i="3"/>
  <c r="AS557" i="3"/>
  <c r="AQ557" i="3"/>
  <c r="AO557" i="3"/>
  <c r="AN557" i="3"/>
  <c r="AD557" i="3"/>
  <c r="AP557" i="3" s="1"/>
  <c r="AT554" i="3"/>
  <c r="AS554" i="3"/>
  <c r="AR554" i="3"/>
  <c r="AQ554" i="3"/>
  <c r="AP554" i="3"/>
  <c r="AO554" i="3"/>
  <c r="AN554" i="3"/>
  <c r="AL554" i="3"/>
  <c r="AK554" i="3"/>
  <c r="AJ554" i="3"/>
  <c r="AI554" i="3"/>
  <c r="AH554" i="3"/>
  <c r="AG554" i="3"/>
  <c r="AE554" i="3"/>
  <c r="AD554" i="3"/>
  <c r="AB554" i="3"/>
  <c r="D553" i="3"/>
  <c r="B553" i="3"/>
  <c r="C553" i="3" s="1"/>
  <c r="D550" i="3"/>
  <c r="AU549" i="3"/>
  <c r="AT549" i="3"/>
  <c r="AS549" i="3"/>
  <c r="AR549" i="3"/>
  <c r="AQ549" i="3"/>
  <c r="AP549" i="3"/>
  <c r="AO549" i="3"/>
  <c r="AN549" i="3"/>
  <c r="AL549" i="3"/>
  <c r="AK549" i="3"/>
  <c r="AJ549" i="3"/>
  <c r="AI549" i="3"/>
  <c r="AH549" i="3"/>
  <c r="AG549" i="3"/>
  <c r="AE549" i="3"/>
  <c r="AD549" i="3"/>
  <c r="AC549" i="3"/>
  <c r="AB549" i="3"/>
  <c r="D548" i="3"/>
  <c r="B548" i="3"/>
  <c r="C548" i="3" s="1"/>
  <c r="D545" i="3"/>
  <c r="AU543" i="3"/>
  <c r="AT543" i="3"/>
  <c r="AS543" i="3"/>
  <c r="AR543" i="3"/>
  <c r="AQ543" i="3"/>
  <c r="AP543" i="3"/>
  <c r="AO543" i="3"/>
  <c r="AN543" i="3"/>
  <c r="AL543" i="3"/>
  <c r="AK543" i="3"/>
  <c r="AJ543" i="3"/>
  <c r="AI543" i="3"/>
  <c r="AH543" i="3"/>
  <c r="AG543" i="3"/>
  <c r="AE543" i="3"/>
  <c r="AD543" i="3"/>
  <c r="AC543" i="3"/>
  <c r="AB543" i="3"/>
  <c r="D542" i="3"/>
  <c r="B542" i="3"/>
  <c r="C542" i="3" s="1"/>
  <c r="D539" i="3"/>
  <c r="AU538" i="3"/>
  <c r="AT538" i="3"/>
  <c r="AS538" i="3"/>
  <c r="AR538" i="3"/>
  <c r="AQ538" i="3"/>
  <c r="AP538" i="3"/>
  <c r="AO538" i="3"/>
  <c r="AN538" i="3"/>
  <c r="AL538" i="3"/>
  <c r="AK538" i="3"/>
  <c r="AJ538" i="3"/>
  <c r="AI538" i="3"/>
  <c r="AH538" i="3"/>
  <c r="AG538" i="3"/>
  <c r="AE538" i="3"/>
  <c r="AD538" i="3"/>
  <c r="AC538" i="3"/>
  <c r="AB538" i="3"/>
  <c r="D537" i="3"/>
  <c r="B537" i="3"/>
  <c r="C537" i="3" s="1"/>
  <c r="D534" i="3"/>
  <c r="AU532" i="3"/>
  <c r="AT532" i="3"/>
  <c r="AS532" i="3"/>
  <c r="AR532" i="3"/>
  <c r="AQ532" i="3"/>
  <c r="AP532" i="3"/>
  <c r="AO532" i="3"/>
  <c r="AN532" i="3"/>
  <c r="AL532" i="3"/>
  <c r="AK532" i="3"/>
  <c r="AJ532" i="3"/>
  <c r="AI532" i="3"/>
  <c r="AH532" i="3"/>
  <c r="AG532" i="3"/>
  <c r="AE532" i="3"/>
  <c r="AD532" i="3"/>
  <c r="AC532" i="3"/>
  <c r="AB532" i="3"/>
  <c r="D531" i="3"/>
  <c r="B531" i="3"/>
  <c r="C531" i="3" s="1"/>
  <c r="D528" i="3"/>
  <c r="AT527" i="3"/>
  <c r="AS527" i="3"/>
  <c r="AR527" i="3"/>
  <c r="AQ527" i="3"/>
  <c r="AP527" i="3"/>
  <c r="AO527" i="3"/>
  <c r="AN527" i="3"/>
  <c r="AK527" i="3"/>
  <c r="AF514" i="3" s="1"/>
  <c r="AJ527" i="3"/>
  <c r="AI527" i="3"/>
  <c r="AH527" i="3"/>
  <c r="AG527" i="3"/>
  <c r="AE527" i="3"/>
  <c r="AD527" i="3"/>
  <c r="AC527" i="3"/>
  <c r="AB527" i="3"/>
  <c r="D526" i="3"/>
  <c r="B526" i="3"/>
  <c r="C526" i="3" s="1"/>
  <c r="D523" i="3"/>
  <c r="AU522" i="3"/>
  <c r="AU554" i="3" s="1"/>
  <c r="AS522" i="3"/>
  <c r="AQ522" i="3"/>
  <c r="AO522" i="3"/>
  <c r="AN522" i="3"/>
  <c r="AD522" i="3"/>
  <c r="AP522" i="3" s="1"/>
  <c r="AG516" i="3"/>
  <c r="AF516" i="3"/>
  <c r="AE516" i="3"/>
  <c r="AG514" i="3"/>
  <c r="AE514" i="3"/>
  <c r="AG512" i="3"/>
  <c r="AF512" i="3"/>
  <c r="AE512" i="3"/>
  <c r="AG510" i="3"/>
  <c r="AF510" i="3"/>
  <c r="AE510" i="3"/>
  <c r="AG508" i="3"/>
  <c r="AF508" i="3"/>
  <c r="AE508" i="3"/>
  <c r="AG506" i="3"/>
  <c r="AF506" i="3"/>
  <c r="AE506" i="3"/>
  <c r="AG504" i="3"/>
  <c r="AF504" i="3"/>
  <c r="AE504" i="3"/>
  <c r="AJ502" i="3"/>
  <c r="AI503" i="3" s="1"/>
  <c r="AJ503" i="3" s="1"/>
  <c r="AI504" i="3" s="1"/>
  <c r="AJ504" i="3" s="1"/>
  <c r="AL499" i="3"/>
  <c r="AE1711" i="3" s="1"/>
  <c r="AE1717" i="3" s="1"/>
  <c r="AE1723" i="3" s="1"/>
  <c r="AE1729" i="3" s="1"/>
  <c r="AE1735" i="3" s="1"/>
  <c r="AT495" i="3"/>
  <c r="AS495" i="3"/>
  <c r="AR495" i="3"/>
  <c r="AQ495" i="3"/>
  <c r="AP495" i="3"/>
  <c r="AK495" i="3"/>
  <c r="AX495" i="3" s="1"/>
  <c r="AJ495" i="3"/>
  <c r="C494" i="3" s="1"/>
  <c r="D494" i="3"/>
  <c r="B494" i="3"/>
  <c r="B493" i="3"/>
  <c r="BD490" i="3"/>
  <c r="BB490" i="3"/>
  <c r="AF489" i="3"/>
  <c r="AD489" i="3"/>
  <c r="AD488" i="3"/>
  <c r="AE488" i="3" s="1"/>
  <c r="AF488" i="3" s="1"/>
  <c r="AG488" i="3" s="1"/>
  <c r="AH488" i="3" s="1"/>
  <c r="AT485" i="3"/>
  <c r="AS485" i="3"/>
  <c r="AR485" i="3"/>
  <c r="AQ485" i="3"/>
  <c r="AP485" i="3"/>
  <c r="AJ485" i="3"/>
  <c r="C484" i="3" s="1"/>
  <c r="D484" i="3"/>
  <c r="B484" i="3"/>
  <c r="B483" i="3"/>
  <c r="BD480" i="3"/>
  <c r="BB480" i="3"/>
  <c r="AD478" i="3"/>
  <c r="AE478" i="3" s="1"/>
  <c r="AF478" i="3" s="1"/>
  <c r="AG478" i="3" s="1"/>
  <c r="AH478" i="3" s="1"/>
  <c r="AT475" i="3"/>
  <c r="AS475" i="3"/>
  <c r="AR475" i="3"/>
  <c r="AQ475" i="3"/>
  <c r="AP475" i="3"/>
  <c r="AK475" i="3"/>
  <c r="AX475" i="3" s="1"/>
  <c r="AJ475" i="3"/>
  <c r="C474" i="3" s="1"/>
  <c r="D474" i="3"/>
  <c r="B474" i="3"/>
  <c r="B473" i="3"/>
  <c r="BD470" i="3"/>
  <c r="BB470" i="3"/>
  <c r="AD468" i="3"/>
  <c r="AE468" i="3" s="1"/>
  <c r="AF468" i="3" s="1"/>
  <c r="AG468" i="3" s="1"/>
  <c r="AH468" i="3" s="1"/>
  <c r="AT465" i="3"/>
  <c r="AS465" i="3"/>
  <c r="AR465" i="3"/>
  <c r="AQ465" i="3"/>
  <c r="AP465" i="3"/>
  <c r="AJ465" i="3"/>
  <c r="AT464" i="3" s="1"/>
  <c r="D464" i="3"/>
  <c r="B464" i="3"/>
  <c r="B463" i="3"/>
  <c r="BD460" i="3"/>
  <c r="BB460" i="3"/>
  <c r="AD458" i="3"/>
  <c r="AE458" i="3" s="1"/>
  <c r="AF458" i="3" s="1"/>
  <c r="AG458" i="3" s="1"/>
  <c r="AH458" i="3" s="1"/>
  <c r="AT455" i="3"/>
  <c r="AS455" i="3"/>
  <c r="AR455" i="3"/>
  <c r="AQ455" i="3"/>
  <c r="AP455" i="3"/>
  <c r="AK455" i="3"/>
  <c r="AX455" i="3" s="1"/>
  <c r="AJ455" i="3"/>
  <c r="AT454" i="3" s="1"/>
  <c r="D454" i="3"/>
  <c r="B454" i="3"/>
  <c r="B453" i="3"/>
  <c r="BD450" i="3"/>
  <c r="BB450" i="3"/>
  <c r="AD448" i="3"/>
  <c r="AE448" i="3" s="1"/>
  <c r="AF448" i="3" s="1"/>
  <c r="AG448" i="3" s="1"/>
  <c r="AH448" i="3" s="1"/>
  <c r="AT445" i="3"/>
  <c r="AS445" i="3"/>
  <c r="AR445" i="3"/>
  <c r="AQ445" i="3"/>
  <c r="AP445" i="3"/>
  <c r="AK445" i="3"/>
  <c r="AJ445" i="3"/>
  <c r="AT444" i="3" s="1"/>
  <c r="D444" i="3"/>
  <c r="B444" i="3"/>
  <c r="B443" i="3"/>
  <c r="BD440" i="3"/>
  <c r="BB440" i="3"/>
  <c r="AD438" i="3"/>
  <c r="AE438" i="3" s="1"/>
  <c r="AF438" i="3" s="1"/>
  <c r="AG438" i="3" s="1"/>
  <c r="AH438" i="3" s="1"/>
  <c r="AT435" i="3"/>
  <c r="AS435" i="3"/>
  <c r="AR435" i="3"/>
  <c r="AQ435" i="3"/>
  <c r="AP435" i="3"/>
  <c r="AJ435" i="3"/>
  <c r="C434" i="3" s="1"/>
  <c r="D434" i="3"/>
  <c r="B434" i="3"/>
  <c r="B433" i="3"/>
  <c r="BD430" i="3"/>
  <c r="BB430" i="3"/>
  <c r="AG429" i="3"/>
  <c r="AD428" i="3"/>
  <c r="AE428" i="3" s="1"/>
  <c r="AF428" i="3" s="1"/>
  <c r="AG428" i="3" s="1"/>
  <c r="AH428" i="3" s="1"/>
  <c r="AT425" i="3"/>
  <c r="AS425" i="3"/>
  <c r="AR425" i="3"/>
  <c r="AQ425" i="3"/>
  <c r="AP425" i="3"/>
  <c r="AJ425" i="3"/>
  <c r="C424" i="3" s="1"/>
  <c r="D424" i="3"/>
  <c r="B424" i="3"/>
  <c r="B423" i="3"/>
  <c r="BD420" i="3"/>
  <c r="BB420" i="3"/>
  <c r="AD418" i="3"/>
  <c r="AE418" i="3" s="1"/>
  <c r="AF418" i="3" s="1"/>
  <c r="AG418" i="3" s="1"/>
  <c r="AH418" i="3" s="1"/>
  <c r="AT415" i="3"/>
  <c r="AS415" i="3"/>
  <c r="AR415" i="3"/>
  <c r="AQ415" i="3"/>
  <c r="AP415" i="3"/>
  <c r="AJ415" i="3"/>
  <c r="C414" i="3" s="1"/>
  <c r="D414" i="3"/>
  <c r="B414" i="3"/>
  <c r="D415" i="3" s="1"/>
  <c r="B413" i="3"/>
  <c r="BD410" i="3"/>
  <c r="BB410" i="3"/>
  <c r="AD408" i="3"/>
  <c r="AE408" i="3" s="1"/>
  <c r="AF408" i="3" s="1"/>
  <c r="AG408" i="3" s="1"/>
  <c r="AH408" i="3" s="1"/>
  <c r="AT405" i="3"/>
  <c r="AS405" i="3"/>
  <c r="AR405" i="3"/>
  <c r="AQ405" i="3"/>
  <c r="AP405" i="3"/>
  <c r="AJ405" i="3"/>
  <c r="C404" i="3" s="1"/>
  <c r="D404" i="3"/>
  <c r="B404" i="3"/>
  <c r="B403" i="3"/>
  <c r="BD400" i="3"/>
  <c r="BB400" i="3"/>
  <c r="AD398" i="3"/>
  <c r="AE398" i="3" s="1"/>
  <c r="AF398" i="3" s="1"/>
  <c r="AG398" i="3" s="1"/>
  <c r="AH398" i="3" s="1"/>
  <c r="AT395" i="3"/>
  <c r="AS395" i="3"/>
  <c r="AR395" i="3"/>
  <c r="AQ395" i="3"/>
  <c r="AP395" i="3"/>
  <c r="AK395" i="3"/>
  <c r="AX395" i="3" s="1"/>
  <c r="AJ395" i="3"/>
  <c r="AT394" i="3" s="1"/>
  <c r="D394" i="3"/>
  <c r="B394" i="3"/>
  <c r="B393" i="3"/>
  <c r="B391" i="3"/>
  <c r="BD390" i="3"/>
  <c r="BB390" i="3"/>
  <c r="AD388" i="3"/>
  <c r="AE388" i="3" s="1"/>
  <c r="AF388" i="3" s="1"/>
  <c r="AG388" i="3" s="1"/>
  <c r="AT385" i="3"/>
  <c r="AS385" i="3"/>
  <c r="AR385" i="3"/>
  <c r="AQ385" i="3"/>
  <c r="AP385" i="3"/>
  <c r="AJ385" i="3"/>
  <c r="AT384" i="3" s="1"/>
  <c r="D384" i="3"/>
  <c r="B384" i="3"/>
  <c r="B383" i="3"/>
  <c r="B381" i="3"/>
  <c r="BD380" i="3"/>
  <c r="BB380" i="3"/>
  <c r="AD378" i="3"/>
  <c r="AE378" i="3" s="1"/>
  <c r="AF378" i="3" s="1"/>
  <c r="AG378" i="3" s="1"/>
  <c r="AH378" i="3" s="1"/>
  <c r="AT375" i="3"/>
  <c r="AS375" i="3"/>
  <c r="AR375" i="3"/>
  <c r="AQ375" i="3"/>
  <c r="AP375" i="3"/>
  <c r="AJ375" i="3"/>
  <c r="AT374" i="3" s="1"/>
  <c r="D374" i="3"/>
  <c r="B374" i="3"/>
  <c r="B373" i="3"/>
  <c r="B371" i="3"/>
  <c r="BD370" i="3"/>
  <c r="BB370" i="3"/>
  <c r="AD368" i="3"/>
  <c r="AE368" i="3" s="1"/>
  <c r="AF368" i="3" s="1"/>
  <c r="AG368" i="3" s="1"/>
  <c r="AH368" i="3" s="1"/>
  <c r="A367" i="3"/>
  <c r="A377" i="3" s="1"/>
  <c r="A387" i="3" s="1"/>
  <c r="A397" i="3" s="1"/>
  <c r="A407" i="3" s="1"/>
  <c r="A417" i="3" s="1"/>
  <c r="A427" i="3" s="1"/>
  <c r="A437" i="3" s="1"/>
  <c r="A447" i="3" s="1"/>
  <c r="A457" i="3" s="1"/>
  <c r="A467" i="3" s="1"/>
  <c r="A477" i="3" s="1"/>
  <c r="A487" i="3" s="1"/>
  <c r="A523" i="3" s="1"/>
  <c r="AB523" i="3" s="1"/>
  <c r="AT365" i="3"/>
  <c r="AS365" i="3"/>
  <c r="AR365" i="3"/>
  <c r="AQ365" i="3"/>
  <c r="AP365" i="3"/>
  <c r="AJ365" i="3"/>
  <c r="C364" i="3" s="1"/>
  <c r="D364" i="3"/>
  <c r="B364" i="3"/>
  <c r="B363" i="3"/>
  <c r="B361" i="3"/>
  <c r="BD360" i="3"/>
  <c r="BB360" i="3"/>
  <c r="BJ359" i="3"/>
  <c r="AF359" i="3"/>
  <c r="AC359" i="3"/>
  <c r="AD358" i="3"/>
  <c r="AE358" i="3" s="1"/>
  <c r="AF358" i="3" s="1"/>
  <c r="AG358" i="3" s="1"/>
  <c r="AH358" i="3" s="1"/>
  <c r="AS356" i="3"/>
  <c r="AR356" i="3" s="1"/>
  <c r="AQ356" i="3" s="1"/>
  <c r="AP356" i="3" s="1"/>
  <c r="B353" i="3"/>
  <c r="AF330" i="3"/>
  <c r="B323" i="3"/>
  <c r="AC322" i="3"/>
  <c r="AB322" i="3"/>
  <c r="AE322" i="3" s="1"/>
  <c r="B322" i="3"/>
  <c r="AE321" i="3"/>
  <c r="AX315" i="3"/>
  <c r="AW315" i="3"/>
  <c r="AV315" i="3"/>
  <c r="AS315" i="3"/>
  <c r="AR315" i="3"/>
  <c r="AQ315" i="3"/>
  <c r="AP315" i="3"/>
  <c r="AN315" i="3"/>
  <c r="AM315" i="3"/>
  <c r="AL315" i="3"/>
  <c r="A299" i="3"/>
  <c r="A295" i="3"/>
  <c r="A291" i="3"/>
  <c r="A287" i="3"/>
  <c r="A283" i="3"/>
  <c r="B281" i="3"/>
  <c r="A279" i="3"/>
  <c r="B278" i="3"/>
  <c r="B260" i="3"/>
  <c r="AI253" i="3"/>
  <c r="AL250" i="3"/>
  <c r="AK250" i="3"/>
  <c r="AJ250" i="3"/>
  <c r="AI248" i="3"/>
  <c r="B248" i="3"/>
  <c r="C2771" i="3" s="1"/>
  <c r="AI243" i="3"/>
  <c r="A235" i="3"/>
  <c r="A234" i="3"/>
  <c r="A233" i="3"/>
  <c r="A232" i="3"/>
  <c r="A230" i="3"/>
  <c r="A231" i="3" s="1"/>
  <c r="A229" i="3"/>
  <c r="A228" i="3"/>
  <c r="A227" i="3"/>
  <c r="A226" i="3"/>
  <c r="AU208" i="3"/>
  <c r="AU209" i="3" s="1"/>
  <c r="AP208" i="3"/>
  <c r="AP209" i="3" s="1"/>
  <c r="AL208" i="3"/>
  <c r="AL209" i="3" s="1"/>
  <c r="AH208" i="3"/>
  <c r="AH209" i="3" s="1"/>
  <c r="AD202" i="3"/>
  <c r="A186" i="3"/>
  <c r="A184" i="3"/>
  <c r="B3209" i="3"/>
  <c r="AC3203" i="3" s="1"/>
  <c r="B83" i="3"/>
  <c r="B78" i="3"/>
  <c r="B64" i="3"/>
  <c r="AU51" i="3"/>
  <c r="AU52" i="3" s="1"/>
  <c r="AT51" i="3"/>
  <c r="AT52" i="3" s="1"/>
  <c r="AS51" i="3"/>
  <c r="AS52" i="3" s="1"/>
  <c r="AR51" i="3"/>
  <c r="AR52" i="3" s="1"/>
  <c r="AQ51" i="3"/>
  <c r="AQ52" i="3" s="1"/>
  <c r="C202" i="3" l="1"/>
  <c r="BH556" i="3" s="1"/>
  <c r="BP556" i="3" s="1"/>
  <c r="BD1187" i="3"/>
  <c r="BJ1187" i="3" s="1"/>
  <c r="BD1190" i="3"/>
  <c r="BJ1190" i="3" s="1"/>
  <c r="AF896" i="3"/>
  <c r="AF2329" i="3"/>
  <c r="AD2329" i="3" s="1"/>
  <c r="B2329" i="3" s="1"/>
  <c r="BO1166" i="3"/>
  <c r="BL2812" i="3"/>
  <c r="A2814" i="3"/>
  <c r="BF2813" i="3"/>
  <c r="BL2813" i="3" s="1"/>
  <c r="DZ3236" i="3"/>
  <c r="DX3236" i="3" s="1"/>
  <c r="DZ3218" i="3"/>
  <c r="BZ3212" i="3"/>
  <c r="DX3224" i="3" s="1"/>
  <c r="AS2107" i="3"/>
  <c r="DZ3224" i="3"/>
  <c r="AH1788" i="3" s="1"/>
  <c r="DZ3228" i="3"/>
  <c r="DX3228" i="3" s="1"/>
  <c r="DZ3214" i="3"/>
  <c r="BJ2099" i="3"/>
  <c r="CP3209" i="3"/>
  <c r="DZ3229" i="3"/>
  <c r="DX3229" i="3" s="1"/>
  <c r="DZ3238" i="3"/>
  <c r="DX3238" i="3" s="1"/>
  <c r="DZ3231" i="3"/>
  <c r="DX3231" i="3" s="1"/>
  <c r="DZ3217" i="3"/>
  <c r="DZ3230" i="3"/>
  <c r="DX3230" i="3" s="1"/>
  <c r="DZ3237" i="3"/>
  <c r="DX3237" i="3" s="1"/>
  <c r="DZ3240" i="3"/>
  <c r="DX3240" i="3" s="1"/>
  <c r="DZ3215" i="3"/>
  <c r="DZ3226" i="3"/>
  <c r="DX3226" i="3" s="1"/>
  <c r="DZ3216" i="3"/>
  <c r="DZ3227" i="3"/>
  <c r="DX3227" i="3" s="1"/>
  <c r="DZ3239" i="3"/>
  <c r="DX3239" i="3" s="1"/>
  <c r="DZ3219" i="3"/>
  <c r="DZ3225" i="3"/>
  <c r="DX3225" i="3" s="1"/>
  <c r="DZ3232" i="3"/>
  <c r="DX3232" i="3" s="1"/>
  <c r="DZ3234" i="3"/>
  <c r="DX3234" i="3" s="1"/>
  <c r="DZ3233" i="3"/>
  <c r="DX3233" i="3" s="1"/>
  <c r="BZ3210" i="3"/>
  <c r="AN1923" i="3" s="1"/>
  <c r="AD562" i="3"/>
  <c r="AF562" i="3" s="1"/>
  <c r="AD690" i="3"/>
  <c r="AF690" i="3" s="1"/>
  <c r="BX1889" i="3"/>
  <c r="BM1889" i="3" s="1"/>
  <c r="DY1920" i="3"/>
  <c r="AN202" i="3"/>
  <c r="AN204" i="3" s="1"/>
  <c r="D395" i="3"/>
  <c r="D475" i="3"/>
  <c r="D455" i="3"/>
  <c r="AM325" i="3"/>
  <c r="AN325" i="3" s="1"/>
  <c r="AM327" i="3"/>
  <c r="AO327" i="3" s="1"/>
  <c r="D445" i="3"/>
  <c r="AA343" i="3"/>
  <c r="D495" i="3"/>
  <c r="C66" i="3"/>
  <c r="B66" i="3" s="1"/>
  <c r="C70" i="3"/>
  <c r="B70" i="3" s="1"/>
  <c r="C73" i="3"/>
  <c r="B73" i="3" s="1"/>
  <c r="C71" i="3"/>
  <c r="B71" i="3" s="1"/>
  <c r="C69" i="3"/>
  <c r="B69" i="3" s="1"/>
  <c r="C68" i="3"/>
  <c r="B68" i="3" s="1"/>
  <c r="C72" i="3"/>
  <c r="B72" i="3" s="1"/>
  <c r="AC1129" i="3"/>
  <c r="AF1129" i="3" s="1"/>
  <c r="A814" i="3"/>
  <c r="A3074" i="3"/>
  <c r="AU527" i="3"/>
  <c r="AV527" i="3" s="1"/>
  <c r="A528" i="3"/>
  <c r="AB528" i="3" s="1"/>
  <c r="AG2175" i="3"/>
  <c r="A2174" i="3" s="1"/>
  <c r="A5" i="13" s="1"/>
  <c r="D3201" i="3"/>
  <c r="C1148" i="3" s="1"/>
  <c r="BI3279" i="3"/>
  <c r="BJ3279" i="3"/>
  <c r="BJ3286" i="3"/>
  <c r="BI3286" i="3"/>
  <c r="BI3291" i="3"/>
  <c r="BJ3291" i="3"/>
  <c r="BI3295" i="3"/>
  <c r="BJ3295" i="3"/>
  <c r="BJ3299" i="3"/>
  <c r="BI3299" i="3"/>
  <c r="BI3301" i="3"/>
  <c r="BJ3301" i="3"/>
  <c r="BK3307" i="3"/>
  <c r="EA3307" i="3" s="1"/>
  <c r="BJ3307" i="3"/>
  <c r="BI3307" i="3"/>
  <c r="BJ3311" i="3"/>
  <c r="BI3311" i="3"/>
  <c r="BI3317" i="3"/>
  <c r="BJ3317" i="3"/>
  <c r="BI3320" i="3"/>
  <c r="BJ3320" i="3"/>
  <c r="BJ3322" i="3"/>
  <c r="BI3322" i="3"/>
  <c r="BI3324" i="3"/>
  <c r="BJ3324" i="3"/>
  <c r="BJ3326" i="3"/>
  <c r="BI3326" i="3"/>
  <c r="BJ3280" i="3"/>
  <c r="BI3280" i="3"/>
  <c r="BJ3282" i="3"/>
  <c r="BI3282" i="3"/>
  <c r="BI3289" i="3"/>
  <c r="BJ3289" i="3"/>
  <c r="BI3293" i="3"/>
  <c r="BJ3293" i="3"/>
  <c r="BI3297" i="3"/>
  <c r="BJ3297" i="3"/>
  <c r="BJ3303" i="3"/>
  <c r="BI3303" i="3"/>
  <c r="BI3305" i="3"/>
  <c r="BJ3305" i="3"/>
  <c r="BI3312" i="3"/>
  <c r="BJ3312" i="3"/>
  <c r="BK3314" i="3"/>
  <c r="EA3314" i="3" s="1"/>
  <c r="BJ3314" i="3"/>
  <c r="BI3314" i="3"/>
  <c r="BK3318" i="3"/>
  <c r="EA3318" i="3" s="1"/>
  <c r="BJ3318" i="3"/>
  <c r="BI3318" i="3"/>
  <c r="BK3327" i="3"/>
  <c r="EA3327" i="3" s="1"/>
  <c r="BJ3327" i="3"/>
  <c r="BI3327" i="3"/>
  <c r="BI3281" i="3"/>
  <c r="BJ3281" i="3"/>
  <c r="BJ3284" i="3"/>
  <c r="BI3284" i="3"/>
  <c r="BI3287" i="3"/>
  <c r="BJ3287" i="3"/>
  <c r="BJ3290" i="3"/>
  <c r="BI3290" i="3"/>
  <c r="BJ3292" i="3"/>
  <c r="BI3292" i="3"/>
  <c r="BJ3298" i="3"/>
  <c r="BI3298" i="3"/>
  <c r="BI3300" i="3"/>
  <c r="BJ3300" i="3"/>
  <c r="BJ3306" i="3"/>
  <c r="BI3306" i="3"/>
  <c r="BI3308" i="3"/>
  <c r="BJ3308" i="3"/>
  <c r="BJ3310" i="3"/>
  <c r="BI3310" i="3"/>
  <c r="BJ3315" i="3"/>
  <c r="BI3315" i="3"/>
  <c r="BK3319" i="3"/>
  <c r="EA3319" i="3" s="1"/>
  <c r="BJ3319" i="3"/>
  <c r="BI3319" i="3"/>
  <c r="BI3321" i="3"/>
  <c r="BJ3321" i="3"/>
  <c r="BJ3323" i="3"/>
  <c r="BI3323" i="3"/>
  <c r="BK3325" i="3"/>
  <c r="EA3325" i="3" s="1"/>
  <c r="BI3325" i="3"/>
  <c r="BJ3325" i="3"/>
  <c r="BK3328" i="3"/>
  <c r="EA3328" i="3" s="1"/>
  <c r="BI3328" i="3"/>
  <c r="BJ3328" i="3"/>
  <c r="BK3283" i="3"/>
  <c r="EA3283" i="3" s="1"/>
  <c r="BI3283" i="3"/>
  <c r="BJ3283" i="3"/>
  <c r="BI3285" i="3"/>
  <c r="BJ3285" i="3"/>
  <c r="BJ3288" i="3"/>
  <c r="BI3288" i="3"/>
  <c r="BJ3294" i="3"/>
  <c r="BI3294" i="3"/>
  <c r="BJ3296" i="3"/>
  <c r="BI3296" i="3"/>
  <c r="BJ3302" i="3"/>
  <c r="BI3302" i="3"/>
  <c r="BK3304" i="3"/>
  <c r="EA3304" i="3" s="1"/>
  <c r="BI3304" i="3"/>
  <c r="BJ3304" i="3"/>
  <c r="BI3309" i="3"/>
  <c r="BJ3309" i="3"/>
  <c r="BI3313" i="3"/>
  <c r="BJ3313" i="3"/>
  <c r="BK3316" i="3"/>
  <c r="EA3316" i="3" s="1"/>
  <c r="BI3316" i="3"/>
  <c r="BJ3316" i="3"/>
  <c r="BI3329" i="3"/>
  <c r="BJ3329" i="3"/>
  <c r="DZ3330" i="3"/>
  <c r="EB3364" i="3"/>
  <c r="DZ3364" i="3" s="1"/>
  <c r="EC3330" i="3"/>
  <c r="AD409" i="3"/>
  <c r="AD389" i="3"/>
  <c r="AD469" i="3"/>
  <c r="AD379" i="3"/>
  <c r="AD479" i="3"/>
  <c r="AT404" i="3"/>
  <c r="AF389" i="3"/>
  <c r="AF419" i="3"/>
  <c r="C464" i="3"/>
  <c r="AT756" i="3"/>
  <c r="AF369" i="3"/>
  <c r="AF379" i="3"/>
  <c r="AF429" i="3"/>
  <c r="AF449" i="3"/>
  <c r="AE1637" i="3"/>
  <c r="AC1669" i="3"/>
  <c r="C1669" i="3" s="1"/>
  <c r="AM1178" i="3"/>
  <c r="B1178" i="3" s="1"/>
  <c r="B3365" i="3"/>
  <c r="AF479" i="3"/>
  <c r="AM1190" i="3"/>
  <c r="B1190" i="3" s="1"/>
  <c r="AF399" i="3"/>
  <c r="AF409" i="3"/>
  <c r="AF439" i="3"/>
  <c r="AF459" i="3"/>
  <c r="AT424" i="3"/>
  <c r="AD506" i="3"/>
  <c r="AE1647" i="3"/>
  <c r="AM1196" i="3"/>
  <c r="B1196" i="3" s="1"/>
  <c r="C374" i="3"/>
  <c r="B3393" i="3"/>
  <c r="AE389" i="3"/>
  <c r="AE439" i="3"/>
  <c r="AE479" i="3"/>
  <c r="AD514" i="3"/>
  <c r="AD359" i="3"/>
  <c r="AD369" i="3"/>
  <c r="AH399" i="3"/>
  <c r="AH419" i="3"/>
  <c r="BB441" i="3"/>
  <c r="AD449" i="3"/>
  <c r="AH459" i="3"/>
  <c r="AH379" i="3"/>
  <c r="AH409" i="3"/>
  <c r="AH429" i="3"/>
  <c r="AH439" i="3"/>
  <c r="BD451" i="3"/>
  <c r="AH469" i="3"/>
  <c r="AH489" i="3"/>
  <c r="AH359" i="3"/>
  <c r="AH369" i="3"/>
  <c r="AH389" i="3"/>
  <c r="BB391" i="3"/>
  <c r="AD399" i="3"/>
  <c r="AD419" i="3"/>
  <c r="AD429" i="3"/>
  <c r="AD439" i="3"/>
  <c r="AH449" i="3"/>
  <c r="C454" i="3"/>
  <c r="AD892" i="3"/>
  <c r="C384" i="3"/>
  <c r="C444" i="3"/>
  <c r="AG489" i="3"/>
  <c r="AT591" i="3"/>
  <c r="AT659" i="3"/>
  <c r="AM728" i="3"/>
  <c r="AF843" i="3"/>
  <c r="AF847" i="3"/>
  <c r="AS849" i="3"/>
  <c r="AJ851" i="3"/>
  <c r="AJ852" i="3"/>
  <c r="AG379" i="3"/>
  <c r="AC439" i="3"/>
  <c r="AG439" i="3"/>
  <c r="AG459" i="3"/>
  <c r="AC489" i="3"/>
  <c r="AV685" i="3"/>
  <c r="AV690" i="3"/>
  <c r="AF834" i="3"/>
  <c r="AS836" i="3"/>
  <c r="AJ847" i="3"/>
  <c r="AJ849" i="3"/>
  <c r="AF850" i="3"/>
  <c r="AF852" i="3"/>
  <c r="AE883" i="3"/>
  <c r="AM1202" i="3"/>
  <c r="B1202" i="3" s="1"/>
  <c r="B3372" i="3"/>
  <c r="AG359" i="3"/>
  <c r="AU365" i="3"/>
  <c r="AC369" i="3"/>
  <c r="AC389" i="3"/>
  <c r="AG389" i="3"/>
  <c r="AG409" i="3"/>
  <c r="AU455" i="3"/>
  <c r="AC479" i="3"/>
  <c r="AG479" i="3"/>
  <c r="AM766" i="3"/>
  <c r="AV766" i="3"/>
  <c r="AM1181" i="3"/>
  <c r="B1181" i="3" s="1"/>
  <c r="AI865" i="3"/>
  <c r="AF893" i="3"/>
  <c r="AE1388" i="3"/>
  <c r="AE1398" i="3"/>
  <c r="AG369" i="3"/>
  <c r="AU375" i="3"/>
  <c r="AC399" i="3"/>
  <c r="AC419" i="3"/>
  <c r="AC449" i="3"/>
  <c r="AC469" i="3"/>
  <c r="BD471" i="3"/>
  <c r="AT474" i="3"/>
  <c r="AD510" i="3"/>
  <c r="AD516" i="3"/>
  <c r="AV640" i="3"/>
  <c r="AC972" i="3"/>
  <c r="AC1357" i="3"/>
  <c r="AE1408" i="3"/>
  <c r="AE1418" i="3"/>
  <c r="CB1641" i="3"/>
  <c r="CI1641" i="3" s="1"/>
  <c r="B3368" i="3"/>
  <c r="AT434" i="3"/>
  <c r="AU465" i="3"/>
  <c r="AT484" i="3"/>
  <c r="AT494" i="3"/>
  <c r="AD508" i="3"/>
  <c r="AK818" i="3"/>
  <c r="AS818" i="3"/>
  <c r="AJ850" i="3"/>
  <c r="AM871" i="3"/>
  <c r="AE882" i="3"/>
  <c r="AC955" i="3"/>
  <c r="AE1368" i="3"/>
  <c r="AC1352" i="3"/>
  <c r="AE1438" i="3"/>
  <c r="AE1667" i="3"/>
  <c r="AC1679" i="3"/>
  <c r="C1679" i="3" s="1"/>
  <c r="AM1187" i="3"/>
  <c r="B1187" i="3" s="1"/>
  <c r="B3370" i="3"/>
  <c r="AD962" i="3"/>
  <c r="AC379" i="3"/>
  <c r="BD391" i="3"/>
  <c r="AU395" i="3"/>
  <c r="AG399" i="3"/>
  <c r="AC409" i="3"/>
  <c r="AG419" i="3"/>
  <c r="AC429" i="3"/>
  <c r="AI445" i="3"/>
  <c r="AN445" i="3" s="1"/>
  <c r="AG449" i="3"/>
  <c r="BB451" i="3"/>
  <c r="BB471" i="3"/>
  <c r="AU485" i="3"/>
  <c r="AD504" i="3"/>
  <c r="AD512" i="3"/>
  <c r="AC522" i="3"/>
  <c r="AM554" i="3"/>
  <c r="AF567" i="3"/>
  <c r="AV596" i="3"/>
  <c r="AV630" i="3"/>
  <c r="AC756" i="3"/>
  <c r="AG818" i="3"/>
  <c r="AO818" i="3"/>
  <c r="AC862" i="3"/>
  <c r="AC863" i="3"/>
  <c r="AM866" i="3"/>
  <c r="AC968" i="3"/>
  <c r="AE1358" i="3"/>
  <c r="AC1659" i="3"/>
  <c r="C1659" i="3" s="1"/>
  <c r="B3378" i="3"/>
  <c r="D3207" i="3"/>
  <c r="AM3205" i="3" s="1"/>
  <c r="AE3198" i="3" s="1"/>
  <c r="AC3239" i="3" s="1"/>
  <c r="BD491" i="3"/>
  <c r="AG897" i="3"/>
  <c r="AE379" i="3"/>
  <c r="AI395" i="3"/>
  <c r="AN395" i="3" s="1"/>
  <c r="AE419" i="3"/>
  <c r="AE429" i="3"/>
  <c r="AI455" i="3"/>
  <c r="AN455" i="3" s="1"/>
  <c r="AE469" i="3"/>
  <c r="AU475" i="3"/>
  <c r="AE489" i="3"/>
  <c r="AM527" i="3"/>
  <c r="AF532" i="3"/>
  <c r="AM532" i="3"/>
  <c r="AV538" i="3"/>
  <c r="AF543" i="3"/>
  <c r="AM543" i="3"/>
  <c r="AV549" i="3"/>
  <c r="AV562" i="3"/>
  <c r="AV567" i="3"/>
  <c r="AF578" i="3"/>
  <c r="AF583" i="3"/>
  <c r="AV588" i="3"/>
  <c r="AV601" i="3"/>
  <c r="AF606" i="3"/>
  <c r="AM606" i="3"/>
  <c r="AM617" i="3"/>
  <c r="AV651" i="3"/>
  <c r="AV674" i="3"/>
  <c r="AV712" i="3"/>
  <c r="AV717" i="3"/>
  <c r="AF722" i="3"/>
  <c r="AV728" i="3"/>
  <c r="AF733" i="3"/>
  <c r="AF743" i="3"/>
  <c r="AV751" i="3"/>
  <c r="AF761" i="3"/>
  <c r="AM771" i="3"/>
  <c r="AV771" i="3"/>
  <c r="AF781" i="3"/>
  <c r="AJ842" i="3"/>
  <c r="AJ844" i="3"/>
  <c r="AC861" i="3"/>
  <c r="AI862" i="3"/>
  <c r="AF863" i="3"/>
  <c r="AM864" i="3"/>
  <c r="AM865" i="3"/>
  <c r="AP867" i="3"/>
  <c r="AI872" i="3"/>
  <c r="AD882" i="3"/>
  <c r="AD884" i="3"/>
  <c r="AE886" i="3"/>
  <c r="AC3261" i="3"/>
  <c r="AG895" i="3"/>
  <c r="AE359" i="3"/>
  <c r="AE369" i="3"/>
  <c r="AU415" i="3"/>
  <c r="AU445" i="3"/>
  <c r="AI465" i="3"/>
  <c r="AI475" i="3"/>
  <c r="AN475" i="3" s="1"/>
  <c r="AU495" i="3"/>
  <c r="AV572" i="3"/>
  <c r="AV578" i="3"/>
  <c r="AV646" i="3"/>
  <c r="AV656" i="3"/>
  <c r="AM669" i="3"/>
  <c r="AV738" i="3"/>
  <c r="AF766" i="3"/>
  <c r="AV776" i="3"/>
  <c r="AF837" i="3"/>
  <c r="AF840" i="3"/>
  <c r="AF841" i="3"/>
  <c r="AJ841" i="3"/>
  <c r="AF849" i="3"/>
  <c r="AF861" i="3"/>
  <c r="AV861" i="3" s="1"/>
  <c r="AL862" i="3"/>
  <c r="AP864" i="3"/>
  <c r="AP865" i="3"/>
  <c r="AI868" i="3"/>
  <c r="AD885" i="3"/>
  <c r="AD887" i="3"/>
  <c r="AC895" i="3"/>
  <c r="AC897" i="3"/>
  <c r="AL864" i="3"/>
  <c r="AD886" i="3"/>
  <c r="AI250" i="3"/>
  <c r="AI242" i="3" s="1"/>
  <c r="B67" i="3" s="1"/>
  <c r="AU385" i="3"/>
  <c r="AE399" i="3"/>
  <c r="AE409" i="3"/>
  <c r="AE449" i="3"/>
  <c r="AI485" i="3"/>
  <c r="AN485" i="3" s="1"/>
  <c r="BB491" i="3"/>
  <c r="AI495" i="3"/>
  <c r="AN495" i="3" s="1"/>
  <c r="AV532" i="3"/>
  <c r="AV543" i="3"/>
  <c r="AM549" i="3"/>
  <c r="AV583" i="3"/>
  <c r="AV617" i="3"/>
  <c r="AV622" i="3"/>
  <c r="AV635" i="3"/>
  <c r="AV722" i="3"/>
  <c r="AF728" i="3"/>
  <c r="AV733" i="3"/>
  <c r="AM743" i="3"/>
  <c r="AV743" i="3"/>
  <c r="AM761" i="3"/>
  <c r="AV761" i="3"/>
  <c r="AF771" i="3"/>
  <c r="AM781" i="3"/>
  <c r="AV781" i="3"/>
  <c r="AF835" i="3"/>
  <c r="AF836" i="3"/>
  <c r="AM862" i="3"/>
  <c r="AI864" i="3"/>
  <c r="AI866" i="3"/>
  <c r="AE885" i="3"/>
  <c r="AC893" i="3"/>
  <c r="AF895" i="3"/>
  <c r="AF897" i="3"/>
  <c r="E3015" i="3"/>
  <c r="AC3235" i="3"/>
  <c r="AF588" i="3"/>
  <c r="AD954" i="3"/>
  <c r="AD963" i="3"/>
  <c r="AG995" i="3"/>
  <c r="AG1005" i="3"/>
  <c r="AG1015" i="3"/>
  <c r="AG1025" i="3"/>
  <c r="AG1035" i="3"/>
  <c r="AG1045" i="3"/>
  <c r="AG1055" i="3"/>
  <c r="AG1065" i="3"/>
  <c r="AG1075" i="3"/>
  <c r="AG1085" i="3"/>
  <c r="AD966" i="3"/>
  <c r="AF999" i="3"/>
  <c r="AF1019" i="3"/>
  <c r="AF1039" i="3"/>
  <c r="AF1059" i="3"/>
  <c r="AF1079" i="3"/>
  <c r="AD959" i="3"/>
  <c r="AF992" i="3"/>
  <c r="AF1012" i="3"/>
  <c r="AF1032" i="3"/>
  <c r="AF1052" i="3"/>
  <c r="AF1072" i="3"/>
  <c r="AF1094" i="3"/>
  <c r="AD955" i="3"/>
  <c r="AC959" i="3"/>
  <c r="AC963" i="3"/>
  <c r="AE966" i="3"/>
  <c r="AD970" i="3"/>
  <c r="AF1001" i="3"/>
  <c r="AF1009" i="3"/>
  <c r="AF1021" i="3"/>
  <c r="AF1029" i="3"/>
  <c r="AF1041" i="3"/>
  <c r="AF1049" i="3"/>
  <c r="AF1061" i="3"/>
  <c r="AF1069" i="3"/>
  <c r="AF1081" i="3"/>
  <c r="AF1089" i="3"/>
  <c r="AC956" i="3"/>
  <c r="AC967" i="3"/>
  <c r="AC971" i="3"/>
  <c r="AF1002" i="3"/>
  <c r="AF1022" i="3"/>
  <c r="AF1042" i="3"/>
  <c r="AF1062" i="3"/>
  <c r="AF1082" i="3"/>
  <c r="AE958" i="3"/>
  <c r="AE954" i="3"/>
  <c r="AD958" i="3"/>
  <c r="AC960" i="3"/>
  <c r="AC964" i="3"/>
  <c r="AD967" i="3"/>
  <c r="AD971" i="3"/>
  <c r="AF991" i="3"/>
  <c r="AF1011" i="3"/>
  <c r="AF1031" i="3"/>
  <c r="AF1051" i="3"/>
  <c r="AF1071" i="3"/>
  <c r="AF1091" i="3"/>
  <c r="BK3306" i="3"/>
  <c r="EA3306" i="3" s="1"/>
  <c r="AJ834" i="3"/>
  <c r="AJ838" i="3"/>
  <c r="AJ843" i="3"/>
  <c r="AJ853" i="3"/>
  <c r="AJ837" i="3"/>
  <c r="AJ840" i="3"/>
  <c r="AJ846" i="3"/>
  <c r="AJ835" i="3"/>
  <c r="AJ836" i="3"/>
  <c r="AJ839" i="3"/>
  <c r="AJ845" i="3"/>
  <c r="AJ848" i="3"/>
  <c r="AF839" i="3"/>
  <c r="AF846" i="3"/>
  <c r="AF851" i="3"/>
  <c r="AF838" i="3"/>
  <c r="AF842" i="3"/>
  <c r="AF844" i="3"/>
  <c r="AF845" i="3"/>
  <c r="AF853" i="3"/>
  <c r="AF848" i="3"/>
  <c r="AM818" i="3"/>
  <c r="AV818" i="3"/>
  <c r="AI818" i="3"/>
  <c r="AQ818" i="3"/>
  <c r="AM776" i="3"/>
  <c r="AF776" i="3"/>
  <c r="AM717" i="3"/>
  <c r="AM712" i="3"/>
  <c r="AF669" i="3"/>
  <c r="AM664" i="3"/>
  <c r="AF664" i="3"/>
  <c r="AF656" i="3"/>
  <c r="AF640" i="3"/>
  <c r="AF612" i="3"/>
  <c r="AM572" i="3"/>
  <c r="AF572" i="3"/>
  <c r="AF549" i="3"/>
  <c r="AM538" i="3"/>
  <c r="AF538" i="3"/>
  <c r="AF527" i="3"/>
  <c r="AU435" i="3"/>
  <c r="AI435" i="3"/>
  <c r="AN435" i="3" s="1"/>
  <c r="AU425" i="3"/>
  <c r="AI425" i="3"/>
  <c r="AN425" i="3" s="1"/>
  <c r="AT414" i="3"/>
  <c r="AI415" i="3"/>
  <c r="AN415" i="3" s="1"/>
  <c r="AU405" i="3"/>
  <c r="AI405" i="3"/>
  <c r="AN405" i="3" s="1"/>
  <c r="AI385" i="3"/>
  <c r="AN385" i="3" s="1"/>
  <c r="AI375" i="3"/>
  <c r="AN375" i="3" s="1"/>
  <c r="AI365" i="3"/>
  <c r="AN365" i="3" s="1"/>
  <c r="AO329" i="3"/>
  <c r="AM329" i="3" s="1"/>
  <c r="B330" i="3" s="1"/>
  <c r="AY315" i="3"/>
  <c r="AS845" i="3" s="1"/>
  <c r="AK315" i="3"/>
  <c r="BK3313" i="3"/>
  <c r="EA3313" i="3" s="1"/>
  <c r="BK3287" i="3"/>
  <c r="EA3287" i="3" s="1"/>
  <c r="BK3292" i="3"/>
  <c r="EA3292" i="3" s="1"/>
  <c r="BK3302" i="3"/>
  <c r="EA3302" i="3" s="1"/>
  <c r="BK3303" i="3"/>
  <c r="EA3303" i="3" s="1"/>
  <c r="BK3284" i="3"/>
  <c r="EA3284" i="3" s="1"/>
  <c r="BK3296" i="3"/>
  <c r="EA3296" i="3" s="1"/>
  <c r="BK3315" i="3"/>
  <c r="EA3315" i="3" s="1"/>
  <c r="BK3295" i="3"/>
  <c r="EA3295" i="3" s="1"/>
  <c r="BK3286" i="3"/>
  <c r="EA3286" i="3" s="1"/>
  <c r="BK3312" i="3"/>
  <c r="EA3312" i="3" s="1"/>
  <c r="BK3317" i="3"/>
  <c r="EA3317" i="3" s="1"/>
  <c r="BK3291" i="3"/>
  <c r="EA3291" i="3" s="1"/>
  <c r="BK3300" i="3"/>
  <c r="EA3300" i="3" s="1"/>
  <c r="BK3326" i="3"/>
  <c r="EA3326" i="3" s="1"/>
  <c r="BK3290" i="3"/>
  <c r="EA3290" i="3" s="1"/>
  <c r="BK3297" i="3"/>
  <c r="EA3297" i="3" s="1"/>
  <c r="BK3309" i="3"/>
  <c r="EA3309" i="3" s="1"/>
  <c r="AI1355" i="3"/>
  <c r="AK375" i="3"/>
  <c r="D375" i="3" s="1"/>
  <c r="AK385" i="3"/>
  <c r="D385" i="3" s="1"/>
  <c r="AK415" i="3"/>
  <c r="AK425" i="3"/>
  <c r="D425" i="3" s="1"/>
  <c r="AK405" i="3"/>
  <c r="D405" i="3" s="1"/>
  <c r="AV554" i="3"/>
  <c r="AK485" i="3"/>
  <c r="D485" i="3" s="1"/>
  <c r="D3289" i="3"/>
  <c r="AP707" i="3"/>
  <c r="AC707" i="3"/>
  <c r="AT707" i="3"/>
  <c r="AD738" i="3"/>
  <c r="AF738" i="3" s="1"/>
  <c r="AD712" i="3"/>
  <c r="AF712" i="3" s="1"/>
  <c r="AD651" i="3"/>
  <c r="AF651" i="3" s="1"/>
  <c r="AO206" i="3" s="1"/>
  <c r="AD646" i="3"/>
  <c r="AF646" i="3" s="1"/>
  <c r="AD635" i="3"/>
  <c r="AF635" i="3" s="1"/>
  <c r="AD751" i="3"/>
  <c r="AF751" i="3" s="1"/>
  <c r="AT557" i="3"/>
  <c r="AM562" i="3"/>
  <c r="AM588" i="3"/>
  <c r="AD601" i="3"/>
  <c r="AF601" i="3" s="1"/>
  <c r="AM612" i="3"/>
  <c r="AD680" i="3"/>
  <c r="AF680" i="3" s="1"/>
  <c r="AV680" i="3"/>
  <c r="AX816" i="3"/>
  <c r="AZ816" i="3"/>
  <c r="AT837" i="3"/>
  <c r="AS837" i="3"/>
  <c r="AC717" i="3"/>
  <c r="AF717" i="3" s="1"/>
  <c r="AC630" i="3"/>
  <c r="AF630" i="3" s="1"/>
  <c r="AT364" i="3"/>
  <c r="C394" i="3"/>
  <c r="AX445" i="3"/>
  <c r="AF596" i="3"/>
  <c r="AV606" i="3"/>
  <c r="AF617" i="3"/>
  <c r="AP625" i="3"/>
  <c r="AC625" i="3"/>
  <c r="AT625" i="3"/>
  <c r="AM640" i="3"/>
  <c r="AV664" i="3"/>
  <c r="AF674" i="3"/>
  <c r="AM674" i="3"/>
  <c r="AD685" i="3"/>
  <c r="AF685" i="3" s="1"/>
  <c r="AD696" i="3"/>
  <c r="AF696" i="3" s="1"/>
  <c r="AV696" i="3"/>
  <c r="AM722" i="3"/>
  <c r="AD106" i="3"/>
  <c r="BD441" i="3"/>
  <c r="AT522" i="3"/>
  <c r="AC554" i="3"/>
  <c r="AF554" i="3" s="1"/>
  <c r="AC557" i="3"/>
  <c r="AM583" i="3"/>
  <c r="AM601" i="3"/>
  <c r="AV612" i="3"/>
  <c r="AF622" i="3"/>
  <c r="AV669" i="3"/>
  <c r="AM680" i="3"/>
  <c r="AM733" i="3"/>
  <c r="AT746" i="3"/>
  <c r="AX815" i="3"/>
  <c r="AC591" i="3"/>
  <c r="AC659" i="3"/>
  <c r="AC746" i="3"/>
  <c r="AL865" i="3"/>
  <c r="AM858" i="3"/>
  <c r="AN858" i="3" s="1"/>
  <c r="AO858" i="3" s="1"/>
  <c r="AP858" i="3" s="1"/>
  <c r="AH891" i="3"/>
  <c r="AI891" i="3" s="1"/>
  <c r="AI892" i="3" s="1"/>
  <c r="AG893" i="3"/>
  <c r="AI894" i="3"/>
  <c r="AE870" i="3"/>
  <c r="AK867" i="3"/>
  <c r="AK872" i="3"/>
  <c r="AK871" i="3"/>
  <c r="AK868" i="3"/>
  <c r="AO867" i="3"/>
  <c r="AO872" i="3"/>
  <c r="AO871" i="3"/>
  <c r="AO868" i="3"/>
  <c r="AK861" i="3"/>
  <c r="AO861" i="3"/>
  <c r="AD862" i="3"/>
  <c r="AK863" i="3"/>
  <c r="AO863" i="3"/>
  <c r="AE864" i="3"/>
  <c r="AE865" i="3"/>
  <c r="AE866" i="3"/>
  <c r="AJ866" i="3"/>
  <c r="AN866" i="3"/>
  <c r="AF867" i="3"/>
  <c r="AJ868" i="3"/>
  <c r="AK869" i="3"/>
  <c r="AC870" i="3"/>
  <c r="AK870" i="3"/>
  <c r="AN871" i="3"/>
  <c r="AJ872" i="3"/>
  <c r="AE884" i="3"/>
  <c r="AD897" i="3"/>
  <c r="AD895" i="3"/>
  <c r="AD893" i="3"/>
  <c r="AH895" i="3"/>
  <c r="AH893" i="3"/>
  <c r="AE892" i="3"/>
  <c r="AE953" i="3"/>
  <c r="AF956" i="3"/>
  <c r="AF969" i="3"/>
  <c r="AF872" i="3"/>
  <c r="AF868" i="3"/>
  <c r="AL872" i="3"/>
  <c r="AL871" i="3"/>
  <c r="AL868" i="3"/>
  <c r="AL870" i="3"/>
  <c r="AL869" i="3"/>
  <c r="AP872" i="3"/>
  <c r="AP871" i="3"/>
  <c r="AP868" i="3"/>
  <c r="AP870" i="3"/>
  <c r="AP869" i="3"/>
  <c r="AD861" i="3"/>
  <c r="AL861" i="3"/>
  <c r="AP861" i="3"/>
  <c r="BD861" i="3"/>
  <c r="BF861" i="3" s="1"/>
  <c r="AE862" i="3"/>
  <c r="AJ862" i="3"/>
  <c r="AN862" i="3"/>
  <c r="AD863" i="3"/>
  <c r="AL863" i="3"/>
  <c r="AP863" i="3"/>
  <c r="AF864" i="3"/>
  <c r="AJ864" i="3"/>
  <c r="AN864" i="3"/>
  <c r="AF865" i="3"/>
  <c r="AJ865" i="3"/>
  <c r="AN865" i="3"/>
  <c r="AF866" i="3"/>
  <c r="AK866" i="3"/>
  <c r="AO866" i="3"/>
  <c r="AM867" i="3"/>
  <c r="AD868" i="3"/>
  <c r="AM868" i="3"/>
  <c r="AE869" i="3"/>
  <c r="AN869" i="3"/>
  <c r="AF870" i="3"/>
  <c r="AN870" i="3"/>
  <c r="AD872" i="3"/>
  <c r="AE897" i="3"/>
  <c r="AE895" i="3"/>
  <c r="AE893" i="3"/>
  <c r="AI897" i="3"/>
  <c r="AI895" i="3"/>
  <c r="AI893" i="3"/>
  <c r="AH892" i="3"/>
  <c r="AD894" i="3"/>
  <c r="AH896" i="3"/>
  <c r="AF953" i="3"/>
  <c r="AF965" i="3"/>
  <c r="D1369" i="3"/>
  <c r="AS1379" i="3"/>
  <c r="AC872" i="3"/>
  <c r="AC868" i="3"/>
  <c r="AC871" i="3"/>
  <c r="AC869" i="3"/>
  <c r="AI870" i="3"/>
  <c r="AI869" i="3"/>
  <c r="AM870" i="3"/>
  <c r="AM869" i="3"/>
  <c r="AE861" i="3"/>
  <c r="AI861" i="3"/>
  <c r="AM861" i="3"/>
  <c r="AF862" i="3"/>
  <c r="AK862" i="3"/>
  <c r="AO862" i="3"/>
  <c r="AE863" i="3"/>
  <c r="AI863" i="3"/>
  <c r="AM863" i="3"/>
  <c r="AC864" i="3"/>
  <c r="AK864" i="3"/>
  <c r="AO864" i="3"/>
  <c r="AC865" i="3"/>
  <c r="AK865" i="3"/>
  <c r="AO865" i="3"/>
  <c r="AC866" i="3"/>
  <c r="AL866" i="3"/>
  <c r="AP866" i="3"/>
  <c r="AI867" i="3"/>
  <c r="AN867" i="3"/>
  <c r="AE868" i="3"/>
  <c r="AN868" i="3"/>
  <c r="AF869" i="3"/>
  <c r="AO869" i="3"/>
  <c r="AO870" i="3"/>
  <c r="AJ871" i="3"/>
  <c r="AE872" i="3"/>
  <c r="AN872" i="3"/>
  <c r="AE894" i="3"/>
  <c r="AI896" i="3"/>
  <c r="AE973" i="3"/>
  <c r="AE969" i="3"/>
  <c r="AE965" i="3"/>
  <c r="AE961" i="3"/>
  <c r="AE972" i="3"/>
  <c r="AE968" i="3"/>
  <c r="AE964" i="3"/>
  <c r="AE960" i="3"/>
  <c r="AE956" i="3"/>
  <c r="AE971" i="3"/>
  <c r="AE967" i="3"/>
  <c r="AE963" i="3"/>
  <c r="AE959" i="3"/>
  <c r="AE955" i="3"/>
  <c r="AE957" i="3"/>
  <c r="AE970" i="3"/>
  <c r="AD871" i="3"/>
  <c r="AD869" i="3"/>
  <c r="AD870" i="3"/>
  <c r="AJ861" i="3"/>
  <c r="AN861" i="3"/>
  <c r="AJ863" i="3"/>
  <c r="AD864" i="3"/>
  <c r="AD865" i="3"/>
  <c r="AD866" i="3"/>
  <c r="AE867" i="3"/>
  <c r="AJ867" i="3"/>
  <c r="AJ869" i="3"/>
  <c r="AE871" i="3"/>
  <c r="AC887" i="3"/>
  <c r="AC886" i="3"/>
  <c r="AC885" i="3"/>
  <c r="AC884" i="3"/>
  <c r="AC883" i="3"/>
  <c r="AC882" i="3"/>
  <c r="AG887" i="3"/>
  <c r="AG886" i="3"/>
  <c r="AG885" i="3"/>
  <c r="AG884" i="3"/>
  <c r="AG883" i="3"/>
  <c r="AG882" i="3"/>
  <c r="AF972" i="3"/>
  <c r="AF968" i="3"/>
  <c r="AF964" i="3"/>
  <c r="AF960" i="3"/>
  <c r="AF971" i="3"/>
  <c r="AF967" i="3"/>
  <c r="AF963" i="3"/>
  <c r="AF959" i="3"/>
  <c r="AF955" i="3"/>
  <c r="AF970" i="3"/>
  <c r="AF966" i="3"/>
  <c r="AF962" i="3"/>
  <c r="AF958" i="3"/>
  <c r="AF954" i="3"/>
  <c r="AF957" i="3"/>
  <c r="AF973" i="3"/>
  <c r="AF882" i="3"/>
  <c r="AF883" i="3"/>
  <c r="AF884" i="3"/>
  <c r="AF885" i="3"/>
  <c r="AF886" i="3"/>
  <c r="AF892" i="3"/>
  <c r="AF894" i="3"/>
  <c r="AC953" i="3"/>
  <c r="AD956" i="3"/>
  <c r="AC957" i="3"/>
  <c r="AD960" i="3"/>
  <c r="AC961" i="3"/>
  <c r="AD964" i="3"/>
  <c r="AC965" i="3"/>
  <c r="AD968" i="3"/>
  <c r="AC969" i="3"/>
  <c r="AD972" i="3"/>
  <c r="AC973" i="3"/>
  <c r="AF993" i="3"/>
  <c r="AF996" i="3"/>
  <c r="AF1003" i="3"/>
  <c r="AF1006" i="3"/>
  <c r="AF1013" i="3"/>
  <c r="AF1016" i="3"/>
  <c r="AF1023" i="3"/>
  <c r="AF1026" i="3"/>
  <c r="AF1033" i="3"/>
  <c r="AF1036" i="3"/>
  <c r="AF1043" i="3"/>
  <c r="AF1046" i="3"/>
  <c r="AF1053" i="3"/>
  <c r="AF1056" i="3"/>
  <c r="AF1063" i="3"/>
  <c r="AF1066" i="3"/>
  <c r="AF1073" i="3"/>
  <c r="AF1076" i="3"/>
  <c r="AF1083" i="3"/>
  <c r="AF1086" i="3"/>
  <c r="AF1092" i="3"/>
  <c r="AC892" i="3"/>
  <c r="AG892" i="3"/>
  <c r="AC894" i="3"/>
  <c r="AG894" i="3"/>
  <c r="AD953" i="3"/>
  <c r="AC954" i="3"/>
  <c r="AD957" i="3"/>
  <c r="AC958" i="3"/>
  <c r="AD961" i="3"/>
  <c r="AC962" i="3"/>
  <c r="AD965" i="3"/>
  <c r="AC966" i="3"/>
  <c r="AD969" i="3"/>
  <c r="AG990" i="3"/>
  <c r="AF997" i="3"/>
  <c r="AG1000" i="3"/>
  <c r="AF1007" i="3"/>
  <c r="AG1010" i="3"/>
  <c r="AF1017" i="3"/>
  <c r="AG1020" i="3"/>
  <c r="AF1027" i="3"/>
  <c r="AG1030" i="3"/>
  <c r="AF1037" i="3"/>
  <c r="AG1040" i="3"/>
  <c r="AF1047" i="3"/>
  <c r="AG1050" i="3"/>
  <c r="AF1057" i="3"/>
  <c r="AG1060" i="3"/>
  <c r="AF1067" i="3"/>
  <c r="AG1070" i="3"/>
  <c r="AF1077" i="3"/>
  <c r="AG1080" i="3"/>
  <c r="AF1087" i="3"/>
  <c r="AG1090" i="3"/>
  <c r="A1367" i="3"/>
  <c r="A1377" i="3" s="1"/>
  <c r="A1387" i="3" s="1"/>
  <c r="A1397" i="3" s="1"/>
  <c r="A1407" i="3" s="1"/>
  <c r="A1417" i="3" s="1"/>
  <c r="A1427" i="3" s="1"/>
  <c r="A1437" i="3" s="1"/>
  <c r="A1447" i="3" s="1"/>
  <c r="A1457" i="3" s="1"/>
  <c r="A1467" i="3" s="1"/>
  <c r="A1477" i="3" s="1"/>
  <c r="A1487" i="3" s="1"/>
  <c r="A1497" i="3" s="1"/>
  <c r="A1507" i="3" s="1"/>
  <c r="A1517" i="3" s="1"/>
  <c r="A1527" i="3" s="1"/>
  <c r="A1537" i="3" s="1"/>
  <c r="A1547" i="3" s="1"/>
  <c r="A1557" i="3" s="1"/>
  <c r="A1567" i="3" s="1"/>
  <c r="A1577" i="3" s="1"/>
  <c r="A1587" i="3" s="1"/>
  <c r="AE1468" i="3"/>
  <c r="AE1588" i="3"/>
  <c r="AE1548" i="3"/>
  <c r="AE1508" i="3"/>
  <c r="AE1558" i="3"/>
  <c r="AE1518" i="3"/>
  <c r="AE1488" i="3"/>
  <c r="AE1378" i="3"/>
  <c r="AE1448" i="3"/>
  <c r="AE1528" i="3"/>
  <c r="AE1568" i="3"/>
  <c r="CI1640" i="3"/>
  <c r="AF1657" i="3" s="1"/>
  <c r="AC1447" i="3"/>
  <c r="AC1497" i="3"/>
  <c r="AE1498" i="3"/>
  <c r="AC1537" i="3"/>
  <c r="AE1538" i="3"/>
  <c r="AC1577" i="3"/>
  <c r="AE1578" i="3"/>
  <c r="AC1649" i="3"/>
  <c r="C1649" i="3" s="1"/>
  <c r="AE1428" i="3"/>
  <c r="AE1458" i="3"/>
  <c r="AR1211" i="3"/>
  <c r="BO1211" i="3" s="1"/>
  <c r="C1211" i="3" s="1"/>
  <c r="AR1199" i="3"/>
  <c r="BO1199" i="3" s="1"/>
  <c r="C1199" i="3" s="1"/>
  <c r="AR1196" i="3"/>
  <c r="BO1196" i="3" s="1"/>
  <c r="C1196" i="3" s="1"/>
  <c r="AR1208" i="3"/>
  <c r="BO1208" i="3" s="1"/>
  <c r="C1208" i="3" s="1"/>
  <c r="AR1184" i="3"/>
  <c r="BO1184" i="3" s="1"/>
  <c r="C1184" i="3" s="1"/>
  <c r="AR1181" i="3"/>
  <c r="AR1187" i="3"/>
  <c r="AR1205" i="3"/>
  <c r="BO1205" i="3" s="1"/>
  <c r="C1205" i="3" s="1"/>
  <c r="AR1202" i="3"/>
  <c r="BO1202" i="3" s="1"/>
  <c r="C1202" i="3" s="1"/>
  <c r="AR1193" i="3"/>
  <c r="BO1193" i="3" s="1"/>
  <c r="C1193" i="3" s="1"/>
  <c r="AR1190" i="3"/>
  <c r="AR1178" i="3"/>
  <c r="BO1178" i="3" s="1"/>
  <c r="C1178" i="3" s="1"/>
  <c r="BD1181" i="3"/>
  <c r="BJ1181" i="3" s="1"/>
  <c r="B3381" i="3"/>
  <c r="B3383" i="3"/>
  <c r="B3382" i="3"/>
  <c r="B3380" i="3"/>
  <c r="BK3280" i="3"/>
  <c r="EA3280" i="3" s="1"/>
  <c r="BK3285" i="3"/>
  <c r="EA3285" i="3" s="1"/>
  <c r="BK3294" i="3"/>
  <c r="EA3294" i="3" s="1"/>
  <c r="BK3298" i="3"/>
  <c r="EA3298" i="3" s="1"/>
  <c r="BK3310" i="3"/>
  <c r="EA3310" i="3" s="1"/>
  <c r="BK3321" i="3"/>
  <c r="EA3321" i="3" s="1"/>
  <c r="AC1639" i="3"/>
  <c r="C1639" i="3" s="1"/>
  <c r="AC1689" i="3"/>
  <c r="C1689" i="3" s="1"/>
  <c r="BK3281" i="3"/>
  <c r="EA3281" i="3" s="1"/>
  <c r="AC3013" i="3"/>
  <c r="E3014" i="3"/>
  <c r="AJ690" i="3" s="1"/>
  <c r="AM690" i="3" s="1"/>
  <c r="BK3293" i="3"/>
  <c r="EA3293" i="3" s="1"/>
  <c r="BK3311" i="3"/>
  <c r="EA3311" i="3" s="1"/>
  <c r="BK3320" i="3"/>
  <c r="EA3320" i="3" s="1"/>
  <c r="BK3322" i="3"/>
  <c r="EA3322" i="3" s="1"/>
  <c r="AE1677" i="3"/>
  <c r="B3367" i="3"/>
  <c r="B3373" i="3"/>
  <c r="BH3278" i="3"/>
  <c r="BG3277" i="3"/>
  <c r="BK3279" i="3"/>
  <c r="EA3279" i="3" s="1"/>
  <c r="BK3282" i="3"/>
  <c r="EA3282" i="3" s="1"/>
  <c r="BK3299" i="3"/>
  <c r="EA3299" i="3" s="1"/>
  <c r="BK3301" i="3"/>
  <c r="EA3301" i="3" s="1"/>
  <c r="BK3323" i="3"/>
  <c r="EA3323" i="3" s="1"/>
  <c r="AE1657" i="3"/>
  <c r="B3375" i="3"/>
  <c r="BK3288" i="3"/>
  <c r="EA3288" i="3" s="1"/>
  <c r="BK3324" i="3"/>
  <c r="EA3324" i="3" s="1"/>
  <c r="B3377" i="3"/>
  <c r="BK3289" i="3"/>
  <c r="EA3289" i="3" s="1"/>
  <c r="BK3305" i="3"/>
  <c r="EA3305" i="3" s="1"/>
  <c r="BK3308" i="3"/>
  <c r="EA3308" i="3" s="1"/>
  <c r="BK3329" i="3"/>
  <c r="EA3329" i="3" s="1"/>
  <c r="BF44" i="3" l="1"/>
  <c r="BB44" i="3" s="1"/>
  <c r="AJ14" i="3"/>
  <c r="AH14" i="3" s="1"/>
  <c r="AJ22" i="3"/>
  <c r="AH22" i="3" s="1"/>
  <c r="BB250" i="3"/>
  <c r="AZ250" i="3" s="1"/>
  <c r="AV250" i="3" s="1"/>
  <c r="BN10" i="3" s="1"/>
  <c r="BK10" i="3" s="1"/>
  <c r="BB324" i="3"/>
  <c r="BB343" i="3"/>
  <c r="AZ343" i="3" s="1"/>
  <c r="AV343" i="3" s="1"/>
  <c r="BN16" i="3" s="1"/>
  <c r="BK16" i="3" s="1"/>
  <c r="AJ31" i="3"/>
  <c r="AH31" i="3" s="1"/>
  <c r="AJ36" i="3"/>
  <c r="AH36" i="3" s="1"/>
  <c r="AJ32" i="3"/>
  <c r="AH32" i="3" s="1"/>
  <c r="AJ34" i="3"/>
  <c r="AH34" i="3" s="1"/>
  <c r="AK1909" i="3"/>
  <c r="AK6" i="3"/>
  <c r="BH521" i="3"/>
  <c r="BP521" i="3" s="1"/>
  <c r="AJ1881" i="3"/>
  <c r="AG1881" i="3" s="1"/>
  <c r="C1881" i="3" s="1"/>
  <c r="AJ1869" i="3"/>
  <c r="AJ1885" i="3"/>
  <c r="AG1885" i="3" s="1"/>
  <c r="D1884" i="3" s="1"/>
  <c r="AP1869" i="3"/>
  <c r="AL1867" i="3"/>
  <c r="AJ1868" i="3"/>
  <c r="AG1868" i="3" s="1"/>
  <c r="D1866" i="3" s="1"/>
  <c r="AN1884" i="3"/>
  <c r="AJ1867" i="3"/>
  <c r="AJ1876" i="3"/>
  <c r="AG1876" i="3" s="1"/>
  <c r="C1876" i="3" s="1"/>
  <c r="AJ1884" i="3"/>
  <c r="AJ1860" i="3"/>
  <c r="AG1860" i="3" s="1"/>
  <c r="C1860" i="3" s="1"/>
  <c r="AQ1851" i="3"/>
  <c r="AJ1865" i="3" s="1"/>
  <c r="BG1889" i="3"/>
  <c r="BJ202" i="3"/>
  <c r="BD1889" i="3" s="1"/>
  <c r="AU2095" i="3"/>
  <c r="AL2126" i="3"/>
  <c r="AI2154" i="3"/>
  <c r="AF2154" i="3" s="1"/>
  <c r="AL2127" i="3"/>
  <c r="AL1998" i="3"/>
  <c r="BG202" i="3"/>
  <c r="AI45" i="3" s="1"/>
  <c r="C44" i="3" s="1"/>
  <c r="B6" i="12" s="1"/>
  <c r="AJ2327" i="3"/>
  <c r="AG2327" i="3" s="1"/>
  <c r="AQ2327" i="3" s="1"/>
  <c r="AO2327" i="3" s="1"/>
  <c r="AV337" i="3"/>
  <c r="BI337" i="3" s="1"/>
  <c r="AL845" i="3"/>
  <c r="AO845" i="3" s="1"/>
  <c r="AO325" i="3"/>
  <c r="AQ325" i="3" s="1"/>
  <c r="AQ326" i="3" s="1"/>
  <c r="AQ327" i="3" s="1"/>
  <c r="AQ328" i="3" s="1"/>
  <c r="AQ337" i="3" s="1"/>
  <c r="AQ338" i="3" s="1"/>
  <c r="AQ343" i="3" s="1"/>
  <c r="AL853" i="3"/>
  <c r="AO853" i="3" s="1"/>
  <c r="BH2334" i="3"/>
  <c r="BI2334" i="3"/>
  <c r="BL2329" i="3"/>
  <c r="AH897" i="3"/>
  <c r="AJ897" i="3" s="1"/>
  <c r="E2295" i="3" s="1"/>
  <c r="A2815" i="3"/>
  <c r="BF2814" i="3"/>
  <c r="BL2814" i="3" s="1"/>
  <c r="AJ894" i="3"/>
  <c r="E2292" i="3" s="1"/>
  <c r="AJ896" i="3"/>
  <c r="E2294" i="3" s="1"/>
  <c r="AJ895" i="3"/>
  <c r="E2293" i="3" s="1"/>
  <c r="AJ892" i="3"/>
  <c r="AJ893" i="3"/>
  <c r="E2291" i="3" s="1"/>
  <c r="AJ2247" i="3"/>
  <c r="AF2247" i="3" s="1"/>
  <c r="AJ2248" i="3"/>
  <c r="AF2248" i="3" s="1"/>
  <c r="AK2252" i="3"/>
  <c r="AJ2261" i="3"/>
  <c r="AM2246" i="3"/>
  <c r="AF2246" i="3" s="1"/>
  <c r="AH1784" i="3"/>
  <c r="AL2236" i="3"/>
  <c r="AF2261" i="3"/>
  <c r="AF2235" i="3"/>
  <c r="AF2260" i="3"/>
  <c r="AP1942" i="3"/>
  <c r="D1939" i="3" s="1"/>
  <c r="BQ1942" i="3" s="1"/>
  <c r="BU1942" i="3" s="1"/>
  <c r="AX2245" i="3"/>
  <c r="AJ2251" i="3"/>
  <c r="AF2251" i="3" s="1"/>
  <c r="AJ2258" i="3"/>
  <c r="AF2258" i="3" s="1"/>
  <c r="AF2242" i="3"/>
  <c r="AF2239" i="3"/>
  <c r="AF2233" i="3"/>
  <c r="AF2240" i="3"/>
  <c r="AF2234" i="3"/>
  <c r="AF2259" i="3"/>
  <c r="AF2241" i="3"/>
  <c r="AF2254" i="3"/>
  <c r="AF2253" i="3"/>
  <c r="AJ2148" i="3"/>
  <c r="AF2148" i="3" s="1"/>
  <c r="AJ2142" i="3"/>
  <c r="AJ2161" i="3"/>
  <c r="AF2161" i="3" s="1"/>
  <c r="AI2060" i="3"/>
  <c r="AG2060" i="3" s="1"/>
  <c r="AU2089" i="3"/>
  <c r="AJ1961" i="3"/>
  <c r="AS1945" i="3"/>
  <c r="BQ1904" i="3"/>
  <c r="BL1904" i="3" s="1"/>
  <c r="AO1953" i="3"/>
  <c r="AN1961" i="3"/>
  <c r="AR2019" i="3"/>
  <c r="AV2019" i="3"/>
  <c r="AJ2019" i="3"/>
  <c r="AL2001" i="3"/>
  <c r="AD204" i="3"/>
  <c r="AM2007" i="3"/>
  <c r="AJ2001" i="3"/>
  <c r="AL2095" i="3" s="1"/>
  <c r="AJ2007" i="3"/>
  <c r="AL1995" i="3"/>
  <c r="AC1936" i="3"/>
  <c r="AA1936" i="3" s="1"/>
  <c r="AS1902" i="3"/>
  <c r="AJ1923" i="3"/>
  <c r="AS1923" i="3"/>
  <c r="BH1999" i="3"/>
  <c r="AP1916" i="3"/>
  <c r="BP522" i="3"/>
  <c r="AN465" i="3"/>
  <c r="AK465" i="3"/>
  <c r="AA344" i="3"/>
  <c r="AD1106" i="3"/>
  <c r="AM1890" i="3"/>
  <c r="AV210" i="3"/>
  <c r="AN212" i="3"/>
  <c r="A815" i="3"/>
  <c r="A3081" i="3"/>
  <c r="AI112" i="3"/>
  <c r="AO112" i="3" s="1"/>
  <c r="AD110" i="3" s="1"/>
  <c r="B113" i="3" s="1"/>
  <c r="C57" i="3"/>
  <c r="A534" i="3"/>
  <c r="AB534" i="3" s="1"/>
  <c r="AG2176" i="3"/>
  <c r="A2175" i="3" s="1"/>
  <c r="A6" i="13" s="1"/>
  <c r="D315" i="3"/>
  <c r="C315" i="3"/>
  <c r="AU315" i="3"/>
  <c r="AC1562" i="3"/>
  <c r="D1562" i="3" s="1"/>
  <c r="AV1563" i="3" s="1"/>
  <c r="AC1522" i="3"/>
  <c r="D1522" i="3" s="1"/>
  <c r="AV1523" i="3" s="1"/>
  <c r="AC1482" i="3"/>
  <c r="D1482" i="3" s="1"/>
  <c r="AV1483" i="3" s="1"/>
  <c r="AC1442" i="3"/>
  <c r="D1442" i="3" s="1"/>
  <c r="AV1443" i="3" s="1"/>
  <c r="AC1402" i="3"/>
  <c r="D1402" i="3" s="1"/>
  <c r="AV1403" i="3" s="1"/>
  <c r="AC1362" i="3"/>
  <c r="D1362" i="3" s="1"/>
  <c r="AV1363" i="3" s="1"/>
  <c r="AC1592" i="3"/>
  <c r="D1592" i="3" s="1"/>
  <c r="AV1593" i="3" s="1"/>
  <c r="AC1552" i="3"/>
  <c r="D1552" i="3" s="1"/>
  <c r="AV1553" i="3" s="1"/>
  <c r="AC1512" i="3"/>
  <c r="D1512" i="3" s="1"/>
  <c r="AV1513" i="3" s="1"/>
  <c r="AC1472" i="3"/>
  <c r="D1472" i="3" s="1"/>
  <c r="AV1473" i="3" s="1"/>
  <c r="AC1432" i="3"/>
  <c r="D1432" i="3" s="1"/>
  <c r="AC1392" i="3"/>
  <c r="D1392" i="3" s="1"/>
  <c r="AV1393" i="3" s="1"/>
  <c r="AC1532" i="3"/>
  <c r="D1532" i="3" s="1"/>
  <c r="AV1533" i="3" s="1"/>
  <c r="AC1412" i="3"/>
  <c r="D1412" i="3" s="1"/>
  <c r="AV1413" i="3" s="1"/>
  <c r="AC1582" i="3"/>
  <c r="D1582" i="3" s="1"/>
  <c r="AV1583" i="3" s="1"/>
  <c r="AC1542" i="3"/>
  <c r="D1542" i="3" s="1"/>
  <c r="AV1543" i="3" s="1"/>
  <c r="AC1502" i="3"/>
  <c r="D1502" i="3" s="1"/>
  <c r="AV1503" i="3" s="1"/>
  <c r="AC1462" i="3"/>
  <c r="D1462" i="3" s="1"/>
  <c r="AV1463" i="3" s="1"/>
  <c r="AC1422" i="3"/>
  <c r="D1422" i="3" s="1"/>
  <c r="AV1423" i="3" s="1"/>
  <c r="AC1382" i="3"/>
  <c r="D1382" i="3" s="1"/>
  <c r="AC1572" i="3"/>
  <c r="D1572" i="3" s="1"/>
  <c r="AV1573" i="3" s="1"/>
  <c r="AC1492" i="3"/>
  <c r="D1492" i="3" s="1"/>
  <c r="AV1493" i="3" s="1"/>
  <c r="AC1452" i="3"/>
  <c r="D1452" i="3" s="1"/>
  <c r="AV1453" i="3" s="1"/>
  <c r="AC1372" i="3"/>
  <c r="D1372" i="3" s="1"/>
  <c r="AV1373" i="3" s="1"/>
  <c r="BI3278" i="3"/>
  <c r="BJ3278" i="3"/>
  <c r="EA3330" i="3"/>
  <c r="EC3364" i="3"/>
  <c r="EA3364" i="3" s="1"/>
  <c r="BH441" i="3"/>
  <c r="BH491" i="3"/>
  <c r="BG391" i="3"/>
  <c r="BG471" i="3"/>
  <c r="BG451" i="3"/>
  <c r="BH471" i="3"/>
  <c r="BG441" i="3"/>
  <c r="BG491" i="3"/>
  <c r="BH391" i="3"/>
  <c r="BH451" i="3"/>
  <c r="AK365" i="3"/>
  <c r="AK435" i="3"/>
  <c r="AL837" i="3"/>
  <c r="AO837" i="3" s="1"/>
  <c r="AX549" i="3"/>
  <c r="AZ549" i="3" s="1"/>
  <c r="BD549" i="3" s="1"/>
  <c r="AX669" i="3"/>
  <c r="AZ669" i="3" s="1"/>
  <c r="BD669" i="3" s="1"/>
  <c r="BB771" i="3"/>
  <c r="AF1687" i="3"/>
  <c r="AI429" i="3"/>
  <c r="AK429" i="3" s="1"/>
  <c r="BB583" i="3"/>
  <c r="AX743" i="3"/>
  <c r="AZ743" i="3" s="1"/>
  <c r="BD743" i="3" s="1"/>
  <c r="AL847" i="3"/>
  <c r="AO847" i="3" s="1"/>
  <c r="B328" i="3"/>
  <c r="B2938" i="3" s="1"/>
  <c r="AX606" i="3"/>
  <c r="AZ606" i="3" s="1"/>
  <c r="BD606" i="3" s="1"/>
  <c r="BB532" i="3"/>
  <c r="AL852" i="3"/>
  <c r="AO852" i="3" s="1"/>
  <c r="BB761" i="3"/>
  <c r="AX543" i="3"/>
  <c r="AZ543" i="3" s="1"/>
  <c r="BD543" i="3" s="1"/>
  <c r="AX728" i="3"/>
  <c r="AZ728" i="3" s="1"/>
  <c r="BD728" i="3" s="1"/>
  <c r="AC1353" i="3"/>
  <c r="BB733" i="3"/>
  <c r="AX771" i="3"/>
  <c r="AZ771" i="3" s="1"/>
  <c r="BD771" i="3" s="1"/>
  <c r="AL844" i="3"/>
  <c r="AO844" i="3" s="1"/>
  <c r="AX761" i="3"/>
  <c r="AZ761" i="3" s="1"/>
  <c r="BD761" i="3" s="1"/>
  <c r="BB728" i="3"/>
  <c r="BB543" i="3"/>
  <c r="AL850" i="3"/>
  <c r="AO850" i="3" s="1"/>
  <c r="AI479" i="3"/>
  <c r="AK479" i="3" s="1"/>
  <c r="AI389" i="3"/>
  <c r="AK389" i="3" s="1"/>
  <c r="AI459" i="3"/>
  <c r="AK459" i="3" s="1"/>
  <c r="AD518" i="3"/>
  <c r="B503" i="3" s="1"/>
  <c r="AV316" i="3"/>
  <c r="BB664" i="3"/>
  <c r="AL843" i="3"/>
  <c r="AO843" i="3" s="1"/>
  <c r="AL835" i="3"/>
  <c r="AO835" i="3" s="1"/>
  <c r="AF1677" i="3"/>
  <c r="AL1352" i="3"/>
  <c r="AL842" i="3"/>
  <c r="AO842" i="3" s="1"/>
  <c r="AL836" i="3"/>
  <c r="AO836" i="3" s="1"/>
  <c r="AL834" i="3"/>
  <c r="AO834" i="3" s="1"/>
  <c r="BB549" i="3"/>
  <c r="BB527" i="3"/>
  <c r="AI489" i="3"/>
  <c r="AK489" i="3" s="1"/>
  <c r="BB538" i="3"/>
  <c r="BB572" i="3"/>
  <c r="AL848" i="3"/>
  <c r="AO848" i="3" s="1"/>
  <c r="BO1190" i="3"/>
  <c r="C1190" i="3" s="1"/>
  <c r="AI369" i="3"/>
  <c r="AK369" i="3" s="1"/>
  <c r="AI439" i="3"/>
  <c r="AK439" i="3" s="1"/>
  <c r="AX776" i="3"/>
  <c r="AZ776" i="3" s="1"/>
  <c r="BD776" i="3" s="1"/>
  <c r="AX664" i="3"/>
  <c r="AZ664" i="3" s="1"/>
  <c r="BD664" i="3" s="1"/>
  <c r="AI469" i="3"/>
  <c r="AK469" i="3" s="1"/>
  <c r="BB766" i="3"/>
  <c r="AL849" i="3"/>
  <c r="AO849" i="3" s="1"/>
  <c r="AL851" i="3"/>
  <c r="AO851" i="3" s="1"/>
  <c r="AI399" i="3"/>
  <c r="AK399" i="3" s="1"/>
  <c r="AI379" i="3"/>
  <c r="AK379" i="3" s="1"/>
  <c r="AX640" i="3"/>
  <c r="AZ640" i="3" s="1"/>
  <c r="BD640" i="3" s="1"/>
  <c r="BB669" i="3"/>
  <c r="AX588" i="3"/>
  <c r="AZ588" i="3" s="1"/>
  <c r="BD588" i="3" s="1"/>
  <c r="AB330" i="3"/>
  <c r="AD330" i="3" s="1"/>
  <c r="AE330" i="3" s="1"/>
  <c r="BB3321" i="3" s="1"/>
  <c r="AX781" i="3"/>
  <c r="AZ781" i="3" s="1"/>
  <c r="BD781" i="3" s="1"/>
  <c r="AX766" i="3"/>
  <c r="AZ766" i="3" s="1"/>
  <c r="BD766" i="3" s="1"/>
  <c r="AI359" i="3"/>
  <c r="BB722" i="3"/>
  <c r="AX562" i="3"/>
  <c r="AZ562" i="3" s="1"/>
  <c r="BD562" i="3" s="1"/>
  <c r="BB776" i="3"/>
  <c r="AE3197" i="3"/>
  <c r="AC3217" i="3" s="1"/>
  <c r="AE3201" i="3"/>
  <c r="BO3239" i="3" s="1"/>
  <c r="AG955" i="3"/>
  <c r="AG971" i="3"/>
  <c r="AX612" i="3"/>
  <c r="AZ612" i="3" s="1"/>
  <c r="BD612" i="3" s="1"/>
  <c r="AU818" i="3"/>
  <c r="AV819" i="3" s="1"/>
  <c r="AL839" i="3"/>
  <c r="AO839" i="3" s="1"/>
  <c r="BB743" i="3"/>
  <c r="AX527" i="3"/>
  <c r="AZ527" i="3" s="1"/>
  <c r="BD527" i="3" s="1"/>
  <c r="AI419" i="3"/>
  <c r="AK419" i="3" s="1"/>
  <c r="AI409" i="3"/>
  <c r="AK409" i="3" s="1"/>
  <c r="BB781" i="3"/>
  <c r="B321" i="3"/>
  <c r="AL841" i="3"/>
  <c r="AO841" i="3" s="1"/>
  <c r="AX733" i="3"/>
  <c r="AZ733" i="3" s="1"/>
  <c r="BD733" i="3" s="1"/>
  <c r="AH884" i="3"/>
  <c r="AG959" i="3"/>
  <c r="AG867" i="3"/>
  <c r="AQ867" i="3" s="1"/>
  <c r="AS867" i="3" s="1"/>
  <c r="BD867" i="3" s="1"/>
  <c r="BF867" i="3" s="1"/>
  <c r="BB640" i="3"/>
  <c r="BA316" i="3"/>
  <c r="AI449" i="3"/>
  <c r="AK449" i="3" s="1"/>
  <c r="BB606" i="3"/>
  <c r="AX532" i="3"/>
  <c r="AZ532" i="3" s="1"/>
  <c r="BD532" i="3" s="1"/>
  <c r="AG962" i="3"/>
  <c r="BB612" i="3"/>
  <c r="AX572" i="3"/>
  <c r="AZ572" i="3" s="1"/>
  <c r="BD572" i="3" s="1"/>
  <c r="AX722" i="3"/>
  <c r="AZ722" i="3" s="1"/>
  <c r="BD722" i="3" s="1"/>
  <c r="AX538" i="3"/>
  <c r="AZ538" i="3" s="1"/>
  <c r="BD538" i="3" s="1"/>
  <c r="B315" i="3"/>
  <c r="AL846" i="3"/>
  <c r="AO846" i="3" s="1"/>
  <c r="AL840" i="3"/>
  <c r="AO840" i="3" s="1"/>
  <c r="AG972" i="3"/>
  <c r="AG964" i="3"/>
  <c r="AG956" i="3"/>
  <c r="AG970" i="3"/>
  <c r="AG963" i="3"/>
  <c r="AG966" i="3"/>
  <c r="AG958" i="3"/>
  <c r="AF1103" i="3"/>
  <c r="AT1103" i="3" s="1"/>
  <c r="AG969" i="3"/>
  <c r="AG961" i="3"/>
  <c r="AG953" i="3"/>
  <c r="AG967" i="3"/>
  <c r="BO1187" i="3"/>
  <c r="C1187" i="3" s="1"/>
  <c r="AN873" i="3"/>
  <c r="AG872" i="3"/>
  <c r="AQ872" i="3" s="1"/>
  <c r="AG863" i="3"/>
  <c r="AQ863" i="3" s="1"/>
  <c r="AG864" i="3"/>
  <c r="AH864" i="3" s="1"/>
  <c r="AF873" i="3"/>
  <c r="AG869" i="3"/>
  <c r="AQ869" i="3" s="1"/>
  <c r="AG862" i="3"/>
  <c r="AQ862" i="3" s="1"/>
  <c r="AL838" i="3"/>
  <c r="AO838" i="3" s="1"/>
  <c r="AI209" i="3"/>
  <c r="AM209" i="3"/>
  <c r="AQ209" i="3"/>
  <c r="AM206" i="3"/>
  <c r="AV209" i="3"/>
  <c r="AX554" i="3"/>
  <c r="AZ554" i="3" s="1"/>
  <c r="BD554" i="3" s="1"/>
  <c r="BB554" i="3"/>
  <c r="AW209" i="3"/>
  <c r="AR209" i="3"/>
  <c r="AN209" i="3"/>
  <c r="AJ209" i="3"/>
  <c r="BB712" i="3"/>
  <c r="AX712" i="3"/>
  <c r="AZ712" i="3" s="1"/>
  <c r="BD712" i="3" s="1"/>
  <c r="AX690" i="3"/>
  <c r="AZ690" i="3" s="1"/>
  <c r="BD690" i="3" s="1"/>
  <c r="BB690" i="3"/>
  <c r="BB717" i="3"/>
  <c r="AX717" i="3"/>
  <c r="AZ717" i="3" s="1"/>
  <c r="BD717" i="3" s="1"/>
  <c r="AC3012" i="3"/>
  <c r="E3013" i="3"/>
  <c r="AF1647" i="3"/>
  <c r="AF1637" i="3"/>
  <c r="AF1667" i="3"/>
  <c r="AG1103" i="3"/>
  <c r="AG954" i="3"/>
  <c r="AG968" i="3"/>
  <c r="AG960" i="3"/>
  <c r="AH882" i="3"/>
  <c r="E2283" i="3" s="1"/>
  <c r="AH886" i="3"/>
  <c r="AM873" i="3"/>
  <c r="AG871" i="3"/>
  <c r="AP873" i="3"/>
  <c r="AG870" i="3"/>
  <c r="AX617" i="3"/>
  <c r="AZ617" i="3" s="1"/>
  <c r="BD617" i="3" s="1"/>
  <c r="BB617" i="3"/>
  <c r="BB588" i="3"/>
  <c r="BB562" i="3"/>
  <c r="BD401" i="3"/>
  <c r="AX405" i="3"/>
  <c r="BB401" i="3"/>
  <c r="AX583" i="3"/>
  <c r="AZ583" i="3" s="1"/>
  <c r="BD583" i="3" s="1"/>
  <c r="AX425" i="3"/>
  <c r="BD421" i="3"/>
  <c r="BB421" i="3"/>
  <c r="AX385" i="3"/>
  <c r="BD381" i="3"/>
  <c r="BB381" i="3"/>
  <c r="BD371" i="3"/>
  <c r="AX375" i="3"/>
  <c r="BB371" i="3"/>
  <c r="AG973" i="3"/>
  <c r="AG965" i="3"/>
  <c r="AG957" i="3"/>
  <c r="AH883" i="3"/>
  <c r="AH887" i="3"/>
  <c r="AI873" i="3"/>
  <c r="BI872" i="3" s="1"/>
  <c r="AG868" i="3"/>
  <c r="D1379" i="3"/>
  <c r="AS1389" i="3"/>
  <c r="AL873" i="3"/>
  <c r="AO873" i="3"/>
  <c r="AT838" i="3"/>
  <c r="AS838" i="3"/>
  <c r="BJ369" i="3"/>
  <c r="BD481" i="3"/>
  <c r="AX485" i="3"/>
  <c r="BB481" i="3"/>
  <c r="BK3278" i="3"/>
  <c r="BH3277" i="3"/>
  <c r="BG1167" i="3" s="1"/>
  <c r="BL1166" i="3" s="1"/>
  <c r="BS1166" i="3" s="1"/>
  <c r="AF2330" i="3" s="1"/>
  <c r="AD2330" i="3" s="1"/>
  <c r="B2330" i="3" s="1"/>
  <c r="BO1181" i="3"/>
  <c r="C1181" i="3" s="1"/>
  <c r="AG865" i="3"/>
  <c r="AE873" i="3"/>
  <c r="AD873" i="3"/>
  <c r="AK873" i="3"/>
  <c r="AC873" i="3"/>
  <c r="AX601" i="3"/>
  <c r="AZ601" i="3" s="1"/>
  <c r="BD601" i="3" s="1"/>
  <c r="BB601" i="3"/>
  <c r="AX674" i="3"/>
  <c r="AZ674" i="3" s="1"/>
  <c r="BD674" i="3" s="1"/>
  <c r="BB674" i="3"/>
  <c r="BD3291" i="3"/>
  <c r="AX415" i="3"/>
  <c r="BB411" i="3"/>
  <c r="BD411" i="3"/>
  <c r="AG1647" i="3"/>
  <c r="AG1667" i="3"/>
  <c r="AG1677" i="3"/>
  <c r="AG1657" i="3"/>
  <c r="AD1657" i="3" s="1"/>
  <c r="AG1637" i="3"/>
  <c r="AH885" i="3"/>
  <c r="AJ873" i="3"/>
  <c r="AG866" i="3"/>
  <c r="AG1687" i="3"/>
  <c r="AG861" i="3"/>
  <c r="AX680" i="3"/>
  <c r="AZ680" i="3" s="1"/>
  <c r="BD680" i="3" s="1"/>
  <c r="BB680" i="3"/>
  <c r="AZ817" i="3"/>
  <c r="AX817" i="3"/>
  <c r="AZ324" i="3" l="1"/>
  <c r="AV324" i="3" s="1"/>
  <c r="BN11" i="3" s="1"/>
  <c r="BK11" i="3" s="1"/>
  <c r="BB325" i="3"/>
  <c r="AJ1851" i="3"/>
  <c r="AJ4" i="3"/>
  <c r="AH4" i="3" s="1"/>
  <c r="AI1909" i="3"/>
  <c r="AJ6" i="3"/>
  <c r="AH6" i="3" s="1"/>
  <c r="AG1869" i="3"/>
  <c r="C1869" i="3" s="1"/>
  <c r="AJ1866" i="3"/>
  <c r="AG1866" i="3" s="1"/>
  <c r="D1865" i="3" s="1"/>
  <c r="AG1865" i="3"/>
  <c r="C1865" i="3" s="1"/>
  <c r="AG1884" i="3"/>
  <c r="C1884" i="3" s="1"/>
  <c r="B1930" i="3"/>
  <c r="AL1961" i="3" s="1"/>
  <c r="AG1961" i="3" s="1"/>
  <c r="AD1959" i="3" s="1"/>
  <c r="B1957" i="3" s="1"/>
  <c r="AJ2328" i="3"/>
  <c r="AG2328" i="3" s="1"/>
  <c r="AQ2328" i="3" s="1"/>
  <c r="AM2275" i="3"/>
  <c r="AO2136" i="3"/>
  <c r="AF2136" i="3" s="1"/>
  <c r="AI1946" i="3"/>
  <c r="AH1937" i="3"/>
  <c r="AK2298" i="3"/>
  <c r="AL2223" i="3"/>
  <c r="AL2225" i="3" s="1"/>
  <c r="AI2225" i="3" s="1"/>
  <c r="CN3209" i="3"/>
  <c r="CF3210" i="3" s="1"/>
  <c r="AK2101" i="3" s="1"/>
  <c r="AF2101" i="3" s="1"/>
  <c r="AX2031" i="3"/>
  <c r="AJ1995" i="3"/>
  <c r="AF1995" i="3" s="1"/>
  <c r="AJ2236" i="3"/>
  <c r="AJ2245" i="3"/>
  <c r="AI2246" i="3" s="1"/>
  <c r="AK2253" i="3" s="1"/>
  <c r="AM2107" i="3"/>
  <c r="AF2107" i="3" s="1"/>
  <c r="AL1950" i="3"/>
  <c r="AG1950" i="3" s="1"/>
  <c r="BB1935" i="3" s="1"/>
  <c r="AB1983" i="3"/>
  <c r="AJ2235" i="3"/>
  <c r="AJ1945" i="3"/>
  <c r="AI1902" i="3"/>
  <c r="AL896" i="3"/>
  <c r="AV896" i="3" s="1"/>
  <c r="AF2060" i="3"/>
  <c r="AL1101" i="3"/>
  <c r="AZ2327" i="3"/>
  <c r="AX2327" i="3" s="1"/>
  <c r="AE2327" i="3"/>
  <c r="C2327" i="3" s="1"/>
  <c r="BH2335" i="3"/>
  <c r="BI2335" i="3"/>
  <c r="BL2330" i="3"/>
  <c r="BL2331" i="3" s="1"/>
  <c r="C2333" i="3" s="1"/>
  <c r="AD1975" i="3"/>
  <c r="B1968" i="3" s="1"/>
  <c r="AL1099" i="3"/>
  <c r="A2816" i="3"/>
  <c r="BF2815" i="3"/>
  <c r="AK1102" i="3"/>
  <c r="E2288" i="3"/>
  <c r="AK1101" i="3"/>
  <c r="E2287" i="3"/>
  <c r="AK1098" i="3"/>
  <c r="E2284" i="3"/>
  <c r="AK1099" i="3"/>
  <c r="E2285" i="3"/>
  <c r="AK1100" i="3"/>
  <c r="E2286" i="3"/>
  <c r="AL892" i="3"/>
  <c r="AV892" i="3" s="1"/>
  <c r="E2290" i="3"/>
  <c r="AH2297" i="3" s="1"/>
  <c r="AJ2297" i="3" s="1"/>
  <c r="AM2298" i="3" s="1"/>
  <c r="AP1801" i="3"/>
  <c r="B1801" i="3" s="1"/>
  <c r="AF1784" i="3"/>
  <c r="AH1785" i="3"/>
  <c r="AF2095" i="3"/>
  <c r="AL1969" i="3"/>
  <c r="AJ1969" i="3"/>
  <c r="AJ1953" i="3"/>
  <c r="AG1953" i="3" s="1"/>
  <c r="AD1951" i="3" s="1"/>
  <c r="B1949" i="3" s="1"/>
  <c r="AL2019" i="3"/>
  <c r="AF2019" i="3" s="1"/>
  <c r="AF2007" i="3"/>
  <c r="AG2007" i="3"/>
  <c r="AD214" i="3"/>
  <c r="AN214" i="3"/>
  <c r="AJ2013" i="3"/>
  <c r="AQ1889" i="3"/>
  <c r="AC1937" i="3"/>
  <c r="AA1937" i="3" s="1"/>
  <c r="AC1938" i="3"/>
  <c r="AG1923" i="3"/>
  <c r="AD1921" i="3" s="1"/>
  <c r="B1919" i="3" s="1"/>
  <c r="AI1916" i="3"/>
  <c r="AG1916" i="3" s="1"/>
  <c r="AD1914" i="3" s="1"/>
  <c r="B1911" i="3" s="1"/>
  <c r="BM1911" i="3"/>
  <c r="CF1911" i="3" s="1"/>
  <c r="AQ1890" i="3"/>
  <c r="BB461" i="3"/>
  <c r="BG461" i="3" s="1"/>
  <c r="D465" i="3"/>
  <c r="AX465" i="3"/>
  <c r="BD461" i="3"/>
  <c r="BH461" i="3" s="1"/>
  <c r="BH465" i="3" s="1"/>
  <c r="AX435" i="3"/>
  <c r="D435" i="3"/>
  <c r="BJ522" i="3"/>
  <c r="BG522" i="3" s="1"/>
  <c r="E2173" i="3" s="1"/>
  <c r="E4" i="13" s="1"/>
  <c r="AQ344" i="3"/>
  <c r="AK359" i="3"/>
  <c r="AL356" i="3" s="1"/>
  <c r="AN356" i="3" s="1"/>
  <c r="AN459" i="3" s="1"/>
  <c r="D457" i="3" s="1"/>
  <c r="AD983" i="3"/>
  <c r="BK3277" i="3"/>
  <c r="BJ1167" i="3" s="1"/>
  <c r="AJ1166" i="3" s="1"/>
  <c r="EA3278" i="3"/>
  <c r="EA3274" i="3" s="1"/>
  <c r="BB361" i="3"/>
  <c r="BG361" i="3" s="1"/>
  <c r="D365" i="3"/>
  <c r="A816" i="3"/>
  <c r="A3087" i="3"/>
  <c r="D2170" i="3"/>
  <c r="D1" i="13" s="1"/>
  <c r="AU874" i="3"/>
  <c r="AN874" i="3"/>
  <c r="I2720" i="3"/>
  <c r="I2716" i="3" s="1"/>
  <c r="G2720" i="3"/>
  <c r="G2716" i="3" s="1"/>
  <c r="A539" i="3"/>
  <c r="AB539" i="3" s="1"/>
  <c r="AG2177" i="3"/>
  <c r="A2176" i="3" s="1"/>
  <c r="A7" i="13" s="1"/>
  <c r="AZ528" i="3"/>
  <c r="AI1494" i="3"/>
  <c r="AJ1494" i="3" s="1"/>
  <c r="AK1494" i="3" s="1"/>
  <c r="BD361" i="3"/>
  <c r="BJ361" i="3" s="1"/>
  <c r="AX365" i="3"/>
  <c r="BB431" i="3"/>
  <c r="BG431" i="3" s="1"/>
  <c r="BD431" i="3"/>
  <c r="AV1433" i="3"/>
  <c r="D1433" i="3" s="1"/>
  <c r="AI1434" i="3"/>
  <c r="AJ1434" i="3" s="1"/>
  <c r="AK1434" i="3" s="1"/>
  <c r="AI1554" i="3"/>
  <c r="AJ1554" i="3" s="1"/>
  <c r="AK1554" i="3" s="1"/>
  <c r="AD1687" i="3"/>
  <c r="AV1383" i="3"/>
  <c r="AI1384" i="3"/>
  <c r="AJ1384" i="3" s="1"/>
  <c r="AK1384" i="3" s="1"/>
  <c r="BJ371" i="3"/>
  <c r="BH371" i="3"/>
  <c r="BG495" i="3"/>
  <c r="BG494" i="3"/>
  <c r="BG475" i="3"/>
  <c r="BG474" i="3"/>
  <c r="BH411" i="3"/>
  <c r="BG481" i="3"/>
  <c r="BH401" i="3"/>
  <c r="BH455" i="3"/>
  <c r="BH454" i="3"/>
  <c r="BG445" i="3"/>
  <c r="BG444" i="3"/>
  <c r="BG454" i="3"/>
  <c r="BG455" i="3"/>
  <c r="BH494" i="3"/>
  <c r="BH495" i="3"/>
  <c r="BI371" i="3"/>
  <c r="BG371" i="3"/>
  <c r="BG381" i="3"/>
  <c r="BG421" i="3"/>
  <c r="BH475" i="3"/>
  <c r="BH474" i="3"/>
  <c r="BH444" i="3"/>
  <c r="BH445" i="3"/>
  <c r="BG411" i="3"/>
  <c r="BH481" i="3"/>
  <c r="BH381" i="3"/>
  <c r="BH421" i="3"/>
  <c r="BG401" i="3"/>
  <c r="BH395" i="3"/>
  <c r="BH394" i="3"/>
  <c r="BG394" i="3"/>
  <c r="BG395" i="3"/>
  <c r="AI1544" i="3"/>
  <c r="AJ1544" i="3" s="1"/>
  <c r="AK1544" i="3" s="1"/>
  <c r="AI1414" i="3"/>
  <c r="AJ1414" i="3" s="1"/>
  <c r="AK1414" i="3" s="1"/>
  <c r="AI1564" i="3"/>
  <c r="AJ1564" i="3" s="1"/>
  <c r="AK1564" i="3" s="1"/>
  <c r="AI1504" i="3"/>
  <c r="AJ1504" i="3" s="1"/>
  <c r="AK1504" i="3" s="1"/>
  <c r="AI1594" i="3"/>
  <c r="AJ1594" i="3" s="1"/>
  <c r="AK1594" i="3" s="1"/>
  <c r="AI1484" i="3"/>
  <c r="AJ1484" i="3" s="1"/>
  <c r="AK1484" i="3" s="1"/>
  <c r="AI1584" i="3"/>
  <c r="AJ1584" i="3" s="1"/>
  <c r="AK1584" i="3" s="1"/>
  <c r="BI3277" i="3"/>
  <c r="BH1167" i="3" s="1"/>
  <c r="BI1166" i="3" s="1"/>
  <c r="BJ3277" i="3"/>
  <c r="BI1167" i="3" s="1"/>
  <c r="AJ1167" i="3" s="1"/>
  <c r="AI1524" i="3"/>
  <c r="AJ1524" i="3" s="1"/>
  <c r="AK1524" i="3" s="1"/>
  <c r="AD1677" i="3"/>
  <c r="AI1454" i="3"/>
  <c r="AJ1454" i="3" s="1"/>
  <c r="AK1454" i="3" s="1"/>
  <c r="AI1364" i="3"/>
  <c r="AJ1364" i="3" s="1"/>
  <c r="AK1364" i="3" s="1"/>
  <c r="BD1503" i="3"/>
  <c r="BD1563" i="3"/>
  <c r="AI1424" i="3"/>
  <c r="AJ1424" i="3" s="1"/>
  <c r="AK1424" i="3" s="1"/>
  <c r="BD1543" i="3"/>
  <c r="AI1474" i="3"/>
  <c r="AJ1474" i="3" s="1"/>
  <c r="AK1474" i="3" s="1"/>
  <c r="AI1464" i="3"/>
  <c r="AJ1464" i="3" s="1"/>
  <c r="AK1464" i="3" s="1"/>
  <c r="AI1374" i="3"/>
  <c r="AJ1374" i="3" s="1"/>
  <c r="AK1374" i="3" s="1"/>
  <c r="AI1394" i="3"/>
  <c r="AJ1394" i="3" s="1"/>
  <c r="AK1394" i="3" s="1"/>
  <c r="AI1404" i="3"/>
  <c r="AJ1404" i="3" s="1"/>
  <c r="AK1404" i="3" s="1"/>
  <c r="D1593" i="3"/>
  <c r="BD1483" i="3"/>
  <c r="AI1514" i="3"/>
  <c r="AJ1514" i="3" s="1"/>
  <c r="AK1514" i="3" s="1"/>
  <c r="AL882" i="3"/>
  <c r="AT882" i="3" s="1"/>
  <c r="AH863" i="3"/>
  <c r="AL1097" i="3"/>
  <c r="AI1534" i="3"/>
  <c r="AJ1534" i="3" s="1"/>
  <c r="AK1534" i="3" s="1"/>
  <c r="AO854" i="3"/>
  <c r="AS854" i="3" s="1"/>
  <c r="AS851" i="3" s="1"/>
  <c r="AC856" i="3" s="1"/>
  <c r="B96" i="3" s="1"/>
  <c r="BD1583" i="3"/>
  <c r="AL884" i="3"/>
  <c r="AT884" i="3" s="1"/>
  <c r="AI1574" i="3"/>
  <c r="AJ1574" i="3" s="1"/>
  <c r="AK1574" i="3" s="1"/>
  <c r="AK499" i="3"/>
  <c r="AL894" i="3"/>
  <c r="AV894" i="3" s="1"/>
  <c r="BB1413" i="3"/>
  <c r="AI1444" i="3"/>
  <c r="AJ1444" i="3" s="1"/>
  <c r="AK1444" i="3" s="1"/>
  <c r="BD812" i="3"/>
  <c r="AL886" i="3"/>
  <c r="AT886" i="3" s="1"/>
  <c r="BO3261" i="3"/>
  <c r="BB3320" i="3"/>
  <c r="BB3305" i="3"/>
  <c r="BB3294" i="3"/>
  <c r="BB3293" i="3"/>
  <c r="BB3287" i="3"/>
  <c r="BB3318" i="3"/>
  <c r="BB3288" i="3"/>
  <c r="BB3315" i="3"/>
  <c r="BB3290" i="3"/>
  <c r="BB3282" i="3"/>
  <c r="AD265" i="3" s="1"/>
  <c r="BB3279" i="3"/>
  <c r="BB3278" i="3"/>
  <c r="BB3328" i="3"/>
  <c r="BB3311" i="3"/>
  <c r="BB3325" i="3"/>
  <c r="BB3324" i="3"/>
  <c r="BB3291" i="3"/>
  <c r="BB3308" i="3"/>
  <c r="BB3301" i="3"/>
  <c r="BB3297" i="3"/>
  <c r="BB3307" i="3"/>
  <c r="BB3312" i="3"/>
  <c r="BB3303" i="3"/>
  <c r="BB3319" i="3"/>
  <c r="BB3299" i="3"/>
  <c r="BB3302" i="3"/>
  <c r="BB3323" i="3"/>
  <c r="BB3313" i="3"/>
  <c r="BB3316" i="3"/>
  <c r="BB3306" i="3"/>
  <c r="BB3296" i="3"/>
  <c r="BB3283" i="3"/>
  <c r="BB3298" i="3"/>
  <c r="BB3327" i="3"/>
  <c r="BB3280" i="3"/>
  <c r="BB3281" i="3"/>
  <c r="BB3289" i="3"/>
  <c r="BB3317" i="3"/>
  <c r="BB3285" i="3"/>
  <c r="BB3286" i="3"/>
  <c r="BB3300" i="3"/>
  <c r="BB3295" i="3"/>
  <c r="BB3292" i="3"/>
  <c r="BB3304" i="3"/>
  <c r="BB3309" i="3"/>
  <c r="BB3314" i="3"/>
  <c r="BB3284" i="3"/>
  <c r="BB206" i="3"/>
  <c r="BO3229" i="3"/>
  <c r="AC3229" i="3" s="1"/>
  <c r="BO3217" i="3"/>
  <c r="AE3202" i="3" s="1"/>
  <c r="BO3256" i="3"/>
  <c r="AC3256" i="3" s="1"/>
  <c r="BO3245" i="3"/>
  <c r="AC3245" i="3" s="1"/>
  <c r="BO3244" i="3"/>
  <c r="AC3244" i="3" s="1"/>
  <c r="BO3234" i="3"/>
  <c r="AC3234" i="3" s="1"/>
  <c r="BO3241" i="3"/>
  <c r="AC3241" i="3" s="1"/>
  <c r="BO3233" i="3"/>
  <c r="AC3233" i="3" s="1"/>
  <c r="BO3242" i="3"/>
  <c r="AC3242" i="3" s="1"/>
  <c r="BO3260" i="3"/>
  <c r="AC3260" i="3" s="1"/>
  <c r="BO3218" i="3"/>
  <c r="AC3218" i="3" s="1"/>
  <c r="BG812" i="3"/>
  <c r="AX209" i="3"/>
  <c r="AG975" i="3"/>
  <c r="AG978" i="3" s="1"/>
  <c r="BB977" i="3" s="1"/>
  <c r="AJ973" i="3"/>
  <c r="AJ891" i="3"/>
  <c r="AV891" i="3" s="1"/>
  <c r="AQ864" i="3"/>
  <c r="AS864" i="3" s="1"/>
  <c r="BD864" i="3" s="1"/>
  <c r="BF864" i="3" s="1"/>
  <c r="D1523" i="3"/>
  <c r="AT1523" i="3"/>
  <c r="AC1523" i="3" s="1"/>
  <c r="BD1523" i="3"/>
  <c r="AI1522" i="3"/>
  <c r="AO1522" i="3" s="1"/>
  <c r="AZ1523" i="3"/>
  <c r="AX1523" i="3" s="1"/>
  <c r="D1393" i="3"/>
  <c r="AT1393" i="3"/>
  <c r="AC1393" i="3" s="1"/>
  <c r="AI1392" i="3"/>
  <c r="AO1392" i="3" s="1"/>
  <c r="BD1393" i="3"/>
  <c r="AZ1393" i="3"/>
  <c r="AX1393" i="3" s="1"/>
  <c r="AQ866" i="3"/>
  <c r="AS866" i="3"/>
  <c r="BD866" i="3" s="1"/>
  <c r="BF866" i="3" s="1"/>
  <c r="AS839" i="3"/>
  <c r="AT839" i="3"/>
  <c r="BD1533" i="3"/>
  <c r="D1533" i="3"/>
  <c r="AI1532" i="3"/>
  <c r="AO1532" i="3" s="1"/>
  <c r="AT1533" i="3"/>
  <c r="AC1533" i="3" s="1"/>
  <c r="AZ1533" i="3"/>
  <c r="AX1533" i="3" s="1"/>
  <c r="D1443" i="3"/>
  <c r="BD1443" i="3"/>
  <c r="AT1443" i="3"/>
  <c r="AC1443" i="3" s="1"/>
  <c r="AI1442" i="3"/>
  <c r="AO1442" i="3" s="1"/>
  <c r="AZ1443" i="3"/>
  <c r="AX1443" i="3" s="1"/>
  <c r="BK872" i="3"/>
  <c r="BG878" i="3" s="1"/>
  <c r="AT1563" i="3"/>
  <c r="AC1563" i="3" s="1"/>
  <c r="AI1512" i="3"/>
  <c r="AO1512" i="3" s="1"/>
  <c r="AT1513" i="3"/>
  <c r="AC1513" i="3" s="1"/>
  <c r="D1513" i="3"/>
  <c r="BD1513" i="3"/>
  <c r="AZ1513" i="3"/>
  <c r="AX1513" i="3" s="1"/>
  <c r="AH871" i="3"/>
  <c r="AQ871" i="3"/>
  <c r="AS871" i="3" s="1"/>
  <c r="BD871" i="3" s="1"/>
  <c r="BF871" i="3" s="1"/>
  <c r="AD1667" i="3"/>
  <c r="AC3011" i="3"/>
  <c r="E3011" i="3" s="1"/>
  <c r="E3012" i="3"/>
  <c r="AS209" i="3"/>
  <c r="AQ861" i="3"/>
  <c r="AH861" i="3"/>
  <c r="AG873" i="3"/>
  <c r="BD1573" i="3"/>
  <c r="D1573" i="3"/>
  <c r="AI1572" i="3"/>
  <c r="AO1572" i="3" s="1"/>
  <c r="AT1573" i="3"/>
  <c r="AC1573" i="3" s="1"/>
  <c r="AZ1573" i="3"/>
  <c r="AX1573" i="3" s="1"/>
  <c r="BD1473" i="3"/>
  <c r="D1473" i="3"/>
  <c r="AT1473" i="3"/>
  <c r="AC1473" i="3" s="1"/>
  <c r="AI1472" i="3"/>
  <c r="AO1472" i="3" s="1"/>
  <c r="AZ1473" i="3"/>
  <c r="AX1473" i="3" s="1"/>
  <c r="BD1453" i="3"/>
  <c r="BB1453" i="3"/>
  <c r="AT1453" i="3"/>
  <c r="AC1453" i="3" s="1"/>
  <c r="AI1452" i="3"/>
  <c r="AO1452" i="3" s="1"/>
  <c r="D1453" i="3"/>
  <c r="AZ1453" i="3"/>
  <c r="AX1453" i="3" s="1"/>
  <c r="AL1098" i="3"/>
  <c r="AL883" i="3"/>
  <c r="AT883" i="3" s="1"/>
  <c r="AL893" i="3"/>
  <c r="AV893" i="3" s="1"/>
  <c r="AS1399" i="3"/>
  <c r="D1389" i="3"/>
  <c r="AI1542" i="3"/>
  <c r="AO1542" i="3" s="1"/>
  <c r="BD1423" i="3"/>
  <c r="AT1423" i="3"/>
  <c r="AC1423" i="3" s="1"/>
  <c r="D1423" i="3"/>
  <c r="AI1422" i="3"/>
  <c r="AO1422" i="3" s="1"/>
  <c r="AZ1423" i="3"/>
  <c r="AX1423" i="3" s="1"/>
  <c r="AD1637" i="3"/>
  <c r="AU1637" i="3" s="1"/>
  <c r="AT1637" i="3" s="1"/>
  <c r="AJ1637" i="3" s="1"/>
  <c r="D1637" i="3" s="1"/>
  <c r="AO209" i="3"/>
  <c r="AL887" i="3"/>
  <c r="AT887" i="3" s="1"/>
  <c r="AL1102" i="3"/>
  <c r="AL897" i="3"/>
  <c r="AV897" i="3" s="1"/>
  <c r="AL1100" i="3"/>
  <c r="AL895" i="3"/>
  <c r="AV895" i="3" s="1"/>
  <c r="AL885" i="3"/>
  <c r="AT885" i="3" s="1"/>
  <c r="AI1552" i="3"/>
  <c r="AO1552" i="3" s="1"/>
  <c r="AT1553" i="3"/>
  <c r="AC1553" i="3" s="1"/>
  <c r="D1553" i="3"/>
  <c r="BD1553" i="3"/>
  <c r="AZ1553" i="3"/>
  <c r="AX1553" i="3" s="1"/>
  <c r="AI1492" i="3"/>
  <c r="AO1492" i="3" s="1"/>
  <c r="BD1493" i="3"/>
  <c r="AT1493" i="3"/>
  <c r="AC1493" i="3" s="1"/>
  <c r="BB1493" i="3"/>
  <c r="D1493" i="3"/>
  <c r="AZ1493" i="3"/>
  <c r="AX1493" i="3" s="1"/>
  <c r="BJ379" i="3"/>
  <c r="BI381" i="3" s="1"/>
  <c r="BD1373" i="3"/>
  <c r="AT1373" i="3"/>
  <c r="AC1373" i="3" s="1"/>
  <c r="D1373" i="3"/>
  <c r="AI1372" i="3"/>
  <c r="AO1372" i="3" s="1"/>
  <c r="AZ1373" i="3"/>
  <c r="AX1373" i="3" s="1"/>
  <c r="AQ870" i="3"/>
  <c r="AS870" i="3" s="1"/>
  <c r="BD870" i="3" s="1"/>
  <c r="BF870" i="3" s="1"/>
  <c r="AH870" i="3"/>
  <c r="AT1593" i="3"/>
  <c r="AC1593" i="3" s="1"/>
  <c r="BD1593" i="3"/>
  <c r="AI1462" i="3"/>
  <c r="AO1462" i="3" s="1"/>
  <c r="D1463" i="3"/>
  <c r="BD1463" i="3"/>
  <c r="AT1463" i="3"/>
  <c r="AC1463" i="3" s="1"/>
  <c r="AZ1463" i="3"/>
  <c r="AX1463" i="3" s="1"/>
  <c r="AD1647" i="3"/>
  <c r="AK209" i="3"/>
  <c r="AY1090" i="3"/>
  <c r="AE1126" i="3"/>
  <c r="AT1363" i="3"/>
  <c r="AC1363" i="3" s="1"/>
  <c r="AI1362" i="3"/>
  <c r="AO1362" i="3" s="1"/>
  <c r="BD1363" i="3"/>
  <c r="D1363" i="3"/>
  <c r="AZ1363" i="3"/>
  <c r="AX1363" i="3" s="1"/>
  <c r="AI1412" i="3"/>
  <c r="AO1412" i="3" s="1"/>
  <c r="AH865" i="3"/>
  <c r="AQ865" i="3"/>
  <c r="AS865" i="3" s="1"/>
  <c r="BD865" i="3" s="1"/>
  <c r="BF865" i="3" s="1"/>
  <c r="AQ868" i="3"/>
  <c r="AS868" i="3" s="1"/>
  <c r="BD868" i="3" s="1"/>
  <c r="BF868" i="3" s="1"/>
  <c r="AT1403" i="3"/>
  <c r="AC1403" i="3" s="1"/>
  <c r="AI1402" i="3"/>
  <c r="AO1402" i="3" s="1"/>
  <c r="BD1403" i="3"/>
  <c r="D1403" i="3"/>
  <c r="AZ1403" i="3"/>
  <c r="AX1403" i="3" s="1"/>
  <c r="AK1097" i="3"/>
  <c r="AH881" i="3"/>
  <c r="AN1104" i="3"/>
  <c r="AN1103" i="3"/>
  <c r="AI738" i="3"/>
  <c r="AM738" i="3" s="1"/>
  <c r="AI656" i="3"/>
  <c r="AM656" i="3" s="1"/>
  <c r="AI578" i="3"/>
  <c r="AM578" i="3" s="1"/>
  <c r="AI622" i="3"/>
  <c r="AM622" i="3" s="1"/>
  <c r="AZ325" i="3" l="1"/>
  <c r="AV325" i="3" s="1"/>
  <c r="BN12" i="3" s="1"/>
  <c r="BK12" i="3" s="1"/>
  <c r="BB326" i="3"/>
  <c r="AT1099" i="3"/>
  <c r="AJ1998" i="3"/>
  <c r="AF1998" i="3" s="1"/>
  <c r="AT1101" i="3"/>
  <c r="AG1946" i="3"/>
  <c r="AI1954" i="3"/>
  <c r="AB1987" i="3"/>
  <c r="E1986" i="3" s="1"/>
  <c r="AB1988" i="3"/>
  <c r="E1987" i="3" s="1"/>
  <c r="BL2034" i="3"/>
  <c r="AN2048" i="3"/>
  <c r="BL2035" i="3"/>
  <c r="AI2089" i="3"/>
  <c r="BL2033" i="3"/>
  <c r="AE2125" i="3"/>
  <c r="AE2222" i="3" s="1"/>
  <c r="BL2031" i="3"/>
  <c r="BP1937" i="3"/>
  <c r="AH1938" i="3"/>
  <c r="AH1939" i="3" s="1"/>
  <c r="AH1940" i="3" s="1"/>
  <c r="AE2328" i="3"/>
  <c r="C2328" i="3" s="1"/>
  <c r="AO2328" i="3"/>
  <c r="AZ2328" i="3"/>
  <c r="AX2328" i="3" s="1"/>
  <c r="AT1100" i="3"/>
  <c r="AT1098" i="3"/>
  <c r="AT1102" i="3"/>
  <c r="AH2296" i="3"/>
  <c r="AJ2296" i="3" s="1"/>
  <c r="AQ2298" i="3" s="1"/>
  <c r="BL2815" i="3"/>
  <c r="A2817" i="3"/>
  <c r="BF2816" i="3"/>
  <c r="BL2816" i="3" s="1"/>
  <c r="AI2289" i="3"/>
  <c r="AP2289" i="3" s="1"/>
  <c r="B2289" i="3" s="1"/>
  <c r="AI2282" i="3"/>
  <c r="AP2282" i="3" s="1"/>
  <c r="B2282" i="3" s="1"/>
  <c r="AH1786" i="3"/>
  <c r="AF1785" i="3"/>
  <c r="AG1969" i="3"/>
  <c r="AD1967" i="3" s="1"/>
  <c r="B1962" i="3" s="1"/>
  <c r="AA1938" i="3"/>
  <c r="AX2033" i="3"/>
  <c r="AG2019" i="3"/>
  <c r="D1892" i="3"/>
  <c r="AG2013" i="3"/>
  <c r="AF2013" i="3"/>
  <c r="BH464" i="3"/>
  <c r="BG464" i="3"/>
  <c r="BG465" i="3"/>
  <c r="AX499" i="3"/>
  <c r="AD1735" i="3" s="1"/>
  <c r="AI1736" i="3" s="1"/>
  <c r="AN359" i="3"/>
  <c r="D357" i="3" s="1"/>
  <c r="BI361" i="3"/>
  <c r="BI365" i="3" s="1"/>
  <c r="D1119" i="3"/>
  <c r="D1121" i="3" s="1"/>
  <c r="BH361" i="3"/>
  <c r="BH364" i="3" s="1"/>
  <c r="A817" i="3"/>
  <c r="A3093" i="3"/>
  <c r="BD499" i="3"/>
  <c r="J2720" i="3"/>
  <c r="J2716" i="3" s="1"/>
  <c r="H2720" i="3"/>
  <c r="H2716" i="3" s="1"/>
  <c r="AF1985" i="3"/>
  <c r="AF1986" i="3" s="1"/>
  <c r="AF1984" i="3"/>
  <c r="AJ2042" i="3" s="1"/>
  <c r="AF2042" i="3" s="1"/>
  <c r="A545" i="3"/>
  <c r="AB545" i="3" s="1"/>
  <c r="AG2178" i="3"/>
  <c r="A2177" i="3" s="1"/>
  <c r="A8" i="13" s="1"/>
  <c r="BH431" i="3"/>
  <c r="BH434" i="3" s="1"/>
  <c r="AI1432" i="3"/>
  <c r="AO1432" i="3" s="1"/>
  <c r="AP1432" i="3" s="1"/>
  <c r="C1434" i="3" s="1"/>
  <c r="BB499" i="3"/>
  <c r="AZ1433" i="3"/>
  <c r="AX1433" i="3" s="1"/>
  <c r="BD1433" i="3"/>
  <c r="AT1433" i="3"/>
  <c r="AC1433" i="3" s="1"/>
  <c r="B1166" i="3"/>
  <c r="AN449" i="3"/>
  <c r="D447" i="3" s="1"/>
  <c r="AZ1383" i="3"/>
  <c r="AX1383" i="3" s="1"/>
  <c r="BD1383" i="3"/>
  <c r="AI1382" i="3"/>
  <c r="AO1382" i="3" s="1"/>
  <c r="AP1382" i="3" s="1"/>
  <c r="C1384" i="3" s="1"/>
  <c r="D1383" i="3"/>
  <c r="AT1383" i="3"/>
  <c r="AC1383" i="3" s="1"/>
  <c r="BI385" i="3"/>
  <c r="BI384" i="3"/>
  <c r="BH425" i="3"/>
  <c r="BH424" i="3"/>
  <c r="BG385" i="3"/>
  <c r="BG384" i="3"/>
  <c r="BH404" i="3"/>
  <c r="BH405" i="3"/>
  <c r="BH484" i="3"/>
  <c r="BH485" i="3"/>
  <c r="BG375" i="3"/>
  <c r="BG374" i="3"/>
  <c r="BG405" i="3"/>
  <c r="BG404" i="3"/>
  <c r="BH385" i="3"/>
  <c r="BH384" i="3"/>
  <c r="BG415" i="3"/>
  <c r="BG414" i="3"/>
  <c r="BG498" i="3"/>
  <c r="BG365" i="3"/>
  <c r="BG364" i="3"/>
  <c r="BG425" i="3"/>
  <c r="BG424" i="3"/>
  <c r="BI374" i="3"/>
  <c r="BI375" i="3"/>
  <c r="BG484" i="3"/>
  <c r="BG485" i="3"/>
  <c r="BG434" i="3"/>
  <c r="BG435" i="3"/>
  <c r="BH375" i="3"/>
  <c r="BH374" i="3"/>
  <c r="BJ381" i="3"/>
  <c r="BJ382" i="3" s="1"/>
  <c r="BH415" i="3"/>
  <c r="BH414" i="3"/>
  <c r="BJ365" i="3"/>
  <c r="BJ364" i="3"/>
  <c r="BJ375" i="3"/>
  <c r="BJ374" i="3"/>
  <c r="AL1096" i="3"/>
  <c r="D1543" i="3"/>
  <c r="AT1543" i="3"/>
  <c r="AC1543" i="3" s="1"/>
  <c r="AZ1543" i="3"/>
  <c r="AX1543" i="3" s="1"/>
  <c r="AZ1563" i="3"/>
  <c r="AX1563" i="3" s="1"/>
  <c r="D1563" i="3"/>
  <c r="AI1562" i="3"/>
  <c r="AO1562" i="3" s="1"/>
  <c r="AP1562" i="3" s="1"/>
  <c r="C1564" i="3" s="1"/>
  <c r="AN429" i="3"/>
  <c r="D427" i="3" s="1"/>
  <c r="D1503" i="3"/>
  <c r="AN419" i="3"/>
  <c r="D417" i="3" s="1"/>
  <c r="AT1503" i="3"/>
  <c r="AC1503" i="3" s="1"/>
  <c r="AI1502" i="3"/>
  <c r="AO1502" i="3" s="1"/>
  <c r="AP1502" i="3" s="1"/>
  <c r="C1504" i="3" s="1"/>
  <c r="AZ1503" i="3"/>
  <c r="AX1503" i="3" s="1"/>
  <c r="AZ1593" i="3"/>
  <c r="AX1593" i="3" s="1"/>
  <c r="AI1592" i="3"/>
  <c r="AO1592" i="3" s="1"/>
  <c r="AP1592" i="3" s="1"/>
  <c r="C1594" i="3" s="1"/>
  <c r="AI1582" i="3"/>
  <c r="AO1582" i="3" s="1"/>
  <c r="AP1582" i="3" s="1"/>
  <c r="C1584" i="3" s="1"/>
  <c r="D1483" i="3"/>
  <c r="BB818" i="3"/>
  <c r="BB820" i="3" s="1"/>
  <c r="B821" i="3" s="1"/>
  <c r="AZ983" i="3"/>
  <c r="D1583" i="3"/>
  <c r="AI1482" i="3"/>
  <c r="AO1482" i="3" s="1"/>
  <c r="AP1482" i="3" s="1"/>
  <c r="C1484" i="3" s="1"/>
  <c r="AT1583" i="3"/>
  <c r="AC1583" i="3" s="1"/>
  <c r="AT1483" i="3"/>
  <c r="AC1483" i="3" s="1"/>
  <c r="AZ1583" i="3"/>
  <c r="AX1583" i="3" s="1"/>
  <c r="AZ1483" i="3"/>
  <c r="AX1483" i="3" s="1"/>
  <c r="B106" i="3"/>
  <c r="AN439" i="3"/>
  <c r="D437" i="3" s="1"/>
  <c r="AN479" i="3"/>
  <c r="D477" i="3" s="1"/>
  <c r="AN469" i="3"/>
  <c r="D467" i="3" s="1"/>
  <c r="AN389" i="3"/>
  <c r="D387" i="3" s="1"/>
  <c r="AN489" i="3"/>
  <c r="D487" i="3" s="1"/>
  <c r="AN379" i="3"/>
  <c r="D377" i="3" s="1"/>
  <c r="AN399" i="3"/>
  <c r="D397" i="3" s="1"/>
  <c r="AN409" i="3"/>
  <c r="D407" i="3" s="1"/>
  <c r="AN369" i="3"/>
  <c r="D367" i="3" s="1"/>
  <c r="AT1097" i="3"/>
  <c r="AZ1106" i="3" s="1"/>
  <c r="BJ362" i="3"/>
  <c r="D1413" i="3"/>
  <c r="AZ1413" i="3"/>
  <c r="AX1413" i="3" s="1"/>
  <c r="AT1413" i="3"/>
  <c r="AC1413" i="3" s="1"/>
  <c r="BD1413" i="3"/>
  <c r="AN981" i="3"/>
  <c r="AM983" i="3" s="1"/>
  <c r="B84" i="3"/>
  <c r="C84" i="3" s="1"/>
  <c r="AU1647" i="3"/>
  <c r="AT1647" i="3" s="1"/>
  <c r="AJ1647" i="3" s="1"/>
  <c r="D1647" i="3" s="1"/>
  <c r="BI859" i="3"/>
  <c r="BJ859" i="3" s="1"/>
  <c r="AZ209" i="3"/>
  <c r="BB209" i="3" s="1"/>
  <c r="AP1452" i="3"/>
  <c r="C1454" i="3" s="1"/>
  <c r="AQ873" i="3"/>
  <c r="BB656" i="3"/>
  <c r="AX656" i="3"/>
  <c r="AZ656" i="3" s="1"/>
  <c r="BD656" i="3" s="1"/>
  <c r="AR881" i="3"/>
  <c r="AC900" i="3" s="1"/>
  <c r="B102" i="3" s="1"/>
  <c r="AK1096" i="3"/>
  <c r="BJ372" i="3"/>
  <c r="AP1412" i="3"/>
  <c r="C1414" i="3" s="1"/>
  <c r="AH646" i="3"/>
  <c r="AM646" i="3" s="1"/>
  <c r="AH567" i="3"/>
  <c r="AM567" i="3" s="1"/>
  <c r="AH596" i="3"/>
  <c r="AM596" i="3" s="1"/>
  <c r="AH696" i="3"/>
  <c r="AM696" i="3" s="1"/>
  <c r="BB738" i="3"/>
  <c r="AX738" i="3"/>
  <c r="AZ738" i="3" s="1"/>
  <c r="BD738" i="3" s="1"/>
  <c r="AP1402" i="3"/>
  <c r="C1404" i="3" s="1"/>
  <c r="AP1462" i="3"/>
  <c r="C1464" i="3" s="1"/>
  <c r="AP1492" i="3"/>
  <c r="C1494" i="3" s="1"/>
  <c r="AP1422" i="3"/>
  <c r="C1424" i="3" s="1"/>
  <c r="AP1542" i="3"/>
  <c r="C1544" i="3" s="1"/>
  <c r="AP1472" i="3"/>
  <c r="C1474" i="3" s="1"/>
  <c r="AG751" i="3"/>
  <c r="AM751" i="3" s="1"/>
  <c r="AG685" i="3"/>
  <c r="AM685" i="3" s="1"/>
  <c r="AG651" i="3"/>
  <c r="AM651" i="3" s="1"/>
  <c r="AG635" i="3"/>
  <c r="AM635" i="3" s="1"/>
  <c r="AG630" i="3"/>
  <c r="AM630" i="3" s="1"/>
  <c r="AP1442" i="3"/>
  <c r="C1444" i="3" s="1"/>
  <c r="BB622" i="3"/>
  <c r="AX622" i="3"/>
  <c r="AZ622" i="3" s="1"/>
  <c r="BD622" i="3" s="1"/>
  <c r="AP1372" i="3"/>
  <c r="C1374" i="3" s="1"/>
  <c r="AP1552" i="3"/>
  <c r="C1554" i="3" s="1"/>
  <c r="D1399" i="3"/>
  <c r="AS1409" i="3"/>
  <c r="AP1512" i="3"/>
  <c r="C1514" i="3" s="1"/>
  <c r="AT840" i="3"/>
  <c r="AS840" i="3"/>
  <c r="AP1392" i="3"/>
  <c r="C1394" i="3" s="1"/>
  <c r="BB578" i="3"/>
  <c r="AX578" i="3"/>
  <c r="AZ578" i="3" s="1"/>
  <c r="BD578" i="3" s="1"/>
  <c r="B1104" i="3"/>
  <c r="AM1106" i="3"/>
  <c r="AP1362" i="3"/>
  <c r="C1364" i="3" s="1"/>
  <c r="BJ389" i="3"/>
  <c r="AP1572" i="3"/>
  <c r="C1574" i="3" s="1"/>
  <c r="AH873" i="3"/>
  <c r="AP1532" i="3"/>
  <c r="C1534" i="3" s="1"/>
  <c r="AP1522" i="3"/>
  <c r="C1524" i="3" s="1"/>
  <c r="BB327" i="3" l="1"/>
  <c r="AZ326" i="3"/>
  <c r="AV326" i="3" s="1"/>
  <c r="BN13" i="3" s="1"/>
  <c r="BK13" i="3" s="1"/>
  <c r="AG1954" i="3"/>
  <c r="AI1962" i="3"/>
  <c r="AE2127" i="3"/>
  <c r="AE2224" i="3" s="1"/>
  <c r="AI2221" i="3" s="1"/>
  <c r="BL2030" i="3"/>
  <c r="AJ2048" i="3" s="1"/>
  <c r="BD2035" i="3"/>
  <c r="AI2298" i="3"/>
  <c r="AV2298" i="3" s="1"/>
  <c r="B2297" i="3" s="1"/>
  <c r="A2818" i="3"/>
  <c r="BF2817" i="3"/>
  <c r="BL2817" i="3" s="1"/>
  <c r="AF1786" i="3"/>
  <c r="AJ1788" i="3"/>
  <c r="AF1788" i="3" s="1"/>
  <c r="AD1729" i="3"/>
  <c r="AI1731" i="3" s="1"/>
  <c r="C1731" i="3" s="1"/>
  <c r="BI364" i="3"/>
  <c r="BD2033" i="3"/>
  <c r="AJ2054" i="3" s="1"/>
  <c r="BD2032" i="3"/>
  <c r="BD2031" i="3"/>
  <c r="BD2034" i="3"/>
  <c r="AH1942" i="3"/>
  <c r="AH1941" i="3"/>
  <c r="AI1737" i="3"/>
  <c r="C1737" i="3" s="1"/>
  <c r="AD1723" i="3"/>
  <c r="AI1725" i="3" s="1"/>
  <c r="C1725" i="3" s="1"/>
  <c r="AD1711" i="3"/>
  <c r="C1711" i="3" s="1"/>
  <c r="C1735" i="3"/>
  <c r="AP499" i="3"/>
  <c r="AD1717" i="3"/>
  <c r="C1717" i="3" s="1"/>
  <c r="BH365" i="3"/>
  <c r="B498" i="3"/>
  <c r="C498" i="3" s="1"/>
  <c r="BJ52" i="3" s="1"/>
  <c r="A818" i="3"/>
  <c r="A3099" i="3"/>
  <c r="AF1987" i="3"/>
  <c r="AQ1986" i="3"/>
  <c r="BH435" i="3"/>
  <c r="BH498" i="3"/>
  <c r="A550" i="3"/>
  <c r="AB550" i="3" s="1"/>
  <c r="AG2179" i="3"/>
  <c r="A2178" i="3" s="1"/>
  <c r="A9" i="13" s="1"/>
  <c r="BD1357" i="3"/>
  <c r="AO1355" i="3" s="1"/>
  <c r="BI391" i="3"/>
  <c r="BJ391" i="3"/>
  <c r="AN1096" i="3"/>
  <c r="BG499" i="3"/>
  <c r="BJ384" i="3"/>
  <c r="BJ385" i="3"/>
  <c r="BG500" i="3"/>
  <c r="BH499" i="3"/>
  <c r="BD1356" i="3"/>
  <c r="BF1356" i="3" s="1"/>
  <c r="B981" i="3"/>
  <c r="AD1107" i="3"/>
  <c r="B110" i="3" s="1"/>
  <c r="AD984" i="3"/>
  <c r="AG115" i="3" s="1"/>
  <c r="AU1657" i="3"/>
  <c r="AT1657" i="3" s="1"/>
  <c r="AJ1657" i="3" s="1"/>
  <c r="D1657" i="3" s="1"/>
  <c r="AT841" i="3"/>
  <c r="AS841" i="3"/>
  <c r="BB635" i="3"/>
  <c r="AX635" i="3"/>
  <c r="AZ635" i="3" s="1"/>
  <c r="BD635" i="3" s="1"/>
  <c r="BB596" i="3"/>
  <c r="AX596" i="3"/>
  <c r="AZ596" i="3" s="1"/>
  <c r="BD596" i="3" s="1"/>
  <c r="BI870" i="3"/>
  <c r="BK870" i="3" s="1"/>
  <c r="BD878" i="3" s="1"/>
  <c r="BD874" i="3"/>
  <c r="BI871" i="3"/>
  <c r="BK871" i="3" s="1"/>
  <c r="BF878" i="3" s="1"/>
  <c r="BO870" i="3"/>
  <c r="BJ399" i="3"/>
  <c r="AX651" i="3"/>
  <c r="AZ651" i="3" s="1"/>
  <c r="BD651" i="3" s="1"/>
  <c r="BB651" i="3"/>
  <c r="BB567" i="3"/>
  <c r="AX567" i="3"/>
  <c r="AZ567" i="3" s="1"/>
  <c r="BD567" i="3" s="1"/>
  <c r="D1409" i="3"/>
  <c r="AS1419" i="3"/>
  <c r="AX685" i="3"/>
  <c r="AZ685" i="3" s="1"/>
  <c r="BD685" i="3" s="1"/>
  <c r="BB685" i="3"/>
  <c r="AX646" i="3"/>
  <c r="AZ646" i="3" s="1"/>
  <c r="BD646" i="3" s="1"/>
  <c r="BB646" i="3"/>
  <c r="BB630" i="3"/>
  <c r="AX630" i="3"/>
  <c r="AZ630" i="3" s="1"/>
  <c r="BD630" i="3" s="1"/>
  <c r="AX751" i="3"/>
  <c r="AZ751" i="3" s="1"/>
  <c r="BD751" i="3" s="1"/>
  <c r="BB751" i="3"/>
  <c r="AO1737" i="3"/>
  <c r="D1737" i="3" s="1"/>
  <c r="C1736" i="3"/>
  <c r="AX696" i="3"/>
  <c r="AZ696" i="3" s="1"/>
  <c r="BD696" i="3" s="1"/>
  <c r="BB696" i="3"/>
  <c r="AZ327" i="3" l="1"/>
  <c r="AV327" i="3" s="1"/>
  <c r="BN14" i="3" s="1"/>
  <c r="BK14" i="3" s="1"/>
  <c r="BB328" i="3"/>
  <c r="AZ328" i="3" s="1"/>
  <c r="AV328" i="3" s="1"/>
  <c r="BN15" i="3" s="1"/>
  <c r="BK15" i="3" s="1"/>
  <c r="AI2124" i="3"/>
  <c r="AI1970" i="3"/>
  <c r="AG1970" i="3" s="1"/>
  <c r="AG1962" i="3"/>
  <c r="AI2127" i="3"/>
  <c r="C1729" i="3"/>
  <c r="AI1730" i="3"/>
  <c r="C1730" i="3" s="1"/>
  <c r="A2819" i="3"/>
  <c r="BF2818" i="3"/>
  <c r="AJ2072" i="3"/>
  <c r="AL2072" i="3"/>
  <c r="AF2054" i="3"/>
  <c r="AG2054" i="3"/>
  <c r="AI1724" i="3"/>
  <c r="AO1725" i="3" s="1"/>
  <c r="D1725" i="3" s="1"/>
  <c r="AI1712" i="3"/>
  <c r="AO1713" i="3" s="1"/>
  <c r="D1713" i="3" s="1"/>
  <c r="AI1713" i="3"/>
  <c r="C1713" i="3" s="1"/>
  <c r="AI1719" i="3"/>
  <c r="C1719" i="3" s="1"/>
  <c r="AI1718" i="3"/>
  <c r="AO1719" i="3" s="1"/>
  <c r="D1719" i="3" s="1"/>
  <c r="C1723" i="3"/>
  <c r="BH500" i="3"/>
  <c r="A819" i="3"/>
  <c r="A3111" i="3" s="1"/>
  <c r="A3105" i="3"/>
  <c r="BG557" i="3"/>
  <c r="BG591" i="3" s="1"/>
  <c r="BG625" i="3" s="1"/>
  <c r="BG659" i="3" s="1"/>
  <c r="BG707" i="3" s="1"/>
  <c r="BG746" i="3" s="1"/>
  <c r="BG756" i="3" s="1"/>
  <c r="AQ1987" i="3"/>
  <c r="AF1988" i="3"/>
  <c r="A558" i="3"/>
  <c r="AB558" i="3" s="1"/>
  <c r="AG2180" i="3"/>
  <c r="A2179" i="3" s="1"/>
  <c r="A10" i="13" s="1"/>
  <c r="D1574" i="3"/>
  <c r="D1534" i="3"/>
  <c r="D1494" i="3"/>
  <c r="D1454" i="3"/>
  <c r="D1414" i="3"/>
  <c r="D1374" i="3"/>
  <c r="D1584" i="3"/>
  <c r="D1544" i="3"/>
  <c r="D1504" i="3"/>
  <c r="D1464" i="3"/>
  <c r="D1424" i="3"/>
  <c r="D1384" i="3"/>
  <c r="D1594" i="3"/>
  <c r="D1554" i="3"/>
  <c r="D1514" i="3"/>
  <c r="D1474" i="3"/>
  <c r="D1434" i="3"/>
  <c r="D1394" i="3"/>
  <c r="D1564" i="3"/>
  <c r="D1484" i="3"/>
  <c r="D1404" i="3"/>
  <c r="D1444" i="3"/>
  <c r="D1524" i="3"/>
  <c r="D1364" i="3"/>
  <c r="BJ395" i="3"/>
  <c r="BJ394" i="3"/>
  <c r="BJ401" i="3"/>
  <c r="BI401" i="3"/>
  <c r="BI395" i="3"/>
  <c r="BI394" i="3"/>
  <c r="AU1667" i="3"/>
  <c r="AU1677" i="3" s="1"/>
  <c r="AZ1356" i="3"/>
  <c r="AC1356" i="3" s="1"/>
  <c r="C1355" i="3" s="1"/>
  <c r="B109" i="3"/>
  <c r="BK874" i="3"/>
  <c r="BO871" i="3"/>
  <c r="BS874" i="3"/>
  <c r="AT842" i="3"/>
  <c r="AS842" i="3"/>
  <c r="AH876" i="3"/>
  <c r="AC876" i="3"/>
  <c r="BJ392" i="3"/>
  <c r="BJ409" i="3"/>
  <c r="D1419" i="3"/>
  <c r="AS1429" i="3"/>
  <c r="AO1731" i="3" l="1"/>
  <c r="D1731" i="3" s="1"/>
  <c r="A2820" i="3"/>
  <c r="BF2819" i="3"/>
  <c r="BL2819" i="3" s="1"/>
  <c r="BL2818" i="3"/>
  <c r="AG2072" i="3"/>
  <c r="AF2072" i="3"/>
  <c r="C1724" i="3"/>
  <c r="C1718" i="3"/>
  <c r="AG2067" i="3"/>
  <c r="AF2067" i="3"/>
  <c r="C1712" i="3"/>
  <c r="BH527" i="3"/>
  <c r="BJ527" i="3" s="1"/>
  <c r="E527" i="3" s="1"/>
  <c r="BG527" i="3"/>
  <c r="BI527" i="3" s="1"/>
  <c r="E526" i="3" s="1"/>
  <c r="AK2175" i="3" s="1"/>
  <c r="E2174" i="3" s="1"/>
  <c r="E5" i="13" s="1"/>
  <c r="AQ1988" i="3"/>
  <c r="AF1989" i="3"/>
  <c r="A563" i="3"/>
  <c r="AB563" i="3" s="1"/>
  <c r="AG2181" i="3"/>
  <c r="A2180" i="3" s="1"/>
  <c r="A11" i="13" s="1"/>
  <c r="AT1667" i="3"/>
  <c r="AJ1667" i="3" s="1"/>
  <c r="D1667" i="3" s="1"/>
  <c r="BI405" i="3"/>
  <c r="BI404" i="3"/>
  <c r="BI411" i="3"/>
  <c r="BJ411" i="3"/>
  <c r="BJ405" i="3"/>
  <c r="BJ404" i="3"/>
  <c r="AC875" i="3"/>
  <c r="B99" i="3" s="1"/>
  <c r="AT1677" i="3"/>
  <c r="AJ1677" i="3" s="1"/>
  <c r="D1677" i="3" s="1"/>
  <c r="AU1687" i="3"/>
  <c r="AT1687" i="3" s="1"/>
  <c r="AJ1687" i="3" s="1"/>
  <c r="D1687" i="3" s="1"/>
  <c r="AT843" i="3"/>
  <c r="AS843" i="3"/>
  <c r="AS1439" i="3"/>
  <c r="D1429" i="3"/>
  <c r="BJ419" i="3"/>
  <c r="BJ402" i="3"/>
  <c r="A2821" i="3" l="1"/>
  <c r="BF2820" i="3"/>
  <c r="BH532" i="3"/>
  <c r="BJ532" i="3" s="1"/>
  <c r="E532" i="3" s="1"/>
  <c r="BG532" i="3"/>
  <c r="BI532" i="3" s="1"/>
  <c r="E531" i="3" s="1"/>
  <c r="AK2176" i="3" s="1"/>
  <c r="E2175" i="3" s="1"/>
  <c r="E6" i="13" s="1"/>
  <c r="AF1990" i="3"/>
  <c r="AQ1989" i="3"/>
  <c r="A568" i="3"/>
  <c r="AB568" i="3" s="1"/>
  <c r="AG2182" i="3"/>
  <c r="A2181" i="3" s="1"/>
  <c r="A12" i="13" s="1"/>
  <c r="BJ415" i="3"/>
  <c r="BJ414" i="3"/>
  <c r="BI414" i="3"/>
  <c r="BI415" i="3"/>
  <c r="BI421" i="3"/>
  <c r="BJ421" i="3"/>
  <c r="AS1449" i="3"/>
  <c r="D1439" i="3"/>
  <c r="BJ412" i="3"/>
  <c r="BJ429" i="3"/>
  <c r="BL2820" i="3" l="1"/>
  <c r="A2822" i="3"/>
  <c r="BF2821" i="3"/>
  <c r="BL2821" i="3" s="1"/>
  <c r="BG538" i="3"/>
  <c r="BI538" i="3" s="1"/>
  <c r="E537" i="3" s="1"/>
  <c r="AK2177" i="3" s="1"/>
  <c r="E2176" i="3" s="1"/>
  <c r="E7" i="13" s="1"/>
  <c r="BH538" i="3"/>
  <c r="BH543" i="3" s="1"/>
  <c r="AF1991" i="3"/>
  <c r="AQ1991" i="3" s="1"/>
  <c r="AQ1990" i="3"/>
  <c r="A574" i="3"/>
  <c r="AB574" i="3" s="1"/>
  <c r="AG2183" i="3"/>
  <c r="A2182" i="3" s="1"/>
  <c r="A13" i="13" s="1"/>
  <c r="BJ424" i="3"/>
  <c r="BJ425" i="3"/>
  <c r="BI425" i="3"/>
  <c r="BI424" i="3"/>
  <c r="BI431" i="3"/>
  <c r="BJ431" i="3"/>
  <c r="BJ422" i="3"/>
  <c r="D1449" i="3"/>
  <c r="AS1459" i="3"/>
  <c r="BJ439" i="3"/>
  <c r="A2823" i="3" l="1"/>
  <c r="BF2822" i="3"/>
  <c r="BL2822" i="3" s="1"/>
  <c r="BG543" i="3"/>
  <c r="BI543" i="3" s="1"/>
  <c r="E542" i="3" s="1"/>
  <c r="AK2178" i="3" s="1"/>
  <c r="E2177" i="3" s="1"/>
  <c r="E8" i="13" s="1"/>
  <c r="BJ538" i="3"/>
  <c r="E538" i="3" s="1"/>
  <c r="A579" i="3"/>
  <c r="AB579" i="3" s="1"/>
  <c r="AG2184" i="3"/>
  <c r="A2183" i="3" s="1"/>
  <c r="A14" i="13" s="1"/>
  <c r="BJ441" i="3"/>
  <c r="BI441" i="3"/>
  <c r="BJ434" i="3"/>
  <c r="BJ435" i="3"/>
  <c r="BI434" i="3"/>
  <c r="BI435" i="3"/>
  <c r="BJ432" i="3"/>
  <c r="BJ449" i="3"/>
  <c r="AS1469" i="3"/>
  <c r="D1459" i="3"/>
  <c r="BJ543" i="3"/>
  <c r="E543" i="3" s="1"/>
  <c r="BH549" i="3"/>
  <c r="A2824" i="3" l="1"/>
  <c r="BF2823" i="3"/>
  <c r="BG549" i="3"/>
  <c r="BI549" i="3" s="1"/>
  <c r="E548" i="3" s="1"/>
  <c r="AK2179" i="3" s="1"/>
  <c r="E2178" i="3" s="1"/>
  <c r="E9" i="13" s="1"/>
  <c r="A584" i="3"/>
  <c r="AB584" i="3" s="1"/>
  <c r="AG2185" i="3"/>
  <c r="A2184" i="3" s="1"/>
  <c r="A15" i="13" s="1"/>
  <c r="BI451" i="3"/>
  <c r="BJ451" i="3"/>
  <c r="BI445" i="3"/>
  <c r="BI444" i="3"/>
  <c r="BJ444" i="3"/>
  <c r="BJ445" i="3"/>
  <c r="BJ549" i="3"/>
  <c r="E549" i="3" s="1"/>
  <c r="BH554" i="3"/>
  <c r="AS1479" i="3"/>
  <c r="D1469" i="3"/>
  <c r="BJ459" i="3"/>
  <c r="BJ442" i="3"/>
  <c r="BL2823" i="3" l="1"/>
  <c r="A2825" i="3"/>
  <c r="BF2824" i="3"/>
  <c r="BL2824" i="3" s="1"/>
  <c r="BG554" i="3"/>
  <c r="BI554" i="3" s="1"/>
  <c r="E553" i="3" s="1"/>
  <c r="AK2180" i="3" s="1"/>
  <c r="E2179" i="3" s="1"/>
  <c r="E10" i="13" s="1"/>
  <c r="A592" i="3"/>
  <c r="AB592" i="3" s="1"/>
  <c r="AG2186" i="3"/>
  <c r="A2185" i="3" s="1"/>
  <c r="A16" i="13" s="1"/>
  <c r="BJ455" i="3"/>
  <c r="BJ454" i="3"/>
  <c r="BI461" i="3"/>
  <c r="BJ461" i="3"/>
  <c r="BI454" i="3"/>
  <c r="BI455" i="3"/>
  <c r="BJ452" i="3"/>
  <c r="BJ469" i="3"/>
  <c r="D1479" i="3"/>
  <c r="AS1489" i="3"/>
  <c r="BJ554" i="3"/>
  <c r="E554" i="3" s="1"/>
  <c r="BH562" i="3"/>
  <c r="A2826" i="3" l="1"/>
  <c r="BF2825" i="3"/>
  <c r="BL2825" i="3" s="1"/>
  <c r="BG562" i="3"/>
  <c r="BG567" i="3" s="1"/>
  <c r="A597" i="3"/>
  <c r="AB597" i="3" s="1"/>
  <c r="AG2187" i="3"/>
  <c r="A2186" i="3" s="1"/>
  <c r="A17" i="13" s="1"/>
  <c r="BJ465" i="3"/>
  <c r="BJ464" i="3"/>
  <c r="BI465" i="3"/>
  <c r="BI464" i="3"/>
  <c r="BJ471" i="3"/>
  <c r="BI471" i="3"/>
  <c r="BJ562" i="3"/>
  <c r="E562" i="3" s="1"/>
  <c r="BH567" i="3"/>
  <c r="AS1499" i="3"/>
  <c r="D1489" i="3"/>
  <c r="BJ479" i="3"/>
  <c r="BJ462" i="3"/>
  <c r="A2827" i="3" l="1"/>
  <c r="BF2826" i="3"/>
  <c r="BI562" i="3"/>
  <c r="E561" i="3" s="1"/>
  <c r="AK2181" i="3" s="1"/>
  <c r="E2180" i="3" s="1"/>
  <c r="E11" i="13" s="1"/>
  <c r="A602" i="3"/>
  <c r="AB602" i="3" s="1"/>
  <c r="AG2188" i="3"/>
  <c r="A2187" i="3" s="1"/>
  <c r="A18" i="13" s="1"/>
  <c r="BI475" i="3"/>
  <c r="BI474" i="3"/>
  <c r="BI481" i="3"/>
  <c r="BJ481" i="3"/>
  <c r="BJ474" i="3"/>
  <c r="BJ475" i="3"/>
  <c r="BJ472" i="3"/>
  <c r="D1499" i="3"/>
  <c r="AS1509" i="3"/>
  <c r="BJ489" i="3"/>
  <c r="BI567" i="3"/>
  <c r="E566" i="3" s="1"/>
  <c r="AK2182" i="3" s="1"/>
  <c r="E2181" i="3" s="1"/>
  <c r="E12" i="13" s="1"/>
  <c r="BG572" i="3"/>
  <c r="BJ567" i="3"/>
  <c r="E567" i="3" s="1"/>
  <c r="BH572" i="3"/>
  <c r="BL2826" i="3" l="1"/>
  <c r="A2828" i="3"/>
  <c r="BF2827" i="3"/>
  <c r="BL2827" i="3" s="1"/>
  <c r="A608" i="3"/>
  <c r="AB608" i="3" s="1"/>
  <c r="AG2189" i="3"/>
  <c r="A2188" i="3" s="1"/>
  <c r="A19" i="13" s="1"/>
  <c r="BI491" i="3"/>
  <c r="BJ491" i="3"/>
  <c r="BJ485" i="3"/>
  <c r="BJ484" i="3"/>
  <c r="BI485" i="3"/>
  <c r="BI484" i="3"/>
  <c r="BJ482" i="3"/>
  <c r="BI572" i="3"/>
  <c r="E571" i="3" s="1"/>
  <c r="AK2183" i="3" s="1"/>
  <c r="E2182" i="3" s="1"/>
  <c r="E13" i="13" s="1"/>
  <c r="BG578" i="3"/>
  <c r="BJ572" i="3"/>
  <c r="E572" i="3" s="1"/>
  <c r="BH578" i="3"/>
  <c r="D1509" i="3"/>
  <c r="AS1519" i="3"/>
  <c r="A2829" i="3" l="1"/>
  <c r="BF2828" i="3"/>
  <c r="BL2828" i="3" s="1"/>
  <c r="A613" i="3"/>
  <c r="AB613" i="3" s="1"/>
  <c r="AG2190" i="3"/>
  <c r="A2189" i="3" s="1"/>
  <c r="A20" i="13" s="1"/>
  <c r="BJ495" i="3"/>
  <c r="BJ500" i="3" s="1"/>
  <c r="BJ494" i="3"/>
  <c r="BJ499" i="3" s="1"/>
  <c r="BJ498" i="3"/>
  <c r="BI495" i="3"/>
  <c r="BI500" i="3" s="1"/>
  <c r="BI494" i="3"/>
  <c r="BI499" i="3" s="1"/>
  <c r="BI498" i="3"/>
  <c r="BJ578" i="3"/>
  <c r="E578" i="3" s="1"/>
  <c r="BH583" i="3"/>
  <c r="BI578" i="3"/>
  <c r="E577" i="3" s="1"/>
  <c r="AK2184" i="3" s="1"/>
  <c r="E2183" i="3" s="1"/>
  <c r="E14" i="13" s="1"/>
  <c r="BG583" i="3"/>
  <c r="BJ492" i="3"/>
  <c r="AS1529" i="3"/>
  <c r="D1519" i="3"/>
  <c r="A2830" i="3" l="1"/>
  <c r="BF2829" i="3"/>
  <c r="BL2829" i="3" s="1"/>
  <c r="A618" i="3"/>
  <c r="AB618" i="3" s="1"/>
  <c r="AG2191" i="3"/>
  <c r="A2190" i="3" s="1"/>
  <c r="A21" i="13" s="1"/>
  <c r="D1529" i="3"/>
  <c r="AS1539" i="3"/>
  <c r="BJ583" i="3"/>
  <c r="E583" i="3" s="1"/>
  <c r="BH588" i="3"/>
  <c r="BI583" i="3"/>
  <c r="E582" i="3" s="1"/>
  <c r="AK2185" i="3" s="1"/>
  <c r="E2184" i="3" s="1"/>
  <c r="E15" i="13" s="1"/>
  <c r="BG588" i="3"/>
  <c r="A2831" i="3" l="1"/>
  <c r="BF2830" i="3"/>
  <c r="A626" i="3"/>
  <c r="AB626" i="3" s="1"/>
  <c r="AG2192" i="3"/>
  <c r="A2191" i="3" s="1"/>
  <c r="A22" i="13" s="1"/>
  <c r="BI588" i="3"/>
  <c r="E587" i="3" s="1"/>
  <c r="BG596" i="3"/>
  <c r="D1539" i="3"/>
  <c r="AS1549" i="3"/>
  <c r="BJ588" i="3"/>
  <c r="BH596" i="3"/>
  <c r="BL2830" i="3" l="1"/>
  <c r="A2832" i="3"/>
  <c r="BF2831" i="3"/>
  <c r="BL2831" i="3" s="1"/>
  <c r="E588" i="3"/>
  <c r="AK2186" i="3"/>
  <c r="E2185" i="3" s="1"/>
  <c r="E16" i="13" s="1"/>
  <c r="A631" i="3"/>
  <c r="AB631" i="3" s="1"/>
  <c r="AG2193" i="3"/>
  <c r="A2192" i="3" s="1"/>
  <c r="A23" i="13" s="1"/>
  <c r="D1549" i="3"/>
  <c r="AS1559" i="3"/>
  <c r="BJ596" i="3"/>
  <c r="E596" i="3" s="1"/>
  <c r="BH601" i="3"/>
  <c r="BI596" i="3"/>
  <c r="E595" i="3" s="1"/>
  <c r="AK2187" i="3" s="1"/>
  <c r="E2186" i="3" s="1"/>
  <c r="E17" i="13" s="1"/>
  <c r="BG601" i="3"/>
  <c r="A2833" i="3" l="1"/>
  <c r="BF2832" i="3"/>
  <c r="BL2832" i="3" s="1"/>
  <c r="A636" i="3"/>
  <c r="AG2194" i="3"/>
  <c r="A2193" i="3" s="1"/>
  <c r="A24" i="13" s="1"/>
  <c r="BJ601" i="3"/>
  <c r="E601" i="3" s="1"/>
  <c r="BH606" i="3"/>
  <c r="AS1569" i="3"/>
  <c r="D1559" i="3"/>
  <c r="BI601" i="3"/>
  <c r="E600" i="3" s="1"/>
  <c r="AK2188" i="3" s="1"/>
  <c r="E2187" i="3" s="1"/>
  <c r="E18" i="13" s="1"/>
  <c r="BG606" i="3"/>
  <c r="A2834" i="3" l="1"/>
  <c r="BF2833" i="3"/>
  <c r="A642" i="3"/>
  <c r="AB642" i="3" s="1"/>
  <c r="AB636" i="3"/>
  <c r="D1569" i="3"/>
  <c r="AS1579" i="3"/>
  <c r="BI606" i="3"/>
  <c r="E605" i="3" s="1"/>
  <c r="AK2189" i="3" s="1"/>
  <c r="E2188" i="3" s="1"/>
  <c r="E19" i="13" s="1"/>
  <c r="BG612" i="3"/>
  <c r="BJ606" i="3"/>
  <c r="E606" i="3" s="1"/>
  <c r="BH612" i="3"/>
  <c r="BL2833" i="3" l="1"/>
  <c r="A2835" i="3"/>
  <c r="BF2834" i="3"/>
  <c r="BL2834" i="3" s="1"/>
  <c r="AG2195" i="3"/>
  <c r="A2194" i="3" s="1"/>
  <c r="A25" i="13" s="1"/>
  <c r="A647" i="3"/>
  <c r="AB647" i="3" s="1"/>
  <c r="BI612" i="3"/>
  <c r="E611" i="3" s="1"/>
  <c r="AK2190" i="3" s="1"/>
  <c r="E2189" i="3" s="1"/>
  <c r="E20" i="13" s="1"/>
  <c r="BG617" i="3"/>
  <c r="BJ612" i="3"/>
  <c r="E612" i="3" s="1"/>
  <c r="BH617" i="3"/>
  <c r="D1579" i="3"/>
  <c r="AS1589" i="3"/>
  <c r="D1589" i="3" s="1"/>
  <c r="A2836" i="3" l="1"/>
  <c r="BF2835" i="3"/>
  <c r="BL2835" i="3" s="1"/>
  <c r="AG2196" i="3"/>
  <c r="A2195" i="3" s="1"/>
  <c r="A26" i="13" s="1"/>
  <c r="A652" i="3"/>
  <c r="AB652" i="3" s="1"/>
  <c r="BJ617" i="3"/>
  <c r="E617" i="3" s="1"/>
  <c r="BH622" i="3"/>
  <c r="BI617" i="3"/>
  <c r="E616" i="3" s="1"/>
  <c r="AK2191" i="3" s="1"/>
  <c r="E2190" i="3" s="1"/>
  <c r="E21" i="13" s="1"/>
  <c r="BG622" i="3"/>
  <c r="A2837" i="3" l="1"/>
  <c r="BF2836" i="3"/>
  <c r="AG2197" i="3"/>
  <c r="A2196" i="3" s="1"/>
  <c r="A27" i="13" s="1"/>
  <c r="A660" i="3"/>
  <c r="AB660" i="3" s="1"/>
  <c r="BI622" i="3"/>
  <c r="E621" i="3" s="1"/>
  <c r="AK2192" i="3" s="1"/>
  <c r="E2191" i="3" s="1"/>
  <c r="E22" i="13" s="1"/>
  <c r="BG630" i="3"/>
  <c r="BJ622" i="3"/>
  <c r="E622" i="3" s="1"/>
  <c r="BH630" i="3"/>
  <c r="BL2836" i="3" l="1"/>
  <c r="A2838" i="3"/>
  <c r="BF2837" i="3"/>
  <c r="BL2837" i="3" s="1"/>
  <c r="AG2198" i="3"/>
  <c r="A2197" i="3" s="1"/>
  <c r="A28" i="13" s="1"/>
  <c r="A665" i="3"/>
  <c r="AB665" i="3" s="1"/>
  <c r="BJ630" i="3"/>
  <c r="E630" i="3" s="1"/>
  <c r="BH635" i="3"/>
  <c r="BI630" i="3"/>
  <c r="E629" i="3" s="1"/>
  <c r="AK2193" i="3" s="1"/>
  <c r="E2192" i="3" s="1"/>
  <c r="E23" i="13" s="1"/>
  <c r="BG635" i="3"/>
  <c r="A2839" i="3" l="1"/>
  <c r="BF2838" i="3"/>
  <c r="BL2838" i="3" s="1"/>
  <c r="AG2199" i="3"/>
  <c r="A2198" i="3" s="1"/>
  <c r="A29" i="13" s="1"/>
  <c r="A670" i="3"/>
  <c r="AB670" i="3" s="1"/>
  <c r="BI635" i="3"/>
  <c r="E634" i="3" s="1"/>
  <c r="BG640" i="3"/>
  <c r="BJ635" i="3"/>
  <c r="E635" i="3" s="1"/>
  <c r="BH640" i="3"/>
  <c r="A2840" i="3" l="1"/>
  <c r="BF2839" i="3"/>
  <c r="AG2200" i="3"/>
  <c r="A2199" i="3" s="1"/>
  <c r="A30" i="13" s="1"/>
  <c r="A676" i="3"/>
  <c r="AB676" i="3" s="1"/>
  <c r="BJ640" i="3"/>
  <c r="E640" i="3" s="1"/>
  <c r="BH646" i="3"/>
  <c r="BI640" i="3"/>
  <c r="E639" i="3" s="1"/>
  <c r="AK2194" i="3" s="1"/>
  <c r="E2193" i="3" s="1"/>
  <c r="E24" i="13" s="1"/>
  <c r="BG646" i="3"/>
  <c r="BL2839" i="3" l="1"/>
  <c r="A2841" i="3"/>
  <c r="BF2840" i="3"/>
  <c r="BL2840" i="3" s="1"/>
  <c r="AG2201" i="3"/>
  <c r="A2200" i="3" s="1"/>
  <c r="A31" i="13" s="1"/>
  <c r="A681" i="3"/>
  <c r="AB681" i="3" s="1"/>
  <c r="BI646" i="3"/>
  <c r="E645" i="3" s="1"/>
  <c r="AK2195" i="3" s="1"/>
  <c r="E2194" i="3" s="1"/>
  <c r="E25" i="13" s="1"/>
  <c r="BG651" i="3"/>
  <c r="BJ646" i="3"/>
  <c r="E646" i="3" s="1"/>
  <c r="BH651" i="3"/>
  <c r="A2842" i="3" l="1"/>
  <c r="BF2841" i="3"/>
  <c r="BL2841" i="3" s="1"/>
  <c r="AG2202" i="3"/>
  <c r="A2201" i="3" s="1"/>
  <c r="A32" i="13" s="1"/>
  <c r="A686" i="3"/>
  <c r="AB686" i="3" s="1"/>
  <c r="BJ651" i="3"/>
  <c r="E651" i="3" s="1"/>
  <c r="BH656" i="3"/>
  <c r="BI651" i="3"/>
  <c r="E650" i="3" s="1"/>
  <c r="AK2196" i="3" s="1"/>
  <c r="E2195" i="3" s="1"/>
  <c r="E26" i="13" s="1"/>
  <c r="BG656" i="3"/>
  <c r="A2843" i="3" l="1"/>
  <c r="BF2842" i="3"/>
  <c r="BL2842" i="3" s="1"/>
  <c r="AG2203" i="3"/>
  <c r="A2202" i="3" s="1"/>
  <c r="A33" i="13" s="1"/>
  <c r="A692" i="3"/>
  <c r="AB692" i="3" s="1"/>
  <c r="BI656" i="3"/>
  <c r="E655" i="3" s="1"/>
  <c r="AK2197" i="3" s="1"/>
  <c r="E2196" i="3" s="1"/>
  <c r="E27" i="13" s="1"/>
  <c r="BG664" i="3"/>
  <c r="BJ656" i="3"/>
  <c r="E656" i="3" s="1"/>
  <c r="BH664" i="3"/>
  <c r="A2844" i="3" l="1"/>
  <c r="BF2843" i="3"/>
  <c r="AG2204" i="3"/>
  <c r="A2203" i="3" s="1"/>
  <c r="A34" i="13" s="1"/>
  <c r="A708" i="3"/>
  <c r="AB708" i="3" s="1"/>
  <c r="BJ664" i="3"/>
  <c r="E664" i="3" s="1"/>
  <c r="BH669" i="3"/>
  <c r="BI664" i="3"/>
  <c r="E663" i="3" s="1"/>
  <c r="AK2198" i="3" s="1"/>
  <c r="E2197" i="3" s="1"/>
  <c r="E28" i="13" s="1"/>
  <c r="BG669" i="3"/>
  <c r="BL2843" i="3" l="1"/>
  <c r="A2845" i="3"/>
  <c r="BF2844" i="3"/>
  <c r="BL2844" i="3" s="1"/>
  <c r="AG2205" i="3"/>
  <c r="A2204" i="3" s="1"/>
  <c r="A35" i="13" s="1"/>
  <c r="A713" i="3"/>
  <c r="AB713" i="3" s="1"/>
  <c r="BI669" i="3"/>
  <c r="E668" i="3" s="1"/>
  <c r="AK2199" i="3" s="1"/>
  <c r="E2198" i="3" s="1"/>
  <c r="E29" i="13" s="1"/>
  <c r="BG674" i="3"/>
  <c r="BJ669" i="3"/>
  <c r="E669" i="3" s="1"/>
  <c r="BH674" i="3"/>
  <c r="A2846" i="3" l="1"/>
  <c r="BF2845" i="3"/>
  <c r="AG2206" i="3"/>
  <c r="A2205" i="3" s="1"/>
  <c r="A36" i="13" s="1"/>
  <c r="A718" i="3"/>
  <c r="AB718" i="3" s="1"/>
  <c r="BJ674" i="3"/>
  <c r="E674" i="3" s="1"/>
  <c r="BH680" i="3"/>
  <c r="BI674" i="3"/>
  <c r="E673" i="3" s="1"/>
  <c r="AK2200" i="3" s="1"/>
  <c r="E2199" i="3" s="1"/>
  <c r="E30" i="13" s="1"/>
  <c r="BG680" i="3"/>
  <c r="BL2845" i="3" l="1"/>
  <c r="A2847" i="3"/>
  <c r="BF2846" i="3"/>
  <c r="BL2846" i="3" s="1"/>
  <c r="AG2207" i="3"/>
  <c r="A2206" i="3" s="1"/>
  <c r="A37" i="13" s="1"/>
  <c r="A724" i="3"/>
  <c r="AB724" i="3" s="1"/>
  <c r="BI680" i="3"/>
  <c r="E679" i="3" s="1"/>
  <c r="AK2201" i="3" s="1"/>
  <c r="E2200" i="3" s="1"/>
  <c r="E31" i="13" s="1"/>
  <c r="BG685" i="3"/>
  <c r="BJ680" i="3"/>
  <c r="E680" i="3" s="1"/>
  <c r="BH685" i="3"/>
  <c r="A2848" i="3" l="1"/>
  <c r="BF2847" i="3"/>
  <c r="AG2208" i="3"/>
  <c r="A2207" i="3" s="1"/>
  <c r="A38" i="13" s="1"/>
  <c r="A729" i="3"/>
  <c r="AB729" i="3" s="1"/>
  <c r="BI685" i="3"/>
  <c r="E684" i="3" s="1"/>
  <c r="AK2202" i="3" s="1"/>
  <c r="E2201" i="3" s="1"/>
  <c r="E32" i="13" s="1"/>
  <c r="BG690" i="3"/>
  <c r="BJ685" i="3"/>
  <c r="E685" i="3" s="1"/>
  <c r="BH690" i="3"/>
  <c r="AG2209" i="3" l="1"/>
  <c r="A2208" i="3" s="1"/>
  <c r="A39" i="13" s="1"/>
  <c r="BL2847" i="3"/>
  <c r="A2849" i="3"/>
  <c r="BF2848" i="3"/>
  <c r="BL2848" i="3" s="1"/>
  <c r="A734" i="3"/>
  <c r="AB734" i="3" s="1"/>
  <c r="BI690" i="3"/>
  <c r="E689" i="3" s="1"/>
  <c r="AK2203" i="3" s="1"/>
  <c r="E2202" i="3" s="1"/>
  <c r="E33" i="13" s="1"/>
  <c r="BG696" i="3"/>
  <c r="BJ690" i="3"/>
  <c r="E690" i="3" s="1"/>
  <c r="BH696" i="3"/>
  <c r="A739" i="3" l="1"/>
  <c r="AB739" i="3" s="1"/>
  <c r="A2850" i="3"/>
  <c r="BF2849" i="3"/>
  <c r="AG2210" i="3"/>
  <c r="A2209" i="3" s="1"/>
  <c r="A40" i="13" s="1"/>
  <c r="BJ696" i="3"/>
  <c r="E696" i="3" s="1"/>
  <c r="BH712" i="3"/>
  <c r="BI696" i="3"/>
  <c r="E695" i="3" s="1"/>
  <c r="AK2204" i="3" s="1"/>
  <c r="E2203" i="3" s="1"/>
  <c r="E34" i="13" s="1"/>
  <c r="BG712" i="3"/>
  <c r="A747" i="3" l="1"/>
  <c r="AB747" i="3" s="1"/>
  <c r="AG2211" i="3"/>
  <c r="A2210" i="3" s="1"/>
  <c r="A41" i="13" s="1"/>
  <c r="BL2849" i="3"/>
  <c r="A2851" i="3"/>
  <c r="BF2850" i="3"/>
  <c r="BL2850" i="3" s="1"/>
  <c r="BJ712" i="3"/>
  <c r="E712" i="3" s="1"/>
  <c r="BH717" i="3"/>
  <c r="BI712" i="3"/>
  <c r="E711" i="3" s="1"/>
  <c r="AK2205" i="3" s="1"/>
  <c r="E2204" i="3" s="1"/>
  <c r="E35" i="13" s="1"/>
  <c r="BG717" i="3"/>
  <c r="A757" i="3" l="1"/>
  <c r="AB757" i="3" s="1"/>
  <c r="AG2212" i="3"/>
  <c r="A2211" i="3" s="1"/>
  <c r="A42" i="13" s="1"/>
  <c r="A2852" i="3"/>
  <c r="BF2851" i="3"/>
  <c r="BI717" i="3"/>
  <c r="E716" i="3" s="1"/>
  <c r="AK2206" i="3" s="1"/>
  <c r="E2205" i="3" s="1"/>
  <c r="E36" i="13" s="1"/>
  <c r="BG722" i="3"/>
  <c r="BJ717" i="3"/>
  <c r="E717" i="3" s="1"/>
  <c r="BH722" i="3"/>
  <c r="A762" i="3" l="1"/>
  <c r="AB762" i="3" s="1"/>
  <c r="AG2213" i="3"/>
  <c r="A2212" i="3" s="1"/>
  <c r="A43" i="13" s="1"/>
  <c r="BL2851" i="3"/>
  <c r="A2853" i="3"/>
  <c r="BF2852" i="3"/>
  <c r="BL2852" i="3" s="1"/>
  <c r="BI722" i="3"/>
  <c r="E721" i="3" s="1"/>
  <c r="AK2207" i="3" s="1"/>
  <c r="E2206" i="3" s="1"/>
  <c r="E37" i="13" s="1"/>
  <c r="BG728" i="3"/>
  <c r="BJ722" i="3"/>
  <c r="E722" i="3" s="1"/>
  <c r="BH728" i="3"/>
  <c r="AG2214" i="3" l="1"/>
  <c r="A2213" i="3" s="1"/>
  <c r="A44" i="13" s="1"/>
  <c r="A767" i="3"/>
  <c r="AB767" i="3" s="1"/>
  <c r="A2854" i="3"/>
  <c r="BF2853" i="3"/>
  <c r="BL2853" i="3" s="1"/>
  <c r="BI728" i="3"/>
  <c r="E727" i="3" s="1"/>
  <c r="AK2208" i="3" s="1"/>
  <c r="E2207" i="3" s="1"/>
  <c r="E38" i="13" s="1"/>
  <c r="BG733" i="3"/>
  <c r="BJ728" i="3"/>
  <c r="E728" i="3" s="1"/>
  <c r="BH733" i="3"/>
  <c r="AG2215" i="3" l="1"/>
  <c r="A2214" i="3" s="1"/>
  <c r="A45" i="13" s="1"/>
  <c r="A772" i="3"/>
  <c r="AB772" i="3" s="1"/>
  <c r="A2855" i="3"/>
  <c r="BF2854" i="3"/>
  <c r="BJ733" i="3"/>
  <c r="E733" i="3" s="1"/>
  <c r="BH738" i="3"/>
  <c r="BI733" i="3"/>
  <c r="E732" i="3" s="1"/>
  <c r="AK2209" i="3" s="1"/>
  <c r="E2208" i="3" s="1"/>
  <c r="E39" i="13" s="1"/>
  <c r="BG738" i="3"/>
  <c r="AG2216" i="3" l="1"/>
  <c r="A2215" i="3" s="1"/>
  <c r="A46" i="13" s="1"/>
  <c r="A777" i="3"/>
  <c r="AB777" i="3" s="1"/>
  <c r="BL2854" i="3"/>
  <c r="A2856" i="3"/>
  <c r="BF2855" i="3"/>
  <c r="BL2855" i="3" s="1"/>
  <c r="BI738" i="3"/>
  <c r="E737" i="3" s="1"/>
  <c r="AK2210" i="3" s="1"/>
  <c r="E2209" i="3" s="1"/>
  <c r="E40" i="13" s="1"/>
  <c r="BG743" i="3"/>
  <c r="BJ738" i="3"/>
  <c r="E738" i="3" s="1"/>
  <c r="BH743" i="3"/>
  <c r="A785" i="3" l="1"/>
  <c r="A789" i="3" s="1"/>
  <c r="A793" i="3" s="1"/>
  <c r="A797" i="3" s="1"/>
  <c r="A810" i="3" s="1"/>
  <c r="A831" i="3" s="1"/>
  <c r="A858" i="3" s="1"/>
  <c r="A877" i="3" s="1"/>
  <c r="AG2217" i="3"/>
  <c r="A2216" i="3" s="1"/>
  <c r="A47" i="13" s="1"/>
  <c r="A2857" i="3"/>
  <c r="BF2856" i="3"/>
  <c r="BL2856" i="3" s="1"/>
  <c r="BJ743" i="3"/>
  <c r="E743" i="3" s="1"/>
  <c r="BH751" i="3"/>
  <c r="BI743" i="3"/>
  <c r="E742" i="3" s="1"/>
  <c r="AK2211" i="3" s="1"/>
  <c r="E2210" i="3" s="1"/>
  <c r="E41" i="13" s="1"/>
  <c r="BG751" i="3"/>
  <c r="A3123" i="3" l="1"/>
  <c r="A2858" i="3"/>
  <c r="BF2857" i="3"/>
  <c r="A907" i="3"/>
  <c r="A911" i="3" s="1"/>
  <c r="A924" i="3" s="1"/>
  <c r="A928" i="3" s="1"/>
  <c r="A3168" i="3"/>
  <c r="BI751" i="3"/>
  <c r="E750" i="3" s="1"/>
  <c r="AK2212" i="3" s="1"/>
  <c r="E2211" i="3" s="1"/>
  <c r="E42" i="13" s="1"/>
  <c r="BG761" i="3"/>
  <c r="BJ751" i="3"/>
  <c r="E751" i="3" s="1"/>
  <c r="BH761" i="3"/>
  <c r="BL2857" i="3" l="1"/>
  <c r="A2859" i="3"/>
  <c r="BF2858" i="3"/>
  <c r="BL2858" i="3" s="1"/>
  <c r="BJ761" i="3"/>
  <c r="E761" i="3" s="1"/>
  <c r="BH766" i="3"/>
  <c r="BI761" i="3"/>
  <c r="E760" i="3" s="1"/>
  <c r="AK2213" i="3" s="1"/>
  <c r="E2212" i="3" s="1"/>
  <c r="E43" i="13" s="1"/>
  <c r="BG766" i="3"/>
  <c r="A2860" i="3" l="1"/>
  <c r="BF2859" i="3"/>
  <c r="BL2859" i="3" s="1"/>
  <c r="BI766" i="3"/>
  <c r="E765" i="3" s="1"/>
  <c r="AK2214" i="3" s="1"/>
  <c r="E2213" i="3" s="1"/>
  <c r="E44" i="13" s="1"/>
  <c r="BG771" i="3"/>
  <c r="BJ766" i="3"/>
  <c r="E766" i="3" s="1"/>
  <c r="BH771" i="3"/>
  <c r="A2861" i="3" l="1"/>
  <c r="A2862" i="3" s="1"/>
  <c r="A2863" i="3" s="1"/>
  <c r="A2864" i="3" s="1"/>
  <c r="A2865" i="3" s="1"/>
  <c r="A2866" i="3" s="1"/>
  <c r="A2867" i="3" s="1"/>
  <c r="A2868" i="3" s="1"/>
  <c r="A2869" i="3" s="1"/>
  <c r="A2870" i="3" s="1"/>
  <c r="A2871" i="3" s="1"/>
  <c r="BF2860" i="3"/>
  <c r="BJ771" i="3"/>
  <c r="E771" i="3" s="1"/>
  <c r="BH776" i="3"/>
  <c r="BI771" i="3"/>
  <c r="E770" i="3" s="1"/>
  <c r="AK2215" i="3" s="1"/>
  <c r="E2214" i="3" s="1"/>
  <c r="E45" i="13" s="1"/>
  <c r="BG776" i="3"/>
  <c r="BL2860" i="3" l="1"/>
  <c r="BM2810" i="3" s="1"/>
  <c r="BG2810" i="3"/>
  <c r="BI776" i="3"/>
  <c r="E775" i="3" s="1"/>
  <c r="AK2216" i="3" s="1"/>
  <c r="E2215" i="3" s="1"/>
  <c r="E46" i="13" s="1"/>
  <c r="BG781" i="3"/>
  <c r="BI781" i="3" s="1"/>
  <c r="E780" i="3" s="1"/>
  <c r="BJ776" i="3"/>
  <c r="E776" i="3" s="1"/>
  <c r="BH781" i="3"/>
  <c r="BJ781" i="3" s="1"/>
  <c r="E781" i="3" s="1"/>
  <c r="AK2217" i="3" l="1"/>
  <c r="E2216" i="3" s="1"/>
  <c r="E47" i="13" s="1"/>
  <c r="AI1984" i="3"/>
  <c r="B52" i="3"/>
  <c r="C51" i="3" s="1"/>
  <c r="AI1985" i="3"/>
  <c r="AH1985" i="3"/>
  <c r="AH1984" i="3"/>
  <c r="B51" i="3"/>
  <c r="AN1867" i="3" l="1"/>
  <c r="AG1867" i="3" s="1"/>
  <c r="C1866" i="3" s="1"/>
  <c r="BX44" i="3"/>
  <c r="BW44" i="3" s="1"/>
  <c r="BT44" i="3" s="1"/>
  <c r="BS1937" i="3"/>
  <c r="BR1937" i="3" s="1"/>
  <c r="BU1937" i="3" s="1"/>
  <c r="BO1936" i="3" s="1"/>
  <c r="C1941" i="3" s="1"/>
  <c r="AM1851" i="3"/>
  <c r="AN2236" i="3"/>
  <c r="AF2236" i="3" s="1"/>
  <c r="AS2275" i="3"/>
  <c r="AH2275" i="3" s="1"/>
  <c r="B2278" i="3" s="1"/>
  <c r="AN2223" i="3"/>
  <c r="AI2223" i="3" s="1"/>
  <c r="AV2245" i="3"/>
  <c r="AN2126" i="3"/>
  <c r="AI2126" i="3" s="1"/>
  <c r="AP2142" i="3"/>
  <c r="AF2142" i="3" s="1"/>
  <c r="AL2048" i="3"/>
  <c r="AF2048" i="3" s="1"/>
  <c r="AX2089" i="3"/>
  <c r="AF2089" i="3" s="1"/>
  <c r="AP2001" i="3"/>
  <c r="AF2001" i="3" s="1"/>
  <c r="AU1945" i="3"/>
  <c r="AG1945" i="3" s="1"/>
  <c r="AD1943" i="3" s="1"/>
  <c r="B1943" i="3" s="1"/>
  <c r="C52" i="3"/>
  <c r="BG51" i="3"/>
  <c r="AK1852" i="3" s="1"/>
  <c r="AX1902" i="3"/>
  <c r="AX52" i="3"/>
  <c r="BG52" i="3"/>
  <c r="AQ1985" i="3"/>
  <c r="AU814" i="3"/>
  <c r="AQ1984" i="3"/>
  <c r="AC51" i="3"/>
  <c r="AD51" i="3"/>
  <c r="AX51" i="3"/>
  <c r="AJ1937" i="3" s="1"/>
  <c r="AJ1938" i="3" s="1"/>
  <c r="AJ1939" i="3" s="1"/>
  <c r="AJ1940" i="3" s="1"/>
  <c r="AJ1941" i="3" s="1"/>
  <c r="AJ1942" i="3" s="1"/>
  <c r="AG51" i="3"/>
  <c r="AF51" i="3"/>
  <c r="AE51" i="3"/>
  <c r="AU813" i="3"/>
  <c r="AC1127" i="3"/>
  <c r="D44" i="3" l="1"/>
  <c r="B9" i="12" s="1"/>
  <c r="AI1852" i="3"/>
  <c r="AG1852" i="3" s="1"/>
  <c r="D1851" i="3" s="1"/>
  <c r="AL1851" i="3"/>
  <c r="AG1851" i="3" s="1"/>
  <c r="C1851" i="3" s="1"/>
  <c r="AP1909" i="3"/>
  <c r="AG1909" i="3" s="1"/>
  <c r="AC2046" i="3"/>
  <c r="AC2140" i="3"/>
  <c r="AC2040" i="3"/>
  <c r="AC2112" i="3"/>
  <c r="AT1994" i="3"/>
  <c r="AC2099" i="3"/>
  <c r="AC2134" i="3"/>
  <c r="AC2159" i="3"/>
  <c r="AC2152" i="3"/>
  <c r="AC2105" i="3"/>
  <c r="AC1993" i="3"/>
  <c r="AC2146" i="3"/>
  <c r="AC2017" i="3"/>
  <c r="AC2093" i="3"/>
  <c r="AC2005" i="3"/>
  <c r="AC2058" i="3"/>
  <c r="AC2011" i="3"/>
  <c r="AC2052" i="3"/>
  <c r="AC2065" i="3"/>
  <c r="AC2087" i="3"/>
  <c r="BJ2249" i="3"/>
  <c r="AC2237" i="3"/>
  <c r="AC2231" i="3"/>
  <c r="AC2249" i="3"/>
  <c r="AC2256" i="3"/>
  <c r="AF2245" i="3"/>
  <c r="AC2243" i="3" s="1"/>
  <c r="AM2252" i="3"/>
  <c r="AF2252" i="3" s="1"/>
  <c r="AC1999" i="3"/>
  <c r="AZ1902" i="3"/>
  <c r="AG1902" i="3" s="1"/>
  <c r="AD1900" i="3" s="1"/>
  <c r="BI275" i="3"/>
  <c r="AD1937" i="3"/>
  <c r="D51" i="3"/>
  <c r="AI1127" i="3"/>
  <c r="B1127" i="3" s="1"/>
  <c r="AD1907" i="3" l="1"/>
  <c r="B1903" i="3" s="1"/>
  <c r="AF2018" i="3"/>
  <c r="AF1994" i="3"/>
  <c r="AF2012" i="3"/>
  <c r="AF2006" i="3"/>
  <c r="AF2000" i="3"/>
  <c r="B1896" i="3"/>
  <c r="AD1938" i="3"/>
  <c r="AD1939" i="3" l="1"/>
  <c r="AD1940" i="3" l="1"/>
  <c r="AD1941" i="3" l="1"/>
  <c r="AD1942" i="3"/>
  <c r="C1129" i="3" l="1"/>
  <c r="BN3325" i="3" l="1"/>
  <c r="BN3301" i="3"/>
  <c r="BN3324" i="3"/>
  <c r="BN3300" i="3"/>
  <c r="BN3327" i="3"/>
  <c r="BN3303" i="3"/>
  <c r="BN3282" i="3"/>
  <c r="BN3307" i="3"/>
  <c r="BN3286" i="3"/>
  <c r="BN3321" i="3"/>
  <c r="BN3297" i="3"/>
  <c r="BN3320" i="3"/>
  <c r="BN3296" i="3"/>
  <c r="BN3323" i="3"/>
  <c r="BN3299" i="3"/>
  <c r="BN3326" i="3"/>
  <c r="BN3302" i="3"/>
  <c r="BN3278" i="3"/>
  <c r="BN3311" i="3"/>
  <c r="BN3291" i="3"/>
  <c r="BN3310" i="3"/>
  <c r="BN3289" i="3"/>
  <c r="BN3314" i="3"/>
  <c r="BN3294" i="3"/>
  <c r="BN3322" i="3"/>
  <c r="BN3298" i="3"/>
  <c r="BN3305" i="3"/>
  <c r="BN3284" i="3"/>
  <c r="BN3304" i="3"/>
  <c r="BN3283" i="3"/>
  <c r="BN3308" i="3"/>
  <c r="BN3287" i="3"/>
  <c r="BN3313" i="3"/>
  <c r="BN3293" i="3"/>
  <c r="BN3290" i="3"/>
  <c r="AG1156" i="3"/>
  <c r="AE1156" i="3"/>
  <c r="AD1156" i="3"/>
  <c r="AF1156" i="3"/>
  <c r="D3205" i="3" l="1"/>
  <c r="C1159" i="3" s="1"/>
  <c r="BI2336" i="3" l="1"/>
  <c r="B2331" i="3" l="1"/>
  <c r="AE2344" i="3" s="1"/>
  <c r="B2332" i="3" s="1"/>
  <c r="BI2337" i="3" l="1"/>
  <c r="BI2338" i="3" s="1"/>
  <c r="B2333" i="3" s="1"/>
  <c r="D2334" i="3" s="1"/>
  <c r="D237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author>
    <author>Steph Turner</author>
  </authors>
  <commentList>
    <comment ref="F43" authorId="0" shapeId="0" xr:uid="{28E43CC1-E43F-41A6-B3B3-1276748FF27C}">
      <text>
        <r>
          <rPr>
            <sz val="9"/>
            <color indexed="81"/>
            <rFont val="Tahoma"/>
            <family val="2"/>
          </rPr>
          <t xml:space="preserve">
</t>
        </r>
      </text>
    </comment>
    <comment ref="F51" authorId="0" shapeId="0" xr:uid="{A4810BEF-243B-410E-9DEA-F4C0689C1993}">
      <text>
        <r>
          <rPr>
            <b/>
            <sz val="9"/>
            <color indexed="81"/>
            <rFont val="Tahoma"/>
            <family val="2"/>
          </rPr>
          <t xml:space="preserve">
</t>
        </r>
        <r>
          <rPr>
            <b/>
            <sz val="14"/>
            <color indexed="81"/>
            <rFont val="Tahoma"/>
            <family val="2"/>
          </rPr>
          <t xml:space="preserve">
</t>
        </r>
        <r>
          <rPr>
            <b/>
            <sz val="14"/>
            <color indexed="22"/>
            <rFont val="Tahoma"/>
            <family val="2"/>
          </rPr>
          <t>DISPLAY PAGES
All information 
gets entered below</t>
        </r>
        <r>
          <rPr>
            <sz val="14"/>
            <color indexed="81"/>
            <rFont val="Tahoma"/>
            <family val="2"/>
          </rPr>
          <t xml:space="preserve">
</t>
        </r>
        <r>
          <rPr>
            <b/>
            <sz val="14"/>
            <color indexed="22"/>
            <rFont val="Tahoma"/>
            <family val="2"/>
          </rPr>
          <t>DISPLAY PAGES
All information gets entered below
This soft text does not print</t>
        </r>
        <r>
          <rPr>
            <sz val="14"/>
            <color indexed="81"/>
            <rFont val="Tahoma"/>
            <family val="2"/>
          </rPr>
          <t xml:space="preserve">
</t>
        </r>
      </text>
    </comment>
    <comment ref="B64" authorId="0" shapeId="0" xr:uid="{42BECBBE-8410-4B89-B9A0-8F6407D47202}">
      <text>
        <r>
          <rPr>
            <sz val="12"/>
            <color indexed="9"/>
            <rFont val="Tahoma"/>
            <family val="2"/>
          </rPr>
          <t>Complete Item #67 and this automatically fills in with that text.</t>
        </r>
      </text>
    </comment>
    <comment ref="D330" authorId="0" shapeId="0" xr:uid="{E073D5EF-DB38-44E6-8086-5319370FDAFE}">
      <text>
        <r>
          <rPr>
            <sz val="9"/>
            <color indexed="81"/>
            <rFont val="Tahoma"/>
            <family val="2"/>
          </rPr>
          <t>If for life, leave formula "=TODAY()".</t>
        </r>
      </text>
    </comment>
    <comment ref="B348" authorId="0" shapeId="0" xr:uid="{018E340A-EE55-4F43-9004-05063A3E0094}">
      <text>
        <r>
          <rPr>
            <sz val="10"/>
            <color indexed="16"/>
            <rFont val="Tahoma"/>
            <family val="2"/>
          </rPr>
          <t>Before you spill too much here, scan the questions below. Especially in section C. There you receive ample opportunity to demonstrate your overlooked innocence.</t>
        </r>
      </text>
    </comment>
    <comment ref="B753" authorId="0" shapeId="0" xr:uid="{2974A460-0578-4DB6-AA1F-8BF1936B6886}">
      <text>
        <r>
          <rPr>
            <sz val="9"/>
            <color indexed="81"/>
            <rFont val="Tahoma"/>
            <family val="2"/>
          </rPr>
          <t xml:space="preserve">
</t>
        </r>
        <r>
          <rPr>
            <b/>
            <sz val="16"/>
            <color indexed="51"/>
            <rFont val="Tahoma"/>
            <family val="2"/>
          </rPr>
          <t>No Evidence Required</t>
        </r>
        <r>
          <rPr>
            <sz val="9"/>
            <color indexed="81"/>
            <rFont val="Tahoma"/>
            <family val="2"/>
          </rPr>
          <t xml:space="preserve">
</t>
        </r>
      </text>
    </comment>
    <comment ref="C922" authorId="0" shapeId="0" xr:uid="{44A9AB83-361B-40BC-819F-489B9DEAF7B8}">
      <text>
        <r>
          <rPr>
            <b/>
            <sz val="9"/>
            <color indexed="81"/>
            <rFont val="Tahoma"/>
            <family val="2"/>
          </rPr>
          <t>Tagline:</t>
        </r>
        <r>
          <rPr>
            <sz val="9"/>
            <color indexed="81"/>
            <rFont val="Tahoma"/>
            <family val="2"/>
          </rPr>
          <t xml:space="preserve">
Boil down this whole claim into a single catchy phrase. Why should anyone ready it instead of other claims? See the samples for ideas. Craft it to draw their engaging attention. Pull on their heart strings. Let it draw attention to the injustice suffered, without any tone of blame or victimhood. Inspire viewers to support you, to invest in your innocence, and possibly sponsor your path toward exoneration. This </t>
        </r>
        <r>
          <rPr>
            <b/>
            <sz val="9"/>
            <color indexed="81"/>
            <rFont val="Tahoma"/>
            <family val="2"/>
          </rPr>
          <t>tagline</t>
        </r>
        <r>
          <rPr>
            <sz val="9"/>
            <color indexed="81"/>
            <rFont val="Tahoma"/>
            <family val="2"/>
          </rPr>
          <t xml:space="preserve"> will typically be the first thing viewers see about your innocence claim.</t>
        </r>
      </text>
    </comment>
    <comment ref="D944" authorId="0" shapeId="0" xr:uid="{EA60B255-7D8D-4BEB-AD61-7DA91FC8BF43}">
      <text>
        <r>
          <rPr>
            <b/>
            <sz val="12"/>
            <color indexed="17"/>
            <rFont val="Tahoma"/>
            <family val="2"/>
          </rPr>
          <t>Done! Almost.</t>
        </r>
        <r>
          <rPr>
            <sz val="10"/>
            <color indexed="81"/>
            <rFont val="Times New Roman"/>
            <family val="1"/>
          </rPr>
          <t xml:space="preserve">
Before you go any further, now is a good time to return to the top and review each page. Check for any spelling errors, or missing fields, or where you can improve the wording. After making any final edits, save this document once more.</t>
        </r>
      </text>
    </comment>
    <comment ref="C1129" authorId="0" shapeId="0" xr:uid="{57CD68E2-D090-425C-A363-0B8F47B973D7}">
      <text>
        <r>
          <rPr>
            <b/>
            <sz val="9"/>
            <color indexed="81"/>
            <rFont val="Tahoma"/>
            <family val="2"/>
          </rPr>
          <t xml:space="preserve">change as needed. </t>
        </r>
        <r>
          <rPr>
            <sz val="9"/>
            <color indexed="81"/>
            <rFont val="Tahoma"/>
            <family val="2"/>
          </rPr>
          <t>Select how many years incarcerated from the dropdown menu.</t>
        </r>
      </text>
    </comment>
    <comment ref="D1129" authorId="0" shapeId="0" xr:uid="{85BDA528-BE98-4AD8-BB43-FB2AB4EF0815}">
      <text>
        <r>
          <rPr>
            <b/>
            <sz val="9"/>
            <color indexed="81"/>
            <rFont val="Tahoma"/>
            <family val="2"/>
          </rPr>
          <t xml:space="preserve">Change as needed. </t>
        </r>
        <r>
          <rPr>
            <sz val="9"/>
            <color indexed="81"/>
            <rFont val="Tahoma"/>
            <family val="2"/>
          </rPr>
          <t>Select a state to see its compensation statute, if it has one, and how it could affect you.</t>
        </r>
      </text>
    </comment>
    <comment ref="B1179" authorId="0" shapeId="0" xr:uid="{4244A66B-C439-401B-9CE9-1179D122E231}">
      <text>
        <r>
          <rPr>
            <sz val="9"/>
            <color indexed="81"/>
            <rFont val="Tahoma"/>
            <family val="2"/>
          </rPr>
          <t xml:space="preserve">Hoffman, Morris B. (2007). The Myth of Factual Innocence. </t>
        </r>
        <r>
          <rPr>
            <i/>
            <sz val="9"/>
            <color indexed="81"/>
            <rFont val="Tahoma"/>
            <family val="2"/>
          </rPr>
          <t>82 Chi.-Kent L. Rev.</t>
        </r>
        <r>
          <rPr>
            <sz val="9"/>
            <color indexed="81"/>
            <rFont val="Tahoma"/>
            <family val="2"/>
          </rPr>
          <t xml:space="preserve"> 663. 
| judicial official | def. "actual innocence" | method: qualitative</t>
        </r>
      </text>
    </comment>
    <comment ref="B1182" authorId="0" shapeId="0" xr:uid="{8673FF8A-9E34-4EFF-940C-89402CDC2EE9}">
      <text>
        <r>
          <rPr>
            <sz val="9"/>
            <color indexed="81"/>
            <rFont val="Tahoma"/>
            <family val="2"/>
          </rPr>
          <t xml:space="preserve">Cassell, Paul G. (2018). Overstating America’s Wrongful Conviction Rate? Reassessing the Conventional Wisdom About the Prevalence of Wrongful Convictions. </t>
        </r>
        <r>
          <rPr>
            <i/>
            <sz val="9"/>
            <color indexed="81"/>
            <rFont val="Tahoma"/>
            <family val="2"/>
          </rPr>
          <t>Arizona Law Review, 60</t>
        </r>
        <r>
          <rPr>
            <sz val="9"/>
            <color indexed="81"/>
            <rFont val="Tahoma"/>
            <family val="2"/>
          </rPr>
          <t>:815.
| judicial official | def. "actual innocence" | method: qualitative</t>
        </r>
      </text>
    </comment>
    <comment ref="B1185" authorId="0" shapeId="0" xr:uid="{9AE45C15-0C6D-4B0F-BA06-24C37C333B48}">
      <text>
        <r>
          <rPr>
            <i/>
            <sz val="9"/>
            <color indexed="81"/>
            <rFont val="Tahoma"/>
            <family val="2"/>
          </rPr>
          <t>Kansas v. Marsh</t>
        </r>
        <r>
          <rPr>
            <sz val="9"/>
            <color indexed="81"/>
            <rFont val="Tahoma"/>
            <family val="2"/>
          </rPr>
          <t xml:space="preserve"> (2006). U.S. Supreme Court Justice Antonin Scalia, </t>
        </r>
        <r>
          <rPr>
            <sz val="9"/>
            <color indexed="55"/>
            <rFont val="Tahoma"/>
            <family val="2"/>
          </rPr>
          <t>quoting Joshua Marquis in U.S. Supreme Court opinion:</t>
        </r>
        <r>
          <rPr>
            <sz val="9"/>
            <color indexed="81"/>
            <rFont val="Tahoma"/>
            <family val="2"/>
          </rPr>
          <t xml:space="preserve"> Marquis, Joshua. (2005). The Myth of Innocence, </t>
        </r>
        <r>
          <rPr>
            <i/>
            <sz val="9"/>
            <color indexed="81"/>
            <rFont val="Tahoma"/>
            <family val="2"/>
          </rPr>
          <t>95 J. Crim. L. &amp; Criminolog</t>
        </r>
        <r>
          <rPr>
            <sz val="9"/>
            <color indexed="81"/>
            <rFont val="Tahoma"/>
            <family val="2"/>
          </rPr>
          <t>y 501.
| judicial official | def. "actual innocence" | method: quote opinion piece</t>
        </r>
      </text>
    </comment>
    <comment ref="B1188" authorId="0" shapeId="0" xr:uid="{7E8C07FF-A939-4E4D-8A20-29DDE25DBD6E}">
      <text>
        <r>
          <rPr>
            <sz val="9"/>
            <color indexed="81"/>
            <rFont val="Tahoma"/>
            <family val="2"/>
          </rPr>
          <t xml:space="preserve">Zalman, Marvin (2012). Qualitatively Estimating the Incidence of Wrongful Convictions. </t>
        </r>
        <r>
          <rPr>
            <i/>
            <sz val="9"/>
            <color indexed="81"/>
            <rFont val="Tahoma"/>
            <family val="2"/>
          </rPr>
          <t>Criminal Law Bulletin, 48</t>
        </r>
        <r>
          <rPr>
            <sz val="9"/>
            <color indexed="81"/>
            <rFont val="Tahoma"/>
            <family val="2"/>
          </rPr>
          <t>:2, 219-279. 
| nonjudicial academic | def. "actual innocence" | method: qualitative</t>
        </r>
      </text>
    </comment>
    <comment ref="B1191" authorId="0" shapeId="0" xr:uid="{42B0D149-F6B2-40E9-A604-7DE9BA38EFFE}">
      <text>
        <r>
          <rPr>
            <sz val="9"/>
            <color indexed="81"/>
            <rFont val="Tahoma"/>
            <family val="2"/>
          </rPr>
          <t xml:space="preserve">Ramsey, Robert H. and Frank, James (2007). Wrongful Conviction: Perceptions of Criminal Justice Professionals Regarding the Frequency of Wrongful Conviction and the Extent of System Errors. </t>
        </r>
        <r>
          <rPr>
            <i/>
            <sz val="9"/>
            <color indexed="81"/>
            <rFont val="Tahoma"/>
            <family val="2"/>
          </rPr>
          <t>Crime &amp; Delinq, 53</t>
        </r>
        <r>
          <rPr>
            <sz val="9"/>
            <color indexed="81"/>
            <rFont val="Tahoma"/>
            <family val="2"/>
          </rPr>
          <t>:3, 436-470.
| nonjudicial academic | def. "actual innocence" | method: self-reporting</t>
        </r>
      </text>
    </comment>
    <comment ref="B1194" authorId="0" shapeId="0" xr:uid="{A098263F-B960-4CC8-9995-A61A6E163B2A}">
      <text>
        <r>
          <rPr>
            <sz val="9"/>
            <color indexed="81"/>
            <rFont val="Tahoma"/>
            <family val="2"/>
          </rPr>
          <t xml:space="preserve">Gross, Samuel R. (2008). “Frequency and Predictors of False Conviction: Why We Know So Little, and New Data on Capital Cases.” B. O’Brien, co-author. J. </t>
        </r>
        <r>
          <rPr>
            <i/>
            <sz val="9"/>
            <color indexed="81"/>
            <rFont val="Tahoma"/>
            <family val="2"/>
          </rPr>
          <t>Empirical Legal Stud. 5</t>
        </r>
        <r>
          <rPr>
            <sz val="9"/>
            <color indexed="81"/>
            <rFont val="Tahoma"/>
            <family val="2"/>
          </rPr>
          <t>, no. 4: 927-6.
| nonjudicial academic | def. legal exoneration | method: matched samples</t>
        </r>
      </text>
    </comment>
    <comment ref="B1197" authorId="0" shapeId="0" xr:uid="{16D48EF3-4354-44AC-8E58-C713A076F538}">
      <text>
        <r>
          <rPr>
            <sz val="9"/>
            <color indexed="81"/>
            <rFont val="Tahoma"/>
            <family val="2"/>
          </rPr>
          <t xml:space="preserve">Risinger, D. Michael (2007). Innocents Convicted: An Empirical Justified Factual Wrongful Conviction Rate, </t>
        </r>
        <r>
          <rPr>
            <i/>
            <sz val="9"/>
            <color indexed="81"/>
            <rFont val="Tahoma"/>
            <family val="2"/>
          </rPr>
          <t>J. Crim. L. &amp; Criminology 97</t>
        </r>
        <r>
          <rPr>
            <sz val="9"/>
            <color indexed="81"/>
            <rFont val="Tahoma"/>
            <family val="2"/>
          </rPr>
          <t>:761.
| nonjudicial academic | def. legal exoneration | method: matched samples</t>
        </r>
      </text>
    </comment>
    <comment ref="B1200" authorId="0" shapeId="0" xr:uid="{7D9979CD-821A-4B1F-B657-526B8F316670}">
      <text>
        <r>
          <rPr>
            <sz val="9"/>
            <color indexed="81"/>
            <rFont val="Tahoma"/>
            <family val="2"/>
          </rPr>
          <t xml:space="preserve">Samuel R. Gross, Barbara O’Brien, Chen Hu, and Edward H. Kennedy (2014). Rate of False Conviction of Criminal Defendants Who are Sentenced to Death. </t>
        </r>
        <r>
          <rPr>
            <i/>
            <sz val="9"/>
            <color indexed="81"/>
            <rFont val="Tahoma"/>
            <family val="2"/>
          </rPr>
          <t>Proceedings of the National Academy of Science, 111</t>
        </r>
        <r>
          <rPr>
            <sz val="9"/>
            <color indexed="81"/>
            <rFont val="Tahoma"/>
            <family val="2"/>
          </rPr>
          <t>:2, 7230-7235.
| nonjudicial academic | def. legal exoneration | method: matched samples</t>
        </r>
      </text>
    </comment>
    <comment ref="B1203" authorId="0" shapeId="0" xr:uid="{85F5888A-8261-4DB0-ABCB-E3ED4C67985F}">
      <text>
        <r>
          <rPr>
            <sz val="9"/>
            <color indexed="81"/>
            <rFont val="Tahoma"/>
            <family val="2"/>
          </rPr>
          <t>John Roman, Kelly Walsh, Pamela Lachman, and Jennifer Yahner (2012). Post-Conviction DNA Testing and Wrongful Conviction. Urban Institute.
| nonjudicial academic | def. "actual innocence" | method: matched samples</t>
        </r>
      </text>
    </comment>
    <comment ref="B1206" authorId="0" shapeId="0" xr:uid="{6F8B5C26-C190-49A9-BD23-5BF50B8E8193}">
      <text>
        <r>
          <rPr>
            <sz val="9"/>
            <color indexed="81"/>
            <rFont val="Tahoma"/>
            <family val="2"/>
          </rPr>
          <t xml:space="preserve">Loeffler, C.E., Hyatt, J. &amp; Ridgeway, G. (2019). Measuring Self-Reported Wrongful Convictions Among Prisoners. </t>
        </r>
        <r>
          <rPr>
            <i/>
            <sz val="9"/>
            <color indexed="81"/>
            <rFont val="Tahoma"/>
            <family val="2"/>
          </rPr>
          <t>J Quant Criminol 35</t>
        </r>
        <r>
          <rPr>
            <sz val="9"/>
            <color indexed="81"/>
            <rFont val="Tahoma"/>
            <family val="2"/>
          </rPr>
          <t>, 259–286.
| nonjudicial academic | def. "actual innocence" | method: self-reporting</t>
        </r>
      </text>
    </comment>
    <comment ref="B1209" authorId="0" shapeId="0" xr:uid="{EF4FC085-437C-4DB0-B1C2-3DECFFE3C624}">
      <text>
        <r>
          <rPr>
            <sz val="9"/>
            <color indexed="81"/>
            <rFont val="Tahoma"/>
            <family val="2"/>
          </rPr>
          <t>Walsh, K., Hussemann, J., Flynn, A., Yahner, J., Golian, L. (2017). Estimating the Prevalence of Wrongful Conviction. Office of Justice Programs’ National Criminal Justice Reference Service.
| nonjudicial official | def. "actual innocence" | method: matched samples</t>
        </r>
      </text>
    </comment>
    <comment ref="B1212" authorId="0" shapeId="0" xr:uid="{BB8ECB19-9F49-45E3-8F8A-7B8DCF46BB21}">
      <text>
        <r>
          <rPr>
            <sz val="9"/>
            <color indexed="81"/>
            <rFont val="Tahoma"/>
            <family val="2"/>
          </rPr>
          <t xml:space="preserve">Poveda, T.G. (2001). Estimating Wrongful Convictions. </t>
        </r>
        <r>
          <rPr>
            <i/>
            <sz val="9"/>
            <color indexed="81"/>
            <rFont val="Tahoma"/>
            <family val="2"/>
          </rPr>
          <t>Justice Quarterly, 18</t>
        </r>
        <r>
          <rPr>
            <sz val="9"/>
            <color indexed="81"/>
            <rFont val="Tahoma"/>
            <family val="2"/>
          </rPr>
          <t>:3, 689-708.
| nonjudicial academic | def. "actual innocence" | method: self-reporting</t>
        </r>
      </text>
    </comment>
    <comment ref="F1754" authorId="0" shapeId="0" xr:uid="{4430F9A7-6003-4DFE-8AF3-CE983D81BE77}">
      <text>
        <r>
          <rPr>
            <b/>
            <sz val="18"/>
            <color indexed="17"/>
            <rFont val="Tahoma"/>
            <family val="2"/>
          </rPr>
          <t>Terms of use</t>
        </r>
        <r>
          <rPr>
            <sz val="9"/>
            <color indexed="81"/>
            <rFont val="Tahoma"/>
            <family val="2"/>
          </rPr>
          <t xml:space="preserve">
</t>
        </r>
        <r>
          <rPr>
            <sz val="11"/>
            <color indexed="81"/>
            <rFont val="Tahoma"/>
            <family val="2"/>
          </rPr>
          <t xml:space="preserve">You agree to share this profile of yours with </t>
        </r>
        <r>
          <rPr>
            <b/>
            <sz val="11"/>
            <color indexed="81"/>
            <rFont val="Tahoma"/>
            <family val="2"/>
          </rPr>
          <t>Value Relating</t>
        </r>
        <r>
          <rPr>
            <sz val="11"/>
            <color indexed="81"/>
            <rFont val="Tahoma"/>
            <family val="2"/>
          </rPr>
          <t xml:space="preserve"> for the exclusive purpose of serving your needs, and for any other purpose you agree to prior to Value Relating using it. 
Your support team initially consists of your proxy, or key supporter, and a primary support provider (PSP) from Value Relating. You build your support as you invite supporters to help cover the costs of this service to you and can provide you with essential emotional supports. 
As your team grows, Value Relating adds a secondary support provider (SSP) to help with the growing work load (logistics, answering questions, keeping records up to date). This SSP could eventually move up to the PSP position. 
</t>
        </r>
        <r>
          <rPr>
            <b/>
            <sz val="12"/>
            <color indexed="81"/>
            <rFont val="Tahoma"/>
            <family val="2"/>
          </rPr>
          <t>Option 1</t>
        </r>
        <r>
          <rPr>
            <sz val="11"/>
            <color indexed="81"/>
            <rFont val="Tahoma"/>
            <family val="2"/>
          </rPr>
          <t xml:space="preserve">
You agree to the above terms and you 
</t>
        </r>
      </text>
    </comment>
    <comment ref="C1848" authorId="0" shapeId="0" xr:uid="{A0897950-0C4B-4257-A3AF-FEF1B234B2AA}">
      <text>
        <r>
          <rPr>
            <b/>
            <sz val="7"/>
            <color indexed="81"/>
            <rFont val="Tahoma"/>
            <family val="2"/>
          </rPr>
          <t xml:space="preserve">AUDIO: </t>
        </r>
        <r>
          <rPr>
            <sz val="7"/>
            <color indexed="81"/>
            <rFont val="Tahoma"/>
            <family val="2"/>
          </rPr>
          <t>Text is read by text-to-speech software, which now sounds much more human.</t>
        </r>
      </text>
    </comment>
    <comment ref="E1848" authorId="0" shapeId="0" xr:uid="{5E19355D-4352-434F-8A04-86CFA09570E9}">
      <text>
        <r>
          <rPr>
            <b/>
            <sz val="7"/>
            <color indexed="81"/>
            <rFont val="Tahoma"/>
            <family val="2"/>
          </rPr>
          <t xml:space="preserve">VIDEO: </t>
        </r>
        <r>
          <rPr>
            <sz val="7"/>
            <color indexed="81"/>
            <rFont val="Tahoma"/>
            <family val="2"/>
          </rPr>
          <t>We use stock images and text, and you provide an image of the cliamant.</t>
        </r>
      </text>
    </comment>
    <comment ref="B2346" authorId="0" shapeId="0" xr:uid="{8E2A21B0-4FCD-4FDF-9BFC-E4CD47010AB9}">
      <text>
        <r>
          <rPr>
            <b/>
            <sz val="11"/>
            <color indexed="81"/>
            <rFont val="Tahoma"/>
            <family val="2"/>
          </rPr>
          <t xml:space="preserve">DEFUNCTION: </t>
        </r>
        <r>
          <rPr>
            <sz val="10"/>
            <color indexed="81"/>
            <rFont val="Tahoma"/>
            <family val="2"/>
          </rPr>
          <t>The lowering of what you can do as a result of unresolved needs.</t>
        </r>
      </text>
    </comment>
    <comment ref="B2351" authorId="0" shapeId="0" xr:uid="{7BA5B3F9-760C-48C4-BE2B-622ABE2B5786}">
      <text>
        <r>
          <rPr>
            <b/>
            <sz val="11"/>
            <color indexed="81"/>
            <rFont val="Tahoma"/>
            <family val="2"/>
          </rPr>
          <t xml:space="preserve">REFUNCTION: </t>
        </r>
        <r>
          <rPr>
            <sz val="10"/>
            <color indexed="81"/>
            <rFont val="Tahoma"/>
            <family val="2"/>
          </rPr>
          <t>The raising of what you can do as a result of resolving needs.</t>
        </r>
      </text>
    </comment>
    <comment ref="B2373" authorId="0" shapeId="0" xr:uid="{D52AFD4C-9451-4A65-BEA8-55B3D49572D9}">
      <text>
        <r>
          <rPr>
            <b/>
            <sz val="11"/>
            <color indexed="81"/>
            <rFont val="Tahoma"/>
            <family val="2"/>
          </rPr>
          <t>Scientific legitimacy:</t>
        </r>
        <r>
          <rPr>
            <sz val="9"/>
            <color indexed="81"/>
            <rFont val="Tahoma"/>
            <family val="2"/>
          </rPr>
          <t xml:space="preserve">
</t>
        </r>
        <r>
          <rPr>
            <sz val="10"/>
            <color indexed="81"/>
            <rFont val="Tahoma"/>
            <family val="2"/>
          </rPr>
          <t>Legitimacy quality improves the more powerholders remain open to flow of impact data provided as measurable empirical data. The more the powerholder does something, for example, the more the impacted powerless experiences something to their needs.</t>
        </r>
      </text>
    </comment>
    <comment ref="B2375" authorId="0" shapeId="0" xr:uid="{10154B32-F13D-448E-BD5A-A5F152A9B084}">
      <text>
        <r>
          <rPr>
            <b/>
            <sz val="11"/>
            <color indexed="81"/>
            <rFont val="Tahoma"/>
            <family val="2"/>
          </rPr>
          <t>Democratic legitimacy:</t>
        </r>
        <r>
          <rPr>
            <sz val="9"/>
            <color indexed="81"/>
            <rFont val="Tahoma"/>
            <family val="2"/>
          </rPr>
          <t xml:space="preserve">
</t>
        </r>
        <r>
          <rPr>
            <sz val="10"/>
            <color indexed="81"/>
            <rFont val="Tahoma"/>
            <family val="2"/>
          </rPr>
          <t>Legitimacy quality improves the more powerholders remain open to continual input from those they impact, and not limited to court outcomes narrowed by elites.</t>
        </r>
      </text>
    </comment>
    <comment ref="B2377" authorId="0" shapeId="0" xr:uid="{CDE64E60-30ED-43CD-A449-B752DF1C6FB5}">
      <text>
        <r>
          <rPr>
            <b/>
            <sz val="11"/>
            <color indexed="81"/>
            <rFont val="Tahoma"/>
            <family val="2"/>
          </rPr>
          <t>Constitutional legitimacy:</t>
        </r>
        <r>
          <rPr>
            <sz val="9"/>
            <color indexed="81"/>
            <rFont val="Tahoma"/>
            <family val="2"/>
          </rPr>
          <t xml:space="preserve">
</t>
        </r>
        <r>
          <rPr>
            <sz val="10"/>
            <color indexed="81"/>
            <rFont val="Tahoma"/>
            <family val="2"/>
          </rPr>
          <t>Legitimacy quality improves the more powerholders ground their actions on universal principles, and less on culturally relative or self-serving preferences privileged by law or custom.</t>
        </r>
      </text>
    </comment>
    <comment ref="B2379" authorId="0" shapeId="0" xr:uid="{47A2443A-6FAC-43FA-A2C1-0B1CD4C2B7C1}">
      <text>
        <r>
          <rPr>
            <b/>
            <sz val="11"/>
            <color indexed="81"/>
            <rFont val="Tahoma"/>
            <family val="2"/>
          </rPr>
          <t>Inspirational legitimacy:</t>
        </r>
        <r>
          <rPr>
            <sz val="9"/>
            <color indexed="81"/>
            <rFont val="Tahoma"/>
            <family val="2"/>
          </rPr>
          <t xml:space="preserve">
</t>
        </r>
        <r>
          <rPr>
            <sz val="10"/>
            <color indexed="81"/>
            <rFont val="Tahoma"/>
            <family val="2"/>
          </rPr>
          <t>Legitimacy quality improves the more powerholders demonstrate the integrity passed down in various inspirational traditions of scripture and philosophical foundations for vibrant spiritual lives.</t>
        </r>
      </text>
    </comment>
    <comment ref="B2381" authorId="0" shapeId="0" xr:uid="{F4546573-DEB2-49A3-AE00-4F5DF481C570}">
      <text>
        <r>
          <rPr>
            <b/>
            <sz val="11"/>
            <color indexed="81"/>
            <rFont val="Tahoma"/>
            <family val="2"/>
          </rPr>
          <t>Wisdon standard:</t>
        </r>
        <r>
          <rPr>
            <sz val="9"/>
            <color indexed="81"/>
            <rFont val="Tahoma"/>
            <family val="2"/>
          </rPr>
          <t xml:space="preserve">
</t>
        </r>
        <r>
          <rPr>
            <sz val="10"/>
            <color indexed="81"/>
            <rFont val="Tahoma"/>
            <family val="2"/>
          </rPr>
          <t>Legitimacy quality improves the more powerholders demonstrate responsiveness to needs as most appropriate to each situation.</t>
        </r>
      </text>
    </comment>
    <comment ref="B2383" authorId="0" shapeId="0" xr:uid="{41FA48D0-9A6F-4257-9043-F22B2007EF9E}">
      <text>
        <r>
          <rPr>
            <b/>
            <sz val="11"/>
            <color indexed="81"/>
            <rFont val="Tahoma"/>
            <family val="2"/>
          </rPr>
          <t>Love standard:</t>
        </r>
        <r>
          <rPr>
            <sz val="9"/>
            <color indexed="81"/>
            <rFont val="Tahoma"/>
            <family val="2"/>
          </rPr>
          <t xml:space="preserve">
</t>
        </r>
        <r>
          <rPr>
            <sz val="10"/>
            <color indexed="81"/>
            <rFont val="Tahoma"/>
            <family val="2"/>
          </rPr>
          <t>Legitimacy quality improves the more powerholders prioritize the needs of those they impact over their own needs, as long as their needs are not being infringed by anyone. In other words, when powerholder demonstrates they value others as much as they value themselves.</t>
        </r>
      </text>
    </comment>
    <comment ref="B2385" authorId="0" shapeId="0" xr:uid="{3B6649B9-6E04-43CA-A9F4-A87817CE7638}">
      <text>
        <r>
          <rPr>
            <b/>
            <sz val="11"/>
            <color indexed="81"/>
            <rFont val="Tahoma"/>
            <family val="2"/>
          </rPr>
          <t>Accountablity standard:</t>
        </r>
        <r>
          <rPr>
            <sz val="9"/>
            <color indexed="81"/>
            <rFont val="Tahoma"/>
            <family val="2"/>
          </rPr>
          <t xml:space="preserve">
</t>
        </r>
        <r>
          <rPr>
            <sz val="10"/>
            <color indexed="81"/>
            <rFont val="Tahoma"/>
            <family val="2"/>
          </rPr>
          <t xml:space="preserve">Legitimacy quality improves the more powerholders keep themselves openly and freely accountable for their impactful actions. </t>
        </r>
      </text>
    </comment>
    <comment ref="B2387" authorId="0" shapeId="0" xr:uid="{A05B09EA-6843-4C70-B54C-A8747AB9D180}">
      <text>
        <r>
          <rPr>
            <b/>
            <sz val="11"/>
            <color indexed="81"/>
            <rFont val="Tahoma"/>
            <family val="2"/>
          </rPr>
          <t>Supportive standard:</t>
        </r>
        <r>
          <rPr>
            <sz val="9"/>
            <color indexed="81"/>
            <rFont val="Tahoma"/>
            <family val="2"/>
          </rPr>
          <t xml:space="preserve">
</t>
        </r>
        <r>
          <rPr>
            <sz val="10"/>
            <color indexed="81"/>
            <rFont val="Tahoma"/>
            <family val="2"/>
          </rPr>
          <t>Legitimacy quality improves the more powerholders demonstrate a willing and readiness to support those they readily impact.</t>
        </r>
      </text>
    </comment>
    <comment ref="B2389" authorId="0" shapeId="0" xr:uid="{A9F77AAF-4259-4EEC-B03B-100C8CF12EBF}">
      <text>
        <r>
          <rPr>
            <b/>
            <sz val="11"/>
            <color indexed="81"/>
            <rFont val="Tahoma"/>
            <family val="2"/>
          </rPr>
          <t>Responsive standard:</t>
        </r>
        <r>
          <rPr>
            <sz val="9"/>
            <color indexed="81"/>
            <rFont val="Tahoma"/>
            <family val="2"/>
          </rPr>
          <t xml:space="preserve">
L</t>
        </r>
        <r>
          <rPr>
            <sz val="10"/>
            <color indexed="81"/>
            <rFont val="Tahoma"/>
            <family val="2"/>
          </rPr>
          <t>egitimacy quality improves the more powerholders stay responsive to the complaints and requests of those they impact, and never evade responsibility with a dismissive attitude towards others of less advantage.</t>
        </r>
      </text>
    </comment>
    <comment ref="D2454" authorId="1" shapeId="0" xr:uid="{838B66E0-8026-4140-8ED2-39D601A9752B}">
      <text>
        <r>
          <rPr>
            <sz val="9"/>
            <color indexed="81"/>
            <rFont val="Tahoma"/>
            <family val="2"/>
          </rPr>
          <t xml:space="preserve">However, coaching of complainant is not an explicit item in the EIF.
</t>
        </r>
      </text>
    </comment>
    <comment ref="D2461" authorId="1" shapeId="0" xr:uid="{B4401564-F27B-4763-8B36-5C9C2F24BE9F}">
      <text>
        <r>
          <rPr>
            <sz val="9"/>
            <color indexed="81"/>
            <rFont val="Tahoma"/>
            <family val="2"/>
          </rPr>
          <t>However, new science is not an explicit item in the EIF.</t>
        </r>
      </text>
    </comment>
    <comment ref="D2462" authorId="1" shapeId="0" xr:uid="{76B6FAE7-9549-4F84-B378-D4C71BEBC08D}">
      <text>
        <r>
          <rPr>
            <sz val="9"/>
            <color indexed="81"/>
            <rFont val="Tahoma"/>
            <family val="2"/>
          </rPr>
          <t>However, presence of the claimant is not an explicit item in the EIF.</t>
        </r>
      </text>
    </comment>
    <comment ref="D2465" authorId="1" shapeId="0" xr:uid="{677B868B-7611-4F20-9E14-41263749CBDF}">
      <text>
        <r>
          <rPr>
            <sz val="9"/>
            <color indexed="81"/>
            <rFont val="Tahoma"/>
            <family val="2"/>
          </rPr>
          <t>However, impeachment of prosection witness is not an explicit item in the EIF.</t>
        </r>
      </text>
    </comment>
    <comment ref="D2466" authorId="1" shapeId="0" xr:uid="{F47FC2BA-E4CC-45B0-8658-29C55DCCFDC5}">
      <text>
        <r>
          <rPr>
            <sz val="9"/>
            <color indexed="81"/>
            <rFont val="Tahoma"/>
            <family val="2"/>
          </rPr>
          <t>However, incentivizing prosection witness(es) is not an explicit item in the EIF.</t>
        </r>
      </text>
    </comment>
    <comment ref="D2469" authorId="1" shapeId="0" xr:uid="{13E4B9D5-5939-4392-AAAC-C11D9D6064C0}">
      <text>
        <r>
          <rPr>
            <sz val="9"/>
            <color indexed="81"/>
            <rFont val="Tahoma"/>
            <family val="2"/>
          </rPr>
          <t>However, corrorobrating claimant's assertion(s) is not an explicit item in the EIF.</t>
        </r>
      </text>
    </comment>
    <comment ref="AB3291" authorId="0" shapeId="0" xr:uid="{47702E37-EF06-421F-A99D-D21F4CDF66EE}">
      <text>
        <r>
          <rPr>
            <sz val="9"/>
            <color indexed="81"/>
            <rFont val="Tahoma"/>
            <family val="2"/>
          </rPr>
          <t>735 ILCS 5/2-702 (petition for certificate of innocence)
705 ILCS 505/8 (compensation)</t>
        </r>
      </text>
    </comment>
    <comment ref="EB3314" authorId="0" shapeId="0" xr:uid="{6469478C-C1A9-4CE4-800A-78E426EAD3E9}">
      <text>
        <r>
          <rPr>
            <b/>
            <sz val="9"/>
            <color indexed="81"/>
            <rFont val="Tahoma"/>
            <family val="2"/>
          </rPr>
          <t>Jefferson County:</t>
        </r>
        <r>
          <rPr>
            <sz val="9"/>
            <color indexed="81"/>
            <rFont val="Tahoma"/>
            <family val="2"/>
          </rPr>
          <t xml:space="preserve">
Lynneice O. Washington (Bessemer Division) (D)
Danny Carr (Birmingham Division)</t>
        </r>
      </text>
    </comment>
    <comment ref="AB3320" authorId="0" shapeId="0" xr:uid="{4624AE07-FF11-483B-B09B-068B669A10BA}">
      <text>
        <r>
          <rPr>
            <sz val="9"/>
            <color indexed="81"/>
            <rFont val="Tahoma"/>
            <family val="2"/>
          </rPr>
          <t>Tenn. Code Ann. §40-27-109 (exoneration)
Tenn. Code Ann. § 9-8-108 (compensation)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F43" authorId="0" shapeId="0" xr:uid="{36A4406A-726C-4B0D-9BD0-F5E623E81CB7}">
      <text>
        <r>
          <rPr>
            <sz val="9"/>
            <color indexed="81"/>
            <rFont val="Tahoma"/>
            <family val="2"/>
          </rPr>
          <t xml:space="preserve">
</t>
        </r>
      </text>
    </comment>
    <comment ref="F51" authorId="0" shapeId="0" xr:uid="{5748C4F8-87AB-49A2-9192-B4F8561F804F}">
      <text>
        <r>
          <rPr>
            <b/>
            <sz val="9"/>
            <color indexed="81"/>
            <rFont val="Tahoma"/>
            <family val="2"/>
          </rPr>
          <t xml:space="preserve">
</t>
        </r>
        <r>
          <rPr>
            <b/>
            <sz val="14"/>
            <color indexed="81"/>
            <rFont val="Tahoma"/>
            <family val="2"/>
          </rPr>
          <t xml:space="preserve">
</t>
        </r>
        <r>
          <rPr>
            <b/>
            <sz val="14"/>
            <color indexed="22"/>
            <rFont val="Tahoma"/>
            <family val="2"/>
          </rPr>
          <t>DISPLAY PAGES
All information 
gets entered below</t>
        </r>
        <r>
          <rPr>
            <sz val="14"/>
            <color indexed="81"/>
            <rFont val="Tahoma"/>
            <family val="2"/>
          </rPr>
          <t xml:space="preserve">
</t>
        </r>
        <r>
          <rPr>
            <b/>
            <sz val="14"/>
            <color indexed="22"/>
            <rFont val="Tahoma"/>
            <family val="2"/>
          </rPr>
          <t>DISPLAY PAGES
All information gets entered below
This soft text does not print</t>
        </r>
        <r>
          <rPr>
            <sz val="14"/>
            <color indexed="81"/>
            <rFont val="Tahoma"/>
            <family val="2"/>
          </rPr>
          <t xml:space="preserve">
</t>
        </r>
      </text>
    </comment>
    <comment ref="B64" authorId="0" shapeId="0" xr:uid="{9F3DE9CA-6343-4841-AB87-69AD3D0890C1}">
      <text>
        <r>
          <rPr>
            <sz val="12"/>
            <color indexed="9"/>
            <rFont val="Tahoma"/>
            <family val="2"/>
          </rPr>
          <t>Complete Item #67 and this automatically fills in with that text.</t>
        </r>
      </text>
    </comment>
    <comment ref="D330" authorId="0" shapeId="0" xr:uid="{BA87681A-E841-49F7-A344-791F60D29B30}">
      <text>
        <r>
          <rPr>
            <sz val="9"/>
            <color indexed="81"/>
            <rFont val="Tahoma"/>
            <family val="2"/>
          </rPr>
          <t>If for life, leave formula "=TODAY()".</t>
        </r>
      </text>
    </comment>
    <comment ref="B348" authorId="0" shapeId="0" xr:uid="{E4F89473-FC78-4F3D-9C0F-545E1D8E851D}">
      <text>
        <r>
          <rPr>
            <sz val="10"/>
            <color indexed="16"/>
            <rFont val="Tahoma"/>
            <family val="2"/>
          </rPr>
          <t>Before you spill too much here, scan the questions below. Especially in section C. There you receive ample opportunity to demonstrate your overlooked innocence.</t>
        </r>
      </text>
    </comment>
    <comment ref="B753" authorId="0" shapeId="0" xr:uid="{3CBB83E5-3479-430A-97A9-2846280FB8B1}">
      <text>
        <r>
          <rPr>
            <sz val="9"/>
            <color indexed="81"/>
            <rFont val="Tahoma"/>
            <family val="2"/>
          </rPr>
          <t xml:space="preserve">
</t>
        </r>
        <r>
          <rPr>
            <b/>
            <sz val="16"/>
            <color indexed="51"/>
            <rFont val="Tahoma"/>
            <family val="2"/>
          </rPr>
          <t>No Evidence Required</t>
        </r>
        <r>
          <rPr>
            <sz val="9"/>
            <color indexed="81"/>
            <rFont val="Tahoma"/>
            <family val="2"/>
          </rPr>
          <t xml:space="preserve">
</t>
        </r>
      </text>
    </comment>
    <comment ref="C922" authorId="0" shapeId="0" xr:uid="{4603288B-E89C-47EE-8970-5BC5AD85A174}">
      <text>
        <r>
          <rPr>
            <b/>
            <sz val="9"/>
            <color indexed="81"/>
            <rFont val="Tahoma"/>
            <family val="2"/>
          </rPr>
          <t>Tagline:</t>
        </r>
        <r>
          <rPr>
            <sz val="9"/>
            <color indexed="81"/>
            <rFont val="Tahoma"/>
            <family val="2"/>
          </rPr>
          <t xml:space="preserve">
Boil down this whole claim into a single catchy phrase. Why should anyone ready it instead of other claims? See the samples for ideas. Craft it to draw their engaging attention. Pull on their heart strings. Let it draw attention to the injustice suffered, without any tone of blame or victimhood. Inspire viewers to support you, to invest in your innocence, and possibly sponsor your path toward exoneration. This </t>
        </r>
        <r>
          <rPr>
            <b/>
            <sz val="9"/>
            <color indexed="81"/>
            <rFont val="Tahoma"/>
            <family val="2"/>
          </rPr>
          <t>tagline</t>
        </r>
        <r>
          <rPr>
            <sz val="9"/>
            <color indexed="81"/>
            <rFont val="Tahoma"/>
            <family val="2"/>
          </rPr>
          <t xml:space="preserve"> will typically be the first thing viewers see about your innocence claim.</t>
        </r>
      </text>
    </comment>
    <comment ref="D944" authorId="0" shapeId="0" xr:uid="{3F033C17-4496-4A87-A3C1-A788E8FF172D}">
      <text>
        <r>
          <rPr>
            <b/>
            <sz val="12"/>
            <color indexed="17"/>
            <rFont val="Tahoma"/>
            <family val="2"/>
          </rPr>
          <t>Done! Almost.</t>
        </r>
        <r>
          <rPr>
            <sz val="10"/>
            <color indexed="81"/>
            <rFont val="Times New Roman"/>
            <family val="1"/>
          </rPr>
          <t xml:space="preserve">
Before you go any further, now is a good time to return to the top and review each page. Check for any spelling errors, or missing fields, or where you can improve the wording. After making any final edits, save this document once more.</t>
        </r>
      </text>
    </comment>
    <comment ref="C1129" authorId="0" shapeId="0" xr:uid="{5D43B33F-A648-48FA-ADDA-2A33345D6150}">
      <text>
        <r>
          <rPr>
            <b/>
            <sz val="9"/>
            <color indexed="81"/>
            <rFont val="Tahoma"/>
            <family val="2"/>
          </rPr>
          <t xml:space="preserve">change as needed. </t>
        </r>
        <r>
          <rPr>
            <sz val="9"/>
            <color indexed="81"/>
            <rFont val="Tahoma"/>
            <family val="2"/>
          </rPr>
          <t>Select how many years incarcerated from the dropdown menu.</t>
        </r>
      </text>
    </comment>
    <comment ref="D1129" authorId="0" shapeId="0" xr:uid="{1325963E-2ABE-4329-859B-579F233A35A6}">
      <text>
        <r>
          <rPr>
            <b/>
            <sz val="9"/>
            <color indexed="81"/>
            <rFont val="Tahoma"/>
            <family val="2"/>
          </rPr>
          <t xml:space="preserve">Change as needed. </t>
        </r>
        <r>
          <rPr>
            <sz val="9"/>
            <color indexed="81"/>
            <rFont val="Tahoma"/>
            <family val="2"/>
          </rPr>
          <t>Select a state to see its compensation statute, if it has one, and how it could affect you.</t>
        </r>
      </text>
    </comment>
    <comment ref="B1179" authorId="0" shapeId="0" xr:uid="{F9222B49-1892-426D-A2E4-DB4CE8825331}">
      <text>
        <r>
          <rPr>
            <sz val="9"/>
            <color indexed="81"/>
            <rFont val="Tahoma"/>
            <family val="2"/>
          </rPr>
          <t xml:space="preserve">Hoffman, Morris B. (2007). The Myth of Factual Innocence. </t>
        </r>
        <r>
          <rPr>
            <i/>
            <sz val="9"/>
            <color indexed="81"/>
            <rFont val="Tahoma"/>
            <family val="2"/>
          </rPr>
          <t>82 Chi.-Kent L. Rev.</t>
        </r>
        <r>
          <rPr>
            <sz val="9"/>
            <color indexed="81"/>
            <rFont val="Tahoma"/>
            <family val="2"/>
          </rPr>
          <t xml:space="preserve"> 663. 
| judicial official | def. "actual innocence" | method: qualitative</t>
        </r>
      </text>
    </comment>
    <comment ref="B1182" authorId="0" shapeId="0" xr:uid="{95E1B90B-BA99-4B64-9902-48CF25B609A4}">
      <text>
        <r>
          <rPr>
            <sz val="9"/>
            <color indexed="81"/>
            <rFont val="Tahoma"/>
            <family val="2"/>
          </rPr>
          <t xml:space="preserve">Cassell, Paul G. (2018). Overstating America’s Wrongful Conviction Rate? Reassessing the Conventional Wisdom About the Prevalence of Wrongful Convictions. </t>
        </r>
        <r>
          <rPr>
            <i/>
            <sz val="9"/>
            <color indexed="81"/>
            <rFont val="Tahoma"/>
            <family val="2"/>
          </rPr>
          <t>Arizona Law Review, 60</t>
        </r>
        <r>
          <rPr>
            <sz val="9"/>
            <color indexed="81"/>
            <rFont val="Tahoma"/>
            <family val="2"/>
          </rPr>
          <t>:815.
| judicial official | def. "actual innocence" | method: qualitative</t>
        </r>
      </text>
    </comment>
    <comment ref="B1185" authorId="0" shapeId="0" xr:uid="{107B8501-FF7C-4636-AE35-84D267E4E5F8}">
      <text>
        <r>
          <rPr>
            <i/>
            <sz val="9"/>
            <color indexed="81"/>
            <rFont val="Tahoma"/>
            <family val="2"/>
          </rPr>
          <t>Kansas v. Marsh</t>
        </r>
        <r>
          <rPr>
            <sz val="9"/>
            <color indexed="81"/>
            <rFont val="Tahoma"/>
            <family val="2"/>
          </rPr>
          <t xml:space="preserve"> (2006). U.S. Supreme Court Justice Antonin Scalia, </t>
        </r>
        <r>
          <rPr>
            <sz val="9"/>
            <color indexed="55"/>
            <rFont val="Tahoma"/>
            <family val="2"/>
          </rPr>
          <t>quoting Joshua Marquis in U.S. Supreme Court opinion:</t>
        </r>
        <r>
          <rPr>
            <sz val="9"/>
            <color indexed="81"/>
            <rFont val="Tahoma"/>
            <family val="2"/>
          </rPr>
          <t xml:space="preserve"> Marquis, Joshua. (2005). The Myth of Innocence, </t>
        </r>
        <r>
          <rPr>
            <i/>
            <sz val="9"/>
            <color indexed="81"/>
            <rFont val="Tahoma"/>
            <family val="2"/>
          </rPr>
          <t>95 J. Crim. L. &amp; Criminolog</t>
        </r>
        <r>
          <rPr>
            <sz val="9"/>
            <color indexed="81"/>
            <rFont val="Tahoma"/>
            <family val="2"/>
          </rPr>
          <t>y 501.
| judicial official | def. "actual innocence" | method: quote opinion piece</t>
        </r>
      </text>
    </comment>
    <comment ref="B1188" authorId="0" shapeId="0" xr:uid="{4FD511A3-C016-4F3A-9DC8-773F31A35937}">
      <text>
        <r>
          <rPr>
            <sz val="9"/>
            <color indexed="81"/>
            <rFont val="Tahoma"/>
            <family val="2"/>
          </rPr>
          <t xml:space="preserve">Zalman, Marvin (2012). Qualitatively Estimating the Incidence of Wrongful Convictions. </t>
        </r>
        <r>
          <rPr>
            <i/>
            <sz val="9"/>
            <color indexed="81"/>
            <rFont val="Tahoma"/>
            <family val="2"/>
          </rPr>
          <t>Criminal Law Bulletin, 48</t>
        </r>
        <r>
          <rPr>
            <sz val="9"/>
            <color indexed="81"/>
            <rFont val="Tahoma"/>
            <family val="2"/>
          </rPr>
          <t>:2, 219-279. 
| nonjudicial academic | def. "actual innocence" | method: qualitative</t>
        </r>
      </text>
    </comment>
    <comment ref="B1191" authorId="0" shapeId="0" xr:uid="{F3031EC3-E54E-4A81-BC3C-A969F3BCB81A}">
      <text>
        <r>
          <rPr>
            <sz val="9"/>
            <color indexed="81"/>
            <rFont val="Tahoma"/>
            <family val="2"/>
          </rPr>
          <t xml:space="preserve">Ramsey, Robert H. and Frank, James (2007). Wrongful Conviction: Perceptions of Criminal Justice Professionals Regarding the Frequency of Wrongful Conviction and the Extent of System Errors. </t>
        </r>
        <r>
          <rPr>
            <i/>
            <sz val="9"/>
            <color indexed="81"/>
            <rFont val="Tahoma"/>
            <family val="2"/>
          </rPr>
          <t>Crime &amp; Delinq, 53</t>
        </r>
        <r>
          <rPr>
            <sz val="9"/>
            <color indexed="81"/>
            <rFont val="Tahoma"/>
            <family val="2"/>
          </rPr>
          <t>:3, 436-470.
| nonjudicial academic | def. "actual innocence" | method: self-reporting</t>
        </r>
      </text>
    </comment>
    <comment ref="B1194" authorId="0" shapeId="0" xr:uid="{0529BDE4-A8CC-44ED-B562-DFE3835B51B5}">
      <text>
        <r>
          <rPr>
            <sz val="9"/>
            <color indexed="81"/>
            <rFont val="Tahoma"/>
            <family val="2"/>
          </rPr>
          <t xml:space="preserve">Gross, Samuel R. (2008). “Frequency and Predictors of False Conviction: Why We Know So Little, and New Data on Capital Cases.” B. O’Brien, co-author. J. </t>
        </r>
        <r>
          <rPr>
            <i/>
            <sz val="9"/>
            <color indexed="81"/>
            <rFont val="Tahoma"/>
            <family val="2"/>
          </rPr>
          <t>Empirical Legal Stud. 5</t>
        </r>
        <r>
          <rPr>
            <sz val="9"/>
            <color indexed="81"/>
            <rFont val="Tahoma"/>
            <family val="2"/>
          </rPr>
          <t>, no. 4: 927-6.
| nonjudicial academic | def. legal exoneration | method: matched samples</t>
        </r>
      </text>
    </comment>
    <comment ref="B1197" authorId="0" shapeId="0" xr:uid="{2499A648-8AA1-437C-8241-4FAD00637DCF}">
      <text>
        <r>
          <rPr>
            <sz val="9"/>
            <color indexed="81"/>
            <rFont val="Tahoma"/>
            <family val="2"/>
          </rPr>
          <t xml:space="preserve">Risinger, D. Michael (2007). Innocents Convicted: An Empirical Justified Factual Wrongful Conviction Rate, </t>
        </r>
        <r>
          <rPr>
            <i/>
            <sz val="9"/>
            <color indexed="81"/>
            <rFont val="Tahoma"/>
            <family val="2"/>
          </rPr>
          <t>J. Crim. L. &amp; Criminology 97</t>
        </r>
        <r>
          <rPr>
            <sz val="9"/>
            <color indexed="81"/>
            <rFont val="Tahoma"/>
            <family val="2"/>
          </rPr>
          <t>:761.
| nonjudicial academic | def. legal exoneration | method: matched samples</t>
        </r>
      </text>
    </comment>
    <comment ref="B1200" authorId="0" shapeId="0" xr:uid="{1E16B4D9-F7C0-4926-8C53-BE78DA0526B9}">
      <text>
        <r>
          <rPr>
            <sz val="9"/>
            <color indexed="81"/>
            <rFont val="Tahoma"/>
            <family val="2"/>
          </rPr>
          <t xml:space="preserve">Samuel R. Gross, Barbara O’Brien, Chen Hu, and Edward H. Kennedy (2014). Rate of False Conviction of Criminal Defendants Who are Sentenced to Death. </t>
        </r>
        <r>
          <rPr>
            <i/>
            <sz val="9"/>
            <color indexed="81"/>
            <rFont val="Tahoma"/>
            <family val="2"/>
          </rPr>
          <t>Proceedings of the National Academy of Science, 111</t>
        </r>
        <r>
          <rPr>
            <sz val="9"/>
            <color indexed="81"/>
            <rFont val="Tahoma"/>
            <family val="2"/>
          </rPr>
          <t>:2, 7230-7235.
| nonjudicial academic | def. legal exoneration | method: matched samples</t>
        </r>
      </text>
    </comment>
    <comment ref="B1203" authorId="0" shapeId="0" xr:uid="{0920F50E-2D08-4465-AEBE-ABCE70CEC9CD}">
      <text>
        <r>
          <rPr>
            <sz val="9"/>
            <color indexed="81"/>
            <rFont val="Tahoma"/>
            <family val="2"/>
          </rPr>
          <t>John Roman, Kelly Walsh, Pamela Lachman, and Jennifer Yahner (2012). Post-Conviction DNA Testing and Wrongful Conviction. Urban Institute.
| nonjudicial academic | def. "actual innocence" | method: matched samples</t>
        </r>
      </text>
    </comment>
    <comment ref="B1206" authorId="0" shapeId="0" xr:uid="{96A06F5B-0056-43AD-A1AF-D70A47FF7663}">
      <text>
        <r>
          <rPr>
            <sz val="9"/>
            <color indexed="81"/>
            <rFont val="Tahoma"/>
            <family val="2"/>
          </rPr>
          <t xml:space="preserve">Loeffler, C.E., Hyatt, J. &amp; Ridgeway, G. (2019). Measuring Self-Reported Wrongful Convictions Among Prisoners. </t>
        </r>
        <r>
          <rPr>
            <i/>
            <sz val="9"/>
            <color indexed="81"/>
            <rFont val="Tahoma"/>
            <family val="2"/>
          </rPr>
          <t>J Quant Criminol 35</t>
        </r>
        <r>
          <rPr>
            <sz val="9"/>
            <color indexed="81"/>
            <rFont val="Tahoma"/>
            <family val="2"/>
          </rPr>
          <t>, 259–286.
| nonjudicial academic | def. "actual innocence" | method: self-reporting</t>
        </r>
      </text>
    </comment>
    <comment ref="B1209" authorId="0" shapeId="0" xr:uid="{F239778D-FB90-4CA5-8461-B56A2E76BAF5}">
      <text>
        <r>
          <rPr>
            <sz val="9"/>
            <color indexed="81"/>
            <rFont val="Tahoma"/>
            <family val="2"/>
          </rPr>
          <t>Walsh, K., Hussemann, J., Flynn, A., Yahner, J., Golian, L. (2017). Estimating the Prevalence of Wrongful Conviction. Office of Justice Programs’ National Criminal Justice Reference Service.
| nonjudicial official | def. "actual innocence" | method: matched samples</t>
        </r>
      </text>
    </comment>
    <comment ref="B1212" authorId="0" shapeId="0" xr:uid="{94A2E051-EF06-477C-8B1E-C999B181BE07}">
      <text>
        <r>
          <rPr>
            <sz val="9"/>
            <color indexed="81"/>
            <rFont val="Tahoma"/>
            <family val="2"/>
          </rPr>
          <t xml:space="preserve">Poveda, T.G. (2001). Estimating Wrongful Convictions. </t>
        </r>
        <r>
          <rPr>
            <i/>
            <sz val="9"/>
            <color indexed="81"/>
            <rFont val="Tahoma"/>
            <family val="2"/>
          </rPr>
          <t>Justice Quarterly, 18</t>
        </r>
        <r>
          <rPr>
            <sz val="9"/>
            <color indexed="81"/>
            <rFont val="Tahoma"/>
            <family val="2"/>
          </rPr>
          <t>:3, 689-708.
| nonjudicial academic | def. "actual innocence" | method: self-reporting</t>
        </r>
      </text>
    </comment>
    <comment ref="C1848" authorId="0" shapeId="0" xr:uid="{02F08995-80BF-4FCB-B61F-191E310AC23A}">
      <text>
        <r>
          <rPr>
            <b/>
            <sz val="7"/>
            <color indexed="81"/>
            <rFont val="Tahoma"/>
            <family val="2"/>
          </rPr>
          <t xml:space="preserve">AUDIO: </t>
        </r>
        <r>
          <rPr>
            <sz val="7"/>
            <color indexed="81"/>
            <rFont val="Tahoma"/>
            <family val="2"/>
          </rPr>
          <t>Text is read by text-to-speech software, which now sounds much more human.</t>
        </r>
      </text>
    </comment>
    <comment ref="E1848" authorId="0" shapeId="0" xr:uid="{5BE323EC-2BEB-4E53-BC8C-CC3E06D37CE4}">
      <text>
        <r>
          <rPr>
            <b/>
            <sz val="7"/>
            <color indexed="81"/>
            <rFont val="Tahoma"/>
            <family val="2"/>
          </rPr>
          <t xml:space="preserve">VIDEO: </t>
        </r>
        <r>
          <rPr>
            <sz val="7"/>
            <color indexed="81"/>
            <rFont val="Tahoma"/>
            <family val="2"/>
          </rPr>
          <t>We use stock images and text, and you provide an image of the cliamant.</t>
        </r>
      </text>
    </comment>
    <comment ref="B2346" authorId="0" shapeId="0" xr:uid="{0E42B9F1-D314-4575-B9EB-2D143505B908}">
      <text>
        <r>
          <rPr>
            <b/>
            <sz val="11"/>
            <color indexed="81"/>
            <rFont val="Tahoma"/>
            <family val="2"/>
          </rPr>
          <t xml:space="preserve">DEFUNCTION: </t>
        </r>
        <r>
          <rPr>
            <sz val="10"/>
            <color indexed="81"/>
            <rFont val="Tahoma"/>
            <family val="2"/>
          </rPr>
          <t>The lowering of what you can do as a result of unresolved needs.</t>
        </r>
      </text>
    </comment>
    <comment ref="B2351" authorId="0" shapeId="0" xr:uid="{3F83B330-16B8-4E02-968A-48B1BD899799}">
      <text>
        <r>
          <rPr>
            <b/>
            <sz val="11"/>
            <color indexed="81"/>
            <rFont val="Tahoma"/>
            <family val="2"/>
          </rPr>
          <t xml:space="preserve">REFUNCTION: </t>
        </r>
        <r>
          <rPr>
            <sz val="10"/>
            <color indexed="81"/>
            <rFont val="Tahoma"/>
            <family val="2"/>
          </rPr>
          <t>The raising of what you can do as a result of resolving needs.</t>
        </r>
      </text>
    </comment>
    <comment ref="B2373" authorId="0" shapeId="0" xr:uid="{A9A0C0A0-3CED-4690-88DC-B5BA51F50F33}">
      <text>
        <r>
          <rPr>
            <b/>
            <sz val="11"/>
            <color indexed="81"/>
            <rFont val="Tahoma"/>
            <family val="2"/>
          </rPr>
          <t>Scientific legitimacy:</t>
        </r>
        <r>
          <rPr>
            <sz val="9"/>
            <color indexed="81"/>
            <rFont val="Tahoma"/>
            <family val="2"/>
          </rPr>
          <t xml:space="preserve">
</t>
        </r>
        <r>
          <rPr>
            <sz val="10"/>
            <color indexed="81"/>
            <rFont val="Tahoma"/>
            <family val="2"/>
          </rPr>
          <t>Legitimacy quality improves the more powerholders remain open to flow of impact data provided as measurable empirical data. The more the powerholder does something, for example, the more the impacted powerless experiences something to their needs.</t>
        </r>
      </text>
    </comment>
    <comment ref="B2375" authorId="0" shapeId="0" xr:uid="{AB935462-08CE-4594-9FA5-83F9B669F3FA}">
      <text>
        <r>
          <rPr>
            <b/>
            <sz val="11"/>
            <color indexed="81"/>
            <rFont val="Tahoma"/>
            <family val="2"/>
          </rPr>
          <t>Democratic legitimacy:</t>
        </r>
        <r>
          <rPr>
            <sz val="9"/>
            <color indexed="81"/>
            <rFont val="Tahoma"/>
            <family val="2"/>
          </rPr>
          <t xml:space="preserve">
</t>
        </r>
        <r>
          <rPr>
            <sz val="10"/>
            <color indexed="81"/>
            <rFont val="Tahoma"/>
            <family val="2"/>
          </rPr>
          <t>Legitimacy quality improves the more powerholders remain open to continual input from those they impact, and not limited to court outcomes narrowed by elites.</t>
        </r>
      </text>
    </comment>
    <comment ref="B2377" authorId="0" shapeId="0" xr:uid="{175EED65-8E1F-442E-873E-2F73F3E5361C}">
      <text>
        <r>
          <rPr>
            <b/>
            <sz val="11"/>
            <color indexed="81"/>
            <rFont val="Tahoma"/>
            <family val="2"/>
          </rPr>
          <t>Constitutional legitimacy:</t>
        </r>
        <r>
          <rPr>
            <sz val="9"/>
            <color indexed="81"/>
            <rFont val="Tahoma"/>
            <family val="2"/>
          </rPr>
          <t xml:space="preserve">
</t>
        </r>
        <r>
          <rPr>
            <sz val="10"/>
            <color indexed="81"/>
            <rFont val="Tahoma"/>
            <family val="2"/>
          </rPr>
          <t>Legitimacy quality improves the more powerholders ground their actions on universal principles, and less on culturally relative or self-serving preferences privileged by law or custom.</t>
        </r>
      </text>
    </comment>
    <comment ref="B2379" authorId="0" shapeId="0" xr:uid="{C062DF9C-EB0E-4273-BC00-19F74D75799C}">
      <text>
        <r>
          <rPr>
            <b/>
            <sz val="11"/>
            <color indexed="81"/>
            <rFont val="Tahoma"/>
            <family val="2"/>
          </rPr>
          <t>Inspirational legitimacy:</t>
        </r>
        <r>
          <rPr>
            <sz val="9"/>
            <color indexed="81"/>
            <rFont val="Tahoma"/>
            <family val="2"/>
          </rPr>
          <t xml:space="preserve">
</t>
        </r>
        <r>
          <rPr>
            <sz val="10"/>
            <color indexed="81"/>
            <rFont val="Tahoma"/>
            <family val="2"/>
          </rPr>
          <t>Legitimacy quality improves the more powerholders demonstrate the integrity passed down in various inspirational traditions of scripture and philosophical foundations for vibrant spiritual lives.</t>
        </r>
      </text>
    </comment>
    <comment ref="B2381" authorId="0" shapeId="0" xr:uid="{BA72810C-4961-4BE2-94D5-2D7AC865F0FA}">
      <text>
        <r>
          <rPr>
            <b/>
            <sz val="11"/>
            <color indexed="81"/>
            <rFont val="Tahoma"/>
            <family val="2"/>
          </rPr>
          <t>Wisdon standard:</t>
        </r>
        <r>
          <rPr>
            <sz val="9"/>
            <color indexed="81"/>
            <rFont val="Tahoma"/>
            <family val="2"/>
          </rPr>
          <t xml:space="preserve">
</t>
        </r>
        <r>
          <rPr>
            <sz val="10"/>
            <color indexed="81"/>
            <rFont val="Tahoma"/>
            <family val="2"/>
          </rPr>
          <t>Legitimacy quality improves the more powerholders demonstrate responsiveness to needs as most appropriate to each situation.</t>
        </r>
      </text>
    </comment>
    <comment ref="B2383" authorId="0" shapeId="0" xr:uid="{FF25A23F-31ED-4D3D-896D-8234537C2D4C}">
      <text>
        <r>
          <rPr>
            <b/>
            <sz val="11"/>
            <color indexed="81"/>
            <rFont val="Tahoma"/>
            <family val="2"/>
          </rPr>
          <t>Love standard:</t>
        </r>
        <r>
          <rPr>
            <sz val="9"/>
            <color indexed="81"/>
            <rFont val="Tahoma"/>
            <family val="2"/>
          </rPr>
          <t xml:space="preserve">
</t>
        </r>
        <r>
          <rPr>
            <sz val="10"/>
            <color indexed="81"/>
            <rFont val="Tahoma"/>
            <family val="2"/>
          </rPr>
          <t>Legitimacy quality improves the more powerholders prioritize the needs of those they impact over their own needs, as long as their needs are not being infringed by anyone. In other words, when powerholder demonstrates they value others as much as they value themselves.</t>
        </r>
      </text>
    </comment>
    <comment ref="B2385" authorId="0" shapeId="0" xr:uid="{6296FC13-8992-42AC-A2C0-B7DD0EC61AF6}">
      <text>
        <r>
          <rPr>
            <b/>
            <sz val="11"/>
            <color indexed="81"/>
            <rFont val="Tahoma"/>
            <family val="2"/>
          </rPr>
          <t>Accountablity standard:</t>
        </r>
        <r>
          <rPr>
            <sz val="9"/>
            <color indexed="81"/>
            <rFont val="Tahoma"/>
            <family val="2"/>
          </rPr>
          <t xml:space="preserve">
</t>
        </r>
        <r>
          <rPr>
            <sz val="10"/>
            <color indexed="81"/>
            <rFont val="Tahoma"/>
            <family val="2"/>
          </rPr>
          <t xml:space="preserve">Legitimacy quality improves the more powerholders keep themselves openly and freely accountable for their impactful actions. </t>
        </r>
      </text>
    </comment>
    <comment ref="B2387" authorId="0" shapeId="0" xr:uid="{1F271920-1792-41AF-936C-1A8AD5268993}">
      <text>
        <r>
          <rPr>
            <b/>
            <sz val="11"/>
            <color indexed="81"/>
            <rFont val="Tahoma"/>
            <family val="2"/>
          </rPr>
          <t>Supportive standard:</t>
        </r>
        <r>
          <rPr>
            <sz val="9"/>
            <color indexed="81"/>
            <rFont val="Tahoma"/>
            <family val="2"/>
          </rPr>
          <t xml:space="preserve">
</t>
        </r>
        <r>
          <rPr>
            <sz val="10"/>
            <color indexed="81"/>
            <rFont val="Tahoma"/>
            <family val="2"/>
          </rPr>
          <t>Legitimacy quality improves the more powerholders demonstrate a willing and readiness to support those they readily impact.</t>
        </r>
      </text>
    </comment>
    <comment ref="B2389" authorId="0" shapeId="0" xr:uid="{DCFFA98F-3013-4151-BB0A-22B61576B4AE}">
      <text>
        <r>
          <rPr>
            <b/>
            <sz val="11"/>
            <color indexed="81"/>
            <rFont val="Tahoma"/>
            <family val="2"/>
          </rPr>
          <t>Responsive standard:</t>
        </r>
        <r>
          <rPr>
            <sz val="9"/>
            <color indexed="81"/>
            <rFont val="Tahoma"/>
            <family val="2"/>
          </rPr>
          <t xml:space="preserve">
L</t>
        </r>
        <r>
          <rPr>
            <sz val="10"/>
            <color indexed="81"/>
            <rFont val="Tahoma"/>
            <family val="2"/>
          </rPr>
          <t>egitimacy quality improves the more powerholders stay responsive to the complaints and requests of those they impact, and never evade responsibility with a dismissive attitude towards others of less advantage.</t>
        </r>
      </text>
    </comment>
    <comment ref="AB3294" authorId="0" shapeId="0" xr:uid="{26316DEC-E4D9-438E-8C79-D20FFB722078}">
      <text>
        <r>
          <rPr>
            <sz val="9"/>
            <color indexed="81"/>
            <rFont val="Tahoma"/>
            <family val="2"/>
          </rPr>
          <t>735 ILCS 5/2-702 (petition for certificate of innocence)
705 ILCS 505/8 (compensation)</t>
        </r>
      </text>
    </comment>
    <comment ref="EB3317" authorId="0" shapeId="0" xr:uid="{B0A5A8D3-E359-47E2-A251-5D726E4BE5F3}">
      <text>
        <r>
          <rPr>
            <b/>
            <sz val="9"/>
            <color indexed="81"/>
            <rFont val="Tahoma"/>
            <family val="2"/>
          </rPr>
          <t>Jefferson County:</t>
        </r>
        <r>
          <rPr>
            <sz val="9"/>
            <color indexed="81"/>
            <rFont val="Tahoma"/>
            <family val="2"/>
          </rPr>
          <t xml:space="preserve">
Lynneice O. Washington (Bessemer Division) (D)
Danny Carr (Birmingham Division)</t>
        </r>
      </text>
    </comment>
    <comment ref="AB3323" authorId="0" shapeId="0" xr:uid="{DEAA1E18-BE94-4AE4-B288-AD85F88A0323}">
      <text>
        <r>
          <rPr>
            <sz val="9"/>
            <color indexed="81"/>
            <rFont val="Tahoma"/>
            <family val="2"/>
          </rPr>
          <t>Tenn. Code Ann. §40-27-109 (exoneration)
Tenn. Code Ann. § 9-8-108 (compensation)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B14" authorId="0" shapeId="0" xr:uid="{C5000F9C-12ED-4551-82D1-227B0BB62869}">
      <text>
        <r>
          <rPr>
            <sz val="12"/>
            <color indexed="9"/>
            <rFont val="Tahoma"/>
            <family val="2"/>
          </rPr>
          <t>Complete Item #67 and this automatically fills in with that text.</t>
        </r>
      </text>
    </comment>
  </commentList>
</comments>
</file>

<file path=xl/sharedStrings.xml><?xml version="1.0" encoding="utf-8"?>
<sst xmlns="http://schemas.openxmlformats.org/spreadsheetml/2006/main" count="40787" uniqueCount="5580">
  <si>
    <t xml:space="preserve">weak </t>
  </si>
  <si>
    <t xml:space="preserve">poor </t>
  </si>
  <si>
    <t xml:space="preserve">fair </t>
  </si>
  <si>
    <t xml:space="preserve">good </t>
  </si>
  <si>
    <t xml:space="preserve">strong </t>
  </si>
  <si>
    <t>claim</t>
  </si>
  <si>
    <t>A1360</t>
  </si>
  <si>
    <t>PLACE IMAGE OF CLAIMANT HERE</t>
  </si>
  <si>
    <r>
      <rPr>
        <b/>
        <sz val="28"/>
        <color theme="2"/>
        <rFont val="Tahoma"/>
        <family val="2"/>
      </rPr>
      <t>I</t>
    </r>
    <r>
      <rPr>
        <b/>
        <sz val="28"/>
        <color rgb="FF7030A0"/>
        <rFont val="Tahoma"/>
        <family val="2"/>
      </rPr>
      <t>nnocence Claim</t>
    </r>
  </si>
  <si>
    <t>not yet exonerated</t>
  </si>
  <si>
    <t>SYNOPSIS</t>
  </si>
  <si>
    <t>Enter text below in section F, then SYNOPSIS will automatically display here.</t>
  </si>
  <si>
    <t>FLIPSIDE</t>
  </si>
  <si>
    <t>Enter text below in section F, then FLIPSIDE will automatically display here.</t>
  </si>
  <si>
    <t>SUMMARY</t>
  </si>
  <si>
    <t>Enter text below in section F, then SUMMARY will automatically display here.</t>
  </si>
  <si>
    <t>You can help change a life for the better</t>
  </si>
  <si>
    <t xml:space="preserve">Collateral consequences   </t>
  </si>
  <si>
    <t>Seeking</t>
  </si>
  <si>
    <t>Seeking exoneration, financial support for legal costs, removal of all collateral consequences, compensation, apology</t>
  </si>
  <si>
    <t xml:space="preserve">Impacting other's lives   </t>
  </si>
  <si>
    <t>Notifying</t>
  </si>
  <si>
    <t>Challenging and aspiring</t>
  </si>
  <si>
    <t>Welcoming</t>
  </si>
  <si>
    <t>Suffering discrimination</t>
  </si>
  <si>
    <t>Most states allow employers to check criminal backgrounds stretching far into the past. These records provide no distinction between "reliable evidence-based convictions" and "non-exonerated wrongful convictions"--permitting illicit discrimination.</t>
  </si>
  <si>
    <t>Improving</t>
  </si>
  <si>
    <t xml:space="preserve">Removing threats for improving health   </t>
  </si>
  <si>
    <t xml:space="preserve">You need those you trust to be trustworthy. Right? You need them to make informed decisions about you, so they don’t waste your precious time. Likewise, </t>
  </si>
  <si>
    <t>Take away</t>
  </si>
  <si>
    <t>claimant</t>
  </si>
  <si>
    <t xml:space="preserve"> needs those they trust, like you, to be trustworthy. They need those like you to be better informed in their decisions regarding them. Acknowledging the widespread problem of wrongful convictions is a start. Using this estimate of innocence can help you make better decisions.</t>
  </si>
  <si>
    <r>
      <rPr>
        <b/>
        <sz val="18"/>
        <color theme="1"/>
        <rFont val="Tahoma"/>
        <family val="2"/>
      </rPr>
      <t>C</t>
    </r>
    <r>
      <rPr>
        <sz val="18"/>
        <color theme="1"/>
        <rFont val="Tahoma"/>
        <family val="2"/>
      </rPr>
      <t>ompetitive legitimacy</t>
    </r>
  </si>
  <si>
    <t>Legal process: IP &amp; CIU</t>
  </si>
  <si>
    <t>Need-response: EIF</t>
  </si>
  <si>
    <t>Claims data</t>
  </si>
  <si>
    <t>No transparent compiling or posting of claims data</t>
  </si>
  <si>
    <t>Claims process</t>
  </si>
  <si>
    <t>Relies on opaque legal process with many conflicts of interest</t>
  </si>
  <si>
    <t>Available to public scrutiny to determine for themselves</t>
  </si>
  <si>
    <t>Claimant trauma</t>
  </si>
  <si>
    <t>Risks retraumatizing claimant with adversarial approach</t>
  </si>
  <si>
    <t>Allays risks of retraumatizing with conciliatory approach</t>
  </si>
  <si>
    <t>Claims outcome</t>
  </si>
  <si>
    <t>Adversarial win-lose outcome</t>
  </si>
  <si>
    <t>Conciliatory win-win outcome</t>
  </si>
  <si>
    <t>Claims result</t>
  </si>
  <si>
    <t>Rejects most claims for review largely from lack of resources</t>
  </si>
  <si>
    <t>Posts all claims for public scrutiny and public investment</t>
  </si>
  <si>
    <t>Timeliness</t>
  </si>
  <si>
    <t>Slow, opaque process led by embattled lawyers</t>
  </si>
  <si>
    <t>Instantly available for all to see once posted online</t>
  </si>
  <si>
    <t>Notification to prospect employers, to housing, to debt collectors</t>
  </si>
  <si>
    <t>Standard</t>
  </si>
  <si>
    <t>Accountable to subjectively interpreted law</t>
  </si>
  <si>
    <t>Accountable to objective reality of resolved needs</t>
  </si>
  <si>
    <t>Abolition of PIC, replaced with community-based policing and restorative justice at community level</t>
  </si>
  <si>
    <t>Welcome media interviews, activist support, policy consulting</t>
  </si>
  <si>
    <t>Impact</t>
  </si>
  <si>
    <t>Risks discouraging claimants from ever seeking exoneration again</t>
  </si>
  <si>
    <t>Empowers claimants to go directly to the people with case</t>
  </si>
  <si>
    <r>
      <t>C</t>
    </r>
    <r>
      <rPr>
        <sz val="18"/>
        <color theme="1"/>
        <rFont val="Tahoma"/>
        <family val="2"/>
      </rPr>
      <t>ontents</t>
    </r>
  </si>
  <si>
    <t>A</t>
  </si>
  <si>
    <t>Provide basic information about the case.</t>
  </si>
  <si>
    <t>B</t>
  </si>
  <si>
    <t>Provide independently accessible documents that help support claims of innocence.</t>
  </si>
  <si>
    <t>C.1</t>
  </si>
  <si>
    <t>These 6 items are common among exonerated cases.</t>
  </si>
  <si>
    <t>C.2</t>
  </si>
  <si>
    <t>These 6 items increase likelihood of a wrongful conviction.</t>
  </si>
  <si>
    <t>C.3</t>
  </si>
  <si>
    <t>These 6 items link flawed law enforcement investigations to wrongful convictions.</t>
  </si>
  <si>
    <t>C.4</t>
  </si>
  <si>
    <t>These six items mix with other items to increase likelihood of a wrongful conviction.</t>
  </si>
  <si>
    <t>C.5</t>
  </si>
  <si>
    <t>These 7 items contrast claimant with those of actual guilt.</t>
  </si>
  <si>
    <t>C.6</t>
  </si>
  <si>
    <t>These 7 items independently recognize claimant’s actual innocence.</t>
  </si>
  <si>
    <t>C.7</t>
  </si>
  <si>
    <t>Space to add contributing factors not already covered.</t>
  </si>
  <si>
    <t>C.8</t>
  </si>
  <si>
    <t>Another look at the adversarial judicial process and its tendency toward wrongful convictions.</t>
  </si>
  <si>
    <t>D.</t>
  </si>
  <si>
    <t>Names of those asked for professional legal help.</t>
  </si>
  <si>
    <t>E.</t>
  </si>
  <si>
    <t>Background checks privilege discrimination with these specific items.</t>
  </si>
  <si>
    <t>F.</t>
  </si>
  <si>
    <t xml:space="preserve">In your own words, what happened? </t>
  </si>
  <si>
    <t>G.</t>
  </si>
  <si>
    <t>H.</t>
  </si>
  <si>
    <t xml:space="preserve">Compensation for exonerees, if your state has such a statue. </t>
  </si>
  <si>
    <t>J.</t>
  </si>
  <si>
    <t>L.</t>
  </si>
  <si>
    <t xml:space="preserve">Concluding remarks, terms of service, etc. </t>
  </si>
  <si>
    <t>A.</t>
  </si>
  <si>
    <t>Case information</t>
  </si>
  <si>
    <t xml:space="preserve">Complete as many as you can. You can always come back later with hard-to-find info. </t>
  </si>
  <si>
    <t>Claimant name</t>
  </si>
  <si>
    <t>Steph</t>
  </si>
  <si>
    <t>Turner</t>
  </si>
  <si>
    <t>LAST NAME</t>
  </si>
  <si>
    <t>phone # where can be reached</t>
  </si>
  <si>
    <t>valuerelating@gmail.com</t>
  </si>
  <si>
    <t>gender (from list)</t>
  </si>
  <si>
    <r>
      <t xml:space="preserve">SCOTUS: </t>
    </r>
    <r>
      <rPr>
        <i/>
        <sz val="11"/>
        <color theme="1"/>
        <rFont val="Times New Roman"/>
        <family val="1"/>
      </rPr>
      <t>Lawrence v Texas</t>
    </r>
  </si>
  <si>
    <t>other (explain in box)</t>
  </si>
  <si>
    <t>x</t>
  </si>
  <si>
    <t>race (from list)</t>
  </si>
  <si>
    <t>primary language (from list)</t>
  </si>
  <si>
    <t>primarily white</t>
  </si>
  <si>
    <t>English</t>
  </si>
  <si>
    <t>anything to add to these answers?</t>
  </si>
  <si>
    <t>Proxy name</t>
  </si>
  <si>
    <t>Proxy email addresss</t>
  </si>
  <si>
    <t>relation to claimant (pick from list)</t>
  </si>
  <si>
    <t>how long knowing claimant</t>
  </si>
  <si>
    <t>trusted family member</t>
  </si>
  <si>
    <t>since before conviction</t>
  </si>
  <si>
    <t>Indictment (official accusation)</t>
  </si>
  <si>
    <t>initial charge(s)</t>
  </si>
  <si>
    <t>alleged involvement level</t>
  </si>
  <si>
    <t>actual involvement</t>
  </si>
  <si>
    <t>sexual assault of minor</t>
  </si>
  <si>
    <t>aiding &amp; abetting</t>
  </si>
  <si>
    <t>Plea</t>
  </si>
  <si>
    <t>Did you plead guilty? (If yes, explain why below)</t>
  </si>
  <si>
    <t>no, I pled not guilty</t>
  </si>
  <si>
    <t>never open to any plea deal</t>
  </si>
  <si>
    <t>How long insisting you're completely innocent?</t>
  </si>
  <si>
    <t>always</t>
  </si>
  <si>
    <t>conviction based upon</t>
  </si>
  <si>
    <t>admission of guilt to initial charge</t>
  </si>
  <si>
    <t>Offense date</t>
  </si>
  <si>
    <t>Arrest date</t>
  </si>
  <si>
    <t>Indictment date</t>
  </si>
  <si>
    <t>plea bargain</t>
  </si>
  <si>
    <t>bench trial</t>
  </si>
  <si>
    <t>jury trial</t>
  </si>
  <si>
    <t>Conviction</t>
  </si>
  <si>
    <t>jury retrial after mistrial</t>
  </si>
  <si>
    <t>What is the conviction based upon?</t>
  </si>
  <si>
    <t>Prelim date</t>
  </si>
  <si>
    <t>Verdict date</t>
  </si>
  <si>
    <t>Jury selection date</t>
  </si>
  <si>
    <t>Jurisdiction of conviction</t>
  </si>
  <si>
    <t>State (or fed):</t>
  </si>
  <si>
    <t>City</t>
  </si>
  <si>
    <t>Michigan</t>
  </si>
  <si>
    <t>Kent County</t>
  </si>
  <si>
    <t>Grand Rapids</t>
  </si>
  <si>
    <t>District Court</t>
  </si>
  <si>
    <t>not guilty</t>
  </si>
  <si>
    <t>guilty plea coerced</t>
  </si>
  <si>
    <t>Case docket #</t>
  </si>
  <si>
    <t>Preliminary prosescutor</t>
  </si>
  <si>
    <t>Preliminary judge</t>
  </si>
  <si>
    <t>misunderstood rights</t>
  </si>
  <si>
    <t>Alford plea</t>
  </si>
  <si>
    <t>misunderstood terms</t>
  </si>
  <si>
    <t>Circuit Court</t>
  </si>
  <si>
    <t>Trial judge</t>
  </si>
  <si>
    <t>changed mind</t>
  </si>
  <si>
    <t>Defense counsel</t>
  </si>
  <si>
    <t>Satisfaction level</t>
  </si>
  <si>
    <t>mostly satisfied with representation</t>
  </si>
  <si>
    <t>would hire again with reservation</t>
  </si>
  <si>
    <t>yes</t>
  </si>
  <si>
    <t>partner</t>
  </si>
  <si>
    <t>no</t>
  </si>
  <si>
    <t>not sure</t>
  </si>
  <si>
    <t>family</t>
  </si>
  <si>
    <t>How many codefendants?</t>
  </si>
  <si>
    <t>close friend</t>
  </si>
  <si>
    <t>principal</t>
  </si>
  <si>
    <t>same trial, same jury</t>
  </si>
  <si>
    <t>casual friend</t>
  </si>
  <si>
    <t>same trial, different juries</t>
  </si>
  <si>
    <t>acquaintance</t>
  </si>
  <si>
    <t>guilty as charged</t>
  </si>
  <si>
    <t>separate trial</t>
  </si>
  <si>
    <t>stranger</t>
  </si>
  <si>
    <t>took plea deal</t>
  </si>
  <si>
    <t>guilty of lesser crime</t>
  </si>
  <si>
    <t>If more than six codefendants, add in box below. Add any helpful context.</t>
  </si>
  <si>
    <t>Same trial, separate juries. Codefendent my transgender sibling, whom I'm convinced is also actually innocent since she previously described herself being asexual. Hence, no crime. She is now deceased.</t>
  </si>
  <si>
    <t>Opening arguments:</t>
  </si>
  <si>
    <t>Closing arguments:</t>
  </si>
  <si>
    <t>Sentencing date:</t>
  </si>
  <si>
    <t xml:space="preserve">Start date of sentence: </t>
  </si>
  <si>
    <t>If multiple sentences:</t>
  </si>
  <si>
    <t>concurrent</t>
  </si>
  <si>
    <t>Jury deliberations start:</t>
  </si>
  <si>
    <t>consecutive</t>
  </si>
  <si>
    <t>Jury deliberations end:</t>
  </si>
  <si>
    <t>Date appeal filed:</t>
  </si>
  <si>
    <t>Appeal decision date:</t>
  </si>
  <si>
    <t xml:space="preserve">Appeal decision: </t>
  </si>
  <si>
    <t>affirmed convictions in part, and threw out part</t>
  </si>
  <si>
    <t>Appeal status (e.g., Habeas Corpus)</t>
  </si>
  <si>
    <t xml:space="preserve">Current custody status (still in prison?): </t>
  </si>
  <si>
    <t>out but must register</t>
  </si>
  <si>
    <t>Z725</t>
  </si>
  <si>
    <t>charged again</t>
  </si>
  <si>
    <t>no new charges</t>
  </si>
  <si>
    <t>INCARCERATION</t>
  </si>
  <si>
    <t>Started prison sentence</t>
  </si>
  <si>
    <t>Sentence severity</t>
  </si>
  <si>
    <t>lengthy "trial penalty" sentence</t>
  </si>
  <si>
    <t>How many parole denials for maintaining innocence?</t>
  </si>
  <si>
    <t>Sex offender registry:</t>
  </si>
  <si>
    <t>on registry for life</t>
  </si>
  <si>
    <t>If exonerated, expect to seek compensation?</t>
  </si>
  <si>
    <t>Conviction Integrity Unit?</t>
  </si>
  <si>
    <t>Any CIU?</t>
  </si>
  <si>
    <t>Heard from the CIU near you?</t>
  </si>
  <si>
    <t>Any favorable news from the CIU?</t>
  </si>
  <si>
    <t>not yet</t>
  </si>
  <si>
    <t xml:space="preserve">Affirmed my case merited review, </t>
  </si>
  <si>
    <t>sentenced to probation</t>
  </si>
  <si>
    <t>sentence suspended</t>
  </si>
  <si>
    <t>1st request: only helping those on death row; 2nd request near end of my sentence: only helping those with life sentences; 3rd request in 2014 after getting out of prison but stuck on sex offender registry and homeless: prioritizing help for those still in prison</t>
  </si>
  <si>
    <t>Criminal history</t>
  </si>
  <si>
    <t>Criminal history contributors</t>
  </si>
  <si>
    <t>no prior criminal history or since</t>
  </si>
  <si>
    <t>Any prior or subsequent convictions challenged? If so, explain in box below.</t>
  </si>
  <si>
    <t>Anything unique to your wrongful situation we didn't think to ask?</t>
  </si>
  <si>
    <t>My 3 young daughters never accused me since I never touched them inappropriately. An Olan Mills professional portrait of them was taken in the search warrant as "child pornagraphy".</t>
  </si>
  <si>
    <t xml:space="preserve">What is the worst feature of the case against you (if any) that has at least some merit? How would you account for it, without sounding like you're making excuses?
</t>
  </si>
  <si>
    <t>B.</t>
  </si>
  <si>
    <t>Documentation for verification</t>
  </si>
  <si>
    <t xml:space="preserve">These 14 items improve claim with any documentation to verify claim elements. </t>
  </si>
  <si>
    <t>in estimated</t>
  </si>
  <si>
    <t>Trial transcripts</t>
  </si>
  <si>
    <t>If relevant, can claimant provide a copy of trial transcripts? If yes, select how from list below.</t>
  </si>
  <si>
    <t>low</t>
  </si>
  <si>
    <t>high</t>
  </si>
  <si>
    <t>RI clients</t>
  </si>
  <si>
    <t>AI clients</t>
  </si>
  <si>
    <t>By URL below, searchable text  (best)</t>
  </si>
  <si>
    <t>bid</t>
  </si>
  <si>
    <t>portion</t>
  </si>
  <si>
    <t>https://www.valuerelating.com/documentation</t>
  </si>
  <si>
    <t>Readiness score</t>
  </si>
  <si>
    <t>link works, all item(s) found</t>
  </si>
  <si>
    <t xml:space="preserve"> hours</t>
  </si>
  <si>
    <t>Discovery documents</t>
  </si>
  <si>
    <t xml:space="preserve">Other trial related documents </t>
  </si>
  <si>
    <t>By URL below, image only  (good)</t>
  </si>
  <si>
    <t>Police interrogation</t>
  </si>
  <si>
    <t>If any transcript of any interrogation(s), how accessible?</t>
  </si>
  <si>
    <t>Any new trial motion</t>
  </si>
  <si>
    <t>https://docs.wixstatic.com/ugd/5d10a8_61a75e8b8358462e898a7a4a41cb9a6b.pdf</t>
  </si>
  <si>
    <t>Presentence Investigation Report</t>
  </si>
  <si>
    <t>https://docs.wixstatic.com/ugd/5d10a8_2918f23037b74ed3bd95e1c8aeec4a77.pdf</t>
  </si>
  <si>
    <t>Appellate brief</t>
  </si>
  <si>
    <t>https://docs.wixstatic.com/ugd/5d10a8_c49cc7d8aaa94618945310b43b136760.pdf</t>
  </si>
  <si>
    <t>Appellate opinion</t>
  </si>
  <si>
    <t>https://docs.wixstatic.com/ugd/5d10a8_167f3b812ae54126b666ed99d2dac3e8.pdf</t>
  </si>
  <si>
    <t>Post-appellate remedies sought</t>
  </si>
  <si>
    <t>Professional supporters</t>
  </si>
  <si>
    <t>Other documentation</t>
  </si>
  <si>
    <t>Other supportive material (e.g., alibi affidavit)</t>
  </si>
  <si>
    <t>Prep to-do list</t>
  </si>
  <si>
    <t>You can improve your baseline score by checking off these to-do list items.</t>
  </si>
  <si>
    <t>Contact us if you need any help with this process. Let's see what we can do.</t>
  </si>
  <si>
    <t>not started</t>
  </si>
  <si>
    <t>count page numbers in all identified documents</t>
  </si>
  <si>
    <t>Great! You've just made it easier for independent verifiers to help boost your score.</t>
  </si>
  <si>
    <t>done</t>
  </si>
  <si>
    <t>make sure all URLs work, documents accessible</t>
  </si>
  <si>
    <t>unfinished</t>
  </si>
  <si>
    <t>make sure accessible documents support claims</t>
  </si>
  <si>
    <t>Do you need any support for accessing any documents, or scanning them, or getting them online?</t>
  </si>
  <si>
    <t xml:space="preserve">If so, let's talk. </t>
  </si>
  <si>
    <t>Common factors in wrongful convictions</t>
  </si>
  <si>
    <r>
      <t xml:space="preserve">The </t>
    </r>
    <r>
      <rPr>
        <b/>
        <sz val="12"/>
        <rFont val="Times New Roman"/>
        <family val="1"/>
      </rPr>
      <t>Innocence Project</t>
    </r>
    <r>
      <rPr>
        <sz val="12"/>
        <rFont val="Times New Roman"/>
        <family val="1"/>
      </rPr>
      <t xml:space="preserve"> has identified these six factors as common in wrongful convictions.</t>
    </r>
  </si>
  <si>
    <t>Eyewitness Misidentification</t>
  </si>
  <si>
    <t>accumulation</t>
  </si>
  <si>
    <t>Claimed</t>
  </si>
  <si>
    <t>Verifiable</t>
  </si>
  <si>
    <t>Independent Verification</t>
  </si>
  <si>
    <t>raw</t>
  </si>
  <si>
    <t>adj</t>
  </si>
  <si>
    <t>raw%</t>
  </si>
  <si>
    <t>adj%</t>
  </si>
  <si>
    <t>RAW</t>
  </si>
  <si>
    <t>ADJ</t>
  </si>
  <si>
    <t>no, not a factor</t>
  </si>
  <si>
    <t>False Confessions or Admissions</t>
  </si>
  <si>
    <t>Do you claim you were coerced into admitting guilt for something you now insist you did not do? Were you subjected to the Reid Technique? Were you given the option to take a plea deal to avoid the risk of a much harsher sentence? If yes to any of these, describe below.</t>
  </si>
  <si>
    <t>raw-accum</t>
  </si>
  <si>
    <t>adj-accum</t>
  </si>
  <si>
    <t>Government Misconduct</t>
  </si>
  <si>
    <t>Do you claim law enforcement or judicial officials or any other government employee’s committed fraud or neglect, or any other misconduct that led to your wrongful conviction? For example, was there any indication of a Brady violation? If yes, describe below.</t>
  </si>
  <si>
    <t xml:space="preserve">Prosecution presented a semen sample taken from a “green” or “aqua” blanket, but neither defendant owned a green blanket, suggesting malfeasance. No DNA testing has yet been conducted on this sample. Green blanket never presented at trial.
Per standard at the time, investigators relied on leading questions to coerce complainant to give the kind of prurient account investigators anticipated (confirmation bias).
Found professional Olan Mills portrait of my 3 young daughters to use as proof of child pornography to rationalize unsubstantiated search warrant.
</t>
  </si>
  <si>
    <t>yes, a significant factor</t>
  </si>
  <si>
    <t>Verifiable by the URL I provided</t>
  </si>
  <si>
    <t>Unvalidated or Improper Forensic Science</t>
  </si>
  <si>
    <t xml:space="preserve">Do you claim your wrongful convictions was based, at least in part, on questionable forensic evidence? For example, was the conviction based upon contaminated evidence? Or did a state lab expert provide damaging testimony at trial without presenting the scientific reliability of the findings? If yes to any of these, describe below. </t>
  </si>
  <si>
    <t>Claimed to find semen on green blanket but semen sample never tested to establish a match, nor was any green blanket presented at trial. Significant since neither codefendant nor I owned a green blanket.</t>
  </si>
  <si>
    <t>Jail Informant</t>
  </si>
  <si>
    <t>Do you claim your wrongful conviction resulted, at least in part, to a jail snitch or other informant with an apparent conflict of interest? Do you know if such an informant was given any incentives to testify against you? If yes to any of these, describe below.</t>
  </si>
  <si>
    <t>Inadequate Defense</t>
  </si>
  <si>
    <t>Do you claim your defense attorney failed to provide an adequate defense to the charges? For example, did your court appointed lawyer invest only a minimal amount of time and energy to help you mount a defense? If yes to any of these, describe below.</t>
  </si>
  <si>
    <t>only a remote factor</t>
  </si>
  <si>
    <t>fully verified &amp; established</t>
  </si>
  <si>
    <t>Evidentiary factors</t>
  </si>
  <si>
    <t>These six items increase a likelihood of wrongful conviction</t>
  </si>
  <si>
    <t>Evidence yet to be DNA tested</t>
  </si>
  <si>
    <t>Does claimant know of potentially exculpatory evidence has yet to be DNA tested?</t>
  </si>
  <si>
    <t>Semen sample found on a green or aqua blanket. If this is actually the sky-blue blanket with aqua trim from bedroom, semen could be from a wet dream of Steph and not the sterile semen from principal as prosecutor claimed.</t>
  </si>
  <si>
    <t>Verifiable by information provided upon request</t>
  </si>
  <si>
    <t>Non-DNA evidence yet to be considered</t>
  </si>
  <si>
    <t>Does claimant assert non-biological evidence was overlooked? Or new evidence surfaced?</t>
  </si>
  <si>
    <t>Transphobia in religiously conservative community at the height of the child sex abuse panic of the 80s and early 90s. Role of coached testimony of children. Disparate impact from law allowing convictions without corroborating evidence.</t>
  </si>
  <si>
    <t>Should be verifiable but not sure how</t>
  </si>
  <si>
    <t>Exculpatory evidence exists</t>
  </si>
  <si>
    <t>Does claimant assert exculpatory evidence exists? If so, does claimant assert a Brady violation?</t>
  </si>
  <si>
    <t>Rape kit report made same day indicates reported assault highly unlikely; complainant given pop to drink prior to examining her mouth for alleged presence of semen.</t>
  </si>
  <si>
    <t>Conviction not corroborated by evidence</t>
  </si>
  <si>
    <t xml:space="preserve">Does claimant assert conviction not corroborated by any empirical evidence? </t>
  </si>
  <si>
    <t>According to 1993 law: “No corroborating evidence of an accusation is necessary for a conviction of criminal sexual conduct.”</t>
  </si>
  <si>
    <t>Verifiable by inaccessible documentation</t>
  </si>
  <si>
    <t>Conviction based on irrational theory of guilt</t>
  </si>
  <si>
    <t>Does claimant assert the conviction’s theory of guilt makes little if any sense?</t>
  </si>
  <si>
    <t>Child’s testimony asserts defendants staged Polaroid shot of her stabbing complainant in chest with butter knife and jelly smeared on claimant’s shirt, and if she told police that codefendants would use it to claim she was the perpetrator. No jelly found on shirt. No Polaroid camera found or existed at premise. No picture ever existed. But this testimony formed basis to convict claimant of first degree aiding and abetting criminal sexual conduct.</t>
  </si>
  <si>
    <t>No actual crime</t>
  </si>
  <si>
    <t>Accuser appears to have confabulated the allegations; all the available physical &amp; medical evidence collected within hours of the allegations supports defendants’ claim no crime actually occurred. For example, the rape kit showed no rape trauma, no broken hymen.</t>
  </si>
  <si>
    <t>Investigative factors</t>
  </si>
  <si>
    <r>
      <t xml:space="preserve">These six items cite common police investigations problems, including two by </t>
    </r>
    <r>
      <rPr>
        <b/>
        <sz val="12"/>
        <rFont val="Times New Roman"/>
        <family val="1"/>
      </rPr>
      <t>Judges for Justice</t>
    </r>
    <r>
      <rPr>
        <sz val="12"/>
        <rFont val="Times New Roman"/>
        <family val="1"/>
      </rPr>
      <t>.</t>
    </r>
  </si>
  <si>
    <r>
      <t xml:space="preserve">Law enforcement </t>
    </r>
    <r>
      <rPr>
        <b/>
        <sz val="12"/>
        <color rgb="FF0070C0"/>
        <rFont val="Arial"/>
        <family val="2"/>
      </rPr>
      <t>tunnel vision</t>
    </r>
  </si>
  <si>
    <r>
      <t xml:space="preserve">Does claimant cite </t>
    </r>
    <r>
      <rPr>
        <i/>
        <sz val="10"/>
        <color theme="1"/>
        <rFont val="Times New Roman"/>
        <family val="1"/>
      </rPr>
      <t>confirmation bias</t>
    </r>
    <r>
      <rPr>
        <sz val="10"/>
        <color theme="1"/>
        <rFont val="Times New Roman"/>
        <family val="1"/>
      </rPr>
      <t xml:space="preserve"> distorting the criminal investigation, leading investigators to ignore actual alternatives?</t>
    </r>
  </si>
  <si>
    <t>Once the child complainant made her prurient accusations, investigators relied on leading questions to confirm their biases, encouraging complainant to embellish her testimony. The lack of corroborating evidence suggests investigators became locked into believing the alleged crime had occurred, implicating their own transphobic prejudices, and could not correct their errant beliefs by realigning them with the exculpatory facts.</t>
  </si>
  <si>
    <r>
      <t xml:space="preserve">Law enforcement </t>
    </r>
    <r>
      <rPr>
        <b/>
        <sz val="12"/>
        <color rgb="FF0070C0"/>
        <rFont val="Arial"/>
        <family val="2"/>
      </rPr>
      <t>noble cause corruption</t>
    </r>
  </si>
  <si>
    <t xml:space="preserve">Search warrant to find child pornography used Olan Mills portrait of my children as proof of possessing child pornography. Altered child complaint testimony suggests being coached. Appellate Panel, traditionally deferring to trial jury as tryer of fact, assumed that role in reinterpreting trial transcript to finding “fact” of aiding and abetting CSC2. </t>
  </si>
  <si>
    <t>yes, a moderate factor</t>
  </si>
  <si>
    <t>Complainant retraction</t>
  </si>
  <si>
    <t>Has complainant expressed doubt or retraction of the initiating accusation? Does complainant realize misidentifying perpetrator(s)? Does complainant now support wrongly accused while worried actual perpetrator remains free?</t>
  </si>
  <si>
    <t>Confession from actual perpetrator</t>
  </si>
  <si>
    <t>Another person implicated in the crime</t>
  </si>
  <si>
    <t>Conviction based upon outmoded law/beliefs</t>
  </si>
  <si>
    <t xml:space="preserve">“No corroboration of an accusation is necessary for a conviction of criminal sexual conduct.” A conviction can be based solely on the statement of the victim. 
Investigators using suggestive leading questions that induce children to provide answers confirming the investigators’ biases.
Belief that LGBT people are sexual predators trying to recruit children into their “deviant lifestyle.”
Children never lie about being sexually victimized.
</t>
  </si>
  <si>
    <t>Complicating factors</t>
  </si>
  <si>
    <t>These six items tend to compound other factors, increasing likelihood of a wrongful conviction.</t>
  </si>
  <si>
    <t>Presenting conflict of interest</t>
  </si>
  <si>
    <t>Does claimant cite any government official presenting a conflict of interest, such as a prosecutor needing to win the case for reelection?</t>
  </si>
  <si>
    <t>Presiding judge was up for reelection, which appears to have skewed the proceedings.</t>
  </si>
  <si>
    <t>I know of no way to verify this claim</t>
  </si>
  <si>
    <t>Perjured testimony or false accusation</t>
  </si>
  <si>
    <t>Does claimant assert the supposed victim or accomplices made errant claims under oath, whether or not they knew them to be false?</t>
  </si>
  <si>
    <t>Testimony from complainant appears to be parroting transphobic ideas about transgender people, and her testimony was coached according to documents received in Discovery.</t>
  </si>
  <si>
    <t>Moral panic</t>
  </si>
  <si>
    <t>Was accusation made in context of a moral panic, such as the child sex abuse hysteria of the 80s and 90s?</t>
  </si>
  <si>
    <t>Accusation occurred at height of child sex abuse hysteria, following same pattern of asking child leading questions to confirm investigators’ biases, lacking any corroborating evidence.</t>
  </si>
  <si>
    <t>Disparate impact</t>
  </si>
  <si>
    <t>Outed as transgender in a religiously conservative transphobic community, where many believed all LGBTQ people are sex predators victimizing children.</t>
  </si>
  <si>
    <t>Law enforcement prejudice</t>
  </si>
  <si>
    <t>Does claimant report any specific prior prejudicial hostile contact from any law enforcement official? Or hostile bias from law enforcement against claimant’s group identity?</t>
  </si>
  <si>
    <t>Transphobic encounters with police in past. Arresting officers expressed transphobic beliefs when taking claimant to hospital for HIV test, suggesting their prejudices mirrored widespread transphobic beliefs distorting the investigation.</t>
  </si>
  <si>
    <t>Trial by media</t>
  </si>
  <si>
    <t>Does claimant assert press coverage influenced the judicial process or outcome?</t>
  </si>
  <si>
    <t>The arrest of two “crossdressing brothers” reinforcing this conservative religious community’s prejudices kept the case in the news, and ostensibly skewed the judicial process. Media at the time continued sensational coverage of sex abuse trials that presumed guilt of accused.</t>
  </si>
  <si>
    <t>Claimant’s demonstratable innocence</t>
  </si>
  <si>
    <t>These seven items contrast claimant’s behavior against those with actual guilt.</t>
  </si>
  <si>
    <t>Pled not guilty</t>
  </si>
  <si>
    <t>Did claimant plead not guilty? Did claimant challenge some or all the charges at trial? Was claimant informed of the trial penalty risk if found guilty and sentenced?</t>
  </si>
  <si>
    <t>Claimant pled not guilty to all charges and has never considered any plea options.</t>
  </si>
  <si>
    <t>After being confronted with the state’s evidence, did claimant take an Alford plea?</t>
  </si>
  <si>
    <t>[Alford pleas are not available in Michigan.]</t>
  </si>
  <si>
    <t>Duration of innocence claim</t>
  </si>
  <si>
    <t>Has claimant always maintained innocence? Or persisted in claiming innocence after promptly claiming a coerced confession?</t>
  </si>
  <si>
    <t>Claimant has always maintained innocence, even when denied parole for not demonstrating remorse.</t>
  </si>
  <si>
    <t>Respect for crime victim(s)</t>
  </si>
  <si>
    <t>Positive institutional record</t>
  </si>
  <si>
    <t>If imprisoned, does claimant assert they were a model prisoner?</t>
  </si>
  <si>
    <t>Received positive work records, was selected in 2000 to open a new prison. Selected as "model peer leader" for Kairos ministry program. Served in lay-leader positions without complaint. Only major misconduct ticket was destruction of state property after using branch from tree to make a dream catcher.</t>
  </si>
  <si>
    <t>No criminal history</t>
  </si>
  <si>
    <t>Was the instant offense the only criminal charge to the claimant?</t>
  </si>
  <si>
    <t>No felony or misdemeanor arrests or convictions prior or afterwards.</t>
  </si>
  <si>
    <t>Verifiable by information requiring paid access</t>
  </si>
  <si>
    <t>Parole denial from maintaining innocence</t>
  </si>
  <si>
    <t>Was claimant denied parole because of a “lack of remorse” in parole hearing while insisting innocence?</t>
  </si>
  <si>
    <t>Was eligible for parole in August 2001 &amp; 2003, but was denied parole for lack of contrition, and so claimant served the maximum of the sentence and was discharged in September 2005.</t>
  </si>
  <si>
    <t>Claimant’s innocence recognized by others</t>
  </si>
  <si>
    <t>These seven items provide independent recognition of claimant’s actual innocence.</t>
  </si>
  <si>
    <t>Any relief on appeal</t>
  </si>
  <si>
    <t>Did the appellate panel provide any relief from the conviction or sentence?</t>
  </si>
  <si>
    <t>Removed 1st degree CSC aiding and abetting but replaced with 2nd degree aiding and abetting by interpreting trial transcript (as trier of fact?). Declined to address CSC2 charge. Remanded resentencing to trial court. A year later, resentenced by trial court, replacing 15 o 30-year sentence with 8 to 15-year sentence (with good time the max was 12 years, providing an outdate in Sept 2005). Refusing anything short of exoneration, I hired a lawyer with the help of my mother to pursue any remaining state level remedies prior to seeking relief at the federal level. The lawyer sat on my trial transcripts for over a year without action, disillusioning me further with the legal process.</t>
  </si>
  <si>
    <t>Supporters</t>
  </si>
  <si>
    <t>Can claimant provide a list of supporters who believe in claimant’s innocence?</t>
  </si>
  <si>
    <t>Presentence Investigation (PSI) includes many support letters, and more can be produced upon request.</t>
  </si>
  <si>
    <t>Affidavits</t>
  </si>
  <si>
    <t>Can claimant provide any affidavits attesting to the facts in the case, such as an alibi?</t>
  </si>
  <si>
    <t>Judge support</t>
  </si>
  <si>
    <t>Has any judge come out in support of claimant’s innocence?</t>
  </si>
  <si>
    <t>Prosecutor support</t>
  </si>
  <si>
    <t>Has any prosecutor come out in support of claimant’s innocence?</t>
  </si>
  <si>
    <t>Defense counsel support</t>
  </si>
  <si>
    <t>Does defense counsel continue to support claimant’s claim to innocence?</t>
  </si>
  <si>
    <t xml:space="preserve">Court appointed lawyer did her best to mount a compelling defense, by emphasizing the lack of corroborating evidence. She continues to express belief in the innocence of claimant, getting hersel to represent claimant at resentencing hearing 1999-02-02.
Court appointed appellate lawyer demonstrated faith in claimant’s innocence, finding more than 60 pages worth of material for the appellate brief, requiring permission (which was granted) to submit a brief in excess of 60 pages.
</t>
  </si>
  <si>
    <t>Influential support</t>
  </si>
  <si>
    <t>Has any political or cultural leader come out in support of claimant’s innocence?</t>
  </si>
  <si>
    <t>Other</t>
  </si>
  <si>
    <t>This item provides space to account for anything not asked above.</t>
  </si>
  <si>
    <t>Any other relevant items</t>
  </si>
  <si>
    <t xml:space="preserve">Complainant had been molested by older female cousin two years prior, but rape shield law prevented jury from knowing this fact.
Codefendant died in prison of cancer on 10-9-2001.
</t>
  </si>
  <si>
    <t>Process</t>
  </si>
  <si>
    <t>These five process items may improve our estimation of a likely wrongful conviction.</t>
  </si>
  <si>
    <t>Indictment changed</t>
  </si>
  <si>
    <t>Was there a plea offer that was turned down?</t>
  </si>
  <si>
    <t>Plea deal turned down</t>
  </si>
  <si>
    <t>Asserted right to trial</t>
  </si>
  <si>
    <t>Did claimant contest the indictment in full and challenge all charges at trial?</t>
  </si>
  <si>
    <t>Discovery with exculpatory evidence</t>
  </si>
  <si>
    <t>Could any documentation provided by the prosecution be viewed as exculpatory?</t>
  </si>
  <si>
    <t>Exculpatory evidence not provided in discovery</t>
  </si>
  <si>
    <r>
      <t xml:space="preserve">Claimant aware of exculpatory evidence not revealed in discovery (i.e., possible </t>
    </r>
    <r>
      <rPr>
        <i/>
        <sz val="10"/>
        <color theme="1"/>
        <rFont val="Times New Roman"/>
        <family val="1"/>
      </rPr>
      <t>Brady</t>
    </r>
    <r>
      <rPr>
        <sz val="10"/>
        <color theme="1"/>
        <rFont val="Times New Roman"/>
        <family val="1"/>
      </rPr>
      <t xml:space="preserve"> violation)?</t>
    </r>
  </si>
  <si>
    <t>Requests and responses for exoneration help</t>
  </si>
  <si>
    <t>Provide names (and email addresses if available) for attempts to get legal assistance.</t>
  </si>
  <si>
    <t>Other sources of legal assistance</t>
  </si>
  <si>
    <t>exoneration</t>
  </si>
  <si>
    <t>important but can wait for it</t>
  </si>
  <si>
    <t>financial support for legal costs</t>
  </si>
  <si>
    <t>low priority right now</t>
  </si>
  <si>
    <t>expunged record</t>
  </si>
  <si>
    <t>removal of all collateral consequences</t>
  </si>
  <si>
    <t>increasingly consuming my focus</t>
  </si>
  <si>
    <t>compensation</t>
  </si>
  <si>
    <t>apology</t>
  </si>
  <si>
    <t xml:space="preserve">OTHER: </t>
  </si>
  <si>
    <t>Background checks that privilege discrimination with these specific items.</t>
  </si>
  <si>
    <t>Click maps to go to websites listing collateral consequences by each state, and restoring lost rights.</t>
  </si>
  <si>
    <t>Collateral consequences impacting claimant</t>
  </si>
  <si>
    <r>
      <t xml:space="preserve">Mark on left </t>
    </r>
    <r>
      <rPr>
        <i/>
        <sz val="12"/>
        <color theme="1"/>
        <rFont val="Times New Roman"/>
        <family val="1"/>
      </rPr>
      <t>how</t>
    </r>
    <r>
      <rPr>
        <sz val="12"/>
        <color theme="1"/>
        <rFont val="Times New Roman"/>
        <family val="1"/>
      </rPr>
      <t xml:space="preserve"> each applies. If applies, mark on right </t>
    </r>
    <r>
      <rPr>
        <i/>
        <sz val="12"/>
        <color theme="1"/>
        <rFont val="Times New Roman"/>
        <family val="1"/>
      </rPr>
      <t>when</t>
    </r>
    <r>
      <rPr>
        <sz val="12"/>
        <color theme="1"/>
        <rFont val="Times New Roman"/>
        <family val="1"/>
      </rPr>
      <t xml:space="preserve"> it applies.</t>
    </r>
  </si>
  <si>
    <t xml:space="preserve">Collateral consequences create second-class citizens, often without measurable outcomes to test if meeting their intended purpose. Consequently, they can have the opposite effect, like enabling recidivism--even among the wrongly convicted. </t>
  </si>
  <si>
    <t>permanent</t>
  </si>
  <si>
    <t>Conviction posted online</t>
  </si>
  <si>
    <t>during and since incarceration</t>
  </si>
  <si>
    <t>increasingly limited from living life in full</t>
  </si>
  <si>
    <t>Custody reimbursement</t>
  </si>
  <si>
    <t>cut off from opportunities to live independently</t>
  </si>
  <si>
    <t>Education discrimination</t>
  </si>
  <si>
    <t>signficantly limited from living responsibly</t>
  </si>
  <si>
    <t>Employment discrimination</t>
  </si>
  <si>
    <t>since incarceration</t>
  </si>
  <si>
    <t>severely hindered from normal functioning</t>
  </si>
  <si>
    <t>dangerously cut off from society</t>
  </si>
  <si>
    <t>Exempt from student financial aid</t>
  </si>
  <si>
    <t>Health care discrimination</t>
  </si>
  <si>
    <t>Housing discrimination</t>
  </si>
  <si>
    <t>Loss of government benefits</t>
  </si>
  <si>
    <t xml:space="preserve">Loss of gun rights </t>
  </si>
  <si>
    <t>temporary</t>
  </si>
  <si>
    <t>Loss of parental rights</t>
  </si>
  <si>
    <t>Loss of vote</t>
  </si>
  <si>
    <t>during incarceration</t>
  </si>
  <si>
    <t>GO</t>
  </si>
  <si>
    <t>Prevented from seeing family</t>
  </si>
  <si>
    <t xml:space="preserve">The fact of not being rearrested should say something loud and clear. </t>
  </si>
  <si>
    <t>Prevented from visiting prisoners</t>
  </si>
  <si>
    <t>not applicable</t>
  </si>
  <si>
    <t>Restitution to alleged victims</t>
  </si>
  <si>
    <t xml:space="preserve"> reports enduring so many of these consequences to the point of being </t>
  </si>
  <si>
    <t>Restricted movement</t>
  </si>
  <si>
    <t>Sex offender registry</t>
  </si>
  <si>
    <t>Workplace discrimination</t>
  </si>
  <si>
    <t xml:space="preserve"> You can help change this.</t>
  </si>
  <si>
    <t>Add here any consequence of the conviction not listed above.</t>
  </si>
  <si>
    <t>Collateral consequence impacting others in claimant's life</t>
  </si>
  <si>
    <r>
      <t xml:space="preserve">Mark on left </t>
    </r>
    <r>
      <rPr>
        <i/>
        <sz val="12"/>
        <color theme="1"/>
        <rFont val="Times New Roman"/>
        <family val="1"/>
      </rPr>
      <t xml:space="preserve">how </t>
    </r>
    <r>
      <rPr>
        <sz val="12"/>
        <color theme="1"/>
        <rFont val="Times New Roman"/>
        <family val="1"/>
      </rPr>
      <t xml:space="preserve">or </t>
    </r>
    <r>
      <rPr>
        <i/>
        <sz val="12"/>
        <color theme="1"/>
        <rFont val="Times New Roman"/>
        <family val="1"/>
      </rPr>
      <t>if</t>
    </r>
    <r>
      <rPr>
        <sz val="12"/>
        <color theme="1"/>
        <rFont val="Times New Roman"/>
        <family val="1"/>
      </rPr>
      <t xml:space="preserve"> each applies. If applies, mark on right </t>
    </r>
    <r>
      <rPr>
        <i/>
        <sz val="12"/>
        <color theme="1"/>
        <rFont val="Times New Roman"/>
        <family val="1"/>
      </rPr>
      <t>to whom</t>
    </r>
    <r>
      <rPr>
        <sz val="12"/>
        <color theme="1"/>
        <rFont val="Times New Roman"/>
        <family val="1"/>
      </rPr>
      <t xml:space="preserve"> it applies.</t>
    </r>
  </si>
  <si>
    <t>anxiety</t>
  </si>
  <si>
    <t xml:space="preserve">negatively impacting a few lives </t>
  </si>
  <si>
    <t>costs to contact while in prison</t>
  </si>
  <si>
    <t>depression</t>
  </si>
  <si>
    <t>lasting</t>
  </si>
  <si>
    <t>divorce</t>
  </si>
  <si>
    <t>impacting close friends &amp; family</t>
  </si>
  <si>
    <t>housing instability</t>
  </si>
  <si>
    <t>impacting only family members</t>
  </si>
  <si>
    <t xml:space="preserve">devastating many lives </t>
  </si>
  <si>
    <t>loss of companionship</t>
  </si>
  <si>
    <t>impacting (then) partner &amp; kids</t>
  </si>
  <si>
    <t xml:space="preserve">family members </t>
  </si>
  <si>
    <t xml:space="preserve">have suffered from </t>
  </si>
  <si>
    <t xml:space="preserve">family &amp; friends </t>
  </si>
  <si>
    <t xml:space="preserve">long suffered from </t>
  </si>
  <si>
    <t xml:space="preserve">family, friends and many others </t>
  </si>
  <si>
    <t xml:space="preserve">continue to suffer from </t>
  </si>
  <si>
    <t>loss of emotional support</t>
  </si>
  <si>
    <t>poverty</t>
  </si>
  <si>
    <t>impacting everyone I know</t>
  </si>
  <si>
    <t>stigma</t>
  </si>
  <si>
    <t>Feel free to add any impacts on others overlooked in the list above.</t>
  </si>
  <si>
    <t xml:space="preserve">Collateral consequences also impact others in </t>
  </si>
  <si>
    <t xml:space="preserve">'s life. </t>
  </si>
  <si>
    <t xml:space="preserve"> shares how </t>
  </si>
  <si>
    <t>You can help improve their lives too!</t>
  </si>
  <si>
    <t>Current neglected needs due to these collateral consequences</t>
  </si>
  <si>
    <t xml:space="preserve">Now let's look at specific impacts by the wrongful conviction's collateral consequences. </t>
  </si>
  <si>
    <t>Challenging</t>
  </si>
  <si>
    <t>Rate each item by how much the wrongful conviction appears to impact it in your current life.</t>
  </si>
  <si>
    <t xml:space="preserve">Despite challenging </t>
  </si>
  <si>
    <t xml:space="preserve">needs, </t>
  </si>
  <si>
    <t>significantly challenged</t>
  </si>
  <si>
    <t xml:space="preserve"> needs, </t>
  </si>
  <si>
    <t>only slightly challenged</t>
  </si>
  <si>
    <t>moderately challenged</t>
  </si>
  <si>
    <t>not challenged at all</t>
  </si>
  <si>
    <t>Aspiring</t>
  </si>
  <si>
    <t>Rate each item by importance in your life right now, so we can best serve your needs.</t>
  </si>
  <si>
    <t xml:space="preserve"> aspires toward </t>
  </si>
  <si>
    <t xml:space="preserve">life improvements. </t>
  </si>
  <si>
    <t>I struggle to make it happen but unsuccessfully</t>
  </si>
  <si>
    <t xml:space="preserve">, </t>
  </si>
  <si>
    <t>I feel I've reached it but not maintained it</t>
  </si>
  <si>
    <t>I maintain it without help like this</t>
  </si>
  <si>
    <t>I don't seek it nor think about it much</t>
  </si>
  <si>
    <t>Any other wrongful conviction challenges or aspiration you'd like to add?</t>
  </si>
  <si>
    <t xml:space="preserve">Removing illicit discrimination </t>
  </si>
  <si>
    <t xml:space="preserve">will go a long way toward improving </t>
  </si>
  <si>
    <t>Claimant narrative</t>
  </si>
  <si>
    <t xml:space="preserve">Here is where the claimant puts in their own words what they claim happened, providing helpful context for the wrongful conviction. This appears in what others see first, so give it your best.  </t>
  </si>
  <si>
    <t>This section wraps up the form. The remainder is for helping you, the claimant (and proxy), to find the support you need to overcome this injustice. Keep going, you're almost there!</t>
  </si>
  <si>
    <t>Claim Synopsis</t>
  </si>
  <si>
    <t>Asexual person comes out as transgender in early 90s, gets falsely accused as being a “sexual predator” homophobic stereotype. Convicted without evidence. Must register as sex offender for life. Forced into poverty and homelessness.</t>
  </si>
  <si>
    <t>Claim highlights</t>
  </si>
  <si>
    <t>Highlight 1</t>
  </si>
  <si>
    <t xml:space="preserve"> will display here</t>
  </si>
  <si>
    <t>Highlight 2</t>
  </si>
  <si>
    <t>Consistently maintained innocence, took no plea deals</t>
  </si>
  <si>
    <t>Highlight 3</t>
  </si>
  <si>
    <t>Transphobic investigation and prosecution</t>
  </si>
  <si>
    <t>Highlight 4</t>
  </si>
  <si>
    <t>Convicted without corroborating evidence</t>
  </si>
  <si>
    <t>Highlight 5</t>
  </si>
  <si>
    <t>Climate of sex abuse hysteria</t>
  </si>
  <si>
    <t>Highlight 6</t>
  </si>
  <si>
    <t>Media sensationalized coverage</t>
  </si>
  <si>
    <t>Highlight 7</t>
  </si>
  <si>
    <t>Exculpatory evidence overlooked with untested DNA</t>
  </si>
  <si>
    <t>Highlight 8</t>
  </si>
  <si>
    <t>Asexual transperson must register for life as "sex offender"</t>
  </si>
  <si>
    <t>Flipside</t>
  </si>
  <si>
    <t>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t>
  </si>
  <si>
    <t>Claim Summary</t>
  </si>
  <si>
    <t>Summarize the innocence claim--with an eye for short attention spans. Add some context to the synopsis above. Provoke the reader's curiosity and interest to discover more.</t>
  </si>
  <si>
    <r>
      <rPr>
        <b/>
        <sz val="12"/>
        <color theme="1"/>
        <rFont val="Times New Roman"/>
        <family val="1"/>
      </rPr>
      <t>FORMAT</t>
    </r>
    <r>
      <rPr>
        <sz val="12"/>
        <color theme="1"/>
        <rFont val="Times New Roman"/>
        <family val="1"/>
      </rPr>
      <t>:</t>
    </r>
  </si>
  <si>
    <t>On [INCIDENT DATE], [CLAIMANT] [HOW INCIDENT OCCURRED]. [CONTEXT].</t>
  </si>
  <si>
    <t xml:space="preserve">Do your best to describe the facts without vilifying anyone. Let the reader decide. </t>
  </si>
  <si>
    <r>
      <t xml:space="preserve">Close with a </t>
    </r>
    <r>
      <rPr>
        <b/>
        <i/>
        <sz val="11"/>
        <color theme="1"/>
        <rFont val="Times New Roman"/>
        <family val="1"/>
      </rPr>
      <t>call-to-action</t>
    </r>
    <r>
      <rPr>
        <sz val="11"/>
        <color theme="1"/>
        <rFont val="Times New Roman"/>
        <family val="1"/>
      </rPr>
      <t xml:space="preserve"> [CTA], what you are asking the engaged reader to do.</t>
    </r>
  </si>
  <si>
    <t xml:space="preserve">At the height of the sex abuse hysteria in the early-90s, claimant came out as transgender in a mostly religiously conservative community. Claimant came out to sibling, who came out as trans years earlier. A neighborhood child drew curious, peeping into claimant's window to ogle at what she called the "man with lipstick." When caught not being home on time, the child leveled bizarre claims of sex abuse unbecoming from a child. 
Child testimonies back then were often coached. Trans people were easily vilified. Since no corroborating evidence was necessary back then to convict for sexual misconduct, both transwomen were wrongly convicted and sentenced to long terms in men’s prisons, where claimant’s codefendant and sibling died. 
After serving a full 12-year sentence, claimant was discharged and finished undergraduate and graduate degrees. But is required to register as a sex offender for life, destroying economic and other opportunities. </t>
  </si>
  <si>
    <t>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
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
A neighborhood child drew curious, peeping into Janet’s window to gawk at what she called the "man with lipstick." When caught not being home on time, the child leveled bizarre claims of sex abuse unbecoming from a child. Exposed to porn?
The child then dragged Steph into her transphobic-indoctrinated accusations. The child claimed Steph posed with her as if she, the young child, was stabbing Steph in the chest with a jelly stained butter knife. She claimed this was to scare her from talking to police, that we would say she was the aggressor. Unbelievable? Not if you already believe trans people are subhuman.
Child testimonies back then were often coached. Trans people were easily vilified. Since no corroborating evidence was necessary back then to convict for sexual misconduct, both transwomen were wrongly convicted and sentenced to long terms in men’s prisons, where Steph’s codefendant transgender sibling died in 2001.
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t>
  </si>
  <si>
    <t>Dynamic relating</t>
  </si>
  <si>
    <r>
      <rPr>
        <b/>
        <sz val="11"/>
        <color theme="1"/>
        <rFont val="Times New Roman"/>
        <family val="1"/>
      </rPr>
      <t>Your needs</t>
    </r>
    <r>
      <rPr>
        <sz val="11"/>
        <color theme="1"/>
        <rFont val="Times New Roman"/>
        <family val="1"/>
      </rPr>
      <t xml:space="preserve"> cannot conform easily to expectations simply because you have been convicted. Wrongful or otherwise, a conviction forces you to make adjustments others readily ignore. Let others know the adjustments you've had to make, their impact on you and your loved ones, and where you see yourself in the future.</t>
    </r>
  </si>
  <si>
    <t xml:space="preserve">You have needs. No one has authority over your needs. No one. Not even the criminal justice system. </t>
  </si>
  <si>
    <t>Anxious at all?</t>
  </si>
  <si>
    <t>Rate each item to your level of experience. Your responses let us know the level of your current need. If taken later we can compare the scores to help see if we are helping or not.</t>
  </si>
  <si>
    <t>Pick best answer from pulldown menu.</t>
  </si>
  <si>
    <t>Numbness or tingling</t>
  </si>
  <si>
    <t>Feeling hot</t>
  </si>
  <si>
    <t>Wobbliness in legs</t>
  </si>
  <si>
    <t>Unable to relax</t>
  </si>
  <si>
    <t>Fear of worst happening</t>
  </si>
  <si>
    <t>Dizzy or lightheaded</t>
  </si>
  <si>
    <t>Heart pounding / racing</t>
  </si>
  <si>
    <t>Unsteady</t>
  </si>
  <si>
    <t>Terrified or afraid</t>
  </si>
  <si>
    <t>Nervous</t>
  </si>
  <si>
    <t>Feeling of choking</t>
  </si>
  <si>
    <t>Hands trembling</t>
  </si>
  <si>
    <t>Shaky / unsteady</t>
  </si>
  <si>
    <t>Fear of losing control</t>
  </si>
  <si>
    <t>Difficulty in breathing</t>
  </si>
  <si>
    <t>Fear of dying</t>
  </si>
  <si>
    <t>Scared</t>
  </si>
  <si>
    <t>Indigestion</t>
  </si>
  <si>
    <t>Faint / lightheaded</t>
  </si>
  <si>
    <t>Face flushed</t>
  </si>
  <si>
    <t>Hot / cold sweats</t>
  </si>
  <si>
    <t>Not at all</t>
  </si>
  <si>
    <t>low anxiety</t>
  </si>
  <si>
    <t>Mildly, but it didn’t bother me much</t>
  </si>
  <si>
    <t xml:space="preserve">By </t>
  </si>
  <si>
    <t>moderate anxiety</t>
  </si>
  <si>
    <t>Moderately – it wasn’t pleasant at times</t>
  </si>
  <si>
    <t xml:space="preserve">improve current anxiety level, now estimated at </t>
  </si>
  <si>
    <t xml:space="preserve">level, as measured bt the Beck Anxierty Inventory screening tool. </t>
  </si>
  <si>
    <t>high anxiety</t>
  </si>
  <si>
    <t>Severely – it bothered me a lot</t>
  </si>
  <si>
    <t xml:space="preserve">You understandably experience </t>
  </si>
  <si>
    <t xml:space="preserve">, considering the many challenges you face from such a conviction. </t>
  </si>
  <si>
    <t>You can rule out a purely biological source for such anxiety.</t>
  </si>
  <si>
    <r>
      <rPr>
        <b/>
        <sz val="10"/>
        <color theme="1"/>
        <rFont val="Arial"/>
        <family val="2"/>
      </rPr>
      <t>Value Relating</t>
    </r>
    <r>
      <rPr>
        <sz val="10"/>
        <color theme="1"/>
        <rFont val="Arial"/>
        <family val="2"/>
      </rPr>
      <t xml:space="preserve"> sees anxiety as a natural response to handling the overwhelmingly painful challenges of a wrongful conviction, or any criminal conviction of a dubious nature. If the full weight of the state crashed down upon you like a pile of bricks, each or most a trusted lie, wouldn't you be anxious? Together, we can turn this around.</t>
    </r>
  </si>
  <si>
    <t xml:space="preserve"> understandably experiences </t>
  </si>
  <si>
    <t xml:space="preserve"> from the wrongful conviction. </t>
  </si>
  <si>
    <t>Once hired, much of that should clear up. If not, Value Relating can help.</t>
  </si>
  <si>
    <t>Depressed at all?</t>
  </si>
  <si>
    <t>sadness</t>
  </si>
  <si>
    <t xml:space="preserve">I do not feel sad. </t>
  </si>
  <si>
    <t xml:space="preserve">I feel sad </t>
  </si>
  <si>
    <t xml:space="preserve">I am sad all the time and I can't snap out of it. </t>
  </si>
  <si>
    <t xml:space="preserve">I am so sad and unhappy that I can't stand it. </t>
  </si>
  <si>
    <t>hope</t>
  </si>
  <si>
    <t xml:space="preserve">I am not particularly discouraged about the future. </t>
  </si>
  <si>
    <t xml:space="preserve">I feel discouraged about the future. </t>
  </si>
  <si>
    <t xml:space="preserve">I feel I have nothing to look forward to. </t>
  </si>
  <si>
    <t xml:space="preserve">I feel the future is hopeless and that things cannot improve. </t>
  </si>
  <si>
    <t>failures</t>
  </si>
  <si>
    <t xml:space="preserve">I do not feel like a failure. </t>
  </si>
  <si>
    <t xml:space="preserve">I feel I have failed more than the average person. </t>
  </si>
  <si>
    <t xml:space="preserve">As I look back on my life, all I can see is a lot of failures. </t>
  </si>
  <si>
    <t xml:space="preserve">I feel I am a complete failure as a person. </t>
  </si>
  <si>
    <t>satisfaction</t>
  </si>
  <si>
    <t xml:space="preserve">I get as much satisfaction out of things as I used to. </t>
  </si>
  <si>
    <t xml:space="preserve">I don't enjoy things the way I used to. </t>
  </si>
  <si>
    <t xml:space="preserve">I don't get real satisfaction out of anything anymore. </t>
  </si>
  <si>
    <t xml:space="preserve">I am dissatisfied or bored with everything. </t>
  </si>
  <si>
    <t>guilt</t>
  </si>
  <si>
    <t xml:space="preserve">I don't feel particularly guilty </t>
  </si>
  <si>
    <t xml:space="preserve">I feel guilty a good part of the time. </t>
  </si>
  <si>
    <t xml:space="preserve">I feel quite guilty most of the time. </t>
  </si>
  <si>
    <t xml:space="preserve">I feel guilty all of the time. </t>
  </si>
  <si>
    <t>punished</t>
  </si>
  <si>
    <t xml:space="preserve">I don't feel I am being punished. </t>
  </si>
  <si>
    <t xml:space="preserve">I feel I may be punished. </t>
  </si>
  <si>
    <t xml:space="preserve">I expect to be punished. </t>
  </si>
  <si>
    <t xml:space="preserve">I feel I am being punished. </t>
  </si>
  <si>
    <t>self-loath</t>
  </si>
  <si>
    <t xml:space="preserve">I don't feel disappointed in myself. </t>
  </si>
  <si>
    <t xml:space="preserve">I am disappointed in myself. </t>
  </si>
  <si>
    <t xml:space="preserve">I am disgusted with myself. </t>
  </si>
  <si>
    <t xml:space="preserve">I hate myself. </t>
  </si>
  <si>
    <t>faults</t>
  </si>
  <si>
    <t xml:space="preserve">I don't feel I am any worse than anybody else. </t>
  </si>
  <si>
    <t xml:space="preserve">I am critical of myself for my weaknesses or mistakes. </t>
  </si>
  <si>
    <t xml:space="preserve">I blame myself all the time for my faults. </t>
  </si>
  <si>
    <t xml:space="preserve">I blame myself for everything bad that happens. </t>
  </si>
  <si>
    <t>suicidal thoughts</t>
  </si>
  <si>
    <t xml:space="preserve">I don't have any thoughts of killing myself. </t>
  </si>
  <si>
    <t xml:space="preserve">I have thoughts of killing myself, but I would not carry them out. </t>
  </si>
  <si>
    <t xml:space="preserve">I would like to kill myself. </t>
  </si>
  <si>
    <t xml:space="preserve">I would kill myself if I had the chance. </t>
  </si>
  <si>
    <t>crying</t>
  </si>
  <si>
    <t xml:space="preserve">I don't cry any more than usual. </t>
  </si>
  <si>
    <t xml:space="preserve">I cry more now than I used to. </t>
  </si>
  <si>
    <t xml:space="preserve">I cry all the time now. </t>
  </si>
  <si>
    <t xml:space="preserve">I used to be able to cry, but now I can't cry even though I want to. </t>
  </si>
  <si>
    <t>irritability</t>
  </si>
  <si>
    <t xml:space="preserve">I am no more irritated by things than I ever was. </t>
  </si>
  <si>
    <t xml:space="preserve">I am slightly more irritated now than usual. </t>
  </si>
  <si>
    <t xml:space="preserve">I am quite annoyed or irritated a good deal of the time. </t>
  </si>
  <si>
    <t xml:space="preserve">I feel irritated all the time. </t>
  </si>
  <si>
    <t>socializing</t>
  </si>
  <si>
    <t xml:space="preserve">I have not lost interest in other people. </t>
  </si>
  <si>
    <t xml:space="preserve">I am less interested in other people than I used to be. </t>
  </si>
  <si>
    <t xml:space="preserve">I have lost most of my interest in other people. </t>
  </si>
  <si>
    <t xml:space="preserve">I have lost all of my interest in other people. </t>
  </si>
  <si>
    <t>decisiveness</t>
  </si>
  <si>
    <t xml:space="preserve">I make decisions about as well as I ever could. </t>
  </si>
  <si>
    <t xml:space="preserve">I put off making decisions more than I used to. </t>
  </si>
  <si>
    <t xml:space="preserve">I have greater difficulty in making decisions more than I used to. </t>
  </si>
  <si>
    <t xml:space="preserve">I can't make decisions at all anymore. </t>
  </si>
  <si>
    <t>self-image</t>
  </si>
  <si>
    <t xml:space="preserve">I don't feel that I look any worse than I used to. </t>
  </si>
  <si>
    <t xml:space="preserve">I am worried that I am looking old or unattractive. </t>
  </si>
  <si>
    <t>I feel there are permanent changes in my appearance that make me look unattractive.</t>
  </si>
  <si>
    <t xml:space="preserve">I believe that I look ugly. </t>
  </si>
  <si>
    <t>effort</t>
  </si>
  <si>
    <t xml:space="preserve">I can work about as well as before. </t>
  </si>
  <si>
    <t xml:space="preserve">It takes an extra effort to get started at doing something. </t>
  </si>
  <si>
    <t xml:space="preserve">I have to push myself very hard to do anything. </t>
  </si>
  <si>
    <t xml:space="preserve">I can't do any work at all. </t>
  </si>
  <si>
    <t>sleep</t>
  </si>
  <si>
    <t xml:space="preserve">I can sleep as well as usual. </t>
  </si>
  <si>
    <t xml:space="preserve">I don't sleep as well as I used to. </t>
  </si>
  <si>
    <t xml:space="preserve">I wake up 1-2 hours earlier than usual and find it hard to get back to sleep. </t>
  </si>
  <si>
    <t xml:space="preserve">I wake up several hours earlier than I used to and cannot get back to sleep. </t>
  </si>
  <si>
    <t>tiredness</t>
  </si>
  <si>
    <t xml:space="preserve">I don't get more tired than usual. </t>
  </si>
  <si>
    <t xml:space="preserve">I get tired more easily than I used to. </t>
  </si>
  <si>
    <t xml:space="preserve">I get tired from doing almost anything. </t>
  </si>
  <si>
    <t xml:space="preserve">I am too tired to do anything. </t>
  </si>
  <si>
    <t>appetite</t>
  </si>
  <si>
    <t xml:space="preserve">My appetite is no worse than usual. </t>
  </si>
  <si>
    <t xml:space="preserve">My appetite is not as good as it used to be. </t>
  </si>
  <si>
    <t xml:space="preserve">My appetite is much worse now. </t>
  </si>
  <si>
    <t xml:space="preserve">I have no appetite at all anymore. </t>
  </si>
  <si>
    <t>weight loss</t>
  </si>
  <si>
    <t xml:space="preserve">I haven't lost much weight, if any, lately. </t>
  </si>
  <si>
    <t xml:space="preserve">I have lost more than five pounds. </t>
  </si>
  <si>
    <t xml:space="preserve">I have lost more than ten pounds. </t>
  </si>
  <si>
    <t xml:space="preserve">I have lost more than fifteen pounds. </t>
  </si>
  <si>
    <t>worries</t>
  </si>
  <si>
    <t xml:space="preserve">I am no more worried about my health than usual. </t>
  </si>
  <si>
    <t xml:space="preserve">I am worried about physical problems like aches, pains, upset stomach, or constipation. </t>
  </si>
  <si>
    <t xml:space="preserve">I am very worried about physical problems and it's hard to think of much else. </t>
  </si>
  <si>
    <t xml:space="preserve">I am so worried about my physical problems that I cannot think of anything else. </t>
  </si>
  <si>
    <t>sexual interest</t>
  </si>
  <si>
    <t xml:space="preserve">improve current depression level, now estimated at a </t>
  </si>
  <si>
    <t xml:space="preserve">level, as measured by the Beck Depression Inventory screening tool. </t>
  </si>
  <si>
    <t xml:space="preserve">I have not noticed any recent change in my interest in sex. </t>
  </si>
  <si>
    <t xml:space="preserve">I am less interested in sex than I used to be. </t>
  </si>
  <si>
    <t xml:space="preserve">I have almost no interest in sex. </t>
  </si>
  <si>
    <t xml:space="preserve">I have lost interest in sex completely. </t>
  </si>
  <si>
    <t xml:space="preserve">Levels of Depression </t>
  </si>
  <si>
    <t>Total Score</t>
  </si>
  <si>
    <t>normal ups and downs</t>
  </si>
  <si>
    <t>mild mood disturbance</t>
  </si>
  <si>
    <t>borderline clinical depression</t>
  </si>
  <si>
    <t>moderate depression</t>
  </si>
  <si>
    <t>severe depression</t>
  </si>
  <si>
    <t>extreme depression</t>
  </si>
  <si>
    <t>You can rule out a purely biological source for such depression.</t>
  </si>
  <si>
    <r>
      <rPr>
        <b/>
        <sz val="11"/>
        <color theme="1"/>
        <rFont val="Tahoma"/>
        <family val="2"/>
      </rPr>
      <t>Value Relating</t>
    </r>
    <r>
      <rPr>
        <sz val="11"/>
        <color theme="1"/>
        <rFont val="Tahoma"/>
        <family val="2"/>
      </rPr>
      <t xml:space="preserve"> sees most depression as </t>
    </r>
    <r>
      <rPr>
        <b/>
        <i/>
        <sz val="11"/>
        <color theme="1"/>
        <rFont val="Tahoma"/>
        <family val="2"/>
      </rPr>
      <t>redirection,</t>
    </r>
    <r>
      <rPr>
        <sz val="11"/>
        <color theme="1"/>
        <rFont val="Tahoma"/>
        <family val="2"/>
      </rPr>
      <t xml:space="preserve"> as the body shifting energy away from too much effort for others, to pull greater effort toward neglected aspects of oneself. You naturally will be depressed, according to this view, when you are coerced by the law to give up being true to yourself, to your actual innocence, to your personal integrity. Together, we can turn this around.</t>
    </r>
  </si>
  <si>
    <t>Relating</t>
  </si>
  <si>
    <t>Resigned options (avoiding pain)</t>
  </si>
  <si>
    <t>anticipated results</t>
  </si>
  <si>
    <t>Adversarial options (relieving pain)</t>
  </si>
  <si>
    <t>Conciliatory options (resolving pain)</t>
  </si>
  <si>
    <t xml:space="preserve">Estimated compensation under state law: </t>
  </si>
  <si>
    <t>If filed within 3 years</t>
  </si>
  <si>
    <t>limits on attorney feels</t>
  </si>
  <si>
    <t>see other benefits under law</t>
  </si>
  <si>
    <t>Compensation</t>
  </si>
  <si>
    <t>Federal or your state</t>
  </si>
  <si>
    <t>'s compensation statue, along with some challenges to receive such a claim.</t>
  </si>
  <si>
    <t>Statute</t>
  </si>
  <si>
    <t>Eligibility</t>
  </si>
  <si>
    <t xml:space="preserve">Standard </t>
  </si>
  <si>
    <t>of proof</t>
  </si>
  <si>
    <t xml:space="preserve">Determined </t>
  </si>
  <si>
    <t>by who</t>
  </si>
  <si>
    <t>Timely filing</t>
  </si>
  <si>
    <t xml:space="preserve">Maximum </t>
  </si>
  <si>
    <t>award</t>
  </si>
  <si>
    <t xml:space="preserve">Per year </t>
  </si>
  <si>
    <t>incarcerated</t>
  </si>
  <si>
    <t xml:space="preserve">Future civil </t>
  </si>
  <si>
    <t>litigation</t>
  </si>
  <si>
    <t>Your eligible</t>
  </si>
  <si>
    <t>amount</t>
  </si>
  <si>
    <t xml:space="preserve">How much earned last year? Even without compensation for exoneration, </t>
  </si>
  <si>
    <t xml:space="preserve">you can potentially earn around </t>
  </si>
  <si>
    <t xml:space="preserve">% more than your current income. </t>
  </si>
  <si>
    <t>By removing employment discrimination from this wrongful conviction, you could earn up to $</t>
  </si>
  <si>
    <t xml:space="preserve"> more per month. That's about $</t>
  </si>
  <si>
    <t xml:space="preserve"> more per week. </t>
  </si>
  <si>
    <t xml:space="preserve">Hidden costs of anxiety and depression could also drop significantly. </t>
  </si>
  <si>
    <t>Share that with your supporters!</t>
  </si>
  <si>
    <t xml:space="preserve">1.  Fill out the form above. </t>
  </si>
  <si>
    <t xml:space="preserve">2.  Decide who you need to notify, and get their contact information. </t>
  </si>
  <si>
    <t>3.  Go to that tab -</t>
  </si>
  <si>
    <t>4.  If acceptable, save each one using these steps:</t>
  </si>
  <si>
    <t>a)  Select File menu (upper left)</t>
  </si>
  <si>
    <t>b)  Select Save As</t>
  </si>
  <si>
    <t>c)  Choose a folder to save it in</t>
  </si>
  <si>
    <t>d)  File name: change file name to include who is being notified</t>
  </si>
  <si>
    <t>e)  Save as type: scroll down dropdown list and choose PDF as file type (near bottom of list).</t>
  </si>
  <si>
    <t>f)  Click the SAVE button.</t>
  </si>
  <si>
    <t>Repeat for each tab you use. (Each PDF should open in your PDF reader, if installed with defaults)</t>
  </si>
  <si>
    <t>5.  Draft email specific to who you are notifying.</t>
  </si>
  <si>
    <t xml:space="preserve">6.  Send email with your corresponding PDF as an attachment. </t>
  </si>
  <si>
    <r>
      <t xml:space="preserve">7.  Wait, </t>
    </r>
    <r>
      <rPr>
        <i/>
        <sz val="11"/>
        <color theme="1"/>
        <rFont val="Times New Roman"/>
        <family val="1"/>
      </rPr>
      <t>or tactfully follow up</t>
    </r>
    <r>
      <rPr>
        <sz val="11"/>
        <color theme="1"/>
        <rFont val="Times New Roman"/>
        <family val="1"/>
      </rPr>
      <t>.</t>
    </r>
  </si>
  <si>
    <t>Supporter(s)</t>
  </si>
  <si>
    <t>total supporters</t>
  </si>
  <si>
    <t xml:space="preserve">contributed by each of </t>
  </si>
  <si>
    <t>Invite personal supporters to claimant's support team.</t>
  </si>
  <si>
    <t>Build up your Support Team, one supporter at a time.</t>
  </si>
  <si>
    <t>Step 1</t>
  </si>
  <si>
    <t xml:space="preserve"> to go for weekly support.</t>
  </si>
  <si>
    <t xml:space="preserve">Invite supporters to help cover the weekly support fee, after claimant and proxy covers 10%. For step 1, you and your proxy will cover $5 while your support team covers the remaining $45. Later, for group video-chat, you and your proxy covers $10 while your support team covers the remaining $90. </t>
  </si>
  <si>
    <t xml:space="preserve">Only </t>
  </si>
  <si>
    <t>Supporter 01:</t>
  </si>
  <si>
    <t>FIRST NAME</t>
  </si>
  <si>
    <t>hard no</t>
  </si>
  <si>
    <t>no, I am not at all interested</t>
  </si>
  <si>
    <t>Email address</t>
  </si>
  <si>
    <t>soft no</t>
  </si>
  <si>
    <t>no, I am not ready at this time</t>
  </si>
  <si>
    <t>Relation to claimant</t>
  </si>
  <si>
    <t>AWARENESS OF ISSUE</t>
  </si>
  <si>
    <t>equivocating</t>
  </si>
  <si>
    <t>first, I want to learn more about this</t>
  </si>
  <si>
    <t>Invitation:</t>
  </si>
  <si>
    <t>Date sent:</t>
  </si>
  <si>
    <t>Date replied:</t>
  </si>
  <si>
    <t>maybe yes</t>
  </si>
  <si>
    <t>yes, I am willing but can't start now</t>
  </si>
  <si>
    <t>Sent/Reply</t>
  </si>
  <si>
    <t>YYYY-MM-DD</t>
  </si>
  <si>
    <t xml:space="preserve">This contribution is </t>
  </si>
  <si>
    <t>% of the average contribution.</t>
  </si>
  <si>
    <t>clear yes</t>
  </si>
  <si>
    <t>yes, I am ready to start</t>
  </si>
  <si>
    <t>Response:</t>
  </si>
  <si>
    <t xml:space="preserve">This covers </t>
  </si>
  <si>
    <t>doesn't know I have felony</t>
  </si>
  <si>
    <t>Support level:</t>
  </si>
  <si>
    <t xml:space="preserve">Weekly contribution: </t>
  </si>
  <si>
    <t>doesn't know I claim innocence</t>
  </si>
  <si>
    <t>contribution per exchange: $</t>
  </si>
  <si>
    <t>knows I have felony</t>
  </si>
  <si>
    <t>knows I claim innocence</t>
  </si>
  <si>
    <t>Supporter 02</t>
  </si>
  <si>
    <t>steph_d_turner@yahoo.com</t>
  </si>
  <si>
    <t>Supporter 03</t>
  </si>
  <si>
    <t>Supporter 04</t>
  </si>
  <si>
    <t>Supporter 05</t>
  </si>
  <si>
    <t>Supporter 06</t>
  </si>
  <si>
    <t>Supporter 07</t>
  </si>
  <si>
    <t>Supporter 08</t>
  </si>
  <si>
    <t>Supporter 09</t>
  </si>
  <si>
    <t>Supporter 10</t>
  </si>
  <si>
    <t>Supporter 11</t>
  </si>
  <si>
    <t>Supporter 12</t>
  </si>
  <si>
    <t>Supporter 13</t>
  </si>
  <si>
    <t>Supporter 14</t>
  </si>
  <si>
    <t>Supporter 15</t>
  </si>
  <si>
    <t>Supporter 16</t>
  </si>
  <si>
    <t>Supporter 17</t>
  </si>
  <si>
    <t>Supporter 18</t>
  </si>
  <si>
    <t>Supporter 19</t>
  </si>
  <si>
    <t>Supporter 20</t>
  </si>
  <si>
    <t>Supporter 21</t>
  </si>
  <si>
    <t>Supporter 22</t>
  </si>
  <si>
    <t>Supporter 23</t>
  </si>
  <si>
    <t>Supporter 24</t>
  </si>
  <si>
    <t>work without pay</t>
  </si>
  <si>
    <t>punished for being a binary transcendent need-resolver</t>
  </si>
  <si>
    <t>Who do you need to notify of your estimated innocence? Lower your risk of discrimination by sending notification to either an employer, a landlord, and/or debt collector.</t>
  </si>
  <si>
    <t>Click on "Employer" or other title to change it from the dropdown list. Pick an option for sending the notification. And fill out the contact information, so we can anticipate their reply.</t>
  </si>
  <si>
    <t>Accumulative total: $0</t>
  </si>
  <si>
    <t xml:space="preserve">Employer </t>
  </si>
  <si>
    <t xml:space="preserve">Accumulative total: </t>
  </si>
  <si>
    <t>notify options:</t>
  </si>
  <si>
    <t>We send notification on your behalf [$5]. Only $1 if done by Jan 1st.</t>
  </si>
  <si>
    <t>PICK AN OPTION BEST FOR YOU</t>
  </si>
  <si>
    <t>Y</t>
  </si>
  <si>
    <t>N1</t>
  </si>
  <si>
    <t xml:space="preserve">Go to </t>
  </si>
  <si>
    <t xml:space="preserve"> tab &gt;&gt;</t>
  </si>
  <si>
    <t xml:space="preserve">Send notification yourself </t>
  </si>
  <si>
    <t>[</t>
  </si>
  <si>
    <t>DIY FREE</t>
  </si>
  <si>
    <t>]</t>
  </si>
  <si>
    <t xml:space="preserve">Entity name: </t>
  </si>
  <si>
    <t xml:space="preserve">Housing </t>
  </si>
  <si>
    <t xml:space="preserve">We send notification on your behalf </t>
  </si>
  <si>
    <t xml:space="preserve">. Only </t>
  </si>
  <si>
    <t xml:space="preserve"> if done by </t>
  </si>
  <si>
    <t>Jan 1st</t>
  </si>
  <si>
    <t>.</t>
  </si>
  <si>
    <t xml:space="preserve">Contact person: </t>
  </si>
  <si>
    <t xml:space="preserve">Debt collector </t>
  </si>
  <si>
    <t xml:space="preserve">We qualify then notify them </t>
  </si>
  <si>
    <t xml:space="preserve">Position: </t>
  </si>
  <si>
    <t xml:space="preserve">Email address: </t>
  </si>
  <si>
    <t xml:space="preserve">Mailing address: </t>
  </si>
  <si>
    <t>N2</t>
  </si>
  <si>
    <t>N3</t>
  </si>
  <si>
    <t>N4</t>
  </si>
  <si>
    <t>N5</t>
  </si>
  <si>
    <t>N6</t>
  </si>
  <si>
    <t>Independent verifier(s)</t>
  </si>
  <si>
    <t>quote</t>
  </si>
  <si>
    <t>NAME</t>
  </si>
  <si>
    <t>NAME EMAIL ADDRESS</t>
  </si>
  <si>
    <t>HOW KNOW CLAIMANT</t>
  </si>
  <si>
    <t>Estimated time:</t>
  </si>
  <si>
    <t>$</t>
  </si>
  <si>
    <t xml:space="preserve">Min. rate </t>
  </si>
  <si>
    <t xml:space="preserve"> low bid  </t>
  </si>
  <si>
    <t>% down to start</t>
  </si>
  <si>
    <t xml:space="preserve">Max. rate </t>
  </si>
  <si>
    <t xml:space="preserve"> high bid  </t>
  </si>
  <si>
    <t xml:space="preserve">minimum to start:  </t>
  </si>
  <si>
    <t>You're not alone</t>
  </si>
  <si>
    <t>Evidence indicates the majority of the wrongly convicted are not yet exonerated, and may never be.</t>
  </si>
  <si>
    <t xml:space="preserve">applied to </t>
  </si>
  <si>
    <t xml:space="preserve"> totals </t>
  </si>
  <si>
    <t>Felony population</t>
  </si>
  <si>
    <t>felony population</t>
  </si>
  <si>
    <t xml:space="preserve">of </t>
  </si>
  <si>
    <t xml:space="preserve"> million</t>
  </si>
  <si>
    <t xml:space="preserve"> applied to various estimated rates of wrongful conviction</t>
  </si>
  <si>
    <t/>
  </si>
  <si>
    <t>Ex-prisoner population</t>
  </si>
  <si>
    <t>ex-prisoner population</t>
  </si>
  <si>
    <t>Registered sex offenders</t>
  </si>
  <si>
    <t>Custody population</t>
  </si>
  <si>
    <t>custody population</t>
  </si>
  <si>
    <t>Prison population</t>
  </si>
  <si>
    <t>prison population</t>
  </si>
  <si>
    <t>These rates do not apply accurately to each population, but gives you a scope of the real problem.</t>
  </si>
  <si>
    <t>registered sex offenders</t>
  </si>
  <si>
    <t xml:space="preserve"> to </t>
  </si>
  <si>
    <t xml:space="preserve">. This represents </t>
  </si>
  <si>
    <t xml:space="preserve"> cleared cases.</t>
  </si>
  <si>
    <t>Hoffman, M.</t>
  </si>
  <si>
    <t>Cassell</t>
  </si>
  <si>
    <t>Scalia (Marquis)</t>
  </si>
  <si>
    <t>Zalman</t>
  </si>
  <si>
    <t>Ramsey &amp; Frank</t>
  </si>
  <si>
    <t>Gross</t>
  </si>
  <si>
    <t>Risinger</t>
  </si>
  <si>
    <t>Gross, et al.</t>
  </si>
  <si>
    <t>Roman, et al.</t>
  </si>
  <si>
    <t>Loeffler, et al.</t>
  </si>
  <si>
    <t>Walsh, et al.</t>
  </si>
  <si>
    <t>Poveda</t>
  </si>
  <si>
    <t>Seeking donations, seeking verification of claim, seeking supporters, seeking mediated communication with responsible parties</t>
  </si>
  <si>
    <t>Offers for work, for volunteering, for peer engagement, for consulting to CJS</t>
  </si>
  <si>
    <t>other</t>
  </si>
  <si>
    <t xml:space="preserve">Asking </t>
  </si>
  <si>
    <t xml:space="preserve">Seeking </t>
  </si>
  <si>
    <t xml:space="preserve">Pursuing </t>
  </si>
  <si>
    <t>yes, I willingly pled guilty</t>
  </si>
  <si>
    <t>coerced into a plea deal with threats</t>
  </si>
  <si>
    <t>tricked into a plea deal with lies</t>
  </si>
  <si>
    <t>no, I did not try to withdraw it</t>
  </si>
  <si>
    <t>accepted plea deal to save others</t>
  </si>
  <si>
    <t>yes, I tried withdrawing plea</t>
  </si>
  <si>
    <t>willingly plea-bargained to lesser charge</t>
  </si>
  <si>
    <t>other (explain below)</t>
  </si>
  <si>
    <t>not that I'm aware of</t>
  </si>
  <si>
    <t>Never received a reply.</t>
  </si>
  <si>
    <t>Stated my case did not merit their review.</t>
  </si>
  <si>
    <t>My case did not fall within their scope.</t>
  </si>
  <si>
    <t>but had to prioritize their resources for others whose liberty was more in jeopardy.</t>
  </si>
  <si>
    <t>other (explain in box below)</t>
  </si>
  <si>
    <t>CLAIM</t>
  </si>
  <si>
    <t>VERIFIABLE</t>
  </si>
  <si>
    <t>INDEPENDENT VERIFICATION</t>
  </si>
  <si>
    <t>fully refuted, apparently deceptive false claim</t>
  </si>
  <si>
    <t>fully discounted, unsubstantiated claim</t>
  </si>
  <si>
    <t>partially refuted, not fully discounted</t>
  </si>
  <si>
    <t>unverifiable</t>
  </si>
  <si>
    <t>not yet verified</t>
  </si>
  <si>
    <t>verification attempts unsuccessful</t>
  </si>
  <si>
    <t>partially verified, not fully established</t>
  </si>
  <si>
    <t>VERIFICATION</t>
  </si>
  <si>
    <t>review URL:</t>
  </si>
  <si>
    <t>link does not work</t>
  </si>
  <si>
    <t>By URL below, audio/visual recording  (great)</t>
  </si>
  <si>
    <t>link works poorly</t>
  </si>
  <si>
    <t>link works, item(s) not found</t>
  </si>
  <si>
    <t>By email below  (fair)</t>
  </si>
  <si>
    <t>link works, some item(s) found</t>
  </si>
  <si>
    <t>Not at this time  (poor)</t>
  </si>
  <si>
    <t>Not applicable  (okay)</t>
  </si>
  <si>
    <t>other (describe in box above)</t>
  </si>
  <si>
    <t>exoneration seems imminent</t>
  </si>
  <si>
    <t>exonerated!</t>
  </si>
  <si>
    <t>Challenging:</t>
  </si>
  <si>
    <t>severely challenged</t>
  </si>
  <si>
    <t>Aspiring:</t>
  </si>
  <si>
    <t>I desire it but feel it's unlikely to happen</t>
  </si>
  <si>
    <t>I hope it'll happen but I can do little about it now</t>
  </si>
  <si>
    <t>I sense I can maintain it with help like this</t>
  </si>
  <si>
    <t>not important at all right now</t>
  </si>
  <si>
    <t>must have it as soon as possible</t>
  </si>
  <si>
    <t>can't go on any further without it</t>
  </si>
  <si>
    <t>Notifying:</t>
  </si>
  <si>
    <t xml:space="preserve">no, I don't need to notify any </t>
  </si>
  <si>
    <t xml:space="preserve">I have not yet decided if needing to notify any </t>
  </si>
  <si>
    <t xml:space="preserve">yes, but I'll let you know when I need to notifiy any </t>
  </si>
  <si>
    <t xml:space="preserve">yes, I need you to immediately notify </t>
  </si>
  <si>
    <t>Welcoming:</t>
  </si>
  <si>
    <t>no, not at this time</t>
  </si>
  <si>
    <t>perhaps with more information</t>
  </si>
  <si>
    <t>perhaps with some help</t>
  </si>
  <si>
    <t xml:space="preserve">yes, with help affording or handling it </t>
  </si>
  <si>
    <t>yes, as soon as possible</t>
  </si>
  <si>
    <t>Improving:</t>
  </si>
  <si>
    <t>not important to me now</t>
  </si>
  <si>
    <t>improving on my own</t>
  </si>
  <si>
    <t>seeking help to improve</t>
  </si>
  <si>
    <t>reaching but needing support to sustain</t>
  </si>
  <si>
    <t>already removed from registry</t>
  </si>
  <si>
    <t>on registry until official release</t>
  </si>
  <si>
    <t>Legal discrimination</t>
  </si>
  <si>
    <t>impacting close friend(s)</t>
  </si>
  <si>
    <t>impacting only my (then) partner</t>
  </si>
  <si>
    <t>out on bond</t>
  </si>
  <si>
    <t>death row</t>
  </si>
  <si>
    <t>detained for parole violation</t>
  </si>
  <si>
    <t>life sentence without chance for parole</t>
  </si>
  <si>
    <t>incarcerated, no appeal</t>
  </si>
  <si>
    <t>life sentence with possibility of parole</t>
  </si>
  <si>
    <t>incarcerated, preparing appeal</t>
  </si>
  <si>
    <t>incarcerated in prison, on appeal</t>
  </si>
  <si>
    <t>incarcerated, post-appeal</t>
  </si>
  <si>
    <t>due to start next sentence after this one</t>
  </si>
  <si>
    <t>incarcerated, exhausted state remedies</t>
  </si>
  <si>
    <t>facing risk of civil commitment</t>
  </si>
  <si>
    <t>incarcerated, appealing at federal level</t>
  </si>
  <si>
    <t>facing risk of deportation</t>
  </si>
  <si>
    <t>continuance from earliest release date</t>
  </si>
  <si>
    <t>involuntary commitment</t>
  </si>
  <si>
    <t>on probation</t>
  </si>
  <si>
    <t>on parole</t>
  </si>
  <si>
    <t>released from prison</t>
  </si>
  <si>
    <t>released from probation</t>
  </si>
  <si>
    <t>discharged from parole</t>
  </si>
  <si>
    <t>waiting in prison for community placement</t>
  </si>
  <si>
    <t>facing re-imprisonment</t>
  </si>
  <si>
    <t>facing new charges</t>
  </si>
  <si>
    <t>arrested on new charges</t>
  </si>
  <si>
    <t>other (explain)</t>
  </si>
  <si>
    <t>restitition</t>
  </si>
  <si>
    <t>Most states allow employers to check criminal backgrounds stretching far into the past. These records provide no distinction between sound evidence-based convictions and non-exonerated wrongful convictions, permitting otherwise illicit disrimination.</t>
  </si>
  <si>
    <t xml:space="preserve">Since your conviction occurred </t>
  </si>
  <si>
    <t xml:space="preserve"> years ago, </t>
  </si>
  <si>
    <t>and you earn only about $</t>
  </si>
  <si>
    <t xml:space="preserve"> per year, </t>
  </si>
  <si>
    <t xml:space="preserve"> prevents employers and others from running a criminal background check that far back.</t>
  </si>
  <si>
    <t xml:space="preserve"> cannnot limit how far back and employer can run a background check.</t>
  </si>
  <si>
    <t xml:space="preserve">Unfortunately for you, </t>
  </si>
  <si>
    <t xml:space="preserve"> does not limit how far back and employer can run a background check. </t>
  </si>
  <si>
    <t xml:space="preserve">Unfortunately, </t>
  </si>
  <si>
    <t xml:space="preserve">Background screeners must rely on indiscriminate records that fail to distinguish between "reliable evidence-based convictions" and "non-exonerated wrongful convictions"--permitting illicit discrimination. </t>
  </si>
  <si>
    <t xml:space="preserve">However, disrimination from wrongful listing on the sex offender registry could continue for years to come. </t>
  </si>
  <si>
    <t>No salary cap</t>
  </si>
  <si>
    <t>per year salary cap</t>
  </si>
  <si>
    <t>DC</t>
  </si>
  <si>
    <t>United States</t>
  </si>
  <si>
    <t>no stated maximum</t>
  </si>
  <si>
    <t>none yet</t>
  </si>
  <si>
    <t>N/A</t>
  </si>
  <si>
    <t>no statute</t>
  </si>
  <si>
    <t>ST</t>
  </si>
  <si>
    <t>State</t>
  </si>
  <si>
    <t>Per annum or per day</t>
  </si>
  <si>
    <t>Maxiumum</t>
  </si>
  <si>
    <t>Minimum</t>
  </si>
  <si>
    <t>SOR</t>
  </si>
  <si>
    <t>Decided by</t>
  </si>
  <si>
    <t>If by</t>
  </si>
  <si>
    <t>File by</t>
  </si>
  <si>
    <t>Future litig.</t>
  </si>
  <si>
    <t>Eligible</t>
  </si>
  <si>
    <t>Proof std.</t>
  </si>
  <si>
    <t xml:space="preserve">AL </t>
  </si>
  <si>
    <t>Alabama</t>
  </si>
  <si>
    <t>Code of Ala. §29-2-150 et seq</t>
  </si>
  <si>
    <t>State Division of Risk Management and the Committee on Compensation for WrongfulIncarceration</t>
  </si>
  <si>
    <t xml:space="preserve"> years</t>
  </si>
  <si>
    <t>not specified</t>
  </si>
  <si>
    <t>Conviction vacated or reversed and the charges dismissed on grounds consistent with innocence.</t>
  </si>
  <si>
    <t>Not specified</t>
  </si>
  <si>
    <t xml:space="preserve">AK </t>
  </si>
  <si>
    <t>Alaska</t>
  </si>
  <si>
    <t xml:space="preserve">AZ </t>
  </si>
  <si>
    <t>Arizona</t>
  </si>
  <si>
    <t xml:space="preserve">AR </t>
  </si>
  <si>
    <t>Arkansas</t>
  </si>
  <si>
    <t xml:space="preserve">CA </t>
  </si>
  <si>
    <t>California</t>
  </si>
  <si>
    <t>Calif. Penal Code §4900 et seq.</t>
  </si>
  <si>
    <t>California Victim Compensation and GovernmentClaims Board makes a recommendation to the legislature</t>
  </si>
  <si>
    <t>Pardon for innocence or being “innocent”; declaration of factual innocence.</t>
  </si>
  <si>
    <t xml:space="preserve">CO </t>
  </si>
  <si>
    <t>Colorado</t>
  </si>
  <si>
    <t>C.R.S. 13-65-101 et seq</t>
  </si>
  <si>
    <t>District Court inthe county in which the case originated.</t>
  </si>
  <si>
    <t>Requires the state compensate a person, or the immediate family members of a person, who has been: 1) wrongly convicted of a felony, or wrongly adjudicated as juvenile delinquent for the commission of an offense that would be a felony if committed by a person 18 years of age or older; 2) incarcerated; and 3) exonerated and found to be actually innocent. A person who is eligible to seek compensation from the state as an exonerated person, or the immediate family members of such a person, may petition a district court for an order declaring the person to be actually innocent and eligible to receive an order of compensation</t>
  </si>
  <si>
    <t>Clear and convincing</t>
  </si>
  <si>
    <t xml:space="preserve">CT </t>
  </si>
  <si>
    <t>Connecticut</t>
  </si>
  <si>
    <t>Conn. Gen. Statute 54-102uu</t>
  </si>
  <si>
    <t>Claims Commissione</t>
  </si>
  <si>
    <t>permits</t>
  </si>
  <si>
    <t>Pardon, or conviction vacated, or reversed, and the charges dismissed on grounds consistent with innocence.</t>
  </si>
  <si>
    <t>Preponderance of the evidence</t>
  </si>
  <si>
    <t xml:space="preserve">DE </t>
  </si>
  <si>
    <t>Delaware</t>
  </si>
  <si>
    <t xml:space="preserve">DC </t>
  </si>
  <si>
    <t>District of Columbia</t>
  </si>
  <si>
    <t>D.C. Code §2-421 et seq.</t>
  </si>
  <si>
    <t>Civil Court</t>
  </si>
  <si>
    <t>unspecfied</t>
  </si>
  <si>
    <t>Pardon for innocence or conviction reversed or set aside on the ground that claimant is not guilty.</t>
  </si>
  <si>
    <t xml:space="preserve">FL </t>
  </si>
  <si>
    <t>Florida</t>
  </si>
  <si>
    <t>Fla. Stat. 961.01 et seq</t>
  </si>
  <si>
    <t>Trial court –can consider claim even if prosecuting authority does not certify innocence. Claim would then be sent to admin. law judge for factual determination of innocence, and trial judge could adapt findings or not</t>
  </si>
  <si>
    <t xml:space="preserve"> days</t>
  </si>
  <si>
    <t>bars</t>
  </si>
  <si>
    <t>Certification by prosecuting authority that petitioner is innocent, that no further criminal proceeding will be initiated, no questions of fact remain, and petitioner is eligible forcompensation.</t>
  </si>
  <si>
    <t>If prosecuting authority does not certify, admin. law judge must find innocence by clear and convincing [evidence].</t>
  </si>
  <si>
    <t xml:space="preserve">GA </t>
  </si>
  <si>
    <t>Georgia</t>
  </si>
  <si>
    <t xml:space="preserve">HI </t>
  </si>
  <si>
    <t>Hawaii</t>
  </si>
  <si>
    <t>2016 Hi. Act 156</t>
  </si>
  <si>
    <t>Circuit court where petitioner lives or the circuit court for the first circuit (if petitioner lives out of state).</t>
  </si>
  <si>
    <t>Conviction reversed or vacated on actual innocence grounds or pardoned on actual innocence ground.</t>
  </si>
  <si>
    <t xml:space="preserve">ID </t>
  </si>
  <si>
    <t>Idaho</t>
  </si>
  <si>
    <t xml:space="preserve">IL </t>
  </si>
  <si>
    <t>Illinois</t>
  </si>
  <si>
    <t>735 ILCS 5/2-702 ,705 ILCS 505/8</t>
  </si>
  <si>
    <t>Court of Claims</t>
  </si>
  <si>
    <t>Pardon forinnocence or certificate of innocence.</t>
  </si>
  <si>
    <t xml:space="preserve">IN </t>
  </si>
  <si>
    <t>Indiana</t>
  </si>
  <si>
    <t>Ind. House Enrolled Act 1150</t>
  </si>
  <si>
    <t>unknown</t>
  </si>
  <si>
    <t xml:space="preserve">IA </t>
  </si>
  <si>
    <t>Iowa</t>
  </si>
  <si>
    <t>Iowa Code Ann. § 663A.1</t>
  </si>
  <si>
    <t>District Court for liability; State Appeal Board or Civil Ct. forDamage</t>
  </si>
  <si>
    <t>conditional</t>
  </si>
  <si>
    <t>Conviction vacated or reversed and charges dismissed.</t>
  </si>
  <si>
    <t xml:space="preserve">KS </t>
  </si>
  <si>
    <t>Kansas</t>
  </si>
  <si>
    <t>HB 2579</t>
  </si>
  <si>
    <t>Certificate of innocence or pardon.</t>
  </si>
  <si>
    <t xml:space="preserve">KY </t>
  </si>
  <si>
    <t>Kentucky</t>
  </si>
  <si>
    <t xml:space="preserve">LA </t>
  </si>
  <si>
    <t>Louisiana</t>
  </si>
  <si>
    <t>R.S. 15:572.8</t>
  </si>
  <si>
    <t>19th Judicial District Court - trial by judge alone.</t>
  </si>
  <si>
    <t>Conviction reversed or vacated, and petitioner “has proven” factual innocence.</t>
  </si>
  <si>
    <t xml:space="preserve">ME </t>
  </si>
  <si>
    <t>Maine</t>
  </si>
  <si>
    <t>M.R.S. §8241</t>
  </si>
  <si>
    <t>Superior Court in the county where the claimant was convicted or in Suffolk County</t>
  </si>
  <si>
    <t>Pardon forinnocence.</t>
  </si>
  <si>
    <t xml:space="preserve">MD </t>
  </si>
  <si>
    <t>Maryland</t>
  </si>
  <si>
    <t>State Finance and Procurement Code Ann. §10-501</t>
  </si>
  <si>
    <t>Board of PublicWorks</t>
  </si>
  <si>
    <t>Pardon stating that the individual's conviction has been shown conclusively to be in error.</t>
  </si>
  <si>
    <t xml:space="preserve">MA </t>
  </si>
  <si>
    <t>Massachusetts</t>
  </si>
  <si>
    <t>ALM GL. ch. 258D</t>
  </si>
  <si>
    <t>Pardon or conviction reversed and charges dismissed on grounds consistent with innocence or case tried to acquittal.</t>
  </si>
  <si>
    <t xml:space="preserve">MI </t>
  </si>
  <si>
    <t>not provided</t>
  </si>
  <si>
    <t>MCLS 691.1751 et seq</t>
  </si>
  <si>
    <t>Judgment of conviction was reversed or vacated and charges were dismissed or found not guilty on retrial.</t>
  </si>
  <si>
    <t xml:space="preserve">MN </t>
  </si>
  <si>
    <t>Minnesota</t>
  </si>
  <si>
    <t>Minn. Stat. 590.01 et seq., Minn. Stat. 611.362</t>
  </si>
  <si>
    <t>Compensation Pane</t>
  </si>
  <si>
    <t>Court vacated or reversed conviction on grounds consistent with innocence and charges dismissed; claimant found not guilty or had charges dismissedat new trial; or the time for appeal of the order resulting in exoneration has expired or the order has been affirmed and is final.</t>
  </si>
  <si>
    <t xml:space="preserve">MS </t>
  </si>
  <si>
    <t>Mississippi</t>
  </si>
  <si>
    <t>Miss. Code Ann. 11-44-1 et seq.</t>
  </si>
  <si>
    <t>Circuit court of the county in which the claimant was convicted</t>
  </si>
  <si>
    <t>Pardon based on the innocence or conviction was vacated and/or reversed.</t>
  </si>
  <si>
    <t xml:space="preserve">MO </t>
  </si>
  <si>
    <t>Missouri</t>
  </si>
  <si>
    <t>650.058 R.S.Mo.</t>
  </si>
  <si>
    <t>Sentencing cour</t>
  </si>
  <si>
    <t>Person must be determined to be ‘actually innocent’ only by DNA evidence.</t>
  </si>
  <si>
    <t>DNA evidence must demonstrate innocence</t>
  </si>
  <si>
    <t xml:space="preserve">MT </t>
  </si>
  <si>
    <t>Montana</t>
  </si>
  <si>
    <t>53-1-214, MCA</t>
  </si>
  <si>
    <t>Funds to be appropriated by the legislature</t>
  </si>
  <si>
    <t>Judgment of conviction was overturnedby a court based on the results of post-conviction forensic DNA testing that exonerates the person of the crime for which the person was convicted.</t>
  </si>
  <si>
    <t>Not specified (reliant upon eligibility finding)</t>
  </si>
  <si>
    <t xml:space="preserve">NE </t>
  </si>
  <si>
    <t>Nebraska</t>
  </si>
  <si>
    <t>R.R.S. Neb. §29-4601 et seq.</t>
  </si>
  <si>
    <t>Board of Pardons has pardoned the claimant, a court has vacated the conviction of the claimant, or that the conviction was reversed and remanded for a new trial and no subsequent conviction was obtained.</t>
  </si>
  <si>
    <t xml:space="preserve">NV </t>
  </si>
  <si>
    <t>Nevada</t>
  </si>
  <si>
    <t xml:space="preserve">NH </t>
  </si>
  <si>
    <t>New Hampshire</t>
  </si>
  <si>
    <t>RSA 541-B:14</t>
  </si>
  <si>
    <t>Board of Claims</t>
  </si>
  <si>
    <t>“Found innocent".</t>
  </si>
  <si>
    <t>Board must find by majority vote that claim is “justified"</t>
  </si>
  <si>
    <t xml:space="preserve">NJ </t>
  </si>
  <si>
    <t>New Jersey</t>
  </si>
  <si>
    <t>N.J. Stat. §52:4C-1</t>
  </si>
  <si>
    <t>Superior Court</t>
  </si>
  <si>
    <t>Notwithstanding the provisions of any other law, any person convicted and subsequently imprisoned for one or more crimes which he did not commit.</t>
  </si>
  <si>
    <t xml:space="preserve">NM </t>
  </si>
  <si>
    <t>New Mexico</t>
  </si>
  <si>
    <t xml:space="preserve">NY </t>
  </si>
  <si>
    <t>New York</t>
  </si>
  <si>
    <t>NY CLS Ct C Act § 8-b</t>
  </si>
  <si>
    <t xml:space="preserve">NC </t>
  </si>
  <si>
    <t>North Carolina</t>
  </si>
  <si>
    <t>N.C. Gen. Stat. §148-82 et seq.</t>
  </si>
  <si>
    <t>IndustrialCommission makes a recommendation to Governor</t>
  </si>
  <si>
    <t>Pardon for innocence.</t>
  </si>
  <si>
    <t xml:space="preserve">ND </t>
  </si>
  <si>
    <t>North Dakota</t>
  </si>
  <si>
    <t xml:space="preserve">OH </t>
  </si>
  <si>
    <t>Ohio</t>
  </si>
  <si>
    <t>Ohio Rev. Code §2743.48</t>
  </si>
  <si>
    <t>Court of Common Pleas for liability; Court of Claims for damages</t>
  </si>
  <si>
    <t>Preponderance of evidence; Walden v. State, 547 N.E.2d 962</t>
  </si>
  <si>
    <t xml:space="preserve">OK </t>
  </si>
  <si>
    <t>Oklahoma</t>
  </si>
  <si>
    <t>51 Okla. St. §154</t>
  </si>
  <si>
    <t>State Civil Court</t>
  </si>
  <si>
    <t>Pardoned or conviction vacated and charges dismissed on the basis of actual innocence.</t>
  </si>
  <si>
    <t xml:space="preserve">OR </t>
  </si>
  <si>
    <t>Oregon</t>
  </si>
  <si>
    <t xml:space="preserve">PA </t>
  </si>
  <si>
    <t>Pennsylvania</t>
  </si>
  <si>
    <t xml:space="preserve">RI </t>
  </si>
  <si>
    <t>Rhode Island</t>
  </si>
  <si>
    <t xml:space="preserve">SC </t>
  </si>
  <si>
    <t>South Carolina</t>
  </si>
  <si>
    <t xml:space="preserve">SD </t>
  </si>
  <si>
    <t>South Dakota</t>
  </si>
  <si>
    <t xml:space="preserve">TN </t>
  </si>
  <si>
    <t>Tennessee</t>
  </si>
  <si>
    <t>Tenn. Code Ann. §40-27-109, § 9-8-108</t>
  </si>
  <si>
    <t xml:space="preserve"> year</t>
  </si>
  <si>
    <t>Granted exoneration pursuant to §40-27-109 (exoneration by governor).</t>
  </si>
  <si>
    <t xml:space="preserve">TX </t>
  </si>
  <si>
    <t>Texas</t>
  </si>
  <si>
    <t>Tex. Gov’t Code §501.101,Tex. Civ. Prac. &amp; Rem. Code chapter 103</t>
  </si>
  <si>
    <t>Comptroller’s Judiciary Section</t>
  </si>
  <si>
    <t>Full pardon on the basis ofinnocence; writ of habeas corpus based on a court finding or determination that the person is actually innocent or writ of habeas corpus and: (i) district court entered an order dismissing the charge; and (ii) district court’s dismissal order based on motion to dismiss in which the state's attorney states that no credible evidence exists that inculpates the defendant and, either in the motion or in an affidavit, the state’s attorney states that the state’s attorney believes that the defendant is actually innocent.</t>
  </si>
  <si>
    <t>Preponderance of evidence</t>
  </si>
  <si>
    <t xml:space="preserve">UT </t>
  </si>
  <si>
    <t>Utah</t>
  </si>
  <si>
    <t>Utah Code Ann. §78B-9-401 et seq</t>
  </si>
  <si>
    <t>District court where conviction was rendered</t>
  </si>
  <si>
    <t>Factual innocence under Utah 78-35a-402.</t>
  </si>
  <si>
    <t xml:space="preserve">VT </t>
  </si>
  <si>
    <t>Vermont</t>
  </si>
  <si>
    <t>13 V.S.A. §5572 et seq.</t>
  </si>
  <si>
    <t>Washington County Supreme Court</t>
  </si>
  <si>
    <t>The conviction was reversed or vacated and the charges dismissed, or tried to an acquittal, or a pardon was granted.</t>
  </si>
  <si>
    <t>Clear and convincing evidence</t>
  </si>
  <si>
    <t xml:space="preserve">VA </t>
  </si>
  <si>
    <t>Virginia</t>
  </si>
  <si>
    <t>Va. Code Ann. §8.01-195.10 et seq.</t>
  </si>
  <si>
    <t>General Assembly</t>
  </si>
  <si>
    <t>Conviction vacated pursuant to VA Chapter 19.2 or 19.3 or absolute pardon.</t>
  </si>
  <si>
    <t xml:space="preserve">WA </t>
  </si>
  <si>
    <t>Washington</t>
  </si>
  <si>
    <t>Rev. Code Wash. 4.100.010 et seq.</t>
  </si>
  <si>
    <t>Any person convicted in superior court and subsequently imprisoned for one or more felonies of which he or she is actually innocent may file a claim for compensation against the state.</t>
  </si>
  <si>
    <t xml:space="preserve">WV </t>
  </si>
  <si>
    <t>West Virginia</t>
  </si>
  <si>
    <t>W.Va. Code §14-2-13a</t>
  </si>
  <si>
    <t>Pardon for innocence, or conviction reversed and either charges dismissed or acquittal on retrial.</t>
  </si>
  <si>
    <t xml:space="preserve">WI </t>
  </si>
  <si>
    <t>Wisconsin</t>
  </si>
  <si>
    <t>Wisc. Stat. 775.05</t>
  </si>
  <si>
    <t>Claims Board</t>
  </si>
  <si>
    <t>none specified</t>
  </si>
  <si>
    <t xml:space="preserve">WY </t>
  </si>
  <si>
    <t>Wyoming</t>
  </si>
  <si>
    <t>US</t>
  </si>
  <si>
    <t>federal</t>
  </si>
  <si>
    <t>28 U.S. Code § 2513</t>
  </si>
  <si>
    <t>U.S. Court of Federal Claims</t>
  </si>
  <si>
    <t>Pardon for innocence, or conviction reversed or set aside on ground that claimant is not guilty and found not guilty at new trial or rehearing.</t>
  </si>
  <si>
    <t>burglary</t>
  </si>
  <si>
    <t>lowered in plea deal</t>
  </si>
  <si>
    <t>robbery</t>
  </si>
  <si>
    <t>accomplice</t>
  </si>
  <si>
    <t>arson</t>
  </si>
  <si>
    <t>not present during alleged incident nor played any role</t>
  </si>
  <si>
    <t>present after alleged incident but played no role in any criminal act</t>
  </si>
  <si>
    <t>present prior to alleged incident but played no role in any criminal act</t>
  </si>
  <si>
    <t>present during alleged incident but never witnessed any criminal act</t>
  </si>
  <si>
    <t>present during alleged incident but played no role in any criminal act</t>
  </si>
  <si>
    <t>present during alleged incident as another but unidentified victim</t>
  </si>
  <si>
    <t>played a minimal role in situation in a way not explicitly criminal</t>
  </si>
  <si>
    <t>involved with complainant but played no role in alleged criminal act</t>
  </si>
  <si>
    <t>entrapped by police or informant to act in way not explicitly criminal</t>
  </si>
  <si>
    <t>other (of actual innocence)</t>
  </si>
  <si>
    <t xml:space="preserve">trusted friend </t>
  </si>
  <si>
    <t>trusted colleague</t>
  </si>
  <si>
    <t>defense lawyer at trial</t>
  </si>
  <si>
    <t>defense lawyer after trial</t>
  </si>
  <si>
    <t>appellate lawyer</t>
  </si>
  <si>
    <t>investigative journalist</t>
  </si>
  <si>
    <t>activist</t>
  </si>
  <si>
    <t>Innocence Project staff/volunteer</t>
  </si>
  <si>
    <t>criminal justice system victim advocate</t>
  </si>
  <si>
    <t>male</t>
  </si>
  <si>
    <t>female</t>
  </si>
  <si>
    <t>primarily black</t>
  </si>
  <si>
    <t>nonwhite hispanic</t>
  </si>
  <si>
    <t>Spanish</t>
  </si>
  <si>
    <t>since claimant's childhood</t>
  </si>
  <si>
    <t>since release from incarceration</t>
  </si>
  <si>
    <t>appeal decision</t>
  </si>
  <si>
    <t>affirmed all convictions and sentences</t>
  </si>
  <si>
    <t>affirmed all convictions, threw out sentence</t>
  </si>
  <si>
    <t>fully satisfied with representation</t>
  </si>
  <si>
    <t>neither satisfied nor dissatisfied</t>
  </si>
  <si>
    <t>mostly dissatisfied with representation</t>
  </si>
  <si>
    <t>fully dissatisfied with representation</t>
  </si>
  <si>
    <t>would hire again</t>
  </si>
  <si>
    <t>would not hire again</t>
  </si>
  <si>
    <t>prefer if disciplined by peers</t>
  </si>
  <si>
    <t>prefer if disbarred</t>
  </si>
  <si>
    <t>no prior criminal history, misdemeanor(s) since</t>
  </si>
  <si>
    <t>always, even knowing it would cost me parole</t>
  </si>
  <si>
    <t>prior misdemeanor(s), but none since</t>
  </si>
  <si>
    <t>no prior criminal history, lesser felony since</t>
  </si>
  <si>
    <t>since recanting coerced confession</t>
  </si>
  <si>
    <t>prior lesser felony, but none or only misdemeanor since</t>
  </si>
  <si>
    <t>since released from prison</t>
  </si>
  <si>
    <t>no prior criminal history, equal or worse offense since</t>
  </si>
  <si>
    <t>never claimed innocence before</t>
  </si>
  <si>
    <t>equal or worse prior felony, but none or lesser offense since</t>
  </si>
  <si>
    <t>prior criminal history, equal or worse offense since</t>
  </si>
  <si>
    <t>equal or worse offense prior, equal or worse offense since</t>
  </si>
  <si>
    <t>repeatedly targeted by law enforcement</t>
  </si>
  <si>
    <t>in need of mental health services</t>
  </si>
  <si>
    <t>survival crime</t>
  </si>
  <si>
    <t>can't explain why</t>
  </si>
  <si>
    <t>exploited developmental disability</t>
  </si>
  <si>
    <t>exploited mental health deficit(s)</t>
  </si>
  <si>
    <t>exploited economic desperation</t>
  </si>
  <si>
    <t>deceived with false information about victim(s)</t>
  </si>
  <si>
    <t>deceived with false information about severity of crime</t>
  </si>
  <si>
    <t>deceived with false information about applicable law</t>
  </si>
  <si>
    <t>deceived with dubious promise of ending interrogation if saying what they want to hear</t>
  </si>
  <si>
    <t>What are some specific impacts on the claimant after trusting the adversarial judicial process?</t>
  </si>
  <si>
    <t>reason for being denied review in the past</t>
  </si>
  <si>
    <t>revisiting case risks retraumatization</t>
  </si>
  <si>
    <t>anxiety from relying on same process creating error</t>
  </si>
  <si>
    <t>anxiety from slowness of legal-judicial process</t>
  </si>
  <si>
    <t>anxiety from prosecutor's power to reinforce error</t>
  </si>
  <si>
    <t>anxiety from having little to no control over process</t>
  </si>
  <si>
    <t>depression level from legal-jud. process as only option</t>
  </si>
  <si>
    <t>never heard back from them</t>
  </si>
  <si>
    <t>not convinced of your innocence</t>
  </si>
  <si>
    <t>case lacks adequate documents</t>
  </si>
  <si>
    <t>prioritizing assistance to others</t>
  </si>
  <si>
    <t>1 denied review:</t>
  </si>
  <si>
    <t>2 retraumatization risk:</t>
  </si>
  <si>
    <t>no trauma or risk of trauma</t>
  </si>
  <si>
    <t>risks losing some focus</t>
  </si>
  <si>
    <t>risks reliving the nightmare</t>
  </si>
  <si>
    <t>risks shutting down entirely</t>
  </si>
  <si>
    <t>risks complicating the damage</t>
  </si>
  <si>
    <t>risks lethal damage, suicide</t>
  </si>
  <si>
    <t>3 depression:</t>
  </si>
  <si>
    <t>none linked to legal-jud. process</t>
  </si>
  <si>
    <t>moderate level linkable to it</t>
  </si>
  <si>
    <t>often feel de-energized by it</t>
  </si>
  <si>
    <t>routinely immobilized by it</t>
  </si>
  <si>
    <t>constantly incapacitated by it</t>
  </si>
  <si>
    <t>4 anxiety:</t>
  </si>
  <si>
    <t>no anxiety trusting court process</t>
  </si>
  <si>
    <t>slightly wary of trusting courts</t>
  </si>
  <si>
    <t>worried process will go poorly</t>
  </si>
  <si>
    <t>afraid courts cannot face its errors</t>
  </si>
  <si>
    <t>terrified having to rely on courts</t>
  </si>
  <si>
    <t>5 anxiety:</t>
  </si>
  <si>
    <t>not worried it may take years</t>
  </si>
  <si>
    <t>concerned it may take many years</t>
  </si>
  <si>
    <t>worried it may take decades</t>
  </si>
  <si>
    <t>afraid justice will come too late</t>
  </si>
  <si>
    <t xml:space="preserve">terrified justice will never come </t>
  </si>
  <si>
    <t>6 anxiety:</t>
  </si>
  <si>
    <t>not worried at all about it</t>
  </si>
  <si>
    <t>slightly concerned by it</t>
  </si>
  <si>
    <t>afraid of their conflicts of interest</t>
  </si>
  <si>
    <t>fear judiciary opposes full justice</t>
  </si>
  <si>
    <t>7 anxiety:</t>
  </si>
  <si>
    <t>no anxiety being out of the loop</t>
  </si>
  <si>
    <t>feel some vulnerability to process</t>
  </si>
  <si>
    <t xml:space="preserve">feel manipulated by the process </t>
  </si>
  <si>
    <t>feel controlled by the process</t>
  </si>
  <si>
    <t>feel paralyzed by the process</t>
  </si>
  <si>
    <t>8 disillusioned with process:</t>
  </si>
  <si>
    <t>not at all and eager to try again</t>
  </si>
  <si>
    <t>somewhat but hanging on to hope</t>
  </si>
  <si>
    <t>tempted to give up trying</t>
  </si>
  <si>
    <t>fully disillusioned, gave up hope</t>
  </si>
  <si>
    <t>disillusionment with legal-judicial process</t>
  </si>
  <si>
    <t>Impact on claimant (legitimacy of exclusionary legal-judicial process)</t>
  </si>
  <si>
    <t>Painful experience with the adversarial system helps to account for this claimant and others among the unexonerated.</t>
  </si>
  <si>
    <t>do not handle this type of case</t>
  </si>
  <si>
    <t>fully trusts</t>
  </si>
  <si>
    <t>hesitantly trusts</t>
  </si>
  <si>
    <t>fully distrusts</t>
  </si>
  <si>
    <t xml:space="preserve"> the legal-judicial process. Its </t>
  </si>
  <si>
    <t xml:space="preserve">This claimant </t>
  </si>
  <si>
    <t>cafefully avoids</t>
  </si>
  <si>
    <t>feels suspicious of</t>
  </si>
  <si>
    <t>questionable</t>
  </si>
  <si>
    <t>weak</t>
  </si>
  <si>
    <t>poor</t>
  </si>
  <si>
    <t>harmful</t>
  </si>
  <si>
    <t>egregious</t>
  </si>
  <si>
    <t xml:space="preserve">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t>
  </si>
  <si>
    <t>generally disappointed</t>
  </si>
  <si>
    <r>
      <t xml:space="preserve">Other academic articles may exist calculating similar or unique rates, not identified here. Contrary to popular belief, not all prisoners nor felons claim innocence. Only about 15% prisoners claim </t>
    </r>
    <r>
      <rPr>
        <b/>
        <i/>
        <sz val="11"/>
        <color theme="1"/>
        <rFont val="Times New Roman"/>
        <family val="1"/>
      </rPr>
      <t>actual innocence</t>
    </r>
    <r>
      <rPr>
        <sz val="11"/>
        <color theme="1"/>
        <rFont val="Times New Roman"/>
        <family val="1"/>
      </rPr>
      <t>, according to research by the RAND Corporation. The data suggests every claim deserves a sincere consideration. Starting with this claim of verifiable actual innocence.</t>
    </r>
  </si>
  <si>
    <t>Collateral consequences of wrongful conviction</t>
  </si>
  <si>
    <t>Trial prosecutor</t>
  </si>
  <si>
    <t>educational aid</t>
  </si>
  <si>
    <t>no limit</t>
  </si>
  <si>
    <t>=IF($D$1065=B2242,AI2242,IF($D$1065=B2243,AI2243,IF($D$1065=B2244,AI2244,IF($D$1065=B2245,AI2245,IF($D$1065=B2246,AI2246,IF($D$1065=B2247,AI2247,IF($D$1065=B2248,AI2248,IF($D$1065=B2249,AI2249,IF($D$1065=B2250,AI2250,IF($D$1065=B2251,AI2251,IF($D$1065=B2252,AI2252,IF($D$1065=B2253,AI2253,IF($D$1065=B2254,AI2254,IF($D$1065=B2255,AI2255,IF($D$1065=B2256,AI2256,IF($D$1065=B2257,AI2257,IF($D$1065=B2258,AI2258,IF($D$1065=B2259,AI2259,IF($D$1065=B2260,AI2260,IF($D$1065=B2261,AI2261,IF($D$1065=B2262,AI2262,IF($D$1065=B2263,AI2263,IF($D$1065=B2264,AI2264,IF($D$1065=B2265,AI2265,IF($D$1065=B2266,AI2266,IF($D$1065=B2267,AI2267,IF($D$1065=B2268,AI2268,IF($D$1065=B2269,AI2269,IF($D$1065=B2270,AI2270,IF($D$1065=B2271,AI2271,IF($D$1065=B2272,AI2272,IF($D$1065=B2273,AI2273,IF($D$1065=B2274,AI2274,IF($D$1065=B2275,AI2275,IF($D$1065=B2276,AI2276,IF($D$1065=B2277,AI2277,IF($D$1065=B2278,AI2278,IF($D$1065=B2279,AI2279,IF($D$1065=B2280,AI2280,IF($D$1065=B2281,AI2281,IF($D$1065=B2282,AI2282,IF($D$1065=B2283,AI2283,IF($D$1065=B2284,AI2284,IF($D$1065=B2285,AI2285,IF($D$1065=B2286,AI2286,IF($D$1065=B2287,AI2287,IF($D$1065=B2288,AI2288,IF($D$1065=B2289,AI2289,IF($D$1065=B2290,AI2290,IF($D$1065=B2291,AI2291,IF($D$1065=B2292,AI2292,IF($D$1065=B2293,AI2293,AI2240))))))))))))))))))))))))))))))))))))))))))))))))))))</t>
  </si>
  <si>
    <t>=IF(C1065&lt;=5,85350,IF(AND(AE264&gt;5,C1065&lt;=14),170000,IF(C1065&gt;14,199150)))</t>
  </si>
  <si>
    <t>=IF(OR($AC$1063=0,$C$1089=""),0,$C$1089*$C$1065)</t>
  </si>
  <si>
    <t>Estimated comp</t>
  </si>
  <si>
    <t>Years; State</t>
  </si>
  <si>
    <t>TO:</t>
  </si>
  <si>
    <t>FROM:</t>
  </si>
  <si>
    <t>DATE:</t>
  </si>
  <si>
    <t>RE:</t>
  </si>
  <si>
    <t>I.</t>
  </si>
  <si>
    <t>county</t>
  </si>
  <si>
    <t>DA</t>
  </si>
  <si>
    <t>email</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</si>
  <si>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</si>
  <si>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</si>
  <si>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</si>
  <si>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</si>
  <si>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</si>
  <si>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</si>
  <si>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</si>
  <si>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</si>
  <si>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</si>
  <si>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</si>
  <si>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</si>
  <si>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</si>
  <si>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</si>
  <si>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</si>
  <si>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</si>
  <si>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</si>
  <si>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</si>
  <si>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</si>
  <si>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</si>
  <si>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</si>
  <si>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</si>
  <si>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</si>
  <si>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</si>
  <si>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</si>
  <si>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</si>
  <si>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</si>
  <si>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</si>
  <si>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</si>
  <si>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</si>
  <si>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</si>
  <si>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</si>
  <si>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</si>
  <si>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</si>
  <si>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</si>
  <si>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</si>
  <si>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</si>
  <si>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</si>
  <si>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</si>
  <si>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</si>
  <si>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</si>
  <si>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</si>
  <si>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</si>
  <si>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</si>
  <si>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</si>
  <si>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</si>
  <si>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</si>
  <si>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</si>
  <si>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</si>
  <si>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</si>
  <si>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</si>
  <si>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</si>
  <si>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</si>
  <si>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</si>
  <si>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</si>
  <si>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</si>
  <si>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</si>
  <si>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</si>
  <si>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</si>
  <si>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</si>
  <si>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</si>
  <si>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</si>
  <si>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</si>
  <si>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</si>
  <si>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</si>
  <si>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</si>
  <si>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</si>
  <si>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</si>
  <si>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</si>
  <si>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</si>
  <si>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</si>
  <si>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</si>
  <si>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</si>
  <si>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St. Clair County</t>
  </si>
  <si>
    <t>Shelby County</t>
  </si>
  <si>
    <t>Sumter County</t>
  </si>
  <si>
    <t>Talladega County</t>
  </si>
  <si>
    <t>Tallapoosa County</t>
  </si>
  <si>
    <t>Tuscaloosa County</t>
  </si>
  <si>
    <t>Walker County</t>
  </si>
  <si>
    <t>Washington County</t>
  </si>
  <si>
    <t>Wilcox County</t>
  </si>
  <si>
    <t>Winston County</t>
  </si>
  <si>
    <t>Aleutians East Borough</t>
  </si>
  <si>
    <t>Anchorage</t>
  </si>
  <si>
    <t>Bristol Bay Borough</t>
  </si>
  <si>
    <t>Denali Borough</t>
  </si>
  <si>
    <t>Fairbanks North Star Borough</t>
  </si>
  <si>
    <t>Haines Borough</t>
  </si>
  <si>
    <t>Juneau</t>
  </si>
  <si>
    <t>Kenai Peninsula Borough</t>
  </si>
  <si>
    <t>Ketchikan Gateway Borough</t>
  </si>
  <si>
    <t>Kodiak Island Borough</t>
  </si>
  <si>
    <t>Lake and Peninsula Borough</t>
  </si>
  <si>
    <t>Matanuska-Susitna Borough</t>
  </si>
  <si>
    <t>North Slope Borough</t>
  </si>
  <si>
    <t>Northwest Arctic Borough</t>
  </si>
  <si>
    <t>Petersburg Borough</t>
  </si>
  <si>
    <t>Sitka</t>
  </si>
  <si>
    <t>Skagway</t>
  </si>
  <si>
    <t>Aleutians West Census Area</t>
  </si>
  <si>
    <t>Bethel Census Area</t>
  </si>
  <si>
    <t>Dillingham Census Area</t>
  </si>
  <si>
    <t>Hoonah–Angoon Census Area</t>
  </si>
  <si>
    <t>Kusilvak Census Area</t>
  </si>
  <si>
    <t>Nome Census Area</t>
  </si>
  <si>
    <t>Prince of Wales-Hyder Census Area</t>
  </si>
  <si>
    <t>Southeast Fairbanks Census Area</t>
  </si>
  <si>
    <t>Valdez-Cordova Census Area</t>
  </si>
  <si>
    <t>Yukon-Koyukuk Census Area</t>
  </si>
  <si>
    <t>Wrangell</t>
  </si>
  <si>
    <t>Yakutat</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</si>
  <si>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</si>
  <si>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</si>
  <si>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</si>
  <si>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</si>
  <si>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</si>
  <si>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</si>
  <si>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</si>
  <si>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</si>
  <si>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</si>
  <si>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</si>
  <si>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</si>
  <si>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</si>
  <si>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</si>
  <si>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</si>
  <si>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</si>
  <si>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</si>
  <si>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</si>
  <si>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</si>
  <si>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</si>
  <si>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</si>
  <si>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</si>
  <si>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</si>
  <si>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</si>
  <si>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</si>
  <si>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</si>
  <si>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</si>
  <si>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</si>
  <si>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</si>
  <si>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</si>
  <si>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</si>
  <si>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</si>
  <si>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</si>
  <si>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</si>
  <si>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</si>
  <si>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</si>
  <si>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</si>
  <si>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</si>
  <si>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</si>
  <si>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</si>
  <si>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</si>
  <si>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</si>
  <si>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</si>
  <si>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</si>
  <si>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</si>
  <si>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St. Francis County</t>
  </si>
  <si>
    <t>Saline County</t>
  </si>
  <si>
    <t>Scott County</t>
  </si>
  <si>
    <t>Searcy County</t>
  </si>
  <si>
    <t>Sebastian County</t>
  </si>
  <si>
    <t>Sevier County</t>
  </si>
  <si>
    <t>Sharp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</si>
  <si>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</si>
  <si>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</si>
  <si>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</si>
  <si>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</si>
  <si>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</si>
  <si>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</si>
  <si>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</si>
  <si>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</si>
  <si>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</si>
  <si>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</si>
  <si>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</si>
  <si>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</si>
  <si>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</si>
  <si>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</si>
  <si>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</si>
  <si>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</si>
  <si>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</si>
  <si>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</si>
  <si>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</si>
  <si>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</si>
  <si>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</si>
  <si>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</si>
  <si>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</si>
  <si>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</si>
  <si>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</si>
  <si>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</si>
  <si>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</si>
  <si>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</si>
  <si>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</si>
  <si>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</si>
  <si>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</si>
  <si>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</si>
  <si>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</si>
  <si>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</si>
  <si>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</si>
  <si>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</si>
  <si>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</si>
  <si>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</si>
  <si>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</si>
  <si>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</si>
  <si>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</si>
  <si>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</si>
  <si>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</si>
  <si>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</si>
  <si>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</si>
  <si>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</si>
  <si>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</si>
  <si>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</si>
  <si>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</si>
  <si>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</si>
  <si>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</si>
  <si>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</si>
  <si>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</si>
  <si>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</si>
  <si>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</si>
  <si>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</si>
  <si>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</si>
  <si>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</si>
  <si>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</si>
  <si>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</si>
  <si>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</si>
  <si>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</si>
  <si>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</si>
  <si>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</si>
  <si>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</si>
  <si>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</si>
  <si>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</si>
  <si>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</si>
  <si>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</si>
  <si>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City and County of Broomfield</t>
  </si>
  <si>
    <t>Chaffee County</t>
  </si>
  <si>
    <t>Cheyenne County</t>
  </si>
  <si>
    <t>Clear Creek County</t>
  </si>
  <si>
    <t>Conejos County</t>
  </si>
  <si>
    <t>Costilla County</t>
  </si>
  <si>
    <t>Crowley County</t>
  </si>
  <si>
    <t>Custer County</t>
  </si>
  <si>
    <t>Delta County</t>
  </si>
  <si>
    <t>City and County of Denver</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</si>
  <si>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</si>
  <si>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</si>
  <si>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</si>
  <si>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</si>
  <si>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</si>
  <si>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</si>
  <si>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</si>
  <si>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</si>
  <si>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</si>
  <si>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</si>
  <si>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</si>
  <si>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</si>
  <si>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</si>
  <si>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</si>
  <si>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</si>
  <si>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</si>
  <si>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</si>
  <si>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</si>
  <si>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</si>
  <si>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</si>
  <si>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</si>
  <si>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</si>
  <si>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</si>
  <si>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</si>
  <si>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</si>
  <si>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</si>
  <si>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</si>
  <si>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</si>
  <si>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</si>
  <si>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</si>
  <si>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</si>
  <si>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</si>
  <si>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</si>
  <si>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</si>
  <si>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</si>
  <si>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</si>
  <si>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</si>
  <si>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</si>
  <si>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</si>
  <si>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</si>
  <si>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</si>
  <si>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</si>
  <si>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</si>
  <si>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</si>
  <si>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</si>
  <si>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</si>
  <si>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</si>
  <si>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</si>
  <si>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</si>
  <si>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</si>
  <si>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</si>
  <si>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</si>
  <si>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</si>
  <si>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</si>
  <si>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</si>
  <si>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</si>
  <si>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</si>
  <si>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</si>
  <si>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</si>
  <si>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</si>
  <si>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</si>
  <si>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</si>
  <si>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</si>
  <si>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</si>
  <si>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</si>
  <si>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</si>
  <si>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</si>
  <si>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</si>
  <si>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</si>
  <si>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</si>
  <si>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</si>
  <si>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</si>
  <si>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</si>
  <si>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</si>
  <si>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</si>
  <si>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</si>
  <si>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</si>
  <si>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</si>
  <si>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</si>
  <si>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</si>
  <si>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</si>
  <si>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</si>
  <si>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</si>
  <si>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</si>
  <si>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</si>
  <si>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</si>
  <si>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</si>
  <si>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St. Johns County</t>
  </si>
  <si>
    <t>St. Lucie County</t>
  </si>
  <si>
    <t>Santa Rosa County</t>
  </si>
  <si>
    <t>Sarasota County</t>
  </si>
  <si>
    <t>Seminole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</si>
  <si>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</si>
  <si>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</si>
  <si>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</si>
  <si>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</si>
  <si>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</si>
  <si>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</si>
  <si>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</si>
  <si>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</si>
  <si>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</si>
  <si>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</si>
  <si>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</si>
  <si>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</si>
  <si>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</si>
  <si>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</si>
  <si>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</si>
  <si>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</si>
  <si>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</si>
  <si>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</si>
  <si>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</si>
  <si>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</si>
  <si>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</si>
  <si>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</si>
  <si>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</si>
  <si>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</si>
  <si>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</si>
  <si>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</si>
  <si>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</si>
  <si>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</si>
  <si>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</si>
  <si>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</si>
  <si>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</si>
  <si>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</si>
  <si>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</si>
  <si>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</si>
  <si>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</si>
  <si>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</si>
  <si>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</si>
  <si>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</si>
  <si>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</si>
  <si>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</si>
  <si>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</si>
  <si>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</si>
  <si>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</si>
  <si>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</si>
  <si>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</si>
  <si>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</si>
  <si>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</si>
  <si>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</si>
  <si>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</si>
  <si>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</si>
  <si>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</si>
  <si>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</si>
  <si>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</si>
  <si>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</si>
  <si>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</si>
  <si>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</si>
  <si>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</si>
  <si>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</si>
  <si>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</si>
  <si>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</si>
  <si>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</si>
  <si>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</si>
  <si>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</si>
  <si>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</si>
  <si>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</si>
  <si>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</si>
  <si>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</si>
  <si>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</si>
  <si>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</si>
  <si>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</si>
  <si>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</si>
  <si>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</si>
  <si>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</si>
  <si>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</si>
  <si>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</si>
  <si>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</si>
  <si>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</si>
  <si>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</si>
  <si>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</si>
  <si>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</si>
  <si>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</si>
  <si>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</si>
  <si>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</si>
  <si>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</si>
  <si>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</si>
  <si>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</si>
  <si>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</si>
  <si>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</si>
  <si>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</si>
  <si>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</si>
  <si>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</si>
  <si>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</si>
  <si>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</si>
  <si>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</si>
  <si>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</si>
  <si>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</si>
  <si>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</si>
  <si>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</si>
  <si>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</si>
  <si>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</si>
  <si>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</si>
  <si>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</si>
  <si>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</si>
  <si>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</si>
  <si>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</si>
  <si>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</si>
  <si>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</si>
  <si>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</si>
  <si>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</si>
  <si>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</si>
  <si>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</si>
  <si>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</si>
  <si>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</si>
  <si>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</si>
  <si>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</si>
  <si>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</si>
  <si>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</si>
  <si>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</si>
  <si>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</si>
  <si>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</si>
  <si>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</si>
  <si>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</si>
  <si>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</si>
  <si>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</si>
  <si>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</si>
  <si>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</si>
  <si>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</si>
  <si>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</si>
  <si>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</si>
  <si>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</si>
  <si>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</si>
  <si>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</si>
  <si>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</si>
  <si>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</si>
  <si>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</si>
  <si>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</si>
  <si>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</si>
  <si>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</si>
  <si>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</si>
  <si>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</si>
  <si>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</si>
  <si>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</si>
  <si>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</si>
  <si>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</si>
  <si>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</si>
  <si>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</si>
  <si>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</si>
  <si>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</si>
  <si>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</si>
  <si>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</si>
  <si>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</si>
  <si>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</si>
  <si>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</si>
  <si>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</si>
  <si>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</si>
  <si>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</si>
  <si>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</si>
  <si>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</si>
  <si>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</si>
  <si>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</si>
  <si>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</si>
  <si>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</si>
  <si>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</si>
  <si>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</si>
  <si>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</si>
  <si>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</si>
  <si>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</si>
  <si>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</si>
  <si>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</si>
  <si>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</si>
  <si>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</si>
  <si>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</si>
  <si>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</si>
  <si>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</si>
  <si>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</si>
  <si>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</si>
  <si>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</si>
  <si>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</si>
  <si>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</si>
  <si>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</si>
  <si>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</si>
  <si>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</si>
  <si>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</si>
  <si>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</si>
  <si>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</si>
  <si>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</si>
  <si>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</si>
  <si>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</si>
  <si>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</si>
  <si>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</si>
  <si>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</si>
  <si>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</si>
  <si>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</si>
  <si>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</si>
  <si>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</si>
  <si>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</si>
  <si>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</si>
  <si>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</si>
  <si>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</si>
  <si>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</si>
  <si>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</si>
  <si>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</si>
  <si>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</si>
  <si>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</si>
  <si>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</si>
  <si>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</si>
  <si>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</si>
  <si>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</si>
  <si>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</si>
  <si>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</si>
  <si>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</si>
  <si>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</si>
  <si>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</si>
  <si>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</si>
  <si>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</si>
  <si>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</si>
  <si>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</si>
  <si>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</si>
  <si>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</si>
  <si>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</si>
  <si>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</si>
  <si>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</si>
  <si>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</si>
  <si>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</si>
  <si>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</si>
  <si>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</si>
  <si>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</si>
  <si>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</si>
  <si>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</si>
  <si>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</si>
  <si>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</si>
  <si>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</si>
  <si>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St. Joseph County</t>
  </si>
  <si>
    <t>Spencer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</si>
  <si>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</si>
  <si>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</si>
  <si>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</si>
  <si>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</si>
  <si>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</si>
  <si>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</si>
  <si>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</si>
  <si>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</si>
  <si>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</si>
  <si>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</si>
  <si>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</si>
  <si>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</si>
  <si>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</si>
  <si>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</si>
  <si>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</si>
  <si>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</si>
  <si>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</si>
  <si>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</si>
  <si>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</si>
  <si>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</si>
  <si>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</si>
  <si>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</si>
  <si>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</si>
  <si>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</si>
  <si>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</si>
  <si>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</si>
  <si>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</si>
  <si>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</si>
  <si>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</si>
  <si>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</si>
  <si>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</si>
  <si>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</si>
  <si>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</si>
  <si>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</si>
  <si>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</si>
  <si>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</si>
  <si>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</si>
  <si>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</si>
  <si>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</si>
  <si>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</si>
  <si>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</si>
  <si>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</si>
  <si>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</si>
  <si>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</si>
  <si>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</si>
  <si>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</si>
  <si>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</si>
  <si>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</si>
  <si>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</si>
  <si>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</si>
  <si>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</si>
  <si>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</si>
  <si>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</si>
  <si>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</si>
  <si>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</si>
  <si>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</si>
  <si>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</si>
  <si>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</si>
  <si>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</si>
  <si>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</si>
  <si>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</si>
  <si>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</si>
  <si>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</si>
  <si>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</si>
  <si>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</si>
  <si>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</si>
  <si>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</si>
  <si>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</si>
  <si>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</si>
  <si>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</si>
  <si>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</si>
  <si>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</si>
  <si>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</si>
  <si>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</si>
  <si>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</si>
  <si>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</si>
  <si>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</si>
  <si>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</si>
  <si>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</si>
  <si>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</si>
  <si>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</si>
  <si>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</si>
  <si>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</si>
  <si>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</si>
  <si>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</si>
  <si>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</si>
  <si>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</si>
  <si>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</si>
  <si>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</si>
  <si>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</si>
  <si>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</si>
  <si>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</si>
  <si>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</si>
  <si>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</si>
  <si>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</si>
  <si>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</si>
  <si>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</si>
  <si>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</si>
  <si>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</si>
  <si>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</si>
  <si>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</si>
  <si>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</si>
  <si>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</si>
  <si>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</si>
  <si>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</si>
  <si>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</si>
  <si>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</si>
  <si>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</si>
  <si>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</si>
  <si>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</si>
  <si>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</si>
  <si>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</si>
  <si>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</si>
  <si>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</si>
  <si>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</si>
  <si>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</si>
  <si>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</si>
  <si>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</si>
  <si>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</si>
  <si>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</si>
  <si>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</si>
  <si>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</si>
  <si>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</si>
  <si>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</si>
  <si>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</si>
  <si>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</si>
  <si>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</si>
  <si>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</si>
  <si>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</si>
  <si>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</si>
  <si>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</si>
  <si>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</si>
  <si>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</si>
  <si>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</si>
  <si>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</si>
  <si>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</si>
  <si>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</si>
  <si>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</si>
  <si>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</si>
  <si>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</si>
  <si>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</si>
  <si>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</si>
  <si>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</si>
  <si>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</si>
  <si>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</si>
  <si>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</si>
  <si>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</si>
  <si>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</si>
  <si>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</si>
  <si>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</si>
  <si>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</si>
  <si>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</si>
  <si>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</si>
  <si>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</si>
  <si>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</si>
  <si>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</si>
  <si>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</si>
  <si>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</si>
  <si>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</si>
  <si>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McCracken County</t>
  </si>
  <si>
    <t>McCreary County</t>
  </si>
  <si>
    <t>Magoffin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</si>
  <si>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</si>
  <si>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</si>
  <si>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</si>
  <si>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</si>
  <si>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</si>
  <si>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</si>
  <si>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</si>
  <si>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</si>
  <si>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</si>
  <si>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</si>
  <si>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</si>
  <si>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</si>
  <si>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</si>
  <si>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</si>
  <si>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</si>
  <si>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</si>
  <si>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</si>
  <si>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</si>
  <si>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</si>
  <si>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</si>
  <si>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</si>
  <si>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</si>
  <si>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</si>
  <si>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</si>
  <si>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</si>
  <si>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</si>
  <si>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</si>
  <si>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</si>
  <si>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</si>
  <si>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</si>
  <si>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</si>
  <si>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</si>
  <si>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</si>
  <si>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</si>
  <si>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</si>
  <si>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</si>
  <si>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</si>
  <si>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</si>
  <si>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</si>
  <si>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</si>
  <si>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</si>
  <si>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</si>
  <si>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</si>
  <si>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</si>
  <si>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</si>
  <si>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</si>
  <si>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</si>
  <si>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</si>
  <si>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</si>
  <si>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</si>
  <si>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</si>
  <si>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</si>
  <si>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</si>
  <si>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</si>
  <si>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</si>
  <si>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</si>
  <si>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</si>
  <si>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</si>
  <si>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</si>
  <si>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</si>
  <si>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</si>
  <si>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</si>
  <si>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</si>
  <si>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</si>
  <si>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</si>
  <si>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</si>
  <si>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</si>
  <si>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</si>
  <si>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</si>
  <si>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</si>
  <si>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</si>
  <si>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</si>
  <si>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</si>
  <si>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</si>
  <si>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</si>
  <si>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</si>
  <si>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</si>
  <si>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</si>
  <si>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</si>
  <si>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</si>
  <si>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</si>
  <si>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Allegany County</t>
  </si>
  <si>
    <t>Anne Arundel County</t>
  </si>
  <si>
    <t>Baltimore County</t>
  </si>
  <si>
    <t>Baltimore City</t>
  </si>
  <si>
    <t>Calvert County</t>
  </si>
  <si>
    <t>Caroline County</t>
  </si>
  <si>
    <t>Cecil County</t>
  </si>
  <si>
    <t>Charles County</t>
  </si>
  <si>
    <t>Dorchester County</t>
  </si>
  <si>
    <t>Frederick County</t>
  </si>
  <si>
    <t>Garrett County</t>
  </si>
  <si>
    <t>Harford County</t>
  </si>
  <si>
    <t>Prince George's County</t>
  </si>
  <si>
    <t>Queen Anne's County</t>
  </si>
  <si>
    <t>Saint Mary's County</t>
  </si>
  <si>
    <t>Somerset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</si>
  <si>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</si>
  <si>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</si>
  <si>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</si>
  <si>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</si>
  <si>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</si>
  <si>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</si>
  <si>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</si>
  <si>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</si>
  <si>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</si>
  <si>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</si>
  <si>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</si>
  <si>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</si>
  <si>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</si>
  <si>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</si>
  <si>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</si>
  <si>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</si>
  <si>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</si>
  <si>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</si>
  <si>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</si>
  <si>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</si>
  <si>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</si>
  <si>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</si>
  <si>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</si>
  <si>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</si>
  <si>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</si>
  <si>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</si>
  <si>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</si>
  <si>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</si>
  <si>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</si>
  <si>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</si>
  <si>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</si>
  <si>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</si>
  <si>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</si>
  <si>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</si>
  <si>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</si>
  <si>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</si>
  <si>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</si>
  <si>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</si>
  <si>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</si>
  <si>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</si>
  <si>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</si>
  <si>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</si>
  <si>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</si>
  <si>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</si>
  <si>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</si>
  <si>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</si>
  <si>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</si>
  <si>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</si>
  <si>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</si>
  <si>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</si>
  <si>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</si>
  <si>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</si>
  <si>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</si>
  <si>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</si>
  <si>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</si>
  <si>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</si>
  <si>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</si>
  <si>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</si>
  <si>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</si>
  <si>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</si>
  <si>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</si>
  <si>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</si>
  <si>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</si>
  <si>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</si>
  <si>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</si>
  <si>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</si>
  <si>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</si>
  <si>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</si>
  <si>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</si>
  <si>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</si>
  <si>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</si>
  <si>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</si>
  <si>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</si>
  <si>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</si>
  <si>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</si>
  <si>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</si>
  <si>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</si>
  <si>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</si>
  <si>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</si>
  <si>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</si>
  <si>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</si>
  <si>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</si>
  <si>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</si>
  <si>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</si>
  <si>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</si>
  <si>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</si>
  <si>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</si>
  <si>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</si>
  <si>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</si>
  <si>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</si>
  <si>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</si>
  <si>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</si>
  <si>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</si>
  <si>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</si>
  <si>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</si>
  <si>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</si>
  <si>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</si>
  <si>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</si>
  <si>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</si>
  <si>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</si>
  <si>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</si>
  <si>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McLeod County</t>
  </si>
  <si>
    <t>Mahnomen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</si>
  <si>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</si>
  <si>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</si>
  <si>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</si>
  <si>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</si>
  <si>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</si>
  <si>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</si>
  <si>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</si>
  <si>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</si>
  <si>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</si>
  <si>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</si>
  <si>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</si>
  <si>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</si>
  <si>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</si>
  <si>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</si>
  <si>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</si>
  <si>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</si>
  <si>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</si>
  <si>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</si>
  <si>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Saint Louis County</t>
  </si>
  <si>
    <t>Sherburne County</t>
  </si>
  <si>
    <t>Sibley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</si>
  <si>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</si>
  <si>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</si>
  <si>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</si>
  <si>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</si>
  <si>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</si>
  <si>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</si>
  <si>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</si>
  <si>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</si>
  <si>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</si>
  <si>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</si>
  <si>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</si>
  <si>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</si>
  <si>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</si>
  <si>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</si>
  <si>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</si>
  <si>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</si>
  <si>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</si>
  <si>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</si>
  <si>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</si>
  <si>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</si>
  <si>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</si>
  <si>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</si>
  <si>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</si>
  <si>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</si>
  <si>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</si>
  <si>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</si>
  <si>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</si>
  <si>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</si>
  <si>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</si>
  <si>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</si>
  <si>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</si>
  <si>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</si>
  <si>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</si>
  <si>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</si>
  <si>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</si>
  <si>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</si>
  <si>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</si>
  <si>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</si>
  <si>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</si>
  <si>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</si>
  <si>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</si>
  <si>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</si>
  <si>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</si>
  <si>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</si>
  <si>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</si>
  <si>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</si>
  <si>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</si>
  <si>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</si>
  <si>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</si>
  <si>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</si>
  <si>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</si>
  <si>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</si>
  <si>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</si>
  <si>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</si>
  <si>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</si>
  <si>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</si>
  <si>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</si>
  <si>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</si>
  <si>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</si>
  <si>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</si>
  <si>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</si>
  <si>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</si>
  <si>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</si>
  <si>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</si>
  <si>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</si>
  <si>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</si>
  <si>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</si>
  <si>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</si>
  <si>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</si>
  <si>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</si>
  <si>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</si>
  <si>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</si>
  <si>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</si>
  <si>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</si>
  <si>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</si>
  <si>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</si>
  <si>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</si>
  <si>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</si>
  <si>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Saint Charles County</t>
  </si>
  <si>
    <t>Saint Clair County</t>
  </si>
  <si>
    <t>Saint Francois County</t>
  </si>
  <si>
    <t>Saint Louis City</t>
  </si>
  <si>
    <t>Ste. Genevieve County</t>
  </si>
  <si>
    <t>Scotland County</t>
  </si>
  <si>
    <t>Shannon County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</si>
  <si>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</si>
  <si>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</si>
  <si>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</si>
  <si>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</si>
  <si>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</si>
  <si>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</si>
  <si>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</si>
  <si>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</si>
  <si>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</si>
  <si>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</si>
  <si>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</si>
  <si>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</si>
  <si>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</si>
  <si>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</si>
  <si>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</si>
  <si>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</si>
  <si>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</si>
  <si>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</si>
  <si>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</si>
  <si>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</si>
  <si>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</si>
  <si>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</si>
  <si>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</si>
  <si>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</si>
  <si>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</si>
  <si>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</si>
  <si>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</si>
  <si>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</si>
  <si>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</si>
  <si>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</si>
  <si>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</si>
  <si>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</si>
  <si>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</si>
  <si>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</si>
  <si>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</si>
  <si>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</si>
  <si>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</si>
  <si>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</si>
  <si>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</si>
  <si>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</si>
  <si>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</si>
  <si>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</si>
  <si>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</si>
  <si>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</si>
  <si>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</si>
  <si>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</si>
  <si>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</si>
  <si>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</si>
  <si>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</si>
  <si>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</si>
  <si>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</si>
  <si>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</si>
  <si>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</si>
  <si>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</si>
  <si>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</si>
  <si>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</si>
  <si>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</si>
  <si>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</si>
  <si>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</si>
  <si>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</si>
  <si>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</si>
  <si>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</si>
  <si>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</si>
  <si>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</si>
  <si>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</si>
  <si>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</si>
  <si>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</si>
  <si>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</si>
  <si>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</si>
  <si>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</si>
  <si>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</si>
  <si>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</si>
  <si>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</si>
  <si>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</si>
  <si>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</si>
  <si>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</si>
  <si>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</si>
  <si>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</si>
  <si>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</si>
  <si>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</si>
  <si>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York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</si>
  <si>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</si>
  <si>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</si>
  <si>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</si>
  <si>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</si>
  <si>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</si>
  <si>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</si>
  <si>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</si>
  <si>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</si>
  <si>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</si>
  <si>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</si>
  <si>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</si>
  <si>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</si>
  <si>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</si>
  <si>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</si>
  <si>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</si>
  <si>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</si>
  <si>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</si>
  <si>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</si>
  <si>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</si>
  <si>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</si>
  <si>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</si>
  <si>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</si>
  <si>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</si>
  <si>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</si>
  <si>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</si>
  <si>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</si>
  <si>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</si>
  <si>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</si>
  <si>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</si>
  <si>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</si>
  <si>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</si>
  <si>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</si>
  <si>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</si>
  <si>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</si>
  <si>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</si>
  <si>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</si>
  <si>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</si>
  <si>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</si>
  <si>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</si>
  <si>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</si>
  <si>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</si>
  <si>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</si>
  <si>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</si>
  <si>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</si>
  <si>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</si>
  <si>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</si>
  <si>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</si>
  <si>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</si>
  <si>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</si>
  <si>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</si>
  <si>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</si>
  <si>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</si>
  <si>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</si>
  <si>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</si>
  <si>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</si>
  <si>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</si>
  <si>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</si>
  <si>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</si>
  <si>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</si>
  <si>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</si>
  <si>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</si>
  <si>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</si>
  <si>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</si>
  <si>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</si>
  <si>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</si>
  <si>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</si>
  <si>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</si>
  <si>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</si>
  <si>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</si>
  <si>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</si>
  <si>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</si>
  <si>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</si>
  <si>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</si>
  <si>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St. Lawrence County</t>
  </si>
  <si>
    <t>Saratoga County</t>
  </si>
  <si>
    <t>Schenectady County</t>
  </si>
  <si>
    <t>Schoharie County</t>
  </si>
  <si>
    <t>Seneca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</si>
  <si>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</si>
  <si>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</si>
  <si>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</si>
  <si>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</si>
  <si>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</si>
  <si>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</si>
  <si>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</si>
  <si>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</si>
  <si>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</si>
  <si>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</si>
  <si>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</si>
  <si>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</si>
  <si>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</si>
  <si>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</si>
  <si>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</si>
  <si>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</si>
  <si>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</si>
  <si>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</si>
  <si>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</si>
  <si>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</si>
  <si>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</si>
  <si>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</si>
  <si>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</si>
  <si>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</si>
  <si>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</si>
  <si>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</si>
  <si>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</si>
  <si>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</si>
  <si>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</si>
  <si>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</si>
  <si>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</si>
  <si>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</si>
  <si>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</si>
  <si>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</si>
  <si>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</si>
  <si>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</si>
  <si>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</si>
  <si>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</si>
  <si>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</si>
  <si>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</si>
  <si>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</si>
  <si>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</si>
  <si>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</si>
  <si>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</si>
  <si>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</si>
  <si>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</si>
  <si>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</si>
  <si>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</si>
  <si>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</si>
  <si>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</si>
  <si>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</si>
  <si>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</si>
  <si>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</si>
  <si>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</si>
  <si>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</si>
  <si>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</si>
  <si>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</si>
  <si>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</si>
  <si>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</si>
  <si>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</si>
  <si>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</si>
  <si>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</si>
  <si>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</si>
  <si>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</si>
  <si>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</si>
  <si>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</si>
  <si>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</si>
  <si>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</si>
  <si>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</si>
  <si>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</si>
  <si>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</si>
  <si>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</si>
  <si>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</si>
  <si>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</si>
  <si>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</si>
  <si>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</si>
  <si>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</si>
  <si>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</si>
  <si>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</si>
  <si>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</si>
  <si>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</si>
  <si>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</si>
  <si>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</si>
  <si>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</si>
  <si>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</si>
  <si>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</si>
  <si>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</si>
  <si>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</si>
  <si>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</si>
  <si>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</si>
  <si>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</si>
  <si>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</si>
  <si>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</si>
  <si>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</si>
  <si>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</si>
  <si>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</si>
  <si>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</si>
  <si>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</si>
  <si>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</si>
  <si>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</si>
  <si>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</si>
  <si>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</si>
  <si>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</si>
  <si>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</si>
  <si>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</si>
  <si>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</si>
  <si>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</si>
  <si>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</si>
  <si>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</si>
  <si>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</si>
  <si>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</si>
  <si>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</si>
  <si>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</si>
  <si>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</si>
  <si>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</si>
  <si>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</si>
  <si>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</si>
  <si>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</si>
  <si>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</si>
  <si>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</si>
  <si>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</si>
  <si>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</si>
  <si>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</si>
  <si>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</si>
  <si>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</si>
  <si>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</si>
  <si>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</si>
  <si>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</si>
  <si>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</si>
  <si>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</si>
  <si>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</si>
  <si>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</si>
  <si>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</si>
  <si>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</si>
  <si>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</si>
  <si>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</si>
  <si>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</si>
  <si>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</si>
  <si>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</si>
  <si>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</si>
  <si>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</si>
  <si>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</si>
  <si>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</si>
  <si>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</si>
  <si>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</si>
  <si>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</si>
  <si>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</si>
  <si>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</si>
  <si>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</si>
  <si>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</si>
  <si>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</si>
  <si>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</si>
  <si>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</si>
  <si>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</si>
  <si>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</si>
  <si>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</si>
  <si>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</si>
  <si>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</si>
  <si>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</si>
  <si>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</si>
  <si>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</si>
  <si>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</si>
  <si>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</si>
  <si>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</si>
  <si>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</si>
  <si>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</si>
  <si>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</si>
  <si>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</si>
  <si>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</si>
  <si>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</si>
  <si>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</si>
  <si>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</si>
  <si>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</si>
  <si>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</si>
  <si>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</si>
  <si>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</si>
  <si>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</si>
  <si>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</si>
  <si>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</si>
  <si>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</si>
  <si>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</si>
  <si>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</si>
  <si>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</si>
  <si>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</si>
  <si>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</si>
  <si>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</si>
  <si>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</si>
  <si>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</si>
  <si>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</si>
  <si>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</si>
  <si>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</si>
  <si>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</si>
  <si>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</si>
  <si>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</si>
  <si>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</si>
  <si>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</si>
  <si>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</si>
  <si>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</si>
  <si>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</si>
  <si>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</si>
  <si>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</si>
  <si>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</si>
  <si>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</si>
  <si>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</si>
  <si>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</si>
  <si>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</si>
  <si>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</si>
  <si>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</si>
  <si>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</si>
  <si>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</si>
  <si>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</si>
  <si>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</si>
  <si>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</si>
  <si>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</si>
  <si>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</si>
  <si>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</si>
  <si>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</si>
  <si>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</si>
  <si>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</si>
  <si>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</si>
  <si>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</si>
  <si>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</si>
  <si>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</si>
  <si>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</si>
  <si>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</si>
  <si>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</si>
  <si>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</si>
  <si>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</si>
  <si>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</si>
  <si>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</si>
  <si>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</si>
  <si>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</si>
  <si>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</si>
  <si>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</si>
  <si>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</si>
  <si>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</si>
  <si>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</si>
  <si>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</si>
  <si>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</si>
  <si>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</si>
  <si>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</si>
  <si>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</si>
  <si>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</si>
  <si>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</si>
  <si>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</si>
  <si>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</si>
  <si>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</si>
  <si>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</si>
  <si>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</si>
  <si>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</si>
  <si>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</si>
  <si>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</si>
  <si>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</si>
  <si>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</si>
  <si>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</si>
  <si>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</si>
  <si>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</si>
  <si>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</si>
  <si>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</si>
  <si>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</si>
  <si>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</si>
  <si>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</si>
  <si>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</si>
  <si>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</si>
  <si>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</si>
  <si>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</si>
  <si>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</si>
  <si>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</si>
  <si>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</si>
  <si>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</si>
  <si>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</si>
  <si>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</si>
  <si>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</si>
  <si>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</si>
  <si>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</si>
  <si>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</si>
  <si>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</si>
  <si>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</si>
  <si>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</si>
  <si>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</si>
  <si>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</si>
  <si>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</si>
  <si>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</si>
  <si>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</si>
  <si>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</si>
  <si>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</si>
  <si>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</si>
  <si>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</si>
  <si>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</si>
  <si>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</si>
  <si>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</si>
  <si>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</si>
  <si>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</si>
  <si>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</si>
  <si>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</si>
  <si>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</si>
  <si>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</si>
  <si>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</si>
  <si>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</si>
  <si>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</si>
  <si>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</si>
  <si>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</si>
  <si>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</si>
  <si>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</si>
  <si>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</si>
  <si>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</si>
  <si>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</si>
  <si>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</si>
  <si>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</si>
  <si>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</si>
  <si>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</si>
  <si>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</si>
  <si>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</si>
  <si>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</si>
  <si>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</si>
  <si>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</si>
  <si>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</si>
  <si>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</si>
  <si>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</si>
  <si>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</si>
  <si>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</si>
  <si>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</si>
  <si>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</si>
  <si>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</si>
  <si>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</si>
  <si>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</si>
  <si>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</si>
  <si>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</si>
  <si>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</si>
  <si>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</si>
  <si>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</si>
  <si>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</si>
  <si>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</si>
  <si>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</si>
  <si>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</si>
  <si>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</si>
  <si>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</si>
  <si>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</si>
  <si>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</si>
  <si>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</si>
  <si>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</si>
  <si>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</si>
  <si>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</si>
  <si>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</si>
  <si>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</si>
  <si>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</si>
  <si>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</si>
  <si>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</si>
  <si>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</si>
  <si>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</si>
  <si>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</si>
  <si>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</si>
  <si>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</si>
  <si>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</si>
  <si>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</si>
  <si>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</si>
  <si>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</si>
  <si>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</si>
  <si>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</si>
  <si>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</si>
  <si>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</si>
  <si>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</si>
  <si>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</si>
  <si>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</si>
  <si>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</si>
  <si>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</si>
  <si>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</si>
  <si>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</si>
  <si>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</si>
  <si>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</si>
  <si>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</si>
  <si>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</si>
  <si>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</si>
  <si>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</si>
  <si>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</si>
  <si>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</si>
  <si>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</si>
  <si>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</si>
  <si>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</si>
  <si>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</si>
  <si>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</si>
  <si>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</si>
  <si>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</si>
  <si>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</si>
  <si>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</si>
  <si>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</si>
  <si>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</si>
  <si>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</si>
  <si>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</si>
  <si>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</si>
  <si>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</si>
  <si>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</si>
  <si>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</si>
  <si>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</si>
  <si>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</si>
  <si>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</si>
  <si>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</si>
  <si>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</si>
  <si>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</si>
  <si>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</si>
  <si>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</si>
  <si>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</si>
  <si>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</si>
  <si>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</si>
  <si>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</si>
  <si>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Lamb County</t>
  </si>
  <si>
    <t>Lampasas County</t>
  </si>
  <si>
    <t>La Salle County</t>
  </si>
  <si>
    <t>Lavaca County</t>
  </si>
  <si>
    <t>Lipscomb County</t>
  </si>
  <si>
    <t>Live Oak County</t>
  </si>
  <si>
    <t>Llano County</t>
  </si>
  <si>
    <t>Loving County</t>
  </si>
  <si>
    <t>Lubbock County</t>
  </si>
  <si>
    <t>Lynn County</t>
  </si>
  <si>
    <t>McCulloch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</si>
  <si>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</si>
  <si>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</si>
  <si>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</si>
  <si>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</si>
  <si>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</si>
  <si>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</si>
  <si>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</si>
  <si>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</si>
  <si>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</si>
  <si>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</si>
  <si>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</si>
  <si>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</si>
  <si>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</si>
  <si>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</si>
  <si>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</si>
  <si>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</si>
  <si>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</si>
  <si>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</si>
  <si>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</si>
  <si>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</si>
  <si>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</si>
  <si>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</si>
  <si>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</si>
  <si>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</si>
  <si>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</si>
  <si>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</si>
  <si>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</si>
  <si>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</si>
  <si>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</si>
  <si>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</si>
  <si>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</si>
  <si>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</si>
  <si>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</si>
  <si>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</si>
  <si>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</si>
  <si>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</si>
  <si>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</si>
  <si>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</si>
  <si>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</si>
  <si>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</si>
  <si>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</si>
  <si>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</si>
  <si>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</si>
  <si>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</si>
  <si>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</si>
  <si>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</si>
  <si>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</si>
  <si>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</si>
  <si>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</si>
  <si>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</si>
  <si>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</si>
  <si>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</si>
  <si>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</si>
  <si>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</si>
  <si>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</si>
  <si>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</si>
  <si>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</si>
  <si>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</si>
  <si>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</si>
  <si>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</si>
  <si>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</si>
  <si>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</si>
  <si>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</si>
  <si>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</si>
  <si>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</si>
  <si>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</si>
  <si>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</si>
  <si>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</si>
  <si>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</si>
  <si>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</si>
  <si>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</si>
  <si>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</si>
  <si>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</si>
  <si>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</si>
  <si>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</si>
  <si>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</si>
  <si>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</si>
  <si>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</si>
  <si>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</si>
  <si>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</si>
  <si>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</si>
  <si>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</si>
  <si>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</si>
  <si>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</si>
  <si>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</si>
  <si>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</si>
  <si>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</si>
  <si>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</si>
  <si>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</si>
  <si>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</si>
  <si>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</si>
  <si>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t>
  </si>
  <si>
    <t>Amelia County</t>
  </si>
  <si>
    <t>Amherst County</t>
  </si>
  <si>
    <t>Appomattox County</t>
  </si>
  <si>
    <t>Arlington County</t>
  </si>
  <si>
    <t>Augusta County</t>
  </si>
  <si>
    <t>Bland County</t>
  </si>
  <si>
    <t>Botetourt County</t>
  </si>
  <si>
    <t>Bristol</t>
  </si>
  <si>
    <t>Buckingham County</t>
  </si>
  <si>
    <t>Buena Vista</t>
  </si>
  <si>
    <t>Charles City County</t>
  </si>
  <si>
    <t>Charlottesville</t>
  </si>
  <si>
    <t>Chesapeake</t>
  </si>
  <si>
    <t>Colonial Heights</t>
  </si>
  <si>
    <t>Covington</t>
  </si>
  <si>
    <t>Culpeper County</t>
  </si>
  <si>
    <t>Danville</t>
  </si>
  <si>
    <t>Dickenson County</t>
  </si>
  <si>
    <t>Dinwiddie County</t>
  </si>
  <si>
    <t>Emporia</t>
  </si>
  <si>
    <t>Fairfax</t>
  </si>
  <si>
    <t>Fairfax County</t>
  </si>
  <si>
    <t>Falls Church</t>
  </si>
  <si>
    <t>Fauquier County</t>
  </si>
  <si>
    <t>Fluvanna County</t>
  </si>
  <si>
    <t>Franklin</t>
  </si>
  <si>
    <t>Fredericksburg</t>
  </si>
  <si>
    <t>Galax</t>
  </si>
  <si>
    <t>Goochland County</t>
  </si>
  <si>
    <t>Greensville County</t>
  </si>
  <si>
    <t>Hampton</t>
  </si>
  <si>
    <t>Hanover County</t>
  </si>
  <si>
    <t>Harrisonburg</t>
  </si>
  <si>
    <t>Henrico County</t>
  </si>
  <si>
    <t>Hopewell</t>
  </si>
  <si>
    <t>Isle of Wight County</t>
  </si>
  <si>
    <t>James City County</t>
  </si>
  <si>
    <t>King and Queen County</t>
  </si>
  <si>
    <t>King George County</t>
  </si>
  <si>
    <t>King William County</t>
  </si>
  <si>
    <t>Lexington</t>
  </si>
  <si>
    <t>Loudoun County</t>
  </si>
  <si>
    <t>Lunenburg County</t>
  </si>
  <si>
    <t>Lynchburg</t>
  </si>
  <si>
    <t>Manassas</t>
  </si>
  <si>
    <t>Manassas Park</t>
  </si>
  <si>
    <t>Martinsville</t>
  </si>
  <si>
    <t>Mathews County</t>
  </si>
  <si>
    <t>New Kent County</t>
  </si>
  <si>
    <t>Newport News</t>
  </si>
  <si>
    <t>Norfolk</t>
  </si>
  <si>
    <t>Norton</t>
  </si>
  <si>
    <t>Nottoway County</t>
  </si>
  <si>
    <t>Patrick County</t>
  </si>
  <si>
    <t>Petersburg</t>
  </si>
  <si>
    <t>Pittsylvania County</t>
  </si>
  <si>
    <t>Poquoson</t>
  </si>
  <si>
    <t>Portsmouth</t>
  </si>
  <si>
    <t>Powhatan County</t>
  </si>
  <si>
    <t>Prince Edward County</t>
  </si>
  <si>
    <t>Prince George County</t>
  </si>
  <si>
    <t>Prince William County</t>
  </si>
  <si>
    <t>Radford</t>
  </si>
  <si>
    <t>Rappahannock County</t>
  </si>
  <si>
    <t>Richmond</t>
  </si>
  <si>
    <t>Roanoke</t>
  </si>
  <si>
    <t>Roanoke County</t>
  </si>
  <si>
    <t>Rockbridge County</t>
  </si>
  <si>
    <t>Salem</t>
  </si>
  <si>
    <t>Shenandoah County</t>
  </si>
  <si>
    <t>Smyth County</t>
  </si>
  <si>
    <t>Southampton County</t>
  </si>
  <si>
    <t>Spotsylvania County</t>
  </si>
  <si>
    <t>Staunton</t>
  </si>
  <si>
    <t>Suffolk</t>
  </si>
  <si>
    <t>Virginia Beach</t>
  </si>
  <si>
    <t>Waynesboro</t>
  </si>
  <si>
    <t>Williamsburg</t>
  </si>
  <si>
    <t>Winchester</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</si>
  <si>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</si>
  <si>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</si>
  <si>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</si>
  <si>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</si>
  <si>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</si>
  <si>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</si>
  <si>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</si>
  <si>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</si>
  <si>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</si>
  <si>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</si>
  <si>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</si>
  <si>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</si>
  <si>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</si>
  <si>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</si>
  <si>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</si>
  <si>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</si>
  <si>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</si>
  <si>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</si>
  <si>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</si>
  <si>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</si>
  <si>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</si>
  <si>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</si>
  <si>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</si>
  <si>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</si>
  <si>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</si>
  <si>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</si>
  <si>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</si>
  <si>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</si>
  <si>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</si>
  <si>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</si>
  <si>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</si>
  <si>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</si>
  <si>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</si>
  <si>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</si>
  <si>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</si>
  <si>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</si>
  <si>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</si>
  <si>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</si>
  <si>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</si>
  <si>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</si>
  <si>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</si>
  <si>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</si>
  <si>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</si>
  <si>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</si>
  <si>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</si>
  <si>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</si>
  <si>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</si>
  <si>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</si>
  <si>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</si>
  <si>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</si>
  <si>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</si>
  <si>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</si>
  <si>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</si>
  <si>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</si>
  <si>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</si>
  <si>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</si>
  <si>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</si>
  <si>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</si>
  <si>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</si>
  <si>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</si>
  <si>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</si>
  <si>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</si>
  <si>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</si>
  <si>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</si>
  <si>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</si>
  <si>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</si>
  <si>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</si>
  <si>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</si>
  <si>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</si>
  <si>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</si>
  <si>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</si>
  <si>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</si>
  <si>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</si>
  <si>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</si>
  <si>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</si>
  <si>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</si>
  <si>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</si>
  <si>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</si>
  <si>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</si>
  <si>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</si>
  <si>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</si>
  <si>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</si>
  <si>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</si>
  <si>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</si>
  <si>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</si>
  <si>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</si>
  <si>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R</t>
  </si>
  <si>
    <t>Randall V. Houston</t>
  </si>
  <si>
    <t>AL</t>
  </si>
  <si>
    <t>Robert E. Wilters</t>
  </si>
  <si>
    <t>Ben C. Reeves, Jr.</t>
  </si>
  <si>
    <t>D</t>
  </si>
  <si>
    <t>Michael W. Jackson</t>
  </si>
  <si>
    <t>Pamela L. Casey</t>
  </si>
  <si>
    <t>Charlotte M. Tesmer</t>
  </si>
  <si>
    <t>Brian A. McVeigh</t>
  </si>
  <si>
    <t>Douglas Jeremy Duerr</t>
  </si>
  <si>
    <t>n</t>
  </si>
  <si>
    <t>Michael E. O'Dell</t>
  </si>
  <si>
    <t>Spencer B. Walker</t>
  </si>
  <si>
    <t>Jeffrey A. Willis</t>
  </si>
  <si>
    <t>Thomas T. Anderson</t>
  </si>
  <si>
    <t>Bryce U. Graham, Jr.</t>
  </si>
  <si>
    <t>Stephen A. Wadlington</t>
  </si>
  <si>
    <t>Walter M. Merrell III</t>
  </si>
  <si>
    <t>C. Wilson Blaylock</t>
  </si>
  <si>
    <t>T. Kirke Adams</t>
  </si>
  <si>
    <t>Stephen M. Billy</t>
  </si>
  <si>
    <t>Joseph Willoughby</t>
  </si>
  <si>
    <t>Andy Hamlin</t>
  </si>
  <si>
    <t>Joseph S. Rushing</t>
  </si>
  <si>
    <t>Gregory S. Griggers</t>
  </si>
  <si>
    <t>Patrick B. Jones III</t>
  </si>
  <si>
    <t>Jason R. Pierce</t>
  </si>
  <si>
    <t>Lynneice O. Washington</t>
  </si>
  <si>
    <t>Christopher E. Connolly</t>
  </si>
  <si>
    <t>Errek P. Jett</t>
  </si>
  <si>
    <t>Brandon M. Hughes</t>
  </si>
  <si>
    <t>Brian C.T. Jones</t>
  </si>
  <si>
    <t>Robert L. Broussard</t>
  </si>
  <si>
    <t>Scott A. Slatton</t>
  </si>
  <si>
    <t>Clark E. Johnson III</t>
  </si>
  <si>
    <t>Ashley M. Rich</t>
  </si>
  <si>
    <t>Daryl D. Bailey</t>
  </si>
  <si>
    <t>R. Scott Anderson</t>
  </si>
  <si>
    <t>Kenneth E. Davis</t>
  </si>
  <si>
    <t>Lyle Harmon</t>
  </si>
  <si>
    <t>Jill H. Lee</t>
  </si>
  <si>
    <t>Steven D. Giddens</t>
  </si>
  <si>
    <t>Robert Hays Webb</t>
  </si>
  <si>
    <t>William R. Adair</t>
  </si>
  <si>
    <t>Michael D. Whiting</t>
  </si>
  <si>
    <t>Brian McIntyre</t>
  </si>
  <si>
    <t>Bill Ring</t>
  </si>
  <si>
    <t>Bradley Beauchamp</t>
  </si>
  <si>
    <t>Kenneth Angle</t>
  </si>
  <si>
    <t>Jeremy Ford</t>
  </si>
  <si>
    <t>I</t>
  </si>
  <si>
    <t>Tony Rogers</t>
  </si>
  <si>
    <t>Allister Adel</t>
  </si>
  <si>
    <t>Matthew Smith</t>
  </si>
  <si>
    <t>Brad Carlyon</t>
  </si>
  <si>
    <t>Barbara Lawall</t>
  </si>
  <si>
    <t>Kent Volkmer</t>
  </si>
  <si>
    <t>George Silva</t>
  </si>
  <si>
    <t>Sheila Polk</t>
  </si>
  <si>
    <t>Jon Smith</t>
  </si>
  <si>
    <t>Tim Blair</t>
  </si>
  <si>
    <t>Thomas Deen</t>
  </si>
  <si>
    <t>David Ethredge</t>
  </si>
  <si>
    <t>Nathan Smith</t>
  </si>
  <si>
    <t>Jeff Rogers</t>
  </si>
  <si>
    <t>Dan Turner</t>
  </si>
  <si>
    <t>Scott Ellington</t>
  </si>
  <si>
    <t>Eric Hance</t>
  </si>
  <si>
    <t>Tom Tatum II</t>
  </si>
  <si>
    <t>Robert Presley</t>
  </si>
  <si>
    <t>Todd Murray</t>
  </si>
  <si>
    <t>Carol Crews</t>
  </si>
  <si>
    <t>Jeff Phillips</t>
  </si>
  <si>
    <t>Michelle C. Lawrence</t>
  </si>
  <si>
    <t>Teresa Howell</t>
  </si>
  <si>
    <t>Christi McQueen</t>
  </si>
  <si>
    <t>Bryan Chesshir</t>
  </si>
  <si>
    <t>Henry H. Boyce</t>
  </si>
  <si>
    <t>Kyle Hunter</t>
  </si>
  <si>
    <t>Stephanie Potter-Barrett</t>
  </si>
  <si>
    <t>Chuck Graham</t>
  </si>
  <si>
    <t>Matt Durrett</t>
  </si>
  <si>
    <t>Andy Riner</t>
  </si>
  <si>
    <t>Larry Jegley</t>
  </si>
  <si>
    <t>Rebecca Reed McCoy</t>
  </si>
  <si>
    <t>Chris Walton</t>
  </si>
  <si>
    <t>Daniel Shue</t>
  </si>
  <si>
    <t>E. Nancy O'Malley</t>
  </si>
  <si>
    <t>Michael Atwell</t>
  </si>
  <si>
    <t>Todd Riehe</t>
  </si>
  <si>
    <t>Michael L. Ramsey</t>
  </si>
  <si>
    <t>Barbara Yook</t>
  </si>
  <si>
    <t>Matthew Beauchamp</t>
  </si>
  <si>
    <t>Diana Becton</t>
  </si>
  <si>
    <t>Katherine Micks</t>
  </si>
  <si>
    <t>Vernon Pierson</t>
  </si>
  <si>
    <t>Lisa Smittcamp</t>
  </si>
  <si>
    <t>Dwayne Stewart</t>
  </si>
  <si>
    <t>Maggie Fleming</t>
  </si>
  <si>
    <t>Gilbert G. Otero</t>
  </si>
  <si>
    <t>Thomas L. Hardy</t>
  </si>
  <si>
    <t>Cynthia Zimmer</t>
  </si>
  <si>
    <t>Keith Fagundes</t>
  </si>
  <si>
    <t>Susan Krones</t>
  </si>
  <si>
    <t>S. Melyssah Rios</t>
  </si>
  <si>
    <t>George Gascón</t>
  </si>
  <si>
    <t>Sally O. Moreno</t>
  </si>
  <si>
    <t>Lori Frugoli</t>
  </si>
  <si>
    <t>Walter Wall</t>
  </si>
  <si>
    <t>C. David Eyster</t>
  </si>
  <si>
    <t>Kimberly Lewis</t>
  </si>
  <si>
    <t>Sophia Meyer</t>
  </si>
  <si>
    <t>Tim Kendall</t>
  </si>
  <si>
    <t>Jeannine M. Pacioni</t>
  </si>
  <si>
    <t>Allison Haley</t>
  </si>
  <si>
    <t>Clifford Newell</t>
  </si>
  <si>
    <t>Todd Spitzer</t>
  </si>
  <si>
    <t>Morgan Gire</t>
  </si>
  <si>
    <t>David Hollister</t>
  </si>
  <si>
    <t>Michael Hestrin</t>
  </si>
  <si>
    <t>Anne Marie Schubert</t>
  </si>
  <si>
    <t>Candice Hooper-Mancino</t>
  </si>
  <si>
    <t>Jason Anderson</t>
  </si>
  <si>
    <t>Summer Stephan</t>
  </si>
  <si>
    <t>Chesa Boudin</t>
  </si>
  <si>
    <t>Tori Verber Salazar</t>
  </si>
  <si>
    <t>Dan Dow</t>
  </si>
  <si>
    <t>Stephen M. Wagstaffe</t>
  </si>
  <si>
    <t>Joyce Dudley</t>
  </si>
  <si>
    <t>Jeffrey Rosen</t>
  </si>
  <si>
    <t>Jeff Rosell</t>
  </si>
  <si>
    <t>Stephanie A. Bridgett</t>
  </si>
  <si>
    <t>Sandra Groven</t>
  </si>
  <si>
    <t>James Kirk Andrus</t>
  </si>
  <si>
    <t>Krishna A. Abrams</t>
  </si>
  <si>
    <t>Jill Ravitch</t>
  </si>
  <si>
    <t>Birgit Fladager</t>
  </si>
  <si>
    <t>Amanda L. Hopper</t>
  </si>
  <si>
    <t>Matthew Rogers</t>
  </si>
  <si>
    <t>Donna Daly</t>
  </si>
  <si>
    <t>Tim Ward</t>
  </si>
  <si>
    <t>Laura L. Krieg</t>
  </si>
  <si>
    <t>Gregory Totten</t>
  </si>
  <si>
    <t>Jeffrey Reisig</t>
  </si>
  <si>
    <t>Clint Curry</t>
  </si>
  <si>
    <t>Brian Mason</t>
  </si>
  <si>
    <t>Alonzo C. Payne</t>
  </si>
  <si>
    <t>John Kellner</t>
  </si>
  <si>
    <t>Christian Champagne</t>
  </si>
  <si>
    <t>Joshua Vogel</t>
  </si>
  <si>
    <t>William Culver</t>
  </si>
  <si>
    <t>Michael Dougherty</t>
  </si>
  <si>
    <t>Linda Stanley</t>
  </si>
  <si>
    <t>Heidi McCollum</t>
  </si>
  <si>
    <t>Seth D. Ryan</t>
  </si>
  <si>
    <t>Beth McCann</t>
  </si>
  <si>
    <t>Matthew G. Margeson</t>
  </si>
  <si>
    <t>Michael Allen</t>
  </si>
  <si>
    <t>Jeff Cheney</t>
  </si>
  <si>
    <t>Alexis King</t>
  </si>
  <si>
    <t>Matthew Karzen</t>
  </si>
  <si>
    <t>Henry Solano</t>
  </si>
  <si>
    <t>Gordon McLaughlin</t>
  </si>
  <si>
    <t>Travis Sides</t>
  </si>
  <si>
    <t>Daniel P. Rubenstein</t>
  </si>
  <si>
    <t>Jeff Chostner</t>
  </si>
  <si>
    <t>Michael J. Rourke</t>
  </si>
  <si>
    <t>=IF($C$208=$BS2242,DZ2242,IF($C$208=BS2243,DZ2243,IF($C$208=BS2244,DZ2244,IF($C$208=BS2245,DZ2245,IF($C$208=BS2246,DZ2246,IF($C$208=BS2247,DZ2247,IF($C$208=BS2248,DZ2248,IF($C$208=BS2249,DZ2249,IF($C$208=BS2250,DZ2250,IF($C$208=BS2251,DZ2251,IF($C$208=BS2252,DZ2252,IF($C$208=BS2253,DZ2253,IF($C$208=BS2495,DZ2495,""))</t>
  </si>
  <si>
    <t>=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2242,DZ2242,IF($C$208=BS2243,DZ2243,IF($C$208=BS2244,DZ2244,IF($C$208=BS2245,DZ2245,IF($C$208=BS2246,DZ2246,IF($C$208=BS2247,DZ2247,IF($C$208=BS2248,DZ2248,IF($C$208=BS2249,DZ2249,IF($C$208=BS2250,DZ2250,IF($C$208=BS2251,DZ2251,IF($C$208=BS2493,DZ2493,IF($C$208=BS2494,DZ2494,IF($C$208=BS2495,DZ2495,""))))))))))))))))))))))))))))))))))))))))))))))))))))))))))))))))))))))))))))))))))))))))))))))))))))))))))))))))))))))))))))))))))))))))))))))))))))))))))))))))))))))))))))))))))))))))))))))))))))))))))))))))))))))))))))))))))))))))))))))))))))))))))))))))))))))))))))))))))))))))))))))))))))))))))))))))))))))))))))))))))))))))))))))))))))))))))))))))))))))))))))))))))))))))))))))))))))))))))))))))))))))))))))))))))))))))))))))</t>
  </si>
  <si>
    <t>uses over 64 levels of nesting'</t>
  </si>
  <si>
    <t>=IF($C208=$BS2242,DZ2242,IF($C208=$BS2243,DZ2243,IF($C208=$BS2244,DZ2244,IF($C208=$BS2245,DZ2245,IF($C208=$BS2246,DZ2246,IF($C208=$BS2247,DZ2247,IF($C208=$BS2248,DZ2248,IF($C208=$BS2249,DZ2249,IF($C208=$BS2250,DZ2250,IF($C208=$BS2251,DZ2251,""))))))))))</t>
  </si>
  <si>
    <t>M.</t>
  </si>
  <si>
    <t>N.</t>
  </si>
  <si>
    <t>O.</t>
  </si>
  <si>
    <t>P.</t>
  </si>
  <si>
    <t>ROI</t>
  </si>
  <si>
    <t>Need-response</t>
  </si>
  <si>
    <t>Press release</t>
  </si>
  <si>
    <t>Support message to victim(s)</t>
  </si>
  <si>
    <t>Policy Paper (sent to your state legislators)</t>
  </si>
  <si>
    <t>Innocence Investigation Springboard (sent to IP)</t>
  </si>
  <si>
    <t>PRESS RELEASE</t>
  </si>
  <si>
    <t>FOR IMMEDIATE RELEASE</t>
  </si>
  <si>
    <t>[CLAIMANT] identified as [##]% possible of being innocent</t>
  </si>
  <si>
    <t>[CLAIMANT] has a/an [##]% possibilty of being innocent</t>
  </si>
  <si>
    <t>Anankelogy, understanding each other's needs</t>
  </si>
  <si>
    <t>You NEED This, introducing anankelogy as the study of need</t>
  </si>
  <si>
    <t>name</t>
  </si>
  <si>
    <t>=if(EA2606="","",EA2606,IF(EB2606="","",EB2606,IF(EC2606="","",EC2606,IF(ED2606="","",ED2606,IF(EE2606="","",EE2606,IF(EF2606="","",EF2606,""))))))</t>
  </si>
  <si>
    <t>=IF(EA2606=0,0,1,if(EB2606=0,0,2))</t>
  </si>
  <si>
    <t>first</t>
  </si>
  <si>
    <t>=IF(EC2608="","",EC2608,OR(ED2608,"","",ED2608))</t>
  </si>
  <si>
    <t>Perhaps you prefer to first see if you receive enough early support before commiting to this process.</t>
  </si>
  <si>
    <t>Once you build sufficient moment, you can launch an advocacy campaign with my proactive support.</t>
  </si>
  <si>
    <t>We invite your growing team to share the costs in a fundraiser with the URL: www.valuerelating.com/fund-[conviction YEAR]-[claimant first name]-[claimant last name].</t>
  </si>
  <si>
    <r>
      <t xml:space="preserve">See the sample fundraiser </t>
    </r>
    <r>
      <rPr>
        <u/>
        <sz val="11"/>
        <color theme="1"/>
        <rFont val="Times New Roman"/>
        <family val="1"/>
      </rPr>
      <t>here</t>
    </r>
    <r>
      <rPr>
        <sz val="11"/>
        <color theme="1"/>
        <rFont val="Times New Roman"/>
        <family val="1"/>
      </rPr>
      <t>.</t>
    </r>
  </si>
  <si>
    <r>
      <rPr>
        <b/>
        <sz val="11"/>
        <color theme="1"/>
        <rFont val="Times New Roman"/>
        <family val="1"/>
      </rPr>
      <t>Adversarial options</t>
    </r>
    <r>
      <rPr>
        <sz val="11"/>
        <color theme="1"/>
        <rFont val="Times New Roman"/>
        <family val="1"/>
      </rPr>
      <t>; limits of binary options</t>
    </r>
  </si>
  <si>
    <r>
      <rPr>
        <b/>
        <sz val="11"/>
        <color theme="1"/>
        <rFont val="Times New Roman"/>
        <family val="1"/>
      </rPr>
      <t>Conciliatory process</t>
    </r>
    <r>
      <rPr>
        <sz val="11"/>
        <color theme="1"/>
        <rFont val="Times New Roman"/>
        <family val="1"/>
      </rPr>
      <t>: transcend divisivism of binary limits, moral leadership of addressing all affected needs</t>
    </r>
  </si>
  <si>
    <t>Resolve needs on all sides; remove all pain, raise functioning level of all; nurture love</t>
  </si>
  <si>
    <t>Relieve pain, manage pain, endure lower level of functioning</t>
  </si>
  <si>
    <t>Easement orientation</t>
  </si>
  <si>
    <t>Relational orientation</t>
  </si>
  <si>
    <t>Trust in generalizations, accept oppositional binaries of adversarial judiciary as reality, limit deeper justice</t>
  </si>
  <si>
    <t>Explore specifics, transcend initial binaries like accuser-accused, engage nuance for resolving needs, realize deeper justice</t>
  </si>
  <si>
    <t>Advocacy campaign timeline &amp; process</t>
  </si>
  <si>
    <t>Deeper justice</t>
  </si>
  <si>
    <t>You're invited</t>
  </si>
  <si>
    <t>Just a reminder</t>
  </si>
  <si>
    <t>Last chance to join us</t>
  </si>
  <si>
    <t>Thank you for joining the team</t>
  </si>
  <si>
    <t>Thank you for following our campaign</t>
  </si>
  <si>
    <t>Thank you for supporting our campaign</t>
  </si>
  <si>
    <t>We have to move forward without you</t>
  </si>
  <si>
    <t>Hey, NAME, you're invited</t>
  </si>
  <si>
    <t>Thank you, NAME, for following our campaign</t>
  </si>
  <si>
    <t>Thank you, NAME, for supporting our campaign</t>
  </si>
  <si>
    <t>NAME, we have to move forward without you</t>
  </si>
  <si>
    <t>Just a reminder, NAME, in case you forgot</t>
  </si>
  <si>
    <t>Last chance to join us, NAME</t>
  </si>
  <si>
    <t>Thank you for letting us know</t>
  </si>
  <si>
    <t>Invitee</t>
  </si>
  <si>
    <t>Building your support team</t>
  </si>
  <si>
    <t>First name</t>
  </si>
  <si>
    <t>Last name</t>
  </si>
  <si>
    <t>f</t>
  </si>
  <si>
    <t>s</t>
  </si>
  <si>
    <t>Thank you, NAME, for your consideration</t>
  </si>
  <si>
    <t>1) PREP phase</t>
  </si>
  <si>
    <t>2) BASE phase</t>
  </si>
  <si>
    <t>3) TEAM phase</t>
  </si>
  <si>
    <t>4) GROW phase</t>
  </si>
  <si>
    <t xml:space="preserve">I help you advocate for the claimant's cause; I help you grow a support team, I bridge your claim with powerholders who can hear and act on the viable innocence claim. </t>
  </si>
  <si>
    <t>National Registry of Exonerations</t>
  </si>
  <si>
    <t>Forward empathetic message to somebody special</t>
  </si>
  <si>
    <t>visit the claimant in person</t>
  </si>
  <si>
    <t>Thank you, NAME, for joining our team at last</t>
  </si>
  <si>
    <t>Current option:</t>
  </si>
  <si>
    <t>good choice if the raw score is low</t>
  </si>
  <si>
    <t>How much is it worth to you? What is the value of one person to you? What is the value of [ESTIMATED WC] to the state of [STATE]?</t>
  </si>
  <si>
    <t>competitive legitimacy</t>
  </si>
  <si>
    <t>Donaldson</t>
  </si>
  <si>
    <t>Marcus</t>
  </si>
  <si>
    <t>Tanner</t>
  </si>
  <si>
    <t>Lisa</t>
  </si>
  <si>
    <t>Charles</t>
  </si>
  <si>
    <t>, we have to move forward without you</t>
  </si>
  <si>
    <t xml:space="preserve">Hey, </t>
  </si>
  <si>
    <t>, you're invited</t>
  </si>
  <si>
    <t xml:space="preserve">Just a reminder, </t>
  </si>
  <si>
    <t xml:space="preserve">Last chance to join us, </t>
  </si>
  <si>
    <t>, in case you forgot</t>
  </si>
  <si>
    <t xml:space="preserve">Thank you, </t>
  </si>
  <si>
    <t>, for your consideration</t>
  </si>
  <si>
    <t>, for following our campaign</t>
  </si>
  <si>
    <t>, for supporting our campaign</t>
  </si>
  <si>
    <t>, for joining our team at last</t>
  </si>
  <si>
    <t>marcus453@yahoo.com</t>
  </si>
  <si>
    <t>n  no response</t>
  </si>
  <si>
    <t>f  follower</t>
  </si>
  <si>
    <t>s  supporter</t>
  </si>
  <si>
    <t>Value Relating</t>
  </si>
  <si>
    <t>-</t>
  </si>
  <si>
    <t>d  declined</t>
  </si>
  <si>
    <t>d</t>
  </si>
  <si>
    <t xml:space="preserve"> verified with </t>
  </si>
  <si>
    <t>% likelihood of being innocent</t>
  </si>
  <si>
    <t xml:space="preserve"> identified with </t>
  </si>
  <si>
    <t xml:space="preserve"> inspires supporters to find the 'quality' of a conviction</t>
  </si>
  <si>
    <t>'s supporters challenge DA to raise justice standards</t>
  </si>
  <si>
    <t>'s supporters question the legitimacy of adversarial justice</t>
  </si>
  <si>
    <t>'s supporters challenge the legitimacy of adversarial justice</t>
  </si>
  <si>
    <t>'s supporters welcome DA's support for conviction quality</t>
  </si>
  <si>
    <t>'s supporters affirm DA's earned legitimacy</t>
  </si>
  <si>
    <t>understandly painful to dig up this part of your past</t>
  </si>
  <si>
    <t>you may resist the idea that your actions contributed to incarcerating the wrong person</t>
  </si>
  <si>
    <t>we understand you were vulnerable at the time to follow the wishes of those who interviewed you</t>
  </si>
  <si>
    <t>claimant holds no bitterness</t>
  </si>
  <si>
    <t>forgiving, hope you can forgive yourself</t>
  </si>
  <si>
    <t>worry the actual perpetrator was allowed to do similar acts of violence against others</t>
  </si>
  <si>
    <t>encourage you to contact the current [DA] or [Kent County]</t>
  </si>
  <si>
    <t>excesses of liberal ideology exacerbated by excesses of conservative ideology, overlooking the best of liberal values and the best of conservative values</t>
  </si>
  <si>
    <t>volume of WC kept from economic opportunities</t>
  </si>
  <si>
    <t>IDA</t>
  </si>
  <si>
    <t>Recipient response:</t>
  </si>
  <si>
    <t>data to shape better policies</t>
  </si>
  <si>
    <t xml:space="preserve">two wrongs don't make a right, but sometimes </t>
  </si>
  <si>
    <t>Democratic accountability</t>
  </si>
  <si>
    <t>Support letter from team members</t>
  </si>
  <si>
    <t>I support 100% [CLAIMANT]'s 00% estimated innocence</t>
  </si>
  <si>
    <t>I am investing 100% in [CLAIMANT]'s 00% estimated innocence</t>
  </si>
  <si>
    <t>Join me in supporting 100% [CLAIMANT]'s 00% estimated innocence</t>
  </si>
  <si>
    <t>I am sponsoring 100% in [CLAIMANT]'s 00% estimated innocence</t>
  </si>
  <si>
    <t>Join me in sponsoring 100% in [CLAIMANT]'s 00% estimated innocence</t>
  </si>
  <si>
    <t>ONE-LINER:</t>
  </si>
  <si>
    <t>Asexual transperson registered for life as a sex offender</t>
  </si>
  <si>
    <t>WHO or WHAT + UNJUST RESULT (to evoke viewers interest)</t>
  </si>
  <si>
    <t>=AQ1743</t>
  </si>
  <si>
    <t>=IF(OR(E716=0.08,OR(E716=0.18,OR(AND(E716&gt;0.79,E716&lt;=0.89)))),"an ","a ")</t>
  </si>
  <si>
    <t>=IF(OR(E717=0.08,OR(E717=0.18,OR(AND(E717&gt;0.79,E717&lt;=0.89)))),"an ","a ")</t>
  </si>
  <si>
    <t>=E716*100</t>
  </si>
  <si>
    <t>=E717*100</t>
  </si>
  <si>
    <t xml:space="preserve">I support 100% </t>
  </si>
  <si>
    <t xml:space="preserve">I am investing 100% in </t>
  </si>
  <si>
    <t xml:space="preserve">'s </t>
  </si>
  <si>
    <t xml:space="preserve">I am sponsoring 100% </t>
  </si>
  <si>
    <t xml:space="preserve">Join me in following </t>
  </si>
  <si>
    <t xml:space="preserve">Join me in sponsoring </t>
  </si>
  <si>
    <t xml:space="preserve">Join me in supporting </t>
  </si>
  <si>
    <t>https://www.valuerelating.com/</t>
  </si>
  <si>
    <t>mass civil disobedience to bad laws and to corrupted state institutions</t>
  </si>
  <si>
    <t>Those most impacted by wrongful convictions review the claims themselves</t>
  </si>
  <si>
    <t>Conviction integrity? How about conviction quality?</t>
  </si>
  <si>
    <t>New platform identifies wrongful convictions quicker than the courts</t>
  </si>
  <si>
    <t>We did it, we're attracting their attention</t>
  </si>
  <si>
    <t xml:space="preserve">We did it, </t>
  </si>
  <si>
    <t>, we're attracting their attention!</t>
  </si>
  <si>
    <t>SUBJECT:</t>
  </si>
  <si>
    <t>3. SELECT A SUBJECT LINE ABOVE TO CHOOSE WHICH MESSAGE TO SEND</t>
  </si>
  <si>
    <t>1. SELECT A SUBJECT LINE ABOVE TO CHOOSE WHICH MESSAGE TO SEND</t>
  </si>
  <si>
    <t>2. SELECT SENDER: FROM CLAIMANT, PROXY OR FROM VALUE RELATING</t>
  </si>
  <si>
    <t>4. COPY URL, CLICK ON URL BELOW, CLICK CRTL+K, PASTE URL INTO BOX</t>
  </si>
  <si>
    <t>4. AFTER SENDING, SELECT ANOTHER RECIPIENT AND RESET THE SUBJECT LINE</t>
  </si>
  <si>
    <t>Claimant email address</t>
  </si>
  <si>
    <t>sexual assault/rape</t>
  </si>
  <si>
    <t>alleged crime never occurred</t>
  </si>
  <si>
    <t>accessory after the fact</t>
  </si>
  <si>
    <t>yes, I pled guilty under duress</t>
  </si>
  <si>
    <t>homicide</t>
  </si>
  <si>
    <t>attempted homicide</t>
  </si>
  <si>
    <t>court appointed</t>
  </si>
  <si>
    <t>hired</t>
  </si>
  <si>
    <t>neither (or not applicable)</t>
  </si>
  <si>
    <t>Describe any dropped charges</t>
  </si>
  <si>
    <t>Describe any added or altered charges</t>
  </si>
  <si>
    <t>would hire again with changes</t>
  </si>
  <si>
    <t>impacting only my child(ren)</t>
  </si>
  <si>
    <t>impacting only my grandchild(ren)</t>
  </si>
  <si>
    <t>Loss or denial of professional license</t>
  </si>
  <si>
    <t>Does claimant note any occasion where law enforcement bends the rules to obtain what they view as just ends? E.g., bluffed to intimate a confession, lied about codefendant implicating claimant, withheld or destroyed exculpatory evidence, incentivized deceit from a witness, coached testimony of a complainant.</t>
  </si>
  <si>
    <t>indeterminant sentence with no set outdate</t>
  </si>
  <si>
    <t>Could compensation make up for all the loss?</t>
  </si>
  <si>
    <t>yes, somewhat</t>
  </si>
  <si>
    <t>yes, very much</t>
  </si>
  <si>
    <t>I don't know</t>
  </si>
  <si>
    <t>no, not at all</t>
  </si>
  <si>
    <t>I probably will not bother</t>
  </si>
  <si>
    <t>How often requesting help from an innocence project:</t>
  </si>
  <si>
    <t>5+</t>
  </si>
  <si>
    <t>Local district attorney</t>
  </si>
  <si>
    <t>Mounting claims require better processing resources</t>
  </si>
  <si>
    <t>Innocence project communication</t>
  </si>
  <si>
    <t>Structural exaction invoice</t>
  </si>
  <si>
    <t>transactional until engagement</t>
  </si>
  <si>
    <t>You do not know what you do not know. Your power advantage can keep you from finding what you need to know to respect each other's affected needs.</t>
  </si>
  <si>
    <t>Has another person confessed to the crime? Does that person exclude any claimant involvement?</t>
  </si>
  <si>
    <t>No.</t>
  </si>
  <si>
    <t>Contribution</t>
  </si>
  <si>
    <t>Item</t>
  </si>
  <si>
    <t>Independent verification</t>
  </si>
  <si>
    <t>score</t>
  </si>
  <si>
    <t>Was another suspect or person of interest under investigation but not charged? Does evidence exist that points to another likely culprit?</t>
  </si>
  <si>
    <t>Does claimant assert no crime actually happened? Does lack of evidence suggest the alleged incident never occurred? Was claimant acting solely in self-defense, or insist sex was fully consensual?</t>
  </si>
  <si>
    <t>Does claimant assert conviction was based on law no longer in effect? Does claimant point to debunked beliefs that contributed to the guilty verdict?</t>
  </si>
  <si>
    <t>Is claimant a member of a population that has been disproportionately targeted by law enforcement, such as dark-skinned minorities, immigrants, religious minorities, the mentally ill or LGBTQ persons?</t>
  </si>
  <si>
    <t>Does claimant present sympathy or empathy for victims of crime? Is there any evidence of the claimant being hostile to the complainant(s) prior or after the alleged incident?</t>
  </si>
  <si>
    <t>Were any charges dropped prior to being indicted? Were any charges dropped, or added, after indictment, and when? Did changes reveal a possible weak case?</t>
  </si>
  <si>
    <t>Were there any changes to the original indictment by the time of the preliminary hearing or trial?</t>
  </si>
  <si>
    <t>Contacted your state's innocence project? If yes, rate your level of satisfaction.</t>
  </si>
  <si>
    <t>Rate your experience seeking legal aid. And state how much you now trust the legal-judicial process.</t>
  </si>
  <si>
    <t>Trust level:</t>
  </si>
  <si>
    <t>Satisfaction level:</t>
  </si>
  <si>
    <t>Alaska Innocence Project</t>
  </si>
  <si>
    <t>Arizona Justice Project</t>
  </si>
  <si>
    <t>Boston College Innocence Program</t>
  </si>
  <si>
    <t>California Innocence Project</t>
  </si>
  <si>
    <t>Center on Wrongful Convictions</t>
  </si>
  <si>
    <t>Committee for Public Counsel Services Innocence Program</t>
  </si>
  <si>
    <t>Exoneration Project</t>
  </si>
  <si>
    <t>Georgia Innocence Project</t>
  </si>
  <si>
    <t>Idaho Innocence Project</t>
  </si>
  <si>
    <t>Illinois Innocence Project</t>
  </si>
  <si>
    <t>Innocence Project</t>
  </si>
  <si>
    <t>Innocence Project at UVA School of Law</t>
  </si>
  <si>
    <t>Innocence Project of Minnesota</t>
  </si>
  <si>
    <t>Innocence Project New Orleans</t>
  </si>
  <si>
    <t>Innocence Project of Florida</t>
  </si>
  <si>
    <t>Innocence Project of Texas</t>
  </si>
  <si>
    <t>Kentucky Innocence Project</t>
  </si>
  <si>
    <t>Korey Wise Innocence Project</t>
  </si>
  <si>
    <t>Loyola Law School Project for the Innocent</t>
  </si>
  <si>
    <t>Michigan Innocence Clinic</t>
  </si>
  <si>
    <t>Mid-Atlantic Innocence Project</t>
  </si>
  <si>
    <t>Midwest Innocence Project</t>
  </si>
  <si>
    <t>Montana Innocence Project</t>
  </si>
  <si>
    <t>New England Innocence Project</t>
  </si>
  <si>
    <t>North Carolina Center on Actual Innocence</t>
  </si>
  <si>
    <t>Office of the Public Defender</t>
  </si>
  <si>
    <t>Office of the Ohio Public Defender, Wrongful Conviction Project</t>
  </si>
  <si>
    <t>Ohio Innocence Project</t>
  </si>
  <si>
    <t>Oklahoma Innocence Project</t>
  </si>
  <si>
    <t>Oregon Innocence Project</t>
  </si>
  <si>
    <t>Pennsylvania Innocence Project</t>
  </si>
  <si>
    <t>Rocky Mountain Innocence Center</t>
  </si>
  <si>
    <t>Thurgood Marshall School of Law Innocence Project</t>
  </si>
  <si>
    <t>University of Baltimore Innocence Project Clinic</t>
  </si>
  <si>
    <t>West Virginia Innocence Project</t>
  </si>
  <si>
    <t>Wisconsin Innocence Project</t>
  </si>
  <si>
    <t>INCOME POTENTIAL</t>
  </si>
  <si>
    <t>Connecticut Innocence Project</t>
  </si>
  <si>
    <t>Justice Project, Inc.</t>
  </si>
  <si>
    <t>University of California – Irvine</t>
  </si>
  <si>
    <t>Innocence Project (US national)</t>
  </si>
  <si>
    <t>N. California Innocence Project</t>
  </si>
  <si>
    <t>Miami Law Innocence Clinic</t>
  </si>
  <si>
    <t>Hawai’i Innocence Project</t>
  </si>
  <si>
    <t>Life After Innocence</t>
  </si>
  <si>
    <t>Medill Innocence Project</t>
  </si>
  <si>
    <t>Indianapolis Clinic, Wrongful Convictions Component</t>
  </si>
  <si>
    <t>Innocence Project of Iowa</t>
  </si>
  <si>
    <t>Justice Brandeis Innocence Project</t>
  </si>
  <si>
    <t>Thomas M. Cooley Innocence Project</t>
  </si>
  <si>
    <t>Mississippi Innocence Project</t>
  </si>
  <si>
    <t>Nebraska Innocence Project</t>
  </si>
  <si>
    <t>Last Resort Exoneration Project</t>
  </si>
  <si>
    <t>Innocence and Justice Project</t>
  </si>
  <si>
    <t>The Exoneration Initiative</t>
  </si>
  <si>
    <t>Pace Post-Conviction Project</t>
  </si>
  <si>
    <t>Reinvestigation Project</t>
  </si>
  <si>
    <t>Second Look Program</t>
  </si>
  <si>
    <t>The Duke Center for Criminal Justice and Professional Responsibility</t>
  </si>
  <si>
    <t>Wake Forest University Law School and Innocence and Justice Clinic</t>
  </si>
  <si>
    <t>Great North Innocence Project</t>
  </si>
  <si>
    <t>Tennessee Innocence Project</t>
  </si>
  <si>
    <t>Actual Innocence Clinic</t>
  </si>
  <si>
    <t>Wesleyan Innocence Project</t>
  </si>
  <si>
    <t>Innocence Project Northwest Clinic</t>
  </si>
  <si>
    <t>county attorney</t>
  </si>
  <si>
    <t>district attorney</t>
  </si>
  <si>
    <t>prosecuting attorney</t>
  </si>
  <si>
    <t>state's attorney</t>
  </si>
  <si>
    <t>Attorney General</t>
  </si>
  <si>
    <t>state attorney</t>
  </si>
  <si>
    <t>Commonwealth's Attorney</t>
  </si>
  <si>
    <t>county prosecutor</t>
  </si>
  <si>
    <t>solicitor</t>
  </si>
  <si>
    <t>District Attorney - Bessemer</t>
  </si>
  <si>
    <t>Los Angeles County District Attorney's Office</t>
  </si>
  <si>
    <t>Merced County District Attorney's Office</t>
  </si>
  <si>
    <t>Riverside County District Attorney's Office</t>
  </si>
  <si>
    <t>Sacramento County District Attorney's Office</t>
  </si>
  <si>
    <t>San Diego County District Attorney's Office</t>
  </si>
  <si>
    <t>County of Santa Clara - Office of the District</t>
  </si>
  <si>
    <t>Ventura County Government Center</t>
  </si>
  <si>
    <t>Contra Costa Conviction Integrity Unit</t>
  </si>
  <si>
    <t>Orange County Conviction Integrity Unit</t>
  </si>
  <si>
    <t>Alameda County Conviction Integrity Unit</t>
  </si>
  <si>
    <t>Napa County Conviction Integrity Unit</t>
  </si>
  <si>
    <t>Nevada County Conviction Integrity Unit</t>
  </si>
  <si>
    <t>San Bernardino County Conviction Review Unit</t>
  </si>
  <si>
    <t>San Francisco District Attorney's Office</t>
  </si>
  <si>
    <t>San Joaquin County Post-Conviction Sentence Review Unit</t>
  </si>
  <si>
    <t>Yolo County District Attorney's Office</t>
  </si>
  <si>
    <t>Pro bono or hired lawyer, investigative journalists, law school students or others who might help?</t>
  </si>
  <si>
    <t>Contacted your local CIU or DA? If yes, rate your level of satisfaction.</t>
  </si>
  <si>
    <t>With demand for services exceeding supply, rate the innocence movement as it stands right now.</t>
  </si>
  <si>
    <t>Innocence movement</t>
  </si>
  <si>
    <t>What do you specifically need from the innocence movement? Rate each item's level of importance to you right now. Help the innocence movement prioritize resources to meet your needs.</t>
  </si>
  <si>
    <t>Passkey is correct.</t>
  </si>
  <si>
    <t>Sorry, passkey is incorrect.</t>
  </si>
  <si>
    <t>2xf43bk76rfj</t>
  </si>
  <si>
    <t>9gv71zm38psb</t>
  </si>
  <si>
    <t>worried about innocence deniers</t>
  </si>
  <si>
    <t>Poor outcomes and impacts from the adversarial legal-judicial system help account for the estimated high volume of unexonerated innocent. This tool exists independent of the judiciary and can either complement it or compete with it. Legitimacy of the adversarial legal-judicial process hangs in the balance. Deeper justice could be the answer.</t>
  </si>
  <si>
    <r>
      <rPr>
        <b/>
        <sz val="11"/>
        <color theme="1"/>
        <rFont val="Times New Roman"/>
        <family val="1"/>
      </rPr>
      <t>1</t>
    </r>
    <r>
      <rPr>
        <sz val="11"/>
        <color theme="1"/>
        <rFont val="Times New Roman"/>
        <family val="1"/>
      </rPr>
      <t>) Conviction posted online</t>
    </r>
  </si>
  <si>
    <r>
      <rPr>
        <b/>
        <sz val="11"/>
        <color theme="1"/>
        <rFont val="Times New Roman"/>
        <family val="1"/>
      </rPr>
      <t>2</t>
    </r>
    <r>
      <rPr>
        <sz val="11"/>
        <color theme="1"/>
        <rFont val="Times New Roman"/>
        <family val="1"/>
      </rPr>
      <t>) Custody reimbursement</t>
    </r>
  </si>
  <si>
    <r>
      <rPr>
        <b/>
        <sz val="11"/>
        <color theme="1"/>
        <rFont val="Times New Roman"/>
        <family val="1"/>
      </rPr>
      <t>3</t>
    </r>
    <r>
      <rPr>
        <sz val="11"/>
        <color theme="1"/>
        <rFont val="Times New Roman"/>
        <family val="1"/>
      </rPr>
      <t>) Education discrimination</t>
    </r>
  </si>
  <si>
    <r>
      <rPr>
        <b/>
        <sz val="11"/>
        <color theme="1"/>
        <rFont val="Times New Roman"/>
        <family val="1"/>
      </rPr>
      <t>4</t>
    </r>
    <r>
      <rPr>
        <sz val="11"/>
        <color theme="1"/>
        <rFont val="Times New Roman"/>
        <family val="1"/>
      </rPr>
      <t>) Employment discrimination</t>
    </r>
  </si>
  <si>
    <r>
      <rPr>
        <b/>
        <sz val="11"/>
        <color theme="1"/>
        <rFont val="Times New Roman"/>
        <family val="1"/>
      </rPr>
      <t>5</t>
    </r>
    <r>
      <rPr>
        <sz val="11"/>
        <color theme="1"/>
        <rFont val="Times New Roman"/>
        <family val="1"/>
      </rPr>
      <t>) Exempt from public assistance</t>
    </r>
  </si>
  <si>
    <r>
      <rPr>
        <b/>
        <sz val="11"/>
        <color theme="1"/>
        <rFont val="Times New Roman"/>
        <family val="1"/>
      </rPr>
      <t>6</t>
    </r>
    <r>
      <rPr>
        <sz val="11"/>
        <color theme="1"/>
        <rFont val="Times New Roman"/>
        <family val="1"/>
      </rPr>
      <t>) Exempt from student financial aid</t>
    </r>
  </si>
  <si>
    <r>
      <rPr>
        <b/>
        <sz val="11"/>
        <color theme="1"/>
        <rFont val="Times New Roman"/>
        <family val="1"/>
      </rPr>
      <t>7</t>
    </r>
    <r>
      <rPr>
        <sz val="11"/>
        <color theme="1"/>
        <rFont val="Times New Roman"/>
        <family val="1"/>
      </rPr>
      <t>) Health care discrimination</t>
    </r>
  </si>
  <si>
    <r>
      <rPr>
        <b/>
        <sz val="11"/>
        <color theme="1"/>
        <rFont val="Times New Roman"/>
        <family val="1"/>
      </rPr>
      <t>8</t>
    </r>
    <r>
      <rPr>
        <sz val="11"/>
        <color theme="1"/>
        <rFont val="Times New Roman"/>
        <family val="1"/>
      </rPr>
      <t>) Housing discrimination</t>
    </r>
  </si>
  <si>
    <r>
      <rPr>
        <b/>
        <sz val="11"/>
        <color theme="1"/>
        <rFont val="Times New Roman"/>
        <family val="1"/>
      </rPr>
      <t>9</t>
    </r>
    <r>
      <rPr>
        <sz val="11"/>
        <color theme="1"/>
        <rFont val="Times New Roman"/>
        <family val="1"/>
      </rPr>
      <t>) Loss of government benefits</t>
    </r>
  </si>
  <si>
    <r>
      <rPr>
        <b/>
        <sz val="11"/>
        <color theme="1"/>
        <rFont val="Times New Roman"/>
        <family val="1"/>
      </rPr>
      <t>10</t>
    </r>
    <r>
      <rPr>
        <sz val="11"/>
        <color theme="1"/>
        <rFont val="Times New Roman"/>
        <family val="1"/>
      </rPr>
      <t xml:space="preserve">) Loss of gun rights </t>
    </r>
  </si>
  <si>
    <r>
      <rPr>
        <b/>
        <sz val="11"/>
        <color theme="1"/>
        <rFont val="Times New Roman"/>
        <family val="1"/>
      </rPr>
      <t>11</t>
    </r>
    <r>
      <rPr>
        <sz val="11"/>
        <color theme="1"/>
        <rFont val="Times New Roman"/>
        <family val="1"/>
      </rPr>
      <t>) Loss of parental rights</t>
    </r>
  </si>
  <si>
    <r>
      <rPr>
        <b/>
        <sz val="11"/>
        <color theme="1"/>
        <rFont val="Times New Roman"/>
        <family val="1"/>
      </rPr>
      <t>12</t>
    </r>
    <r>
      <rPr>
        <sz val="11"/>
        <color theme="1"/>
        <rFont val="Times New Roman"/>
        <family val="1"/>
      </rPr>
      <t>) Loss of vote</t>
    </r>
  </si>
  <si>
    <r>
      <rPr>
        <b/>
        <sz val="11"/>
        <color theme="1"/>
        <rFont val="Times New Roman"/>
        <family val="1"/>
      </rPr>
      <t>13</t>
    </r>
    <r>
      <rPr>
        <sz val="11"/>
        <color theme="1"/>
        <rFont val="Times New Roman"/>
        <family val="1"/>
      </rPr>
      <t>) Loss or denial of professional licence</t>
    </r>
  </si>
  <si>
    <r>
      <rPr>
        <b/>
        <sz val="11"/>
        <color theme="1"/>
        <rFont val="Times New Roman"/>
        <family val="1"/>
      </rPr>
      <t>14</t>
    </r>
    <r>
      <rPr>
        <sz val="11"/>
        <color theme="1"/>
        <rFont val="Times New Roman"/>
        <family val="1"/>
      </rPr>
      <t>) Prevented from seeing family</t>
    </r>
  </si>
  <si>
    <r>
      <rPr>
        <b/>
        <sz val="11"/>
        <color theme="1"/>
        <rFont val="Times New Roman"/>
        <family val="1"/>
      </rPr>
      <t>15</t>
    </r>
    <r>
      <rPr>
        <sz val="11"/>
        <color theme="1"/>
        <rFont val="Times New Roman"/>
        <family val="1"/>
      </rPr>
      <t>) Prevented from visiting prisoners</t>
    </r>
  </si>
  <si>
    <r>
      <rPr>
        <b/>
        <sz val="11"/>
        <color theme="1"/>
        <rFont val="Times New Roman"/>
        <family val="1"/>
      </rPr>
      <t>16</t>
    </r>
    <r>
      <rPr>
        <sz val="11"/>
        <color theme="1"/>
        <rFont val="Times New Roman"/>
        <family val="1"/>
      </rPr>
      <t>) Restitution to alleged victims</t>
    </r>
  </si>
  <si>
    <r>
      <rPr>
        <b/>
        <sz val="11"/>
        <color theme="1"/>
        <rFont val="Times New Roman"/>
        <family val="1"/>
      </rPr>
      <t>17</t>
    </r>
    <r>
      <rPr>
        <sz val="11"/>
        <color theme="1"/>
        <rFont val="Times New Roman"/>
        <family val="1"/>
      </rPr>
      <t>) Restricted movement</t>
    </r>
  </si>
  <si>
    <r>
      <rPr>
        <b/>
        <sz val="11"/>
        <color theme="1"/>
        <rFont val="Times New Roman"/>
        <family val="1"/>
      </rPr>
      <t>18</t>
    </r>
    <r>
      <rPr>
        <sz val="11"/>
        <color theme="1"/>
        <rFont val="Times New Roman"/>
        <family val="1"/>
      </rPr>
      <t>) Sex offender registry</t>
    </r>
  </si>
  <si>
    <r>
      <rPr>
        <b/>
        <sz val="11"/>
        <color theme="1"/>
        <rFont val="Times New Roman"/>
        <family val="1"/>
      </rPr>
      <t>19</t>
    </r>
    <r>
      <rPr>
        <sz val="11"/>
        <color theme="1"/>
        <rFont val="Times New Roman"/>
        <family val="1"/>
      </rPr>
      <t>) Workplace discrimination</t>
    </r>
  </si>
  <si>
    <r>
      <rPr>
        <b/>
        <sz val="11"/>
        <color theme="1"/>
        <rFont val="Times New Roman"/>
        <family val="1"/>
      </rPr>
      <t>20</t>
    </r>
    <r>
      <rPr>
        <sz val="11"/>
        <color theme="1"/>
        <rFont val="Times New Roman"/>
        <family val="1"/>
      </rPr>
      <t>) Other (details in box below)</t>
    </r>
  </si>
  <si>
    <r>
      <t xml:space="preserve">In two sentences or less, grab the reader's attention with a tear-jerking synopsis of the innocence claim. This text appears in the executive summary at the top. </t>
    </r>
    <r>
      <rPr>
        <b/>
        <sz val="11"/>
        <color rgb="FF00B050"/>
        <rFont val="Times New Roman"/>
        <family val="1"/>
      </rPr>
      <t>250-character limit</t>
    </r>
  </si>
  <si>
    <t>List eye grabbing highlights of claim, with as few words as possible. Replace each example with something from your own case.</t>
  </si>
  <si>
    <t>For a balanced view, acknowledge what could be seen in the worst light. Nullify criticism by getting it out of the way. End on a positive note, like how you overcame the worst.</t>
  </si>
  <si>
    <r>
      <rPr>
        <b/>
        <sz val="11"/>
        <color theme="1"/>
        <rFont val="Times New Roman"/>
        <family val="1"/>
      </rPr>
      <t>1</t>
    </r>
    <r>
      <rPr>
        <sz val="11"/>
        <color theme="1"/>
        <rFont val="Times New Roman"/>
        <family val="1"/>
      </rPr>
      <t>) anxiety</t>
    </r>
  </si>
  <si>
    <r>
      <rPr>
        <b/>
        <sz val="11"/>
        <color theme="1"/>
        <rFont val="Times New Roman"/>
        <family val="1"/>
      </rPr>
      <t>2</t>
    </r>
    <r>
      <rPr>
        <sz val="11"/>
        <color theme="1"/>
        <rFont val="Times New Roman"/>
        <family val="1"/>
      </rPr>
      <t>) costs to contact while in prison</t>
    </r>
  </si>
  <si>
    <r>
      <rPr>
        <b/>
        <sz val="11"/>
        <color theme="1"/>
        <rFont val="Times New Roman"/>
        <family val="1"/>
      </rPr>
      <t>3</t>
    </r>
    <r>
      <rPr>
        <sz val="11"/>
        <color theme="1"/>
        <rFont val="Times New Roman"/>
        <family val="1"/>
      </rPr>
      <t>) depression</t>
    </r>
  </si>
  <si>
    <r>
      <rPr>
        <b/>
        <sz val="11"/>
        <color theme="1"/>
        <rFont val="Times New Roman"/>
        <family val="1"/>
      </rPr>
      <t>4</t>
    </r>
    <r>
      <rPr>
        <sz val="11"/>
        <color theme="1"/>
        <rFont val="Times New Roman"/>
        <family val="1"/>
      </rPr>
      <t>) divorce</t>
    </r>
  </si>
  <si>
    <r>
      <rPr>
        <b/>
        <sz val="11"/>
        <color theme="1"/>
        <rFont val="Times New Roman"/>
        <family val="1"/>
      </rPr>
      <t>5</t>
    </r>
    <r>
      <rPr>
        <sz val="11"/>
        <color theme="1"/>
        <rFont val="Times New Roman"/>
        <family val="1"/>
      </rPr>
      <t>) housing instability</t>
    </r>
  </si>
  <si>
    <r>
      <rPr>
        <b/>
        <sz val="11"/>
        <color theme="1"/>
        <rFont val="Times New Roman"/>
        <family val="1"/>
      </rPr>
      <t>6</t>
    </r>
    <r>
      <rPr>
        <sz val="11"/>
        <color theme="1"/>
        <rFont val="Times New Roman"/>
        <family val="1"/>
      </rPr>
      <t>) loss of companionship</t>
    </r>
  </si>
  <si>
    <r>
      <rPr>
        <b/>
        <sz val="11"/>
        <color theme="1"/>
        <rFont val="Times New Roman"/>
        <family val="1"/>
      </rPr>
      <t>8</t>
    </r>
    <r>
      <rPr>
        <sz val="11"/>
        <color theme="1"/>
        <rFont val="Times New Roman"/>
        <family val="1"/>
      </rPr>
      <t>) loss of stable income</t>
    </r>
  </si>
  <si>
    <r>
      <rPr>
        <b/>
        <sz val="11"/>
        <color theme="1"/>
        <rFont val="Times New Roman"/>
        <family val="1"/>
      </rPr>
      <t>9</t>
    </r>
    <r>
      <rPr>
        <sz val="11"/>
        <color theme="1"/>
        <rFont val="Times New Roman"/>
        <family val="1"/>
      </rPr>
      <t>) loss of emotional support</t>
    </r>
  </si>
  <si>
    <r>
      <rPr>
        <b/>
        <sz val="11"/>
        <color theme="1"/>
        <rFont val="Times New Roman"/>
        <family val="1"/>
      </rPr>
      <t>10</t>
    </r>
    <r>
      <rPr>
        <sz val="11"/>
        <color theme="1"/>
        <rFont val="Times New Roman"/>
        <family val="1"/>
      </rPr>
      <t>) poverty</t>
    </r>
  </si>
  <si>
    <r>
      <rPr>
        <b/>
        <sz val="11"/>
        <color theme="1"/>
        <rFont val="Times New Roman"/>
        <family val="1"/>
      </rPr>
      <t>11</t>
    </r>
    <r>
      <rPr>
        <sz val="11"/>
        <color theme="1"/>
        <rFont val="Times New Roman"/>
        <family val="1"/>
      </rPr>
      <t>) stigma</t>
    </r>
  </si>
  <si>
    <r>
      <rPr>
        <b/>
        <sz val="11"/>
        <color theme="1"/>
        <rFont val="Tahoma"/>
        <family val="2"/>
      </rPr>
      <t>1</t>
    </r>
    <r>
      <rPr>
        <sz val="11"/>
        <color theme="1"/>
        <rFont val="Tahoma"/>
        <family val="2"/>
      </rPr>
      <t>) economic</t>
    </r>
  </si>
  <si>
    <r>
      <rPr>
        <b/>
        <sz val="11"/>
        <color theme="1"/>
        <rFont val="Tahoma"/>
        <family val="2"/>
      </rPr>
      <t>2</t>
    </r>
    <r>
      <rPr>
        <sz val="11"/>
        <color theme="1"/>
        <rFont val="Tahoma"/>
        <family val="2"/>
      </rPr>
      <t>) physical health</t>
    </r>
  </si>
  <si>
    <r>
      <rPr>
        <b/>
        <sz val="11"/>
        <color theme="1"/>
        <rFont val="Tahoma"/>
        <family val="2"/>
      </rPr>
      <t>3</t>
    </r>
    <r>
      <rPr>
        <sz val="11"/>
        <color theme="1"/>
        <rFont val="Tahoma"/>
        <family val="2"/>
      </rPr>
      <t>) mental health</t>
    </r>
  </si>
  <si>
    <r>
      <rPr>
        <b/>
        <sz val="11"/>
        <color theme="1"/>
        <rFont val="Tahoma"/>
        <family val="2"/>
      </rPr>
      <t>4</t>
    </r>
    <r>
      <rPr>
        <sz val="11"/>
        <color theme="1"/>
        <rFont val="Tahoma"/>
        <family val="2"/>
      </rPr>
      <t>) relationships</t>
    </r>
  </si>
  <si>
    <r>
      <rPr>
        <b/>
        <sz val="11"/>
        <color theme="1"/>
        <rFont val="Tahoma"/>
        <family val="2"/>
      </rPr>
      <t>5</t>
    </r>
    <r>
      <rPr>
        <sz val="11"/>
        <color theme="1"/>
        <rFont val="Tahoma"/>
        <family val="2"/>
      </rPr>
      <t>) will-to-live</t>
    </r>
  </si>
  <si>
    <r>
      <rPr>
        <b/>
        <sz val="11"/>
        <color theme="1"/>
        <rFont val="Tahoma"/>
        <family val="2"/>
      </rPr>
      <t>6</t>
    </r>
    <r>
      <rPr>
        <sz val="11"/>
        <color theme="1"/>
        <rFont val="Tahoma"/>
        <family val="2"/>
      </rPr>
      <t>) OTHER:</t>
    </r>
  </si>
  <si>
    <r>
      <rPr>
        <b/>
        <sz val="11"/>
        <color theme="1"/>
        <rFont val="Tahoma"/>
        <family val="2"/>
      </rPr>
      <t>7</t>
    </r>
    <r>
      <rPr>
        <sz val="11"/>
        <color theme="1"/>
        <rFont val="Tahoma"/>
        <family val="2"/>
      </rPr>
      <t>) income independence</t>
    </r>
  </si>
  <si>
    <r>
      <rPr>
        <b/>
        <sz val="11"/>
        <color theme="1"/>
        <rFont val="Tahoma"/>
        <family val="2"/>
      </rPr>
      <t>8</t>
    </r>
    <r>
      <rPr>
        <sz val="11"/>
        <color theme="1"/>
        <rFont val="Tahoma"/>
        <family val="2"/>
      </rPr>
      <t>) maintaining healthy lifestyle</t>
    </r>
  </si>
  <si>
    <r>
      <rPr>
        <b/>
        <sz val="11"/>
        <color theme="1"/>
        <rFont val="Tahoma"/>
        <family val="2"/>
      </rPr>
      <t>9</t>
    </r>
    <r>
      <rPr>
        <sz val="11"/>
        <color theme="1"/>
        <rFont val="Tahoma"/>
        <family val="2"/>
      </rPr>
      <t>) overcoming depression &amp; anxiety</t>
    </r>
  </si>
  <si>
    <r>
      <rPr>
        <b/>
        <sz val="11"/>
        <color theme="1"/>
        <rFont val="Tahoma"/>
        <family val="2"/>
      </rPr>
      <t>10</t>
    </r>
    <r>
      <rPr>
        <sz val="11"/>
        <color theme="1"/>
        <rFont val="Tahoma"/>
        <family val="2"/>
      </rPr>
      <t>) restoring familiy ties</t>
    </r>
  </si>
  <si>
    <r>
      <rPr>
        <b/>
        <sz val="11"/>
        <color theme="1"/>
        <rFont val="Tahoma"/>
        <family val="2"/>
      </rPr>
      <t>11</t>
    </r>
    <r>
      <rPr>
        <sz val="11"/>
        <color theme="1"/>
        <rFont val="Tahoma"/>
        <family val="2"/>
      </rPr>
      <t>) helping others similarly situated</t>
    </r>
  </si>
  <si>
    <r>
      <rPr>
        <b/>
        <sz val="11"/>
        <color theme="1"/>
        <rFont val="Tahoma"/>
        <family val="2"/>
      </rPr>
      <t>12</t>
    </r>
    <r>
      <rPr>
        <sz val="11"/>
        <color theme="1"/>
        <rFont val="Tahoma"/>
        <family val="2"/>
      </rPr>
      <t>) OTHER:</t>
    </r>
  </si>
  <si>
    <t>If relevant, a copy of any trial motion documents?</t>
  </si>
  <si>
    <t>If relevant, other trial related documents, like a motion to quash, to sever, to show cause.</t>
  </si>
  <si>
    <t>If relevant, a copy of the discovery motion and a copy of discovery documents?</t>
  </si>
  <si>
    <t>Media interest and coverage</t>
  </si>
  <si>
    <t xml:space="preserve">Any exchange with pro bono lawyers, faith leaders, cultural leaders, elected officials. </t>
  </si>
  <si>
    <t>Any exchange with online activists, journalists, and their coverage.</t>
  </si>
  <si>
    <t>If relevant, a copy of the presentence investigation report used to prepare sentencing.</t>
  </si>
  <si>
    <t>If relevant, a copy of any appellate brief to exhaust state and federal remedies.</t>
  </si>
  <si>
    <t>If relevant, a copy of the appellate panel’s published or unpublished decision.</t>
  </si>
  <si>
    <t>If relevant, a copy of your habeas corpus or 1983 motion or other post-appellate appeals.</t>
  </si>
  <si>
    <t>If relevant, a copy of any correspondence with innocence projects or with others in the innocence movement.</t>
  </si>
  <si>
    <t>If relevant, a copy of any other documents relating to your case.</t>
  </si>
  <si>
    <t xml:space="preserve">Provide any additional information to help best review your particular case. </t>
  </si>
  <si>
    <t>Which for you feels worse? Being wrongly convicted or being falsely incarcerated?</t>
  </si>
  <si>
    <t>being wrongly convicted</t>
  </si>
  <si>
    <t>being falsely incarcerated</t>
  </si>
  <si>
    <t>significant factor</t>
  </si>
  <si>
    <t>moderate factor</t>
  </si>
  <si>
    <t>remote factor</t>
  </si>
  <si>
    <t>not a factor</t>
  </si>
  <si>
    <t>=IF(D473="","NOT YET VERIFIED",D473)</t>
  </si>
  <si>
    <t>date of birth</t>
  </si>
  <si>
    <t>MM-DD-YYYY</t>
  </si>
  <si>
    <t>preferred pronoun (from list)</t>
  </si>
  <si>
    <t>he/him/his</t>
  </si>
  <si>
    <t>she/her/hers</t>
  </si>
  <si>
    <t>they/them/their</t>
  </si>
  <si>
    <t>other (write it in box)</t>
  </si>
  <si>
    <t>he</t>
  </si>
  <si>
    <t>she</t>
  </si>
  <si>
    <t>they</t>
  </si>
  <si>
    <t>him</t>
  </si>
  <si>
    <t>his</t>
  </si>
  <si>
    <t>her</t>
  </si>
  <si>
    <t>hers</t>
  </si>
  <si>
    <t>them</t>
  </si>
  <si>
    <t>their</t>
  </si>
  <si>
    <t>He</t>
  </si>
  <si>
    <t>She</t>
  </si>
  <si>
    <t>They</t>
  </si>
  <si>
    <t>current partner</t>
  </si>
  <si>
    <t>former partner</t>
  </si>
  <si>
    <t>charged as?</t>
  </si>
  <si>
    <t>how adjudicated?</t>
  </si>
  <si>
    <t>relation to claimant?</t>
  </si>
  <si>
    <t>complicated</t>
  </si>
  <si>
    <t>convicted as?</t>
  </si>
  <si>
    <t>verdict?</t>
  </si>
  <si>
    <t>know where lives?</t>
  </si>
  <si>
    <t>deceased</t>
  </si>
  <si>
    <t>no, but could easily find out</t>
  </si>
  <si>
    <t>yes, incarcerated</t>
  </si>
  <si>
    <t>no, no way of knowing</t>
  </si>
  <si>
    <t>yes, released from custody</t>
  </si>
  <si>
    <t>yes, parole/probation</t>
  </si>
  <si>
    <t>claims to know real culprit?</t>
  </si>
  <si>
    <t>also claims innocence?</t>
  </si>
  <si>
    <t>reference</t>
  </si>
  <si>
    <t>click to select a dropdown option</t>
  </si>
  <si>
    <r>
      <t xml:space="preserve">current custody status </t>
    </r>
    <r>
      <rPr>
        <sz val="12"/>
        <color rgb="FF000000"/>
        <rFont val="Calibri"/>
        <family val="2"/>
        <scheme val="minor"/>
      </rPr>
      <t>options:</t>
    </r>
  </si>
  <si>
    <t>not offered by my state, may sue instead</t>
  </si>
  <si>
    <t>Verification progress</t>
  </si>
  <si>
    <t>Need help locating my case documents</t>
  </si>
  <si>
    <t>Need help accessing my case documents</t>
  </si>
  <si>
    <t>Need help scanning my case documents</t>
  </si>
  <si>
    <t>Need help counting pages of case documents</t>
  </si>
  <si>
    <t>Need help identifying support in case documents</t>
  </si>
  <si>
    <t>Need help uploading case documents</t>
  </si>
  <si>
    <t>Need help checking if URL works</t>
  </si>
  <si>
    <t>Need help hiring independent verifiers</t>
  </si>
  <si>
    <t>Need help verifying claim using case documents</t>
  </si>
  <si>
    <t>Need accreditation on claim verification</t>
  </si>
  <si>
    <t>C.</t>
  </si>
  <si>
    <t>very satisfied with their responsiveness to my innocence claim</t>
  </si>
  <si>
    <t>somewhat satisfied with their responsiveness to my innocence claim</t>
  </si>
  <si>
    <t>neither satisfied nor dissatisfied with their responsiveness to my claim</t>
  </si>
  <si>
    <t>somewhat dissatisfied with their responsiveness to my innocence claim</t>
  </si>
  <si>
    <t>very dissatisfied with their responsiveness to my innocence claim</t>
  </si>
  <si>
    <t>I continue to trust their legal-judicial process for official exoneration</t>
  </si>
  <si>
    <t>I'd start trusting them less if I knew of a popular alternative</t>
  </si>
  <si>
    <t>I'd lose trust if seeing an alternative work for other claimants</t>
  </si>
  <si>
    <t>I'm discouraged and ready to try something radically different</t>
  </si>
  <si>
    <t>I totally distrust their dismissive approach &amp; now seeking a better option</t>
  </si>
  <si>
    <t xml:space="preserve">grateful for the efforts to serve innocence claimants </t>
  </si>
  <si>
    <t>content with level of service to innocence claimants</t>
  </si>
  <si>
    <t>discontent but understanding of limited service to claimants</t>
  </si>
  <si>
    <t>discouraged with the limited level of service to claimants</t>
  </si>
  <si>
    <t>disgusted with the limited level of service to claimants</t>
  </si>
  <si>
    <t>I only can trust the legal-judicial process to regain my freedom</t>
  </si>
  <si>
    <t>I'd likely try an alternative once it catches on as a popular option</t>
  </si>
  <si>
    <t>I'm open to an alternative if I see it working for other claimants</t>
  </si>
  <si>
    <t>I'll try this pioneering alternative when I can make the time</t>
  </si>
  <si>
    <t>I'm eager to try this alternative now, even if it doesn't work</t>
  </si>
  <si>
    <t>CHECK RIGHT OF #63 - AD748</t>
  </si>
  <si>
    <t>CHECK RIGHT OF #63 - AF748</t>
  </si>
  <si>
    <t>CHECK RIGHT OF #63 - AH748</t>
  </si>
  <si>
    <t>CHECK RIGHT OF #63 - AJ748</t>
  </si>
  <si>
    <t>CHECK RIGHT OF #63 - AL748</t>
  </si>
  <si>
    <t>CHECK RIGHT OF #63 - AN748</t>
  </si>
  <si>
    <t>CHECK RIGHT OF #63 - AP748</t>
  </si>
  <si>
    <t>CHECK RIGHT OF #63 - AR748</t>
  </si>
  <si>
    <t>Applicability</t>
  </si>
  <si>
    <t>Time of impact</t>
  </si>
  <si>
    <t>CCC impacting how</t>
  </si>
  <si>
    <t>CCC impacting whom</t>
  </si>
  <si>
    <t>NO DROPDOWN MENUES IN SECTION F</t>
  </si>
  <si>
    <t>COMPENSATION</t>
  </si>
  <si>
    <t>For illuminating hidden costs created by a power imbalance</t>
  </si>
  <si>
    <r>
      <t xml:space="preserve">Once you trust you have sufficient support you can segue to </t>
    </r>
    <r>
      <rPr>
        <b/>
        <sz val="11"/>
        <color theme="1"/>
        <rFont val="Times New Roman"/>
        <family val="1"/>
      </rPr>
      <t>Support</t>
    </r>
    <r>
      <rPr>
        <sz val="11"/>
        <color theme="1"/>
        <rFont val="Times New Roman"/>
        <family val="1"/>
      </rPr>
      <t xml:space="preserve"> or </t>
    </r>
    <r>
      <rPr>
        <b/>
        <sz val="11"/>
        <color theme="1"/>
        <rFont val="Times New Roman"/>
        <family val="1"/>
      </rPr>
      <t>Advocacy</t>
    </r>
    <r>
      <rPr>
        <sz val="11"/>
        <color theme="1"/>
        <rFont val="Times New Roman"/>
        <family val="1"/>
      </rPr>
      <t>.</t>
    </r>
  </si>
  <si>
    <t>You receive educational support on how to optimize this tool and introduced to the advocacy option.</t>
  </si>
  <si>
    <t>You have three options. Free, inexpensive, and sharing the costs. You can progress through all three.</t>
  </si>
  <si>
    <t>Illuminating hidden costs</t>
  </si>
  <si>
    <t>It's about needs</t>
  </si>
  <si>
    <t>Enter info above, or select # of years</t>
  </si>
  <si>
    <t>Info above, or select a state</t>
  </si>
  <si>
    <t>threatened loss of kids</t>
  </si>
  <si>
    <t>threatened with greater charges if not cooperating</t>
  </si>
  <si>
    <t>deceived with false information about forensic evidence</t>
  </si>
  <si>
    <t>exploited grieving the loss of victim who was family/friend</t>
  </si>
  <si>
    <t>coerced into signing a document</t>
  </si>
  <si>
    <t>deceived with dubious promise of lighter charges or lighter sentencing</t>
  </si>
  <si>
    <t>Describe duress</t>
  </si>
  <si>
    <t>Compiles comparable data and made public</t>
  </si>
  <si>
    <t>loss of parent during upbringing</t>
  </si>
  <si>
    <t>7) loss of parent during upbringing</t>
  </si>
  <si>
    <t>loss of stable inome</t>
  </si>
  <si>
    <t>targeted by bullies</t>
  </si>
  <si>
    <r>
      <rPr>
        <b/>
        <sz val="11"/>
        <color theme="1"/>
        <rFont val="Times New Roman"/>
        <family val="1"/>
      </rPr>
      <t>12</t>
    </r>
    <r>
      <rPr>
        <sz val="11"/>
        <color theme="1"/>
        <rFont val="Times New Roman"/>
        <family val="1"/>
      </rPr>
      <t>) targeted by bullies</t>
    </r>
  </si>
  <si>
    <t>verification step</t>
  </si>
  <si>
    <t>Likely innocence</t>
  </si>
  <si>
    <t>How many major misconducts while incarcerated?</t>
  </si>
  <si>
    <t>10+</t>
  </si>
  <si>
    <t>Claimant</t>
  </si>
  <si>
    <t>proxy</t>
  </si>
  <si>
    <t>Proxy</t>
  </si>
  <si>
    <t>gender nonconformity</t>
  </si>
  <si>
    <t>racial bias</t>
  </si>
  <si>
    <t>uncompromising</t>
  </si>
  <si>
    <t xml:space="preserve">Claimant: </t>
  </si>
  <si>
    <t xml:space="preserve">Proxy: </t>
  </si>
  <si>
    <t>overcharging</t>
  </si>
  <si>
    <t>consistency</t>
  </si>
  <si>
    <t>assert right to trial</t>
  </si>
  <si>
    <t>Presumption of innocence</t>
  </si>
  <si>
    <t>PRESUMPTION OF INNOCENCE</t>
  </si>
  <si>
    <t>trial penalty</t>
  </si>
  <si>
    <t>criminal history</t>
  </si>
  <si>
    <t>Refused rehab from maintaining innocence?</t>
  </si>
  <si>
    <t>Participated in rehab but maintained innocence</t>
  </si>
  <si>
    <t>Rehab never offered</t>
  </si>
  <si>
    <t>Participated in rehab and admitted some complicity</t>
  </si>
  <si>
    <t>Participated in rehab and admitted full complicity</t>
  </si>
  <si>
    <t>Refused required rehab &amp; accepted consequences</t>
  </si>
  <si>
    <t>Declined recommended rehab &amp; took consequences</t>
  </si>
  <si>
    <t>Other or not applicable</t>
  </si>
  <si>
    <t>Intent on refusing rehab when offered</t>
  </si>
  <si>
    <t>rehab unapplicable</t>
  </si>
  <si>
    <t>no parole for no contrition</t>
  </si>
  <si>
    <t>repeated parole denials</t>
  </si>
  <si>
    <t>integrity persistence</t>
  </si>
  <si>
    <t>affirmed merit</t>
  </si>
  <si>
    <t>threw out most convictions</t>
  </si>
  <si>
    <t>always, knowing it may keep me in prison for the rest of my life</t>
  </si>
  <si>
    <t>pled guilty</t>
  </si>
  <si>
    <t>withdrawing plea</t>
  </si>
  <si>
    <t>new charges</t>
  </si>
  <si>
    <t>pre-DNA era</t>
  </si>
  <si>
    <t>appellate collaboration</t>
  </si>
  <si>
    <t>Innocence claim</t>
  </si>
  <si>
    <t>What is your specific claim of innocence?</t>
  </si>
  <si>
    <t>I am fully innocent of any criminal conviction</t>
  </si>
  <si>
    <t>I am fully innocent of current criminal conviction(s)</t>
  </si>
  <si>
    <t>I am innocent of the most serious conviction(s)</t>
  </si>
  <si>
    <t>I am innocent of one of the convictions</t>
  </si>
  <si>
    <t>I should not have been sentenced for what I did</t>
  </si>
  <si>
    <t>I should not have been found guilty based on law</t>
  </si>
  <si>
    <t>I should be found innocent by reason of insanity</t>
  </si>
  <si>
    <t>Being wrongly convicted feels worse than being falsely incarcerated.</t>
  </si>
  <si>
    <t>Being falsely incarcerated feels worse than being wrongly convicted.</t>
  </si>
  <si>
    <t>institutional behavior</t>
  </si>
  <si>
    <t>targeted by police</t>
  </si>
  <si>
    <t>Verified innocent</t>
  </si>
  <si>
    <t>Verification complete</t>
  </si>
  <si>
    <t>Tagline</t>
  </si>
  <si>
    <t>eyewitness misidentification</t>
  </si>
  <si>
    <t>false confession</t>
  </si>
  <si>
    <t>misapplied forensic science</t>
  </si>
  <si>
    <t>inadequte defense</t>
  </si>
  <si>
    <t>motivated informant</t>
  </si>
  <si>
    <t>access to post-conviction DNA testing</t>
  </si>
  <si>
    <t>non-DNA evidence yet to be considered</t>
  </si>
  <si>
    <t>existence of exculpatory evidence</t>
  </si>
  <si>
    <t>some appellate relief</t>
  </si>
  <si>
    <t>influential supporters</t>
  </si>
  <si>
    <t>changed indictment</t>
  </si>
  <si>
    <t>turned down plea</t>
  </si>
  <si>
    <t>asserted right to trial</t>
  </si>
  <si>
    <t>risking longer sentences</t>
  </si>
  <si>
    <t>risking conviction on most serioius charge</t>
  </si>
  <si>
    <t>suggesting a weaker case by the prosecution</t>
  </si>
  <si>
    <t>overlooked exculpatory evidence</t>
  </si>
  <si>
    <t>exculpatory evidence not provided</t>
  </si>
  <si>
    <t>suggesting a Brady violation</t>
  </si>
  <si>
    <t>denied parole from maintaining innocence</t>
  </si>
  <si>
    <t>no criminal history</t>
  </si>
  <si>
    <t>positive institutional record</t>
  </si>
  <si>
    <t>empathy for the identified victim</t>
  </si>
  <si>
    <t>empathy for the identified victims</t>
  </si>
  <si>
    <t>continually maintains innocence</t>
  </si>
  <si>
    <t>took an Alford plea</t>
  </si>
  <si>
    <t>pled not guilty</t>
  </si>
  <si>
    <t>law enforcement prejudice</t>
  </si>
  <si>
    <t>targeting a disadvantaged population</t>
  </si>
  <si>
    <t>moral panic</t>
  </si>
  <si>
    <t>presenting any conflicts of interest</t>
  </si>
  <si>
    <t>conviction based upon outmoded law or beliefs</t>
  </si>
  <si>
    <t>another personal implicated in the crime</t>
  </si>
  <si>
    <t>confession from the actual perpetrator</t>
  </si>
  <si>
    <t>complainant retraction</t>
  </si>
  <si>
    <t>law enforcement rationalizing illicit means to justify the ends</t>
  </si>
  <si>
    <t>no actual crime occurred</t>
  </si>
  <si>
    <t>conviction was based on a irrational theory of guilt</t>
  </si>
  <si>
    <t>conviction was not corraborated by the evidence</t>
  </si>
  <si>
    <t xml:space="preserve">The significant investigative factors include </t>
  </si>
  <si>
    <t>law enforcement tunnel vision</t>
  </si>
  <si>
    <t xml:space="preserve">The most significant factors include </t>
  </si>
  <si>
    <t>government misconduct</t>
  </si>
  <si>
    <t xml:space="preserve">. </t>
  </si>
  <si>
    <t xml:space="preserve">The most significant evidentary factors include </t>
  </si>
  <si>
    <t xml:space="preserve">, and possibly others less significantly. </t>
  </si>
  <si>
    <t xml:space="preserve">The significant complicating factors include </t>
  </si>
  <si>
    <t xml:space="preserve"> asserts </t>
  </si>
  <si>
    <t xml:space="preserve">: </t>
  </si>
  <si>
    <t xml:space="preserve"> common in wrongful convictions</t>
  </si>
  <si>
    <t xml:space="preserve"> identifies </t>
  </si>
  <si>
    <t xml:space="preserve"> other important </t>
  </si>
  <si>
    <t xml:space="preserve"> of six known </t>
  </si>
  <si>
    <t>my first name</t>
  </si>
  <si>
    <t>=IF(OR(C152=AD152,C152=""),"my first name",C152)</t>
  </si>
  <si>
    <t xml:space="preserve">Significant support comes from </t>
  </si>
  <si>
    <t>friends and family</t>
  </si>
  <si>
    <t>signed affidavits</t>
  </si>
  <si>
    <t>at least one judge</t>
  </si>
  <si>
    <t>at least one prosecutor</t>
  </si>
  <si>
    <t>the trial lawyer</t>
  </si>
  <si>
    <t>trial by media</t>
  </si>
  <si>
    <t xml:space="preserve"> has asked for help from innocence projects </t>
  </si>
  <si>
    <t xml:space="preserve"> times. </t>
  </si>
  <si>
    <t xml:space="preserve">Contrary to popular belief, only about 15% of prisoners claim to be actually innocent. Claimant provides a compelling case to demonstrate such innocence. </t>
  </si>
  <si>
    <t xml:space="preserve">[PPP] doesn't complain about a legal technicality, but demonstrate [ppp] had no involvement in wrongdoing. </t>
  </si>
  <si>
    <t xml:space="preserve">hired a lawyer, but </t>
  </si>
  <si>
    <t xml:space="preserve">We don't serve laws as much as we serve the needs directly. When laws fail to respect the needs they exist to serve, we keep the legal process in check. </t>
  </si>
  <si>
    <t>https://www.valuerelating.com/[YEAR OF CONVICTION]-[CLAIMANT'S FIRST NAME]-[CLAIMANT'S LAST NAME]</t>
  </si>
  <si>
    <t>C</t>
  </si>
  <si>
    <t>E</t>
  </si>
  <si>
    <t>F</t>
  </si>
  <si>
    <t>G</t>
  </si>
  <si>
    <t>H</t>
  </si>
  <si>
    <t xml:space="preserve"> </t>
  </si>
  <si>
    <t xml:space="preserve"> was wrongly convicted in </t>
  </si>
  <si>
    <t xml:space="preserve"> and continues to be </t>
  </si>
  <si>
    <t xml:space="preserve">. I'm convinced </t>
  </si>
  <si>
    <t xml:space="preserve"> had no role in the crime, and now I have a tool to help prove it. The tool compares </t>
  </si>
  <si>
    <t>falsely imprisoned</t>
  </si>
  <si>
    <t xml:space="preserve"> is </t>
  </si>
  <si>
    <t xml:space="preserve">. Together, we can help make that claim stronger. And finally liberate </t>
  </si>
  <si>
    <t xml:space="preserve"> in </t>
  </si>
  <si>
    <t xml:space="preserve">% innocent, which is a </t>
  </si>
  <si>
    <t>Justin</t>
  </si>
  <si>
    <t xml:space="preserve">'s case to known exonerations, then calculates a likelihood of innocence. It estimates </t>
  </si>
  <si>
    <t>falsely registered as a sex offender</t>
  </si>
  <si>
    <t>stuck with a false felony record</t>
  </si>
  <si>
    <t>NOT YET AVAILABLE</t>
  </si>
  <si>
    <t>WORKING ON IT</t>
  </si>
  <si>
    <t>ALMOST THERE</t>
  </si>
  <si>
    <t>STILL WORKING ON IT</t>
  </si>
  <si>
    <t xml:space="preserve">, to help share the costs in locating </t>
  </si>
  <si>
    <t xml:space="preserve">, to help share the costs in accessing </t>
  </si>
  <si>
    <t xml:space="preserve">, to count all the pages </t>
  </si>
  <si>
    <t xml:space="preserve">, to help share the costs in digitizing </t>
  </si>
  <si>
    <t xml:space="preserve">, identifying evidentiary support in </t>
  </si>
  <si>
    <t xml:space="preserve">, uploading all </t>
  </si>
  <si>
    <t xml:space="preserve">, checking if the links work for </t>
  </si>
  <si>
    <t xml:space="preserve">, hiring independent verifiers using </t>
  </si>
  <si>
    <t xml:space="preserve">, with </t>
  </si>
  <si>
    <t xml:space="preserve"> needs your help, </t>
  </si>
  <si>
    <t xml:space="preserve"> case documents. </t>
  </si>
  <si>
    <t xml:space="preserve"> known to wrongly convict the innocent</t>
  </si>
  <si>
    <t>we</t>
  </si>
  <si>
    <t xml:space="preserve">With your support, </t>
  </si>
  <si>
    <t xml:space="preserve"> needs your support to help validate </t>
  </si>
  <si>
    <t xml:space="preserve">Together, we can transcend the judicial divisivism that forces us into categories for the convenience of police, prosecutors and judges. </t>
  </si>
  <si>
    <t xml:space="preserve">Join as a follower, for free, and see this story of transformative innocence unfold. </t>
  </si>
  <si>
    <t>Click the link now to help us rewrite history, while the opportunity to invest still exists. Thank you.</t>
  </si>
  <si>
    <t xml:space="preserve">With your help, we can outperform the legal process with the new option of 'need-response'. </t>
  </si>
  <si>
    <t xml:space="preserve">If, God forbid, you ever get questioned by the police, you may wish to know and assert this more favorable option. Join [Claimant]'s campaign to help us replace judicial divisiveness with more transformative love. </t>
  </si>
  <si>
    <t>Join as a supporter, and help create the unfolding narrative of this deeper justice.</t>
  </si>
  <si>
    <t xml:space="preserve">Innocence Projects receive far more requests for help than they can serve. Besides, the legal process runs painfully too slow and divisively. </t>
  </si>
  <si>
    <t xml:space="preserve">We don't serve laws as much as we serve the needs that laws exist to serve. Join us, [RECIPIENT], to help us keep the legal process in check. </t>
  </si>
  <si>
    <t xml:space="preserve">Help us spark a movement, where [Claimant] and I raise the standard of justice. With this pioneering support from Value Relating, we're replacing the lower win-lose standard of the guilt-innocence binary with the higher win-win standard of 'conviction quality', by quantifying how innocent [ppp] actually is or isn't. </t>
  </si>
  <si>
    <t>coerce us into relying on generalizations, overlooking the specifics in our inividual lives</t>
  </si>
  <si>
    <t xml:space="preserve">You don't know what you don't know. </t>
  </si>
  <si>
    <t xml:space="preserve">With your help, </t>
  </si>
  <si>
    <t xml:space="preserve">Help us spark a movement, where </t>
  </si>
  <si>
    <t xml:space="preserve"> and I raise the standard of justice. With this pioneering support from Value Relating, we're replacing the lower win-lose standard of the guilt-innocence binary with the higher win-win standard of 'conviction quality', by quantifying how innocent </t>
  </si>
  <si>
    <t xml:space="preserve"> actually is or isn't. </t>
  </si>
  <si>
    <t xml:space="preserve">Instead of serving laws, it addresses the specific needs for which laws exist. </t>
  </si>
  <si>
    <t xml:space="preserve">Innocence Projects receive far more requests for help than they can serve. Besides, the divisive judicial process has failed [Claimant]. </t>
  </si>
  <si>
    <t xml:space="preserve">With your help, [RECIPIENT], we'll challenge the slow legal process with the new option of 'need-response'. </t>
  </si>
  <si>
    <t xml:space="preserve">Help us spark a movement, where [Claimant] and I raise the standard of justice. </t>
  </si>
  <si>
    <t xml:space="preserve">Instead of serving laws, it addresses the specific needs for which laws exist to serve. </t>
  </si>
  <si>
    <t xml:space="preserve"> and I raise the standard of justice, grounding it more in love and understanding. </t>
  </si>
  <si>
    <t xml:space="preserve">Innocence Projects receive far more requests for help than they can serve. Besides, the legal process is unjustly slow, illicitly divisive, and morally arbitrary. </t>
  </si>
  <si>
    <t xml:space="preserve">, we can outdo the legal process with the new transformative option of 'need-response'. </t>
  </si>
  <si>
    <t xml:space="preserve">If, God forbid, you ever get questioned by the police, you may wish to know and assert this more favorable option. Join [Claimant]'s campaign to help us replace judicial divisiveness with this more loving option. </t>
  </si>
  <si>
    <t xml:space="preserve">to demonstrate the quality or lack of quality in [Claimant]'s wrongful conviction. </t>
  </si>
  <si>
    <t xml:space="preserve">Innocence Projects receive far more requests for help than they can serve. Besides, the legal process is generally slow, divisive, and arbitrary. </t>
  </si>
  <si>
    <t xml:space="preserve">With pioneering support from Value Relating, we're replacing the lower win-lose guilt-innocence binary with the higher win-win 'conviction quality' spectrum. With your help, [RECIPIENT], we can verify for ourselves how innocent [ppp] actually is. </t>
  </si>
  <si>
    <t xml:space="preserve">With pioneering support from Value Relating, we're replacing the lower win-lose guilt-innocence binary with the higher win-win 'conviction quality' spectrum. With your help, </t>
  </si>
  <si>
    <t xml:space="preserve">, we can verify for ourselves how innocent </t>
  </si>
  <si>
    <t xml:space="preserve"> actually is. </t>
  </si>
  <si>
    <t xml:space="preserve">If, God forbid, you ever get questioned by the police, you may wish to know and assert this more favorable option. Join our campaign to help replace judicial divisiveness with this more loving option. </t>
  </si>
  <si>
    <t xml:space="preserve">Join as a supporter, for as little as $10, to help create this unfolding narrative of this deeper justice. </t>
  </si>
  <si>
    <t xml:space="preserve">With pioneering support from Value Relating, we're building support to convice the DA to review [Claimant]'s compelling case. With your support, [RECIPIENT], we can compel the DA to see how innocent [ppp] actually is. </t>
  </si>
  <si>
    <t xml:space="preserve">The more who join our campaign, the greater the chance for [Claimant]'s exoneration. You can help write the narrative of [ppp] upcoming liberation. </t>
  </si>
  <si>
    <t xml:space="preserve">Join as a follower, for free, to see this story of discovered innocence unfold. </t>
  </si>
  <si>
    <t>Join as a supporter, for as little as $10, to help invest in this unfolding narrative of discovered innocence.</t>
  </si>
  <si>
    <t>Click the link now to help us right this wrong, while the opportunity still exists. Thank you.</t>
  </si>
  <si>
    <t>=AL1784</t>
  </si>
  <si>
    <t>=AN152</t>
  </si>
  <si>
    <t xml:space="preserve">The more who join our campaign, the greater the chance for </t>
  </si>
  <si>
    <t xml:space="preserve">'s exoneration. You can help write the narrative of </t>
  </si>
  <si>
    <t xml:space="preserve"> upcoming liberation. </t>
  </si>
  <si>
    <t xml:space="preserve">'s compelling case. With your support, </t>
  </si>
  <si>
    <t xml:space="preserve">Join as a follower, for free, and see this story of discovered innocence unfold. </t>
  </si>
  <si>
    <t xml:space="preserve"> to see how innocent </t>
  </si>
  <si>
    <t xml:space="preserve">, we can compel </t>
  </si>
  <si>
    <t xml:space="preserve">With pioneering support from Value Relating, we're building support to convice the authorities to review </t>
  </si>
  <si>
    <t>attorney</t>
  </si>
  <si>
    <t>Delaware Attorney General</t>
  </si>
  <si>
    <t>commonwealth's attorney</t>
  </si>
  <si>
    <t>parish</t>
  </si>
  <si>
    <t>borough</t>
  </si>
  <si>
    <t>RI Attorney General</t>
  </si>
  <si>
    <t>US attorney</t>
  </si>
  <si>
    <t xml:space="preserve"> of </t>
  </si>
  <si>
    <t xml:space="preserve">the </t>
  </si>
  <si>
    <t>deceived with false information about a witness</t>
  </si>
  <si>
    <t>deceived with false information about codefendant ("prisoner dilemma")</t>
  </si>
  <si>
    <r>
      <t>Describe duress</t>
    </r>
    <r>
      <rPr>
        <sz val="14"/>
        <color rgb="FF000000"/>
        <rFont val="Calibri"/>
        <family val="2"/>
        <scheme val="minor"/>
      </rPr>
      <t xml:space="preserve"> (if pled guilty under duress)</t>
    </r>
  </si>
  <si>
    <t>deceived with false information by another interrogator (good-cop/bad-cop game)</t>
  </si>
  <si>
    <t xml:space="preserve"> of innocence</t>
  </si>
  <si>
    <t>friendly media</t>
  </si>
  <si>
    <t>podcaster</t>
  </si>
  <si>
    <t>local media</t>
  </si>
  <si>
    <t>legacy media</t>
  </si>
  <si>
    <t>local innocence project</t>
  </si>
  <si>
    <t>cordial</t>
  </si>
  <si>
    <t>imperative</t>
  </si>
  <si>
    <t>professional</t>
  </si>
  <si>
    <t>warning</t>
  </si>
  <si>
    <t>unilateral</t>
  </si>
  <si>
    <t>serious</t>
  </si>
  <si>
    <t>EMBARGOED UNTIL LAUNCH DATE</t>
  </si>
  <si>
    <t>SELECT A TONE</t>
  </si>
  <si>
    <t xml:space="preserve">CC: </t>
  </si>
  <si>
    <t xml:space="preserve">* </t>
  </si>
  <si>
    <t>248-872-5500</t>
  </si>
  <si>
    <t>5. A</t>
  </si>
  <si>
    <t xml:space="preserve">Click on the link to </t>
  </si>
  <si>
    <t xml:space="preserve"> to view </t>
  </si>
  <si>
    <t xml:space="preserve">'s story. </t>
  </si>
  <si>
    <t xml:space="preserve">Value Relating created a revolutionary tool to quickly estimate claims of wrongful conviction. It goes beyond the guilt-innocence binary. It provides a range of likely innocence, or guilt. It digs up more details to appreciate </t>
  </si>
  <si>
    <t xml:space="preserve">'s actual innocence. As </t>
  </si>
  <si>
    <t xml:space="preserve"> put it, "</t>
  </si>
  <si>
    <t xml:space="preserve">Contrary to popular belief, all prisoners do not claim to be innocent. </t>
  </si>
  <si>
    <t xml:space="preserve">% likely innocence merits review. </t>
  </si>
  <si>
    <t xml:space="preserve"> apart. </t>
  </si>
  <si>
    <t xml:space="preserve">"We know without doubt," declares the editor of the National Registry of Exonerations, "that the vast majority of innocent defendants who are convicted of crimes are never identified and cleared." </t>
  </si>
  <si>
    <t xml:space="preserve">The appellate process overlooked </t>
  </si>
  <si>
    <t xml:space="preserve">% estimated innocence sets </t>
  </si>
  <si>
    <t xml:space="preserve">, there would be 165,000 viable claims to process. </t>
  </si>
  <si>
    <t xml:space="preserve">If only half of the 15% claiming actual innocence are truly innocent like </t>
  </si>
  <si>
    <t xml:space="preserve">'s actual innocence, as it has other exonerees. Innocence projects could help. But they routinely receive far more requests than they can serve. </t>
  </si>
  <si>
    <t xml:space="preserve">Today, </t>
  </si>
  <si>
    <t xml:space="preserve">Value Relating created a revolutionary tool to quickly estimate claims of wrongful conviction. It compares a claim of actual innocence to known cases of exoneration. Then compares those details to calculate </t>
  </si>
  <si>
    <t xml:space="preserve">." </t>
  </si>
  <si>
    <t xml:space="preserve"> is pioneering a new approach to this problem. </t>
  </si>
  <si>
    <t xml:space="preserve">. Instead of giving up hope, </t>
  </si>
  <si>
    <t xml:space="preserve"> continues to linger in a cell</t>
  </si>
  <si>
    <t xml:space="preserve"> remains stuck on the sex offender registry</t>
  </si>
  <si>
    <t xml:space="preserve"> struggles with poverty</t>
  </si>
  <si>
    <t xml:space="preserve"> and  </t>
  </si>
  <si>
    <t xml:space="preserve"> supporters call for more resources to review claims like </t>
  </si>
  <si>
    <t xml:space="preserve">. Here are some highlights of </t>
  </si>
  <si>
    <t xml:space="preserve"> compelling case for actual innocence.</t>
  </si>
  <si>
    <t xml:space="preserve">You can learn more about </t>
  </si>
  <si>
    <t xml:space="preserve">'s story at </t>
  </si>
  <si>
    <t xml:space="preserve"> compelling innocence claim is one among a growing number using this introductory platform at </t>
  </si>
  <si>
    <t>https://www.valuerelating.com/unexonerated</t>
  </si>
  <si>
    <t xml:space="preserve">. See how </t>
  </si>
  <si>
    <t xml:space="preserve">'s story cries out for better resources to identify and clear the innocent </t>
  </si>
  <si>
    <t xml:space="preserve">. Starting with </t>
  </si>
  <si>
    <t>self.</t>
  </si>
  <si>
    <t xml:space="preserve"> is among the 15% of prisoners who claim "actual" innocence. Other prisoners admit doing the deed, but fail to see their harm. Others view their conviction as a badge of honor, as a proud outlaw. Not </t>
  </si>
  <si>
    <t>text</t>
  </si>
  <si>
    <t>2. SELECT SENDER FROM LIST OF CAMPAIGN SUPPORTORS</t>
  </si>
  <si>
    <t>4. AFTER SENDING, SELECT ANOTHER CAMPAIGN SUPPORTOR TO SEND THE NEXT COPY</t>
  </si>
  <si>
    <t>1. SELECT WHO THIS MESSAGE WILL BE SENT TO, AND SELECT WHO GETS A COPY</t>
  </si>
  <si>
    <t>3rd</t>
  </si>
  <si>
    <t>4th</t>
  </si>
  <si>
    <t>5th</t>
  </si>
  <si>
    <t>The law prevents me from communicating with you directly</t>
  </si>
  <si>
    <t xml:space="preserve">At the time, [claimant] was in shock. </t>
  </si>
  <si>
    <t>This works in the prosecutor's favor, to portray me as selfish and self-absorbed.</t>
  </si>
  <si>
    <t xml:space="preserve">They would be self-absorbed too if suddenly losing their freedom and public reputation. </t>
  </si>
  <si>
    <t>the police and prosecutor exist to protect those like yourelf, but also to serve the greater needs of justice. (1936)</t>
  </si>
  <si>
    <t xml:space="preserve"> holds no bitterness toward the complainant </t>
  </si>
  <si>
    <t xml:space="preserve">My friend </t>
  </si>
  <si>
    <t>3. IF TO THE DA, SELECT A TONE THAT REFLECTS WHERE YOU ARE IN THE CAMPAIGN</t>
  </si>
  <si>
    <t xml:space="preserve">Now </t>
  </si>
  <si>
    <t xml:space="preserve"> has a unique tool to demonstrate the level of </t>
  </si>
  <si>
    <t xml:space="preserve"> and I could be enjoying time together right now. Instead, </t>
  </si>
  <si>
    <t xml:space="preserve"> actual innocence. Compared to those already exonerated, this tool estimates that </t>
  </si>
  <si>
    <t xml:space="preserve"> has a </t>
  </si>
  <si>
    <t xml:space="preserve">% likelihood of being actually innocent. </t>
  </si>
  <si>
    <t xml:space="preserve">I learned </t>
  </si>
  <si>
    <t xml:space="preserve">And I learned there are far more wrongly convicted than innocence projects can process. I joined </t>
  </si>
  <si>
    <t xml:space="preserve">I 100% support </t>
  </si>
  <si>
    <t>NOT YET READY</t>
  </si>
  <si>
    <t>c</t>
  </si>
  <si>
    <t>p</t>
  </si>
  <si>
    <t>w</t>
  </si>
  <si>
    <t>i</t>
  </si>
  <si>
    <t>u</t>
  </si>
  <si>
    <t xml:space="preserve"> innocence campaign to help pick up the slack. This new tool highlights some of </t>
  </si>
  <si>
    <t>'s compelling innocence.</t>
  </si>
  <si>
    <t xml:space="preserve">Your audience may want to hear more about </t>
  </si>
  <si>
    <t xml:space="preserve">'s amazing story. You can catch a glimpse of it at </t>
  </si>
  <si>
    <t xml:space="preserve">Your audience may also want to know more about this new tool. </t>
  </si>
  <si>
    <t xml:space="preserve">. Our campaign will either complement or compete with the slow legal process that continues to fail </t>
  </si>
  <si>
    <t xml:space="preserve"> and others just like </t>
  </si>
  <si>
    <t xml:space="preserve">. Perhaps your audience hungers for an alternative to </t>
  </si>
  <si>
    <t xml:space="preserve">Perhaps your audience hungers for this alternative giving </t>
  </si>
  <si>
    <t xml:space="preserve"> fresh hope. You can learn more about it at https://www.valuerelating.com/unexonerated. You can ask me to fill you in. Or I can direct you to the campaign leader. I am just one of </t>
  </si>
  <si>
    <t>'s supporters trying to make a new kind of difference. I trust you are too.</t>
  </si>
  <si>
    <t>5. CHOOSE A TONE THAT PROPERLY FITS THE DA'S RESPONSIVENESS, OR LACK THEREOF</t>
  </si>
  <si>
    <t>only for DA msg</t>
  </si>
  <si>
    <t>only for IP</t>
  </si>
  <si>
    <t xml:space="preserve">My name is </t>
  </si>
  <si>
    <t xml:space="preserve"> and I am trying to help my friend </t>
  </si>
  <si>
    <t xml:space="preserve">locate all </t>
  </si>
  <si>
    <t xml:space="preserve">find a digitized copy of all </t>
  </si>
  <si>
    <t xml:space="preserve">count the pages of all </t>
  </si>
  <si>
    <t xml:space="preserve">upload all of </t>
  </si>
  <si>
    <t xml:space="preserve">check the links to all of </t>
  </si>
  <si>
    <t xml:space="preserve">identify any support in </t>
  </si>
  <si>
    <t xml:space="preserve">independently validate or invalidate </t>
  </si>
  <si>
    <t xml:space="preserve">vouch for the impartiality in qualifyin </t>
  </si>
  <si>
    <t xml:space="preserve">affordably access all </t>
  </si>
  <si>
    <t xml:space="preserve">hire impartial verifiers to review </t>
  </si>
  <si>
    <t xml:space="preserve"> innocence claim.</t>
  </si>
  <si>
    <t xml:space="preserve">Welcome aboard, </t>
  </si>
  <si>
    <t xml:space="preserve">! Thank you for joining </t>
  </si>
  <si>
    <t xml:space="preserve">'s campaign for innocence. Not only for </t>
  </si>
  <si>
    <t xml:space="preserve">self but for all similarly situated. </t>
  </si>
  <si>
    <t xml:space="preserve">, our campaign is moving forward. Than you for helping us reach another milestone. </t>
  </si>
  <si>
    <t>Could you please forward a message to someone special?</t>
  </si>
  <si>
    <t>We need you to pass along an important message</t>
  </si>
  <si>
    <t>One victim to another seeks deeper justice</t>
  </si>
  <si>
    <t>No one should be revictimized by the judicial system</t>
  </si>
  <si>
    <t>SELECT A RECIPIENT ABOVE TO SEE THE SUBJECT LINE</t>
  </si>
  <si>
    <t>(personal pronoun, start a sentence)</t>
  </si>
  <si>
    <t>(personal pronoun, mid-sentence)</t>
  </si>
  <si>
    <t>(personal pronoun, direct object)</t>
  </si>
  <si>
    <t>(personal posessive pronoun)</t>
  </si>
  <si>
    <t xml:space="preserve">Thank you for passing this on. Once you agree you can pass this message along, </t>
  </si>
  <si>
    <t xml:space="preserve"> can give you the latest contact information </t>
  </si>
  <si>
    <t xml:space="preserve">[We] want to take back the power of our lives, for both you and [ourselves]. </t>
  </si>
  <si>
    <t xml:space="preserve">Thank you for your encouraging responses to our support team. Our campaign for </t>
  </si>
  <si>
    <t xml:space="preserve">"Hi. </t>
  </si>
  <si>
    <t xml:space="preserve"> is actually innocent. </t>
  </si>
  <si>
    <t xml:space="preserve">% certainty that </t>
  </si>
  <si>
    <t xml:space="preserve">'s innocence now reaches a critical milestone. And we need your help to reach it. Could you please pass along the following message to someone special? </t>
  </si>
  <si>
    <t xml:space="preserve">We're reaching out to you in a spirit of love and mercy. We are in the middle of a campaign to right a wrong. We can now say with </t>
  </si>
  <si>
    <t xml:space="preserve"> from contacting you directly. So we asked one of our media contacts to pass along this message of hopeful healing. </t>
  </si>
  <si>
    <t xml:space="preserve"> was in shock at the time, so </t>
  </si>
  <si>
    <t xml:space="preserve"> naturally became self-absorbed. The police and prosecutors easily mischaracterized this as a criminal mindset. </t>
  </si>
  <si>
    <t>our</t>
  </si>
  <si>
    <t>selves.</t>
  </si>
  <si>
    <t>We</t>
  </si>
  <si>
    <t>"We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t>
  </si>
  <si>
    <t>."</t>
  </si>
  <si>
    <t>Congressperson</t>
  </si>
  <si>
    <t>Senator</t>
  </si>
  <si>
    <t>Democrat</t>
  </si>
  <si>
    <t>Republican</t>
  </si>
  <si>
    <t>PARTY</t>
  </si>
  <si>
    <t xml:space="preserve">"We undestand this risks bringing up a lot of pain from the past. We fear your pain and our pain will never go away until real justice can be done in a healing way. The law prevents </t>
  </si>
  <si>
    <t xml:space="preserve"> want to take back the power of our lives they stole, for both you and </t>
  </si>
  <si>
    <t>HOW DID YOU REGARD THE COMPLAINING VICTIM?</t>
  </si>
  <si>
    <t>local state rep</t>
  </si>
  <si>
    <t>local state senator</t>
  </si>
  <si>
    <t>Taking the lead on innocence</t>
  </si>
  <si>
    <t>Budgeting locally for innocence</t>
  </si>
  <si>
    <t>Budgeting statewide for innocence</t>
  </si>
  <si>
    <t>governor</t>
  </si>
  <si>
    <t>Total prison pop</t>
  </si>
  <si>
    <t>Total state pop</t>
  </si>
  <si>
    <t>incar rate (100K)</t>
  </si>
  <si>
    <t>https://blog.justreachout.io/media-pitch/</t>
  </si>
  <si>
    <t>https://ctb.ku.edu/en/table-of-contents/advocacy/direct-action/letters-to-editor/main</t>
  </si>
  <si>
    <t>https://www.sentencingproject.org/the-facts/#map?dataset-option=SIR</t>
  </si>
  <si>
    <t>https://www.vera.org/publications/price-of-prisons-2015-state-spending-trends/price-of-prisons-2015-state-spending-trends/price-of-prisons-2015-state-spending-trends-prison-spending</t>
  </si>
  <si>
    <t>https://www.vera.org/publications/price-of-prisons-2015-state-spending-trends/price-of-prisons-2015-state-spending-trends/price-of-prisons-2015-state-spending-trends-population-and-spending</t>
  </si>
  <si>
    <t>https://nicic.gov/state-statistics/2018/michigan-2018</t>
  </si>
  <si>
    <t>https://nicic.gov/state-statistics-information</t>
  </si>
  <si>
    <t xml:space="preserve"> in a prison population of </t>
  </si>
  <si>
    <t xml:space="preserve">Claimaint is estimated to be among the </t>
  </si>
  <si>
    <t>Nationwide, less than 3,000 have been exonerated. [Gross quote}</t>
  </si>
  <si>
    <t xml:space="preserve">Wrongly convicting the innocent is expensive. </t>
  </si>
  <si>
    <t xml:space="preserve">And yet it remains common. </t>
  </si>
  <si>
    <t xml:space="preserve">Innocence projects and conviction integrity units cannot keep pace with </t>
  </si>
  <si>
    <t xml:space="preserve">Innocence projects cannot review every viable innocence claim. </t>
  </si>
  <si>
    <t xml:space="preserve"> makes a compelling claim for innocence. </t>
  </si>
  <si>
    <t xml:space="preserve"> for a crime we can now know with a degree of certainty that </t>
  </si>
  <si>
    <t xml:space="preserve"> didn't do. Because we now have a tool that can estimate </t>
  </si>
  <si>
    <t xml:space="preserve"> innocence, by comparing the known details of </t>
  </si>
  <si>
    <t xml:space="preserve">As a local resident of </t>
  </si>
  <si>
    <t xml:space="preserve"> relies on the state's innocence projects. But </t>
  </si>
  <si>
    <t xml:space="preserve"> finds them overwhelmed with too many requests to take the time to review </t>
  </si>
  <si>
    <t xml:space="preserve"> compelling innocence claim. </t>
  </si>
  <si>
    <t xml:space="preserve">% and </t>
  </si>
  <si>
    <t xml:space="preserve">Researchers estimate between </t>
  </si>
  <si>
    <t>SW</t>
  </si>
  <si>
    <t>CIUs</t>
  </si>
  <si>
    <t xml:space="preserve">The residents of your district want to know they are kept safe. Not only from perpetrators overlooked when the wrong person is convicted, but safe from overzelous law enforcement. </t>
  </si>
  <si>
    <t xml:space="preserve">% of prisoners are wrongly convicted. That suggests </t>
  </si>
  <si>
    <t xml:space="preserve"> is one of the </t>
  </si>
  <si>
    <t xml:space="preserve"> (using 2021 data) who are wrongly convicted. </t>
  </si>
  <si>
    <t>rec</t>
  </si>
  <si>
    <t>none</t>
  </si>
  <si>
    <t xml:space="preserve">, which typically have only a limited staff, </t>
  </si>
  <si>
    <t xml:space="preserve">'s innocence may never be identified and corrected in time. </t>
  </si>
  <si>
    <t xml:space="preserve">Nationwide, less than 3,000 have been exonerated. </t>
  </si>
  <si>
    <t xml:space="preserve"> case to known exonerations. Called the "Estimated Innocence Form", it calculates </t>
  </si>
  <si>
    <t xml:space="preserve">'s probable innocence at </t>
  </si>
  <si>
    <t>%.</t>
  </si>
  <si>
    <t xml:space="preserve">I share your </t>
  </si>
  <si>
    <t xml:space="preserve">Just as I share the other side's </t>
  </si>
  <si>
    <t xml:space="preserve">I'm worried about the unchecked expansion of the state negaitively impacting society's most disadvantaged populations. </t>
  </si>
  <si>
    <t xml:space="preserve">For the sake of </t>
  </si>
  <si>
    <t xml:space="preserve"> and the many others in </t>
  </si>
  <si>
    <t xml:space="preserve"> just like </t>
  </si>
  <si>
    <t xml:space="preserve">, I implore you to expand or prioritize the budget for </t>
  </si>
  <si>
    <t xml:space="preserve">s to address this growing problem. Give </t>
  </si>
  <si>
    <t xml:space="preserve"> community of supporters a reason to vote for you. Thank you.</t>
  </si>
  <si>
    <t xml:space="preserve">concern about the expansion of the powers of the state without adequate accountability. </t>
  </si>
  <si>
    <t xml:space="preserve">concern about the unequal impact on society's most disadvantaged populations. </t>
  </si>
  <si>
    <t xml:space="preserve">Verification progress: </t>
  </si>
  <si>
    <t>REQUIRES PASSKEY</t>
  </si>
  <si>
    <t>Judicial Review: Appeals and Postconviction Proceedings</t>
  </si>
  <si>
    <t>Prosecutors’ Center for ExcellenceOctober 2020Conviction Review Today: A Guide for Prosecutors</t>
  </si>
  <si>
    <t>FROM</t>
  </si>
  <si>
    <t>5. TEXT</t>
  </si>
  <si>
    <t>'s innocence</t>
  </si>
  <si>
    <t xml:space="preserve">We can help you validate </t>
  </si>
  <si>
    <t xml:space="preserve">We estimated </t>
  </si>
  <si>
    <t xml:space="preserve">'s innocence with a </t>
  </si>
  <si>
    <t>% certainty, will you?</t>
  </si>
  <si>
    <t>Let us help you find the resources to keep pace with the need</t>
  </si>
  <si>
    <t>Let me introduce you to a new tool to make your job easier</t>
  </si>
  <si>
    <t>Strong yes (enthusistic support)</t>
  </si>
  <si>
    <t>Weak yes (hesitant to proceed)</t>
  </si>
  <si>
    <t>Soft yes (hesitant to proceed)</t>
  </si>
  <si>
    <t>Wavering (requries more info)</t>
  </si>
  <si>
    <t>Soft no (not at this time)</t>
  </si>
  <si>
    <t>Unresponsive (no reply in 2 wks)</t>
  </si>
  <si>
    <t>Hard no (absolutely not)</t>
  </si>
  <si>
    <t>prompt: same day reply</t>
  </si>
  <si>
    <t>punctual: next day reply</t>
  </si>
  <si>
    <t>irresponsive: reply in 6 to 14 days</t>
  </si>
  <si>
    <t>responsive: reply in 2 to 5 days</t>
  </si>
  <si>
    <t>dismissive: no reply in 2 weeks</t>
  </si>
  <si>
    <t>Firm yes (eager to proceed)</t>
  </si>
  <si>
    <t>Need Response Report</t>
  </si>
  <si>
    <t>legal elitism</t>
  </si>
  <si>
    <t>legal leverage</t>
  </si>
  <si>
    <t>power exploitation</t>
  </si>
  <si>
    <t>structural exaction</t>
  </si>
  <si>
    <t>cognitive contraction</t>
  </si>
  <si>
    <t>complicit with wellness deteriation</t>
  </si>
  <si>
    <t>wellness deteriation complicity</t>
  </si>
  <si>
    <t>wellness deteriation passivity</t>
  </si>
  <si>
    <t>wellness stagnation</t>
  </si>
  <si>
    <t>wellness improvement</t>
  </si>
  <si>
    <t>welness excellence</t>
  </si>
  <si>
    <t>NEED IMPACT LEVEL</t>
  </si>
  <si>
    <t>Power Impact Report</t>
  </si>
  <si>
    <t>LEGITIMACY ASSESSMENT</t>
  </si>
  <si>
    <t>LEGITIMACY ANNOUNCEMENT</t>
  </si>
  <si>
    <t>LEGITIMACY AUDIT</t>
  </si>
  <si>
    <t>LEGITIMACY AVOWAL</t>
  </si>
  <si>
    <t>ideological exposure: presumption of individual responsibility without regard for negative impacts from power structures</t>
  </si>
  <si>
    <t>You don't know what you don't know</t>
  </si>
  <si>
    <t>impersonal distance at own benefit exacting value from the vulnerable</t>
  </si>
  <si>
    <t>NOMOSCENTRICITY</t>
  </si>
  <si>
    <t xml:space="preserve">You are under no legal obligation to remit this invoice, and we are under no moral obligation to grant legitimacy if you ignore these cited costs. </t>
  </si>
  <si>
    <t>needs are objective; laws and their enforcement are culturally arbitrary</t>
  </si>
  <si>
    <t>popular belief: RI's personal choices are to blame for RI's painful problems</t>
  </si>
  <si>
    <t>REFUNCTION:</t>
  </si>
  <si>
    <t>DEFUNCTION:</t>
  </si>
  <si>
    <t>You lay the foundation for a campaign to champion [claimant]'s innocence</t>
  </si>
  <si>
    <t>We build a support team of supporters to champion [claimant]'s innocence</t>
  </si>
  <si>
    <t>We put your team to work to help [claimant]'s innocence claim to be heard</t>
  </si>
  <si>
    <t>We affirm the [district attorney]'s legitimacy when reviewing [claimant]'s case</t>
  </si>
  <si>
    <t>We network with professionals with the power to help make a difference</t>
  </si>
  <si>
    <r>
      <rPr>
        <b/>
        <sz val="11"/>
        <color theme="1"/>
        <rFont val="Times New Roman"/>
        <family val="1"/>
      </rPr>
      <t>Avoidant options</t>
    </r>
    <r>
      <rPr>
        <sz val="11"/>
        <color theme="1"/>
        <rFont val="Times New Roman"/>
        <family val="1"/>
      </rPr>
      <t>: trapped in avoiding further pain from judicial powers</t>
    </r>
  </si>
  <si>
    <t xml:space="preserve">To date, you have invested </t>
  </si>
  <si>
    <t xml:space="preserve">It has been </t>
  </si>
  <si>
    <t xml:space="preserve">since your attempt to contact </t>
  </si>
  <si>
    <t>your verification progress</t>
  </si>
  <si>
    <t xml:space="preserve">your next milestone </t>
  </si>
  <si>
    <t>Campaign progress report</t>
  </si>
  <si>
    <t xml:space="preserve">since the campaign's launch on </t>
  </si>
  <si>
    <t>higher authority than law; resolving needs</t>
  </si>
  <si>
    <t xml:space="preserve">___ has remitted </t>
  </si>
  <si>
    <t xml:space="preserve">granted legitimacy </t>
  </si>
  <si>
    <t>YOUR ADVOCACY CAMPAIGN DASHBOARD</t>
  </si>
  <si>
    <t>V.</t>
  </si>
  <si>
    <t>REPORT TO:</t>
  </si>
  <si>
    <t>campaign launch date:</t>
  </si>
  <si>
    <t>start of service:</t>
  </si>
  <si>
    <t>campaign pre-launch date:</t>
  </si>
  <si>
    <t xml:space="preserve">We ran the numbers for the innocence movement and it doesn't look good. A handful of lawyers pour hours and hours through a choice number of innocence claims. With an estimated range of </t>
  </si>
  <si>
    <t xml:space="preserve"> alone, </t>
  </si>
  <si>
    <t xml:space="preserve"> of likely innocent prisoners in </t>
  </si>
  <si>
    <t xml:space="preserve"> wonders will you ever get to </t>
  </si>
  <si>
    <t xml:space="preserve"> compelling claim of innocence?</t>
  </si>
  <si>
    <t xml:space="preserve">Don't get me wrong, we're thankful for what you do. But why must we rely exclusively on the same broken adversarial legal process that keeps making these egregious errors? </t>
  </si>
  <si>
    <t xml:space="preserve">now has an alternative that can either complement or compete with your noble yet limited efforts. Called the Estimated Innocence Form, </t>
  </si>
  <si>
    <t xml:space="preserve">can now demonstrate </t>
  </si>
  <si>
    <t xml:space="preserve">innocence with </t>
  </si>
  <si>
    <t>% certainty.</t>
  </si>
  <si>
    <t xml:space="preserve">This tool compares the details to </t>
  </si>
  <si>
    <t xml:space="preserve">'s claim to those already exonerated. The more </t>
  </si>
  <si>
    <t xml:space="preserve"> case mirrors those exonerated, the higher the score of estimated innocence. This "EIF" processes the nuance of </t>
  </si>
  <si>
    <t>innocence claim more thoroughly than your typical questionairre for claimnants.</t>
  </si>
  <si>
    <t xml:space="preserve">, is assembling a team of volunteers to go through </t>
  </si>
  <si>
    <t xml:space="preserve">We invite you to engage us during this pioneering approach toward exoneration. During this populist era, we see it's time for us to take up more matters in our own hands. If the legal-judicial process cannot be trusted to correct its own errors, we will step up.  See the enclosed Conviction Summary Report to see what we mean. Then let's talk about getting </t>
  </si>
  <si>
    <t xml:space="preserve"> the overdue justice </t>
  </si>
  <si>
    <t xml:space="preserve"> deserves. I look forward to your reply, and working on this together. Thank you.</t>
  </si>
  <si>
    <t>Scientific</t>
  </si>
  <si>
    <t>Democratic</t>
  </si>
  <si>
    <t>Constitutional</t>
  </si>
  <si>
    <t>Inspirational</t>
  </si>
  <si>
    <t>Wisdom</t>
  </si>
  <si>
    <t>Love</t>
  </si>
  <si>
    <t>Accountable</t>
  </si>
  <si>
    <t>Supportive</t>
  </si>
  <si>
    <t>Responsive</t>
  </si>
  <si>
    <t xml:space="preserve">If 40% of reviewed cases confirm guilt with DNA testing, then something seems amiss in your initial screening. We are positioning ourselves to help with that, using the EIF tool. </t>
  </si>
  <si>
    <t>The price of leadership just went up. Opportunity for leaders to positively impact others now soars far higher.</t>
  </si>
  <si>
    <t>We assert our right and responsibility to fully resolve our affected needs, with or without authority support.</t>
  </si>
  <si>
    <t>announcing</t>
  </si>
  <si>
    <t>assessing</t>
  </si>
  <si>
    <t>auditing</t>
  </si>
  <si>
    <t>avowing</t>
  </si>
  <si>
    <t>Announcing a new tool for estimating viable claims of innocence</t>
  </si>
  <si>
    <t xml:space="preserve">Avowing to clear </t>
  </si>
  <si>
    <t>'s name by any legitimate means possible</t>
  </si>
  <si>
    <t xml:space="preserve"> is among the first to try it. </t>
  </si>
  <si>
    <t xml:space="preserve"> was convicted by your office back in </t>
  </si>
  <si>
    <t xml:space="preserve">Or is the truth buried in these assumptions? Let's be honest now. Your job urges you to claim more than you actually know. While you cling to 'conviction finality', you don't really know what you don't know. Let's face it, it's now easier for the accused to admit their human imperfections than for police and prosecutors to admit theirs. </t>
  </si>
  <si>
    <t xml:space="preserve">Since then, </t>
  </si>
  <si>
    <t xml:space="preserve"> claim to known exonerations, we can estimate with </t>
  </si>
  <si>
    <t xml:space="preserve"> maintains that </t>
  </si>
  <si>
    <t xml:space="preserve"> is actually innocent. By comparing </t>
  </si>
  <si>
    <t xml:space="preserve"> is indeed actually innocent.</t>
  </si>
  <si>
    <t xml:space="preserve">'s supporters, who are trying to improve the estimate score by verifying the details of </t>
  </si>
  <si>
    <t xml:space="preserve"> innocence claim. They are now seeking support</t>
  </si>
  <si>
    <t xml:space="preserve">You can learn more by writing to Value Relating LLC at valuerelating@gmail.com. You can expect to hear from us again, as we build support for </t>
  </si>
  <si>
    <t>'s calculated innocence. If we don't hear from you, we will presume you have no objections to our pioneering approach to justice. We look forward to working with you in the near future. Thank you.</t>
  </si>
  <si>
    <t>PARTY OF DA</t>
  </si>
  <si>
    <t>You must get hundreds of petitions each year from prisoners claiming to be railroaded. It's hard to take them seriously. Once convicted, you know felons will do just about anything to undo that conviction. Prisoners are desperate to regain their lost freedom. They will irresponsibly game the system in much the same way they irresponsibly manipulated the situation of their crime.</t>
  </si>
  <si>
    <t xml:space="preserve">While placement is a binary (under custody or not under state custody), </t>
  </si>
  <si>
    <t>https://en.wikipedia.org/wiki/Institutional_betrayal</t>
  </si>
  <si>
    <t>"[A]s the antidote to institutional betrayal, [i]nstitutional courage refers to 'rightdoings' by which institutions demonstrate accountability, transparency, and support of individuals who are harmed within the context of the institution."</t>
  </si>
  <si>
    <t xml:space="preserve">“The primary duty of the prosecutor is to seek justice within the bounds of the law, not merely to convict.” But interpretations of justice, and generalizations about what is necessary for public safety, gets skewed by power dynamics. With minimal accountability, you easily generalize against the falsely accused. Tunnel vision investigations too easily convict the innocent. </t>
  </si>
  <si>
    <t xml:space="preserve">There's no greater authority under heaven than resolved needs. While no one sits above ethe love, no law sits above the needs for which it exists to serve. </t>
  </si>
  <si>
    <t xml:space="preserve">We're making it easier for you. Value Relating LLC is pioneering a tool for quantifying an innocence claim. </t>
  </si>
  <si>
    <t>% estimated innocence</t>
  </si>
  <si>
    <t xml:space="preserve">Assessing your responsiveness to </t>
  </si>
  <si>
    <t xml:space="preserve">In the interest of deeper justice, need-response counters power dynamics by going straight to the affected needs on all sides. All personal needs are respected equally. Your institutional needs, such as the state’s exclusive right to violence, can never be greater than the personal needs for which these institutional needs exist to serve. </t>
  </si>
  <si>
    <t>'s support team continues to personally need your support</t>
  </si>
  <si>
    <t xml:space="preserve">Each payment for service Value Relating receives from </t>
  </si>
  <si>
    <t>Exaction Invoice</t>
  </si>
  <si>
    <t>PROBLEM: You're trapped in a judicial power relation</t>
  </si>
  <si>
    <r>
      <rPr>
        <b/>
        <sz val="20"/>
        <color rgb="FF23B98C"/>
        <rFont val="Tahoma"/>
        <family val="2"/>
      </rPr>
      <t>Answer the</t>
    </r>
    <r>
      <rPr>
        <b/>
        <sz val="20"/>
        <color rgb="FFD088FC"/>
        <rFont val="Tahoma"/>
        <family val="2"/>
      </rPr>
      <t xml:space="preserve"> </t>
    </r>
    <r>
      <rPr>
        <b/>
        <sz val="20"/>
        <color rgb="FF7030A0"/>
        <rFont val="Tahoma"/>
        <family val="2"/>
      </rPr>
      <t>law</t>
    </r>
    <r>
      <rPr>
        <b/>
        <sz val="20"/>
        <color rgb="FFD088FC"/>
        <rFont val="Tahoma"/>
        <family val="2"/>
      </rPr>
      <t xml:space="preserve"> </t>
    </r>
    <r>
      <rPr>
        <b/>
        <sz val="20"/>
        <color rgb="FF23B98C"/>
        <rFont val="Tahoma"/>
        <family val="2"/>
      </rPr>
      <t>with your affected</t>
    </r>
    <r>
      <rPr>
        <b/>
        <sz val="20"/>
        <color rgb="FFD088FC"/>
        <rFont val="Tahoma"/>
        <family val="2"/>
      </rPr>
      <t xml:space="preserve"> </t>
    </r>
    <r>
      <rPr>
        <b/>
        <sz val="20"/>
        <color rgb="FF198264"/>
        <rFont val="Tahoma"/>
        <family val="2"/>
      </rPr>
      <t>needs</t>
    </r>
  </si>
  <si>
    <t xml:space="preserve">Join as a supporter, to invest as little as $10 to start and $2.95 each week. Start with a 14-day trial to help create this unfolding narrative of discovered innocence. </t>
  </si>
  <si>
    <t xml:space="preserve">Starting or joining a campaign gives you guidance through the messaging strategy below. </t>
  </si>
  <si>
    <t xml:space="preserve">You lay the foundation for a campaign to champion </t>
  </si>
  <si>
    <t xml:space="preserve">We affirm the </t>
  </si>
  <si>
    <t>'s case</t>
  </si>
  <si>
    <t xml:space="preserve">We build a support team of supporters to champion </t>
  </si>
  <si>
    <t xml:space="preserve">We put your team to work to help </t>
  </si>
  <si>
    <t>'s innocence claim to be heard</t>
  </si>
  <si>
    <t xml:space="preserve">'s legitimacy when reviewing </t>
  </si>
  <si>
    <t xml:space="preserve">Prepare your campaign by inviting supporters to invest in </t>
  </si>
  <si>
    <t>'s innocence.</t>
  </si>
  <si>
    <r>
      <t xml:space="preserve">Green, Bruce A. (1999). Why Should Prosecutors "Seek Justice"? </t>
    </r>
    <r>
      <rPr>
        <i/>
        <sz val="10"/>
        <color theme="7" tint="0.79998168889431442"/>
        <rFont val="Times New Roman"/>
        <family val="1"/>
      </rPr>
      <t>Fordham Urban Law Journal, 26</t>
    </r>
    <r>
      <rPr>
        <sz val="10"/>
        <color theme="7" tint="0.79998168889431442"/>
        <rFont val="Times New Roman"/>
        <family val="1"/>
      </rPr>
      <t xml:space="preserve">:3:6.
</t>
    </r>
  </si>
  <si>
    <t>Green, Bruce A. (1999). Why Should Prosecutors "Seek Justice"? Fordham Urban Law Journal, 26:3:6.</t>
  </si>
  <si>
    <t xml:space="preserve">You hold the power to review </t>
  </si>
  <si>
    <t xml:space="preserve">'s case. We hold the power to assess how you apply your power, and correlate it with justice outcomes. We look forward to helping you focus your incredible power to resolve more needs. </t>
  </si>
  <si>
    <t xml:space="preserve">Need-response checks the “gross imbalance of power between prosecutors and defense lawyers” (Green, 1999). With this new field, we want to help you turn </t>
  </si>
  <si>
    <t xml:space="preserve"> We trust your commitment to justice will support this need.  </t>
  </si>
  <si>
    <t>% estimated innocence into an objective reality. Thank you for your support.</t>
  </si>
  <si>
    <t>AI expresses concern this could be a form of extortion</t>
  </si>
  <si>
    <t>AI implies this invoice could be a form of extortion</t>
  </si>
  <si>
    <t>AI intends to accuse RI of extortion for using this invoice</t>
  </si>
  <si>
    <t>AI accuses RI of extortion for using this invoice</t>
  </si>
  <si>
    <t>AI welcomes this mutual awareness of affected needs</t>
  </si>
  <si>
    <t>AI open to mutual awareness without bringing up extortion</t>
  </si>
  <si>
    <t>SELECT THE BEST OPTION IN THE DROPDOWN LIST ABOVE</t>
  </si>
  <si>
    <t>The receiving AI holds some power of the sending RI.</t>
  </si>
  <si>
    <t>There is already some coersion from the AI.</t>
  </si>
  <si>
    <t>The RI seeks to address all needs mutually.</t>
  </si>
  <si>
    <t>Extortiony?</t>
  </si>
  <si>
    <t xml:space="preserve"> the subtotal. </t>
  </si>
  <si>
    <t xml:space="preserve">For attempting to create value under threat of liberty, this sending RI must </t>
  </si>
  <si>
    <t xml:space="preserve">For openly working with us without misinterpreting this as extortion, you receive a </t>
  </si>
  <si>
    <t xml:space="preserve"> discount.</t>
  </si>
  <si>
    <t xml:space="preserve">"Conviction quality" transcends the guilt-innocence binary. The guilt-innocence binary is a social structure </t>
  </si>
  <si>
    <t>Auditing your support for independently verified innocence</t>
  </si>
  <si>
    <t xml:space="preserve">Your life is busy, we get it. You don't have time to look too deeply into </t>
  </si>
  <si>
    <t xml:space="preserve"> support team works to </t>
  </si>
  <si>
    <t xml:space="preserve">, as </t>
  </si>
  <si>
    <t>'s innocence claim</t>
  </si>
  <si>
    <t xml:space="preserve"> life but also on all </t>
  </si>
  <si>
    <t xml:space="preserve"> loved ones. </t>
  </si>
  <si>
    <t xml:space="preserve">Meanwhile, the wrongful conviction and efforts to resolve it continue to exact a heavy cost not only on </t>
  </si>
  <si>
    <t>In the interest of justice for all, we must hold you accountable for the power you hold over our lives. Not in anger, but as a service to you and to your office. This new professional field of need-response prioritizes objective needs over arbitrary laws. While no one sits above the law, no law sits above the needs for which it exists to serve.</t>
  </si>
  <si>
    <t xml:space="preserve">If power corrupts, you risk losing sight of the purpose for law enforcement. Out of fear of your power, </t>
  </si>
  <si>
    <t xml:space="preserve"> and others like </t>
  </si>
  <si>
    <t xml:space="preserve"> routinely acquiesce to the implicit or explicit demands of your power. Need-response calls it 'structural exaction' when your power "exacts" concessions against the interests of justice. It answers this problem with the "exaction invoice".</t>
  </si>
  <si>
    <t xml:space="preserve">'s advocacy campaign is considered an investment on your behalf, or on behalf of the state. It is unethical for us to charge </t>
  </si>
  <si>
    <t xml:space="preserve"> for the costs </t>
  </si>
  <si>
    <t xml:space="preserve"> did not incur. Of course, there is no legal obligation to remit the invoice, since it is primarily a tool to communicate impacted needs. </t>
  </si>
  <si>
    <t>We look forward to engaging each other's impacted needs. And find ways to serve justice for all. We look forward to you reply. Thank you.</t>
  </si>
  <si>
    <t xml:space="preserve">Welcome to need-response. Where we focus on resolving all affected needs. That includes resolving </t>
  </si>
  <si>
    <t xml:space="preserve">'s need for justice, in sync with your need to protect the public. Now that </t>
  </si>
  <si>
    <t xml:space="preserve">'s estimated innocence is now up to </t>
  </si>
  <si>
    <t>%, we question the legitimacy of authority to whomever rejects this empirical data.</t>
  </si>
  <si>
    <t>Legitimacy Feedback Report</t>
  </si>
  <si>
    <t xml:space="preserve">’s experience of thirst, or deny </t>
  </si>
  <si>
    <t xml:space="preserve"> objective need for companionship, or refute </t>
  </si>
  <si>
    <t xml:space="preserve">Again, we say, welcome to need-response. We are raising the standard of justice. Not only with "conviction quality" but also with a measurable accountability of our need-respecting love for each other. We are measuring </t>
  </si>
  <si>
    <t xml:space="preserve">'s respect for your needs, and measuring your respect for </t>
  </si>
  <si>
    <t xml:space="preserve"> affected needs. </t>
  </si>
  <si>
    <t>We shall now fulfil the purpose of justice, with or without you. Thank you.</t>
  </si>
  <si>
    <t>From this point forward, we challenge any authority presumed over anyone’s needs. Every human need exists as objective phenomenon. You may contest how one’s attempt to relieve a need affects others, which is central to the purpose of law enforcement. No legitimate authority cever contest the reality of the needs themselves.</t>
  </si>
  <si>
    <t xml:space="preserve">To resolve our objective needs, we address legitimacy in nine key empirical areas. We grant legitimacy where we empirically find mutual respect for each other' objective needs. We refute legitimacy of authority if used to refuse </t>
  </si>
  <si>
    <t xml:space="preserve"> objective need for self-sufficiency and for liberty. </t>
  </si>
  <si>
    <t>Unlike the state’s exclusive use of violence, need-response anchors its legitimacy in the higher standard of love—of mutually respecting each other’s needs as each would have others respect their own. Wherever such love is impeded by "authority", we avow to resolve those needs by refuting its legitimacy.</t>
  </si>
  <si>
    <t>THIS PART NOT YET READY</t>
  </si>
  <si>
    <t>NOT READY YET</t>
  </si>
  <si>
    <t>STILL WORKING ON THIS PART</t>
  </si>
  <si>
    <t xml:space="preserve"> is not as innocent as </t>
  </si>
  <si>
    <t xml:space="preserve">Even if </t>
  </si>
  <si>
    <r>
      <t xml:space="preserve">This is a report generated by </t>
    </r>
    <r>
      <rPr>
        <b/>
        <sz val="11"/>
        <color theme="1"/>
        <rFont val="Times New Roman"/>
        <family val="1"/>
      </rPr>
      <t>need-response</t>
    </r>
    <r>
      <rPr>
        <sz val="11"/>
        <color theme="1"/>
        <rFont val="Times New Roman"/>
        <family val="1"/>
      </rPr>
      <t>, a new field addressing each other's affected needs.</t>
    </r>
  </si>
  <si>
    <t>Law enforcement creates a power imbalance between the police and citizens. Officers can influence citizens far more than citizens can influence officers. Once arrested and detained, prosecutors magnify this powere imbalance. This '</t>
  </si>
  <si>
    <t xml:space="preserve"> presents a </t>
  </si>
  <si>
    <t>' identifies some of the unhealthy consequences from the prosecutor's power.</t>
  </si>
  <si>
    <t xml:space="preserve"> claims, the impact of prosecutorial power can ultimately undermine the interests of justice. When compared to other exonerees, </t>
  </si>
  <si>
    <t>% chance of being actually innocent. Consider the following impacts with that in mind.</t>
  </si>
  <si>
    <t xml:space="preserve">6) </t>
  </si>
  <si>
    <t>NOT REPORTED</t>
  </si>
  <si>
    <t xml:space="preserve">How the wrongful conviction challenges </t>
  </si>
  <si>
    <t xml:space="preserve">How the wrongful conviction affects </t>
  </si>
  <si>
    <t>'s aspirations</t>
  </si>
  <si>
    <t>'s life</t>
  </si>
  <si>
    <t xml:space="preserve">12) </t>
  </si>
  <si>
    <t xml:space="preserve">With a </t>
  </si>
  <si>
    <t xml:space="preserve">% negative impact on </t>
  </si>
  <si>
    <t xml:space="preserve">'s needs, and </t>
  </si>
  <si>
    <t xml:space="preserve">% impact on </t>
  </si>
  <si>
    <t xml:space="preserve"> aspirations, </t>
  </si>
  <si>
    <t>Getting to the sources of unjust negative impacts requires us to address unchecked prosecutorial power. Need-response examines the range of outcomes in this "adjudicaton distribution".</t>
  </si>
  <si>
    <t>Vulnerability avoidance</t>
  </si>
  <si>
    <t>as used here, refers to prioritizing the needs of others ahead of your own. And when others who love you prioritize your needs ahead of their own. Done proactively, your own needs do not go unmet but rather by prioritizing their needs, you inspire them to reciprocate to support resolving your needs.</t>
  </si>
  <si>
    <t>Mass avoidance</t>
  </si>
  <si>
    <t>Symfunctional strain</t>
  </si>
  <si>
    <t>is the ongoing emotional stress from needs not fully resolved, limiting your ability to focus elsewhere and often mistaken as lack of intelligence.</t>
  </si>
  <si>
    <t>Discomfort avoidance</t>
  </si>
  <si>
    <t>Relief-belief</t>
  </si>
  <si>
    <t>is latching onto what you think is true or not primarily to relieve yourself from discomfort.</t>
  </si>
  <si>
    <t>Relief-generalizing</t>
  </si>
  <si>
    <t>is oversimplifying a reaction to some need to gain broad support for relieving its pain. “Relief-gen” for short.</t>
  </si>
  <si>
    <t>Cognition contraction</t>
  </si>
  <si>
    <t>Reified self-brokenness</t>
  </si>
  <si>
    <t>Normative alienation</t>
  </si>
  <si>
    <t>Pistiscentricity</t>
  </si>
  <si>
    <t>Nomoscentricity</t>
  </si>
  <si>
    <t>Prenormativity</t>
  </si>
  <si>
    <t>Nature resistance</t>
  </si>
  <si>
    <t>is fighting the natural course for resolving needs, whether in yourself or in others.</t>
  </si>
  <si>
    <t>Avoidant comparison</t>
  </si>
  <si>
    <t>is contrasting one’s own negatively impactful actions with the real or imagined unwelcomed acts of dreaded others. This is often to shift social shame from own behavior to those who can be viewed as less reputable and therefore avoid one’s own possible loss of social status.</t>
  </si>
  <si>
    <t>Avoidant relativization</t>
  </si>
  <si>
    <t>is turning something with some level of certainty into something fully arbitrary and therefore can evade social pressure to meet any moral standard.</t>
  </si>
  <si>
    <t>Avoidant externalization</t>
  </si>
  <si>
    <t>is evading risk of subjectivity by going to the opposite extreme of objectifying human subject matter. It assumes this improves objectivity but often buries overlooked details in unadmitted biases.</t>
  </si>
  <si>
    <t>Popgen</t>
  </si>
  <si>
    <t>Popgen rationalism</t>
  </si>
  <si>
    <t>is the watered-down version of the Enlightenment ideal of rational thought, stripped much of its original nuance to keep it palpable to the masses.</t>
  </si>
  <si>
    <t>Popgen romanticism</t>
  </si>
  <si>
    <t>is the watered-down version of Romantic Era ideals of individualism and emotional expression, stripped of most of its original nuance to safeguard its mass appeal.</t>
  </si>
  <si>
    <t xml:space="preserve">Popgen progressivism </t>
  </si>
  <si>
    <t>is the watered-down version of Progressive Era ideals of social improvements and its other social ideals, stripped of its original nuance to keep it widely appealable to as many as possible.</t>
  </si>
  <si>
    <t>Popgen existentialism</t>
  </si>
  <si>
    <t>is the watered-down version of Existentialism ideal of responsible choice and other existential ideas, stripped much of its original nuance to keep it palpable to the masses.</t>
  </si>
  <si>
    <t>Popgen postmodernism</t>
  </si>
  <si>
    <t>is the watered-down version of Postmodernism deconstructing and other tools, stripped much of its nuance to apply more easily by the average person.</t>
  </si>
  <si>
    <t>Binarism</t>
  </si>
  <si>
    <t>as stated here, is generalizing two competing options to the exclusion of engaging and potentially integrating the best of all options, as it overlooks the nuance in between and beyond.</t>
  </si>
  <si>
    <t>Reactive vacillation</t>
  </si>
  <si>
    <t>Psychosocial reduction</t>
  </si>
  <si>
    <t>is reducing wellness to either internal psychological factors to the neglect of external socioenvironmental factors, or to external socioenvironmental factors to the neglect of internal psychological factors.</t>
  </si>
  <si>
    <t>Psychosocial vacillation</t>
  </si>
  <si>
    <t>Reflexive reinforcement</t>
  </si>
  <si>
    <t>Contra-opposition</t>
  </si>
  <si>
    <t>Conflict porn</t>
  </si>
  <si>
    <t>is indulging in being contentious with others, more for the thrill of winning over another than to resolve any needs.</t>
  </si>
  <si>
    <t>Self-serving dismissiveness</t>
  </si>
  <si>
    <t>is summarily discounting or rejecting what another believes or says solely to ease one’s own discomfort.</t>
  </si>
  <si>
    <t>Self-righteous defensiveness</t>
  </si>
  <si>
    <t>is resisting any personal or social awareness of one’s own imperfections, especially to guard any culpability in negative impacts.</t>
  </si>
  <si>
    <t>Generalization dependency</t>
  </si>
  <si>
    <t>Relief bias</t>
  </si>
  <si>
    <t>is prioritizing the easing of pain over careful consideration of resolving needs to remove pain.</t>
  </si>
  <si>
    <t>Familiarity bias</t>
  </si>
  <si>
    <t>Imposed relief</t>
  </si>
  <si>
    <t>Impact avoidance</t>
  </si>
  <si>
    <t>is conveniently overlooking the damaging impacts from past traumatizing events. This typically applies to overlooking such damage in others, but can include neglecting the detrimental effects of one’s own past history.</t>
  </si>
  <si>
    <t>Impact neglect</t>
  </si>
  <si>
    <t>is overlooking the current effects of proposed or actual change on others, when not considering their specific needs in decisions.</t>
  </si>
  <si>
    <t>Rational supremacy</t>
  </si>
  <si>
    <t>Critique conflation</t>
  </si>
  <si>
    <t>lumps together the weak points of criticism of an idea or decision with its stronger points, or with its attempts to identify, express and address overlooked needs.</t>
  </si>
  <si>
    <t>Structural exaction</t>
  </si>
  <si>
    <t>is when a power relation legally coerces the powerless side to involuntarily transfer something of value to the powerful side, without accountably allowing for impacted needs to resolve, whether either side in a power relation is aware of this coercion or not.</t>
  </si>
  <si>
    <t>Nonaccountable influence</t>
  </si>
  <si>
    <t>is exacting social pressure on others, typically those more vulnerable for lack of resources, without having to answer for their negative impacts.</t>
  </si>
  <si>
    <t>Privileged coercive power</t>
  </si>
  <si>
    <t>is manipulation or exploitation of others with less social power under sanction of social norms or cover of law. This applies when it results in hindering the socially less powerful to resolve their needs, or stir clear of avoidable needs.</t>
  </si>
  <si>
    <t>Rationalized systemic failure</t>
  </si>
  <si>
    <r>
      <t>(</t>
    </r>
    <r>
      <rPr>
        <b/>
        <sz val="11"/>
        <color theme="1"/>
        <rFont val="Times New Roman"/>
        <family val="1"/>
      </rPr>
      <t>RSF</t>
    </r>
    <r>
      <rPr>
        <sz val="11"/>
        <color theme="1"/>
        <rFont val="Times New Roman"/>
        <family val="1"/>
      </rPr>
      <t xml:space="preserve">) refers to uncritical justification of mass institutions that systemically fail to serve its mission needs. </t>
    </r>
  </si>
  <si>
    <t>Mass institution mission creep</t>
  </si>
  <si>
    <r>
      <t>(</t>
    </r>
    <r>
      <rPr>
        <b/>
        <sz val="11"/>
        <color theme="1"/>
        <rFont val="Times New Roman"/>
        <family val="1"/>
      </rPr>
      <t>MIMC</t>
    </r>
    <r>
      <rPr>
        <sz val="11"/>
        <color theme="1"/>
        <rFont val="Times New Roman"/>
        <family val="1"/>
      </rPr>
      <t>) recognizes the tendency of our largest institutions to shift away from its founding purpose, and slide toward whatever helps keep itself going.</t>
    </r>
  </si>
  <si>
    <t>Imposing authority</t>
  </si>
  <si>
    <t>is the imposition of legally or normatively privileged use of force in ways that undercut resolving of needs, or provokes avoidable needs.</t>
  </si>
  <si>
    <t>Enabled evil</t>
  </si>
  <si>
    <t>Anti-anankelogizing</t>
  </si>
  <si>
    <t>is deliberate opposition to resolving any needs for any reason. The typical motive is to ease needs or relieve their pain, especially where resources are not reliably accessible.</t>
  </si>
  <si>
    <t>Divisivism</t>
  </si>
  <si>
    <t>Reactive opposition</t>
  </si>
  <si>
    <t>Institutional betrayal</t>
  </si>
  <si>
    <t>is the persistent evasion of dropping your guard with others close to you, typically out of fear or rejection and often a consequence of 'normative alienation', 'nomoscentricity', 'pistiscentricity' and other defunctions.</t>
  </si>
  <si>
    <t>is the widespread norm of avoiding any personal engagement with others or avoiding to face something that seems uncomfortable or threatening. E.g., widespread evasion of our natural tendency to first estimate the trustworthiness of others by their most visible features, lest we get publicly labeled as a bigot. See 'normative alienation'.</t>
  </si>
  <si>
    <t>is the evasion of any kind of pain, failing to differentiate between positive 'organic pain' and less positive 'residual pain', 'biostructural pain' and 'metapain'.</t>
  </si>
  <si>
    <t>is the natural consequence of pressing needs consuming one’s focus or 'cognitive load', shrinking one’s 'cognitive bandwidth'.</t>
  </si>
  <si>
    <t>is when you generalize you are an innately flawed individual, rather than presenting as broken due to sociocultural or environmental conditions. See 'psychosocial reduction'.</t>
  </si>
  <si>
    <t>is the socially sanctioned expectation not to personally engage with one another, and rely instead on impersonal rules to guide behavior toward each other. See 'nomoscentricity'.</t>
  </si>
  <si>
    <t>is centering your decisions around what you think is true or not, as opposed to continually interacting with others for feedback to your impactful decisions and actions. 
'Pisti' is the classical Greek word for belief. It also covers faith and trust, which arguably are distinct from each other.</t>
  </si>
  <si>
    <t>is centering your decisions and actions around impersonal norms, instead of personally knowing what others may specifically need from you. 'Nomos' is the classical Greek word for law. See 'normative alienation' and 'vulnerability avoidance'.</t>
  </si>
  <si>
    <r>
      <t>or "</t>
    </r>
    <r>
      <rPr>
        <b/>
        <sz val="11"/>
        <color theme="1"/>
        <rFont val="Times New Roman"/>
        <family val="1"/>
      </rPr>
      <t>premature normativity"</t>
    </r>
    <r>
      <rPr>
        <sz val="11"/>
        <color theme="1"/>
        <rFont val="Times New Roman"/>
        <family val="1"/>
      </rPr>
      <t>, is insisting something should be done to ease some need or ease its pain without sufficient information for a decision to resolve that need.</t>
    </r>
  </si>
  <si>
    <r>
      <t xml:space="preserve">is the watered-down version of a critical philosophical tool, to broaden and hopefully popularize its appeal. “Popgen” is a portmanteau of “popular” and “generalizing.” See the next few items that apply this </t>
    </r>
    <r>
      <rPr>
        <b/>
        <i/>
        <sz val="11"/>
        <color theme="1"/>
        <rFont val="Times New Roman"/>
        <family val="1"/>
      </rPr>
      <t>defunction.</t>
    </r>
  </si>
  <si>
    <t>is shifting back and forth between opposing options, mostly to ease pain, overlooking potential to integrate into a new whole to resolve needs and remove pain. See 'binarism' and 'divisivism'.</t>
  </si>
  <si>
    <r>
      <t>is swinging between the extremes of self-needs and social-needs. It contrasts with natural '</t>
    </r>
    <r>
      <rPr>
        <i/>
        <sz val="11"/>
        <color theme="1"/>
        <rFont val="Times New Roman"/>
        <family val="1"/>
      </rPr>
      <t>psychosocial oscillation'</t>
    </r>
    <r>
      <rPr>
        <sz val="11"/>
        <color theme="1"/>
        <rFont val="Times New Roman"/>
        <family val="1"/>
      </rPr>
      <t>, which follows nature’s cyclic prompting.</t>
    </r>
  </si>
  <si>
    <t>is overgeneralized opposition, for easing pain, that provokes the needs of those opposed. It tends to ignite backlash. It is a common precursor to 'reflexive reinforcement'.</t>
  </si>
  <si>
    <t>is strengthening something opposed by reacting to it in ways provoking its defenses, and actually producing more of what is ostensibly opposed. It is a common consequence of 'contra-opposition'.</t>
  </si>
  <si>
    <t>is exaggerating opposing sides for own gain. It applies mainly to those with social influence, whose cultural or political power relies on keeping parts of society divided against each other. See 'binarism'.</t>
  </si>
  <si>
    <t>is generalized hostility toward something or someone, easily overlooking acceptable specifics. Emphasis on easing discomfort tends to override resolving the affected needs, essentially reinforcing the situation for conflict. Similar names are 'premature opposition' and 'overgeneralized opposition'.</t>
  </si>
  <si>
    <t>turns temporary or provisional generalizations into long-term beliefs and decisions. It presents as entrenched reliance on more simplified views to avoid discomfort of engaging relevant specifics, which are necessary to resolve needs. This relates to 'relief-generalizing' and many of the conflict defunctions.</t>
  </si>
  <si>
    <t>is prioritizing one’s more accustomed way to cope with needs, when resolving needs seem too strange to consider.</t>
  </si>
  <si>
    <t>is coercion to accept pain relief, interfering with opportunity to remove pain by resolving the needs. While applicable to interpersonal relationships, this typically involves institutions controlling access to essential resources.</t>
  </si>
  <si>
    <t>is raising the role of dispassionate cognition over the holistic process of need-reporting emotions. It effectively represses one’s uncomfortable emotions in ways undermining the resolution of emotion-reported needs. See 'popgen rationalism'.</t>
  </si>
  <si>
    <t>is socially or legally privileged power to adversely impact or destroy others, in arrogant defiance or evasion of reported complaints. Akin to "institutional betrayal".</t>
  </si>
  <si>
    <t>is wrongdoing perpetrated by an institution upon individuals dependent on that institution, including failure to prevent or respond supportively to wrongdoings by individuals (e.g. sexual assault) committed within the context of the institution</t>
  </si>
  <si>
    <t>Relievism</t>
  </si>
  <si>
    <t>is generalizing all aesthetically unpleasant experience as morally bad. In other words, it is believing or moralizing all pain as bad. See 'discomfort avoidance'.</t>
  </si>
  <si>
    <t>Gratitude</t>
  </si>
  <si>
    <t>Grace</t>
  </si>
  <si>
    <t>Humility</t>
  </si>
  <si>
    <t>Honesty</t>
  </si>
  <si>
    <t>Forgiveness</t>
  </si>
  <si>
    <t>Atonemente</t>
  </si>
  <si>
    <t>Mercy</t>
  </si>
  <si>
    <t>Justice</t>
  </si>
  <si>
    <t>Patience</t>
  </si>
  <si>
    <t>Perseverance</t>
  </si>
  <si>
    <t>Discipline</t>
  </si>
  <si>
    <t>Equanimity</t>
  </si>
  <si>
    <t>Resilience</t>
  </si>
  <si>
    <t>Generosity</t>
  </si>
  <si>
    <t>Liberty</t>
  </si>
  <si>
    <t>Holistic balancing</t>
  </si>
  <si>
    <t>Psychosocial balancing</t>
  </si>
  <si>
    <t>Cognitive dynamism</t>
  </si>
  <si>
    <t>Relational knowing</t>
  </si>
  <si>
    <t>Impact engaging</t>
  </si>
  <si>
    <t>Mutual valuing</t>
  </si>
  <si>
    <t>Mutual understanding</t>
  </si>
  <si>
    <t>Mutual trust</t>
  </si>
  <si>
    <t>Mutual support</t>
  </si>
  <si>
    <t>Mutual responsiveness</t>
  </si>
  <si>
    <t>Recompense</t>
  </si>
  <si>
    <t>Resource accessibility</t>
  </si>
  <si>
    <t>Proactive contentment</t>
  </si>
  <si>
    <t>Minimal consumption</t>
  </si>
  <si>
    <t>Situational readiness</t>
  </si>
  <si>
    <t>Stimuli management</t>
  </si>
  <si>
    <t>Transitional relief</t>
  </si>
  <si>
    <t>Discomfort embrace</t>
  </si>
  <si>
    <t>Supported vulnerability</t>
  </si>
  <si>
    <t>Stretch accountability</t>
  </si>
  <si>
    <t>Positive reinforcement</t>
  </si>
  <si>
    <t>Interpersonal connection</t>
  </si>
  <si>
    <t>Spiritual attunement</t>
  </si>
  <si>
    <t>Safe &amp; secure</t>
  </si>
  <si>
    <t>Love-focused nonviolence</t>
  </si>
  <si>
    <t>Cultivated intuition</t>
  </si>
  <si>
    <t>Primed potential</t>
  </si>
  <si>
    <t>Driving purpose</t>
  </si>
  <si>
    <t>Anankelogize standard</t>
  </si>
  <si>
    <t>Conciliatory resolution</t>
  </si>
  <si>
    <t>Competitive legitimacy</t>
  </si>
  <si>
    <t>Psychosocial flow</t>
  </si>
  <si>
    <t>Anankelogic wisdom</t>
  </si>
  <si>
    <t>as used here, is considering good to receive a resource that is provided outside of oneself. In its secondary sense, it is appreciating the value to oneself of the perceived provider(s), perhaps more than the thing provided. It contributes to one’s psychosocial balancing. And it serves the need for meaningfulness.</t>
  </si>
  <si>
    <t>as used here, is meeting someone where they honestly are at in their development or in their situation; while humbly allowing others to meet you where you honestly are at in your development or situation.</t>
  </si>
  <si>
    <t>as used here, is facing the reality of who you are, both your positive and negative qualities. By being realistic about yourself, you can be more realistic with others. You make it easier for others to relate with you, to be generous toward you. As you toward them, when they are humble toward you. More needs can resolve, removing pain and raising functioning.</t>
  </si>
  <si>
    <t>as used here, is sharing with others what you admittedly know to be true. Specifically, expressing to others about yourself only what you know to be true. And qualifying how well you know something to be true or untrue of yourself.</t>
  </si>
  <si>
    <t>is here defined as letting go of anger toward another who acted toward you, or to others you care about, in ways you found objectionable. What you rejected you no longer reject as intensely. This includes releasing anger toward yourself, to release your own sense of shame.</t>
  </si>
  <si>
    <t>is here defined as compensating for the losses caused by one’s offense of another. It aims to rebuild a bridge of trust, but not always. Where forgiveness lets go of your anger toward another, atonement opens a path to restore or improve a relationship.</t>
  </si>
  <si>
    <t>is here defined as letting go any right you have to force a negative consequence upon another deemed to cost you some negative consequence. Where forgiveness lets go of your anger toward another, mercy lets go of your right to punish the other.</t>
  </si>
  <si>
    <t>is defined here as resolving needs on par with others resolving their needs. This includes being free from others trying to ease their need at your expense. Or others being free from you easing your needs at their expense.</t>
  </si>
  <si>
    <t>is here defined as cultivating the ability to wait as long as possible to more fully resolve a need. It stands in contrast to succumbing to more immediate alternatives, aimed more at easing than fully resolving a need.</t>
  </si>
  <si>
    <t>is here defined as persistently doing what is necessary to resolve needs. It involves diligence in the face of odds over time, to not cave into the temptation to give up or lose momentum.</t>
  </si>
  <si>
    <t>as used here, is deferring gratification of an immediate reaction to an affected need for the expectation of better resolving needs.</t>
  </si>
  <si>
    <t>as used here, is the cultivated ability to remain less and less perturbed by adverse circumstances. This can include a capacity to perform seemingly impossible feats.</t>
  </si>
  <si>
    <t>as used here, is consistently bouncing back each time circumstances drag you down. You endure harsh circumstance without long-term damage, and perhaps even thrive from the experience. Not merely from internal fortitude, by also from social supports.</t>
  </si>
  <si>
    <t>as used here, is giving to others what they need without direct thought of compensation. Less attention is given here to giving what others want but do not honestly need. Another word for this is kindness.</t>
  </si>
  <si>
    <t>as used here, is the freedom to identify, express and address needs toward their full resolution. It contrasts with license, which is the freedom to ease discomfort of needs without accountability to resolve such needs. It also contrasts with tyranny or oppression, in a triangulation of opposites beyond the simple binary sides.</t>
  </si>
  <si>
    <t>refers to the thorough processing of competing yet complementary elements into a whole, to resolve needs and raise functioning. The process involves the thorough differentiation of mutually exclusive elements to remove along with the thorough integration of harmonizing elements necessary to include for full functioning.</t>
  </si>
  <si>
    <t>refers to cultivating an equilibrium between your pressing social-needs and pressing self-needs. Nature automatically pulls you to balance both through a process of psychosocial oscillation—compelling you to focus on seasons of self-needs and seasons on social-needs.</t>
  </si>
  <si>
    <t>refers to maintaining continual openness to fresh insight apart from what one believes, or to keep accountable one’s beliefs to the most up to date information. This involves tolerance of ambiguity and even embracing uncertainty. It includes openness to disconfirming data, to calling out your biases and any cognitive distortions, to realizing paradoxes, to juxtapositions, to admitting to your own errors despite how embarrassing. It contrasts with 'pistiscentricity' defunction.</t>
  </si>
  <si>
    <t>refers to recognizing how two or more things move or change in association with the other. This is based on a basic tool of science. When used with other tools to resolve needs, the gap between layperson inaccuracies and scientific accuracy measurably shrinks.</t>
  </si>
  <si>
    <t>refers to continual openness to updating what is known, or believed to be known. It recognizes those things that do not hold steady at all times. It seeks to update beliefs prone to be in error.</t>
  </si>
  <si>
    <t>applies 'relational knowing' to needs you affect, and your needs affected by others. It counters the defunctions of 'normative alienation' and 'nomoscentricity'. Instead of complacently relying on impersonal rules to report each other’s needs, you identify and address each other’s affected needs.</t>
  </si>
  <si>
    <t>refers to affirming the worth of others as you encourage them to affirm your worth, not only your transactional or social worth to each other, but also your innate worth of simply being.</t>
  </si>
  <si>
    <t>refers to getting to know more about each other and affirming the value of that increased mutual awareness. It applies empathy for each other’s needs.</t>
  </si>
  <si>
    <t>refers to cultivating how much you can trust another by how trustworthy you find them to be toward you, and how trustworthy you are found to be to their trust in you.</t>
  </si>
  <si>
    <t>refers to providing for the needs of others who reciprocate in providing for your needs. It serves a core purpose for cultivating social capital.</t>
  </si>
  <si>
    <t>refers to responding to the needs you recognize in others, who reciprocates by responding to your recognized needs. It contrasts with 'self-serving dismissiveness'.</t>
  </si>
  <si>
    <t>refers to balancing essential resources you expend with something of equal or similar value so you can continue to function. At a minimum, you do not drain yourself of essential resources. You retain enough to keep going, without sliding into stinginess, so you can stay in position to resolve needs.</t>
  </si>
  <si>
    <t>refers to maintaining access to essential resources, whether through others or directly. You ensure your needs can effectively and promptly resolve, with little if any interruption or distruption.</t>
  </si>
  <si>
    <t>refers to strategic satisfaction with what one already has. While being honest about items one could use to improve their situation, they remain composed while making the most of their current minimal resources.</t>
  </si>
  <si>
    <t>refers to cultivating your lifestyle to lower your reliance on consumer goods. You make the most of your essential resources. And reduce or exclude your reliance upon luxury items.</t>
  </si>
  <si>
    <t>refers to being continually equipped to adjust to rapidly changing situations, so you can resolve affected needs as promptly and thoroughly as possible.</t>
  </si>
  <si>
    <t>refers to proactively limiting stimulation of your sensations, in order to optimize resolving needs. You steer clear from alarming situations that could overload your senses. For example, not reading news reports that easily outrage you over things you cannot control, or when you redirect yourself from situations you know can provoke you to overreact.</t>
  </si>
  <si>
    <t>refers to keeping any attempts to ease pain as brief as possible. You aim to lower pain only when you find it excessive. You do not let yourself to become dependent on pain relief. You keep your focus on resolving the source of that pain, and utilize relief to only help you focus on its removal.</t>
  </si>
  <si>
    <t>refers to running to, instead of fleeing from, pain you experience in life. You boldly face your pain to allow awareness of the needs such pain tries to report. You remove your pain by resolving this reported need.</t>
  </si>
  <si>
    <t>refers to dropping your guard to at least one trustworthy person who helps you resolve needs. The value tends to be mutual, for another who can trust to drop their guard to reveal more of themselves to you.</t>
  </si>
  <si>
    <t>refers to answering to at least one supportive person who inspires you to reach your developmental goals, and supports your more immediate aims to resolve needs you may otherwise settle for mere relief. Such support stretches you out of your comfort zone, to awaken more of your full potential.</t>
  </si>
  <si>
    <t>refers to affirming the value you recognize in others, and others affirming value they recognize in you. It attributes value to what each expects to see more of, and rewards with further affirmations.</t>
  </si>
  <si>
    <t>refers to knowing and valuing one another as deeply as possible. You start to know things about each other not privy to others. You depend on each other. You experience a growth in how much you love.</t>
  </si>
  <si>
    <t>refers to continual openness to a foundational connection with all life and with all constructive reality. This includes inexplicably resolving needs, such as miraculous healings or when compelled to act in a way that ineffably avoids an unknown danger.</t>
  </si>
  <si>
    <t>refers to guarding yourself, including others you care about, from threats of harm—from unnecessarily provoking your need to be sound in body and property. Safety focuses on unintentional threats. Security focuses on intentional threats, from those seeking to ease their pain at your expense.</t>
  </si>
  <si>
    <t>refers specifically to resolving needs without any use of force or threat of force used to compel compliance to another’s wishes, but instead to prioritize serving their unresolved needs without immediate condition to attending one’s own needs.</t>
  </si>
  <si>
    <t>refers to learning from the experience of fully resolving needs that raise functionality. You learn insight that subsequently automatically informs you during the same or similar situation for such a need.</t>
  </si>
  <si>
    <t>refers to cultivating what one can do toward resolving own needs and resolving the needs of others. This includes countering resistance to resolving needs, typically from others settling for indefinitely relieving pain of unresolved needs.</t>
  </si>
  <si>
    <t>refers to finding meaning in one’s existence by experiencing oneself as essential for resolving needs in others. You find your 'why' for enduring any 'how'.</t>
  </si>
  <si>
    <t>refers to resolving needs on a pubic level toward 'peakfunctionality'. It serves as the objective high mark for measuring outcomes and impacts. It contrasts with the lower 'symfunctional' standard of easing pain of unresolved needs, which generally perpetuates pain and lowers functioning.</t>
  </si>
  <si>
    <t>refers to addressing each other’s situation-affected needs in mutual interest, apart from avoidant or adversarial options. It raises the standard to ensure all the needs involved get resolved.</t>
  </si>
  <si>
    <t>refers to unleashing your energy to resolve needs by syncing internal potential with external supports.</t>
  </si>
  <si>
    <t>refers to intuitive insight into how to fully resolve needs. It tends to fit any individual, group or entity across cultures and time.</t>
  </si>
  <si>
    <t>SELECT A DEFUNCTION FROM THIS DROPDOWN LIST</t>
  </si>
  <si>
    <t>SELECT A REFUNCTION FROM THIS DROPDOWN LIST</t>
  </si>
  <si>
    <r>
      <t>links the right of institutions to impact you or even interact with you on the basis of how well they help or allow you to resolve needs. It holds all leaders and their institutions up to a '</t>
    </r>
    <r>
      <rPr>
        <i/>
        <sz val="11"/>
        <color theme="1"/>
        <rFont val="Times New Roman"/>
        <family val="1"/>
      </rPr>
      <t>peakfunctional'</t>
    </r>
    <r>
      <rPr>
        <sz val="11"/>
        <color theme="1"/>
        <rFont val="Times New Roman"/>
        <family val="1"/>
      </rPr>
      <t xml:space="preserve"> standard.</t>
    </r>
  </si>
  <si>
    <t>INVOICE FOR HIDDEN COSTS OF A POWER IMBALANCE</t>
  </si>
  <si>
    <t>Out of understandable concern for Type 2 errors, prosecutorial power is now apt to make more Type 1 errors. It is now easier for the accused to admit to their human imperfections than for police and prosecutors to humbly admit theirs. There is more to justice than citing misdeeds; full justice requires the liberty to fully resolve needs.</t>
  </si>
  <si>
    <t>TO BE SENT TO:</t>
  </si>
  <si>
    <t xml:space="preserve">This is an attempt to illuminate hidden costs of a power imbalance. You are under no legal obligation to remit this invoice, and we are under no moral obligation to grant legitimacy if you refuse to engage us to address these structurally exacted costs. </t>
  </si>
  <si>
    <t xml:space="preserve">Prior investments in </t>
  </si>
  <si>
    <t>select a numbered invoice above</t>
  </si>
  <si>
    <t>Exaction Invoice #</t>
  </si>
  <si>
    <t>Exaction Invoice #1</t>
  </si>
  <si>
    <t>SUBTOTAL</t>
  </si>
  <si>
    <t>TOTAL</t>
  </si>
  <si>
    <t>willing to waive if engaging needs</t>
  </si>
  <si>
    <t>waived after mutually engaging needs</t>
  </si>
  <si>
    <t>held per need-engagement outcome</t>
  </si>
  <si>
    <t>reinstated for failing to engage needs</t>
  </si>
  <si>
    <t xml:space="preserve">Current investment in </t>
  </si>
  <si>
    <t>ALMOST FINISHED</t>
  </si>
  <si>
    <t>Remittance options</t>
  </si>
  <si>
    <t>Coerced cost to remit</t>
  </si>
  <si>
    <t>Illuminated cost</t>
  </si>
  <si>
    <t>held per outcome of engaged needs</t>
  </si>
  <si>
    <t>Compensation standard for exonerees</t>
  </si>
  <si>
    <t>Lost income from wrongful conviction</t>
  </si>
  <si>
    <t xml:space="preserve">This is primarily a communication tool, to document and engage power-impacted needs. What gets measured gets done. Unknowingly exacted value is best illuminated as something transactional. </t>
  </si>
  <si>
    <t>This is primarily a communication tool, to document and engage power-impacted needs. What gets measured gets done. This is to show the transactional costs of the wrongful conviction.</t>
  </si>
  <si>
    <t>sur/disc</t>
  </si>
  <si>
    <t>Emotional labor: chronic anxiety</t>
  </si>
  <si>
    <t>Emotional labor: chronic depression</t>
  </si>
  <si>
    <t>Emotional damage: trauma</t>
  </si>
  <si>
    <t>Emotional damage: focus</t>
  </si>
  <si>
    <t>Structural exaction is one of many costs</t>
  </si>
  <si>
    <t>Competitive legitimacy is one remedy</t>
  </si>
  <si>
    <t xml:space="preserve">25% DISCOUNT: </t>
  </si>
  <si>
    <t xml:space="preserve">50% DISCOUNT: </t>
  </si>
  <si>
    <t xml:space="preserve">5% SURCHARGE: </t>
  </si>
  <si>
    <t xml:space="preserve">10% SURCHARGE: </t>
  </si>
  <si>
    <t xml:space="preserve">50% SURCHARGE: </t>
  </si>
  <si>
    <t xml:space="preserve">25% SURCHARGE: </t>
  </si>
  <si>
    <t>for welcoming this mutual awareness of affected needs</t>
  </si>
  <si>
    <t>for engaging impacted needs without bringing up extortion</t>
  </si>
  <si>
    <t>for accusing RI of extortion contrary to the facts</t>
  </si>
  <si>
    <t>for asking if this could be extortion</t>
  </si>
  <si>
    <t>for implying this could be extortion</t>
  </si>
  <si>
    <t>for alleging extortion</t>
  </si>
  <si>
    <t>Total will appear after each remittance option above is selected</t>
  </si>
  <si>
    <t>AI</t>
  </si>
  <si>
    <t>RI</t>
  </si>
  <si>
    <t>?</t>
  </si>
  <si>
    <t xml:space="preserve"> &amp; </t>
  </si>
  <si>
    <t xml:space="preserve"> hold power over sending </t>
  </si>
  <si>
    <t xml:space="preserve">Does the receiving </t>
  </si>
  <si>
    <t xml:space="preserve">Does the </t>
  </si>
  <si>
    <t xml:space="preserve"> already experience come coersion from the </t>
  </si>
  <si>
    <t xml:space="preserve"> seek to address all needs mutually?</t>
  </si>
  <si>
    <t>There is already a power relation between AI &amp; RI.</t>
  </si>
  <si>
    <t>SENT FROM:</t>
  </si>
  <si>
    <t xml:space="preserve">Is there already a power relation between the </t>
  </si>
  <si>
    <t>Wavering</t>
  </si>
  <si>
    <t>Eager to engage</t>
  </si>
  <si>
    <t>Hesitant to engage</t>
  </si>
  <si>
    <t>Excuses not to</t>
  </si>
  <si>
    <t>Refusing / no reply</t>
  </si>
  <si>
    <t>WHAT IS THE RECIPIENT'S RESPONSE?</t>
  </si>
  <si>
    <t>We significantly upgrade their legitimacy in the next step</t>
  </si>
  <si>
    <t>We moderately upgrade their legitimacy in the next step</t>
  </si>
  <si>
    <t>We moderately downgrade their legitimacy in the next step</t>
  </si>
  <si>
    <t>We significantly downgrade their legitimacy in the next step</t>
  </si>
  <si>
    <t>We neither downgrade nor upgrade their legitimacy</t>
  </si>
  <si>
    <t>'Competitive legitimacy' is a need-response remedy to 'structural exaction'</t>
  </si>
  <si>
    <t>Explore other 'defunctions' and 'refunctions' of need-response. This is our secret sauce.</t>
  </si>
  <si>
    <t>This 'exaction invoice' is one of many need-response tools at our disposal</t>
  </si>
  <si>
    <t>Need-response applies the new social science of 'anankelogy', the disciplined study of need.</t>
  </si>
  <si>
    <t>unacceptable illegitimacy</t>
  </si>
  <si>
    <t>misfunctional legitimacy</t>
  </si>
  <si>
    <t>dysfunctional legitimacy</t>
  </si>
  <si>
    <t>symfunctional legitimacy</t>
  </si>
  <si>
    <t>peakfunctional legitimacy</t>
  </si>
  <si>
    <t xml:space="preserve">There are more materials to this campaign, such as a service survey form to keep Value Relating accountable to agreed upon service criteria. </t>
  </si>
  <si>
    <t>BASE phase</t>
  </si>
  <si>
    <t>send message to friendly media</t>
  </si>
  <si>
    <t>2 replies, 0 actions taken</t>
  </si>
  <si>
    <t>Launched</t>
  </si>
  <si>
    <t>48 total, 3 dropped, 8 new since last wk</t>
  </si>
  <si>
    <t>32 total, 7 dropped, 3 new since last wk</t>
  </si>
  <si>
    <t>3 total, 0 dropped, 1 new since last</t>
  </si>
  <si>
    <t>moderately satisfied</t>
  </si>
  <si>
    <t>"fix website readability"</t>
  </si>
  <si>
    <t>exceptional legitimacy</t>
  </si>
  <si>
    <t>adequate legitimacy</t>
  </si>
  <si>
    <t>affirmed legitimacy</t>
  </si>
  <si>
    <t>minimal legitimacy</t>
  </si>
  <si>
    <t>Indeterminate legitimacy</t>
  </si>
  <si>
    <t>deficient legitimacy</t>
  </si>
  <si>
    <t>illegitimate with slight harm</t>
  </si>
  <si>
    <t>illegitimate with severe harm</t>
  </si>
  <si>
    <r>
      <t>“</t>
    </r>
    <r>
      <rPr>
        <sz val="11"/>
        <color rgb="FF960000"/>
        <rFont val="Franklin Gothic Heavy"/>
        <family val="2"/>
      </rPr>
      <t>duty toward evil</t>
    </r>
    <r>
      <rPr>
        <sz val="11"/>
        <color rgb="FFC00000"/>
        <rFont val="Franklin Gothic Heavy"/>
        <family val="2"/>
      </rPr>
      <t>”</t>
    </r>
  </si>
  <si>
    <t>all affected needs can freely resolve</t>
  </si>
  <si>
    <t>most affected needs can resolve</t>
  </si>
  <si>
    <t>intentional harm done to vulnerable populations</t>
  </si>
  <si>
    <t>needs can readily resolve or be eased</t>
  </si>
  <si>
    <t>needs can be eased without further harm</t>
  </si>
  <si>
    <t>needs do not resolve, nor further harm done</t>
  </si>
  <si>
    <t>needs cannot be eased as harm creeps in</t>
  </si>
  <si>
    <t>needs kept from resolving, resulting in severe harm</t>
  </si>
  <si>
    <t>needs kept from resolving, resulting in moderate harm</t>
  </si>
  <si>
    <t>pro-</t>
  </si>
  <si>
    <t>non-</t>
  </si>
  <si>
    <t>anti-</t>
  </si>
  <si>
    <t>celebrate it</t>
  </si>
  <si>
    <t>improve it</t>
  </si>
  <si>
    <t>let's fix it</t>
  </si>
  <si>
    <t>Campaign status</t>
  </si>
  <si>
    <t>Pre-prep</t>
  </si>
  <si>
    <t>Pre-launch</t>
  </si>
  <si>
    <t>Stalled</t>
  </si>
  <si>
    <t>Ongoing</t>
  </si>
  <si>
    <t>Frozen</t>
  </si>
  <si>
    <t>Stasis</t>
  </si>
  <si>
    <t>Suspended</t>
  </si>
  <si>
    <t>Terminated</t>
  </si>
  <si>
    <t>Relaunched</t>
  </si>
  <si>
    <t>Coopted</t>
  </si>
  <si>
    <t>Reorganizing</t>
  </si>
  <si>
    <t>Restore losses</t>
  </si>
  <si>
    <t>Repair broken relationships</t>
  </si>
  <si>
    <t>Grieve with meaningful purpose</t>
  </si>
  <si>
    <t>Engagement state with DA</t>
  </si>
  <si>
    <t>Announce</t>
  </si>
  <si>
    <t>Assess</t>
  </si>
  <si>
    <t>Audit</t>
  </si>
  <si>
    <t>Avow</t>
  </si>
  <si>
    <t>Subscription plan</t>
  </si>
  <si>
    <t>CAMPAIGN follower</t>
  </si>
  <si>
    <t>Session attendance</t>
  </si>
  <si>
    <t>CAMPAIGN supporter</t>
  </si>
  <si>
    <t>CAMPAIGN leader</t>
  </si>
  <si>
    <t>CAMPAIGN sponsor</t>
  </si>
  <si>
    <t>CAMPAIGN patron</t>
  </si>
  <si>
    <t>UNPACK your innocence</t>
  </si>
  <si>
    <t>RELATE your innocence</t>
  </si>
  <si>
    <t>ADVOCATE your innocence</t>
  </si>
  <si>
    <t>CQA1 = Conviction Quality Assessment, e.g., EIF</t>
  </si>
  <si>
    <t>CQA2 = Conviction Quality Audit</t>
  </si>
  <si>
    <t>CQA3 = Conviction Quality Avowal</t>
  </si>
  <si>
    <t>NR conciliatory modes</t>
  </si>
  <si>
    <t>(applied to conviction quality)</t>
  </si>
  <si>
    <t>Unilateral</t>
  </si>
  <si>
    <t>Bilateral (MOU)</t>
  </si>
  <si>
    <t xml:space="preserve">Integrated </t>
  </si>
  <si>
    <t>First response:</t>
  </si>
  <si>
    <t>2nd response:</t>
  </si>
  <si>
    <t>3rd response:</t>
  </si>
  <si>
    <t>4th response:</t>
  </si>
  <si>
    <t>Victim response:</t>
  </si>
  <si>
    <t>Media response:</t>
  </si>
  <si>
    <t>Claim taken seriously by public</t>
  </si>
  <si>
    <t>Claim reviewed by innocence project/CIU</t>
  </si>
  <si>
    <t>Claim reviewed by local DA</t>
  </si>
  <si>
    <t>Legislative exoneration</t>
  </si>
  <si>
    <t>Executive exoneration</t>
  </si>
  <si>
    <t>Judicial exoneration</t>
  </si>
  <si>
    <t>State compensation</t>
  </si>
  <si>
    <t>Finally live life fully</t>
  </si>
  <si>
    <t>Main GOAL for this service:</t>
  </si>
  <si>
    <t xml:space="preserve">Stretch goal after reaching main GOAL: </t>
  </si>
  <si>
    <t xml:space="preserve">  week</t>
  </si>
  <si>
    <t>scientific</t>
  </si>
  <si>
    <t>democratic</t>
  </si>
  <si>
    <t>constitutional</t>
  </si>
  <si>
    <t>inspirational</t>
  </si>
  <si>
    <t>wisdom</t>
  </si>
  <si>
    <t>love</t>
  </si>
  <si>
    <t>accountable</t>
  </si>
  <si>
    <t>supportive</t>
  </si>
  <si>
    <t>responsive</t>
  </si>
  <si>
    <t>pro-scientific</t>
  </si>
  <si>
    <t>non-scientific</t>
  </si>
  <si>
    <t>anti-scientific</t>
  </si>
  <si>
    <t>pro-democratic</t>
  </si>
  <si>
    <t>non-democratic</t>
  </si>
  <si>
    <t>anti-democratic</t>
  </si>
  <si>
    <t>pro-constitutional</t>
  </si>
  <si>
    <t>non-constitutional</t>
  </si>
  <si>
    <t>anti-constitutional</t>
  </si>
  <si>
    <t>pro-inspirational</t>
  </si>
  <si>
    <t>non-inspirational</t>
  </si>
  <si>
    <t>anti-inspirational</t>
  </si>
  <si>
    <t>pro-wisdom</t>
  </si>
  <si>
    <t>non-wisdom</t>
  </si>
  <si>
    <t>anti-wisdom</t>
  </si>
  <si>
    <t>pro-accountable</t>
  </si>
  <si>
    <t>non-accountable</t>
  </si>
  <si>
    <t>anti-accountable</t>
  </si>
  <si>
    <t>pro-supportive</t>
  </si>
  <si>
    <t>non-supportive</t>
  </si>
  <si>
    <t>anti-supportive</t>
  </si>
  <si>
    <t>pro-responsive</t>
  </si>
  <si>
    <t>non-responsive</t>
  </si>
  <si>
    <t>anti-responsive</t>
  </si>
  <si>
    <t>BY HONESTLY ASSESSING THE POWERHOLDER'S IMPACT, YOU GIVE THEM DIRECT FEEDBACK THEY RARELY RECEIVE. YOU PROVIDE A CONCILIATORY PROCESS TO IMPROVE THEIR IMPACT. YOU INCENTIVIZE THEM TO SUPPORT YOUR MUTUALLY BENEFICIAL CAUSE.</t>
  </si>
  <si>
    <t>You demonstrate a conciliatory responsiveness to all needs you impact in this power relation. Your leadership is examplary. We invite you to follow our campaign to mutually resolve needs you are found to impact. We are starting a new way to improve lives with you, or without you.</t>
  </si>
  <si>
    <t>legitimacy.</t>
  </si>
  <si>
    <t>You demonstrate a conciliatory responsiveness to most needs impacted in this power relation. Your leadership is inspiring. We invite you to follow our campaign to improve areas showing room for improvement. We can audit you again to publicly recognize your improvements.</t>
  </si>
  <si>
    <t>You demonstrate conciliatory responsiveness to a few needs you impact in this power relation. We find you complicit with our poor outcomes. We can help you improve your responsiveness to the needs you impact. Then we can  audit you again to publicly recognize your improvements.</t>
  </si>
  <si>
    <t>You fail to demonstrate a conciliatory responsiveness to any needs you impact in this relation. We challenge your legitimacy to impact us at all. We can help you improve your responsiveness to the needs you impact. Then we can  audit you again to publicly recognize your improvements.</t>
  </si>
  <si>
    <t>pro-love</t>
  </si>
  <si>
    <t>non-love</t>
  </si>
  <si>
    <t>anti-love</t>
  </si>
  <si>
    <t>This assess your local law enforcement on nine dimensions of legitimacy</t>
  </si>
  <si>
    <t>This announces legitimacy standards for prosecutors on nine dimensions</t>
  </si>
  <si>
    <t>This audits crime investigators on nine dimensions of legitimacy</t>
  </si>
  <si>
    <t>This avows to resolve impacted needs along nine dimensions of legitimacy</t>
  </si>
  <si>
    <t>Authorities open to empirical measures for ensuring impacted needs fully resolve</t>
  </si>
  <si>
    <t>Authorities engage subjects asserting their right to resolve needs</t>
  </si>
  <si>
    <t>Authorities resist subjects asserting their right to resolve needs</t>
  </si>
  <si>
    <t>Authorities punish subjects asserting their right to resolve needs</t>
  </si>
  <si>
    <t>Authorities resist empirical measures for ensuring impacted needs fully resolve</t>
  </si>
  <si>
    <t>Authorities reject empirical measures for ensuring impacted needs fully resolve</t>
  </si>
  <si>
    <t>Prosecution demonstrates universal principles for mutually resolving needs responsibly</t>
  </si>
  <si>
    <t>Prosecution violates universal principles for mutually resolving needs responsibly</t>
  </si>
  <si>
    <t>Prosecution compromises universal principles for mutually resolving needs responsibly</t>
  </si>
  <si>
    <t>Prosecution puts the needs of the adjudicated over their own personal or institutional need</t>
  </si>
  <si>
    <t>Prosecution sets the needs of the adjudicated on par with their own personal or institutional need</t>
  </si>
  <si>
    <t xml:space="preserve">Prosecution puts their own personal or institutional needs over the needs of the adjudicated </t>
  </si>
  <si>
    <t>Prosecution is open to critique from scientific community of forensics used in case</t>
  </si>
  <si>
    <t>Prosecution ignores critique from scientific community of forensics used in case</t>
  </si>
  <si>
    <t>Prosecution rejects critique from scientific community of forensics used in case</t>
  </si>
  <si>
    <t>Prosecution ignores direct input from people impacted by their actions, defers to legalese</t>
  </si>
  <si>
    <t>Prosecution rejects direct input from people impacted by their actions</t>
  </si>
  <si>
    <t>Prosecution acts in accordance to universal principles affirmed in foundational law</t>
  </si>
  <si>
    <t>Prosecution often deviates from universal principles upheld in foundational law</t>
  </si>
  <si>
    <t>Prosecution routinely violaes universal principles affirmed in foundational law</t>
  </si>
  <si>
    <t>Prosecution grounded in moral principles and traditional wisdom widely held sacred</t>
  </si>
  <si>
    <t>Prosecution deviates from moral principles and traditional wisdom widely held sacred</t>
  </si>
  <si>
    <t>Prosecution contrary to moral principles and traditional wisdom widely held sacred</t>
  </si>
  <si>
    <t>Law enforcement is open to critique by the social science research on power imbalances</t>
  </si>
  <si>
    <t>Law enforcement is dismissive toward the social science research on power imbalances</t>
  </si>
  <si>
    <t>Law enforcement rejects critique based on social science research on power imbalances</t>
  </si>
  <si>
    <t>Law enforcement is open to direct input from people impacted by their authoritative actions</t>
  </si>
  <si>
    <t>Law enforcement ignores direct input from people impacted by their authoritative actions</t>
  </si>
  <si>
    <t>Law enforcement rejects direct input from people impacted by their authoritative actions</t>
  </si>
  <si>
    <t>Law enforcement only use tactics that respects constitutional rights</t>
  </si>
  <si>
    <t>Law enforcement use tactics that compromise constitutional rights</t>
  </si>
  <si>
    <t>Law enforcement use tactics worse than King George III against the colonists</t>
  </si>
  <si>
    <t>Law enforcement proactively respects people of others subcultures</t>
  </si>
  <si>
    <t>Law enforcement treats differently those of a different subculture</t>
  </si>
  <si>
    <t>Law enforcement routinely targets those of a different subculture</t>
  </si>
  <si>
    <t>Theory of guilt accountable to reason and empirical evidence</t>
  </si>
  <si>
    <t>Theory of guilt at odds with reason or empirical evidence</t>
  </si>
  <si>
    <t>Theory of guilt violates reason or empirical evidence</t>
  </si>
  <si>
    <t>Investigations supported by continually checking for confirmation bias</t>
  </si>
  <si>
    <t>Investigations not checking for the risk of confirmation bias</t>
  </si>
  <si>
    <t>Investigations routinely indicate confirmation bias</t>
  </si>
  <si>
    <t>Investigators turn over all evidence that could be exculpatory</t>
  </si>
  <si>
    <t>Investigators claim but fail to releases all evidence that could be exculpatory</t>
  </si>
  <si>
    <t>Investigators routinely withhold evidence that could be exculpatory</t>
  </si>
  <si>
    <t>Investigators ground their actions in universal principles affirmed in foundational law</t>
  </si>
  <si>
    <t>Investigators increasingly depart from universal principles affirmed in foundational law</t>
  </si>
  <si>
    <t>Investigators routinely violate universal principles affirmed in foundational law</t>
  </si>
  <si>
    <t>Investitagors openly admit their mistakes, including errors that could damage lives</t>
  </si>
  <si>
    <t>Investigators hide from their mistakes, and insist their errors are harmless</t>
  </si>
  <si>
    <t>Investigators deny they make any mistakes, or blame their errors on others</t>
  </si>
  <si>
    <t>Investigations follow scientific standards to check for bias and to avoid distorted outcomes</t>
  </si>
  <si>
    <t>Investigations ignore scientific standards, go with their biases and overlook distorted outcomes</t>
  </si>
  <si>
    <t>Investigations violate scientific standards, fudge evidence and manipulate outcomes</t>
  </si>
  <si>
    <t>Investigations welcome inputs from those it impacts</t>
  </si>
  <si>
    <t>Investigations ignore inputs from those it impacts</t>
  </si>
  <si>
    <t>Investigations go against inputs from those it impacts</t>
  </si>
  <si>
    <t>Authority exists to serve needs. We assess how we see law enforcement impacting the powerless's needs.</t>
  </si>
  <si>
    <t>We audit investigators, to help improve their authority's trustworthiness to impact our many vulnerable needs.</t>
  </si>
  <si>
    <t>Prosecutor is fully responsive to viable claims of innocence.</t>
  </si>
  <si>
    <t>Prosecutor is inadequately responsive to viable claims of innocence.</t>
  </si>
  <si>
    <t>Prosecutor is totally unresponsive to viable claims of innocence.</t>
  </si>
  <si>
    <t>Prosecutors support viable innocence claims, such as releasing all relevant case documents</t>
  </si>
  <si>
    <t>Prosecutors drag their feed on viable innocence claims, like stonewalling release of case items</t>
  </si>
  <si>
    <t>Prosecutors deny viable innocence claims, refusing to offer any support</t>
  </si>
  <si>
    <t>Prosecutor resist all efforts to correct wrongful convictions</t>
  </si>
  <si>
    <t>Prosecutor holds themself directly accountable to justice outcomes of all</t>
  </si>
  <si>
    <t>Prosecutor tends to put conviction rates ahead of justice outcomes for all</t>
  </si>
  <si>
    <t>Investigators exhaust all possible leads prior to pursing charges on a defendant.</t>
  </si>
  <si>
    <t>Investigators briefly researched other leads prior to pursing charges on a defendant.</t>
  </si>
  <si>
    <t>Investigators ignored all other possible leads prior to pursing charges on a defendant.</t>
  </si>
  <si>
    <t>Investigators rushed to close the case without respecting the needs of others</t>
  </si>
  <si>
    <t>Investigators thoroughly examined every possibility out of respect for everyone's needs</t>
  </si>
  <si>
    <t>Investigators went out of their way to destroy the life of the defendant</t>
  </si>
  <si>
    <t>Police recognize the good/bad guy binary is only for instances when encountering a threat</t>
  </si>
  <si>
    <t>Police regard all targets as 'bad guys', justifying their use of force in violation of their rights</t>
  </si>
  <si>
    <t>Police suspect the typical target is a 'bad guy', often rationalizing excessive uses of force</t>
  </si>
  <si>
    <t>Authorities recognize structural categories like guilt-and-innocence overlook nuance in our lives</t>
  </si>
  <si>
    <t>Authorities impose their structural categories of guilt-or-innocence in destructive ways</t>
  </si>
  <si>
    <t>Authorities expect us to fit their guilt-innocence binary categories, regardless of harmful impacts</t>
  </si>
  <si>
    <t>Authorities open to higher moral &amp; philosophical standards applied equally to them as to others</t>
  </si>
  <si>
    <t>Authorities reject higher moral &amp; philosophical standards applied equally to them as to others</t>
  </si>
  <si>
    <t>Authorities violate higher moral &amp; philosophical standards while expecting it of others</t>
  </si>
  <si>
    <t>Law enforcement consistently maintain the highest ethics in their conduct toward us</t>
  </si>
  <si>
    <t>Law enforcement increasingly compromise professional ethics in their conduct toward us</t>
  </si>
  <si>
    <t>Law enforcement routinely violate professional ethics in their conduct toward us</t>
  </si>
  <si>
    <t>Law enforcement show exceptional discernment between the law abiding and lawbreakers</t>
  </si>
  <si>
    <t>Law enforcement occasionally conflates the law abiding with lawbreakers</t>
  </si>
  <si>
    <t>Law enforcement treats all law abiding as likely lawbreakers</t>
  </si>
  <si>
    <t>Law enforcement are held accountable to their impact on our health outcomes</t>
  </si>
  <si>
    <t>Law enforcement are not held accountable to their impact on our health outcomes</t>
  </si>
  <si>
    <t>Law enforcement refuses any accountability to their impact on our health outcomes</t>
  </si>
  <si>
    <t>Law enforcement supports viable claims of innocence</t>
  </si>
  <si>
    <t>Law enforcement ignores viable claims of innocence</t>
  </si>
  <si>
    <t>Law enforcement works against viable claims of innocence</t>
  </si>
  <si>
    <t>Authorities accept the wisdom of impeaching their needs</t>
  </si>
  <si>
    <t>Authorities dismiss the wisdom of impeaching their needs</t>
  </si>
  <si>
    <t>Authorities reject the wisdom of impeaching their needs</t>
  </si>
  <si>
    <t>Authorities prioritize serving the needs of others over their own</t>
  </si>
  <si>
    <t>Authorities prioritize serving their needs over the needs of others</t>
  </si>
  <si>
    <t>Authorities regard their needs as equal to the needs of others</t>
  </si>
  <si>
    <t>Authority figure eagerly accountable for their use of power over us</t>
  </si>
  <si>
    <t>Authority figure passively accountable for their use of power over us</t>
  </si>
  <si>
    <t>Authority figure refuses accountability for their use of power over us</t>
  </si>
  <si>
    <t>Authority figure is supportive of the expressed needs of those impacted</t>
  </si>
  <si>
    <t>Authority figure opposes the expressed needs of those impacted</t>
  </si>
  <si>
    <t>Authority figure overlooks the expressed needs of those impacted</t>
  </si>
  <si>
    <t>Authority figure opposes reports that their power has unintended impacts</t>
  </si>
  <si>
    <t>Authority figure ignores reports that their power has unintended impacts</t>
  </si>
  <si>
    <t>Authority figure is responsive to reports that their power has unintended impacts</t>
  </si>
  <si>
    <t>Based on our assessment, we recognize you as a</t>
  </si>
  <si>
    <t xml:space="preserve">qualified authority: 
</t>
  </si>
  <si>
    <t>legitimate authority:</t>
  </si>
  <si>
    <t>adequate authority:</t>
  </si>
  <si>
    <t>unqualified authority:</t>
  </si>
  <si>
    <t>disqualified authority:</t>
  </si>
  <si>
    <t>Based on our assessment, we recognize you as an</t>
  </si>
  <si>
    <t>You demonstrate a conciliatory responsiveness to about half the needs you powerfully impact. Your leadership seems mediocre. We invite you to follow our campaign to improve areas showing room for improvement. We can audit you again to publicly recognize your improvements.</t>
  </si>
  <si>
    <t>Fill all fields above to assess authority's level of</t>
  </si>
  <si>
    <t>TO SEND TO:</t>
  </si>
  <si>
    <t>Legitimacy Qualification</t>
  </si>
  <si>
    <t xml:space="preserve">There is no greater authority under heaven than resolved needs. The authority of law and its enforcement solely exist to serve needs. Apart from needs to serve, there is no such thing as authority. Where needs automatically resolve, no authority is necessary. This report holds authorities accountable to the results of their actions upon such needs. </t>
  </si>
  <si>
    <t xml:space="preserve">You don't know what you don't know. The power imbalance from being a </t>
  </si>
  <si>
    <t>prosecutor</t>
  </si>
  <si>
    <t>law enforcer</t>
  </si>
  <si>
    <t>investigator</t>
  </si>
  <si>
    <t>authority figure</t>
  </si>
  <si>
    <t xml:space="preserve"> curbs the courage of others</t>
  </si>
  <si>
    <t>We empower them to 'speak truth to power' and help you to 'listen to those impacted'.</t>
  </si>
  <si>
    <t xml:space="preserve"> limits the forthrightness of others</t>
  </si>
  <si>
    <t xml:space="preserve"> warns against the openness of others</t>
  </si>
  <si>
    <t xml:space="preserve">. You may not effectively recognize, admit or correct errors or conflicts of interest. Measurably earning your legitimacy can help. </t>
  </si>
  <si>
    <t xml:space="preserve"> to inform you and illuminate your blind spots. This tends to correlate with systemic </t>
  </si>
  <si>
    <t>Prosecution is open to direct input from people impacted by their actions</t>
  </si>
  <si>
    <r>
      <rPr>
        <b/>
        <sz val="11"/>
        <color theme="1" tint="0.499984740745262"/>
        <rFont val="Times New Roman"/>
        <family val="1"/>
      </rPr>
      <t>Avoidant options</t>
    </r>
    <r>
      <rPr>
        <sz val="11"/>
        <color theme="1" tint="0.499984740745262"/>
        <rFont val="Times New Roman"/>
        <family val="1"/>
      </rPr>
      <t xml:space="preserve">: </t>
    </r>
  </si>
  <si>
    <r>
      <rPr>
        <b/>
        <sz val="11"/>
        <color theme="1" tint="0.499984740745262"/>
        <rFont val="Times New Roman"/>
        <family val="1"/>
      </rPr>
      <t>Adversarial options</t>
    </r>
    <r>
      <rPr>
        <sz val="11"/>
        <color theme="1" tint="0.499984740745262"/>
        <rFont val="Times New Roman"/>
        <family val="1"/>
      </rPr>
      <t>; limits of binary options</t>
    </r>
  </si>
  <si>
    <r>
      <rPr>
        <b/>
        <sz val="11"/>
        <color theme="1" tint="0.499984740745262"/>
        <rFont val="Times New Roman"/>
        <family val="1"/>
      </rPr>
      <t>Conciliatory process</t>
    </r>
    <r>
      <rPr>
        <sz val="11"/>
        <color theme="1" tint="0.499984740745262"/>
        <rFont val="Times New Roman"/>
        <family val="1"/>
      </rPr>
      <t>: transcend divisivism of binary limits, moral leadership of addressing all affected needs</t>
    </r>
  </si>
  <si>
    <t>This tool will continually change and become better with your helpful feedback. It is up to you to check for the latest update. Effective use of this tool and the offered services are designed to improve the chances for exoneration, but cannot promise you are your loved one will ever be officially exonerated. You use this tool on your own at your own risk.</t>
  </si>
  <si>
    <t>DISCLAIMER</t>
  </si>
  <si>
    <t>1. SELECT SENDER: FROM CLAIMANT, PROXY OR FROM VALUE RELATING</t>
  </si>
  <si>
    <t>0. SELECT A SUBJECT LINE ABOVE TO CHOOSE WHICH MESSAGE TO SEND</t>
  </si>
  <si>
    <t>3. FOLLOW UP WITH RECEIVER, IF FORWARDED OR NOT</t>
  </si>
  <si>
    <t>2. SELECT FROM WHOM THE MESSAGE IS FROM; ONLY FROM VALUE RELATING WITH A SUBSCRIPTION</t>
  </si>
  <si>
    <t>new</t>
  </si>
  <si>
    <t>transgender</t>
  </si>
  <si>
    <t>Wrongly convicted the same day as codefendant</t>
  </si>
  <si>
    <t>Tanya Krause</t>
  </si>
  <si>
    <t>Joel Hoekstra</t>
  </si>
  <si>
    <t>Helen Brinkman</t>
  </si>
  <si>
    <t>93-63014-FC</t>
  </si>
  <si>
    <t>Dennis Kolenda</t>
  </si>
  <si>
    <t>Kevin Bramble</t>
  </si>
  <si>
    <t>93-FH-1714</t>
  </si>
  <si>
    <t>My college roommate, a pastor, provided a support letter attesting to my character and trusted innocence</t>
  </si>
  <si>
    <t>Claimant insists no crime actually occurred, and views the investigation as a kind of sexual exploitation of the complainant for the prurient interests (even if only subconsciously) of the investigators. Note: both defendants identified as asexual transgender people. Years later, I learned she came out as gay, and this could help us understand why she was gawking at a “man with lipstick”.
Codefendant suspects complainant “confabulated” the incidents, and perhaps did not knowingly lie when alleging the impossible sexual acts. We wondered if she had been exposed to pornography, and endured abuse from someone else she knows, but then projected her trauma onto loathed “crossdressers” to protect her family abuser. We felt shock at her characterization of being “whooped” by her parents if misbehaving, at odds with our Native American value of honoring all children.</t>
  </si>
  <si>
    <t>The examining physician for the rape kit, conducted a couple hours after the alleged assault, could not find any medical corroboration.</t>
  </si>
  <si>
    <t>Both defendants asserted our right to a trial, and my codefendant risked being classified as a habitual offender since she had prior convictions for petty theft and carrying a concealed weapon.</t>
  </si>
  <si>
    <t>District attorney</t>
  </si>
  <si>
    <t>Marie</t>
  </si>
  <si>
    <t>Pearson</t>
  </si>
  <si>
    <t>Sandra</t>
  </si>
  <si>
    <t>Lewison</t>
  </si>
  <si>
    <t>Juan</t>
  </si>
  <si>
    <t>Ruiz</t>
  </si>
  <si>
    <t>Hill</t>
  </si>
  <si>
    <t>Allen</t>
  </si>
  <si>
    <t>Nash</t>
  </si>
  <si>
    <t>Cranson</t>
  </si>
  <si>
    <t>Marissa</t>
  </si>
  <si>
    <t>Christine</t>
  </si>
  <si>
    <t>mpearson44@email.com</t>
  </si>
  <si>
    <t>sandralew@email.com</t>
  </si>
  <si>
    <t>marcus.w.hill@email.com</t>
  </si>
  <si>
    <t>chrissy-reese@email.com</t>
  </si>
  <si>
    <t>ja-greatworks@email.com</t>
  </si>
  <si>
    <t>marissa1998@email.com</t>
  </si>
  <si>
    <t>Marie Pearson</t>
  </si>
  <si>
    <t>Hey, Marie, you're invited</t>
  </si>
  <si>
    <t xml:space="preserve"> can draw closer to proving </t>
  </si>
  <si>
    <t xml:space="preserve"> claim. </t>
  </si>
  <si>
    <t>Sandra Lewison</t>
  </si>
  <si>
    <t xml:space="preserve">'s chief ally, </t>
  </si>
  <si>
    <t xml:space="preserve"> claim as possible to available documentation. After they lean on those who could provide those documents.</t>
  </si>
  <si>
    <t xml:space="preserve"> case documents. Together, they will try to link as much of </t>
  </si>
  <si>
    <t>Prosecuting Attorney of Kent County in Michigan</t>
  </si>
  <si>
    <t>Jonathan</t>
  </si>
  <si>
    <t>Williams</t>
  </si>
  <si>
    <t>Alexa</t>
  </si>
  <si>
    <t>Dysander</t>
  </si>
  <si>
    <t>Tabitha</t>
  </si>
  <si>
    <t>Benson</t>
  </si>
  <si>
    <t>Kahn</t>
  </si>
  <si>
    <t>Miriam</t>
  </si>
  <si>
    <t>Mark</t>
  </si>
  <si>
    <t>Greason</t>
  </si>
  <si>
    <t>Annette</t>
  </si>
  <si>
    <t>Jordan</t>
  </si>
  <si>
    <t>Watson</t>
  </si>
  <si>
    <t>alex-dysander@email.com</t>
  </si>
  <si>
    <t>juan-ruiz-rodriquez@email.com</t>
  </si>
  <si>
    <t>j.williams@email.com</t>
  </si>
  <si>
    <t>tabben@email.com</t>
  </si>
  <si>
    <t>kahn2009@email.com</t>
  </si>
  <si>
    <t>m-tanner@email.com</t>
  </si>
  <si>
    <t>greason@email.com</t>
  </si>
  <si>
    <t>jordanwatson@email.com</t>
  </si>
  <si>
    <t>Minson</t>
  </si>
  <si>
    <t>Lee</t>
  </si>
  <si>
    <t>Thomas</t>
  </si>
  <si>
    <t>Parks</t>
  </si>
  <si>
    <t>Felton</t>
  </si>
  <si>
    <t>Simmons</t>
  </si>
  <si>
    <t>Clemmens</t>
  </si>
  <si>
    <t>Allison</t>
  </si>
  <si>
    <t>Roberta</t>
  </si>
  <si>
    <t>Simons</t>
  </si>
  <si>
    <t>Tammy</t>
  </si>
  <si>
    <t>Lauren</t>
  </si>
  <si>
    <t>Rebecca</t>
  </si>
  <si>
    <t>Ward</t>
  </si>
  <si>
    <t>Bryan</t>
  </si>
  <si>
    <t>Larsen</t>
  </si>
  <si>
    <t>Emile</t>
  </si>
  <si>
    <t>Walker</t>
  </si>
  <si>
    <t>Freeda</t>
  </si>
  <si>
    <t>Houseman</t>
  </si>
  <si>
    <t>Cotter</t>
  </si>
  <si>
    <t>Del</t>
  </si>
  <si>
    <t>leeminson2@email.com</t>
  </si>
  <si>
    <t>tomparks44@email.com</t>
  </si>
  <si>
    <t>felton@email.com</t>
  </si>
  <si>
    <t>csimmons@email.com</t>
  </si>
  <si>
    <t>clemmens-a@email.com</t>
  </si>
  <si>
    <t>roberta.s@email.com</t>
  </si>
  <si>
    <t>tammyhill@email.com</t>
  </si>
  <si>
    <t>lauren.s.cranson@email.com</t>
  </si>
  <si>
    <t>beckyward@email.com</t>
  </si>
  <si>
    <t>bryan.r.l@email.com</t>
  </si>
  <si>
    <t>walker14@email.com</t>
  </si>
  <si>
    <t>freedahousemand@email.com</t>
  </si>
  <si>
    <t>delparker@email.com</t>
  </si>
  <si>
    <t>Alan</t>
  </si>
  <si>
    <t>Marks</t>
  </si>
  <si>
    <t>alanmarks@email.com</t>
  </si>
  <si>
    <t>Joel</t>
  </si>
  <si>
    <t>Johnson</t>
  </si>
  <si>
    <t>Patterson</t>
  </si>
  <si>
    <t>Peter</t>
  </si>
  <si>
    <t>Randall</t>
  </si>
  <si>
    <t>Jennifer</t>
  </si>
  <si>
    <t>Genelle</t>
  </si>
  <si>
    <t>Nixon</t>
  </si>
  <si>
    <t>Howard</t>
  </si>
  <si>
    <t>Freed</t>
  </si>
  <si>
    <t>Aliya</t>
  </si>
  <si>
    <t>Randy</t>
  </si>
  <si>
    <t>Zylstra</t>
  </si>
  <si>
    <t>jjohnson@email.com</t>
  </si>
  <si>
    <t>lisapattersonmiller@email.com</t>
  </si>
  <si>
    <t>jennynorton@email.com</t>
  </si>
  <si>
    <t>peterrandall@email.com</t>
  </si>
  <si>
    <t>genellenixon@email.com</t>
  </si>
  <si>
    <t>h.w.freed@email.com</t>
  </si>
  <si>
    <t>aparks@email.com</t>
  </si>
  <si>
    <t>zylstra56@email.com</t>
  </si>
  <si>
    <t>Johnny</t>
  </si>
  <si>
    <t>Waters</t>
  </si>
  <si>
    <t>Hamilton</t>
  </si>
  <si>
    <t>Wanda</t>
  </si>
  <si>
    <t>Juanita</t>
  </si>
  <si>
    <t>Rodriguez</t>
  </si>
  <si>
    <t>Abdul</t>
  </si>
  <si>
    <t>Said</t>
  </si>
  <si>
    <t>saidenterprises@email.com</t>
  </si>
  <si>
    <t>jwaters1@email.com</t>
  </si>
  <si>
    <t>whamilton@email.com</t>
  </si>
  <si>
    <t>jmrodriguez@email.com</t>
  </si>
  <si>
    <t>AUDIO</t>
  </si>
  <si>
    <t>VISUAL</t>
  </si>
  <si>
    <t>Candid</t>
  </si>
  <si>
    <t>Dramatic</t>
  </si>
  <si>
    <t>Radical</t>
  </si>
  <si>
    <t>Sarcastic</t>
  </si>
  <si>
    <t>Urgency</t>
  </si>
  <si>
    <t>Innocence investment: fundraiser video script</t>
  </si>
  <si>
    <t>r</t>
  </si>
  <si>
    <t>V</t>
  </si>
  <si>
    <t>Highlights</t>
  </si>
  <si>
    <t>Synopsis</t>
  </si>
  <si>
    <t>Cold open</t>
  </si>
  <si>
    <t>Branding</t>
  </si>
  <si>
    <t>It is now easer for the accused to admit to their imperfections than for police and prosecutors to admit theirs.</t>
  </si>
  <si>
    <t>REFER TO SUMMARY TEXT ABOVE</t>
  </si>
  <si>
    <t xml:space="preserve">[Proxy invites / I invite] you to invest in claimant’s innocence. </t>
  </si>
  <si>
    <t>animation of a book</t>
  </si>
  <si>
    <t>binary win-lose vs. range win-win</t>
  </si>
  <si>
    <t>Click on the button below, I WANT TO HELP, to help us get started now. Give five, ten or twenty dollars to help us launch [claimant]’s campaign. [PPP] has waited long enough for justice. Let’s invest our own freedom to help [claimant] find the freedom [ppp] is long overdue. Thank you.</t>
  </si>
  <si>
    <t>Benefits</t>
  </si>
  <si>
    <t>Call to action</t>
  </si>
  <si>
    <t>Humbly admit</t>
  </si>
  <si>
    <t>Introducing campaign</t>
  </si>
  <si>
    <t>Narrative</t>
  </si>
  <si>
    <t>Invitation</t>
  </si>
  <si>
    <t>stock image montages, closing with claimant</t>
  </si>
  <si>
    <t>Your info writes it. We create it.</t>
  </si>
  <si>
    <t>text of synopsis over moving background image of courtroom</t>
  </si>
  <si>
    <t>stock images of media, podcaster, journalist, politician, lawyer, judge.</t>
  </si>
  <si>
    <t>stock images of people feeling liberated</t>
  </si>
  <si>
    <t>supporter standard</t>
  </si>
  <si>
    <t xml:space="preserve">Estimate innocence for yourself. Go to ValueRelating.com/sttp-eif and download the form for yourself. See how it's being used right here, to right a terrible wrong. </t>
  </si>
  <si>
    <t xml:space="preserve">Compared to those already exonerated, </t>
  </si>
  <si>
    <t xml:space="preserve">% chance of being actually innocent. While few </t>
  </si>
  <si>
    <t>’s case shows signs of a grave miscarriage of justice.</t>
  </si>
  <si>
    <t>arrestee</t>
  </si>
  <si>
    <t>prisoner</t>
  </si>
  <si>
    <t>felon</t>
  </si>
  <si>
    <t xml:space="preserve">s claim “actual innocence”, </t>
  </si>
  <si>
    <t xml:space="preserve"> of actual innocence</t>
  </si>
  <si>
    <t xml:space="preserve">Nobody is perfect. </t>
  </si>
  <si>
    <t xml:space="preserve"> can admit some imperfections. </t>
  </si>
  <si>
    <t xml:space="preserve">’s innocence. </t>
  </si>
  <si>
    <t xml:space="preserve">You're invited to invest in </t>
  </si>
  <si>
    <t>"</t>
  </si>
  <si>
    <t xml:space="preserve"> needs your help" with claimant image</t>
  </si>
  <si>
    <t xml:space="preserve">Together, we are challenging the divisiveness of adversarial justice. We know first hand its devestating limits. </t>
  </si>
  <si>
    <t xml:space="preserve">Invest in </t>
  </si>
  <si>
    <t>’s innocence.</t>
  </si>
  <si>
    <t>% likely innocence.</t>
  </si>
  <si>
    <t xml:space="preserve">’s </t>
  </si>
  <si>
    <t xml:space="preserve">, and we need your help. With your support, we can convince others to take a closer look at </t>
  </si>
  <si>
    <t xml:space="preserve">We are launching an advocacy campaign to help free </t>
  </si>
  <si>
    <t xml:space="preserve">With your support, we can compel those in the media to take us seriously, to publicize </t>
  </si>
  <si>
    <t xml:space="preserve"> for </t>
  </si>
  <si>
    <t xml:space="preserve"> compelling story. We can then write to our elected representatives, pointing to your support for </t>
  </si>
  <si>
    <t xml:space="preserve"> actual innocence. We can also write to innocence projects to take a closer look at </t>
  </si>
  <si>
    <t>. These are just some of what this innocence campaign aims to accomplish, with your help.</t>
  </si>
  <si>
    <t xml:space="preserve">’s claim. And with your support, we can transform any innocence deniers in the </t>
  </si>
  <si>
    <t xml:space="preserve">'s office to recognize the need to process more viable claims like </t>
  </si>
  <si>
    <t xml:space="preserve">bring </t>
  </si>
  <si>
    <t xml:space="preserve">correct </t>
  </si>
  <si>
    <t xml:space="preserve">remove </t>
  </si>
  <si>
    <t xml:space="preserve"> home. </t>
  </si>
  <si>
    <t xml:space="preserve"> felony record. </t>
  </si>
  <si>
    <t xml:space="preserve"> from the registry. </t>
  </si>
  <si>
    <t xml:space="preserve">liberate </t>
  </si>
  <si>
    <t xml:space="preserve"> from death row. </t>
  </si>
  <si>
    <t xml:space="preserve">With your support, we can immediately pre-launch </t>
  </si>
  <si>
    <t xml:space="preserve">’s campaign for exoneration. Together, we can speak truth to judicial power. With your investment, we can finally free </t>
  </si>
  <si>
    <t xml:space="preserve"> from this miscarriage of justice and finally </t>
  </si>
  <si>
    <t>, fade out to "Thank You!"</t>
  </si>
  <si>
    <t xml:space="preserve">"I want to help" button, $5, $10, $20, or more. Image of </t>
  </si>
  <si>
    <t xml:space="preserve">Click on the button below, I WANT TO HELP, to help us get started now. Give five, ten or twenty dollars to help us launch </t>
  </si>
  <si>
    <t xml:space="preserve">’s campaign. </t>
  </si>
  <si>
    <t xml:space="preserve"> find the freedom </t>
  </si>
  <si>
    <t xml:space="preserve"> has waited long enough for justice. Let’s invest what we have to help </t>
  </si>
  <si>
    <t xml:space="preserve"> has lost, and is now long overdue. Thank you.</t>
  </si>
  <si>
    <t xml:space="preserve">You get to help rewrite this next chapter in </t>
  </si>
  <si>
    <t xml:space="preserve"> campaign for innocence unfolds. You get to help create historical change, by helping us introduce this fresh approach to justice—looking beyond the typical rush to judgment to evaluate the quality of a criminal investigation and the quality of any resulting conviction. You get to help us create meaningful change in the justice system.</t>
  </si>
  <si>
    <t xml:space="preserve">’s life. You get a voice and a vote in how </t>
  </si>
  <si>
    <t xml:space="preserve">% </t>
  </si>
  <si>
    <t>THIS IS NOT A BILL</t>
  </si>
  <si>
    <t xml:space="preserve"> shows </t>
  </si>
  <si>
    <t>Legitimacy Critique</t>
  </si>
  <si>
    <t>Assessment</t>
  </si>
  <si>
    <t>Announcement</t>
  </si>
  <si>
    <t>Avowal</t>
  </si>
  <si>
    <t xml:space="preserve">has </t>
  </si>
  <si>
    <t xml:space="preserve">of a wrongful conviction, when compared to </t>
  </si>
  <si>
    <t>exonerations of similar circumstances.</t>
  </si>
  <si>
    <t xml:space="preserve">PLEASE BE INFORMED that </t>
  </si>
  <si>
    <t xml:space="preserve"> faithfully asserts that </t>
  </si>
  <si>
    <t xml:space="preserve">. Since then, </t>
  </si>
  <si>
    <t xml:space="preserve"> consistently maintains </t>
  </si>
  <si>
    <t xml:space="preserve"> innocence. </t>
  </si>
  <si>
    <t>― Most admit to the crime while, at least initially, denying the harm they caused.</t>
  </si>
  <si>
    <t>― Only about 15% claim actual innocence, asserting they played no role in any crime.</t>
  </si>
  <si>
    <t>PLEASE BE INFORMED that felons or prisoners rarely claim full or actual innocence.</t>
  </si>
  <si>
    <t>― Research finds up to 15% are wrongly convicted, while only about 15% claim full innocence.</t>
  </si>
  <si>
    <t>― The appellate process routinely misses innocence later discovered by DNA or other means.</t>
  </si>
  <si>
    <t>PLEASE BE INFORMED of the scope of the problem of wrongful convictions in the U.S.</t>
  </si>
  <si>
    <t>'s capacity to contest it.</t>
  </si>
  <si>
    <t xml:space="preserve">― </t>
  </si>
  <si>
    <t xml:space="preserve"> cannot afford most costs.</t>
  </si>
  <si>
    <t xml:space="preserve"> is now vulnerable to widespread discrimination, under color of law.</t>
  </si>
  <si>
    <t xml:space="preserve">― Our judicial system seeks a fair process more than measurably just outcomes or impacts. </t>
  </si>
  <si>
    <t>― Innocence projects and conviction review units receive more requests than they can serve.</t>
  </si>
  <si>
    <t>― The volume of criminal cases police and prosecutors process often tempt costly shortcuts.</t>
  </si>
  <si>
    <t>Willingly risked a lengthy sentence by rejecting any plea deal.</t>
  </si>
  <si>
    <t>Maintaining innocence to parole board, costing parole eligibility.</t>
  </si>
  <si>
    <t>No other criminal history.</t>
  </si>
  <si>
    <t xml:space="preserve">PLEASE BE AWARE you are in a position that could risk harm to the innocent. From this point forward, your actions toward </t>
  </si>
  <si>
    <t xml:space="preserve"> are to be documented. Harmful actions may be used against you in the court of public opinion. Supportive actions shall be appreciated. Any injustice in the name of justice can no longer be tolerated. Thank you for your sympathetic understanding.</t>
  </si>
  <si>
    <t xml:space="preserve">PLEASE BE INFORMED of the factors correlating </t>
  </si>
  <si>
    <t>'s likely innocence.</t>
  </si>
  <si>
    <t xml:space="preserve"> has always maintained </t>
  </si>
  <si>
    <t xml:space="preserve"> has no other criminal history. </t>
  </si>
  <si>
    <t xml:space="preserve"> faced a lengthy "trial penalty" sentence.</t>
  </si>
  <si>
    <t xml:space="preserve"> had no disciplinary issues while incarcerated. </t>
  </si>
  <si>
    <t xml:space="preserve"> refused required rehab at risk of retributions. </t>
  </si>
  <si>
    <t xml:space="preserve"> was repeatedly denied parole for not being able to show remorse. </t>
  </si>
  <si>
    <t xml:space="preserve">Codefendant had a long rap sheet, but no history of sexual violence. Seems to have overcome previous criminality and shame by accepting being transgender. At the time I struggled with codependency and by appearances prone to appease codefendant's requests than stand up for myself. At the time, I was in bankruptcy. </t>
  </si>
  <si>
    <t xml:space="preserve"> maintained innocence to parole board, costing parole eligibility. </t>
  </si>
  <si>
    <t xml:space="preserve">Do you suppose </t>
  </si>
  <si>
    <t xml:space="preserve"> accomplished all this to "game" the system?</t>
  </si>
  <si>
    <t>Guilt verdict based on a coerced confession.</t>
  </si>
  <si>
    <t>1)</t>
  </si>
  <si>
    <t>2)</t>
  </si>
  <si>
    <t>3)</t>
  </si>
  <si>
    <t>4)</t>
  </si>
  <si>
    <t>5)</t>
  </si>
  <si>
    <t>6)</t>
  </si>
  <si>
    <t>7)</t>
  </si>
  <si>
    <t>8)</t>
  </si>
  <si>
    <t>=IF(BG1183&lt;&gt;"",BG1183,BG1184,IF(BG1184&lt;&gt;"",BG1184,BG1185,IF(BG1185&lt;&gt;"",BG1185,BG1186,IF(BG1186&lt;&gt;"",BG1186,BG1187,"")))))</t>
  </si>
  <si>
    <t xml:space="preserve">Vouched this day on </t>
  </si>
  <si>
    <t xml:space="preserve">% likelihood of being actually innocent </t>
  </si>
  <si>
    <t xml:space="preserve">Vouched by </t>
  </si>
  <si>
    <t>'s supporters</t>
  </si>
  <si>
    <t>Notification of Verifiable Innocence</t>
  </si>
  <si>
    <t xml:space="preserve">PLEASE BE AWARE of the wrongful conviction's impact on </t>
  </si>
  <si>
    <t>This claim is not yet verified, due largely to economic and familial damage.</t>
  </si>
  <si>
    <t xml:space="preserve">'s economic capacity has been damaged, so </t>
  </si>
  <si>
    <t>Notification of Verified Innocence</t>
  </si>
  <si>
    <t>GENERAL INSTRUCTIONS</t>
  </si>
  <si>
    <t>First, to use this form, click on ENABLE EDITING. Then save a copy of this form on your computer, using the Save As option in the File menu of Excel.</t>
  </si>
  <si>
    <t>Basic instructions:</t>
  </si>
  <si>
    <t>1. Fill in each white field with your best answer. Most fields use dropdown menus.</t>
  </si>
  <si>
    <t xml:space="preserve">2. After filling in item #70, the last item to answer, save this document. </t>
  </si>
  <si>
    <t xml:space="preserve"> wrongly convicted in </t>
  </si>
  <si>
    <t xml:space="preserve"> served the full sentence because of maintaining </t>
  </si>
  <si>
    <t>3. Scroll back to the top and review this Notification of Verifiable Innocence.</t>
  </si>
  <si>
    <t>― Most admit to the charged criminal activity while denying it caused harm.</t>
  </si>
  <si>
    <t>― Most complain about the harsh punishment for their admitted offenses.</t>
  </si>
  <si>
    <t xml:space="preserve">Next, fill out the form below. After filling in every field, these instructions turn into a notification of verifiable innocence. Once verified, it changes again to a notification of verified innocence. </t>
  </si>
  <si>
    <t>1. Select the cells A1 through F47 for the first two pages; to F155 for the first five pages.</t>
  </si>
  <si>
    <t>2. While cells are selected, go to Page Layout tab, Page Setup, Print Area, set print area.</t>
  </si>
  <si>
    <t>3. Then select the File menu. Click on Save As. Choose a location on your device.</t>
  </si>
  <si>
    <t>4. Below File name, click Save as type dropdown list and select “PDF (*.pdf)”.</t>
  </si>
  <si>
    <t>5. Click the Save button at the lower right of the dialog box.</t>
  </si>
  <si>
    <t xml:space="preserve">6. Review your saved version in your Acrobat PDF Reader. </t>
  </si>
  <si>
    <t>7. To preserve the original print view settings, close this copy without saving changes.</t>
  </si>
  <si>
    <t>Potential uses for your Notification and Certificate of Innocence.</t>
  </si>
  <si>
    <t>1. If still incarcerated, send to an innocence project when asking for their help.</t>
  </si>
  <si>
    <t>2. If still incarcerated, send to the CIU or DA to demonstrate grounds for review.</t>
  </si>
  <si>
    <t>3. If post-incarcerated, send to prospect employer when they conduct a background check.</t>
  </si>
  <si>
    <t>4. If post-incarcerated, accompany a lease application for housing.</t>
  </si>
  <si>
    <t>5. Any other way you can think to notify those who would wrongly discriminate against you.</t>
  </si>
  <si>
    <t>Receive support how to best use this tool. Explore our support and advocacy options.</t>
  </si>
  <si>
    <t>1. Join the Facebook group “The Unexonerated” to engage others interested in this tool.</t>
  </si>
  <si>
    <t>2. Join a live discussion on The Unexonerated to talk directly with the creator of this tool.</t>
  </si>
  <si>
    <t>3. Book one at https://www.valuerelating.com/bookings-checkout/unpack-your-innocence.</t>
  </si>
  <si>
    <t>This is a pioneering tool. You could be among the first to utilize this radical approach. You could help make history. But it comes without any promises. By using this tool, you agree to our terms of use and privacy policy. As a new approach to address the problem of wrongful convictions, you agree we cannot guarantee it will result in exoneration. But it may improve your chances.</t>
  </si>
  <si>
    <t>FILL IN EACH FIELD OF THE QUESTIONNAIRE BELOW, THEN THIS TURNS INTO A CAREFULLY WORDED CERTIFICATE FOR YOUR USE.</t>
  </si>
  <si>
    <t>By using this certificate to proclaim your supportable innocence, you agree to our terms and privacy policy.</t>
  </si>
  <si>
    <t>Provided as a free service by Value Relating.</t>
  </si>
  <si>
    <t>By using this certificate, you agree to our terms and privacy policy.</t>
  </si>
  <si>
    <t>SELECT FROM DROPDOWN LIST</t>
  </si>
  <si>
    <t>We raise the standard from "law and order" to "law and effect" to see the impact of law enforcement.</t>
  </si>
  <si>
    <t>This evaluates legitimacy standards for prosecutors to earn public trust. Start by selecting from list above.</t>
  </si>
  <si>
    <t>This applies legitimacy standards to prosecutors to earn public trust. Start by selecting from list above.</t>
  </si>
  <si>
    <t>The default setting lets you print the whole spreadsheet through the last page.</t>
  </si>
  <si>
    <t>This completes the form. The remaining pages give you added information and an advocacy option.</t>
  </si>
  <si>
    <t>K. Conviction Quality Report</t>
  </si>
  <si>
    <t>K. Innocence Investigation Springboard</t>
  </si>
  <si>
    <r>
      <t xml:space="preserve">If you need help making the most of this </t>
    </r>
    <r>
      <rPr>
        <b/>
        <sz val="14"/>
        <color rgb="FF000000"/>
        <rFont val="Times New Roman"/>
        <family val="1"/>
      </rPr>
      <t>Estimated Innocence</t>
    </r>
    <r>
      <rPr>
        <sz val="14"/>
        <color rgb="FF000000"/>
        <rFont val="Times New Roman"/>
        <family val="1"/>
      </rPr>
      <t>, we can help.</t>
    </r>
  </si>
  <si>
    <t xml:space="preserve">1) Ask for free guidance at our Facebook group: The Unexonerated. </t>
  </si>
  <si>
    <t>Receive support how to best use this tool. Exchange ideas with others using this tool.</t>
  </si>
  <si>
    <t>2) Get one-on-one support from the creator of this tool.</t>
  </si>
  <si>
    <t>Using your Estimated Innocence</t>
  </si>
  <si>
    <t>Save your Notification and Certificate as a separate PDF file.</t>
  </si>
  <si>
    <t>Here are the steps again for saving the top few pages of this document.</t>
  </si>
  <si>
    <r>
      <t xml:space="preserve">Need help making the most of your </t>
    </r>
    <r>
      <rPr>
        <b/>
        <sz val="14"/>
        <color theme="1"/>
        <rFont val="Tahoma"/>
        <family val="2"/>
      </rPr>
      <t>Estimated Innocence</t>
    </r>
    <r>
      <rPr>
        <sz val="14"/>
        <color theme="1"/>
        <rFont val="Tahoma"/>
        <family val="2"/>
      </rPr>
      <t>? Ask us.</t>
    </r>
  </si>
  <si>
    <t>Talk to me in person how to fit this tool to your situation. Together, let's speak truth to power.</t>
  </si>
  <si>
    <r>
      <t xml:space="preserve">Save your </t>
    </r>
    <r>
      <rPr>
        <b/>
        <sz val="14"/>
        <color theme="1"/>
        <rFont val="Tahoma"/>
        <family val="2"/>
      </rPr>
      <t>Notification</t>
    </r>
    <r>
      <rPr>
        <sz val="14"/>
        <color theme="1"/>
        <rFont val="Tahoma"/>
        <family val="2"/>
      </rPr>
      <t xml:space="preserve"> and </t>
    </r>
    <r>
      <rPr>
        <b/>
        <sz val="14"/>
        <color theme="1"/>
        <rFont val="Tahoma"/>
        <family val="2"/>
      </rPr>
      <t>Certificate</t>
    </r>
    <r>
      <rPr>
        <sz val="14"/>
        <color theme="1"/>
        <rFont val="Tahoma"/>
        <family val="2"/>
      </rPr>
      <t xml:space="preserve"> as a separate PDF file.</t>
    </r>
  </si>
  <si>
    <t>3) Build a campaign together supporting your innocence.</t>
  </si>
  <si>
    <r>
      <t xml:space="preserve">Your </t>
    </r>
    <r>
      <rPr>
        <b/>
        <sz val="14"/>
        <color theme="9" tint="-0.499984740745262"/>
        <rFont val="Tahoma"/>
        <family val="2"/>
      </rPr>
      <t>advocacy campaign</t>
    </r>
    <r>
      <rPr>
        <b/>
        <sz val="14"/>
        <color rgb="FF23B98C"/>
        <rFont val="Tahoma"/>
        <family val="2"/>
      </rPr>
      <t xml:space="preserve"> takes you beyond the limits of </t>
    </r>
    <r>
      <rPr>
        <b/>
        <i/>
        <sz val="14"/>
        <color rgb="FF00B050"/>
        <rFont val="Tahoma"/>
        <family val="2"/>
      </rPr>
      <t>law</t>
    </r>
  </si>
  <si>
    <t>Steph Turner</t>
  </si>
  <si>
    <t>Do you claim you were misidentified during a criminal investigation? Did multiple witnesses fall under the Rashomon effect? Do you claim eyewitnesses made critical mistakes that resulted in your wrongful conviction? If yes, describe below.</t>
  </si>
  <si>
    <t>Contact: Steph Turner</t>
  </si>
  <si>
    <t>(920) 445-8760</t>
  </si>
  <si>
    <t>We estimated Steph's innocence with a 86% certainty, will you?</t>
  </si>
  <si>
    <t xml:space="preserve">― Steph has always maintained his innocence. </t>
  </si>
  <si>
    <t>― Steph faced a lengthy "trial penalty" sentence.</t>
  </si>
  <si>
    <t xml:space="preserve">― Steph served the full sentence because of maintaining his innocence. </t>
  </si>
  <si>
    <t xml:space="preserve">― Steph has no other criminal history. </t>
  </si>
  <si>
    <t>― Transphobic investigation and prosecution</t>
  </si>
  <si>
    <t>― Exculpatory evidence overlooked with untested DNA</t>
  </si>
  <si>
    <t>― Climate of sex abuse hysteria</t>
  </si>
  <si>
    <r>
      <t xml:space="preserve">Look through the example to get some ideas. </t>
    </r>
    <r>
      <rPr>
        <b/>
        <sz val="11"/>
        <color rgb="FF00B050"/>
        <rFont val="Times New Roman"/>
        <family val="1"/>
      </rPr>
      <t>2,500-character limit</t>
    </r>
    <r>
      <rPr>
        <sz val="11"/>
        <color rgb="FF00B050"/>
        <rFont val="Times New Roman"/>
        <family val="1"/>
      </rPr>
      <t>.</t>
    </r>
  </si>
  <si>
    <t>FILL IN EACH FIELD OF THE QUESTIONNAIRE, THEN THIS TURNS INTO A CAREFULLY WORDED CERTIFICATE FOR YOUR USE.</t>
  </si>
  <si>
    <r>
      <rPr>
        <sz val="9"/>
        <color rgb="FF006E32"/>
        <rFont val="Arial Black"/>
        <family val="2"/>
      </rPr>
      <t>Anankelogy</t>
    </r>
    <r>
      <rPr>
        <sz val="9"/>
        <color theme="1"/>
        <rFont val="Arial Black"/>
        <family val="2"/>
      </rPr>
      <t xml:space="preserve"> </t>
    </r>
    <r>
      <rPr>
        <sz val="9"/>
        <color rgb="FF461E64"/>
        <rFont val="Arial Black"/>
        <family val="2"/>
      </rPr>
      <t>Foundation</t>
    </r>
  </si>
  <si>
    <r>
      <rPr>
        <b/>
        <sz val="20"/>
        <color rgb="FF006E32"/>
        <rFont val="Tahoma"/>
        <family val="2"/>
      </rPr>
      <t>Innocence Checklist</t>
    </r>
    <r>
      <rPr>
        <b/>
        <sz val="20"/>
        <color theme="9" tint="-0.249977111117893"/>
        <rFont val="Tahoma"/>
        <family val="2"/>
      </rPr>
      <t xml:space="preserve"> </t>
    </r>
    <r>
      <rPr>
        <b/>
        <sz val="20"/>
        <color rgb="FF00EB65"/>
        <rFont val="Tahoma"/>
        <family val="2"/>
      </rPr>
      <t>by Dr. Carrie Leonetti</t>
    </r>
  </si>
  <si>
    <t>Another innocence checklist</t>
  </si>
  <si>
    <t>Dr. Carrie Leonetti of Auckland University published her own list of factors predicting the likelihood of a wrongful conviction of the innocent. Some of these you will find here. Others could be helpful additions for when this tool gets updated and improved. With your helpful input.</t>
  </si>
  <si>
    <t>Prosecutorial Disclosure</t>
  </si>
  <si>
    <t>See EIF items #17, 23, &amp; 58</t>
  </si>
  <si>
    <t>False Evidence</t>
  </si>
  <si>
    <t>Coaching</t>
  </si>
  <si>
    <t>Witness Hiding</t>
  </si>
  <si>
    <t>Deficient Defense</t>
  </si>
  <si>
    <t>Forensic Misconduct</t>
  </si>
  <si>
    <t>Police Misconduct</t>
  </si>
  <si>
    <t>Reasonable Doubt</t>
  </si>
  <si>
    <t>Alternate Suspect</t>
  </si>
  <si>
    <t>New Science</t>
  </si>
  <si>
    <t>Presence</t>
  </si>
  <si>
    <t>Diminished Mental Capacity</t>
  </si>
  <si>
    <t>Recantations</t>
  </si>
  <si>
    <t>Impeachment</t>
  </si>
  <si>
    <t>Incentives</t>
  </si>
  <si>
    <t>Changing Science</t>
  </si>
  <si>
    <t>Biased or Unvalidated Scientific Evidence</t>
  </si>
  <si>
    <t>Corroboration</t>
  </si>
  <si>
    <t>Maintenance of Innocence</t>
  </si>
  <si>
    <t>Missing or Inadequate Corroboration</t>
  </si>
  <si>
    <t>Unreliable Eyewitness Identification</t>
  </si>
  <si>
    <t>Questionable Confessions</t>
  </si>
  <si>
    <t>Inconsistent Theories</t>
  </si>
  <si>
    <t>Police Corruption</t>
  </si>
  <si>
    <t>Snitch Testimony</t>
  </si>
  <si>
    <t>Inconsistent Witnesses</t>
  </si>
  <si>
    <t>Pretrial Publicity</t>
  </si>
  <si>
    <t>Not adequately addressed in the EIF</t>
  </si>
  <si>
    <t>See EIF items #20</t>
  </si>
  <si>
    <t>See EIF items #30, 31</t>
  </si>
  <si>
    <t>See EIF items #15, 16, 18</t>
  </si>
  <si>
    <t>See EIF items #29</t>
  </si>
  <si>
    <t>See EIF items #38</t>
  </si>
  <si>
    <t>See EIF items #39, 41, 45, 55, 56</t>
  </si>
  <si>
    <t>See EIF items #17, 26, 29, 34</t>
  </si>
  <si>
    <t>See EIF items #17, 18</t>
  </si>
  <si>
    <t>See EIF items #19</t>
  </si>
  <si>
    <t>See EIF items #17, 27, 28, 37</t>
  </si>
  <si>
    <t>See EIF items #26</t>
  </si>
  <si>
    <t>See EIF items #18, 21, 22, 23, 32</t>
  </si>
  <si>
    <t>See EIF items #15</t>
  </si>
  <si>
    <t>See EIF items #18</t>
  </si>
  <si>
    <t>See EIF items #24</t>
  </si>
  <si>
    <t>See EIF items #18, 27, 28, 32</t>
  </si>
  <si>
    <t>Key EIF items not addressed in the Leonetti innocence checklist:</t>
  </si>
  <si>
    <t>See EIF items #15, 27, 28</t>
  </si>
  <si>
    <t>See EIF items #16, 28, 30, 31</t>
  </si>
  <si>
    <t>See EIF items #25, 26, 27, 37</t>
  </si>
  <si>
    <t>See EIF items #15, 19</t>
  </si>
  <si>
    <t>26, 30, 31, 32, 33, 35, 36, 42, 43, 44</t>
  </si>
  <si>
    <t>1) Ask for free guidance at our online forum: Estimated Innocence.</t>
  </si>
  <si>
    <t xml:space="preserve">1) Ask for free guidance at our online forum: Estimated Innocence. </t>
  </si>
  <si>
    <t>We personally explore how you can go beyond adversarial legalism to demonstrate your innocence.</t>
  </si>
  <si>
    <t>1. Join our online forum “Estimated Innocence” to engage others interested in this tool.</t>
  </si>
  <si>
    <t>2. Listen to the Need-Response podcast for insights from the creator of this tool.</t>
  </si>
  <si>
    <t>3. Book an online session with this tool's creator for free; donate afterwards.</t>
  </si>
  <si>
    <t>3. Book a free online session with this tool's creator; donate afterwards.</t>
  </si>
  <si>
    <t>Next, fill out the form below. After filling in every field, these instructions turn into a notification of verifiable innocence. Once verified, it changes again to a notification of verified innocence. First, we check if "verifiable innocence" is enough.</t>
  </si>
  <si>
    <t>Next, fill out the form below. After filling in every field, these instructions turn into a notification of verifiable innocence. Once verified, it changes again to a notification of verified innocence.  First, we check if "verifiable innocence" is enough.</t>
  </si>
  <si>
    <t>3. Select the File menu. Click on Save As. Choose a location on your device.</t>
  </si>
  <si>
    <t>2. Come back here to correct any mistakes you find. Then click Save.</t>
  </si>
  <si>
    <t>Save each tab as a PDF that you can send online or print out:</t>
  </si>
  <si>
    <t>1. Start with the NOVI tab. Select the NOVI tab below. Review to spot any mistakes.</t>
  </si>
  <si>
    <t>Repeat these step to save the other tabs as a PDF: COVI, EIR, &amp; CQR.</t>
  </si>
  <si>
    <t>The default setting here lets you print this whole spreadsheet through the last page.</t>
  </si>
  <si>
    <t>Here are the steps again for saving each tab as a sharable PDF.</t>
  </si>
  <si>
    <t>2) If you still cannot get your case reversed in court, shift course.</t>
  </si>
  <si>
    <t>consider our alternative to their legalism.</t>
  </si>
  <si>
    <t>-- Identify the needs of all involved: the accuser, the authorities, and yourself.</t>
  </si>
  <si>
    <t>-- We directly address each other's needs for which laws ostensibly exist to serve.</t>
  </si>
  <si>
    <t>-- Then we demonstrate the higher standard of properly resolving needs, better than adversarial law.</t>
  </si>
  <si>
    <t>3) If the adversarial process still opposes your objective innocence…</t>
  </si>
  <si>
    <t>We build an advocacy campaign to publicly support your independently established innocence.</t>
  </si>
  <si>
    <t>-- We impeach the legitimacy of any authority found benefiting from this injustice.</t>
  </si>
  <si>
    <t>-- We improve the legitimacy of any authority who properly responds to your justice needs.</t>
  </si>
  <si>
    <t>-- We publicly exonerate you with a grassroots campaign, enforced with the power of love.</t>
  </si>
  <si>
    <t>SOLUTION: Publicize your viable innocence, as a start</t>
  </si>
  <si>
    <t>Building your support team for an advocacy campaign</t>
  </si>
  <si>
    <r>
      <rPr>
        <b/>
        <sz val="22"/>
        <color theme="2"/>
        <rFont val="Tahoma"/>
        <family val="2"/>
      </rPr>
      <t>E</t>
    </r>
    <r>
      <rPr>
        <b/>
        <sz val="22"/>
        <color rgb="FF7030A0"/>
        <rFont val="Tahoma"/>
        <family val="2"/>
      </rPr>
      <t>stimated Innocence Report</t>
    </r>
  </si>
  <si>
    <t>stimated Innocence Report</t>
  </si>
  <si>
    <r>
      <t>C</t>
    </r>
    <r>
      <rPr>
        <sz val="20"/>
        <color theme="1"/>
        <rFont val="Tahoma"/>
        <family val="2"/>
      </rPr>
      <t>ontents</t>
    </r>
  </si>
  <si>
    <t>Mutual win-win outcome</t>
  </si>
  <si>
    <t>Provided as a free service of need-response.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</si>
</sst>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44" formatCode="_(&quot;$&quot;* #,##0.00_);_(&quot;$&quot;* \(#,##0.00\);_(&quot;$&quot;* &quot;-&quot;??_);_(@_)"/>
    <numFmt numFmtId="43" formatCode="_(* #,##0.00_);_(* \(#,##0.00\);_(* &quot;-&quot;??_);_(@_)"/>
    <numFmt numFmtId="164" formatCode="&quot;$&quot;#,##0"/>
    <numFmt numFmtId="165" formatCode="0.0"/>
    <numFmt numFmtId="166" formatCode="&quot;$&quot;#,##0.00"/>
    <numFmt numFmtId="167" formatCode="_(* #,##0.000_);_(* \(#,##0.000\);_(* &quot;-&quot;??_);_(@_)"/>
    <numFmt numFmtId="168" formatCode="00000"/>
    <numFmt numFmtId="169" formatCode="_(* #,##0_);_(* \(#,##0\);_(* &quot;-&quot;??_);_(@_)"/>
    <numFmt numFmtId="170" formatCode="_(* #,##0.0_);_(* \(#,##0.0\);_(* &quot;-&quot;??_);_(@_)"/>
    <numFmt numFmtId="171" formatCode="0."/>
    <numFmt numFmtId="172" formatCode="0.0000%"/>
    <numFmt numFmtId="173" formatCode="0.000%"/>
    <numFmt numFmtId="174" formatCode="0.0%"/>
    <numFmt numFmtId="175" formatCode="[$-F800]dddd\,\ mmmm\ dd\,\ yyyy"/>
    <numFmt numFmtId="176" formatCode="[$-409]mmmm\ d\,\ yyyy;@"/>
    <numFmt numFmtId="177" formatCode="##."/>
    <numFmt numFmtId="178" formatCode="_(&quot;$&quot;* #,##0_);_(&quot;$&quot;* \(#,##0\);_(&quot;$&quot;* &quot;-&quot;??_);_(@_)"/>
    <numFmt numFmtId="185" formatCode="#.\ \ "/>
  </numFmts>
  <fonts count="305" x14ac:knownFonts="1">
    <font>
      <sz val="11"/>
      <color theme="1"/>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u/>
      <sz val="11"/>
      <color theme="10"/>
      <name val="Calibri"/>
      <family val="2"/>
      <scheme val="minor"/>
    </font>
    <font>
      <sz val="11"/>
      <color theme="1"/>
      <name val="Times New Roman"/>
      <family val="1"/>
    </font>
    <font>
      <b/>
      <sz val="28"/>
      <color theme="1"/>
      <name val="Tahoma"/>
      <family val="2"/>
    </font>
    <font>
      <b/>
      <sz val="14"/>
      <color theme="1"/>
      <name val="Tahoma"/>
      <family val="2"/>
    </font>
    <font>
      <b/>
      <sz val="24"/>
      <color theme="9" tint="-0.499984740745262"/>
      <name val="Tahoma"/>
      <family val="2"/>
    </font>
    <font>
      <sz val="12"/>
      <color theme="1"/>
      <name val="Times New Roman"/>
      <family val="1"/>
    </font>
    <font>
      <sz val="11"/>
      <color rgb="FF7030A0"/>
      <name val="Times New Roman"/>
      <family val="1"/>
    </font>
    <font>
      <b/>
      <u/>
      <sz val="12"/>
      <color theme="10"/>
      <name val="Arial Narrow"/>
      <family val="2"/>
    </font>
    <font>
      <sz val="10"/>
      <color theme="0"/>
      <name val="Calibri"/>
      <family val="2"/>
      <scheme val="minor"/>
    </font>
    <font>
      <b/>
      <sz val="28"/>
      <color rgb="FF7030A0"/>
      <name val="Tahoma"/>
      <family val="2"/>
    </font>
    <font>
      <b/>
      <sz val="28"/>
      <color theme="2"/>
      <name val="Tahoma"/>
      <family val="2"/>
    </font>
    <font>
      <b/>
      <sz val="20"/>
      <color theme="1"/>
      <name val="Tahoma"/>
      <family val="2"/>
    </font>
    <font>
      <b/>
      <i/>
      <sz val="18"/>
      <color rgb="FFFF0000"/>
      <name val="Tahoma"/>
      <family val="2"/>
    </font>
    <font>
      <b/>
      <i/>
      <sz val="14"/>
      <name val="Tahoma"/>
      <family val="2"/>
    </font>
    <font>
      <sz val="10"/>
      <color theme="1"/>
      <name val="Tahoma"/>
      <family val="2"/>
    </font>
    <font>
      <sz val="14"/>
      <color theme="1"/>
      <name val="Times New Roman"/>
      <family val="1"/>
    </font>
    <font>
      <sz val="11"/>
      <color theme="1"/>
      <name val="Tahoma"/>
      <family val="2"/>
    </font>
    <font>
      <sz val="12"/>
      <name val="Arial"/>
      <family val="2"/>
    </font>
    <font>
      <sz val="11"/>
      <color theme="0" tint="-4.9989318521683403E-2"/>
      <name val="Times New Roman"/>
      <family val="1"/>
    </font>
    <font>
      <sz val="14"/>
      <color theme="0" tint="-0.34998626667073579"/>
      <name val="Times New Roman"/>
      <family val="1"/>
    </font>
    <font>
      <sz val="12"/>
      <color theme="1"/>
      <name val="Arial"/>
      <family val="2"/>
    </font>
    <font>
      <sz val="11"/>
      <color theme="1"/>
      <name val="Arial Narrow"/>
      <family val="2"/>
    </font>
    <font>
      <b/>
      <sz val="14"/>
      <color theme="0" tint="-0.34998626667073579"/>
      <name val="Tahoma"/>
      <family val="2"/>
    </font>
    <font>
      <sz val="14"/>
      <color theme="0" tint="-0.249977111117893"/>
      <name val="Tahoma"/>
      <family val="2"/>
    </font>
    <font>
      <b/>
      <sz val="21"/>
      <color rgb="FF7030A0"/>
      <name val="Tahoma"/>
      <family val="2"/>
    </font>
    <font>
      <b/>
      <sz val="16"/>
      <color rgb="FF00C85A"/>
      <name val="Tahoma"/>
      <family val="2"/>
    </font>
    <font>
      <sz val="11"/>
      <color theme="0" tint="-0.499984740745262"/>
      <name val="Arial"/>
      <family val="2"/>
    </font>
    <font>
      <sz val="11"/>
      <color theme="1"/>
      <name val="Candara"/>
      <family val="2"/>
    </font>
    <font>
      <sz val="18"/>
      <color theme="1"/>
      <name val="Tahoma"/>
      <family val="2"/>
    </font>
    <font>
      <b/>
      <sz val="18"/>
      <color theme="1"/>
      <name val="Tahoma"/>
      <family val="2"/>
    </font>
    <font>
      <sz val="16"/>
      <color theme="1" tint="0.34998626667073579"/>
      <name val="Tahoma"/>
      <family val="2"/>
    </font>
    <font>
      <sz val="12"/>
      <color theme="1" tint="0.499984740745262"/>
      <name val="Tahoma"/>
      <family val="2"/>
    </font>
    <font>
      <sz val="11"/>
      <color theme="1" tint="0.249977111117893"/>
      <name val="Times New Roman"/>
      <family val="1"/>
    </font>
    <font>
      <sz val="14"/>
      <color theme="1"/>
      <name val="Arial Black"/>
      <family val="2"/>
    </font>
    <font>
      <sz val="10"/>
      <color theme="1"/>
      <name val="Times New Roman"/>
      <family val="1"/>
    </font>
    <font>
      <sz val="10"/>
      <color theme="1"/>
      <name val="Arial Black"/>
      <family val="2"/>
    </font>
    <font>
      <b/>
      <sz val="14"/>
      <color theme="0"/>
      <name val="Tahoma"/>
      <family val="2"/>
    </font>
    <font>
      <sz val="12"/>
      <name val="Times New Roman"/>
      <family val="1"/>
    </font>
    <font>
      <b/>
      <sz val="11"/>
      <color theme="1"/>
      <name val="Arial"/>
      <family val="2"/>
    </font>
    <font>
      <sz val="16"/>
      <color theme="1"/>
      <name val="Times New Roman"/>
      <family val="1"/>
    </font>
    <font>
      <sz val="11"/>
      <color theme="1"/>
      <name val="Arial"/>
      <family val="2"/>
    </font>
    <font>
      <i/>
      <sz val="11"/>
      <color theme="1"/>
      <name val="Times New Roman"/>
      <family val="1"/>
    </font>
    <font>
      <b/>
      <sz val="11"/>
      <color theme="1"/>
      <name val="Times New Roman"/>
      <family val="1"/>
    </font>
    <font>
      <sz val="10"/>
      <color theme="1"/>
      <name val="Arial"/>
      <family val="2"/>
    </font>
    <font>
      <b/>
      <i/>
      <sz val="11"/>
      <color rgb="FF9BFFC8"/>
      <name val="Times New Roman"/>
      <family val="1"/>
    </font>
    <font>
      <sz val="11"/>
      <color rgb="FF000000"/>
      <name val="Calibri"/>
      <family val="2"/>
      <scheme val="minor"/>
    </font>
    <font>
      <sz val="11"/>
      <color rgb="FF00CC5C"/>
      <name val="Times New Roman"/>
      <family val="1"/>
    </font>
    <font>
      <sz val="12"/>
      <color theme="1"/>
      <name val="Arial Narrow"/>
      <family val="2"/>
    </font>
    <font>
      <b/>
      <sz val="14"/>
      <color rgb="FF7030A0"/>
      <name val="Times New Roman"/>
      <family val="1"/>
    </font>
    <font>
      <b/>
      <sz val="12"/>
      <color theme="1"/>
      <name val="Arial"/>
      <family val="2"/>
    </font>
    <font>
      <b/>
      <sz val="14"/>
      <color theme="1"/>
      <name val="Arial"/>
      <family val="2"/>
    </font>
    <font>
      <b/>
      <sz val="11"/>
      <color rgb="FF7030A0"/>
      <name val="Times New Roman"/>
      <family val="1"/>
    </font>
    <font>
      <b/>
      <sz val="11"/>
      <color rgb="FF7030A0"/>
      <name val="Calibri"/>
      <family val="2"/>
      <scheme val="minor"/>
    </font>
    <font>
      <sz val="11"/>
      <name val="Calibri"/>
      <family val="2"/>
      <scheme val="minor"/>
    </font>
    <font>
      <b/>
      <sz val="12"/>
      <color rgb="FF7030A0"/>
      <name val="Arial"/>
      <family val="2"/>
    </font>
    <font>
      <b/>
      <sz val="20"/>
      <color theme="1"/>
      <name val="Arial"/>
      <family val="2"/>
    </font>
    <font>
      <b/>
      <sz val="18"/>
      <color rgb="FF7030A0"/>
      <name val="Arial"/>
      <family val="2"/>
    </font>
    <font>
      <b/>
      <i/>
      <sz val="12"/>
      <color theme="1"/>
      <name val="Times New Roman"/>
      <family val="1"/>
    </font>
    <font>
      <b/>
      <sz val="11"/>
      <color rgb="FF6B2894"/>
      <name val="Times New Roman"/>
      <family val="1"/>
    </font>
    <font>
      <b/>
      <sz val="10"/>
      <color theme="0"/>
      <name val="Tahoma"/>
      <family val="2"/>
    </font>
    <font>
      <b/>
      <sz val="12"/>
      <name val="Times New Roman"/>
      <family val="1"/>
    </font>
    <font>
      <b/>
      <sz val="14"/>
      <color theme="8" tint="0.79998168889431442"/>
      <name val="Tahoma"/>
      <family val="2"/>
    </font>
    <font>
      <b/>
      <sz val="12"/>
      <color theme="5" tint="0.79998168889431442"/>
      <name val="Times New Roman"/>
      <family val="1"/>
    </font>
    <font>
      <i/>
      <sz val="10"/>
      <color theme="1" tint="0.34998626667073579"/>
      <name val="Arial"/>
      <family val="2"/>
    </font>
    <font>
      <sz val="11"/>
      <color theme="1" tint="0.499984740745262"/>
      <name val="Arial"/>
      <family val="2"/>
    </font>
    <font>
      <sz val="11"/>
      <color theme="1" tint="0.34998626667073579"/>
      <name val="Arial Narrow"/>
      <family val="2"/>
    </font>
    <font>
      <sz val="11"/>
      <color theme="0"/>
      <name val="Times New Roman"/>
      <family val="1"/>
    </font>
    <font>
      <sz val="11"/>
      <name val="Arial Narrow"/>
      <family val="2"/>
    </font>
    <font>
      <b/>
      <sz val="12"/>
      <color rgb="FF0070C0"/>
      <name val="Arial"/>
      <family val="2"/>
    </font>
    <font>
      <i/>
      <sz val="10"/>
      <color theme="1"/>
      <name val="Times New Roman"/>
      <family val="1"/>
    </font>
    <font>
      <i/>
      <sz val="9"/>
      <color theme="1" tint="0.34998626667073579"/>
      <name val="Arial"/>
      <family val="2"/>
    </font>
    <font>
      <sz val="14"/>
      <color rgb="FFC00000"/>
      <name val="Arial Black"/>
      <family val="2"/>
    </font>
    <font>
      <sz val="10.5"/>
      <color theme="1"/>
      <name val="Times New Roman"/>
      <family val="1"/>
    </font>
    <font>
      <i/>
      <sz val="12"/>
      <color theme="1"/>
      <name val="Times New Roman"/>
      <family val="1"/>
    </font>
    <font>
      <b/>
      <sz val="12"/>
      <color theme="1"/>
      <name val="Times New Roman"/>
      <family val="1"/>
    </font>
    <font>
      <b/>
      <sz val="11"/>
      <color theme="0"/>
      <name val="Tahoma"/>
      <family val="2"/>
    </font>
    <font>
      <b/>
      <sz val="14"/>
      <color rgb="FFC8FFDC"/>
      <name val="Tahoma"/>
      <family val="2"/>
    </font>
    <font>
      <sz val="12"/>
      <color theme="1"/>
      <name val="Calibri"/>
      <family val="2"/>
      <scheme val="minor"/>
    </font>
    <font>
      <b/>
      <i/>
      <sz val="11"/>
      <color theme="1"/>
      <name val="Times New Roman"/>
      <family val="1"/>
    </font>
    <font>
      <sz val="10"/>
      <color theme="1"/>
      <name val="Calibri"/>
      <family val="2"/>
      <scheme val="minor"/>
    </font>
    <font>
      <sz val="8"/>
      <color theme="1"/>
      <name val="Arial"/>
      <family val="2"/>
    </font>
    <font>
      <b/>
      <sz val="10"/>
      <color theme="1"/>
      <name val="Arial"/>
      <family val="2"/>
    </font>
    <font>
      <sz val="15"/>
      <color theme="1"/>
      <name val="Times New Roman"/>
      <family val="1"/>
    </font>
    <font>
      <b/>
      <sz val="11"/>
      <color theme="1"/>
      <name val="Tahoma"/>
      <family val="2"/>
    </font>
    <font>
      <b/>
      <sz val="12"/>
      <color theme="0" tint="-0.249977111117893"/>
      <name val="Tahoma"/>
      <family val="2"/>
    </font>
    <font>
      <b/>
      <sz val="12"/>
      <color rgb="FF00B050"/>
      <name val="Calibri"/>
      <family val="2"/>
      <scheme val="minor"/>
    </font>
    <font>
      <b/>
      <sz val="12"/>
      <color theme="1"/>
      <name val="Calibri"/>
      <family val="2"/>
      <scheme val="minor"/>
    </font>
    <font>
      <b/>
      <i/>
      <sz val="11"/>
      <color theme="1"/>
      <name val="Tahoma"/>
      <family val="2"/>
    </font>
    <font>
      <sz val="12"/>
      <color theme="1"/>
      <name val="Tahoma"/>
      <family val="2"/>
    </font>
    <font>
      <b/>
      <sz val="16"/>
      <color rgb="FFD088FC"/>
      <name val="Tahoma"/>
      <family val="2"/>
    </font>
    <font>
      <b/>
      <sz val="16"/>
      <color theme="1"/>
      <name val="Tahoma"/>
      <family val="2"/>
    </font>
    <font>
      <b/>
      <sz val="11"/>
      <color rgb="FFD088FC"/>
      <name val="Arial"/>
      <family val="2"/>
    </font>
    <font>
      <sz val="11"/>
      <color theme="0" tint="-0.499984740745262"/>
      <name val="Times New Roman"/>
      <family val="1"/>
    </font>
    <font>
      <sz val="10"/>
      <color theme="0" tint="-0.499984740745262"/>
      <name val="Times New Roman"/>
      <family val="1"/>
    </font>
    <font>
      <b/>
      <sz val="9"/>
      <color rgb="FFD088FC"/>
      <name val="Tahoma"/>
      <family val="2"/>
    </font>
    <font>
      <b/>
      <sz val="11"/>
      <color rgb="FFD088FC"/>
      <name val="Tahoma"/>
      <family val="2"/>
    </font>
    <font>
      <sz val="11"/>
      <color rgb="FFD088FC"/>
      <name val="Times New Roman"/>
      <family val="1"/>
    </font>
    <font>
      <sz val="11"/>
      <name val="Times New Roman"/>
      <family val="1"/>
    </font>
    <font>
      <sz val="9"/>
      <color theme="1"/>
      <name val="Times New Roman"/>
      <family val="1"/>
    </font>
    <font>
      <sz val="11"/>
      <color rgb="FF7030A0"/>
      <name val="Calibri"/>
      <family val="2"/>
      <scheme val="minor"/>
    </font>
    <font>
      <sz val="11"/>
      <color theme="9" tint="-0.499984740745262"/>
      <name val="Times New Roman"/>
      <family val="1"/>
    </font>
    <font>
      <b/>
      <sz val="10"/>
      <color theme="1"/>
      <name val="Times New Roman"/>
      <family val="1"/>
    </font>
    <font>
      <u/>
      <sz val="11"/>
      <color rgb="FF7030A0"/>
      <name val="Times New Roman"/>
      <family val="1"/>
    </font>
    <font>
      <sz val="10"/>
      <color theme="1"/>
      <name val="Candara"/>
      <family val="2"/>
    </font>
    <font>
      <sz val="10"/>
      <color rgb="FF000000"/>
      <name val="Calibri"/>
      <family val="2"/>
      <scheme val="minor"/>
    </font>
    <font>
      <b/>
      <sz val="12"/>
      <color theme="1"/>
      <name val="Tahoma"/>
      <family val="2"/>
    </font>
    <font>
      <b/>
      <sz val="11"/>
      <color rgb="FF000000"/>
      <name val="Calibri"/>
      <family val="2"/>
      <scheme val="minor"/>
    </font>
    <font>
      <b/>
      <sz val="14"/>
      <color rgb="FF000000"/>
      <name val="Calibri"/>
      <family val="2"/>
      <scheme val="minor"/>
    </font>
    <font>
      <sz val="14"/>
      <color rgb="FF000000"/>
      <name val="Calibri"/>
      <family val="2"/>
      <scheme val="minor"/>
    </font>
    <font>
      <u/>
      <sz val="11.5"/>
      <color rgb="FF0070C0"/>
      <name val="Times New Roman"/>
      <family val="1"/>
    </font>
    <font>
      <b/>
      <sz val="12"/>
      <color rgb="FFC00000"/>
      <name val="Times New Roman"/>
      <family val="1"/>
    </font>
    <font>
      <sz val="11"/>
      <color rgb="FFC00000"/>
      <name val="Times New Roman"/>
      <family val="1"/>
    </font>
    <font>
      <sz val="11"/>
      <color rgb="FF0070C0"/>
      <name val="Times New Roman"/>
      <family val="1"/>
    </font>
    <font>
      <i/>
      <sz val="11"/>
      <color rgb="FFC00000"/>
      <name val="Times New Roman"/>
      <family val="1"/>
    </font>
    <font>
      <sz val="7"/>
      <color theme="1"/>
      <name val="Arial"/>
      <family val="2"/>
    </font>
    <font>
      <b/>
      <sz val="9"/>
      <color indexed="81"/>
      <name val="Tahoma"/>
      <family val="2"/>
    </font>
    <font>
      <b/>
      <sz val="14"/>
      <color indexed="81"/>
      <name val="Tahoma"/>
      <family val="2"/>
    </font>
    <font>
      <b/>
      <sz val="14"/>
      <color indexed="22"/>
      <name val="Tahoma"/>
      <family val="2"/>
    </font>
    <font>
      <sz val="14"/>
      <color indexed="81"/>
      <name val="Tahoma"/>
      <family val="2"/>
    </font>
    <font>
      <sz val="12"/>
      <color indexed="9"/>
      <name val="Tahoma"/>
      <family val="2"/>
    </font>
    <font>
      <sz val="9"/>
      <color indexed="81"/>
      <name val="Tahoma"/>
      <family val="2"/>
    </font>
    <font>
      <sz val="10"/>
      <color indexed="16"/>
      <name val="Tahoma"/>
      <family val="2"/>
    </font>
    <font>
      <b/>
      <sz val="16"/>
      <color indexed="51"/>
      <name val="Tahoma"/>
      <family val="2"/>
    </font>
    <font>
      <i/>
      <sz val="9"/>
      <color indexed="81"/>
      <name val="Tahoma"/>
      <family val="2"/>
    </font>
    <font>
      <sz val="9"/>
      <color indexed="55"/>
      <name val="Tahoma"/>
      <family val="2"/>
    </font>
    <font>
      <b/>
      <sz val="18"/>
      <color theme="8" tint="0.39997558519241921"/>
      <name val="Wingdings 3"/>
      <family val="1"/>
      <charset val="2"/>
    </font>
    <font>
      <sz val="14"/>
      <color theme="8" tint="0.39997558519241921"/>
      <name val="Arial Black"/>
      <family val="2"/>
    </font>
    <font>
      <sz val="11"/>
      <color theme="8" tint="0.39997558519241921"/>
      <name val="Times New Roman"/>
      <family val="1"/>
    </font>
    <font>
      <sz val="10"/>
      <color theme="8" tint="0.39997558519241921"/>
      <name val="Times New Roman"/>
      <family val="1"/>
    </font>
    <font>
      <sz val="11"/>
      <color rgb="FF000000"/>
      <name val="Times New Roman"/>
      <family val="1"/>
    </font>
    <font>
      <b/>
      <sz val="11"/>
      <color rgb="FF000000"/>
      <name val="Tahoma"/>
      <family val="2"/>
    </font>
    <font>
      <u/>
      <sz val="11"/>
      <color theme="10"/>
      <name val="Calibri"/>
      <family val="2"/>
    </font>
    <font>
      <sz val="11"/>
      <color rgb="FF9933FF"/>
      <name val="Bahnschrift SemiLight SemiConde"/>
      <family val="2"/>
    </font>
    <font>
      <sz val="12"/>
      <color rgb="FF9933FF"/>
      <name val="Franklin Gothic Demi Cond"/>
      <family val="2"/>
    </font>
    <font>
      <sz val="11"/>
      <color rgb="FF007832"/>
      <name val="Times New Roman"/>
      <family val="1"/>
    </font>
    <font>
      <b/>
      <sz val="11"/>
      <color rgb="FFFF00FF"/>
      <name val="Times New Roman"/>
      <family val="1"/>
    </font>
    <font>
      <sz val="11"/>
      <color rgb="FFFF00FF"/>
      <name val="Times New Roman"/>
      <family val="1"/>
    </font>
    <font>
      <b/>
      <sz val="12"/>
      <color rgb="FFFF00FF"/>
      <name val="Times New Roman"/>
      <family val="1"/>
    </font>
    <font>
      <sz val="11"/>
      <color theme="5" tint="-0.249977111117893"/>
      <name val="Times New Roman"/>
      <family val="1"/>
    </font>
    <font>
      <sz val="14"/>
      <color theme="1"/>
      <name val="Tahoma"/>
      <family val="2"/>
    </font>
    <font>
      <u/>
      <sz val="11"/>
      <color theme="1"/>
      <name val="Times New Roman"/>
      <family val="1"/>
    </font>
    <font>
      <b/>
      <sz val="14"/>
      <color rgb="FF00A050"/>
      <name val="Tahoma"/>
      <family val="2"/>
    </font>
    <font>
      <b/>
      <sz val="12"/>
      <color rgb="FF00A050"/>
      <name val="Tahoma"/>
      <family val="2"/>
    </font>
    <font>
      <sz val="11"/>
      <color rgb="FF00A050"/>
      <name val="Times New Roman"/>
      <family val="1"/>
    </font>
    <font>
      <b/>
      <sz val="11"/>
      <color theme="10"/>
      <name val="Times New Roman"/>
      <family val="1"/>
    </font>
    <font>
      <sz val="11"/>
      <color rgb="FF92D050"/>
      <name val="Times New Roman"/>
      <family val="1"/>
    </font>
    <font>
      <b/>
      <sz val="11"/>
      <color theme="5" tint="0.39997558519241921"/>
      <name val="Tahoma"/>
      <family val="2"/>
    </font>
    <font>
      <sz val="13"/>
      <color theme="1"/>
      <name val="Tahoma"/>
      <family val="2"/>
    </font>
    <font>
      <sz val="8"/>
      <name val="Calibri"/>
      <family val="2"/>
      <scheme val="minor"/>
    </font>
    <font>
      <sz val="11"/>
      <color rgb="FF007832"/>
      <name val="Trebuchet MS"/>
      <family val="2"/>
    </font>
    <font>
      <b/>
      <sz val="11"/>
      <color theme="1"/>
      <name val="Arial Narrow"/>
      <family val="2"/>
    </font>
    <font>
      <u/>
      <sz val="11"/>
      <color theme="1"/>
      <name val="Tahoma"/>
      <family val="2"/>
    </font>
    <font>
      <b/>
      <sz val="11"/>
      <color indexed="81"/>
      <name val="Tahoma"/>
      <family val="2"/>
    </font>
    <font>
      <b/>
      <sz val="11"/>
      <color theme="1" tint="0.34998626667073579"/>
      <name val="Tahoma"/>
      <family val="2"/>
    </font>
    <font>
      <sz val="11"/>
      <color rgb="FF00B0F0"/>
      <name val="Times New Roman"/>
      <family val="1"/>
    </font>
    <font>
      <sz val="11"/>
      <color rgb="FFFF0000"/>
      <name val="Times New Roman"/>
      <family val="1"/>
    </font>
    <font>
      <b/>
      <sz val="11"/>
      <color rgb="FF00B050"/>
      <name val="Times New Roman"/>
      <family val="1"/>
    </font>
    <font>
      <b/>
      <sz val="14"/>
      <color theme="7" tint="0.79998168889431442"/>
      <name val="Tahoma"/>
      <family val="2"/>
    </font>
    <font>
      <b/>
      <sz val="11"/>
      <color rgb="FF5A2D0A"/>
      <name val="Arial Narrow"/>
      <family val="2"/>
    </font>
    <font>
      <b/>
      <sz val="14"/>
      <color rgb="FF007832"/>
      <name val="Tahoma"/>
      <family val="2"/>
    </font>
    <font>
      <b/>
      <sz val="12"/>
      <color rgb="FF000000"/>
      <name val="Calibri"/>
      <family val="2"/>
      <scheme val="minor"/>
    </font>
    <font>
      <b/>
      <sz val="12"/>
      <color rgb="FF5A2D0A"/>
      <name val="Calibri"/>
      <family val="2"/>
      <scheme val="minor"/>
    </font>
    <font>
      <sz val="11"/>
      <color theme="1" tint="0.499984740745262"/>
      <name val="Times New Roman"/>
      <family val="1"/>
    </font>
    <font>
      <sz val="12"/>
      <color rgb="FF000000"/>
      <name val="Calibri"/>
      <family val="2"/>
      <scheme val="minor"/>
    </font>
    <font>
      <b/>
      <sz val="11"/>
      <color rgb="FFF3D2A5"/>
      <name val="Times New Roman"/>
      <family val="1"/>
    </font>
    <font>
      <sz val="13"/>
      <color theme="1"/>
      <name val="Franklin Gothic Demi"/>
      <family val="2"/>
    </font>
    <font>
      <sz val="11"/>
      <color theme="1"/>
      <name val="Cambria"/>
      <family val="1"/>
    </font>
    <font>
      <sz val="11"/>
      <color theme="1"/>
      <name val="Calibri"/>
      <family val="2"/>
    </font>
    <font>
      <b/>
      <sz val="11"/>
      <color rgb="FFCCFFCC"/>
      <name val="Calibri"/>
      <family val="2"/>
      <scheme val="minor"/>
    </font>
    <font>
      <sz val="11"/>
      <color rgb="FFCCFFCC"/>
      <name val="Times New Roman"/>
      <family val="1"/>
    </font>
    <font>
      <sz val="11"/>
      <color rgb="FF5A2D0A"/>
      <name val="Calibri"/>
      <family val="2"/>
      <scheme val="minor"/>
    </font>
    <font>
      <sz val="11.5"/>
      <color theme="1"/>
      <name val="Times New Roman"/>
      <family val="1"/>
    </font>
    <font>
      <b/>
      <sz val="14"/>
      <color rgb="FFCCFFCC"/>
      <name val="Tahoma"/>
      <family val="2"/>
    </font>
    <font>
      <b/>
      <sz val="15"/>
      <color theme="1"/>
      <name val="Tahoma"/>
      <family val="2"/>
    </font>
    <font>
      <b/>
      <sz val="19"/>
      <color theme="1"/>
      <name val="Tahoma"/>
      <family val="2"/>
    </font>
    <font>
      <sz val="11"/>
      <color rgb="FFC00000"/>
      <name val="Arial"/>
      <family val="2"/>
    </font>
    <font>
      <sz val="16"/>
      <color theme="1"/>
      <name val="Tahoma"/>
      <family val="2"/>
    </font>
    <font>
      <sz val="11"/>
      <color rgb="FFFF0000"/>
      <name val="Calibri"/>
      <family val="2"/>
      <scheme val="minor"/>
    </font>
    <font>
      <sz val="12"/>
      <color rgb="FF007832"/>
      <name val="Tahoma"/>
      <family val="2"/>
    </font>
    <font>
      <b/>
      <sz val="14"/>
      <color theme="1" tint="0.249977111117893"/>
      <name val="Tahoma"/>
      <family val="2"/>
    </font>
    <font>
      <sz val="11"/>
      <color rgb="FF01FF80"/>
      <name val="Times New Roman"/>
      <family val="1"/>
    </font>
    <font>
      <sz val="18"/>
      <color rgb="FF01FF80"/>
      <name val="Times New Roman"/>
      <family val="1"/>
    </font>
    <font>
      <b/>
      <sz val="11"/>
      <color rgb="FF01FF80"/>
      <name val="Times New Roman"/>
      <family val="1"/>
    </font>
    <font>
      <sz val="11"/>
      <color rgb="FF00B050"/>
      <name val="Times New Roman"/>
      <family val="1"/>
    </font>
    <font>
      <sz val="11"/>
      <color rgb="FF00B050"/>
      <name val="Tahoma"/>
      <family val="2"/>
    </font>
    <font>
      <sz val="11"/>
      <color theme="2" tint="-9.9948118533890809E-2"/>
      <name val="Times New Roman"/>
      <family val="1"/>
    </font>
    <font>
      <sz val="11"/>
      <color theme="1" tint="0.34998626667073579"/>
      <name val="Times New Roman"/>
      <family val="1"/>
    </font>
    <font>
      <b/>
      <sz val="9"/>
      <color theme="1"/>
      <name val="Times New Roman"/>
      <family val="1"/>
    </font>
    <font>
      <sz val="11"/>
      <color rgb="FFF3D2A5"/>
      <name val="Times New Roman"/>
      <family val="1"/>
    </font>
    <font>
      <b/>
      <sz val="11"/>
      <color rgb="FF00B050"/>
      <name val="Arial Narrow"/>
      <family val="2"/>
    </font>
    <font>
      <sz val="11"/>
      <color rgb="FF00B050"/>
      <name val="Arial Narrow"/>
      <family val="2"/>
    </font>
    <font>
      <sz val="11"/>
      <color theme="2" tint="-9.9978637043366805E-2"/>
      <name val="Times New Roman"/>
      <family val="1"/>
    </font>
    <font>
      <b/>
      <sz val="15"/>
      <color theme="9" tint="-0.249977111117893"/>
      <name val="Tahoma"/>
      <family val="2"/>
    </font>
    <font>
      <b/>
      <sz val="11"/>
      <color theme="1" tint="0.249977111117893"/>
      <name val="Tahoma"/>
      <family val="2"/>
    </font>
    <font>
      <b/>
      <sz val="14"/>
      <color rgb="FF99FF99"/>
      <name val="Tahoma"/>
      <family val="2"/>
    </font>
    <font>
      <b/>
      <sz val="20"/>
      <color theme="9" tint="-0.249977111117893"/>
      <name val="Tahoma"/>
      <family val="2"/>
    </font>
    <font>
      <sz val="10"/>
      <color indexed="81"/>
      <name val="Tahoma"/>
      <family val="2"/>
    </font>
    <font>
      <b/>
      <sz val="12"/>
      <color theme="1"/>
      <name val="Arial Narrow"/>
      <family val="2"/>
    </font>
    <font>
      <b/>
      <sz val="22"/>
      <color rgb="FFF5FFF5"/>
      <name val="Tahoma"/>
      <family val="2"/>
    </font>
    <font>
      <sz val="11"/>
      <color rgb="FFCC99FF"/>
      <name val="Times New Roman"/>
      <family val="1"/>
    </font>
    <font>
      <sz val="11"/>
      <color indexed="81"/>
      <name val="Tahoma"/>
      <family val="2"/>
    </font>
    <font>
      <b/>
      <sz val="12"/>
      <color indexed="81"/>
      <name val="Tahoma"/>
      <family val="2"/>
    </font>
    <font>
      <b/>
      <sz val="18"/>
      <color indexed="17"/>
      <name val="Tahoma"/>
      <family val="2"/>
    </font>
    <font>
      <b/>
      <sz val="20"/>
      <color rgb="FFD088FC"/>
      <name val="Tahoma"/>
      <family val="2"/>
    </font>
    <font>
      <b/>
      <sz val="20"/>
      <color rgb="FF23B98C"/>
      <name val="Tahoma"/>
      <family val="2"/>
    </font>
    <font>
      <b/>
      <sz val="20"/>
      <color rgb="FF7030A0"/>
      <name val="Tahoma"/>
      <family val="2"/>
    </font>
    <font>
      <b/>
      <sz val="20"/>
      <color rgb="FF198264"/>
      <name val="Tahoma"/>
      <family val="2"/>
    </font>
    <font>
      <sz val="10"/>
      <color theme="7" tint="0.79998168889431442"/>
      <name val="Times New Roman"/>
      <family val="1"/>
    </font>
    <font>
      <i/>
      <sz val="10"/>
      <color theme="7" tint="0.79998168889431442"/>
      <name val="Times New Roman"/>
      <family val="1"/>
    </font>
    <font>
      <sz val="11"/>
      <color theme="7" tint="0.39997558519241921"/>
      <name val="Times New Roman"/>
      <family val="1"/>
    </font>
    <font>
      <b/>
      <sz val="13"/>
      <color theme="1"/>
      <name val="Tahoma"/>
      <family val="2"/>
    </font>
    <font>
      <sz val="10"/>
      <color rgb="FF23B98C"/>
      <name val="Tahoma"/>
      <family val="2"/>
    </font>
    <font>
      <sz val="11"/>
      <color rgb="FF23B98C"/>
      <name val="Times New Roman"/>
      <family val="1"/>
    </font>
    <font>
      <b/>
      <sz val="11"/>
      <color rgb="FF0070C0"/>
      <name val="Tahoma"/>
      <family val="2"/>
    </font>
    <font>
      <b/>
      <sz val="11"/>
      <color rgb="FF23B98C"/>
      <name val="Times New Roman"/>
      <family val="1"/>
    </font>
    <font>
      <sz val="10"/>
      <color theme="1"/>
      <name val="Arial Narrow"/>
      <family val="2"/>
    </font>
    <font>
      <sz val="11"/>
      <color rgb="FFFFCCFF"/>
      <name val="Times New Roman"/>
      <family val="1"/>
    </font>
    <font>
      <b/>
      <sz val="14"/>
      <color rgb="FF002060"/>
      <name val="Tahoma"/>
      <family val="2"/>
    </font>
    <font>
      <sz val="11"/>
      <color rgb="FF99FF99"/>
      <name val="Times New Roman"/>
      <family val="1"/>
    </font>
    <font>
      <sz val="11"/>
      <color rgb="FF198264"/>
      <name val="Times New Roman"/>
      <family val="1"/>
    </font>
    <font>
      <sz val="10"/>
      <color theme="1" tint="0.34998626667073579"/>
      <name val="Times New Roman"/>
      <family val="1"/>
    </font>
    <font>
      <b/>
      <sz val="11.5"/>
      <color theme="1"/>
      <name val="Tahoma"/>
      <family val="2"/>
    </font>
    <font>
      <sz val="11"/>
      <color rgb="FF00EB64"/>
      <name val="Franklin Gothic Heavy"/>
      <family val="2"/>
    </font>
    <font>
      <sz val="11"/>
      <color rgb="FF1E3E77"/>
      <name val="Bahnschrift SemiBold Condensed"/>
      <family val="2"/>
    </font>
    <font>
      <sz val="11"/>
      <color rgb="FFCCFF33"/>
      <name val="Franklin Gothic Heavy"/>
      <family val="2"/>
    </font>
    <font>
      <sz val="11"/>
      <color rgb="FFFFFF00"/>
      <name val="Franklin Gothic Heavy"/>
      <family val="2"/>
    </font>
    <font>
      <sz val="11"/>
      <color rgb="FFFFC000"/>
      <name val="Franklin Gothic Heavy"/>
      <family val="2"/>
    </font>
    <font>
      <sz val="11"/>
      <color rgb="FFFF6400"/>
      <name val="Franklin Gothic Heavy"/>
      <family val="2"/>
    </font>
    <font>
      <sz val="11"/>
      <color rgb="FFFF5000"/>
      <name val="Franklin Gothic Heavy"/>
      <family val="2"/>
    </font>
    <font>
      <sz val="11"/>
      <color rgb="FFDC0000"/>
      <name val="Franklin Gothic Heavy"/>
      <family val="2"/>
    </font>
    <font>
      <sz val="11"/>
      <color rgb="FFC00000"/>
      <name val="Cambria"/>
      <family val="1"/>
    </font>
    <font>
      <sz val="11"/>
      <color rgb="FF960000"/>
      <name val="Franklin Gothic Heavy"/>
      <family val="2"/>
    </font>
    <font>
      <sz val="11"/>
      <color rgb="FFC00000"/>
      <name val="Franklin Gothic Heavy"/>
      <family val="2"/>
    </font>
    <font>
      <b/>
      <i/>
      <sz val="11"/>
      <color rgb="FF23B98C"/>
      <name val="Times New Roman"/>
      <family val="1"/>
    </font>
    <font>
      <b/>
      <i/>
      <sz val="11"/>
      <color theme="5" tint="0.39997558519241921"/>
      <name val="Times New Roman"/>
      <family val="1"/>
    </font>
    <font>
      <b/>
      <i/>
      <sz val="11"/>
      <color rgb="FFFF0000"/>
      <name val="Times New Roman"/>
      <family val="1"/>
    </font>
    <font>
      <b/>
      <sz val="10"/>
      <color theme="1"/>
      <name val="Arial Narrow"/>
      <family val="2"/>
    </font>
    <font>
      <b/>
      <sz val="9"/>
      <color theme="1"/>
      <name val="Arial Narrow"/>
      <family val="2"/>
    </font>
    <font>
      <i/>
      <sz val="10"/>
      <color theme="1"/>
      <name val="Arial Narrow"/>
      <family val="2"/>
    </font>
    <font>
      <b/>
      <i/>
      <sz val="10"/>
      <color theme="0" tint="-0.499984740745262"/>
      <name val="Tahoma"/>
      <family val="2"/>
    </font>
    <font>
      <b/>
      <sz val="14"/>
      <color theme="1"/>
      <name val="Times New Roman"/>
      <family val="1"/>
    </font>
    <font>
      <sz val="11"/>
      <color rgb="FF23B98C"/>
      <name val="Tahoma"/>
      <family val="2"/>
    </font>
    <font>
      <b/>
      <sz val="12"/>
      <color indexed="17"/>
      <name val="Tahoma"/>
      <family val="2"/>
    </font>
    <font>
      <sz val="9"/>
      <color theme="1" tint="0.499984740745262"/>
      <name val="Tahoma"/>
      <family val="2"/>
    </font>
    <font>
      <b/>
      <sz val="8"/>
      <color theme="1"/>
      <name val="Times New Roman"/>
      <family val="1"/>
    </font>
    <font>
      <b/>
      <sz val="11"/>
      <color theme="1" tint="0.499984740745262"/>
      <name val="Times New Roman"/>
      <family val="1"/>
    </font>
    <font>
      <b/>
      <sz val="12"/>
      <color rgb="FF7030A0"/>
      <name val="Tahoma"/>
      <family val="2"/>
    </font>
    <font>
      <b/>
      <sz val="11"/>
      <color rgb="FF7030A0"/>
      <name val="Tahoma"/>
      <family val="2"/>
    </font>
    <font>
      <sz val="9"/>
      <color theme="7" tint="-0.249977111117893"/>
      <name val="Arial Narrow"/>
      <family val="2"/>
    </font>
    <font>
      <sz val="14"/>
      <color theme="0" tint="-0.499984740745262"/>
      <name val="Tahoma"/>
      <family val="2"/>
    </font>
    <font>
      <b/>
      <sz val="10"/>
      <color theme="1"/>
      <name val="Tahoma"/>
      <family val="2"/>
    </font>
    <font>
      <sz val="10"/>
      <color theme="1" tint="0.499984740745262"/>
      <name val="Tahoma"/>
      <family val="2"/>
    </font>
    <font>
      <sz val="9"/>
      <color theme="1"/>
      <name val="Arial Narrow"/>
      <family val="2"/>
    </font>
    <font>
      <sz val="8"/>
      <color theme="1"/>
      <name val="Arial Narrow"/>
      <family val="2"/>
    </font>
    <font>
      <sz val="8"/>
      <color theme="1"/>
      <name val="Times New Roman"/>
      <family val="1"/>
    </font>
    <font>
      <sz val="11"/>
      <color theme="0" tint="-0.249977111117893"/>
      <name val="Times New Roman"/>
      <family val="1"/>
    </font>
    <font>
      <sz val="10"/>
      <color rgb="FF669900"/>
      <name val="Times New Roman"/>
      <family val="1"/>
    </font>
    <font>
      <sz val="9"/>
      <color theme="1"/>
      <name val="Arial Black"/>
      <family val="2"/>
    </font>
    <font>
      <b/>
      <sz val="8"/>
      <color theme="1"/>
      <name val="Arial Narrow"/>
      <family val="2"/>
    </font>
    <font>
      <sz val="8"/>
      <color theme="0" tint="-0.499984740745262"/>
      <name val="Tahoma"/>
      <family val="2"/>
    </font>
    <font>
      <b/>
      <sz val="24"/>
      <color theme="7" tint="0.79998168889431442"/>
      <name val="Tahoma"/>
      <family val="2"/>
    </font>
    <font>
      <b/>
      <sz val="7"/>
      <color indexed="81"/>
      <name val="Tahoma"/>
      <family val="2"/>
    </font>
    <font>
      <sz val="7"/>
      <color indexed="81"/>
      <name val="Tahoma"/>
      <family val="2"/>
    </font>
    <font>
      <b/>
      <sz val="14.5"/>
      <color theme="0"/>
      <name val="Tahoma"/>
      <family val="2"/>
    </font>
    <font>
      <sz val="9"/>
      <color rgb="FF23B98C"/>
      <name val="Times New Roman"/>
      <family val="1"/>
    </font>
    <font>
      <sz val="26"/>
      <color theme="9" tint="-0.499984740745262"/>
      <name val="Tahoma"/>
      <family val="2"/>
    </font>
    <font>
      <sz val="28"/>
      <color theme="9" tint="-0.499984740745262"/>
      <name val="Tahoma"/>
      <family val="2"/>
    </font>
    <font>
      <sz val="10"/>
      <color theme="9" tint="-0.499984740745262"/>
      <name val="Tahoma"/>
      <family val="2"/>
    </font>
    <font>
      <b/>
      <sz val="40"/>
      <color theme="9" tint="-0.499984740745262"/>
      <name val="Tahoma"/>
      <family val="2"/>
    </font>
    <font>
      <b/>
      <sz val="11"/>
      <color rgb="FF23B98C"/>
      <name val="Tahoma"/>
      <family val="2"/>
    </font>
    <font>
      <sz val="11"/>
      <color rgb="FF7030A0"/>
      <name val="Tahoma"/>
      <family val="2"/>
    </font>
    <font>
      <sz val="12"/>
      <color rgb="FF7030A0"/>
      <name val="Times New Roman"/>
      <family val="1"/>
    </font>
    <font>
      <sz val="12"/>
      <color rgb="FF23B98C"/>
      <name val="Times New Roman"/>
      <family val="1"/>
    </font>
    <font>
      <sz val="11"/>
      <color rgb="FFCCFF99"/>
      <name val="Times New Roman"/>
      <family val="1"/>
    </font>
    <font>
      <sz val="10"/>
      <color rgb="FFCCFFCC"/>
      <name val="Arial Narrow"/>
      <family val="2"/>
    </font>
    <font>
      <sz val="10"/>
      <color indexed="81"/>
      <name val="Times New Roman"/>
      <family val="1"/>
    </font>
    <font>
      <sz val="14"/>
      <color rgb="FF000000"/>
      <name val="Times New Roman"/>
      <family val="1"/>
    </font>
    <font>
      <b/>
      <sz val="14"/>
      <color rgb="FF000000"/>
      <name val="Times New Roman"/>
      <family val="1"/>
    </font>
    <font>
      <b/>
      <sz val="26"/>
      <color rgb="FFCCFFCC"/>
      <name val="Tahoma"/>
      <family val="2"/>
    </font>
    <font>
      <b/>
      <sz val="14"/>
      <color rgb="FF23B98C"/>
      <name val="Tahoma"/>
      <family val="2"/>
    </font>
    <font>
      <b/>
      <sz val="14"/>
      <color theme="9" tint="-0.499984740745262"/>
      <name val="Tahoma"/>
      <family val="2"/>
    </font>
    <font>
      <b/>
      <i/>
      <sz val="14"/>
      <color rgb="FF00B050"/>
      <name val="Tahoma"/>
      <family val="2"/>
    </font>
    <font>
      <sz val="14"/>
      <color theme="9" tint="-0.499984740745262"/>
      <name val="Tahoma"/>
      <family val="2"/>
    </font>
    <font>
      <sz val="9"/>
      <color rgb="FF006E32"/>
      <name val="Arial Black"/>
      <family val="2"/>
    </font>
    <font>
      <sz val="9"/>
      <color rgb="FF461E64"/>
      <name val="Arial Black"/>
      <family val="2"/>
    </font>
    <font>
      <b/>
      <sz val="14"/>
      <color theme="0" tint="-0.499984740745262"/>
      <name val="Tahoma"/>
      <family val="2"/>
    </font>
    <font>
      <b/>
      <sz val="14"/>
      <color rgb="FF00EB65"/>
      <name val="Tahoma"/>
      <family val="2"/>
    </font>
    <font>
      <b/>
      <sz val="20"/>
      <color rgb="FF00EB65"/>
      <name val="Tahoma"/>
      <family val="2"/>
    </font>
    <font>
      <b/>
      <sz val="20"/>
      <color rgb="FF006E32"/>
      <name val="Tahoma"/>
      <family val="2"/>
    </font>
    <font>
      <b/>
      <sz val="10"/>
      <color theme="1"/>
      <name val="Cambria"/>
      <family val="1"/>
    </font>
    <font>
      <sz val="10"/>
      <color theme="1"/>
      <name val="Cambria"/>
      <family val="1"/>
    </font>
    <font>
      <b/>
      <sz val="16"/>
      <color rgb="FF7030A0"/>
      <name val="Tahoma"/>
      <family val="2"/>
    </font>
    <font>
      <sz val="11"/>
      <color rgb="FF461E64"/>
      <name val="Tahoma"/>
      <family val="2"/>
    </font>
    <font>
      <b/>
      <sz val="24"/>
      <color rgb="FFF5FFF5"/>
      <name val="Tahoma"/>
      <family val="2"/>
    </font>
    <font>
      <b/>
      <i/>
      <sz val="10"/>
      <color theme="1"/>
      <name val="Times New Roman"/>
      <family val="1"/>
    </font>
    <font>
      <sz val="11"/>
      <color rgb="FF00EB65"/>
      <name val="Times New Roman"/>
      <family val="1"/>
    </font>
    <font>
      <b/>
      <sz val="22"/>
      <color rgb="FF7030A0"/>
      <name val="Tahoma"/>
      <family val="2"/>
    </font>
    <font>
      <b/>
      <sz val="22"/>
      <color theme="2"/>
      <name val="Tahoma"/>
      <family val="2"/>
    </font>
    <font>
      <b/>
      <sz val="20"/>
      <color rgb="FF461E64"/>
      <name val="Tahoma"/>
      <family val="2"/>
    </font>
    <font>
      <b/>
      <sz val="14"/>
      <color theme="1"/>
      <name val="Arial Black"/>
      <family val="2"/>
    </font>
    <font>
      <sz val="20"/>
      <color theme="1"/>
      <name val="Tahoma"/>
      <family val="2"/>
    </font>
  </fonts>
  <fills count="67">
    <fill>
      <patternFill patternType="none"/>
    </fill>
    <fill>
      <patternFill patternType="gray125"/>
    </fill>
    <fill>
      <patternFill patternType="solid">
        <fgColor rgb="FFC6EFCE"/>
      </patternFill>
    </fill>
    <fill>
      <patternFill patternType="solid">
        <fgColor theme="2"/>
        <bgColor indexed="64"/>
      </patternFill>
    </fill>
    <fill>
      <patternFill patternType="solid">
        <fgColor theme="6" tint="0.79998168889431442"/>
        <bgColor indexed="64"/>
      </patternFill>
    </fill>
    <fill>
      <patternFill patternType="solid">
        <fgColor theme="0"/>
        <bgColor indexed="64"/>
      </patternFill>
    </fill>
    <fill>
      <patternFill patternType="solid">
        <fgColor rgb="FFFF7C80"/>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rgb="FF25FF88"/>
        <bgColor indexed="64"/>
      </patternFill>
    </fill>
    <fill>
      <patternFill patternType="solid">
        <fgColor rgb="FFE2B5FD"/>
        <bgColor indexed="64"/>
      </patternFill>
    </fill>
    <fill>
      <patternFill patternType="solid">
        <fgColor rgb="FF7030A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2060"/>
        <bgColor indexed="64"/>
      </patternFill>
    </fill>
    <fill>
      <patternFill patternType="solid">
        <fgColor theme="8" tint="0.79998168889431442"/>
        <bgColor indexed="64"/>
      </patternFill>
    </fill>
    <fill>
      <patternFill patternType="solid">
        <fgColor rgb="FFEAE3D2"/>
        <bgColor indexed="64"/>
      </patternFill>
    </fill>
    <fill>
      <patternFill patternType="solid">
        <fgColor rgb="FF9BFFC8"/>
        <bgColor indexed="64"/>
      </patternFill>
    </fill>
    <fill>
      <patternFill patternType="solid">
        <fgColor rgb="FF00C85A"/>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19B61"/>
        <bgColor indexed="64"/>
      </patternFill>
    </fill>
    <fill>
      <patternFill patternType="solid">
        <fgColor theme="7" tint="0.59999389629810485"/>
        <bgColor indexed="64"/>
      </patternFill>
    </fill>
    <fill>
      <patternFill patternType="solid">
        <fgColor rgb="FFB9FFD9"/>
        <bgColor indexed="64"/>
      </patternFill>
    </fill>
    <fill>
      <patternFill patternType="solid">
        <fgColor theme="4" tint="0.59999389629810485"/>
        <bgColor indexed="64"/>
      </patternFill>
    </fill>
    <fill>
      <patternFill patternType="solid">
        <fgColor rgb="FFE1F5C1"/>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CCFF"/>
        <bgColor indexed="64"/>
      </patternFill>
    </fill>
    <fill>
      <patternFill patternType="solid">
        <fgColor rgb="FFE2C5FF"/>
        <bgColor indexed="64"/>
      </patternFill>
    </fill>
    <fill>
      <patternFill patternType="solid">
        <fgColor rgb="FFF3E7FF"/>
        <bgColor indexed="64"/>
      </patternFill>
    </fill>
    <fill>
      <patternFill patternType="solid">
        <fgColor rgb="FFFFC00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CCFFCC"/>
        <bgColor indexed="64"/>
      </patternFill>
    </fill>
    <fill>
      <patternFill patternType="solid">
        <fgColor rgb="FFFFE1FF"/>
        <bgColor indexed="64"/>
      </patternFill>
    </fill>
    <fill>
      <patternFill patternType="solid">
        <fgColor rgb="FFD088FC"/>
        <bgColor indexed="64"/>
      </patternFill>
    </fill>
    <fill>
      <patternFill patternType="solid">
        <fgColor rgb="FF00E266"/>
        <bgColor indexed="64"/>
      </patternFill>
    </fill>
    <fill>
      <patternFill patternType="solid">
        <fgColor rgb="FFD7FFF0"/>
        <bgColor indexed="64"/>
      </patternFill>
    </fill>
    <fill>
      <patternFill patternType="solid">
        <fgColor theme="5" tint="0.39994506668294322"/>
        <bgColor indexed="64"/>
      </patternFill>
    </fill>
    <fill>
      <patternFill patternType="solid">
        <fgColor theme="5" tint="0.79998168889431442"/>
        <bgColor indexed="64"/>
      </patternFill>
    </fill>
    <fill>
      <patternFill patternType="solid">
        <fgColor rgb="FFC1FFFF"/>
        <bgColor indexed="64"/>
      </patternFill>
    </fill>
    <fill>
      <patternFill patternType="solid">
        <fgColor rgb="FFDBA5FD"/>
        <bgColor indexed="64"/>
      </patternFill>
    </fill>
    <fill>
      <patternFill patternType="solid">
        <fgColor rgb="FFC8FFE1"/>
        <bgColor indexed="64"/>
      </patternFill>
    </fill>
    <fill>
      <patternFill patternType="solid">
        <fgColor theme="9" tint="0.79998168889431442"/>
        <bgColor indexed="64"/>
      </patternFill>
    </fill>
    <fill>
      <patternFill patternType="solid">
        <fgColor rgb="FFFFE6E6"/>
        <bgColor indexed="64"/>
      </patternFill>
    </fill>
    <fill>
      <patternFill patternType="solid">
        <fgColor rgb="FFEBFFF5"/>
        <bgColor indexed="64"/>
      </patternFill>
    </fill>
    <fill>
      <patternFill patternType="solid">
        <fgColor rgb="FF99FF99"/>
        <bgColor indexed="64"/>
      </patternFill>
    </fill>
    <fill>
      <patternFill patternType="solid">
        <fgColor rgb="FFFFF0B9"/>
        <bgColor indexed="64"/>
      </patternFill>
    </fill>
    <fill>
      <patternFill patternType="solid">
        <fgColor rgb="FF5A2D0A"/>
        <bgColor indexed="64"/>
      </patternFill>
    </fill>
    <fill>
      <patternFill patternType="solid">
        <fgColor rgb="FF01FF80"/>
        <bgColor indexed="64"/>
      </patternFill>
    </fill>
    <fill>
      <patternFill patternType="solid">
        <fgColor rgb="FFF3D2A5"/>
        <bgColor indexed="64"/>
      </patternFill>
    </fill>
    <fill>
      <patternFill patternType="solid">
        <fgColor rgb="FFFFFBEF"/>
        <bgColor indexed="64"/>
      </patternFill>
    </fill>
    <fill>
      <patternFill patternType="solid">
        <fgColor rgb="FFFFCCFF"/>
        <bgColor indexed="64"/>
      </patternFill>
    </fill>
    <fill>
      <patternFill patternType="solid">
        <fgColor rgb="FFD2FFE6"/>
        <bgColor indexed="64"/>
      </patternFill>
    </fill>
    <fill>
      <patternFill patternType="solid">
        <fgColor rgb="FF198264"/>
        <bgColor indexed="64"/>
      </patternFill>
    </fill>
    <fill>
      <patternFill patternType="solid">
        <fgColor rgb="FFFF99FF"/>
        <bgColor indexed="64"/>
      </patternFill>
    </fill>
    <fill>
      <patternFill patternType="solid">
        <fgColor rgb="FFE1C8FF"/>
        <bgColor indexed="64"/>
      </patternFill>
    </fill>
    <fill>
      <patternFill patternType="solid">
        <fgColor rgb="FFF0CDFF"/>
        <bgColor indexed="64"/>
      </patternFill>
    </fill>
    <fill>
      <patternFill patternType="solid">
        <fgColor rgb="FFEBFDC8"/>
        <bgColor indexed="64"/>
      </patternFill>
    </fill>
    <fill>
      <patternFill patternType="solid">
        <fgColor rgb="FFFFFFEB"/>
        <bgColor indexed="64"/>
      </patternFill>
    </fill>
    <fill>
      <patternFill patternType="solid">
        <fgColor rgb="FFB9EBFF"/>
        <bgColor indexed="64"/>
      </patternFill>
    </fill>
    <fill>
      <patternFill patternType="solid">
        <fgColor rgb="FFDBFD9F"/>
        <bgColor indexed="64"/>
      </patternFill>
    </fill>
    <fill>
      <patternFill patternType="solid">
        <fgColor rgb="FFCCFF99"/>
        <bgColor indexed="64"/>
      </patternFill>
    </fill>
    <fill>
      <patternFill patternType="solid">
        <fgColor rgb="FF461E64"/>
        <bgColor indexed="64"/>
      </patternFill>
    </fill>
  </fills>
  <borders count="199">
    <border>
      <left/>
      <right/>
      <top/>
      <bottom/>
      <diagonal/>
    </border>
    <border>
      <left style="thick">
        <color theme="2"/>
      </left>
      <right style="thick">
        <color theme="2"/>
      </right>
      <top style="thick">
        <color theme="2"/>
      </top>
      <bottom style="thick">
        <color theme="2"/>
      </bottom>
      <diagonal/>
    </border>
    <border>
      <left style="thick">
        <color theme="2"/>
      </left>
      <right style="thick">
        <color theme="2"/>
      </right>
      <top style="thick">
        <color theme="2"/>
      </top>
      <bottom/>
      <diagonal/>
    </border>
    <border>
      <left style="thick">
        <color theme="2"/>
      </left>
      <right/>
      <top/>
      <bottom/>
      <diagonal/>
    </border>
    <border>
      <left style="thick">
        <color theme="2"/>
      </left>
      <right style="thick">
        <color theme="2"/>
      </right>
      <top/>
      <bottom style="thick">
        <color theme="2"/>
      </bottom>
      <diagonal/>
    </border>
    <border>
      <left style="medium">
        <color theme="2"/>
      </left>
      <right/>
      <top style="medium">
        <color theme="2"/>
      </top>
      <bottom style="medium">
        <color theme="2"/>
      </bottom>
      <diagonal/>
    </border>
    <border>
      <left/>
      <right/>
      <top/>
      <bottom style="thick">
        <color theme="2"/>
      </bottom>
      <diagonal/>
    </border>
    <border>
      <left style="thick">
        <color theme="2"/>
      </left>
      <right/>
      <top style="thick">
        <color theme="2"/>
      </top>
      <bottom style="thick">
        <color theme="2"/>
      </bottom>
      <diagonal/>
    </border>
    <border>
      <left/>
      <right/>
      <top style="thick">
        <color theme="2"/>
      </top>
      <bottom style="thick">
        <color theme="2"/>
      </bottom>
      <diagonal/>
    </border>
    <border>
      <left/>
      <right style="thick">
        <color theme="2"/>
      </right>
      <top style="thick">
        <color theme="2"/>
      </top>
      <bottom style="thick">
        <color theme="2"/>
      </bottom>
      <diagonal/>
    </border>
    <border>
      <left/>
      <right/>
      <top style="thick">
        <color theme="0" tint="-0.14996795556505021"/>
      </top>
      <bottom style="thick">
        <color theme="0" tint="-0.149967955565050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B050"/>
      </left>
      <right style="medium">
        <color rgb="FF00B050"/>
      </right>
      <top style="medium">
        <color rgb="FF00B050"/>
      </top>
      <bottom style="thin">
        <color rgb="FF00B050"/>
      </bottom>
      <diagonal/>
    </border>
    <border>
      <left style="thin">
        <color rgb="FF00B050"/>
      </left>
      <right style="medium">
        <color rgb="FF00B050"/>
      </right>
      <top style="thin">
        <color rgb="FF00B050"/>
      </top>
      <bottom style="thin">
        <color rgb="FF00B050"/>
      </bottom>
      <diagonal/>
    </border>
    <border>
      <left style="thin">
        <color rgb="FF00B050"/>
      </left>
      <right style="medium">
        <color rgb="FF00B050"/>
      </right>
      <top style="thin">
        <color rgb="FF00B050"/>
      </top>
      <bottom style="medium">
        <color rgb="FF00B050"/>
      </bottom>
      <diagonal/>
    </border>
    <border>
      <left style="thick">
        <color rgb="FFEAE3D2"/>
      </left>
      <right style="thick">
        <color rgb="FFEAE3D2"/>
      </right>
      <top style="thick">
        <color rgb="FFEAE3D2"/>
      </top>
      <bottom style="thick">
        <color rgb="FFEAE3D2"/>
      </bottom>
      <diagonal/>
    </border>
    <border>
      <left style="thick">
        <color rgb="FFEAE3D2"/>
      </left>
      <right/>
      <top style="thick">
        <color rgb="FFEAE3D2"/>
      </top>
      <bottom style="thick">
        <color rgb="FFEAE3D2"/>
      </bottom>
      <diagonal/>
    </border>
    <border>
      <left/>
      <right style="thick">
        <color rgb="FFEAE3D2"/>
      </right>
      <top style="thick">
        <color rgb="FFEAE3D2"/>
      </top>
      <bottom style="thick">
        <color rgb="FFEAE3D2"/>
      </bottom>
      <diagonal/>
    </border>
    <border>
      <left/>
      <right/>
      <top style="thick">
        <color rgb="FFEAE3D2"/>
      </top>
      <bottom style="thick">
        <color rgb="FFEAE3D2"/>
      </bottom>
      <diagonal/>
    </border>
    <border>
      <left/>
      <right/>
      <top/>
      <bottom style="thick">
        <color rgb="FFEAE3D2"/>
      </bottom>
      <diagonal/>
    </border>
    <border>
      <left style="thin">
        <color indexed="64"/>
      </left>
      <right style="thin">
        <color indexed="64"/>
      </right>
      <top style="thin">
        <color indexed="64"/>
      </top>
      <bottom style="thin">
        <color indexed="64"/>
      </bottom>
      <diagonal/>
    </border>
    <border>
      <left/>
      <right style="thick">
        <color rgb="FFEAE3D2"/>
      </right>
      <top/>
      <bottom/>
      <diagonal/>
    </border>
    <border>
      <left style="thick">
        <color rgb="FFEAE3D2"/>
      </left>
      <right/>
      <top/>
      <bottom/>
      <diagonal/>
    </border>
    <border>
      <left style="thick">
        <color theme="8" tint="0.79998168889431442"/>
      </left>
      <right/>
      <top style="thick">
        <color theme="8" tint="0.79998168889431442"/>
      </top>
      <bottom style="thick">
        <color theme="8" tint="0.79998168889431442"/>
      </bottom>
      <diagonal/>
    </border>
    <border>
      <left/>
      <right/>
      <top style="thick">
        <color theme="8" tint="0.79998168889431442"/>
      </top>
      <bottom style="thick">
        <color theme="8" tint="0.79998168889431442"/>
      </bottom>
      <diagonal/>
    </border>
    <border>
      <left/>
      <right style="thick">
        <color theme="8" tint="0.79998168889431442"/>
      </right>
      <top style="thick">
        <color theme="8" tint="0.79998168889431442"/>
      </top>
      <bottom style="thick">
        <color theme="8" tint="0.79998168889431442"/>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double">
        <color theme="0"/>
      </left>
      <right style="double">
        <color theme="0"/>
      </right>
      <top style="double">
        <color theme="0"/>
      </top>
      <bottom style="double">
        <color theme="0"/>
      </bottom>
      <diagonal/>
    </border>
    <border>
      <left style="thin">
        <color theme="7" tint="0.59996337778862885"/>
      </left>
      <right/>
      <top/>
      <bottom/>
      <diagonal/>
    </border>
    <border>
      <left/>
      <right style="thin">
        <color theme="7" tint="0.59996337778862885"/>
      </right>
      <top/>
      <bottom/>
      <diagonal/>
    </border>
    <border>
      <left style="medium">
        <color theme="0"/>
      </left>
      <right/>
      <top/>
      <bottom style="medium">
        <color theme="7" tint="0.39994506668294322"/>
      </bottom>
      <diagonal/>
    </border>
    <border>
      <left/>
      <right/>
      <top/>
      <bottom style="medium">
        <color theme="7" tint="0.39994506668294322"/>
      </bottom>
      <diagonal/>
    </border>
    <border>
      <left/>
      <right style="medium">
        <color theme="0"/>
      </right>
      <top/>
      <bottom style="medium">
        <color theme="7" tint="0.39994506668294322"/>
      </bottom>
      <diagonal/>
    </border>
    <border>
      <left style="medium">
        <color theme="0"/>
      </left>
      <right style="medium">
        <color theme="0"/>
      </right>
      <top style="medium">
        <color theme="7" tint="0.39994506668294322"/>
      </top>
      <bottom style="medium">
        <color theme="0"/>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7" tint="0.59996337778862885"/>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theme="7" tint="0.59996337778862885"/>
      </left>
      <right style="thick">
        <color theme="7" tint="0.59996337778862885"/>
      </right>
      <top style="thick">
        <color theme="7" tint="0.59996337778862885"/>
      </top>
      <bottom style="thick">
        <color theme="7" tint="0.59996337778862885"/>
      </bottom>
      <diagonal/>
    </border>
    <border>
      <left style="thick">
        <color rgb="FFFFFF00"/>
      </left>
      <right style="thick">
        <color rgb="FFFFFF00"/>
      </right>
      <top style="thick">
        <color rgb="FFFFFF00"/>
      </top>
      <bottom style="thick">
        <color rgb="FFFFFF00"/>
      </bottom>
      <diagonal/>
    </border>
    <border>
      <left style="thick">
        <color rgb="FFFFFF00"/>
      </left>
      <right/>
      <top style="thick">
        <color rgb="FFFFFF00"/>
      </top>
      <bottom style="thick">
        <color rgb="FFFFFF00"/>
      </bottom>
      <diagonal/>
    </border>
    <border>
      <left/>
      <right/>
      <top style="thick">
        <color rgb="FFFFFF00"/>
      </top>
      <bottom style="thick">
        <color rgb="FFFFFF00"/>
      </bottom>
      <diagonal/>
    </border>
    <border>
      <left/>
      <right style="thick">
        <color rgb="FFFFFF00"/>
      </right>
      <top style="thick">
        <color rgb="FFFFFF00"/>
      </top>
      <bottom style="thick">
        <color rgb="FFFFFF00"/>
      </bottom>
      <diagonal/>
    </border>
    <border>
      <left style="thin">
        <color indexed="64"/>
      </left>
      <right/>
      <top/>
      <bottom/>
      <diagonal/>
    </border>
    <border>
      <left/>
      <right/>
      <top/>
      <bottom style="medium">
        <color rgb="FFD5FFE8"/>
      </bottom>
      <diagonal/>
    </border>
    <border>
      <left style="thick">
        <color rgb="FFFFE1FF"/>
      </left>
      <right style="thick">
        <color rgb="FFFFE1FF"/>
      </right>
      <top style="thick">
        <color rgb="FFFFE1FF"/>
      </top>
      <bottom style="thick">
        <color rgb="FFFFE1FF"/>
      </bottom>
      <diagonal/>
    </border>
    <border>
      <left style="medium">
        <color indexed="64"/>
      </left>
      <right style="medium">
        <color indexed="64"/>
      </right>
      <top style="medium">
        <color indexed="64"/>
      </top>
      <bottom style="medium">
        <color indexed="64"/>
      </bottom>
      <diagonal/>
    </border>
    <border>
      <left style="thick">
        <color rgb="FFFFE1FF"/>
      </left>
      <right/>
      <top style="thick">
        <color rgb="FFFFE1FF"/>
      </top>
      <bottom style="thick">
        <color rgb="FFFFE1FF"/>
      </bottom>
      <diagonal/>
    </border>
    <border>
      <left/>
      <right style="thick">
        <color rgb="FFFFE1FF"/>
      </right>
      <top style="thick">
        <color rgb="FFFFE1FF"/>
      </top>
      <bottom style="thick">
        <color rgb="FFFFE1FF"/>
      </bottom>
      <diagonal/>
    </border>
    <border>
      <left style="thick">
        <color rgb="FF00C85A"/>
      </left>
      <right/>
      <top style="thick">
        <color rgb="FF00C85A"/>
      </top>
      <bottom style="thick">
        <color rgb="FF00C85A"/>
      </bottom>
      <diagonal/>
    </border>
    <border>
      <left/>
      <right style="thick">
        <color rgb="FF00C85A"/>
      </right>
      <top style="thick">
        <color rgb="FF00C85A"/>
      </top>
      <bottom style="thick">
        <color rgb="FF00C85A"/>
      </bottom>
      <diagonal/>
    </border>
    <border>
      <left style="medium">
        <color indexed="64"/>
      </left>
      <right/>
      <top/>
      <bottom/>
      <diagonal/>
    </border>
    <border>
      <left style="thick">
        <color rgb="FFFFE1FF"/>
      </left>
      <right/>
      <top/>
      <bottom/>
      <diagonal/>
    </border>
    <border>
      <left/>
      <right style="thick">
        <color rgb="FFFFE1FF"/>
      </right>
      <top/>
      <bottom/>
      <diagonal/>
    </border>
    <border>
      <left style="medium">
        <color theme="5" tint="0.59996337778862885"/>
      </left>
      <right/>
      <top style="medium">
        <color theme="5" tint="0.59996337778862885"/>
      </top>
      <bottom style="medium">
        <color theme="5" tint="0.59996337778862885"/>
      </bottom>
      <diagonal/>
    </border>
    <border>
      <left/>
      <right style="medium">
        <color theme="5" tint="0.59996337778862885"/>
      </right>
      <top style="medium">
        <color theme="5" tint="0.59996337778862885"/>
      </top>
      <bottom style="medium">
        <color theme="5" tint="0.59996337778862885"/>
      </bottom>
      <diagonal/>
    </border>
    <border>
      <left style="medium">
        <color theme="5" tint="0.59996337778862885"/>
      </left>
      <right/>
      <top style="medium">
        <color theme="5" tint="0.59996337778862885"/>
      </top>
      <bottom/>
      <diagonal/>
    </border>
    <border>
      <left/>
      <right style="medium">
        <color theme="5" tint="0.59996337778862885"/>
      </right>
      <top style="medium">
        <color theme="5" tint="0.59996337778862885"/>
      </top>
      <bottom/>
      <diagonal/>
    </border>
    <border>
      <left style="medium">
        <color theme="5" tint="0.59996337778862885"/>
      </left>
      <right/>
      <top/>
      <bottom/>
      <diagonal/>
    </border>
    <border>
      <left/>
      <right style="medium">
        <color theme="5" tint="0.59996337778862885"/>
      </right>
      <top/>
      <bottom/>
      <diagonal/>
    </border>
    <border>
      <left style="medium">
        <color theme="5" tint="0.59996337778862885"/>
      </left>
      <right/>
      <top/>
      <bottom style="medium">
        <color theme="5" tint="0.59996337778862885"/>
      </bottom>
      <diagonal/>
    </border>
    <border>
      <left/>
      <right style="medium">
        <color theme="5" tint="0.59996337778862885"/>
      </right>
      <top/>
      <bottom style="medium">
        <color theme="5" tint="0.59996337778862885"/>
      </bottom>
      <diagonal/>
    </border>
    <border>
      <left/>
      <right/>
      <top/>
      <bottom style="thin">
        <color indexed="64"/>
      </bottom>
      <diagonal/>
    </border>
    <border>
      <left style="thick">
        <color rgb="FFC1FFFF"/>
      </left>
      <right style="medium">
        <color rgb="FFC1FFFF"/>
      </right>
      <top style="thick">
        <color rgb="FFC1FFFF"/>
      </top>
      <bottom style="thick">
        <color rgb="FFC1FFFF"/>
      </bottom>
      <diagonal/>
    </border>
    <border>
      <left style="medium">
        <color rgb="FFC1FFFF"/>
      </left>
      <right/>
      <top style="thick">
        <color rgb="FFC1FFFF"/>
      </top>
      <bottom style="thick">
        <color rgb="FFC1FFFF"/>
      </bottom>
      <diagonal/>
    </border>
    <border>
      <left style="thick">
        <color rgb="FFC1FFFF"/>
      </left>
      <right/>
      <top style="thick">
        <color rgb="FFC1FFFF"/>
      </top>
      <bottom style="thick">
        <color rgb="FFC1FFFF"/>
      </bottom>
      <diagonal/>
    </border>
    <border>
      <left style="thick">
        <color rgb="FFC1FFFF"/>
      </left>
      <right style="thick">
        <color rgb="FFC1FFFF"/>
      </right>
      <top style="thick">
        <color rgb="FFC1FFFF"/>
      </top>
      <bottom style="thick">
        <color rgb="FFC1FFFF"/>
      </bottom>
      <diagonal/>
    </border>
    <border>
      <left/>
      <right/>
      <top/>
      <bottom style="thick">
        <color rgb="FFD5FFE8"/>
      </bottom>
      <diagonal/>
    </border>
    <border>
      <left style="thick">
        <color rgb="FFD5FFE8"/>
      </left>
      <right/>
      <top style="thick">
        <color rgb="FFD5FFE8"/>
      </top>
      <bottom style="thick">
        <color rgb="FFD5FFE8"/>
      </bottom>
      <diagonal/>
    </border>
    <border>
      <left/>
      <right style="thick">
        <color rgb="FFD5FFE8"/>
      </right>
      <top style="thick">
        <color rgb="FFD5FFE8"/>
      </top>
      <bottom style="thick">
        <color rgb="FFD5FFE8"/>
      </bottom>
      <diagonal/>
    </border>
    <border>
      <left style="thick">
        <color rgb="FFD5FFE8"/>
      </left>
      <right style="thick">
        <color rgb="FFD5FFE8"/>
      </right>
      <top style="thick">
        <color rgb="FFD5FFE8"/>
      </top>
      <bottom style="thick">
        <color rgb="FFD5FFE8"/>
      </bottom>
      <diagonal/>
    </border>
    <border>
      <left/>
      <right/>
      <top/>
      <bottom style="thick">
        <color indexed="64"/>
      </bottom>
      <diagonal/>
    </border>
    <border>
      <left/>
      <right/>
      <top/>
      <bottom style="double">
        <color rgb="FF501E6E"/>
      </bottom>
      <diagonal/>
    </border>
    <border>
      <left/>
      <right style="thin">
        <color rgb="FF00B050"/>
      </right>
      <top style="medium">
        <color rgb="FF00B050"/>
      </top>
      <bottom style="thin">
        <color rgb="FF00B050"/>
      </bottom>
      <diagonal/>
    </border>
    <border>
      <left/>
      <right style="thin">
        <color rgb="FF00B050"/>
      </right>
      <top style="thin">
        <color rgb="FF00B050"/>
      </top>
      <bottom style="thin">
        <color rgb="FF00B050"/>
      </bottom>
      <diagonal/>
    </border>
    <border>
      <left/>
      <right style="thin">
        <color rgb="FF00B050"/>
      </right>
      <top style="thin">
        <color rgb="FF00B050"/>
      </top>
      <bottom style="medium">
        <color rgb="FF00B050"/>
      </bottom>
      <diagonal/>
    </border>
    <border>
      <left style="medium">
        <color rgb="FFFF0000"/>
      </left>
      <right style="thin">
        <color theme="0" tint="-0.34998626667073579"/>
      </right>
      <top style="medium">
        <color rgb="FFFF0000"/>
      </top>
      <bottom style="thin">
        <color rgb="FFFF0000"/>
      </bottom>
      <diagonal/>
    </border>
    <border>
      <left style="medium">
        <color rgb="FFFF0000"/>
      </left>
      <right style="thin">
        <color theme="0" tint="-0.34998626667073579"/>
      </right>
      <top style="thin">
        <color rgb="FFFF0000"/>
      </top>
      <bottom style="thin">
        <color rgb="FFFF0000"/>
      </bottom>
      <diagonal/>
    </border>
    <border>
      <left style="medium">
        <color rgb="FFFF0000"/>
      </left>
      <right style="thin">
        <color theme="0" tint="-0.34998626667073579"/>
      </right>
      <top style="thin">
        <color rgb="FFFF0000"/>
      </top>
      <bottom style="medium">
        <color rgb="FFFF0000"/>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rgb="FF99FF99"/>
      </left>
      <right style="double">
        <color rgb="FF99FF99"/>
      </right>
      <top style="medium">
        <color rgb="FF99FF99"/>
      </top>
      <bottom style="double">
        <color rgb="FF99FF99"/>
      </bottom>
      <diagonal/>
    </border>
    <border>
      <left style="double">
        <color rgb="FF99FF99"/>
      </left>
      <right style="double">
        <color rgb="FF99FF99"/>
      </right>
      <top style="medium">
        <color rgb="FF99FF99"/>
      </top>
      <bottom style="double">
        <color rgb="FF99FF99"/>
      </bottom>
      <diagonal/>
    </border>
    <border>
      <left style="double">
        <color rgb="FF99FF99"/>
      </left>
      <right style="medium">
        <color rgb="FF99FF99"/>
      </right>
      <top style="medium">
        <color rgb="FF99FF99"/>
      </top>
      <bottom style="double">
        <color rgb="FF99FF99"/>
      </bottom>
      <diagonal/>
    </border>
    <border>
      <left style="medium">
        <color rgb="FF99FF99"/>
      </left>
      <right style="double">
        <color rgb="FF99FF99"/>
      </right>
      <top style="double">
        <color rgb="FF99FF99"/>
      </top>
      <bottom style="double">
        <color rgb="FF99FF99"/>
      </bottom>
      <diagonal/>
    </border>
    <border>
      <left style="double">
        <color rgb="FF99FF99"/>
      </left>
      <right style="double">
        <color rgb="FF99FF99"/>
      </right>
      <top style="double">
        <color rgb="FF99FF99"/>
      </top>
      <bottom style="double">
        <color rgb="FF99FF99"/>
      </bottom>
      <diagonal/>
    </border>
    <border>
      <left style="double">
        <color rgb="FF99FF99"/>
      </left>
      <right style="medium">
        <color rgb="FF99FF99"/>
      </right>
      <top style="double">
        <color rgb="FF99FF99"/>
      </top>
      <bottom style="double">
        <color rgb="FF99FF99"/>
      </bottom>
      <diagonal/>
    </border>
    <border>
      <left style="medium">
        <color rgb="FF99FF99"/>
      </left>
      <right style="double">
        <color rgb="FF99FF99"/>
      </right>
      <top style="double">
        <color rgb="FF99FF99"/>
      </top>
      <bottom style="medium">
        <color rgb="FF99FF99"/>
      </bottom>
      <diagonal/>
    </border>
    <border>
      <left style="double">
        <color rgb="FF99FF99"/>
      </left>
      <right style="double">
        <color rgb="FF99FF99"/>
      </right>
      <top style="double">
        <color rgb="FF99FF99"/>
      </top>
      <bottom style="medium">
        <color rgb="FF99FF99"/>
      </bottom>
      <diagonal/>
    </border>
    <border>
      <left style="double">
        <color rgb="FF99FF99"/>
      </left>
      <right style="medium">
        <color rgb="FF99FF99"/>
      </right>
      <top style="double">
        <color rgb="FF99FF99"/>
      </top>
      <bottom style="medium">
        <color rgb="FF99FF99"/>
      </bottom>
      <diagonal/>
    </border>
    <border>
      <left style="medium">
        <color theme="7" tint="0.39994506668294322"/>
      </left>
      <right/>
      <top style="medium">
        <color theme="7" tint="0.39994506668294322"/>
      </top>
      <bottom/>
      <diagonal/>
    </border>
    <border>
      <left/>
      <right/>
      <top style="medium">
        <color theme="7" tint="0.39994506668294322"/>
      </top>
      <bottom/>
      <diagonal/>
    </border>
    <border>
      <left/>
      <right style="medium">
        <color theme="7" tint="0.39994506668294322"/>
      </right>
      <top style="medium">
        <color theme="7" tint="0.39994506668294322"/>
      </top>
      <bottom/>
      <diagonal/>
    </border>
    <border>
      <left style="medium">
        <color theme="7" tint="0.39994506668294322"/>
      </left>
      <right/>
      <top/>
      <bottom/>
      <diagonal/>
    </border>
    <border>
      <left/>
      <right style="medium">
        <color theme="7" tint="0.39994506668294322"/>
      </right>
      <top/>
      <bottom/>
      <diagonal/>
    </border>
    <border>
      <left style="medium">
        <color theme="7" tint="0.39994506668294322"/>
      </left>
      <right/>
      <top/>
      <bottom style="medium">
        <color theme="7" tint="0.39994506668294322"/>
      </bottom>
      <diagonal/>
    </border>
    <border>
      <left/>
      <right style="medium">
        <color theme="7" tint="0.39994506668294322"/>
      </right>
      <top/>
      <bottom style="medium">
        <color theme="7" tint="0.39994506668294322"/>
      </bottom>
      <diagonal/>
    </border>
    <border>
      <left/>
      <right/>
      <top/>
      <bottom style="medium">
        <color indexed="64"/>
      </bottom>
      <diagonal/>
    </border>
    <border>
      <left style="medium">
        <color theme="7" tint="0.79998168889431442"/>
      </left>
      <right style="medium">
        <color theme="7" tint="0.79998168889431442"/>
      </right>
      <top style="medium">
        <color theme="7" tint="0.79998168889431442"/>
      </top>
      <bottom style="medium">
        <color theme="7" tint="0.79998168889431442"/>
      </bottom>
      <diagonal/>
    </border>
    <border>
      <left style="medium">
        <color theme="7" tint="0.79998168889431442"/>
      </left>
      <right/>
      <top style="medium">
        <color theme="7" tint="0.79998168889431442"/>
      </top>
      <bottom style="medium">
        <color theme="7" tint="0.79998168889431442"/>
      </bottom>
      <diagonal/>
    </border>
    <border>
      <left/>
      <right/>
      <top style="medium">
        <color theme="7" tint="0.79998168889431442"/>
      </top>
      <bottom style="medium">
        <color theme="7" tint="0.79998168889431442"/>
      </bottom>
      <diagonal/>
    </border>
    <border>
      <left/>
      <right style="medium">
        <color theme="7" tint="0.79998168889431442"/>
      </right>
      <top style="medium">
        <color theme="7" tint="0.79998168889431442"/>
      </top>
      <bottom style="medium">
        <color theme="7" tint="0.79998168889431442"/>
      </bottom>
      <diagonal/>
    </border>
    <border>
      <left style="thick">
        <color rgb="FFEAE3D2"/>
      </left>
      <right style="thick">
        <color rgb="FFEAE3D2"/>
      </right>
      <top/>
      <bottom/>
      <diagonal/>
    </border>
    <border>
      <left style="thin">
        <color rgb="FFFFE699"/>
      </left>
      <right/>
      <top style="thin">
        <color rgb="FFFFE699"/>
      </top>
      <bottom style="medium">
        <color rgb="FFFFE699"/>
      </bottom>
      <diagonal/>
    </border>
    <border>
      <left/>
      <right style="thin">
        <color rgb="FFFFE699"/>
      </right>
      <top style="thin">
        <color rgb="FFFFE699"/>
      </top>
      <bottom style="medium">
        <color rgb="FFFFE699"/>
      </bottom>
      <diagonal/>
    </border>
    <border>
      <left/>
      <right style="thin">
        <color rgb="FFFFE699"/>
      </right>
      <top/>
      <bottom/>
      <diagonal/>
    </border>
    <border>
      <left/>
      <right style="thick">
        <color rgb="FFEAE3D2"/>
      </right>
      <top/>
      <bottom style="thick">
        <color rgb="FFEAE3D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7" tint="0.79998168889431442"/>
      </left>
      <right/>
      <top/>
      <bottom/>
      <diagonal/>
    </border>
    <border>
      <left/>
      <right/>
      <top/>
      <bottom style="double">
        <color indexed="64"/>
      </bottom>
      <diagonal/>
    </border>
    <border>
      <left/>
      <right/>
      <top/>
      <bottom style="medium">
        <color rgb="FF01FF80"/>
      </bottom>
      <diagonal/>
    </border>
    <border>
      <left style="thick">
        <color rgb="FFCCFFCC"/>
      </left>
      <right/>
      <top style="thick">
        <color rgb="FFCCFFCC"/>
      </top>
      <bottom style="thick">
        <color rgb="FFCCFFCC"/>
      </bottom>
      <diagonal/>
    </border>
    <border>
      <left/>
      <right/>
      <top style="thick">
        <color rgb="FFCCFFCC"/>
      </top>
      <bottom style="thick">
        <color rgb="FFCCFFCC"/>
      </bottom>
      <diagonal/>
    </border>
    <border>
      <left/>
      <right style="thick">
        <color rgb="FFCCFFCC"/>
      </right>
      <top style="thick">
        <color rgb="FFCCFFCC"/>
      </top>
      <bottom style="thick">
        <color rgb="FFCCFFCC"/>
      </bottom>
      <diagonal/>
    </border>
    <border>
      <left style="thin">
        <color theme="7" tint="0.39994506668294322"/>
      </left>
      <right style="thin">
        <color theme="7" tint="0.39994506668294322"/>
      </right>
      <top/>
      <bottom style="thin">
        <color theme="7" tint="0.39994506668294322"/>
      </bottom>
      <diagonal/>
    </border>
    <border>
      <left style="thin">
        <color rgb="FFCCFFCC"/>
      </left>
      <right/>
      <top style="thin">
        <color rgb="FFCCFFCC"/>
      </top>
      <bottom/>
      <diagonal/>
    </border>
    <border>
      <left/>
      <right/>
      <top style="thin">
        <color rgb="FFCCFFCC"/>
      </top>
      <bottom/>
      <diagonal/>
    </border>
    <border>
      <left/>
      <right style="thin">
        <color rgb="FFCCFFCC"/>
      </right>
      <top style="thin">
        <color rgb="FFCCFFCC"/>
      </top>
      <bottom/>
      <diagonal/>
    </border>
    <border>
      <left style="thin">
        <color rgb="FFCCFFCC"/>
      </left>
      <right/>
      <top/>
      <bottom/>
      <diagonal/>
    </border>
    <border>
      <left/>
      <right style="thin">
        <color rgb="FFCCFFCC"/>
      </right>
      <top/>
      <bottom/>
      <diagonal/>
    </border>
    <border>
      <left style="thin">
        <color rgb="FFCCFFCC"/>
      </left>
      <right/>
      <top/>
      <bottom style="thin">
        <color rgb="FFCCFFCC"/>
      </bottom>
      <diagonal/>
    </border>
    <border>
      <left/>
      <right/>
      <top/>
      <bottom style="thin">
        <color rgb="FFCCFFCC"/>
      </bottom>
      <diagonal/>
    </border>
    <border>
      <left/>
      <right style="thin">
        <color rgb="FFCCFFCC"/>
      </right>
      <top/>
      <bottom style="thin">
        <color rgb="FFCCFFCC"/>
      </bottom>
      <diagonal/>
    </border>
    <border>
      <left style="medium">
        <color theme="7" tint="0.79995117038483843"/>
      </left>
      <right/>
      <top style="medium">
        <color theme="7" tint="0.79995117038483843"/>
      </top>
      <bottom style="medium">
        <color theme="7" tint="0.79995117038483843"/>
      </bottom>
      <diagonal/>
    </border>
    <border>
      <left/>
      <right style="medium">
        <color theme="7" tint="0.79995117038483843"/>
      </right>
      <top style="medium">
        <color theme="7" tint="0.79995117038483843"/>
      </top>
      <bottom style="medium">
        <color theme="7" tint="0.79995117038483843"/>
      </bottom>
      <diagonal/>
    </border>
    <border>
      <left style="medium">
        <color rgb="FFEBFFF5"/>
      </left>
      <right style="medium">
        <color rgb="FFEBFFF5"/>
      </right>
      <top style="medium">
        <color rgb="FFEBFFF5"/>
      </top>
      <bottom style="medium">
        <color rgb="FFEBFFF5"/>
      </bottom>
      <diagonal/>
    </border>
    <border>
      <left style="medium">
        <color rgb="FFEBFFF5"/>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ck">
        <color rgb="FFCCFFCC"/>
      </top>
      <bottom/>
      <diagonal/>
    </border>
    <border>
      <left/>
      <right/>
      <top/>
      <bottom style="thick">
        <color rgb="FFCCFFCC"/>
      </bottom>
      <diagonal/>
    </border>
    <border>
      <left style="thin">
        <color theme="0" tint="-0.24994659260841701"/>
      </left>
      <right/>
      <top style="thin">
        <color theme="0" tint="-0.24994659260841701"/>
      </top>
      <bottom/>
      <diagonal/>
    </border>
    <border>
      <left/>
      <right/>
      <top style="thin">
        <color theme="0" tint="-0.24994659260841701"/>
      </top>
      <bottom/>
      <diagonal/>
    </border>
    <border>
      <left style="thin">
        <color theme="0" tint="-0.24994659260841701"/>
      </left>
      <right/>
      <top/>
      <bottom/>
      <diagonal/>
    </border>
    <border>
      <left/>
      <right/>
      <top/>
      <bottom style="medium">
        <color rgb="FF99FF99"/>
      </bottom>
      <diagonal/>
    </border>
    <border>
      <left/>
      <right style="thick">
        <color rgb="FFCCFFCC"/>
      </right>
      <top style="thick">
        <color rgb="FFCCFFCC"/>
      </top>
      <bottom/>
      <diagonal/>
    </border>
    <border>
      <left/>
      <right style="thick">
        <color rgb="FFCCFFCC"/>
      </right>
      <top/>
      <bottom style="thick">
        <color rgb="FFCCFFCC"/>
      </bottom>
      <diagonal/>
    </border>
    <border>
      <left/>
      <right style="thick">
        <color rgb="FFCCFFCC"/>
      </right>
      <top/>
      <bottom/>
      <diagonal/>
    </border>
    <border>
      <left/>
      <right/>
      <top style="thin">
        <color rgb="FF23B98C"/>
      </top>
      <bottom/>
      <diagonal/>
    </border>
    <border>
      <left/>
      <right style="thin">
        <color rgb="FF23B98C"/>
      </right>
      <top style="thin">
        <color rgb="FF23B98C"/>
      </top>
      <bottom/>
      <diagonal/>
    </border>
    <border>
      <left/>
      <right style="thin">
        <color rgb="FF23B98C"/>
      </right>
      <top/>
      <bottom/>
      <diagonal/>
    </border>
    <border>
      <left/>
      <right/>
      <top/>
      <bottom style="thin">
        <color rgb="FF23B98C"/>
      </bottom>
      <diagonal/>
    </border>
    <border>
      <left/>
      <right style="thin">
        <color rgb="FF23B98C"/>
      </right>
      <top/>
      <bottom style="thin">
        <color rgb="FF23B98C"/>
      </bottom>
      <diagonal/>
    </border>
    <border>
      <left style="thick">
        <color rgb="FFEBFFF5"/>
      </left>
      <right style="thick">
        <color rgb="FFEBFFF5"/>
      </right>
      <top style="thick">
        <color rgb="FFEBFFF5"/>
      </top>
      <bottom/>
      <diagonal/>
    </border>
    <border>
      <left style="thick">
        <color rgb="FFEBFFF5"/>
      </left>
      <right style="thick">
        <color rgb="FFEBFFF5"/>
      </right>
      <top/>
      <bottom style="thick">
        <color rgb="FFEBFFF5"/>
      </bottom>
      <diagonal/>
    </border>
    <border>
      <left style="double">
        <color rgb="FF99FF99"/>
      </left>
      <right/>
      <top style="double">
        <color rgb="FF99FF99"/>
      </top>
      <bottom/>
      <diagonal/>
    </border>
    <border>
      <left/>
      <right/>
      <top style="double">
        <color rgb="FF99FF99"/>
      </top>
      <bottom/>
      <diagonal/>
    </border>
    <border>
      <left/>
      <right style="double">
        <color rgb="FF99FF99"/>
      </right>
      <top style="double">
        <color rgb="FF99FF99"/>
      </top>
      <bottom/>
      <diagonal/>
    </border>
    <border>
      <left style="double">
        <color rgb="FF99FF99"/>
      </left>
      <right/>
      <top/>
      <bottom/>
      <diagonal/>
    </border>
    <border>
      <left/>
      <right style="double">
        <color rgb="FF99FF99"/>
      </right>
      <top/>
      <bottom/>
      <diagonal/>
    </border>
    <border>
      <left style="double">
        <color rgb="FF99FF99"/>
      </left>
      <right/>
      <top/>
      <bottom style="double">
        <color rgb="FF99FF99"/>
      </bottom>
      <diagonal/>
    </border>
    <border>
      <left/>
      <right/>
      <top/>
      <bottom style="double">
        <color rgb="FF99FF99"/>
      </bottom>
      <diagonal/>
    </border>
    <border>
      <left/>
      <right style="double">
        <color rgb="FF99FF99"/>
      </right>
      <top/>
      <bottom style="double">
        <color rgb="FF99FF99"/>
      </bottom>
      <diagonal/>
    </border>
    <border>
      <left/>
      <right style="medium">
        <color rgb="FFEAE3D2"/>
      </right>
      <top/>
      <bottom/>
      <diagonal/>
    </border>
    <border>
      <left style="medium">
        <color rgb="FFEAE3D2"/>
      </left>
      <right style="medium">
        <color rgb="FFEAE3D2"/>
      </right>
      <top/>
      <bottom/>
      <diagonal/>
    </border>
    <border>
      <left style="medium">
        <color rgb="FFEAE3D2"/>
      </left>
      <right/>
      <top/>
      <bottom/>
      <diagonal/>
    </border>
    <border>
      <left/>
      <right/>
      <top style="medium">
        <color rgb="FFD5FFE8"/>
      </top>
      <bottom style="medium">
        <color rgb="FFD5FFE8"/>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499984740745262"/>
      </left>
      <right style="thin">
        <color theme="1" tint="0.499984740745262"/>
      </right>
      <top/>
      <bottom style="thin">
        <color indexed="64"/>
      </bottom>
      <diagonal/>
    </border>
    <border>
      <left style="thin">
        <color theme="1" tint="0.499984740745262"/>
      </left>
      <right/>
      <top/>
      <bottom style="thin">
        <color indexed="64"/>
      </bottom>
      <diagonal/>
    </border>
    <border>
      <left/>
      <right style="thin">
        <color theme="1" tint="0.499984740745262"/>
      </right>
      <top style="thin">
        <color theme="1" tint="0.499984740745262"/>
      </top>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dotted">
        <color theme="0" tint="-0.24994659260841701"/>
      </bottom>
      <diagonal/>
    </border>
    <border>
      <left style="thin">
        <color theme="1" tint="0.499984740745262"/>
      </left>
      <right/>
      <top/>
      <bottom style="dotted">
        <color theme="0" tint="-0.24994659260841701"/>
      </bottom>
      <diagonal/>
    </border>
    <border>
      <left/>
      <right style="thin">
        <color theme="1" tint="0.499984740745262"/>
      </right>
      <top/>
      <bottom style="dotted">
        <color theme="0" tint="-0.24994659260841701"/>
      </bottom>
      <diagonal/>
    </border>
    <border>
      <left style="thin">
        <color theme="1" tint="0.499984740745262"/>
      </left>
      <right style="thin">
        <color theme="1" tint="0.499984740745262"/>
      </right>
      <top style="dotted">
        <color theme="0" tint="-0.24994659260841701"/>
      </top>
      <bottom/>
      <diagonal/>
    </border>
    <border>
      <left style="thin">
        <color theme="1" tint="0.499984740745262"/>
      </left>
      <right/>
      <top style="dotted">
        <color theme="0" tint="-0.24994659260841701"/>
      </top>
      <bottom/>
      <diagonal/>
    </border>
    <border>
      <left/>
      <right style="thin">
        <color theme="1" tint="0.499984740745262"/>
      </right>
      <top style="dotted">
        <color theme="0" tint="-0.24994659260841701"/>
      </top>
      <bottom/>
      <diagonal/>
    </border>
    <border>
      <left style="medium">
        <color rgb="FFDBFD9F"/>
      </left>
      <right/>
      <top style="medium">
        <color rgb="FFDBFD9F"/>
      </top>
      <bottom style="medium">
        <color rgb="FFDBFD9F"/>
      </bottom>
      <diagonal/>
    </border>
    <border>
      <left/>
      <right/>
      <top style="medium">
        <color rgb="FFDBFD9F"/>
      </top>
      <bottom style="medium">
        <color rgb="FFDBFD9F"/>
      </bottom>
      <diagonal/>
    </border>
    <border>
      <left/>
      <right style="medium">
        <color rgb="FFDBFD9F"/>
      </right>
      <top style="medium">
        <color rgb="FFDBFD9F"/>
      </top>
      <bottom style="medium">
        <color rgb="FFDBFD9F"/>
      </bottom>
      <diagonal/>
    </border>
    <border>
      <left/>
      <right style="medium">
        <color theme="0" tint="-0.499984740745262"/>
      </right>
      <top/>
      <bottom/>
      <diagonal/>
    </border>
    <border>
      <left/>
      <right/>
      <top style="thick">
        <color rgb="FF461E64"/>
      </top>
      <bottom style="thick">
        <color rgb="FF461E64"/>
      </bottom>
      <diagonal/>
    </border>
    <border>
      <left style="thick">
        <color rgb="FF002060"/>
      </left>
      <right style="thick">
        <color rgb="FF002060"/>
      </right>
      <top style="thick">
        <color rgb="FF461E64"/>
      </top>
      <bottom style="thick">
        <color rgb="FF461E64"/>
      </bottom>
      <diagonal/>
    </border>
    <border>
      <left/>
      <right style="thick">
        <color rgb="FF461E64"/>
      </right>
      <top style="thick">
        <color rgb="FF461E64"/>
      </top>
      <bottom style="thick">
        <color rgb="FF461E64"/>
      </bottom>
      <diagonal/>
    </border>
    <border>
      <left/>
      <right/>
      <top/>
      <bottom style="medium">
        <color theme="1" tint="0.499984740745262"/>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applyNumberFormat="0" applyFill="0" applyBorder="0" applyAlignment="0" applyProtection="0"/>
    <xf numFmtId="0" fontId="135" fillId="0" borderId="0" applyNumberFormat="0" applyFill="0" applyBorder="0" applyAlignment="0" applyProtection="0">
      <alignment vertical="top"/>
      <protection locked="0"/>
    </xf>
  </cellStyleXfs>
  <cellXfs count="1201">
    <xf numFmtId="0" fontId="0" fillId="0" borderId="0" xfId="0"/>
    <xf numFmtId="0" fontId="5" fillId="3" borderId="0" xfId="0" applyFont="1" applyFill="1"/>
    <xf numFmtId="9" fontId="6" fillId="4" borderId="1" xfId="0" applyNumberFormat="1" applyFont="1" applyFill="1" applyBorder="1" applyAlignment="1">
      <alignment horizontal="center" vertical="center"/>
    </xf>
    <xf numFmtId="0" fontId="8" fillId="3" borderId="0" xfId="0" applyFont="1" applyFill="1" applyAlignment="1">
      <alignment horizontal="center"/>
    </xf>
    <xf numFmtId="0" fontId="5" fillId="5" borderId="0" xfId="0" applyFont="1" applyFill="1"/>
    <xf numFmtId="0" fontId="9" fillId="0" borderId="0" xfId="0" applyFont="1"/>
    <xf numFmtId="0" fontId="10" fillId="0" borderId="0" xfId="0" applyFont="1"/>
    <xf numFmtId="0" fontId="5" fillId="6" borderId="0" xfId="0" applyFont="1" applyFill="1"/>
    <xf numFmtId="0" fontId="5" fillId="7" borderId="0" xfId="0" applyFont="1" applyFill="1"/>
    <xf numFmtId="0" fontId="5" fillId="8" borderId="0" xfId="0" applyFont="1" applyFill="1"/>
    <xf numFmtId="0" fontId="5" fillId="9" borderId="0" xfId="0" applyFont="1" applyFill="1"/>
    <xf numFmtId="0" fontId="5" fillId="10" borderId="0" xfId="0" applyFont="1" applyFill="1"/>
    <xf numFmtId="0" fontId="11" fillId="0" borderId="0" xfId="5" applyFont="1" applyAlignment="1">
      <alignment horizontal="center" vertical="center"/>
    </xf>
    <xf numFmtId="0" fontId="8" fillId="3" borderId="0" xfId="0" applyFont="1" applyFill="1" applyAlignment="1">
      <alignment horizontal="center" vertical="center"/>
    </xf>
    <xf numFmtId="2" fontId="5" fillId="0" borderId="0" xfId="0" applyNumberFormat="1" applyFont="1"/>
    <xf numFmtId="0" fontId="13" fillId="12" borderId="0" xfId="0" applyFont="1" applyFill="1" applyAlignment="1">
      <alignment vertical="center"/>
    </xf>
    <xf numFmtId="0" fontId="15" fillId="3" borderId="0" xfId="0" applyFont="1" applyFill="1"/>
    <xf numFmtId="14" fontId="16" fillId="3" borderId="0" xfId="0" applyNumberFormat="1" applyFont="1" applyFill="1" applyAlignment="1">
      <alignment horizontal="right" vertical="center" indent="1"/>
    </xf>
    <xf numFmtId="14" fontId="17" fillId="3" borderId="0" xfId="0" applyNumberFormat="1" applyFont="1" applyFill="1" applyAlignment="1">
      <alignment horizontal="right" vertical="center" indent="1"/>
    </xf>
    <xf numFmtId="0" fontId="18" fillId="3" borderId="0" xfId="0" applyFont="1" applyFill="1" applyAlignment="1">
      <alignment horizontal="right"/>
    </xf>
    <xf numFmtId="0" fontId="5" fillId="5" borderId="5" xfId="0" applyFont="1" applyFill="1" applyBorder="1" applyAlignment="1">
      <alignment horizontal="left" indent="1" shrinkToFit="1"/>
    </xf>
    <xf numFmtId="0" fontId="7" fillId="3" borderId="0" xfId="0" applyFont="1" applyFill="1"/>
    <xf numFmtId="0" fontId="22" fillId="3" borderId="0" xfId="0" applyFont="1" applyFill="1"/>
    <xf numFmtId="0" fontId="5" fillId="0" borderId="0" xfId="0" applyFont="1" applyAlignment="1">
      <alignment vertical="top"/>
    </xf>
    <xf numFmtId="0" fontId="23" fillId="3" borderId="0" xfId="0" applyFont="1" applyFill="1" applyAlignment="1">
      <alignment horizontal="right" vertical="center" indent="1"/>
    </xf>
    <xf numFmtId="164" fontId="26" fillId="3" borderId="0" xfId="2" applyNumberFormat="1" applyFont="1" applyFill="1" applyAlignment="1">
      <alignment vertical="center"/>
    </xf>
    <xf numFmtId="164" fontId="27" fillId="3" borderId="0" xfId="2" applyNumberFormat="1" applyFont="1" applyFill="1" applyAlignment="1">
      <alignment vertical="center"/>
    </xf>
    <xf numFmtId="164" fontId="28" fillId="3" borderId="0" xfId="2" applyNumberFormat="1" applyFont="1" applyFill="1" applyAlignment="1">
      <alignment horizontal="center" vertical="center"/>
    </xf>
    <xf numFmtId="0" fontId="31" fillId="0" borderId="0" xfId="0" applyFont="1" applyAlignment="1">
      <alignment horizontal="left" vertical="center" indent="1"/>
    </xf>
    <xf numFmtId="0" fontId="5" fillId="0" borderId="11" xfId="0" applyFont="1" applyBorder="1"/>
    <xf numFmtId="0" fontId="5" fillId="0" borderId="12" xfId="0" applyFont="1" applyBorder="1"/>
    <xf numFmtId="0" fontId="5" fillId="0" borderId="13" xfId="0" applyFont="1" applyBorder="1"/>
    <xf numFmtId="0" fontId="32" fillId="14" borderId="0" xfId="0" applyFont="1" applyFill="1" applyAlignment="1">
      <alignment horizontal="left" indent="1"/>
    </xf>
    <xf numFmtId="0" fontId="33" fillId="14" borderId="0" xfId="0" applyFont="1" applyFill="1" applyAlignment="1">
      <alignment horizontal="left" indent="1"/>
    </xf>
    <xf numFmtId="0" fontId="37" fillId="3" borderId="0" xfId="0" applyFont="1" applyFill="1"/>
    <xf numFmtId="0" fontId="5" fillId="3" borderId="0" xfId="0" applyFont="1" applyFill="1" applyAlignment="1">
      <alignment horizontal="left" vertical="top"/>
    </xf>
    <xf numFmtId="0" fontId="39" fillId="3" borderId="0" xfId="0" applyFont="1" applyFill="1"/>
    <xf numFmtId="0" fontId="37" fillId="3" borderId="0" xfId="0" applyFont="1" applyFill="1" applyAlignment="1">
      <alignment horizontal="left" indent="1"/>
    </xf>
    <xf numFmtId="0" fontId="38" fillId="3" borderId="0" xfId="0" applyFont="1" applyFill="1" applyAlignment="1">
      <alignment horizontal="left" vertical="top" indent="1"/>
    </xf>
    <xf numFmtId="0" fontId="40" fillId="15" borderId="0" xfId="0" applyFont="1" applyFill="1" applyAlignment="1">
      <alignment horizontal="center" vertical="center"/>
    </xf>
    <xf numFmtId="0" fontId="40" fillId="15" borderId="0" xfId="0" applyFont="1" applyFill="1" applyAlignment="1">
      <alignment horizontal="left" vertical="center"/>
    </xf>
    <xf numFmtId="0" fontId="41" fillId="16" borderId="0" xfId="0" applyFont="1" applyFill="1" applyAlignment="1">
      <alignment horizontal="left" vertical="top"/>
    </xf>
    <xf numFmtId="0" fontId="40" fillId="16" borderId="0" xfId="0" applyFont="1" applyFill="1" applyAlignment="1">
      <alignment horizontal="left" vertical="top" shrinkToFit="1"/>
    </xf>
    <xf numFmtId="0" fontId="42" fillId="17" borderId="17" xfId="0" applyFont="1" applyFill="1" applyBorder="1" applyAlignment="1">
      <alignment horizontal="right" vertical="center" indent="1"/>
    </xf>
    <xf numFmtId="0" fontId="43" fillId="0" borderId="0" xfId="0" applyFont="1" applyAlignment="1">
      <alignment horizontal="left" indent="1"/>
    </xf>
    <xf numFmtId="0" fontId="44" fillId="17" borderId="0" xfId="0" applyFont="1" applyFill="1"/>
    <xf numFmtId="14" fontId="5" fillId="5" borderId="17" xfId="0" applyNumberFormat="1" applyFont="1" applyFill="1" applyBorder="1" applyAlignment="1">
      <alignment horizontal="left" indent="1"/>
    </xf>
    <xf numFmtId="0" fontId="5" fillId="5" borderId="17" xfId="0" applyFont="1" applyFill="1" applyBorder="1"/>
    <xf numFmtId="0" fontId="5" fillId="0" borderId="0" xfId="0" applyFont="1"/>
    <xf numFmtId="0" fontId="5" fillId="18" borderId="0" xfId="0" applyFont="1" applyFill="1"/>
    <xf numFmtId="0" fontId="5" fillId="11" borderId="0" xfId="0" applyFont="1" applyFill="1"/>
    <xf numFmtId="2" fontId="46" fillId="11" borderId="0" xfId="0" applyNumberFormat="1" applyFont="1" applyFill="1"/>
    <xf numFmtId="0" fontId="46" fillId="0" borderId="0" xfId="0" applyFont="1"/>
    <xf numFmtId="0" fontId="46" fillId="11" borderId="0" xfId="0" applyFont="1" applyFill="1"/>
    <xf numFmtId="0" fontId="5" fillId="5" borderId="17" xfId="0" applyFont="1" applyFill="1" applyBorder="1" applyAlignment="1">
      <alignment horizontal="left" indent="1"/>
    </xf>
    <xf numFmtId="0" fontId="42" fillId="17" borderId="17" xfId="0" applyFont="1" applyFill="1" applyBorder="1" applyAlignment="1">
      <alignment horizontal="left" vertical="center" indent="2"/>
    </xf>
    <xf numFmtId="0" fontId="42" fillId="17" borderId="17" xfId="0" applyFont="1" applyFill="1" applyBorder="1" applyAlignment="1">
      <alignment horizontal="left" vertical="center"/>
    </xf>
    <xf numFmtId="0" fontId="44" fillId="17" borderId="0" xfId="0" applyFont="1" applyFill="1" applyAlignment="1">
      <alignment vertical="center"/>
    </xf>
    <xf numFmtId="0" fontId="5" fillId="17" borderId="0" xfId="0" applyFont="1" applyFill="1" applyAlignment="1">
      <alignment vertical="top" wrapText="1"/>
    </xf>
    <xf numFmtId="0" fontId="5" fillId="5" borderId="17" xfId="0" applyFont="1" applyFill="1" applyBorder="1" applyAlignment="1">
      <alignment horizontal="left" vertical="top" wrapText="1"/>
    </xf>
    <xf numFmtId="0" fontId="38" fillId="5" borderId="17" xfId="0" applyFont="1" applyFill="1" applyBorder="1" applyAlignment="1">
      <alignment vertical="top" wrapText="1"/>
    </xf>
    <xf numFmtId="0" fontId="5" fillId="3" borderId="0" xfId="0" applyFont="1" applyFill="1" applyAlignment="1">
      <alignment vertical="top" wrapText="1"/>
    </xf>
    <xf numFmtId="0" fontId="5" fillId="5" borderId="0" xfId="0" applyFont="1" applyFill="1" applyAlignment="1">
      <alignment vertical="top" wrapText="1"/>
    </xf>
    <xf numFmtId="0" fontId="5" fillId="0" borderId="0" xfId="0" applyFont="1" applyAlignment="1">
      <alignment vertical="top" wrapText="1"/>
    </xf>
    <xf numFmtId="2" fontId="5" fillId="0" borderId="0" xfId="0" applyNumberFormat="1" applyFont="1" applyAlignment="1">
      <alignment vertical="top" wrapText="1"/>
    </xf>
    <xf numFmtId="0" fontId="47" fillId="17" borderId="0" xfId="0" applyFont="1" applyFill="1" applyAlignment="1">
      <alignment horizontal="left"/>
    </xf>
    <xf numFmtId="0" fontId="48" fillId="19" borderId="0" xfId="0" applyFont="1" applyFill="1" applyAlignment="1">
      <alignment horizontal="center" vertical="center"/>
    </xf>
    <xf numFmtId="0" fontId="5" fillId="5" borderId="17" xfId="0" applyFont="1" applyFill="1" applyBorder="1" applyAlignment="1">
      <alignment horizontal="left" indent="1" shrinkToFit="1"/>
    </xf>
    <xf numFmtId="0" fontId="3" fillId="0" borderId="0" xfId="0" applyFont="1"/>
    <xf numFmtId="0" fontId="49" fillId="0" borderId="0" xfId="0" applyFont="1"/>
    <xf numFmtId="0" fontId="44" fillId="17" borderId="0" xfId="0" applyFont="1" applyFill="1" applyAlignment="1">
      <alignment horizontal="center" vertical="center"/>
    </xf>
    <xf numFmtId="14" fontId="5" fillId="5" borderId="17" xfId="0" applyNumberFormat="1" applyFont="1" applyFill="1" applyBorder="1" applyAlignment="1">
      <alignment horizontal="center" vertical="center"/>
    </xf>
    <xf numFmtId="0" fontId="44" fillId="17" borderId="0" xfId="0" applyFont="1" applyFill="1" applyAlignment="1">
      <alignment horizontal="left"/>
    </xf>
    <xf numFmtId="0" fontId="44" fillId="17" borderId="0" xfId="0" applyFont="1" applyFill="1" applyAlignment="1">
      <alignment horizontal="left" indent="1"/>
    </xf>
    <xf numFmtId="164" fontId="0" fillId="0" borderId="0" xfId="0" applyNumberFormat="1"/>
    <xf numFmtId="0" fontId="5" fillId="20" borderId="0" xfId="0" applyFont="1" applyFill="1" applyAlignment="1">
      <alignment horizontal="left" indent="1"/>
    </xf>
    <xf numFmtId="0" fontId="44" fillId="20" borderId="0" xfId="0" applyFont="1" applyFill="1"/>
    <xf numFmtId="0" fontId="5" fillId="5" borderId="17" xfId="0" applyFont="1" applyFill="1" applyBorder="1" applyAlignment="1">
      <alignment horizontal="center" vertical="center"/>
    </xf>
    <xf numFmtId="0" fontId="5" fillId="5" borderId="17" xfId="0" applyFont="1" applyFill="1" applyBorder="1" applyAlignment="1">
      <alignment shrinkToFit="1"/>
    </xf>
    <xf numFmtId="14" fontId="5" fillId="5" borderId="17" xfId="0" applyNumberFormat="1" applyFont="1" applyFill="1" applyBorder="1"/>
    <xf numFmtId="0" fontId="5" fillId="0" borderId="0" xfId="0" applyFont="1" applyAlignment="1">
      <alignment horizontal="center" vertical="center" shrinkToFit="1"/>
    </xf>
    <xf numFmtId="0" fontId="38" fillId="5" borderId="17" xfId="0" applyFont="1" applyFill="1" applyBorder="1" applyAlignment="1">
      <alignment horizontal="left" indent="1" shrinkToFit="1"/>
    </xf>
    <xf numFmtId="0" fontId="5" fillId="21" borderId="0" xfId="0" applyFont="1" applyFill="1"/>
    <xf numFmtId="0" fontId="46" fillId="21" borderId="22" xfId="0" applyFont="1" applyFill="1" applyBorder="1"/>
    <xf numFmtId="0" fontId="4" fillId="21" borderId="0" xfId="5" applyFill="1"/>
    <xf numFmtId="0" fontId="47" fillId="17" borderId="0" xfId="0" applyFont="1" applyFill="1" applyAlignment="1">
      <alignment horizontal="left" indent="1"/>
    </xf>
    <xf numFmtId="0" fontId="5" fillId="17" borderId="0" xfId="0" applyFont="1" applyFill="1" applyAlignment="1">
      <alignment horizontal="left" indent="1"/>
    </xf>
    <xf numFmtId="0" fontId="42" fillId="17" borderId="0" xfId="0" applyFont="1" applyFill="1"/>
    <xf numFmtId="165" fontId="5" fillId="0" borderId="0" xfId="0" applyNumberFormat="1" applyFont="1" applyAlignment="1">
      <alignment shrinkToFit="1"/>
    </xf>
    <xf numFmtId="0" fontId="5" fillId="5" borderId="17" xfId="0" applyFont="1" applyFill="1" applyBorder="1" applyAlignment="1">
      <alignment horizontal="right" shrinkToFit="1"/>
    </xf>
    <xf numFmtId="0" fontId="5" fillId="5" borderId="17" xfId="0" applyFont="1" applyFill="1" applyBorder="1" applyAlignment="1">
      <alignment horizontal="right"/>
    </xf>
    <xf numFmtId="0" fontId="5" fillId="22" borderId="0" xfId="0" applyFont="1" applyFill="1"/>
    <xf numFmtId="0" fontId="5" fillId="5" borderId="17" xfId="0" applyFont="1" applyFill="1" applyBorder="1" applyAlignment="1">
      <alignment horizontal="center" vertical="center" shrinkToFit="1"/>
    </xf>
    <xf numFmtId="14" fontId="5" fillId="5" borderId="17" xfId="0" applyNumberFormat="1" applyFont="1" applyFill="1" applyBorder="1" applyAlignment="1">
      <alignment shrinkToFit="1"/>
    </xf>
    <xf numFmtId="0" fontId="5" fillId="17" borderId="0" xfId="0" applyFont="1" applyFill="1"/>
    <xf numFmtId="0" fontId="50" fillId="24" borderId="0" xfId="0" applyFont="1" applyFill="1"/>
    <xf numFmtId="0" fontId="5" fillId="24" borderId="0" xfId="0" applyFont="1" applyFill="1"/>
    <xf numFmtId="0" fontId="41" fillId="16" borderId="0" xfId="0" applyFont="1" applyFill="1" applyAlignment="1">
      <alignment horizontal="left" vertical="center" indent="1"/>
    </xf>
    <xf numFmtId="0" fontId="5" fillId="16" borderId="0" xfId="0" applyFont="1" applyFill="1" applyAlignment="1">
      <alignment vertical="center"/>
    </xf>
    <xf numFmtId="0" fontId="40" fillId="16" borderId="0" xfId="0" applyFont="1" applyFill="1" applyAlignment="1">
      <alignment horizontal="left" vertical="center" shrinkToFit="1"/>
    </xf>
    <xf numFmtId="0" fontId="52" fillId="0" borderId="0" xfId="0" applyFont="1"/>
    <xf numFmtId="2" fontId="5" fillId="0" borderId="0" xfId="0" applyNumberFormat="1" applyFont="1" applyAlignment="1">
      <alignment shrinkToFit="1"/>
    </xf>
    <xf numFmtId="9" fontId="5" fillId="0" borderId="0" xfId="3" applyFont="1"/>
    <xf numFmtId="0" fontId="53" fillId="25" borderId="0" xfId="0" applyFont="1" applyFill="1" applyAlignment="1">
      <alignment vertical="center"/>
    </xf>
    <xf numFmtId="9" fontId="54" fillId="25" borderId="0" xfId="3" applyFont="1" applyFill="1" applyAlignment="1">
      <alignment vertical="center"/>
    </xf>
    <xf numFmtId="0" fontId="24" fillId="25" borderId="0" xfId="0" applyFont="1" applyFill="1"/>
    <xf numFmtId="0" fontId="46" fillId="25" borderId="0" xfId="0" applyFont="1" applyFill="1" applyAlignment="1">
      <alignment vertical="center"/>
    </xf>
    <xf numFmtId="0" fontId="5" fillId="25" borderId="0" xfId="0" applyFont="1" applyFill="1" applyAlignment="1">
      <alignment vertical="center"/>
    </xf>
    <xf numFmtId="0" fontId="5" fillId="5" borderId="0" xfId="0" applyFont="1" applyFill="1" applyAlignment="1">
      <alignment vertical="center"/>
    </xf>
    <xf numFmtId="0" fontId="5" fillId="0" borderId="0" xfId="0" applyFont="1" applyAlignment="1">
      <alignment vertical="center"/>
    </xf>
    <xf numFmtId="2" fontId="5" fillId="10" borderId="0" xfId="0" applyNumberFormat="1" applyFont="1" applyFill="1" applyAlignment="1">
      <alignment vertical="center" shrinkToFit="1"/>
    </xf>
    <xf numFmtId="2" fontId="5" fillId="24" borderId="0" xfId="0" applyNumberFormat="1" applyFont="1" applyFill="1" applyAlignment="1">
      <alignment vertical="center" shrinkToFit="1"/>
    </xf>
    <xf numFmtId="2" fontId="5" fillId="26" borderId="0" xfId="0" applyNumberFormat="1" applyFont="1" applyFill="1" applyAlignment="1">
      <alignment vertical="center" shrinkToFit="1"/>
    </xf>
    <xf numFmtId="2" fontId="5" fillId="27" borderId="0" xfId="0" applyNumberFormat="1" applyFont="1" applyFill="1" applyAlignment="1">
      <alignment vertical="center" shrinkToFit="1"/>
    </xf>
    <xf numFmtId="2" fontId="5" fillId="28" borderId="0" xfId="0" applyNumberFormat="1" applyFont="1" applyFill="1" applyAlignment="1">
      <alignment vertical="center" shrinkToFit="1"/>
    </xf>
    <xf numFmtId="2" fontId="5" fillId="6" borderId="0" xfId="0" applyNumberFormat="1" applyFont="1" applyFill="1" applyAlignment="1">
      <alignment vertical="center" shrinkToFit="1"/>
    </xf>
    <xf numFmtId="2" fontId="46" fillId="0" borderId="0" xfId="0" applyNumberFormat="1" applyFont="1" applyAlignment="1">
      <alignment horizontal="center"/>
    </xf>
    <xf numFmtId="0" fontId="46" fillId="9" borderId="0" xfId="0" applyFont="1" applyFill="1" applyAlignment="1">
      <alignment horizontal="left" vertical="center"/>
    </xf>
    <xf numFmtId="0" fontId="46" fillId="9" borderId="0" xfId="0" applyFont="1" applyFill="1" applyAlignment="1">
      <alignment horizontal="center" vertical="center"/>
    </xf>
    <xf numFmtId="0" fontId="46" fillId="29" borderId="0" xfId="0" applyFont="1" applyFill="1" applyAlignment="1">
      <alignment horizontal="left" vertical="center"/>
    </xf>
    <xf numFmtId="0" fontId="5" fillId="29" borderId="0" xfId="0" applyFont="1" applyFill="1" applyAlignment="1">
      <alignment vertical="center"/>
    </xf>
    <xf numFmtId="0" fontId="5" fillId="25" borderId="0" xfId="0" applyFont="1" applyFill="1"/>
    <xf numFmtId="2" fontId="5" fillId="30" borderId="0" xfId="0" applyNumberFormat="1" applyFont="1" applyFill="1" applyAlignment="1">
      <alignment shrinkToFit="1"/>
    </xf>
    <xf numFmtId="9" fontId="46" fillId="9" borderId="0" xfId="3" applyFont="1" applyFill="1" applyAlignment="1">
      <alignment horizontal="center" vertical="center"/>
    </xf>
    <xf numFmtId="9" fontId="46" fillId="29" borderId="0" xfId="3" applyFont="1" applyFill="1" applyAlignment="1">
      <alignment horizontal="center" vertical="center"/>
    </xf>
    <xf numFmtId="2" fontId="5" fillId="0" borderId="0" xfId="0" applyNumberFormat="1" applyFont="1" applyAlignment="1">
      <alignment horizontal="center" vertical="center"/>
    </xf>
    <xf numFmtId="164" fontId="5" fillId="8" borderId="0" xfId="0" applyNumberFormat="1" applyFont="1" applyFill="1" applyAlignment="1">
      <alignment vertical="center" shrinkToFit="1"/>
    </xf>
    <xf numFmtId="0" fontId="58" fillId="25" borderId="0" xfId="0" applyFont="1" applyFill="1" applyAlignment="1">
      <alignment vertical="center"/>
    </xf>
    <xf numFmtId="164" fontId="5" fillId="0" borderId="0" xfId="0" applyNumberFormat="1" applyFont="1" applyAlignment="1">
      <alignment vertical="center" shrinkToFit="1"/>
    </xf>
    <xf numFmtId="0" fontId="38" fillId="29" borderId="34" xfId="0" applyFont="1" applyFill="1" applyBorder="1" applyAlignment="1">
      <alignment horizontal="left" vertical="center"/>
    </xf>
    <xf numFmtId="0" fontId="38" fillId="29" borderId="35" xfId="0" applyFont="1" applyFill="1" applyBorder="1" applyAlignment="1">
      <alignment horizontal="left" vertical="center"/>
    </xf>
    <xf numFmtId="0" fontId="38" fillId="29" borderId="36" xfId="0" applyFont="1" applyFill="1" applyBorder="1" applyAlignment="1">
      <alignment horizontal="left" vertical="center"/>
    </xf>
    <xf numFmtId="0" fontId="5" fillId="31" borderId="0" xfId="0" applyFont="1" applyFill="1"/>
    <xf numFmtId="3" fontId="38" fillId="30" borderId="28" xfId="0" applyNumberFormat="1" applyFont="1" applyFill="1" applyBorder="1" applyAlignment="1">
      <alignment horizontal="center" vertical="center"/>
    </xf>
    <xf numFmtId="0" fontId="38" fillId="30" borderId="29" xfId="0" applyFont="1" applyFill="1" applyBorder="1"/>
    <xf numFmtId="167" fontId="38" fillId="29" borderId="30" xfId="1" applyNumberFormat="1" applyFont="1" applyFill="1" applyBorder="1" applyAlignment="1">
      <alignment horizontal="left" vertical="center"/>
    </xf>
    <xf numFmtId="0" fontId="5" fillId="25" borderId="0" xfId="0" applyFont="1" applyFill="1" applyAlignment="1">
      <alignment horizontal="center" vertical="center"/>
    </xf>
    <xf numFmtId="165" fontId="5" fillId="24" borderId="0" xfId="0" applyNumberFormat="1" applyFont="1" applyFill="1" applyAlignment="1">
      <alignment shrinkToFit="1"/>
    </xf>
    <xf numFmtId="165" fontId="5" fillId="26" borderId="0" xfId="0" applyNumberFormat="1" applyFont="1" applyFill="1" applyAlignment="1">
      <alignment shrinkToFit="1"/>
    </xf>
    <xf numFmtId="165" fontId="5" fillId="27" borderId="0" xfId="0" applyNumberFormat="1" applyFont="1" applyFill="1" applyAlignment="1">
      <alignment shrinkToFit="1"/>
    </xf>
    <xf numFmtId="165" fontId="5" fillId="23" borderId="0" xfId="0" applyNumberFormat="1" applyFont="1" applyFill="1" applyAlignment="1">
      <alignment shrinkToFit="1"/>
    </xf>
    <xf numFmtId="2" fontId="5" fillId="31" borderId="0" xfId="0" applyNumberFormat="1" applyFont="1" applyFill="1" applyAlignment="1">
      <alignment shrinkToFit="1"/>
    </xf>
    <xf numFmtId="0" fontId="5" fillId="0" borderId="0" xfId="0" applyFont="1" applyAlignment="1">
      <alignment shrinkToFit="1"/>
    </xf>
    <xf numFmtId="2" fontId="5" fillId="6" borderId="0" xfId="0" applyNumberFormat="1" applyFont="1" applyFill="1" applyAlignment="1">
      <alignment shrinkToFit="1"/>
    </xf>
    <xf numFmtId="2" fontId="5" fillId="23" borderId="0" xfId="0" applyNumberFormat="1" applyFont="1" applyFill="1" applyAlignment="1">
      <alignment shrinkToFit="1"/>
    </xf>
    <xf numFmtId="2" fontId="5" fillId="27" borderId="0" xfId="0" applyNumberFormat="1" applyFont="1" applyFill="1" applyAlignment="1">
      <alignment shrinkToFit="1"/>
    </xf>
    <xf numFmtId="2" fontId="5" fillId="26" borderId="0" xfId="0" applyNumberFormat="1" applyFont="1" applyFill="1" applyAlignment="1">
      <alignment shrinkToFit="1"/>
    </xf>
    <xf numFmtId="2" fontId="5" fillId="10" borderId="0" xfId="0" applyNumberFormat="1" applyFont="1" applyFill="1" applyAlignment="1">
      <alignment shrinkToFit="1"/>
    </xf>
    <xf numFmtId="165" fontId="46" fillId="0" borderId="0" xfId="0" applyNumberFormat="1" applyFont="1"/>
    <xf numFmtId="166" fontId="5" fillId="0" borderId="0" xfId="0" applyNumberFormat="1" applyFont="1" applyAlignment="1">
      <alignment vertical="top" shrinkToFit="1"/>
    </xf>
    <xf numFmtId="0" fontId="38" fillId="30" borderId="28" xfId="0" applyFont="1" applyFill="1" applyBorder="1" applyAlignment="1">
      <alignment horizontal="center" vertical="center"/>
    </xf>
    <xf numFmtId="0" fontId="5" fillId="30" borderId="0" xfId="0" applyFont="1" applyFill="1"/>
    <xf numFmtId="0" fontId="38" fillId="25" borderId="0" xfId="0" applyFont="1" applyFill="1" applyAlignment="1">
      <alignment horizontal="left" vertical="center"/>
    </xf>
    <xf numFmtId="0" fontId="5" fillId="25" borderId="0" xfId="0" applyFont="1" applyFill="1" applyAlignment="1">
      <alignment horizontal="left" vertical="center"/>
    </xf>
    <xf numFmtId="9" fontId="59" fillId="25" borderId="0" xfId="3" applyFont="1" applyFill="1" applyAlignment="1">
      <alignment horizontal="right" vertical="center" indent="1"/>
    </xf>
    <xf numFmtId="9" fontId="60" fillId="25" borderId="0" xfId="3" applyFont="1" applyFill="1" applyAlignment="1">
      <alignment vertical="center"/>
    </xf>
    <xf numFmtId="166" fontId="46" fillId="0" borderId="0" xfId="0" applyNumberFormat="1" applyFont="1" applyAlignment="1">
      <alignment shrinkToFit="1"/>
    </xf>
    <xf numFmtId="166" fontId="5" fillId="0" borderId="0" xfId="0" applyNumberFormat="1" applyFont="1" applyAlignment="1">
      <alignment shrinkToFit="1"/>
    </xf>
    <xf numFmtId="9" fontId="10" fillId="31" borderId="0" xfId="0" applyNumberFormat="1" applyFont="1" applyFill="1"/>
    <xf numFmtId="166" fontId="10" fillId="31" borderId="0" xfId="0" applyNumberFormat="1" applyFont="1" applyFill="1"/>
    <xf numFmtId="0" fontId="10" fillId="31" borderId="0" xfId="0" applyFont="1" applyFill="1"/>
    <xf numFmtId="166" fontId="10" fillId="31" borderId="0" xfId="0" applyNumberFormat="1" applyFont="1" applyFill="1" applyAlignment="1">
      <alignment shrinkToFit="1"/>
    </xf>
    <xf numFmtId="0" fontId="42" fillId="25" borderId="0" xfId="0" applyFont="1" applyFill="1" applyAlignment="1">
      <alignment vertical="center"/>
    </xf>
    <xf numFmtId="0" fontId="61" fillId="25" borderId="0" xfId="0" applyFont="1" applyFill="1" applyAlignment="1">
      <alignment vertical="top"/>
    </xf>
    <xf numFmtId="0" fontId="44" fillId="25" borderId="0" xfId="0" applyFont="1" applyFill="1"/>
    <xf numFmtId="0" fontId="44" fillId="5" borderId="0" xfId="0" applyFont="1" applyFill="1"/>
    <xf numFmtId="0" fontId="44" fillId="0" borderId="0" xfId="0" applyFont="1"/>
    <xf numFmtId="166" fontId="44" fillId="0" borderId="0" xfId="0" applyNumberFormat="1" applyFont="1" applyAlignment="1">
      <alignment shrinkToFit="1"/>
    </xf>
    <xf numFmtId="0" fontId="20" fillId="25" borderId="37" xfId="0" applyFont="1" applyFill="1" applyBorder="1" applyAlignment="1">
      <alignment horizontal="center" vertical="center"/>
    </xf>
    <xf numFmtId="0" fontId="5" fillId="25" borderId="0" xfId="0" applyFont="1" applyFill="1" applyAlignment="1">
      <alignment horizontal="left" vertical="center" indent="1"/>
    </xf>
    <xf numFmtId="0" fontId="5" fillId="25" borderId="37" xfId="0" applyFont="1" applyFill="1" applyBorder="1" applyAlignment="1">
      <alignment horizontal="center" vertical="center"/>
    </xf>
    <xf numFmtId="0" fontId="38" fillId="25" borderId="0" xfId="0" applyFont="1" applyFill="1" applyAlignment="1">
      <alignment vertical="center"/>
    </xf>
    <xf numFmtId="0" fontId="62" fillId="11" borderId="0" xfId="0" applyFont="1" applyFill="1" applyAlignment="1">
      <alignment horizontal="center" vertical="center"/>
    </xf>
    <xf numFmtId="0" fontId="63" fillId="15" borderId="0" xfId="0" applyFont="1" applyFill="1" applyAlignment="1">
      <alignment horizontal="center" vertical="center"/>
    </xf>
    <xf numFmtId="9" fontId="65" fillId="16" borderId="0" xfId="0" applyNumberFormat="1" applyFont="1" applyFill="1" applyAlignment="1">
      <alignment horizontal="left" vertical="center" shrinkToFit="1"/>
    </xf>
    <xf numFmtId="2" fontId="9" fillId="6" borderId="0" xfId="0" applyNumberFormat="1" applyFont="1" applyFill="1" applyAlignment="1">
      <alignment vertical="center" shrinkToFit="1"/>
    </xf>
    <xf numFmtId="2" fontId="9" fillId="32" borderId="0" xfId="0" applyNumberFormat="1" applyFont="1" applyFill="1" applyAlignment="1">
      <alignment vertical="center" shrinkToFit="1"/>
    </xf>
    <xf numFmtId="2" fontId="9" fillId="27" borderId="0" xfId="0" applyNumberFormat="1" applyFont="1" applyFill="1" applyAlignment="1">
      <alignment vertical="center" shrinkToFit="1"/>
    </xf>
    <xf numFmtId="2" fontId="9" fillId="10" borderId="0" xfId="0" applyNumberFormat="1" applyFont="1" applyFill="1" applyAlignment="1">
      <alignment vertical="center" shrinkToFit="1"/>
    </xf>
    <xf numFmtId="165" fontId="66" fillId="33" borderId="0" xfId="0" applyNumberFormat="1" applyFont="1" applyFill="1" applyAlignment="1">
      <alignment vertical="center" shrinkToFit="1"/>
    </xf>
    <xf numFmtId="2" fontId="5" fillId="32" borderId="0" xfId="0" applyNumberFormat="1" applyFont="1" applyFill="1" applyAlignment="1">
      <alignment vertical="center" shrinkToFit="1"/>
    </xf>
    <xf numFmtId="2" fontId="5" fillId="0" borderId="0" xfId="0" applyNumberFormat="1" applyFont="1" applyAlignment="1">
      <alignment vertical="center" shrinkToFit="1"/>
    </xf>
    <xf numFmtId="2" fontId="5" fillId="0" borderId="0" xfId="0" applyNumberFormat="1" applyFont="1" applyAlignment="1">
      <alignment vertical="center"/>
    </xf>
    <xf numFmtId="10" fontId="5" fillId="30" borderId="0" xfId="3" applyNumberFormat="1" applyFont="1" applyFill="1" applyAlignment="1">
      <alignment shrinkToFit="1"/>
    </xf>
    <xf numFmtId="0" fontId="53" fillId="32" borderId="0" xfId="0" applyFont="1" applyFill="1" applyAlignment="1">
      <alignment vertical="center"/>
    </xf>
    <xf numFmtId="0" fontId="67" fillId="32" borderId="0" xfId="0" applyFont="1" applyFill="1" applyAlignment="1">
      <alignment horizontal="right" vertical="center"/>
    </xf>
    <xf numFmtId="0" fontId="46" fillId="32" borderId="0" xfId="0" applyFont="1" applyFill="1" applyAlignment="1">
      <alignment vertical="center"/>
    </xf>
    <xf numFmtId="0" fontId="5" fillId="32" borderId="0" xfId="0" applyFont="1" applyFill="1" applyAlignment="1">
      <alignment vertical="center"/>
    </xf>
    <xf numFmtId="0" fontId="44" fillId="23" borderId="43" xfId="0" applyFont="1" applyFill="1" applyBorder="1" applyAlignment="1">
      <alignment horizontal="left" vertical="top" wrapText="1"/>
    </xf>
    <xf numFmtId="0" fontId="68" fillId="23" borderId="43" xfId="0" applyFont="1" applyFill="1" applyBorder="1" applyAlignment="1">
      <alignment horizontal="left" vertical="top" wrapText="1"/>
    </xf>
    <xf numFmtId="0" fontId="10" fillId="30" borderId="0" xfId="0" applyFont="1" applyFill="1"/>
    <xf numFmtId="0" fontId="46" fillId="28" borderId="0" xfId="0" applyFont="1" applyFill="1"/>
    <xf numFmtId="0" fontId="46" fillId="26" borderId="0" xfId="0" applyFont="1" applyFill="1"/>
    <xf numFmtId="2" fontId="46" fillId="28" borderId="0" xfId="0" applyNumberFormat="1" applyFont="1" applyFill="1"/>
    <xf numFmtId="0" fontId="46" fillId="28" borderId="0" xfId="0" applyFont="1" applyFill="1" applyAlignment="1">
      <alignment shrinkToFit="1"/>
    </xf>
    <xf numFmtId="0" fontId="46" fillId="26" borderId="0" xfId="0" applyFont="1" applyFill="1" applyAlignment="1">
      <alignment shrinkToFit="1"/>
    </xf>
    <xf numFmtId="0" fontId="25" fillId="0" borderId="46" xfId="0" applyFont="1" applyBorder="1"/>
    <xf numFmtId="0" fontId="25" fillId="0" borderId="46" xfId="0" applyFont="1" applyBorder="1" applyAlignment="1">
      <alignment vertical="center" shrinkToFit="1"/>
    </xf>
    <xf numFmtId="0" fontId="69" fillId="3" borderId="47" xfId="0" applyFont="1" applyFill="1" applyBorder="1" applyAlignment="1">
      <alignment vertical="center" shrinkToFit="1"/>
    </xf>
    <xf numFmtId="2" fontId="55" fillId="30" borderId="0" xfId="0" applyNumberFormat="1" applyFont="1" applyFill="1" applyAlignment="1">
      <alignment shrinkToFit="1"/>
    </xf>
    <xf numFmtId="2" fontId="5" fillId="28" borderId="0" xfId="0" applyNumberFormat="1" applyFont="1" applyFill="1" applyAlignment="1">
      <alignment shrinkToFit="1"/>
    </xf>
    <xf numFmtId="10" fontId="5" fillId="28" borderId="0" xfId="3" applyNumberFormat="1" applyFont="1" applyFill="1" applyAlignment="1">
      <alignment shrinkToFit="1"/>
    </xf>
    <xf numFmtId="10" fontId="5" fillId="26" borderId="0" xfId="3" applyNumberFormat="1" applyFont="1" applyFill="1" applyAlignment="1">
      <alignment shrinkToFit="1"/>
    </xf>
    <xf numFmtId="2" fontId="70" fillId="0" borderId="0" xfId="0" applyNumberFormat="1" applyFont="1" applyAlignment="1">
      <alignment shrinkToFit="1"/>
    </xf>
    <xf numFmtId="0" fontId="5" fillId="16" borderId="0" xfId="0" applyFont="1" applyFill="1"/>
    <xf numFmtId="0" fontId="5" fillId="34" borderId="0" xfId="0" applyFont="1" applyFill="1"/>
    <xf numFmtId="0" fontId="5" fillId="35" borderId="0" xfId="0" applyFont="1" applyFill="1"/>
    <xf numFmtId="0" fontId="69" fillId="3" borderId="46" xfId="0" applyFont="1" applyFill="1" applyBorder="1" applyAlignment="1">
      <alignment vertical="center" shrinkToFit="1"/>
    </xf>
    <xf numFmtId="2" fontId="5" fillId="16" borderId="0" xfId="0" applyNumberFormat="1" applyFont="1" applyFill="1" applyAlignment="1">
      <alignment shrinkToFit="1"/>
    </xf>
    <xf numFmtId="2" fontId="5" fillId="34" borderId="0" xfId="0" applyNumberFormat="1" applyFont="1" applyFill="1" applyAlignment="1">
      <alignment shrinkToFit="1"/>
    </xf>
    <xf numFmtId="2" fontId="46" fillId="35" borderId="0" xfId="0" applyNumberFormat="1" applyFont="1" applyFill="1" applyAlignment="1">
      <alignment shrinkToFit="1"/>
    </xf>
    <xf numFmtId="0" fontId="71" fillId="3" borderId="46" xfId="0" applyFont="1" applyFill="1" applyBorder="1" applyAlignment="1">
      <alignment vertical="center" shrinkToFit="1"/>
    </xf>
    <xf numFmtId="9" fontId="20" fillId="32" borderId="0" xfId="0" applyNumberFormat="1" applyFont="1" applyFill="1" applyAlignment="1">
      <alignment vertical="center" shrinkToFit="1"/>
    </xf>
    <xf numFmtId="10" fontId="5" fillId="31" borderId="0" xfId="3" applyNumberFormat="1" applyFont="1" applyFill="1" applyAlignment="1">
      <alignment shrinkToFit="1"/>
    </xf>
    <xf numFmtId="0" fontId="53" fillId="32" borderId="0" xfId="0" applyFont="1" applyFill="1" applyAlignment="1">
      <alignment horizontal="left" vertical="center" indent="5"/>
    </xf>
    <xf numFmtId="0" fontId="74" fillId="32" borderId="0" xfId="0" applyFont="1" applyFill="1" applyAlignment="1">
      <alignment horizontal="right" vertical="center"/>
    </xf>
    <xf numFmtId="2" fontId="46" fillId="16" borderId="0" xfId="0" applyNumberFormat="1" applyFont="1" applyFill="1" applyAlignment="1">
      <alignment shrinkToFit="1"/>
    </xf>
    <xf numFmtId="0" fontId="5" fillId="32" borderId="48" xfId="0" applyFont="1" applyFill="1" applyBorder="1" applyAlignment="1">
      <alignment vertical="center"/>
    </xf>
    <xf numFmtId="0" fontId="41" fillId="16" borderId="0" xfId="0" applyFont="1" applyFill="1" applyAlignment="1">
      <alignment horizontal="left" vertical="center" indent="3"/>
    </xf>
    <xf numFmtId="0" fontId="53" fillId="23" borderId="0" xfId="0" applyFont="1" applyFill="1" applyAlignment="1">
      <alignment vertical="center"/>
    </xf>
    <xf numFmtId="0" fontId="5" fillId="23" borderId="0" xfId="0" applyFont="1" applyFill="1"/>
    <xf numFmtId="0" fontId="46" fillId="23" borderId="0" xfId="0" applyFont="1" applyFill="1" applyAlignment="1">
      <alignment vertical="center"/>
    </xf>
    <xf numFmtId="0" fontId="5" fillId="5" borderId="0" xfId="0" applyFont="1" applyFill="1" applyAlignment="1">
      <alignment vertical="top"/>
    </xf>
    <xf numFmtId="0" fontId="20" fillId="23" borderId="52" xfId="0" applyFont="1" applyFill="1" applyBorder="1" applyAlignment="1">
      <alignment horizontal="left" indent="1"/>
    </xf>
    <xf numFmtId="0" fontId="5" fillId="23" borderId="52" xfId="0" applyFont="1" applyFill="1" applyBorder="1"/>
    <xf numFmtId="0" fontId="5" fillId="5" borderId="52" xfId="0" applyFont="1" applyFill="1" applyBorder="1"/>
    <xf numFmtId="0" fontId="46" fillId="21" borderId="0" xfId="0" applyFont="1" applyFill="1" applyAlignment="1">
      <alignment vertical="center"/>
    </xf>
    <xf numFmtId="0" fontId="76" fillId="21" borderId="0" xfId="0" applyFont="1" applyFill="1" applyAlignment="1">
      <alignment horizontal="left" vertical="top"/>
    </xf>
    <xf numFmtId="0" fontId="53" fillId="21" borderId="0" xfId="0" applyFont="1" applyFill="1" applyAlignment="1">
      <alignment vertical="center"/>
    </xf>
    <xf numFmtId="0" fontId="9" fillId="27" borderId="0" xfId="0" applyFont="1" applyFill="1"/>
    <xf numFmtId="0" fontId="5" fillId="27" borderId="0" xfId="0" applyFont="1" applyFill="1"/>
    <xf numFmtId="0" fontId="5" fillId="5" borderId="0" xfId="0" applyFont="1" applyFill="1" applyAlignment="1">
      <alignment horizontal="left" indent="1"/>
    </xf>
    <xf numFmtId="0" fontId="5" fillId="21" borderId="0" xfId="0" applyFont="1" applyFill="1" applyAlignment="1">
      <alignment horizontal="left" indent="1"/>
    </xf>
    <xf numFmtId="0" fontId="5" fillId="36" borderId="0" xfId="0" applyFont="1" applyFill="1"/>
    <xf numFmtId="0" fontId="5" fillId="29" borderId="0" xfId="0" applyFont="1" applyFill="1"/>
    <xf numFmtId="0" fontId="4" fillId="0" borderId="0" xfId="5"/>
    <xf numFmtId="0" fontId="78" fillId="37" borderId="0" xfId="0" applyFont="1" applyFill="1"/>
    <xf numFmtId="0" fontId="5" fillId="37" borderId="0" xfId="0" applyFont="1" applyFill="1"/>
    <xf numFmtId="0" fontId="5" fillId="27" borderId="0" xfId="0" applyFont="1" applyFill="1" applyAlignment="1">
      <alignment vertical="center"/>
    </xf>
    <xf numFmtId="0" fontId="79" fillId="38" borderId="0" xfId="0" applyFont="1" applyFill="1" applyAlignment="1">
      <alignment horizontal="center" vertical="center" shrinkToFit="1"/>
    </xf>
    <xf numFmtId="9" fontId="79" fillId="38" borderId="0" xfId="3" applyFont="1" applyFill="1" applyAlignment="1">
      <alignment horizontal="center" vertical="center" shrinkToFit="1"/>
    </xf>
    <xf numFmtId="0" fontId="5" fillId="5" borderId="0" xfId="0" applyFont="1" applyFill="1" applyAlignment="1">
      <alignment horizontal="left" indent="1" shrinkToFit="1"/>
    </xf>
    <xf numFmtId="0" fontId="5" fillId="39" borderId="0" xfId="0" applyFont="1" applyFill="1"/>
    <xf numFmtId="0" fontId="55" fillId="0" borderId="0" xfId="0" applyFont="1"/>
    <xf numFmtId="0" fontId="5" fillId="38" borderId="0" xfId="0" applyFont="1" applyFill="1"/>
    <xf numFmtId="0" fontId="5" fillId="0" borderId="0" xfId="0" quotePrefix="1" applyFont="1"/>
    <xf numFmtId="0" fontId="5" fillId="20" borderId="0" xfId="0" applyFont="1" applyFill="1"/>
    <xf numFmtId="9" fontId="19" fillId="0" borderId="0" xfId="0" applyNumberFormat="1" applyFont="1"/>
    <xf numFmtId="164" fontId="80" fillId="12" borderId="0" xfId="2" applyNumberFormat="1" applyFont="1" applyFill="1" applyAlignment="1">
      <alignment vertical="center"/>
    </xf>
    <xf numFmtId="0" fontId="5" fillId="0" borderId="0" xfId="0" applyFont="1" applyAlignment="1">
      <alignment textRotation="44"/>
    </xf>
    <xf numFmtId="0" fontId="45" fillId="37" borderId="0" xfId="0" applyFont="1" applyFill="1"/>
    <xf numFmtId="0" fontId="20" fillId="21" borderId="0" xfId="0" applyFont="1" applyFill="1" applyAlignment="1">
      <alignment horizontal="left" indent="1"/>
    </xf>
    <xf numFmtId="0" fontId="5" fillId="5" borderId="53" xfId="0" applyFont="1" applyFill="1" applyBorder="1"/>
    <xf numFmtId="0" fontId="5" fillId="5" borderId="53" xfId="0" applyFont="1" applyFill="1" applyBorder="1" applyAlignment="1">
      <alignment shrinkToFit="1"/>
    </xf>
    <xf numFmtId="2" fontId="5" fillId="0" borderId="0" xfId="0" quotePrefix="1" applyNumberFormat="1" applyFont="1"/>
    <xf numFmtId="2" fontId="5" fillId="0" borderId="0" xfId="0" applyNumberFormat="1" applyFont="1" applyAlignment="1">
      <alignment vertical="top"/>
    </xf>
    <xf numFmtId="0" fontId="53" fillId="24" borderId="0" xfId="0" applyFont="1" applyFill="1" applyAlignment="1">
      <alignment vertical="center"/>
    </xf>
    <xf numFmtId="0" fontId="46" fillId="24" borderId="0" xfId="0" applyFont="1" applyFill="1" applyAlignment="1">
      <alignment vertical="center"/>
    </xf>
    <xf numFmtId="0" fontId="5" fillId="24" borderId="0" xfId="0" applyFont="1" applyFill="1" applyAlignment="1">
      <alignment horizontal="right" vertical="center" indent="1"/>
    </xf>
    <xf numFmtId="0" fontId="9" fillId="24" borderId="0" xfId="0" applyFont="1" applyFill="1" applyAlignment="1">
      <alignment horizontal="left" vertical="top" wrapText="1"/>
    </xf>
    <xf numFmtId="0" fontId="5" fillId="24" borderId="0" xfId="0" applyFont="1" applyFill="1" applyAlignment="1">
      <alignment horizontal="left" vertical="top" wrapText="1"/>
    </xf>
    <xf numFmtId="0" fontId="5" fillId="0" borderId="0" xfId="0" applyFont="1" applyAlignment="1">
      <alignment wrapText="1"/>
    </xf>
    <xf numFmtId="0" fontId="84" fillId="0" borderId="0" xfId="0" applyFont="1" applyAlignment="1">
      <alignment horizontal="center" shrinkToFit="1"/>
    </xf>
    <xf numFmtId="0" fontId="0" fillId="37" borderId="0" xfId="0" applyFill="1"/>
    <xf numFmtId="0" fontId="24" fillId="37" borderId="0" xfId="0" applyFont="1" applyFill="1" applyAlignment="1">
      <alignment vertical="center"/>
    </xf>
    <xf numFmtId="0" fontId="44" fillId="37" borderId="0" xfId="0" applyFont="1" applyFill="1" applyAlignment="1">
      <alignment horizontal="right" vertical="center"/>
    </xf>
    <xf numFmtId="0" fontId="24" fillId="37" borderId="0" xfId="0" applyFont="1" applyFill="1" applyAlignment="1">
      <alignment horizontal="left" vertical="center" indent="1"/>
    </xf>
    <xf numFmtId="0" fontId="5" fillId="5" borderId="59" xfId="0" applyFont="1" applyFill="1" applyBorder="1" applyAlignment="1">
      <alignment shrinkToFit="1"/>
    </xf>
    <xf numFmtId="0" fontId="38" fillId="37" borderId="0" xfId="0" applyFont="1" applyFill="1" applyAlignment="1">
      <alignment vertical="center" shrinkToFit="1"/>
    </xf>
    <xf numFmtId="0" fontId="47" fillId="37" borderId="0" xfId="0" applyFont="1" applyFill="1" applyAlignment="1">
      <alignment horizontal="left" vertical="center" indent="2"/>
    </xf>
    <xf numFmtId="0" fontId="85" fillId="37" borderId="0" xfId="0" applyFont="1" applyFill="1" applyAlignment="1">
      <alignment vertical="center"/>
    </xf>
    <xf numFmtId="0" fontId="0" fillId="37" borderId="60" xfId="0" applyFill="1" applyBorder="1"/>
    <xf numFmtId="0" fontId="0" fillId="5" borderId="0" xfId="0" applyFill="1"/>
    <xf numFmtId="0" fontId="20" fillId="37" borderId="0" xfId="0" applyFont="1" applyFill="1" applyAlignment="1">
      <alignment horizontal="left" indent="1"/>
    </xf>
    <xf numFmtId="0" fontId="86" fillId="37" borderId="0" xfId="0" applyFont="1" applyFill="1" applyAlignment="1">
      <alignment vertical="center"/>
    </xf>
    <xf numFmtId="0" fontId="87" fillId="37" borderId="0" xfId="0" applyFont="1" applyFill="1" applyAlignment="1">
      <alignment vertical="center"/>
    </xf>
    <xf numFmtId="0" fontId="88" fillId="0" borderId="0" xfId="0" applyFont="1"/>
    <xf numFmtId="0" fontId="5" fillId="37" borderId="0" xfId="0" applyFont="1" applyFill="1" applyAlignment="1">
      <alignment horizontal="left" vertical="center" indent="5"/>
    </xf>
    <xf numFmtId="0" fontId="5" fillId="37" borderId="0" xfId="0" applyFont="1" applyFill="1" applyAlignment="1">
      <alignment horizontal="left" vertical="center" indent="1"/>
    </xf>
    <xf numFmtId="0" fontId="46" fillId="37" borderId="0" xfId="0" applyFont="1" applyFill="1" applyAlignment="1">
      <alignment vertical="center"/>
    </xf>
    <xf numFmtId="0" fontId="46" fillId="21" borderId="0" xfId="0" applyFont="1" applyFill="1"/>
    <xf numFmtId="0" fontId="5" fillId="37" borderId="0" xfId="0" applyFont="1" applyFill="1" applyAlignment="1">
      <alignment horizontal="left" indent="1"/>
    </xf>
    <xf numFmtId="0" fontId="89" fillId="0" borderId="0" xfId="0" applyFont="1"/>
    <xf numFmtId="0" fontId="90" fillId="0" borderId="0" xfId="0" applyFont="1"/>
    <xf numFmtId="0" fontId="92" fillId="37" borderId="0" xfId="0" applyFont="1" applyFill="1"/>
    <xf numFmtId="164" fontId="5" fillId="37" borderId="0" xfId="0" applyNumberFormat="1" applyFont="1" applyFill="1"/>
    <xf numFmtId="0" fontId="5" fillId="41" borderId="0" xfId="0" applyFont="1" applyFill="1"/>
    <xf numFmtId="0" fontId="24" fillId="41" borderId="0" xfId="0" applyFont="1" applyFill="1" applyAlignment="1">
      <alignment vertical="top"/>
    </xf>
    <xf numFmtId="0" fontId="24" fillId="41" borderId="0" xfId="0" applyFont="1" applyFill="1"/>
    <xf numFmtId="0" fontId="9" fillId="42" borderId="68" xfId="0" applyFont="1" applyFill="1" applyBorder="1"/>
    <xf numFmtId="0" fontId="5" fillId="42" borderId="69" xfId="0" applyFont="1" applyFill="1" applyBorder="1"/>
    <xf numFmtId="0" fontId="5" fillId="42" borderId="71" xfId="0" applyFont="1" applyFill="1" applyBorder="1"/>
    <xf numFmtId="0" fontId="5" fillId="42" borderId="74" xfId="0" applyFont="1" applyFill="1" applyBorder="1"/>
    <xf numFmtId="0" fontId="5" fillId="42" borderId="75" xfId="0" applyFont="1" applyFill="1" applyBorder="1"/>
    <xf numFmtId="164" fontId="9" fillId="42" borderId="70" xfId="0" applyNumberFormat="1" applyFont="1" applyFill="1" applyBorder="1" applyAlignment="1">
      <alignment horizontal="left"/>
    </xf>
    <xf numFmtId="0" fontId="5" fillId="42" borderId="71" xfId="0" applyFont="1" applyFill="1" applyBorder="1" applyAlignment="1">
      <alignment vertical="top" wrapText="1"/>
    </xf>
    <xf numFmtId="0" fontId="5" fillId="42" borderId="74" xfId="0" applyFont="1" applyFill="1" applyBorder="1" applyAlignment="1">
      <alignment vertical="top" wrapText="1"/>
    </xf>
    <xf numFmtId="0" fontId="5" fillId="42" borderId="75" xfId="0" applyFont="1" applyFill="1" applyBorder="1" applyAlignment="1">
      <alignment vertical="top" wrapText="1"/>
    </xf>
    <xf numFmtId="164" fontId="43" fillId="5" borderId="0" xfId="0" applyNumberFormat="1" applyFont="1" applyFill="1" applyAlignment="1">
      <alignment shrinkToFit="1"/>
    </xf>
    <xf numFmtId="0" fontId="5" fillId="41" borderId="0" xfId="0" applyFont="1" applyFill="1" applyAlignment="1">
      <alignment horizontal="left" indent="1"/>
    </xf>
    <xf numFmtId="0" fontId="5" fillId="41" borderId="0" xfId="0" applyFont="1" applyFill="1" applyAlignment="1">
      <alignment vertical="top" wrapText="1"/>
    </xf>
    <xf numFmtId="164" fontId="5" fillId="0" borderId="0" xfId="0" applyNumberFormat="1" applyFont="1" applyAlignment="1">
      <alignment horizontal="left"/>
    </xf>
    <xf numFmtId="164" fontId="5" fillId="0" borderId="0" xfId="0" applyNumberFormat="1" applyFont="1"/>
    <xf numFmtId="0" fontId="5" fillId="40" borderId="0" xfId="0" applyFont="1" applyFill="1"/>
    <xf numFmtId="0" fontId="5" fillId="24" borderId="0" xfId="0" applyFont="1" applyFill="1" applyAlignment="1">
      <alignment horizontal="left" indent="2"/>
    </xf>
    <xf numFmtId="0" fontId="38" fillId="24" borderId="0" xfId="0" applyFont="1" applyFill="1" applyAlignment="1">
      <alignment horizontal="left" indent="2"/>
    </xf>
    <xf numFmtId="0" fontId="93" fillId="40" borderId="0" xfId="0" applyFont="1" applyFill="1" applyAlignment="1">
      <alignment horizontal="left" indent="3"/>
    </xf>
    <xf numFmtId="0" fontId="94" fillId="40" borderId="0" xfId="0" applyFont="1" applyFill="1"/>
    <xf numFmtId="0" fontId="5" fillId="40" borderId="0" xfId="0" applyFont="1" applyFill="1" applyAlignment="1">
      <alignment shrinkToFit="1"/>
    </xf>
    <xf numFmtId="6" fontId="5" fillId="40" borderId="0" xfId="0" applyNumberFormat="1" applyFont="1" applyFill="1" applyAlignment="1">
      <alignment shrinkToFit="1"/>
    </xf>
    <xf numFmtId="49" fontId="5" fillId="0" borderId="0" xfId="0" applyNumberFormat="1" applyFont="1"/>
    <xf numFmtId="0" fontId="5" fillId="0" borderId="76" xfId="0" applyFont="1" applyBorder="1"/>
    <xf numFmtId="164" fontId="46" fillId="0" borderId="0" xfId="0" applyNumberFormat="1" applyFont="1" applyAlignment="1">
      <alignment shrinkToFit="1"/>
    </xf>
    <xf numFmtId="0" fontId="42" fillId="43" borderId="0" xfId="0" applyFont="1" applyFill="1"/>
    <xf numFmtId="0" fontId="5" fillId="43" borderId="0" xfId="0" applyFont="1" applyFill="1" applyAlignment="1">
      <alignment horizontal="left" indent="1" shrinkToFit="1"/>
    </xf>
    <xf numFmtId="0" fontId="5" fillId="43" borderId="0" xfId="0" applyFont="1" applyFill="1"/>
    <xf numFmtId="0" fontId="15" fillId="43" borderId="0" xfId="0" applyFont="1" applyFill="1" applyAlignment="1">
      <alignment horizontal="left" vertical="top"/>
    </xf>
    <xf numFmtId="0" fontId="5" fillId="43" borderId="0" xfId="0" applyFont="1" applyFill="1" applyAlignment="1">
      <alignment horizontal="right" indent="1"/>
    </xf>
    <xf numFmtId="166" fontId="5" fillId="43" borderId="0" xfId="2" applyNumberFormat="1" applyFont="1" applyFill="1"/>
    <xf numFmtId="0" fontId="78" fillId="43" borderId="0" xfId="0" applyFont="1" applyFill="1" applyAlignment="1">
      <alignment horizontal="left" vertical="center" indent="1" shrinkToFit="1"/>
    </xf>
    <xf numFmtId="14" fontId="5" fillId="0" borderId="0" xfId="0" applyNumberFormat="1" applyFont="1" applyAlignment="1">
      <alignment horizontal="left"/>
    </xf>
    <xf numFmtId="14" fontId="5" fillId="0" borderId="0" xfId="0" applyNumberFormat="1" applyFont="1" applyAlignment="1">
      <alignment horizontal="center"/>
    </xf>
    <xf numFmtId="0" fontId="5" fillId="0" borderId="0" xfId="0" applyFont="1" applyAlignment="1">
      <alignment horizontal="center"/>
    </xf>
    <xf numFmtId="164" fontId="19" fillId="11" borderId="0" xfId="0" applyNumberFormat="1" applyFont="1" applyFill="1" applyAlignment="1">
      <alignment horizontal="right"/>
    </xf>
    <xf numFmtId="0" fontId="95" fillId="43" borderId="0" xfId="0" applyFont="1" applyFill="1"/>
    <xf numFmtId="0" fontId="78" fillId="43" borderId="0" xfId="0" applyFont="1" applyFill="1" applyAlignment="1">
      <alignment horizontal="left" vertical="center" shrinkToFit="1"/>
    </xf>
    <xf numFmtId="0" fontId="5" fillId="5" borderId="77" xfId="0" applyFont="1" applyFill="1" applyBorder="1"/>
    <xf numFmtId="0" fontId="5" fillId="5" borderId="78" xfId="0" applyFont="1" applyFill="1" applyBorder="1"/>
    <xf numFmtId="0" fontId="96" fillId="0" borderId="0" xfId="0" applyFont="1"/>
    <xf numFmtId="0" fontId="0" fillId="0" borderId="0" xfId="0" applyAlignment="1">
      <alignment horizontal="right"/>
    </xf>
    <xf numFmtId="0" fontId="5" fillId="5" borderId="79" xfId="0" applyFont="1" applyFill="1" applyBorder="1"/>
    <xf numFmtId="0" fontId="5" fillId="43" borderId="0" xfId="0" applyFont="1" applyFill="1" applyAlignment="1">
      <alignment shrinkToFit="1"/>
    </xf>
    <xf numFmtId="0" fontId="5" fillId="5" borderId="80" xfId="0" applyFont="1" applyFill="1" applyBorder="1"/>
    <xf numFmtId="14" fontId="5" fillId="0" borderId="0" xfId="0" applyNumberFormat="1" applyFont="1"/>
    <xf numFmtId="0" fontId="97" fillId="43" borderId="0" xfId="0" applyFont="1" applyFill="1" applyAlignment="1">
      <alignment horizontal="left" indent="2" shrinkToFit="1"/>
    </xf>
    <xf numFmtId="14" fontId="5" fillId="5" borderId="77" xfId="0" applyNumberFormat="1" applyFont="1" applyFill="1" applyBorder="1" applyAlignment="1">
      <alignment horizontal="left" vertical="center" indent="2"/>
    </xf>
    <xf numFmtId="10" fontId="5" fillId="0" borderId="0" xfId="0" applyNumberFormat="1" applyFont="1" applyAlignment="1">
      <alignment shrinkToFit="1"/>
    </xf>
    <xf numFmtId="0" fontId="5" fillId="0" borderId="0" xfId="0" applyFont="1" applyAlignment="1">
      <alignment horizontal="left" indent="1"/>
    </xf>
    <xf numFmtId="166" fontId="5" fillId="5" borderId="80" xfId="0" applyNumberFormat="1" applyFont="1" applyFill="1" applyBorder="1" applyAlignment="1">
      <alignment horizontal="left" indent="2"/>
    </xf>
    <xf numFmtId="0" fontId="5" fillId="5" borderId="80" xfId="0" applyFont="1" applyFill="1" applyBorder="1" applyAlignment="1">
      <alignment horizontal="left" indent="1"/>
    </xf>
    <xf numFmtId="164" fontId="5" fillId="8" borderId="0" xfId="0" applyNumberFormat="1" applyFont="1" applyFill="1"/>
    <xf numFmtId="0" fontId="5" fillId="43" borderId="0" xfId="0" applyFont="1" applyFill="1" applyAlignment="1">
      <alignment horizontal="left" vertical="top" indent="1"/>
    </xf>
    <xf numFmtId="0" fontId="40" fillId="43" borderId="0" xfId="0" applyFont="1" applyFill="1" applyAlignment="1">
      <alignment horizontal="left" vertical="center"/>
    </xf>
    <xf numFmtId="0" fontId="40" fillId="43" borderId="0" xfId="0" applyFont="1" applyFill="1" applyAlignment="1">
      <alignment horizontal="center" vertical="center"/>
    </xf>
    <xf numFmtId="0" fontId="40" fillId="43" borderId="0" xfId="0" applyFont="1" applyFill="1" applyAlignment="1">
      <alignment horizontal="left" vertical="top" shrinkToFit="1"/>
    </xf>
    <xf numFmtId="0" fontId="41" fillId="43" borderId="0" xfId="0" applyFont="1" applyFill="1" applyAlignment="1">
      <alignment horizontal="left" vertical="center" indent="1"/>
    </xf>
    <xf numFmtId="0" fontId="5" fillId="43" borderId="0" xfId="0" applyFont="1" applyFill="1" applyAlignment="1">
      <alignment horizontal="left"/>
    </xf>
    <xf numFmtId="0" fontId="5" fillId="5" borderId="0" xfId="0" applyFont="1" applyFill="1" applyAlignment="1">
      <alignment horizontal="left"/>
    </xf>
    <xf numFmtId="0" fontId="5" fillId="0" borderId="0" xfId="0" applyFont="1" applyAlignment="1">
      <alignment horizontal="left"/>
    </xf>
    <xf numFmtId="164" fontId="80" fillId="43" borderId="0" xfId="2" applyNumberFormat="1" applyFont="1" applyFill="1" applyAlignment="1">
      <alignment vertical="center"/>
    </xf>
    <xf numFmtId="164" fontId="80" fillId="43" borderId="0" xfId="2" applyNumberFormat="1" applyFont="1" applyFill="1" applyAlignment="1">
      <alignment horizontal="right" vertical="center"/>
    </xf>
    <xf numFmtId="0" fontId="5" fillId="0" borderId="0" xfId="0" applyFont="1" applyAlignment="1">
      <alignment horizontal="right"/>
    </xf>
    <xf numFmtId="0" fontId="78" fillId="43" borderId="0" xfId="0" applyFont="1" applyFill="1"/>
    <xf numFmtId="0" fontId="5" fillId="44" borderId="0" xfId="0" applyFont="1" applyFill="1"/>
    <xf numFmtId="0" fontId="98" fillId="43" borderId="0" xfId="0" applyFont="1" applyFill="1" applyAlignment="1">
      <alignment horizontal="left"/>
    </xf>
    <xf numFmtId="0" fontId="100" fillId="0" borderId="0" xfId="0" applyFont="1"/>
    <xf numFmtId="0" fontId="101" fillId="43" borderId="82" xfId="5" applyFont="1" applyFill="1" applyBorder="1" applyAlignment="1">
      <alignment shrinkToFit="1"/>
    </xf>
    <xf numFmtId="0" fontId="101" fillId="43" borderId="83" xfId="5" applyFont="1" applyFill="1" applyBorder="1" applyAlignment="1">
      <alignment shrinkToFit="1"/>
    </xf>
    <xf numFmtId="168" fontId="101" fillId="43" borderId="84" xfId="5" applyNumberFormat="1" applyFont="1" applyFill="1" applyBorder="1" applyAlignment="1">
      <alignment horizontal="center" shrinkToFit="1"/>
    </xf>
    <xf numFmtId="0" fontId="101" fillId="43" borderId="84" xfId="5" applyFont="1" applyFill="1" applyBorder="1" applyAlignment="1">
      <alignment shrinkToFit="1"/>
    </xf>
    <xf numFmtId="0" fontId="5" fillId="43" borderId="0" xfId="0" applyFont="1" applyFill="1" applyAlignment="1">
      <alignment horizontal="left" vertical="center" indent="1"/>
    </xf>
    <xf numFmtId="0" fontId="20" fillId="43" borderId="0" xfId="0" applyFont="1" applyFill="1" applyAlignment="1">
      <alignment horizontal="left" indent="1"/>
    </xf>
    <xf numFmtId="0" fontId="5" fillId="12" borderId="0" xfId="0" applyFont="1" applyFill="1"/>
    <xf numFmtId="0" fontId="5" fillId="30" borderId="0" xfId="0" applyFont="1" applyFill="1" applyAlignment="1">
      <alignment horizontal="left" indent="1"/>
    </xf>
    <xf numFmtId="0" fontId="5" fillId="30" borderId="0" xfId="0" applyFont="1" applyFill="1" applyAlignment="1">
      <alignment horizontal="left" indent="2"/>
    </xf>
    <xf numFmtId="166" fontId="5" fillId="0" borderId="0" xfId="0" applyNumberFormat="1" applyFont="1"/>
    <xf numFmtId="0" fontId="5" fillId="45" borderId="0" xfId="0" applyFont="1" applyFill="1"/>
    <xf numFmtId="169" fontId="5" fillId="45" borderId="0" xfId="1" applyNumberFormat="1" applyFont="1" applyFill="1" applyAlignment="1"/>
    <xf numFmtId="169" fontId="5" fillId="0" borderId="0" xfId="0" applyNumberFormat="1" applyFont="1"/>
    <xf numFmtId="169" fontId="5" fillId="5" borderId="0" xfId="1" applyNumberFormat="1" applyFont="1" applyFill="1"/>
    <xf numFmtId="169" fontId="0" fillId="0" borderId="0" xfId="0" quotePrefix="1" applyNumberFormat="1"/>
    <xf numFmtId="169" fontId="5" fillId="0" borderId="0" xfId="0" applyNumberFormat="1" applyFont="1" applyAlignment="1">
      <alignment shrinkToFit="1"/>
    </xf>
    <xf numFmtId="0" fontId="102" fillId="0" borderId="0" xfId="0" applyFont="1"/>
    <xf numFmtId="170" fontId="5" fillId="0" borderId="0" xfId="0" applyNumberFormat="1" applyFont="1" applyAlignment="1">
      <alignment shrinkToFit="1"/>
    </xf>
    <xf numFmtId="169" fontId="5" fillId="5" borderId="0" xfId="1" applyNumberFormat="1" applyFont="1" applyFill="1" applyAlignment="1">
      <alignment shrinkToFit="1"/>
    </xf>
    <xf numFmtId="171" fontId="104" fillId="18" borderId="0" xfId="0" applyNumberFormat="1" applyFont="1" applyFill="1"/>
    <xf numFmtId="0" fontId="105" fillId="45" borderId="0" xfId="0" applyFont="1" applyFill="1" applyAlignment="1">
      <alignment horizontal="center" vertical="top"/>
    </xf>
    <xf numFmtId="10" fontId="5" fillId="0" borderId="0" xfId="3" applyNumberFormat="1" applyFont="1" applyAlignment="1">
      <alignment shrinkToFit="1"/>
    </xf>
    <xf numFmtId="43" fontId="5" fillId="0" borderId="0" xfId="0" applyNumberFormat="1" applyFont="1"/>
    <xf numFmtId="0" fontId="106" fillId="18" borderId="0" xfId="5" applyFont="1" applyFill="1" applyAlignment="1">
      <alignment horizontal="left" indent="1"/>
    </xf>
    <xf numFmtId="0" fontId="106" fillId="18" borderId="0" xfId="5" applyFont="1" applyFill="1" applyAlignment="1">
      <alignment horizontal="left" indent="2"/>
    </xf>
    <xf numFmtId="1" fontId="5" fillId="0" borderId="0" xfId="0" applyNumberFormat="1" applyFont="1" applyAlignment="1">
      <alignment shrinkToFit="1"/>
    </xf>
    <xf numFmtId="173" fontId="5" fillId="0" borderId="0" xfId="3" applyNumberFormat="1" applyFont="1" applyAlignment="1">
      <alignment shrinkToFit="1"/>
    </xf>
    <xf numFmtId="173" fontId="0" fillId="0" borderId="0" xfId="3" applyNumberFormat="1" applyFont="1" applyAlignment="1">
      <alignment shrinkToFit="1"/>
    </xf>
    <xf numFmtId="172" fontId="5" fillId="0" borderId="0" xfId="0" applyNumberFormat="1" applyFont="1" applyAlignment="1">
      <alignment shrinkToFit="1"/>
    </xf>
    <xf numFmtId="0" fontId="0" fillId="0" borderId="0" xfId="0" applyAlignment="1">
      <alignment shrinkToFit="1"/>
    </xf>
    <xf numFmtId="1" fontId="5" fillId="0" borderId="0" xfId="0" applyNumberFormat="1" applyFont="1"/>
    <xf numFmtId="174" fontId="5" fillId="0" borderId="0" xfId="3" applyNumberFormat="1" applyFont="1" applyAlignment="1">
      <alignment shrinkToFit="1"/>
    </xf>
    <xf numFmtId="2" fontId="5" fillId="5" borderId="0" xfId="0" applyNumberFormat="1" applyFont="1" applyFill="1"/>
    <xf numFmtId="0" fontId="107" fillId="5" borderId="0" xfId="0" applyFont="1" applyFill="1" applyAlignment="1">
      <alignment horizontal="left" vertical="center" indent="1"/>
    </xf>
    <xf numFmtId="0" fontId="5" fillId="5" borderId="85" xfId="0" applyFont="1" applyFill="1" applyBorder="1"/>
    <xf numFmtId="0" fontId="108" fillId="0" borderId="0" xfId="0" applyFont="1"/>
    <xf numFmtId="0" fontId="109" fillId="0" borderId="0" xfId="0" applyFont="1"/>
    <xf numFmtId="0" fontId="110" fillId="0" borderId="0" xfId="0" applyFont="1"/>
    <xf numFmtId="2" fontId="9" fillId="6" borderId="0" xfId="0" applyNumberFormat="1" applyFont="1" applyFill="1" applyAlignment="1">
      <alignment vertical="center" textRotation="90" shrinkToFit="1"/>
    </xf>
    <xf numFmtId="2" fontId="9" fillId="32" borderId="0" xfId="0" applyNumberFormat="1" applyFont="1" applyFill="1" applyAlignment="1">
      <alignment vertical="center" textRotation="90" shrinkToFit="1"/>
    </xf>
    <xf numFmtId="2" fontId="9" fillId="27" borderId="0" xfId="0" applyNumberFormat="1" applyFont="1" applyFill="1" applyAlignment="1">
      <alignment vertical="center" textRotation="90" shrinkToFit="1"/>
    </xf>
    <xf numFmtId="2" fontId="2" fillId="2" borderId="0" xfId="4" applyNumberFormat="1" applyAlignment="1">
      <alignment vertical="center" textRotation="90" shrinkToFit="1"/>
    </xf>
    <xf numFmtId="2" fontId="9" fillId="10" borderId="0" xfId="0" applyNumberFormat="1" applyFont="1" applyFill="1" applyAlignment="1">
      <alignment vertical="center" textRotation="90" shrinkToFit="1"/>
    </xf>
    <xf numFmtId="0" fontId="111" fillId="0" borderId="0" xfId="0" applyFont="1"/>
    <xf numFmtId="0" fontId="49" fillId="6" borderId="0" xfId="0" applyFont="1" applyFill="1"/>
    <xf numFmtId="2" fontId="5" fillId="18" borderId="0" xfId="0" applyNumberFormat="1" applyFont="1" applyFill="1"/>
    <xf numFmtId="164" fontId="5" fillId="0" borderId="0" xfId="0" applyNumberFormat="1" applyFont="1" applyAlignment="1">
      <alignment shrinkToFit="1"/>
    </xf>
    <xf numFmtId="0" fontId="5" fillId="0" borderId="22" xfId="0" applyFont="1" applyBorder="1"/>
    <xf numFmtId="0" fontId="3" fillId="0" borderId="0" xfId="0" applyFont="1" applyAlignment="1">
      <alignment horizontal="left" vertical="center" indent="1"/>
    </xf>
    <xf numFmtId="0" fontId="0" fillId="0" borderId="0" xfId="0" applyAlignment="1">
      <alignment horizontal="right" vertical="center" indent="1"/>
    </xf>
    <xf numFmtId="0" fontId="0" fillId="0" borderId="0" xfId="0" applyAlignment="1">
      <alignment horizontal="left" indent="1"/>
    </xf>
    <xf numFmtId="6" fontId="0" fillId="0" borderId="0" xfId="0" applyNumberFormat="1" applyAlignment="1">
      <alignment horizontal="right" vertical="center" indent="1"/>
    </xf>
    <xf numFmtId="0" fontId="3" fillId="21" borderId="0" xfId="0" applyFont="1" applyFill="1" applyAlignment="1">
      <alignment horizontal="left" vertical="center" indent="1"/>
    </xf>
    <xf numFmtId="0" fontId="113" fillId="45" borderId="0" xfId="0" applyFont="1" applyFill="1"/>
    <xf numFmtId="0" fontId="5" fillId="0" borderId="0" xfId="0" applyFont="1" applyAlignment="1">
      <alignment horizontal="left" indent="2"/>
    </xf>
    <xf numFmtId="0" fontId="45" fillId="0" borderId="0" xfId="0" applyFont="1"/>
    <xf numFmtId="0" fontId="78" fillId="0" borderId="0" xfId="0" applyFont="1"/>
    <xf numFmtId="0" fontId="78" fillId="0" borderId="0" xfId="0" applyFont="1" applyAlignment="1">
      <alignment horizontal="left" indent="2"/>
    </xf>
    <xf numFmtId="0" fontId="114" fillId="0" borderId="0" xfId="0" applyFont="1"/>
    <xf numFmtId="164" fontId="38" fillId="0" borderId="0" xfId="0" applyNumberFormat="1" applyFont="1" applyAlignment="1">
      <alignment shrinkToFit="1"/>
    </xf>
    <xf numFmtId="9" fontId="5" fillId="0" borderId="0" xfId="3" applyFont="1" applyAlignment="1">
      <alignment shrinkToFit="1"/>
    </xf>
    <xf numFmtId="0" fontId="9" fillId="0" borderId="0" xfId="0" applyFont="1" applyAlignment="1">
      <alignment horizontal="left" vertical="center"/>
    </xf>
    <xf numFmtId="0" fontId="9" fillId="0" borderId="0" xfId="0" applyFont="1" applyAlignment="1">
      <alignment horizontal="left" vertical="center" indent="2"/>
    </xf>
    <xf numFmtId="164" fontId="5" fillId="0" borderId="0" xfId="2" applyNumberFormat="1" applyFont="1"/>
    <xf numFmtId="164" fontId="5" fillId="5" borderId="0" xfId="0" applyNumberFormat="1" applyFont="1" applyFill="1" applyAlignment="1">
      <alignment shrinkToFit="1"/>
    </xf>
    <xf numFmtId="0" fontId="115" fillId="0" borderId="0" xfId="0" applyFont="1"/>
    <xf numFmtId="166" fontId="0" fillId="0" borderId="0" xfId="0" applyNumberFormat="1"/>
    <xf numFmtId="6" fontId="0" fillId="46" borderId="0" xfId="0" applyNumberFormat="1" applyFill="1" applyAlignment="1">
      <alignment vertical="center" shrinkToFit="1"/>
    </xf>
    <xf numFmtId="0" fontId="9" fillId="20" borderId="0" xfId="0" applyFont="1" applyFill="1" applyAlignment="1">
      <alignment horizontal="left" vertical="center"/>
    </xf>
    <xf numFmtId="0" fontId="9" fillId="20" borderId="0" xfId="0" applyFont="1" applyFill="1" applyAlignment="1">
      <alignment horizontal="left" vertical="center" indent="2"/>
    </xf>
    <xf numFmtId="164" fontId="5" fillId="20" borderId="0" xfId="2" applyNumberFormat="1" applyFont="1" applyFill="1"/>
    <xf numFmtId="164" fontId="5" fillId="0" borderId="0" xfId="2" quotePrefix="1" applyNumberFormat="1" applyFont="1"/>
    <xf numFmtId="164" fontId="45" fillId="21" borderId="0" xfId="2" applyNumberFormat="1" applyFont="1" applyFill="1"/>
    <xf numFmtId="0" fontId="116" fillId="0" borderId="0" xfId="0" applyFont="1"/>
    <xf numFmtId="0" fontId="117" fillId="0" borderId="0" xfId="0" applyFont="1"/>
    <xf numFmtId="0" fontId="118" fillId="0" borderId="0" xfId="0" applyFont="1"/>
    <xf numFmtId="164" fontId="5" fillId="5" borderId="0" xfId="2" applyNumberFormat="1" applyFont="1" applyFill="1"/>
    <xf numFmtId="164" fontId="5" fillId="21" borderId="0" xfId="2" applyNumberFormat="1" applyFont="1" applyFill="1"/>
    <xf numFmtId="0" fontId="111" fillId="0" borderId="0" xfId="0" applyFont="1" applyAlignment="1">
      <alignment wrapText="1"/>
    </xf>
    <xf numFmtId="0" fontId="5" fillId="11" borderId="86" xfId="0" applyFont="1" applyFill="1" applyBorder="1"/>
    <xf numFmtId="0" fontId="129" fillId="15" borderId="0" xfId="0" applyFont="1" applyFill="1" applyAlignment="1">
      <alignment horizontal="center" vertical="center"/>
    </xf>
    <xf numFmtId="0" fontId="130" fillId="3" borderId="0" xfId="0" applyFont="1" applyFill="1"/>
    <xf numFmtId="0" fontId="131" fillId="3" borderId="0" xfId="0" applyFont="1" applyFill="1"/>
    <xf numFmtId="0" fontId="132" fillId="3" borderId="0" xfId="0" applyFont="1" applyFill="1" applyAlignment="1">
      <alignment horizontal="left" vertical="top"/>
    </xf>
    <xf numFmtId="0" fontId="4" fillId="5" borderId="0" xfId="5" quotePrefix="1" applyFill="1"/>
    <xf numFmtId="0" fontId="133" fillId="0" borderId="0" xfId="0" applyFont="1"/>
    <xf numFmtId="0" fontId="134" fillId="0" borderId="0" xfId="0" applyFont="1"/>
    <xf numFmtId="9" fontId="5" fillId="0" borderId="0" xfId="0" applyNumberFormat="1" applyFont="1" applyAlignment="1">
      <alignment shrinkToFit="1"/>
    </xf>
    <xf numFmtId="0" fontId="5" fillId="18" borderId="0" xfId="0" applyFont="1" applyFill="1" applyAlignment="1">
      <alignment vertical="top" wrapText="1"/>
    </xf>
    <xf numFmtId="0" fontId="38" fillId="3" borderId="0" xfId="0" applyFont="1" applyFill="1" applyAlignment="1">
      <alignment horizontal="left" vertical="top" indent="2"/>
    </xf>
    <xf numFmtId="0" fontId="5" fillId="48" borderId="0" xfId="0" quotePrefix="1" applyFont="1" applyFill="1" applyAlignment="1">
      <alignment horizontal="left"/>
    </xf>
    <xf numFmtId="164" fontId="5" fillId="48" borderId="0" xfId="0" quotePrefix="1" applyNumberFormat="1" applyFont="1" applyFill="1" applyAlignment="1">
      <alignment horizontal="left"/>
    </xf>
    <xf numFmtId="164" fontId="45" fillId="21" borderId="0" xfId="2" quotePrefix="1" applyNumberFormat="1" applyFont="1" applyFill="1"/>
    <xf numFmtId="164" fontId="5" fillId="20" borderId="0" xfId="2" quotePrefix="1" applyNumberFormat="1" applyFont="1" applyFill="1"/>
    <xf numFmtId="164" fontId="5" fillId="21" borderId="0" xfId="2" quotePrefix="1" applyNumberFormat="1" applyFont="1" applyFill="1"/>
    <xf numFmtId="164" fontId="9" fillId="42" borderId="70" xfId="0" quotePrefix="1" applyNumberFormat="1" applyFont="1" applyFill="1" applyBorder="1" applyAlignment="1">
      <alignment horizontal="left"/>
    </xf>
    <xf numFmtId="164" fontId="9" fillId="42" borderId="70" xfId="0" quotePrefix="1" applyNumberFormat="1" applyFont="1" applyFill="1" applyBorder="1" applyAlignment="1">
      <alignment horizontal="left" shrinkToFit="1"/>
    </xf>
    <xf numFmtId="1" fontId="46" fillId="0" borderId="93" xfId="0" applyNumberFormat="1" applyFont="1" applyBorder="1" applyAlignment="1">
      <alignment horizontal="right" indent="1"/>
    </xf>
    <xf numFmtId="0" fontId="46" fillId="0" borderId="93" xfId="0" applyFont="1" applyBorder="1" applyAlignment="1">
      <alignment horizontal="right" indent="1"/>
    </xf>
    <xf numFmtId="0" fontId="78" fillId="0" borderId="0" xfId="0" applyFont="1" applyAlignment="1">
      <alignment horizontal="left" vertical="center"/>
    </xf>
    <xf numFmtId="0" fontId="78" fillId="20" borderId="0" xfId="0" applyFont="1" applyFill="1" applyAlignment="1">
      <alignment horizontal="left" vertical="center"/>
    </xf>
    <xf numFmtId="0" fontId="136" fillId="0" borderId="0" xfId="6" applyFont="1" applyAlignment="1" applyProtection="1">
      <alignment horizontal="left" vertical="center" wrapText="1" indent="2"/>
    </xf>
    <xf numFmtId="0" fontId="5" fillId="0" borderId="85" xfId="0" applyFont="1" applyBorder="1"/>
    <xf numFmtId="0" fontId="136" fillId="0" borderId="0" xfId="6" quotePrefix="1" applyFont="1" applyAlignment="1" applyProtection="1">
      <alignment horizontal="left" vertical="center" wrapText="1" indent="2"/>
    </xf>
    <xf numFmtId="0" fontId="5" fillId="0" borderId="85" xfId="0" quotePrefix="1" applyFont="1" applyBorder="1"/>
    <xf numFmtId="0" fontId="136" fillId="0" borderId="85" xfId="6" quotePrefix="1" applyFont="1" applyBorder="1" applyAlignment="1" applyProtection="1">
      <alignment horizontal="left" vertical="center" wrapText="1" indent="2"/>
    </xf>
    <xf numFmtId="0" fontId="0" fillId="0" borderId="85" xfId="0" applyBorder="1"/>
    <xf numFmtId="0" fontId="137" fillId="0" borderId="0" xfId="0" quotePrefix="1" applyFont="1" applyAlignment="1">
      <alignment horizontal="left" indent="1"/>
    </xf>
    <xf numFmtId="0" fontId="138" fillId="0" borderId="0" xfId="0" applyFont="1"/>
    <xf numFmtId="0" fontId="138" fillId="0" borderId="85" xfId="0" applyFont="1" applyBorder="1"/>
    <xf numFmtId="0" fontId="139" fillId="0" borderId="0" xfId="0" applyFont="1"/>
    <xf numFmtId="0" fontId="140" fillId="0" borderId="0" xfId="0" applyFont="1"/>
    <xf numFmtId="0" fontId="141" fillId="0" borderId="0" xfId="0" applyFont="1" applyAlignment="1">
      <alignment horizontal="left" vertical="center"/>
    </xf>
    <xf numFmtId="0" fontId="141" fillId="20" borderId="0" xfId="0" applyFont="1" applyFill="1" applyAlignment="1">
      <alignment horizontal="left" vertical="center"/>
    </xf>
    <xf numFmtId="0" fontId="142" fillId="0" borderId="0" xfId="0" applyFont="1"/>
    <xf numFmtId="3" fontId="0" fillId="0" borderId="0" xfId="0" applyNumberFormat="1" applyAlignment="1">
      <alignment vertical="center" wrapText="1"/>
    </xf>
    <xf numFmtId="0" fontId="142" fillId="0" borderId="76" xfId="0" applyFont="1" applyBorder="1"/>
    <xf numFmtId="0" fontId="0" fillId="0" borderId="0" xfId="0" applyAlignment="1">
      <alignment horizontal="center" vertical="center"/>
    </xf>
    <xf numFmtId="0" fontId="10" fillId="0" borderId="0" xfId="0" quotePrefix="1" applyFont="1"/>
    <xf numFmtId="0" fontId="5" fillId="48" borderId="0" xfId="0" applyFont="1" applyFill="1"/>
    <xf numFmtId="0" fontId="5" fillId="48" borderId="0" xfId="0" applyFont="1" applyFill="1" applyAlignment="1">
      <alignment horizontal="left" indent="1"/>
    </xf>
    <xf numFmtId="0" fontId="46" fillId="20" borderId="0" xfId="0" applyFont="1" applyFill="1"/>
    <xf numFmtId="0" fontId="7" fillId="20" borderId="0" xfId="0" applyFont="1" applyFill="1" applyAlignment="1">
      <alignment horizontal="right"/>
    </xf>
    <xf numFmtId="0" fontId="20" fillId="20" borderId="0" xfId="0" applyFont="1" applyFill="1"/>
    <xf numFmtId="0" fontId="0" fillId="20" borderId="0" xfId="0" applyFill="1"/>
    <xf numFmtId="176" fontId="0" fillId="20" borderId="0" xfId="0" applyNumberFormat="1" applyFill="1" applyAlignment="1">
      <alignment horizontal="left"/>
    </xf>
    <xf numFmtId="14" fontId="0" fillId="20" borderId="0" xfId="0" applyNumberFormat="1" applyFill="1" applyAlignment="1">
      <alignment horizontal="right"/>
    </xf>
    <xf numFmtId="0" fontId="46" fillId="48" borderId="0" xfId="0" applyFont="1" applyFill="1"/>
    <xf numFmtId="0" fontId="146" fillId="48" borderId="0" xfId="0" applyFont="1" applyFill="1"/>
    <xf numFmtId="0" fontId="5" fillId="48" borderId="0" xfId="0" applyFont="1" applyFill="1" applyAlignment="1">
      <alignment vertical="top" wrapText="1"/>
    </xf>
    <xf numFmtId="0" fontId="5" fillId="5" borderId="22" xfId="0" applyFont="1" applyFill="1" applyBorder="1" applyAlignment="1">
      <alignment vertical="top" wrapText="1"/>
    </xf>
    <xf numFmtId="0" fontId="147" fillId="48" borderId="0" xfId="0" applyFont="1" applyFill="1" applyAlignment="1">
      <alignment vertical="top" wrapText="1"/>
    </xf>
    <xf numFmtId="0" fontId="78" fillId="48" borderId="0" xfId="0" applyFont="1" applyFill="1" applyAlignment="1">
      <alignment vertical="center" wrapText="1"/>
    </xf>
    <xf numFmtId="0" fontId="147" fillId="5" borderId="0" xfId="0" applyFont="1" applyFill="1" applyAlignment="1">
      <alignment horizontal="center" vertical="center" wrapText="1"/>
    </xf>
    <xf numFmtId="0" fontId="92" fillId="48" borderId="0" xfId="0" applyFont="1" applyFill="1" applyAlignment="1">
      <alignment vertical="center" wrapText="1"/>
    </xf>
    <xf numFmtId="0" fontId="5" fillId="5" borderId="94" xfId="0" applyFont="1" applyFill="1" applyBorder="1" applyAlignment="1">
      <alignment horizontal="left" vertical="center" indent="1" shrinkToFit="1"/>
    </xf>
    <xf numFmtId="0" fontId="5" fillId="5" borderId="95" xfId="0" applyFont="1" applyFill="1" applyBorder="1" applyAlignment="1">
      <alignment horizontal="left" vertical="center" indent="1" shrinkToFit="1"/>
    </xf>
    <xf numFmtId="0" fontId="5" fillId="5" borderId="96" xfId="0" applyFont="1" applyFill="1" applyBorder="1" applyAlignment="1">
      <alignment horizontal="left" vertical="center" indent="1" shrinkToFit="1"/>
    </xf>
    <xf numFmtId="0" fontId="5" fillId="5" borderId="97" xfId="0" applyFont="1" applyFill="1" applyBorder="1" applyAlignment="1">
      <alignment horizontal="left" vertical="center" indent="1" shrinkToFit="1"/>
    </xf>
    <xf numFmtId="0" fontId="5" fillId="5" borderId="98" xfId="0" applyFont="1" applyFill="1" applyBorder="1" applyAlignment="1">
      <alignment horizontal="left" vertical="center" indent="1" shrinkToFit="1"/>
    </xf>
    <xf numFmtId="0" fontId="5" fillId="5" borderId="99" xfId="0" applyFont="1" applyFill="1" applyBorder="1" applyAlignment="1">
      <alignment horizontal="left" vertical="center" indent="1" shrinkToFit="1"/>
    </xf>
    <xf numFmtId="0" fontId="5" fillId="5" borderId="100" xfId="0" applyFont="1" applyFill="1" applyBorder="1" applyAlignment="1">
      <alignment horizontal="left" vertical="center" indent="1" shrinkToFit="1"/>
    </xf>
    <xf numFmtId="0" fontId="5" fillId="5" borderId="101" xfId="0" applyFont="1" applyFill="1" applyBorder="1" applyAlignment="1">
      <alignment horizontal="left" vertical="center" indent="1" shrinkToFit="1"/>
    </xf>
    <xf numFmtId="0" fontId="5" fillId="5" borderId="102" xfId="0" applyFont="1" applyFill="1" applyBorder="1" applyAlignment="1">
      <alignment horizontal="left" vertical="center" indent="1" shrinkToFit="1"/>
    </xf>
    <xf numFmtId="0" fontId="46" fillId="18" borderId="0" xfId="0" applyFont="1" applyFill="1" applyAlignment="1">
      <alignment horizontal="right"/>
    </xf>
    <xf numFmtId="0" fontId="148" fillId="18" borderId="0" xfId="5" applyFont="1" applyFill="1"/>
    <xf numFmtId="0" fontId="46" fillId="18" borderId="0" xfId="0" applyFont="1" applyFill="1" applyAlignment="1">
      <alignment horizontal="left" indent="1"/>
    </xf>
    <xf numFmtId="0" fontId="5" fillId="5" borderId="0" xfId="0" quotePrefix="1" applyFont="1" applyFill="1"/>
    <xf numFmtId="0" fontId="78" fillId="48" borderId="0" xfId="0" applyFont="1" applyFill="1" applyAlignment="1">
      <alignment vertical="top" wrapText="1"/>
    </xf>
    <xf numFmtId="0" fontId="5" fillId="48" borderId="0" xfId="0" applyFont="1" applyFill="1" applyAlignment="1">
      <alignment vertical="top"/>
    </xf>
    <xf numFmtId="0" fontId="149" fillId="0" borderId="0" xfId="0" applyFont="1"/>
    <xf numFmtId="0" fontId="5" fillId="5" borderId="22" xfId="0" applyFont="1" applyFill="1" applyBorder="1"/>
    <xf numFmtId="0" fontId="46" fillId="5" borderId="0" xfId="0" applyFont="1" applyFill="1"/>
    <xf numFmtId="0" fontId="138" fillId="5" borderId="0" xfId="0" applyFont="1" applyFill="1"/>
    <xf numFmtId="14" fontId="5" fillId="5" borderId="0" xfId="0" applyNumberFormat="1" applyFont="1" applyFill="1"/>
    <xf numFmtId="49" fontId="5" fillId="5" borderId="0" xfId="0" applyNumberFormat="1" applyFont="1" applyFill="1"/>
    <xf numFmtId="49" fontId="5" fillId="5" borderId="0" xfId="0" quotePrefix="1" applyNumberFormat="1" applyFont="1" applyFill="1"/>
    <xf numFmtId="1" fontId="5" fillId="5" borderId="0" xfId="0" applyNumberFormat="1" applyFont="1" applyFill="1" applyAlignment="1">
      <alignment horizontal="center" vertical="center"/>
    </xf>
    <xf numFmtId="0" fontId="46" fillId="0" borderId="11" xfId="0" applyFont="1" applyBorder="1" applyAlignment="1">
      <alignment horizontal="right"/>
    </xf>
    <xf numFmtId="0" fontId="46" fillId="0" borderId="12" xfId="0" applyFont="1" applyBorder="1" applyAlignment="1">
      <alignment horizontal="right"/>
    </xf>
    <xf numFmtId="0" fontId="46" fillId="0" borderId="13" xfId="0" applyFont="1" applyBorder="1" applyAlignment="1">
      <alignment horizontal="right"/>
    </xf>
    <xf numFmtId="0" fontId="46" fillId="5" borderId="0" xfId="0" quotePrefix="1" applyFont="1" applyFill="1"/>
    <xf numFmtId="0" fontId="5" fillId="47" borderId="103" xfId="0" applyFont="1" applyFill="1" applyBorder="1"/>
    <xf numFmtId="0" fontId="5" fillId="47" borderId="104" xfId="0" applyFont="1" applyFill="1" applyBorder="1"/>
    <xf numFmtId="0" fontId="5" fillId="47" borderId="105" xfId="0" applyFont="1" applyFill="1" applyBorder="1"/>
    <xf numFmtId="0" fontId="5" fillId="47" borderId="106" xfId="0" applyFont="1" applyFill="1" applyBorder="1"/>
    <xf numFmtId="0" fontId="5" fillId="47" borderId="0" xfId="0" applyFont="1" applyFill="1"/>
    <xf numFmtId="0" fontId="5" fillId="47" borderId="107" xfId="0" applyFont="1" applyFill="1" applyBorder="1"/>
    <xf numFmtId="0" fontId="5" fillId="47" borderId="108" xfId="0" applyFont="1" applyFill="1" applyBorder="1"/>
    <xf numFmtId="0" fontId="5" fillId="47" borderId="41" xfId="0" applyFont="1" applyFill="1" applyBorder="1"/>
    <xf numFmtId="0" fontId="5" fillId="47" borderId="109" xfId="0" applyFont="1" applyFill="1" applyBorder="1"/>
    <xf numFmtId="175" fontId="20" fillId="20" borderId="0" xfId="0" applyNumberFormat="1" applyFont="1" applyFill="1" applyAlignment="1">
      <alignment horizontal="left" indent="1"/>
    </xf>
    <xf numFmtId="0" fontId="9" fillId="0" borderId="0" xfId="0" quotePrefix="1" applyFont="1"/>
    <xf numFmtId="0" fontId="78" fillId="0" borderId="0" xfId="0" quotePrefix="1" applyFont="1"/>
    <xf numFmtId="1" fontId="5" fillId="5" borderId="0" xfId="0" quotePrefix="1" applyNumberFormat="1" applyFont="1" applyFill="1"/>
    <xf numFmtId="0" fontId="20" fillId="5" borderId="111" xfId="0" applyFont="1" applyFill="1" applyBorder="1" applyAlignment="1">
      <alignment horizontal="left" indent="1"/>
    </xf>
    <xf numFmtId="0" fontId="20" fillId="5" borderId="111" xfId="0" applyFont="1" applyFill="1" applyBorder="1" applyAlignment="1">
      <alignment horizontal="left"/>
    </xf>
    <xf numFmtId="175" fontId="20" fillId="20" borderId="0" xfId="0" applyNumberFormat="1" applyFont="1" applyFill="1" applyAlignment="1">
      <alignment horizontal="left"/>
    </xf>
    <xf numFmtId="0" fontId="45" fillId="5" borderId="0" xfId="0" applyFont="1" applyFill="1"/>
    <xf numFmtId="2" fontId="5" fillId="21" borderId="0" xfId="0" applyNumberFormat="1" applyFont="1" applyFill="1"/>
    <xf numFmtId="0" fontId="107" fillId="21" borderId="0" xfId="0" applyFont="1" applyFill="1" applyAlignment="1">
      <alignment horizontal="left" vertical="center" indent="1"/>
    </xf>
    <xf numFmtId="0" fontId="53" fillId="17" borderId="17" xfId="0" applyFont="1" applyFill="1" applyBorder="1" applyAlignment="1">
      <alignment horizontal="left" vertical="center"/>
    </xf>
    <xf numFmtId="0" fontId="53" fillId="17" borderId="17" xfId="0" applyFont="1" applyFill="1" applyBorder="1" applyAlignment="1">
      <alignment horizontal="left" vertical="center" indent="2"/>
    </xf>
    <xf numFmtId="0" fontId="5" fillId="5" borderId="23" xfId="0" applyFont="1" applyFill="1" applyBorder="1" applyAlignment="1">
      <alignment horizontal="left" indent="1"/>
    </xf>
    <xf numFmtId="0" fontId="5" fillId="5" borderId="115" xfId="0" applyFont="1" applyFill="1" applyBorder="1" applyAlignment="1">
      <alignment horizontal="left" indent="1"/>
    </xf>
    <xf numFmtId="0" fontId="5" fillId="5" borderId="24" xfId="0" applyFont="1" applyFill="1" applyBorder="1" applyAlignment="1">
      <alignment horizontal="left" indent="1"/>
    </xf>
    <xf numFmtId="0" fontId="108" fillId="0" borderId="0" xfId="0" applyFont="1" applyAlignment="1">
      <alignment horizontal="left" indent="2"/>
    </xf>
    <xf numFmtId="0" fontId="25" fillId="20" borderId="0" xfId="0" applyFont="1" applyFill="1"/>
    <xf numFmtId="0" fontId="154" fillId="20" borderId="0" xfId="0" applyFont="1" applyFill="1"/>
    <xf numFmtId="0" fontId="25" fillId="20" borderId="0" xfId="0" applyFont="1" applyFill="1" applyAlignment="1">
      <alignment horizontal="center"/>
    </xf>
    <xf numFmtId="0" fontId="25" fillId="20" borderId="0" xfId="0" applyFont="1" applyFill="1" applyAlignment="1">
      <alignment horizontal="left" indent="1"/>
    </xf>
    <xf numFmtId="0" fontId="155" fillId="20" borderId="0" xfId="0" applyFont="1" applyFill="1"/>
    <xf numFmtId="0" fontId="5" fillId="23" borderId="0" xfId="0" applyFont="1" applyFill="1" applyAlignment="1">
      <alignment vertical="center"/>
    </xf>
    <xf numFmtId="0" fontId="69" fillId="23" borderId="0" xfId="0" applyFont="1" applyFill="1" applyAlignment="1">
      <alignment horizontal="right" vertical="center"/>
    </xf>
    <xf numFmtId="0" fontId="157" fillId="0" borderId="0" xfId="0" applyFont="1"/>
    <xf numFmtId="0" fontId="46" fillId="5" borderId="0" xfId="0" applyFont="1" applyFill="1" applyAlignment="1">
      <alignment horizontal="left"/>
    </xf>
    <xf numFmtId="0" fontId="158" fillId="5" borderId="0" xfId="0" applyFont="1" applyFill="1"/>
    <xf numFmtId="0" fontId="45" fillId="5" borderId="0" xfId="0" quotePrefix="1" applyFont="1" applyFill="1"/>
    <xf numFmtId="0" fontId="5" fillId="5" borderId="110" xfId="0" applyFont="1" applyFill="1" applyBorder="1"/>
    <xf numFmtId="0" fontId="5" fillId="5" borderId="110" xfId="0" applyFont="1" applyFill="1" applyBorder="1" applyAlignment="1">
      <alignment horizontal="left" indent="1"/>
    </xf>
    <xf numFmtId="0" fontId="5" fillId="0" borderId="110" xfId="0" applyFont="1" applyBorder="1"/>
    <xf numFmtId="0" fontId="5" fillId="20" borderId="0" xfId="0" quotePrefix="1" applyFont="1" applyFill="1"/>
    <xf numFmtId="0" fontId="159" fillId="0" borderId="0" xfId="0" applyFont="1"/>
    <xf numFmtId="0" fontId="20" fillId="5" borderId="0" xfId="0" applyFont="1" applyFill="1"/>
    <xf numFmtId="9" fontId="5" fillId="5" borderId="0" xfId="0" applyNumberFormat="1" applyFont="1" applyFill="1"/>
    <xf numFmtId="0" fontId="133" fillId="0" borderId="0" xfId="0" applyFont="1" applyAlignment="1">
      <alignment vertical="center"/>
    </xf>
    <xf numFmtId="0" fontId="25" fillId="20" borderId="0" xfId="0" applyFont="1" applyFill="1" applyAlignment="1">
      <alignment horizontal="left"/>
    </xf>
    <xf numFmtId="0" fontId="154" fillId="20" borderId="0" xfId="0" applyFont="1" applyFill="1" applyAlignment="1">
      <alignment horizontal="left"/>
    </xf>
    <xf numFmtId="9" fontId="25" fillId="20" borderId="0" xfId="3" applyFont="1" applyFill="1" applyAlignment="1">
      <alignment horizontal="center"/>
    </xf>
    <xf numFmtId="0" fontId="129" fillId="51" borderId="0" xfId="0" applyFont="1" applyFill="1" applyAlignment="1">
      <alignment horizontal="center" vertical="center"/>
    </xf>
    <xf numFmtId="0" fontId="162" fillId="20" borderId="0" xfId="0" applyFont="1" applyFill="1" applyAlignment="1">
      <alignment horizontal="center"/>
    </xf>
    <xf numFmtId="0" fontId="163" fillId="36" borderId="0" xfId="0" applyFont="1" applyFill="1"/>
    <xf numFmtId="0" fontId="163" fillId="0" borderId="0" xfId="0" applyFont="1" applyAlignment="1">
      <alignment horizontal="left" indent="1"/>
    </xf>
    <xf numFmtId="0" fontId="164" fillId="0" borderId="0" xfId="0" applyFont="1"/>
    <xf numFmtId="0" fontId="165" fillId="0" borderId="0" xfId="0" applyFont="1"/>
    <xf numFmtId="0" fontId="166" fillId="0" borderId="0" xfId="0" applyFont="1"/>
    <xf numFmtId="0" fontId="168" fillId="13" borderId="0" xfId="0" applyFont="1" applyFill="1"/>
    <xf numFmtId="0" fontId="5" fillId="13" borderId="0" xfId="0" applyFont="1" applyFill="1"/>
    <xf numFmtId="0" fontId="169" fillId="0" borderId="0" xfId="0" applyFont="1"/>
    <xf numFmtId="0" fontId="170" fillId="0" borderId="0" xfId="0" applyFont="1"/>
    <xf numFmtId="0" fontId="170" fillId="0" borderId="0" xfId="0" applyFont="1" applyAlignment="1">
      <alignment shrinkToFit="1"/>
    </xf>
    <xf numFmtId="0" fontId="171" fillId="0" borderId="0" xfId="0" applyFont="1" applyAlignment="1">
      <alignment vertical="center"/>
    </xf>
    <xf numFmtId="0" fontId="46" fillId="0" borderId="0" xfId="0" applyFont="1" applyAlignment="1">
      <alignment horizontal="right"/>
    </xf>
    <xf numFmtId="0" fontId="20" fillId="0" borderId="0" xfId="0" applyFont="1"/>
    <xf numFmtId="0" fontId="133" fillId="0" borderId="0" xfId="0" applyFont="1" applyAlignment="1">
      <alignment horizontal="left" indent="1"/>
    </xf>
    <xf numFmtId="0" fontId="158" fillId="0" borderId="0" xfId="0" applyFont="1"/>
    <xf numFmtId="0" fontId="49" fillId="0" borderId="0" xfId="0" applyFont="1" applyAlignment="1">
      <alignment horizontal="left" indent="1"/>
    </xf>
    <xf numFmtId="0" fontId="172" fillId="12" borderId="0" xfId="0" applyFont="1" applyFill="1"/>
    <xf numFmtId="0" fontId="173" fillId="12" borderId="0" xfId="0" applyFont="1" applyFill="1"/>
    <xf numFmtId="0" fontId="110" fillId="0" borderId="0" xfId="0" applyFont="1" applyAlignment="1">
      <alignment horizontal="left"/>
    </xf>
    <xf numFmtId="0" fontId="174" fillId="0" borderId="0" xfId="0" applyFont="1"/>
    <xf numFmtId="0" fontId="175" fillId="48" borderId="0" xfId="0" applyFont="1" applyFill="1" applyAlignment="1">
      <alignment vertical="top"/>
    </xf>
    <xf numFmtId="0" fontId="5" fillId="48" borderId="0" xfId="0" applyFont="1" applyFill="1" applyAlignment="1">
      <alignment vertical="center"/>
    </xf>
    <xf numFmtId="0" fontId="9" fillId="32" borderId="0" xfId="0" applyFont="1" applyFill="1" applyAlignment="1">
      <alignment vertical="center"/>
    </xf>
    <xf numFmtId="0" fontId="46" fillId="25" borderId="0" xfId="0" applyFont="1" applyFill="1" applyAlignment="1">
      <alignment horizontal="left" vertical="center" indent="1"/>
    </xf>
    <xf numFmtId="2" fontId="109" fillId="0" borderId="0" xfId="0" applyNumberFormat="1" applyFont="1" applyAlignment="1">
      <alignment horizontal="left" indent="1"/>
    </xf>
    <xf numFmtId="2" fontId="178" fillId="3" borderId="0" xfId="0" applyNumberFormat="1" applyFont="1" applyFill="1" applyAlignment="1">
      <alignment horizontal="left" vertical="center" indent="1"/>
    </xf>
    <xf numFmtId="0" fontId="44" fillId="17" borderId="0" xfId="0" applyFont="1" applyFill="1" applyAlignment="1">
      <alignment horizontal="left" shrinkToFit="1"/>
    </xf>
    <xf numFmtId="0" fontId="179" fillId="21" borderId="0" xfId="0" applyFont="1" applyFill="1"/>
    <xf numFmtId="14" fontId="115" fillId="5" borderId="17" xfId="0" applyNumberFormat="1" applyFont="1" applyFill="1" applyBorder="1"/>
    <xf numFmtId="0" fontId="115" fillId="5" borderId="0" xfId="0" applyFont="1" applyFill="1"/>
    <xf numFmtId="177" fontId="138" fillId="18" borderId="0" xfId="0" applyNumberFormat="1" applyFont="1" applyFill="1"/>
    <xf numFmtId="2" fontId="177" fillId="0" borderId="0" xfId="0" applyNumberFormat="1" applyFont="1" applyAlignment="1">
      <alignment horizontal="left" indent="1"/>
    </xf>
    <xf numFmtId="0" fontId="180" fillId="3" borderId="0" xfId="0" applyFont="1" applyFill="1" applyAlignment="1">
      <alignment horizontal="right" vertical="center"/>
    </xf>
    <xf numFmtId="0" fontId="43" fillId="5" borderId="5" xfId="0" applyFont="1" applyFill="1" applyBorder="1" applyAlignment="1">
      <alignment horizontal="left" indent="1" shrinkToFit="1"/>
    </xf>
    <xf numFmtId="177" fontId="138" fillId="47" borderId="0" xfId="0" applyNumberFormat="1" applyFont="1" applyFill="1"/>
    <xf numFmtId="0" fontId="5" fillId="5" borderId="0" xfId="0" applyFont="1" applyFill="1" applyAlignment="1">
      <alignment horizontal="center"/>
    </xf>
    <xf numFmtId="2" fontId="46" fillId="0" borderId="0" xfId="0" applyNumberFormat="1" applyFont="1" applyAlignment="1">
      <alignment shrinkToFit="1"/>
    </xf>
    <xf numFmtId="0" fontId="181" fillId="0" borderId="0" xfId="0" applyFont="1"/>
    <xf numFmtId="177" fontId="182" fillId="18" borderId="0" xfId="0" applyNumberFormat="1" applyFont="1" applyFill="1"/>
    <xf numFmtId="0" fontId="25" fillId="0" borderId="0" xfId="0" applyFont="1" applyAlignment="1">
      <alignment horizontal="left" vertical="center" indent="1"/>
    </xf>
    <xf numFmtId="177" fontId="138" fillId="52" borderId="0" xfId="0" applyNumberFormat="1" applyFont="1" applyFill="1"/>
    <xf numFmtId="0" fontId="5" fillId="52" borderId="0" xfId="0" applyFont="1" applyFill="1"/>
    <xf numFmtId="2" fontId="5" fillId="0" borderId="0" xfId="0" applyNumberFormat="1" applyFont="1" applyAlignment="1">
      <alignment vertical="top" shrinkToFit="1"/>
    </xf>
    <xf numFmtId="0" fontId="5" fillId="50" borderId="0" xfId="0" applyFont="1" applyFill="1"/>
    <xf numFmtId="0" fontId="46" fillId="50" borderId="0" xfId="0" applyFont="1" applyFill="1"/>
    <xf numFmtId="165" fontId="5" fillId="53" borderId="0" xfId="0" applyNumberFormat="1" applyFont="1" applyFill="1" applyAlignment="1">
      <alignment shrinkToFit="1"/>
    </xf>
    <xf numFmtId="165" fontId="5" fillId="50" borderId="0" xfId="0" applyNumberFormat="1" applyFont="1" applyFill="1" applyAlignment="1">
      <alignment shrinkToFit="1"/>
    </xf>
    <xf numFmtId="2" fontId="46" fillId="0" borderId="0" xfId="0" quotePrefix="1" applyNumberFormat="1" applyFont="1" applyAlignment="1">
      <alignment shrinkToFit="1"/>
    </xf>
    <xf numFmtId="0" fontId="183" fillId="24" borderId="0" xfId="0" applyFont="1" applyFill="1" applyAlignment="1">
      <alignment horizontal="right" vertical="center" indent="1"/>
    </xf>
    <xf numFmtId="0" fontId="183" fillId="3" borderId="0" xfId="0" applyFont="1" applyFill="1" applyAlignment="1">
      <alignment horizontal="right"/>
    </xf>
    <xf numFmtId="0" fontId="20" fillId="5" borderId="112" xfId="0" applyFont="1" applyFill="1" applyBorder="1" applyAlignment="1">
      <alignment horizontal="left" indent="1"/>
    </xf>
    <xf numFmtId="0" fontId="46" fillId="0" borderId="0" xfId="0" applyFont="1" applyAlignment="1">
      <alignment vertical="center"/>
    </xf>
    <xf numFmtId="0" fontId="184" fillId="0" borderId="0" xfId="0" applyFont="1"/>
    <xf numFmtId="0" fontId="184" fillId="0" borderId="0" xfId="0" applyFont="1" applyAlignment="1">
      <alignment horizontal="center" vertical="center"/>
    </xf>
    <xf numFmtId="0" fontId="185" fillId="36" borderId="0" xfId="0" applyFont="1" applyFill="1" applyAlignment="1">
      <alignment horizontal="center" vertical="center"/>
    </xf>
    <xf numFmtId="0" fontId="46" fillId="36" borderId="0" xfId="0" applyFont="1" applyFill="1" applyAlignment="1">
      <alignment vertical="center"/>
    </xf>
    <xf numFmtId="0" fontId="186" fillId="36" borderId="0" xfId="0" applyFont="1" applyFill="1" applyAlignment="1">
      <alignment vertical="center"/>
    </xf>
    <xf numFmtId="0" fontId="49" fillId="0" borderId="0" xfId="0" quotePrefix="1" applyFont="1"/>
    <xf numFmtId="0" fontId="4" fillId="5" borderId="0" xfId="5" applyFill="1"/>
    <xf numFmtId="0" fontId="5" fillId="5" borderId="0" xfId="0" applyFont="1" applyFill="1" applyAlignment="1">
      <alignment horizontal="right"/>
    </xf>
    <xf numFmtId="0" fontId="87" fillId="5" borderId="0" xfId="0" applyFont="1" applyFill="1" applyAlignment="1">
      <alignment horizontal="right"/>
    </xf>
    <xf numFmtId="0" fontId="160" fillId="5" borderId="0" xfId="0" applyFont="1" applyFill="1"/>
    <xf numFmtId="1" fontId="5" fillId="5" borderId="0" xfId="0" applyNumberFormat="1" applyFont="1" applyFill="1"/>
    <xf numFmtId="1" fontId="5" fillId="5" borderId="0" xfId="0" applyNumberFormat="1" applyFont="1" applyFill="1" applyAlignment="1">
      <alignment shrinkToFit="1"/>
    </xf>
    <xf numFmtId="0" fontId="187" fillId="5" borderId="0" xfId="0" applyFont="1" applyFill="1"/>
    <xf numFmtId="0" fontId="188" fillId="5" borderId="0" xfId="0" applyFont="1" applyFill="1"/>
    <xf numFmtId="0" fontId="187" fillId="36" borderId="0" xfId="0" applyFont="1" applyFill="1"/>
    <xf numFmtId="0" fontId="5" fillId="20" borderId="0" xfId="0" applyFont="1" applyFill="1" applyAlignment="1">
      <alignment vertical="top" wrapText="1"/>
    </xf>
    <xf numFmtId="0" fontId="187" fillId="5" borderId="0" xfId="0" quotePrefix="1" applyFont="1" applyFill="1"/>
    <xf numFmtId="0" fontId="160" fillId="0" borderId="0" xfId="0" applyFont="1"/>
    <xf numFmtId="0" fontId="20" fillId="5" borderId="111" xfId="0" applyFont="1" applyFill="1" applyBorder="1" applyAlignment="1">
      <alignment horizontal="left" shrinkToFit="1"/>
    </xf>
    <xf numFmtId="0" fontId="20" fillId="13" borderId="0" xfId="0" applyFont="1" applyFill="1"/>
    <xf numFmtId="0" fontId="20" fillId="54" borderId="111" xfId="0" applyFont="1" applyFill="1" applyBorder="1" applyAlignment="1">
      <alignment horizontal="left"/>
    </xf>
    <xf numFmtId="0" fontId="5" fillId="20" borderId="0" xfId="0" applyFont="1" applyFill="1" applyAlignment="1">
      <alignment horizontal="right" vertical="top"/>
    </xf>
    <xf numFmtId="0" fontId="187" fillId="55" borderId="0" xfId="0" quotePrefix="1" applyFont="1" applyFill="1"/>
    <xf numFmtId="0" fontId="5" fillId="55" borderId="0" xfId="0" applyFont="1" applyFill="1"/>
    <xf numFmtId="0" fontId="187" fillId="55" borderId="0" xfId="0" applyFont="1" applyFill="1"/>
    <xf numFmtId="0" fontId="5" fillId="20" borderId="0" xfId="0" quotePrefix="1" applyFont="1" applyFill="1" applyAlignment="1">
      <alignment horizontal="right" vertical="center"/>
    </xf>
    <xf numFmtId="0" fontId="166" fillId="5" borderId="0" xfId="0" applyFont="1" applyFill="1"/>
    <xf numFmtId="0" fontId="189" fillId="5" borderId="0" xfId="0" applyFont="1" applyFill="1"/>
    <xf numFmtId="0" fontId="5" fillId="20" borderId="0" xfId="0" applyFont="1" applyFill="1" applyAlignment="1">
      <alignment vertical="top"/>
    </xf>
    <xf numFmtId="0" fontId="190" fillId="5" borderId="0" xfId="0" applyFont="1" applyFill="1"/>
    <xf numFmtId="0" fontId="191" fillId="0" borderId="0" xfId="0" applyFont="1" applyAlignment="1">
      <alignment wrapText="1"/>
    </xf>
    <xf numFmtId="0" fontId="0" fillId="0" borderId="0" xfId="0" applyAlignment="1">
      <alignment vertical="center" wrapText="1"/>
    </xf>
    <xf numFmtId="3" fontId="3" fillId="0" borderId="0" xfId="0" applyNumberFormat="1" applyFont="1"/>
    <xf numFmtId="10" fontId="46" fillId="0" borderId="0" xfId="3" applyNumberFormat="1" applyFont="1"/>
    <xf numFmtId="10" fontId="192" fillId="0" borderId="0" xfId="3" applyNumberFormat="1" applyFont="1"/>
    <xf numFmtId="0" fontId="5" fillId="0" borderId="123" xfId="0" applyFont="1" applyBorder="1"/>
    <xf numFmtId="0" fontId="194" fillId="20" borderId="124" xfId="0" applyFont="1" applyFill="1" applyBorder="1" applyAlignment="1">
      <alignment horizontal="right"/>
    </xf>
    <xf numFmtId="0" fontId="193" fillId="20" borderId="124" xfId="0" applyFont="1" applyFill="1" applyBorder="1" applyAlignment="1">
      <alignment horizontal="left"/>
    </xf>
    <xf numFmtId="0" fontId="25" fillId="20" borderId="124" xfId="0" applyFont="1" applyFill="1" applyBorder="1" applyAlignment="1">
      <alignment horizontal="left"/>
    </xf>
    <xf numFmtId="9" fontId="25" fillId="20" borderId="124" xfId="3" applyFont="1" applyFill="1" applyBorder="1" applyAlignment="1">
      <alignment horizontal="center"/>
    </xf>
    <xf numFmtId="0" fontId="195" fillId="5" borderId="0" xfId="0" quotePrefix="1" applyFont="1" applyFill="1"/>
    <xf numFmtId="0" fontId="87" fillId="5" borderId="128" xfId="0" applyFont="1" applyFill="1" applyBorder="1" applyAlignment="1">
      <alignment horizontal="center"/>
    </xf>
    <xf numFmtId="0" fontId="18" fillId="47" borderId="0" xfId="0" applyFont="1" applyFill="1" applyAlignment="1">
      <alignment horizontal="right"/>
    </xf>
    <xf numFmtId="0" fontId="18" fillId="5" borderId="128" xfId="0" applyFont="1" applyFill="1" applyBorder="1" applyAlignment="1">
      <alignment horizontal="center"/>
    </xf>
    <xf numFmtId="0" fontId="5" fillId="48" borderId="0" xfId="0" applyFont="1" applyFill="1" applyAlignment="1">
      <alignment horizontal="left"/>
    </xf>
    <xf numFmtId="0" fontId="5" fillId="48" borderId="0" xfId="0" applyFont="1" applyFill="1" applyAlignment="1">
      <alignment horizontal="left" indent="2"/>
    </xf>
    <xf numFmtId="0" fontId="87" fillId="48" borderId="0" xfId="0" applyFont="1" applyFill="1" applyAlignment="1">
      <alignment horizontal="right" indent="1"/>
    </xf>
    <xf numFmtId="0" fontId="5" fillId="5" borderId="132" xfId="0" applyFont="1" applyFill="1" applyBorder="1"/>
    <xf numFmtId="0" fontId="5" fillId="5" borderId="133" xfId="0" applyFont="1" applyFill="1" applyBorder="1"/>
    <xf numFmtId="0" fontId="201" fillId="56" borderId="0" xfId="0" applyFont="1" applyFill="1"/>
    <xf numFmtId="2" fontId="203" fillId="5" borderId="0" xfId="0" applyNumberFormat="1" applyFont="1" applyFill="1"/>
    <xf numFmtId="0" fontId="5" fillId="0" borderId="12" xfId="0" quotePrefix="1" applyFont="1" applyBorder="1"/>
    <xf numFmtId="0" fontId="160" fillId="5" borderId="0" xfId="0" quotePrefix="1" applyFont="1" applyFill="1"/>
    <xf numFmtId="0" fontId="207" fillId="40" borderId="0" xfId="0" applyFont="1" applyFill="1" applyAlignment="1">
      <alignment horizontal="left" indent="2"/>
    </xf>
    <xf numFmtId="0" fontId="5" fillId="48" borderId="0" xfId="0" quotePrefix="1" applyFont="1" applyFill="1"/>
    <xf numFmtId="0" fontId="78" fillId="48" borderId="0" xfId="0" applyFont="1" applyFill="1" applyAlignment="1">
      <alignment vertical="top"/>
    </xf>
    <xf numFmtId="0" fontId="211" fillId="20" borderId="0" xfId="5" applyFont="1" applyFill="1" applyAlignment="1">
      <alignment horizontal="left" vertical="center"/>
    </xf>
    <xf numFmtId="0" fontId="213" fillId="5" borderId="0" xfId="0" applyFont="1" applyFill="1"/>
    <xf numFmtId="0" fontId="5" fillId="5" borderId="139" xfId="0" applyFont="1" applyFill="1" applyBorder="1" applyAlignment="1">
      <alignment horizontal="center" vertical="center"/>
    </xf>
    <xf numFmtId="0" fontId="214" fillId="48" borderId="0" xfId="0" applyFont="1" applyFill="1" applyAlignment="1">
      <alignment vertical="center"/>
    </xf>
    <xf numFmtId="0" fontId="5" fillId="27" borderId="0" xfId="0" quotePrefix="1" applyFont="1" applyFill="1"/>
    <xf numFmtId="0" fontId="42" fillId="0" borderId="0" xfId="0" applyFont="1"/>
    <xf numFmtId="0" fontId="44" fillId="0" borderId="0" xfId="0" quotePrefix="1" applyFont="1"/>
    <xf numFmtId="0" fontId="0" fillId="0" borderId="76" xfId="0" applyBorder="1"/>
    <xf numFmtId="0" fontId="20" fillId="48" borderId="0" xfId="0" applyFont="1" applyFill="1"/>
    <xf numFmtId="0" fontId="215" fillId="48" borderId="0" xfId="0" applyFont="1" applyFill="1"/>
    <xf numFmtId="0" fontId="216" fillId="5" borderId="0" xfId="0" applyFont="1" applyFill="1"/>
    <xf numFmtId="0" fontId="87" fillId="48" borderId="0" xfId="0" applyFont="1" applyFill="1"/>
    <xf numFmtId="0" fontId="87" fillId="5" borderId="0" xfId="0" applyFont="1" applyFill="1"/>
    <xf numFmtId="0" fontId="87" fillId="21" borderId="0" xfId="0" applyFont="1" applyFill="1"/>
    <xf numFmtId="0" fontId="217" fillId="5" borderId="0" xfId="0" applyFont="1" applyFill="1"/>
    <xf numFmtId="0" fontId="5" fillId="5" borderId="0" xfId="0" applyFont="1" applyFill="1" applyAlignment="1">
      <alignment horizontal="left" vertical="top"/>
    </xf>
    <xf numFmtId="0" fontId="5" fillId="21" borderId="0" xfId="0" applyFont="1" applyFill="1" applyAlignment="1">
      <alignment horizontal="left" vertical="top"/>
    </xf>
    <xf numFmtId="0" fontId="218" fillId="0" borderId="0" xfId="0" applyFont="1"/>
    <xf numFmtId="0" fontId="5" fillId="48" borderId="12" xfId="0" applyFont="1" applyFill="1" applyBorder="1"/>
    <xf numFmtId="0" fontId="87" fillId="48" borderId="0" xfId="0" applyFont="1" applyFill="1" applyAlignment="1">
      <alignment horizontal="right"/>
    </xf>
    <xf numFmtId="0" fontId="5" fillId="49" borderId="0" xfId="0" applyFont="1" applyFill="1"/>
    <xf numFmtId="0" fontId="220" fillId="55" borderId="0" xfId="0" applyFont="1" applyFill="1"/>
    <xf numFmtId="0" fontId="203" fillId="55" borderId="0" xfId="0" applyFont="1" applyFill="1"/>
    <xf numFmtId="0" fontId="216" fillId="55" borderId="0" xfId="0" applyFont="1" applyFill="1"/>
    <xf numFmtId="44" fontId="5" fillId="48" borderId="147" xfId="2" applyFont="1" applyFill="1" applyBorder="1"/>
    <xf numFmtId="0" fontId="5" fillId="48" borderId="150" xfId="0" applyFont="1" applyFill="1" applyBorder="1"/>
    <xf numFmtId="0" fontId="5" fillId="48" borderId="151" xfId="0" applyFont="1" applyFill="1" applyBorder="1"/>
    <xf numFmtId="0" fontId="222" fillId="5" borderId="0" xfId="0" applyFont="1" applyFill="1"/>
    <xf numFmtId="0" fontId="223" fillId="55" borderId="0" xfId="0" applyFont="1" applyFill="1"/>
    <xf numFmtId="44" fontId="46" fillId="48" borderId="147" xfId="2" applyFont="1" applyFill="1" applyBorder="1"/>
    <xf numFmtId="0" fontId="46" fillId="48" borderId="13" xfId="0" applyFont="1" applyFill="1" applyBorder="1" applyAlignment="1">
      <alignment horizontal="center" vertical="center"/>
    </xf>
    <xf numFmtId="1" fontId="5" fillId="48" borderId="76" xfId="2" applyNumberFormat="1" applyFont="1" applyFill="1" applyBorder="1" applyAlignment="1">
      <alignment shrinkToFit="1"/>
    </xf>
    <xf numFmtId="44" fontId="5" fillId="48" borderId="0" xfId="0" applyNumberFormat="1" applyFont="1" applyFill="1" applyAlignment="1">
      <alignment shrinkToFit="1"/>
    </xf>
    <xf numFmtId="0" fontId="5" fillId="48" borderId="0" xfId="0" applyFont="1" applyFill="1" applyAlignment="1">
      <alignment shrinkToFit="1"/>
    </xf>
    <xf numFmtId="0" fontId="5" fillId="5" borderId="0" xfId="0" applyFont="1" applyFill="1" applyAlignment="1">
      <alignment shrinkToFit="1"/>
    </xf>
    <xf numFmtId="178" fontId="5" fillId="48" borderId="0" xfId="0" applyNumberFormat="1" applyFont="1" applyFill="1" applyAlignment="1">
      <alignment shrinkToFit="1"/>
    </xf>
    <xf numFmtId="44" fontId="5" fillId="5" borderId="0" xfId="0" applyNumberFormat="1" applyFont="1" applyFill="1" applyAlignment="1">
      <alignment shrinkToFit="1"/>
    </xf>
    <xf numFmtId="0" fontId="46" fillId="5" borderId="0" xfId="0" applyFont="1" applyFill="1" applyAlignment="1">
      <alignment shrinkToFit="1"/>
    </xf>
    <xf numFmtId="44" fontId="190" fillId="5" borderId="147" xfId="2" applyFont="1" applyFill="1" applyBorder="1"/>
    <xf numFmtId="44" fontId="190" fillId="48" borderId="147" xfId="2" applyFont="1" applyFill="1" applyBorder="1"/>
    <xf numFmtId="0" fontId="190" fillId="48" borderId="147" xfId="0" applyFont="1" applyFill="1" applyBorder="1" applyAlignment="1">
      <alignment shrinkToFit="1"/>
    </xf>
    <xf numFmtId="0" fontId="224" fillId="5" borderId="147" xfId="0" applyFont="1" applyFill="1" applyBorder="1" applyAlignment="1">
      <alignment shrinkToFit="1"/>
    </xf>
    <xf numFmtId="2" fontId="5" fillId="5" borderId="0" xfId="0" applyNumberFormat="1" applyFont="1" applyFill="1" applyAlignment="1">
      <alignment shrinkToFit="1"/>
    </xf>
    <xf numFmtId="2" fontId="46" fillId="5" borderId="0" xfId="0" applyNumberFormat="1" applyFont="1" applyFill="1"/>
    <xf numFmtId="0" fontId="20" fillId="5" borderId="0" xfId="0" applyFont="1" applyFill="1" applyAlignment="1">
      <alignment horizontal="left" vertical="center" indent="1"/>
    </xf>
    <xf numFmtId="175" fontId="20" fillId="48" borderId="0" xfId="0" applyNumberFormat="1" applyFont="1" applyFill="1" applyAlignment="1">
      <alignment horizontal="right" vertical="center" indent="1"/>
    </xf>
    <xf numFmtId="0" fontId="5" fillId="48" borderId="153" xfId="0" applyFont="1" applyFill="1" applyBorder="1"/>
    <xf numFmtId="0" fontId="20" fillId="48" borderId="156" xfId="0" applyFont="1" applyFill="1" applyBorder="1" applyAlignment="1">
      <alignment horizontal="left" vertical="center" indent="1"/>
    </xf>
    <xf numFmtId="0" fontId="109" fillId="48" borderId="0" xfId="0" applyFont="1" applyFill="1"/>
    <xf numFmtId="0" fontId="5" fillId="48" borderId="156" xfId="0" applyFont="1" applyFill="1" applyBorder="1"/>
    <xf numFmtId="0" fontId="197" fillId="55" borderId="0" xfId="0" applyFont="1" applyFill="1"/>
    <xf numFmtId="0" fontId="219" fillId="55" borderId="0" xfId="0" applyFont="1" applyFill="1" applyAlignment="1">
      <alignment horizontal="left" vertical="center" indent="1"/>
    </xf>
    <xf numFmtId="0" fontId="5" fillId="55" borderId="159" xfId="0" applyFont="1" applyFill="1" applyBorder="1"/>
    <xf numFmtId="0" fontId="5" fillId="55" borderId="160" xfId="0" applyFont="1" applyFill="1" applyBorder="1"/>
    <xf numFmtId="0" fontId="5" fillId="55" borderId="161" xfId="0" applyFont="1" applyFill="1" applyBorder="1"/>
    <xf numFmtId="0" fontId="219" fillId="5" borderId="0" xfId="0" applyFont="1" applyFill="1"/>
    <xf numFmtId="0" fontId="219" fillId="5" borderId="0" xfId="0" applyFont="1" applyFill="1" applyAlignment="1">
      <alignment shrinkToFit="1"/>
    </xf>
    <xf numFmtId="0" fontId="25" fillId="5" borderId="0" xfId="0" applyFont="1" applyFill="1" applyAlignment="1">
      <alignment shrinkToFit="1"/>
    </xf>
    <xf numFmtId="0" fontId="5" fillId="48" borderId="0" xfId="0" applyFont="1" applyFill="1" applyAlignment="1">
      <alignment horizontal="left" vertical="top" indent="2"/>
    </xf>
    <xf numFmtId="0" fontId="9" fillId="55" borderId="0" xfId="0" applyFont="1" applyFill="1" applyAlignment="1">
      <alignment vertical="top"/>
    </xf>
    <xf numFmtId="0" fontId="5" fillId="59" borderId="157" xfId="0" applyFont="1" applyFill="1" applyBorder="1"/>
    <xf numFmtId="0" fontId="225" fillId="59" borderId="157" xfId="0" applyFont="1" applyFill="1" applyBorder="1" applyAlignment="1">
      <alignment vertical="center"/>
    </xf>
    <xf numFmtId="0" fontId="5" fillId="59" borderId="158" xfId="0" applyFont="1" applyFill="1" applyBorder="1"/>
    <xf numFmtId="0" fontId="20" fillId="0" borderId="0" xfId="0" applyFont="1" applyAlignment="1">
      <alignment horizontal="left" vertical="center" indent="1"/>
    </xf>
    <xf numFmtId="0" fontId="20" fillId="0" borderId="0" xfId="0" applyFont="1" applyAlignment="1">
      <alignment horizontal="left" vertical="center"/>
    </xf>
    <xf numFmtId="14" fontId="5" fillId="5" borderId="0" xfId="2" applyNumberFormat="1" applyFont="1" applyFill="1" applyBorder="1" applyAlignment="1">
      <alignment horizontal="left"/>
    </xf>
    <xf numFmtId="166" fontId="5" fillId="5" borderId="0" xfId="0" applyNumberFormat="1" applyFont="1" applyFill="1" applyAlignment="1">
      <alignment horizontal="left"/>
    </xf>
    <xf numFmtId="6" fontId="5" fillId="5" borderId="0" xfId="0" applyNumberFormat="1" applyFont="1" applyFill="1" applyAlignment="1">
      <alignment horizontal="left" indent="1"/>
    </xf>
    <xf numFmtId="166" fontId="5" fillId="5" borderId="0" xfId="0" applyNumberFormat="1" applyFont="1" applyFill="1"/>
    <xf numFmtId="166" fontId="5" fillId="48" borderId="0" xfId="0" applyNumberFormat="1" applyFont="1" applyFill="1" applyAlignment="1">
      <alignment shrinkToFit="1"/>
    </xf>
    <xf numFmtId="0" fontId="226" fillId="0" borderId="0" xfId="0" applyFont="1" applyAlignment="1">
      <alignment vertical="center"/>
    </xf>
    <xf numFmtId="0" fontId="227" fillId="0" borderId="0" xfId="0" applyFont="1" applyAlignment="1">
      <alignment horizontal="right" vertical="center"/>
    </xf>
    <xf numFmtId="0" fontId="228" fillId="0" borderId="0" xfId="0" applyFont="1" applyAlignment="1">
      <alignment vertical="center"/>
    </xf>
    <xf numFmtId="0" fontId="229" fillId="0" borderId="0" xfId="0" applyFont="1" applyAlignment="1">
      <alignment vertical="center"/>
    </xf>
    <xf numFmtId="0" fontId="230" fillId="0" borderId="0" xfId="0" applyFont="1" applyAlignment="1">
      <alignment vertical="center"/>
    </xf>
    <xf numFmtId="0" fontId="231" fillId="0" borderId="0" xfId="0" applyFont="1" applyAlignment="1">
      <alignment vertical="center"/>
    </xf>
    <xf numFmtId="0" fontId="232" fillId="0" borderId="0" xfId="0" applyFont="1" applyAlignment="1">
      <alignment vertical="center"/>
    </xf>
    <xf numFmtId="0" fontId="233" fillId="0" borderId="0" xfId="0" applyFont="1" applyAlignment="1">
      <alignment vertical="center"/>
    </xf>
    <xf numFmtId="0" fontId="234" fillId="0" borderId="0" xfId="0" applyFont="1" applyAlignment="1">
      <alignment vertical="center"/>
    </xf>
    <xf numFmtId="0" fontId="237" fillId="5" borderId="0" xfId="0" applyFont="1" applyFill="1"/>
    <xf numFmtId="0" fontId="238" fillId="5" borderId="0" xfId="0" applyFont="1" applyFill="1"/>
    <xf numFmtId="0" fontId="239" fillId="5" borderId="0" xfId="0" applyFont="1" applyFill="1"/>
    <xf numFmtId="0" fontId="20" fillId="0" borderId="0" xfId="0" applyFont="1" applyAlignment="1">
      <alignment vertical="center"/>
    </xf>
    <xf numFmtId="1" fontId="5" fillId="5" borderId="0" xfId="0" applyNumberFormat="1" applyFont="1" applyFill="1" applyAlignment="1">
      <alignment horizontal="left"/>
    </xf>
    <xf numFmtId="0" fontId="240" fillId="60" borderId="0" xfId="0" applyFont="1" applyFill="1"/>
    <xf numFmtId="0" fontId="219" fillId="3" borderId="0" xfId="0" applyFont="1" applyFill="1" applyAlignment="1">
      <alignment horizontal="center" vertical="center"/>
    </xf>
    <xf numFmtId="0" fontId="240" fillId="60" borderId="141" xfId="0" applyFont="1" applyFill="1" applyBorder="1"/>
    <xf numFmtId="0" fontId="241" fillId="5" borderId="142" xfId="0" applyFont="1" applyFill="1" applyBorder="1"/>
    <xf numFmtId="0" fontId="219" fillId="5" borderId="142" xfId="0" applyFont="1" applyFill="1" applyBorder="1" applyAlignment="1">
      <alignment horizontal="left"/>
    </xf>
    <xf numFmtId="0" fontId="0" fillId="0" borderId="142" xfId="0" applyBorder="1"/>
    <xf numFmtId="0" fontId="242" fillId="5" borderId="143" xfId="0" applyFont="1" applyFill="1" applyBorder="1"/>
    <xf numFmtId="0" fontId="47" fillId="5" borderId="57" xfId="0" applyFont="1" applyFill="1" applyBorder="1" applyAlignment="1">
      <alignment horizontal="center" vertical="center"/>
    </xf>
    <xf numFmtId="0" fontId="241" fillId="5" borderId="0" xfId="0" applyFont="1" applyFill="1"/>
    <xf numFmtId="0" fontId="219" fillId="5" borderId="0" xfId="0" applyFont="1" applyFill="1" applyAlignment="1">
      <alignment horizontal="left"/>
    </xf>
    <xf numFmtId="0" fontId="219" fillId="5" borderId="146" xfId="0" applyFont="1" applyFill="1" applyBorder="1"/>
    <xf numFmtId="0" fontId="219" fillId="5" borderId="144" xfId="0" applyFont="1" applyFill="1" applyBorder="1"/>
    <xf numFmtId="0" fontId="241" fillId="5" borderId="76" xfId="0" applyFont="1" applyFill="1" applyBorder="1"/>
    <xf numFmtId="0" fontId="219" fillId="5" borderId="76" xfId="0" applyFont="1" applyFill="1" applyBorder="1" applyAlignment="1">
      <alignment horizontal="left"/>
    </xf>
    <xf numFmtId="0" fontId="219" fillId="5" borderId="145" xfId="0" applyFont="1" applyFill="1" applyBorder="1"/>
    <xf numFmtId="0" fontId="219" fillId="5" borderId="76" xfId="0" applyFont="1" applyFill="1" applyBorder="1"/>
    <xf numFmtId="0" fontId="219" fillId="5" borderId="142" xfId="0" applyFont="1" applyFill="1" applyBorder="1"/>
    <xf numFmtId="0" fontId="47" fillId="5" borderId="0" xfId="0" applyFont="1" applyFill="1" applyAlignment="1">
      <alignment horizontal="center" vertical="center"/>
    </xf>
    <xf numFmtId="0" fontId="240" fillId="5" borderId="0" xfId="0" applyFont="1" applyFill="1"/>
    <xf numFmtId="0" fontId="243" fillId="48" borderId="0" xfId="0" applyFont="1" applyFill="1" applyAlignment="1">
      <alignment horizontal="right" vertical="top" indent="1"/>
    </xf>
    <xf numFmtId="0" fontId="219" fillId="48" borderId="157" xfId="0" applyFont="1" applyFill="1" applyBorder="1" applyAlignment="1">
      <alignment horizontal="left"/>
    </xf>
    <xf numFmtId="0" fontId="219" fillId="48" borderId="0" xfId="0" applyFont="1" applyFill="1" applyAlignment="1">
      <alignment horizontal="left"/>
    </xf>
    <xf numFmtId="0" fontId="219" fillId="48" borderId="160" xfId="0" applyFont="1" applyFill="1" applyBorder="1" applyAlignment="1">
      <alignment horizontal="left"/>
    </xf>
    <xf numFmtId="0" fontId="87" fillId="56" borderId="0" xfId="0" applyFont="1" applyFill="1" applyAlignment="1">
      <alignment horizontal="right" vertical="center"/>
    </xf>
    <xf numFmtId="0" fontId="219" fillId="5" borderId="142" xfId="0" quotePrefix="1" applyFont="1" applyFill="1" applyBorder="1" applyAlignment="1">
      <alignment horizontal="left"/>
    </xf>
    <xf numFmtId="0" fontId="219" fillId="5" borderId="0" xfId="0" quotePrefix="1" applyFont="1" applyFill="1" applyAlignment="1">
      <alignment horizontal="left"/>
    </xf>
    <xf numFmtId="0" fontId="219" fillId="5" borderId="76" xfId="0" quotePrefix="1" applyFont="1" applyFill="1" applyBorder="1" applyAlignment="1">
      <alignment horizontal="left"/>
    </xf>
    <xf numFmtId="0" fontId="46" fillId="48" borderId="0" xfId="0" applyFont="1" applyFill="1" applyAlignment="1">
      <alignment vertical="center"/>
    </xf>
    <xf numFmtId="0" fontId="5" fillId="58" borderId="0" xfId="0" applyFont="1" applyFill="1"/>
    <xf numFmtId="44" fontId="5" fillId="5" borderId="0" xfId="0" applyNumberFormat="1" applyFont="1" applyFill="1" applyAlignment="1">
      <alignment horizontal="center"/>
    </xf>
    <xf numFmtId="0" fontId="5" fillId="5" borderId="0" xfId="0" applyFont="1" applyFill="1" applyAlignment="1">
      <alignment horizontal="center" vertical="center"/>
    </xf>
    <xf numFmtId="43" fontId="5" fillId="20" borderId="0" xfId="0" applyNumberFormat="1" applyFont="1" applyFill="1"/>
    <xf numFmtId="0" fontId="247" fillId="48" borderId="0" xfId="0" applyFont="1" applyFill="1" applyAlignment="1">
      <alignment horizontal="right"/>
    </xf>
    <xf numFmtId="0" fontId="5" fillId="48" borderId="149" xfId="0" applyFont="1" applyFill="1" applyBorder="1"/>
    <xf numFmtId="0" fontId="247" fillId="48" borderId="149" xfId="0" applyFont="1" applyFill="1" applyBorder="1" applyAlignment="1">
      <alignment horizontal="right"/>
    </xf>
    <xf numFmtId="0" fontId="5" fillId="48" borderId="155" xfId="0" applyFont="1" applyFill="1" applyBorder="1"/>
    <xf numFmtId="0" fontId="105" fillId="5" borderId="0" xfId="0" applyFont="1" applyFill="1"/>
    <xf numFmtId="0" fontId="248" fillId="5" borderId="0" xfId="0" applyFont="1" applyFill="1"/>
    <xf numFmtId="0" fontId="166" fillId="48" borderId="0" xfId="0" applyFont="1" applyFill="1"/>
    <xf numFmtId="0" fontId="249" fillId="48" borderId="0" xfId="0" applyFont="1" applyFill="1"/>
    <xf numFmtId="0" fontId="166" fillId="48" borderId="0" xfId="0" applyFont="1" applyFill="1" applyAlignment="1">
      <alignment horizontal="left" indent="1"/>
    </xf>
    <xf numFmtId="0" fontId="46" fillId="36" borderId="0" xfId="0" applyFont="1" applyFill="1"/>
    <xf numFmtId="0" fontId="5" fillId="62" borderId="132" xfId="0" applyFont="1" applyFill="1" applyBorder="1"/>
    <xf numFmtId="0" fontId="5" fillId="62" borderId="133" xfId="0" applyFont="1" applyFill="1" applyBorder="1"/>
    <xf numFmtId="0" fontId="5" fillId="62" borderId="134" xfId="0" applyFont="1" applyFill="1" applyBorder="1"/>
    <xf numFmtId="0" fontId="5" fillId="62" borderId="135" xfId="0" applyFont="1" applyFill="1" applyBorder="1"/>
    <xf numFmtId="0" fontId="5" fillId="62" borderId="136" xfId="0" applyFont="1" applyFill="1" applyBorder="1"/>
    <xf numFmtId="0" fontId="5" fillId="62" borderId="0" xfId="0" applyFont="1" applyFill="1"/>
    <xf numFmtId="0" fontId="5" fillId="62" borderId="11" xfId="0" applyFont="1" applyFill="1" applyBorder="1"/>
    <xf numFmtId="0" fontId="251" fillId="5" borderId="0" xfId="0" applyFont="1" applyFill="1" applyAlignment="1">
      <alignment horizontal="left" vertical="center" indent="1"/>
    </xf>
    <xf numFmtId="0" fontId="252" fillId="17" borderId="0" xfId="0" applyFont="1" applyFill="1" applyAlignment="1">
      <alignment horizontal="center" vertical="center"/>
    </xf>
    <xf numFmtId="0" fontId="5" fillId="5" borderId="172" xfId="0" applyFont="1" applyFill="1" applyBorder="1" applyAlignment="1">
      <alignment horizontal="left" indent="1"/>
    </xf>
    <xf numFmtId="0" fontId="5" fillId="5" borderId="173" xfId="0" applyFont="1" applyFill="1" applyBorder="1" applyAlignment="1">
      <alignment horizontal="left" indent="1"/>
    </xf>
    <xf numFmtId="0" fontId="5" fillId="5" borderId="174" xfId="0" applyFont="1" applyFill="1" applyBorder="1" applyAlignment="1">
      <alignment horizontal="left" indent="1"/>
    </xf>
    <xf numFmtId="0" fontId="5" fillId="61" borderId="0" xfId="0" applyFont="1" applyFill="1"/>
    <xf numFmtId="0" fontId="5" fillId="63" borderId="0" xfId="0" applyFont="1" applyFill="1"/>
    <xf numFmtId="0" fontId="253" fillId="48" borderId="0" xfId="0" applyFont="1" applyFill="1" applyAlignment="1">
      <alignment vertical="top" wrapText="1"/>
    </xf>
    <xf numFmtId="0" fontId="55" fillId="62" borderId="0" xfId="0" applyFont="1" applyFill="1"/>
    <xf numFmtId="0" fontId="160" fillId="61" borderId="0" xfId="0" applyFont="1" applyFill="1"/>
    <xf numFmtId="0" fontId="254" fillId="0" borderId="0" xfId="0" applyFont="1" applyAlignment="1">
      <alignment horizontal="center" vertical="center"/>
    </xf>
    <xf numFmtId="0" fontId="255" fillId="48" borderId="0" xfId="0" applyFont="1" applyFill="1" applyAlignment="1">
      <alignment vertical="top" wrapText="1"/>
    </xf>
    <xf numFmtId="0" fontId="219" fillId="36" borderId="178" xfId="0" applyFont="1" applyFill="1" applyBorder="1" applyAlignment="1">
      <alignment vertical="top" wrapText="1"/>
    </xf>
    <xf numFmtId="0" fontId="259" fillId="0" borderId="0" xfId="0" applyFont="1" applyAlignment="1">
      <alignment horizontal="right"/>
    </xf>
    <xf numFmtId="0" fontId="242" fillId="48" borderId="178" xfId="0" applyFont="1" applyFill="1" applyBorder="1" applyAlignment="1">
      <alignment vertical="top" wrapText="1"/>
    </xf>
    <xf numFmtId="0" fontId="257" fillId="5" borderId="178" xfId="0" applyFont="1" applyFill="1" applyBorder="1" applyAlignment="1">
      <alignment vertical="center" shrinkToFit="1"/>
    </xf>
    <xf numFmtId="0" fontId="255" fillId="36" borderId="0" xfId="0" applyFont="1" applyFill="1" applyAlignment="1">
      <alignment vertical="top" wrapText="1"/>
    </xf>
    <xf numFmtId="0" fontId="255" fillId="48" borderId="0" xfId="0" applyFont="1" applyFill="1" applyAlignment="1">
      <alignment vertical="center" wrapText="1"/>
    </xf>
    <xf numFmtId="0" fontId="102" fillId="48" borderId="183" xfId="0" applyFont="1" applyFill="1" applyBorder="1" applyAlignment="1">
      <alignment horizontal="left" vertical="top" wrapText="1" indent="1"/>
    </xf>
    <xf numFmtId="0" fontId="102" fillId="48" borderId="179" xfId="0" applyFont="1" applyFill="1" applyBorder="1" applyAlignment="1">
      <alignment horizontal="left" vertical="center" wrapText="1" indent="1"/>
    </xf>
    <xf numFmtId="0" fontId="102" fillId="36" borderId="183" xfId="0" applyFont="1" applyFill="1" applyBorder="1" applyAlignment="1">
      <alignment horizontal="left" vertical="top" wrapText="1" indent="1"/>
    </xf>
    <xf numFmtId="0" fontId="258" fillId="48" borderId="179" xfId="0" applyFont="1" applyFill="1" applyBorder="1" applyAlignment="1">
      <alignment horizontal="left" vertical="center" wrapText="1" indent="1"/>
    </xf>
    <xf numFmtId="0" fontId="102" fillId="48" borderId="179" xfId="0" applyFont="1" applyFill="1" applyBorder="1" applyAlignment="1">
      <alignment horizontal="left" vertical="center" indent="1" shrinkToFit="1"/>
    </xf>
    <xf numFmtId="0" fontId="102" fillId="48" borderId="179" xfId="0" applyFont="1" applyFill="1" applyBorder="1" applyAlignment="1">
      <alignment horizontal="left" vertical="top" wrapText="1" indent="1"/>
    </xf>
    <xf numFmtId="0" fontId="102" fillId="48" borderId="184" xfId="0" applyFont="1" applyFill="1" applyBorder="1" applyAlignment="1">
      <alignment horizontal="left" vertical="top" wrapText="1" indent="1"/>
    </xf>
    <xf numFmtId="0" fontId="260" fillId="48" borderId="0" xfId="0" applyFont="1" applyFill="1" applyAlignment="1">
      <alignment horizontal="left" vertical="top"/>
    </xf>
    <xf numFmtId="0" fontId="173" fillId="48" borderId="0" xfId="0" applyFont="1" applyFill="1"/>
    <xf numFmtId="0" fontId="261" fillId="36" borderId="179" xfId="0" applyFont="1" applyFill="1" applyBorder="1" applyAlignment="1">
      <alignment horizontal="left" vertical="center" wrapText="1" indent="1"/>
    </xf>
    <xf numFmtId="0" fontId="55" fillId="5" borderId="0" xfId="0" applyFont="1" applyFill="1"/>
    <xf numFmtId="0" fontId="262" fillId="48" borderId="178" xfId="0" applyFont="1" applyFill="1" applyBorder="1" applyAlignment="1">
      <alignment vertical="center" shrinkToFit="1"/>
    </xf>
    <xf numFmtId="0" fontId="173" fillId="48" borderId="0" xfId="0" applyFont="1" applyFill="1" applyAlignment="1">
      <alignment horizontal="right"/>
    </xf>
    <xf numFmtId="0" fontId="5" fillId="27" borderId="0" xfId="0" applyFont="1" applyFill="1" applyAlignment="1">
      <alignment vertical="top" wrapText="1"/>
    </xf>
    <xf numFmtId="0" fontId="5" fillId="64" borderId="0" xfId="0" applyFont="1" applyFill="1" applyAlignment="1">
      <alignment vertical="top" wrapText="1"/>
    </xf>
    <xf numFmtId="0" fontId="5" fillId="64" borderId="0" xfId="0" applyFont="1" applyFill="1" applyAlignment="1">
      <alignment horizontal="left" vertical="top" indent="1"/>
    </xf>
    <xf numFmtId="0" fontId="5" fillId="64" borderId="0" xfId="0" applyFont="1" applyFill="1" applyAlignment="1">
      <alignment horizontal="left" vertical="top" indent="2"/>
    </xf>
    <xf numFmtId="0" fontId="5" fillId="64" borderId="0" xfId="0" applyFont="1" applyFill="1"/>
    <xf numFmtId="0" fontId="268" fillId="0" borderId="0" xfId="0" applyFont="1"/>
    <xf numFmtId="0" fontId="5" fillId="62" borderId="0" xfId="0" applyFont="1" applyFill="1" applyAlignment="1">
      <alignment vertical="top" wrapText="1"/>
    </xf>
    <xf numFmtId="0" fontId="271" fillId="62" borderId="194" xfId="0" applyFont="1" applyFill="1" applyBorder="1" applyAlignment="1">
      <alignment vertical="top" textRotation="90" wrapText="1"/>
    </xf>
    <xf numFmtId="0" fontId="104" fillId="62" borderId="0" xfId="0" applyFont="1" applyFill="1" applyAlignment="1">
      <alignment vertical="top" wrapText="1"/>
    </xf>
    <xf numFmtId="0" fontId="271" fillId="62" borderId="194" xfId="0" applyFont="1" applyFill="1" applyBorder="1" applyAlignment="1">
      <alignment textRotation="90" wrapText="1"/>
    </xf>
    <xf numFmtId="0" fontId="273" fillId="0" borderId="0" xfId="0" applyFont="1" applyAlignment="1">
      <alignment horizontal="center"/>
    </xf>
    <xf numFmtId="2" fontId="274" fillId="0" borderId="0" xfId="0" applyNumberFormat="1" applyFont="1" applyAlignment="1">
      <alignment horizontal="center" shrinkToFit="1"/>
    </xf>
    <xf numFmtId="2" fontId="274" fillId="55" borderId="0" xfId="0" applyNumberFormat="1" applyFont="1" applyFill="1" applyAlignment="1">
      <alignment horizontal="center" shrinkToFit="1"/>
    </xf>
    <xf numFmtId="0" fontId="245" fillId="36" borderId="0" xfId="0" applyFont="1" applyFill="1" applyAlignment="1">
      <alignment horizontal="center" shrinkToFit="1"/>
    </xf>
    <xf numFmtId="0" fontId="245" fillId="0" borderId="0" xfId="0" applyFont="1" applyAlignment="1">
      <alignment horizontal="center"/>
    </xf>
    <xf numFmtId="0" fontId="5" fillId="65" borderId="0" xfId="0" applyFont="1" applyFill="1"/>
    <xf numFmtId="0" fontId="277" fillId="0" borderId="0" xfId="0" applyFont="1"/>
    <xf numFmtId="0" fontId="40" fillId="66" borderId="195" xfId="0" applyFont="1" applyFill="1" applyBorder="1" applyAlignment="1">
      <alignment horizontal="center" vertical="center"/>
    </xf>
    <xf numFmtId="0" fontId="40" fillId="66" borderId="195" xfId="0" applyFont="1" applyFill="1" applyBorder="1" applyAlignment="1">
      <alignment horizontal="left" vertical="center"/>
    </xf>
    <xf numFmtId="0" fontId="221" fillId="5" borderId="196" xfId="0" applyFont="1" applyFill="1" applyBorder="1" applyAlignment="1">
      <alignment horizontal="center" vertical="center"/>
    </xf>
    <xf numFmtId="0" fontId="129" fillId="66" borderId="195" xfId="0" applyFont="1" applyFill="1" applyBorder="1" applyAlignment="1">
      <alignment horizontal="center" vertical="center"/>
    </xf>
    <xf numFmtId="0" fontId="129" fillId="66" borderId="197" xfId="0" applyFont="1" applyFill="1" applyBorder="1" applyAlignment="1">
      <alignment horizontal="center" vertical="center"/>
    </xf>
    <xf numFmtId="0" fontId="40" fillId="66" borderId="0" xfId="0" applyFont="1" applyFill="1" applyAlignment="1">
      <alignment horizontal="center" vertical="center"/>
    </xf>
    <xf numFmtId="0" fontId="40" fillId="66" borderId="0" xfId="0" applyFont="1" applyFill="1" applyAlignment="1">
      <alignment horizontal="left" vertical="center"/>
    </xf>
    <xf numFmtId="0" fontId="176" fillId="66" borderId="0" xfId="0" applyFont="1" applyFill="1" applyAlignment="1">
      <alignment horizontal="center" vertical="center"/>
    </xf>
    <xf numFmtId="0" fontId="129" fillId="66" borderId="0" xfId="0" applyFont="1" applyFill="1" applyAlignment="1">
      <alignment horizontal="center" vertical="center"/>
    </xf>
    <xf numFmtId="0" fontId="267" fillId="66" borderId="0" xfId="0" applyFont="1" applyFill="1" applyAlignment="1">
      <alignment horizontal="left" vertical="center"/>
    </xf>
    <xf numFmtId="0" fontId="40" fillId="66" borderId="129" xfId="0" applyFont="1" applyFill="1" applyBorder="1" applyAlignment="1">
      <alignment horizontal="center" vertical="center"/>
    </xf>
    <xf numFmtId="0" fontId="40" fillId="66" borderId="130" xfId="0" applyFont="1" applyFill="1" applyBorder="1" applyAlignment="1">
      <alignment horizontal="left" vertical="center"/>
    </xf>
    <xf numFmtId="0" fontId="176" fillId="66" borderId="130" xfId="0" applyFont="1" applyFill="1" applyBorder="1" applyAlignment="1">
      <alignment horizontal="center" vertical="center"/>
    </xf>
    <xf numFmtId="0" fontId="129" fillId="66" borderId="130" xfId="0" applyFont="1" applyFill="1" applyBorder="1" applyAlignment="1">
      <alignment horizontal="center" vertical="center"/>
    </xf>
    <xf numFmtId="0" fontId="129" fillId="66" borderId="131" xfId="0" applyFont="1" applyFill="1" applyBorder="1" applyAlignment="1">
      <alignment horizontal="center" vertical="center"/>
    </xf>
    <xf numFmtId="0" fontId="198" fillId="66" borderId="0" xfId="0" applyFont="1" applyFill="1" applyAlignment="1">
      <alignment horizontal="right" vertical="center"/>
    </xf>
    <xf numFmtId="0" fontId="145" fillId="66" borderId="0" xfId="0" applyFont="1" applyFill="1" applyAlignment="1">
      <alignment horizontal="right" vertical="center"/>
    </xf>
    <xf numFmtId="0" fontId="278" fillId="5" borderId="0" xfId="0" applyFont="1" applyFill="1"/>
    <xf numFmtId="0" fontId="280" fillId="0" borderId="0" xfId="0" applyFont="1"/>
    <xf numFmtId="0" fontId="280" fillId="0" borderId="0" xfId="0" applyFont="1" applyAlignment="1">
      <alignment horizontal="left" vertical="center"/>
    </xf>
    <xf numFmtId="0" fontId="5" fillId="40" borderId="0" xfId="0" applyFont="1" applyFill="1" applyAlignment="1">
      <alignment horizontal="left" indent="2"/>
    </xf>
    <xf numFmtId="0" fontId="143" fillId="40" borderId="0" xfId="0" applyFont="1" applyFill="1"/>
    <xf numFmtId="0" fontId="87" fillId="40" borderId="0" xfId="0" applyFont="1" applyFill="1"/>
    <xf numFmtId="0" fontId="283" fillId="40" borderId="0" xfId="0" applyFont="1" applyFill="1" applyAlignment="1">
      <alignment horizontal="left" indent="2"/>
    </xf>
    <xf numFmtId="0" fontId="5" fillId="5" borderId="191" xfId="0" applyFont="1" applyFill="1" applyBorder="1" applyAlignment="1">
      <alignment horizontal="left" vertical="top" indent="1"/>
    </xf>
    <xf numFmtId="0" fontId="5" fillId="62" borderId="0" xfId="0" applyFont="1" applyFill="1" applyAlignment="1">
      <alignment vertical="top"/>
    </xf>
    <xf numFmtId="0" fontId="272" fillId="62" borderId="0" xfId="0" applyFont="1" applyFill="1" applyAlignment="1">
      <alignment vertical="center"/>
    </xf>
    <xf numFmtId="0" fontId="269" fillId="62" borderId="0" xfId="0" applyFont="1" applyFill="1" applyAlignment="1">
      <alignment horizontal="center" vertical="center" wrapText="1"/>
    </xf>
    <xf numFmtId="0" fontId="286" fillId="62" borderId="110" xfId="0" applyFont="1" applyFill="1" applyBorder="1" applyAlignment="1">
      <alignment horizontal="right" shrinkToFit="1"/>
    </xf>
    <xf numFmtId="0" fontId="286" fillId="62" borderId="110" xfId="0" applyFont="1" applyFill="1" applyBorder="1" applyAlignment="1">
      <alignment shrinkToFit="1"/>
    </xf>
    <xf numFmtId="0" fontId="289" fillId="48" borderId="0" xfId="0" applyFont="1" applyFill="1" applyAlignment="1">
      <alignment vertical="top" wrapText="1"/>
    </xf>
    <xf numFmtId="0" fontId="20" fillId="62" borderId="0" xfId="0" applyFont="1" applyFill="1" applyAlignment="1">
      <alignment horizontal="left" vertical="top" wrapText="1"/>
    </xf>
    <xf numFmtId="0" fontId="250" fillId="62" borderId="0" xfId="0" applyFont="1" applyFill="1" applyAlignment="1">
      <alignment horizontal="center" vertical="center"/>
    </xf>
    <xf numFmtId="14" fontId="5" fillId="0" borderId="0" xfId="0" applyNumberFormat="1" applyFont="1" applyAlignment="1">
      <alignment horizontal="center" shrinkToFit="1"/>
    </xf>
    <xf numFmtId="0" fontId="19" fillId="48" borderId="164" xfId="0" applyFont="1" applyFill="1" applyBorder="1" applyAlignment="1">
      <alignment horizontal="right" vertical="top"/>
    </xf>
    <xf numFmtId="0" fontId="19" fillId="48" borderId="165" xfId="0" applyFont="1" applyFill="1" applyBorder="1" applyAlignment="1">
      <alignment horizontal="right" vertical="top"/>
    </xf>
    <xf numFmtId="0" fontId="244" fillId="48" borderId="165" xfId="0" applyFont="1" applyFill="1" applyBorder="1" applyAlignment="1">
      <alignment horizontal="left" vertical="top"/>
    </xf>
    <xf numFmtId="0" fontId="244" fillId="48" borderId="166" xfId="0" applyFont="1" applyFill="1" applyBorder="1" applyAlignment="1">
      <alignment horizontal="left" vertical="top"/>
    </xf>
    <xf numFmtId="0" fontId="5" fillId="48" borderId="167" xfId="0" applyFont="1" applyFill="1" applyBorder="1" applyAlignment="1">
      <alignment horizontal="left" vertical="center" wrapText="1"/>
    </xf>
    <xf numFmtId="0" fontId="5" fillId="48" borderId="0" xfId="0" applyFont="1" applyFill="1" applyAlignment="1">
      <alignment horizontal="left" vertical="center" wrapText="1"/>
    </xf>
    <xf numFmtId="0" fontId="5" fillId="48" borderId="168" xfId="0" applyFont="1" applyFill="1" applyBorder="1" applyAlignment="1">
      <alignment horizontal="left" vertical="center" wrapText="1"/>
    </xf>
    <xf numFmtId="0" fontId="5" fillId="48" borderId="169" xfId="0" applyFont="1" applyFill="1" applyBorder="1" applyAlignment="1">
      <alignment horizontal="left" vertical="center" wrapText="1"/>
    </xf>
    <xf numFmtId="0" fontId="5" fillId="48" borderId="170" xfId="0" applyFont="1" applyFill="1" applyBorder="1" applyAlignment="1">
      <alignment horizontal="left" vertical="center" wrapText="1"/>
    </xf>
    <xf numFmtId="0" fontId="5" fillId="48" borderId="171" xfId="0" applyFont="1" applyFill="1" applyBorder="1" applyAlignment="1">
      <alignment horizontal="left" vertical="center" wrapText="1"/>
    </xf>
    <xf numFmtId="0" fontId="5" fillId="5" borderId="170" xfId="0" applyFont="1" applyFill="1" applyBorder="1" applyAlignment="1">
      <alignment horizontal="left" vertical="top" indent="1"/>
    </xf>
    <xf numFmtId="0" fontId="25" fillId="5" borderId="162" xfId="0" applyFont="1" applyFill="1" applyBorder="1" applyAlignment="1">
      <alignment horizontal="center" vertical="center" wrapText="1"/>
    </xf>
    <xf numFmtId="0" fontId="25" fillId="5" borderId="163" xfId="0" applyFont="1" applyFill="1" applyBorder="1" applyAlignment="1">
      <alignment horizontal="center" vertical="center" wrapText="1"/>
    </xf>
    <xf numFmtId="2" fontId="20" fillId="48" borderId="0" xfId="0" applyNumberFormat="1" applyFont="1" applyFill="1" applyAlignment="1">
      <alignment horizontal="left" vertical="center" wrapText="1" indent="1"/>
    </xf>
    <xf numFmtId="0" fontId="92" fillId="48" borderId="0" xfId="0" applyFont="1" applyFill="1" applyAlignment="1">
      <alignment horizontal="left" vertical="center"/>
    </xf>
    <xf numFmtId="9" fontId="25" fillId="20" borderId="0" xfId="3" applyFont="1" applyFill="1" applyAlignment="1">
      <alignment horizontal="center"/>
    </xf>
    <xf numFmtId="0" fontId="199" fillId="5" borderId="125" xfId="0" applyFont="1" applyFill="1" applyBorder="1" applyAlignment="1">
      <alignment horizontal="center" vertical="center"/>
    </xf>
    <xf numFmtId="0" fontId="199" fillId="5" borderId="126" xfId="0" applyFont="1" applyFill="1" applyBorder="1" applyAlignment="1">
      <alignment horizontal="center" vertical="center"/>
    </xf>
    <xf numFmtId="0" fontId="199" fillId="5" borderId="127" xfId="0" applyFont="1" applyFill="1" applyBorder="1" applyAlignment="1">
      <alignment horizontal="center" vertical="center"/>
    </xf>
    <xf numFmtId="0" fontId="5" fillId="48" borderId="12" xfId="0" applyFont="1" applyFill="1" applyBorder="1" applyAlignment="1">
      <alignment horizontal="center"/>
    </xf>
    <xf numFmtId="14" fontId="5" fillId="48" borderId="12" xfId="0" applyNumberFormat="1" applyFont="1" applyFill="1" applyBorder="1" applyAlignment="1">
      <alignment horizontal="center" shrinkToFit="1"/>
    </xf>
    <xf numFmtId="14" fontId="5" fillId="48" borderId="11" xfId="0" applyNumberFormat="1" applyFont="1" applyFill="1" applyBorder="1" applyAlignment="1">
      <alignment horizontal="center" shrinkToFit="1"/>
    </xf>
    <xf numFmtId="0" fontId="5" fillId="20" borderId="0" xfId="0" applyFont="1" applyFill="1" applyAlignment="1">
      <alignment horizontal="left" vertical="center"/>
    </xf>
    <xf numFmtId="0" fontId="40" fillId="51" borderId="0" xfId="0" applyFont="1" applyFill="1" applyAlignment="1">
      <alignment horizontal="left" vertical="center"/>
    </xf>
    <xf numFmtId="0" fontId="161" fillId="51" borderId="0" xfId="0" applyFont="1" applyFill="1" applyAlignment="1">
      <alignment horizontal="right" vertical="center"/>
    </xf>
    <xf numFmtId="9" fontId="154" fillId="20" borderId="0" xfId="3" applyFont="1" applyFill="1" applyAlignment="1">
      <alignment horizontal="center"/>
    </xf>
    <xf numFmtId="14" fontId="5" fillId="8" borderId="0" xfId="0" applyNumberFormat="1" applyFont="1" applyFill="1" applyAlignment="1">
      <alignment horizontal="center"/>
    </xf>
    <xf numFmtId="14" fontId="5" fillId="0" borderId="0" xfId="0" applyNumberFormat="1" applyFont="1" applyAlignment="1">
      <alignment horizontal="center"/>
    </xf>
    <xf numFmtId="0" fontId="5" fillId="0" borderId="0" xfId="0" applyFont="1" applyAlignment="1">
      <alignment horizontal="center"/>
    </xf>
    <xf numFmtId="169" fontId="10" fillId="0" borderId="0" xfId="1" applyNumberFormat="1" applyFont="1" applyAlignment="1"/>
    <xf numFmtId="0" fontId="103" fillId="0" borderId="0" xfId="0" applyFont="1"/>
    <xf numFmtId="0" fontId="5" fillId="45" borderId="0" xfId="0" applyFont="1" applyFill="1" applyAlignment="1">
      <alignment horizontal="left" vertical="top" wrapText="1"/>
    </xf>
    <xf numFmtId="172" fontId="5" fillId="0" borderId="0" xfId="3" applyNumberFormat="1" applyFont="1" applyAlignment="1">
      <alignment shrinkToFit="1"/>
    </xf>
    <xf numFmtId="172" fontId="0" fillId="0" borderId="0" xfId="3" applyNumberFormat="1" applyFont="1" applyAlignment="1">
      <alignment shrinkToFit="1"/>
    </xf>
    <xf numFmtId="10" fontId="5" fillId="0" borderId="0" xfId="3" applyNumberFormat="1" applyFont="1" applyAlignment="1">
      <alignment shrinkToFit="1"/>
    </xf>
    <xf numFmtId="10" fontId="0" fillId="0" borderId="0" xfId="3" applyNumberFormat="1" applyFont="1" applyAlignment="1">
      <alignment shrinkToFit="1"/>
    </xf>
    <xf numFmtId="172" fontId="5" fillId="0" borderId="0" xfId="0" applyNumberFormat="1" applyFont="1" applyAlignment="1">
      <alignment shrinkToFit="1"/>
    </xf>
    <xf numFmtId="0" fontId="0" fillId="0" borderId="0" xfId="0" applyAlignment="1">
      <alignment shrinkToFit="1"/>
    </xf>
    <xf numFmtId="178" fontId="5" fillId="48" borderId="76" xfId="2" applyNumberFormat="1" applyFont="1" applyFill="1" applyBorder="1" applyAlignment="1">
      <alignment horizontal="center"/>
    </xf>
    <xf numFmtId="164" fontId="5" fillId="48" borderId="76" xfId="0" applyNumberFormat="1" applyFont="1" applyFill="1" applyBorder="1" applyAlignment="1">
      <alignment horizontal="center"/>
    </xf>
    <xf numFmtId="178" fontId="5" fillId="48" borderId="76" xfId="2" applyNumberFormat="1" applyFont="1" applyFill="1" applyBorder="1" applyAlignment="1">
      <alignment horizontal="center" shrinkToFit="1"/>
    </xf>
    <xf numFmtId="0" fontId="5" fillId="55" borderId="0" xfId="0" applyFont="1" applyFill="1" applyAlignment="1">
      <alignment horizontal="left" vertical="top" wrapText="1"/>
    </xf>
    <xf numFmtId="0" fontId="5" fillId="55" borderId="159" xfId="0" applyFont="1" applyFill="1" applyBorder="1" applyAlignment="1">
      <alignment horizontal="left" vertical="top" wrapText="1"/>
    </xf>
    <xf numFmtId="0" fontId="219" fillId="48" borderId="0" xfId="0" applyFont="1" applyFill="1" applyAlignment="1">
      <alignment horizontal="left" vertical="center" wrapText="1"/>
    </xf>
    <xf numFmtId="0" fontId="219" fillId="48" borderId="148" xfId="0" applyFont="1" applyFill="1" applyBorder="1" applyAlignment="1">
      <alignment horizontal="left" vertical="center" wrapText="1"/>
    </xf>
    <xf numFmtId="0" fontId="219" fillId="48" borderId="154" xfId="0" applyFont="1" applyFill="1" applyBorder="1" applyAlignment="1">
      <alignment horizontal="left" vertical="center" wrapText="1"/>
    </xf>
    <xf numFmtId="0" fontId="219" fillId="48" borderId="156" xfId="0" applyFont="1" applyFill="1" applyBorder="1" applyAlignment="1">
      <alignment horizontal="left" vertical="center" wrapText="1"/>
    </xf>
    <xf numFmtId="0" fontId="20" fillId="5" borderId="149" xfId="0" applyFont="1" applyFill="1" applyBorder="1" applyAlignment="1">
      <alignment horizontal="left" vertical="center" indent="1"/>
    </xf>
    <xf numFmtId="0" fontId="20" fillId="5" borderId="155" xfId="0" applyFont="1" applyFill="1" applyBorder="1" applyAlignment="1">
      <alignment horizontal="left" vertical="center" indent="1"/>
    </xf>
    <xf numFmtId="0" fontId="190" fillId="48" borderId="152" xfId="0" applyFont="1" applyFill="1" applyBorder="1" applyAlignment="1">
      <alignment horizontal="left"/>
    </xf>
    <xf numFmtId="0" fontId="190" fillId="48" borderId="0" xfId="0" applyFont="1" applyFill="1" applyAlignment="1">
      <alignment horizontal="left"/>
    </xf>
    <xf numFmtId="0" fontId="5" fillId="48" borderId="0" xfId="0" applyFont="1" applyFill="1" applyAlignment="1">
      <alignment horizontal="left" vertical="top" wrapText="1"/>
    </xf>
    <xf numFmtId="0" fontId="5" fillId="5" borderId="0" xfId="0" applyFont="1" applyFill="1" applyAlignment="1">
      <alignment horizontal="left" indent="1"/>
    </xf>
    <xf numFmtId="0" fontId="20" fillId="5" borderId="122" xfId="0" applyFont="1" applyFill="1" applyBorder="1" applyAlignment="1">
      <alignment horizontal="left" indent="1" shrinkToFit="1"/>
    </xf>
    <xf numFmtId="0" fontId="20" fillId="5" borderId="0" xfId="0" applyFont="1" applyFill="1" applyAlignment="1">
      <alignment horizontal="left" indent="1" shrinkToFit="1"/>
    </xf>
    <xf numFmtId="0" fontId="20" fillId="5" borderId="137" xfId="0" applyFont="1" applyFill="1" applyBorder="1" applyAlignment="1">
      <alignment horizontal="left"/>
    </xf>
    <xf numFmtId="0" fontId="20" fillId="5" borderId="138" xfId="0" applyFont="1" applyFill="1" applyBorder="1" applyAlignment="1">
      <alignment horizontal="left"/>
    </xf>
    <xf numFmtId="0" fontId="282" fillId="66" borderId="0" xfId="0" applyFont="1" applyFill="1" applyAlignment="1">
      <alignment horizontal="center" vertical="center"/>
    </xf>
    <xf numFmtId="0" fontId="202" fillId="57" borderId="0" xfId="0" applyFont="1" applyFill="1" applyAlignment="1">
      <alignment horizontal="center" vertical="center" wrapText="1"/>
    </xf>
    <xf numFmtId="0" fontId="9" fillId="5" borderId="140" xfId="0" applyFont="1" applyFill="1" applyBorder="1" applyAlignment="1">
      <alignment horizontal="left" vertical="center" indent="1"/>
    </xf>
    <xf numFmtId="0" fontId="9" fillId="5" borderId="0" xfId="0" applyFont="1" applyFill="1" applyAlignment="1">
      <alignment horizontal="left" vertical="center" indent="1"/>
    </xf>
    <xf numFmtId="2" fontId="55" fillId="50" borderId="120" xfId="0" applyNumberFormat="1" applyFont="1" applyFill="1" applyBorder="1" applyAlignment="1">
      <alignment horizontal="center"/>
    </xf>
    <xf numFmtId="0" fontId="55" fillId="50" borderId="121" xfId="0" applyFont="1" applyFill="1" applyBorder="1" applyAlignment="1">
      <alignment horizontal="center"/>
    </xf>
    <xf numFmtId="0" fontId="55" fillId="50" borderId="120" xfId="0" applyFont="1" applyFill="1" applyBorder="1" applyAlignment="1">
      <alignment horizontal="center"/>
    </xf>
    <xf numFmtId="0" fontId="143" fillId="0" borderId="0" xfId="0" applyFont="1" applyAlignment="1">
      <alignment horizontal="center"/>
    </xf>
    <xf numFmtId="14" fontId="5" fillId="5" borderId="24" xfId="0" applyNumberFormat="1" applyFont="1" applyFill="1" applyBorder="1"/>
    <xf numFmtId="14" fontId="5" fillId="5" borderId="23" xfId="0" applyNumberFormat="1" applyFont="1" applyFill="1" applyBorder="1"/>
    <xf numFmtId="0" fontId="5" fillId="5" borderId="18" xfId="0" applyFont="1" applyFill="1" applyBorder="1" applyAlignment="1">
      <alignment vertical="top" wrapText="1"/>
    </xf>
    <xf numFmtId="0" fontId="5" fillId="5" borderId="20" xfId="0" applyFont="1" applyFill="1" applyBorder="1" applyAlignment="1">
      <alignment vertical="top" wrapText="1"/>
    </xf>
    <xf numFmtId="0" fontId="5" fillId="5" borderId="19" xfId="0" applyFont="1" applyFill="1" applyBorder="1" applyAlignment="1">
      <alignment vertical="top" wrapText="1"/>
    </xf>
    <xf numFmtId="0" fontId="44" fillId="17" borderId="21" xfId="0" applyFont="1" applyFill="1" applyBorder="1" applyAlignment="1">
      <alignment vertical="top" wrapText="1"/>
    </xf>
    <xf numFmtId="0" fontId="51" fillId="17" borderId="0" xfId="0" applyFont="1" applyFill="1" applyAlignment="1">
      <alignment vertical="top" wrapText="1"/>
    </xf>
    <xf numFmtId="0" fontId="44" fillId="17" borderId="0" xfId="0" applyFont="1" applyFill="1" applyAlignment="1">
      <alignment horizontal="left" shrinkToFit="1"/>
    </xf>
    <xf numFmtId="0" fontId="44" fillId="17" borderId="23" xfId="0" applyFont="1" applyFill="1" applyBorder="1" applyAlignment="1">
      <alignment horizontal="left" shrinkToFit="1"/>
    </xf>
    <xf numFmtId="0" fontId="5" fillId="17" borderId="0" xfId="0" applyFont="1" applyFill="1"/>
    <xf numFmtId="0" fontId="5" fillId="25" borderId="0" xfId="0" applyFont="1" applyFill="1" applyAlignment="1">
      <alignment horizontal="left" vertical="center"/>
    </xf>
    <xf numFmtId="0" fontId="5" fillId="16" borderId="0" xfId="0" applyFont="1" applyFill="1" applyAlignment="1">
      <alignment horizontal="left" vertical="center"/>
    </xf>
    <xf numFmtId="2" fontId="5" fillId="30" borderId="0" xfId="0" applyNumberFormat="1" applyFont="1" applyFill="1"/>
    <xf numFmtId="0" fontId="0" fillId="0" borderId="0" xfId="0"/>
    <xf numFmtId="2" fontId="55" fillId="24" borderId="0" xfId="0" applyNumberFormat="1" applyFont="1" applyFill="1"/>
    <xf numFmtId="0" fontId="56" fillId="24" borderId="0" xfId="0" applyFont="1" applyFill="1"/>
    <xf numFmtId="0" fontId="4" fillId="5" borderId="0" xfId="5" applyFill="1" applyAlignment="1">
      <alignment horizontal="left" vertical="center"/>
    </xf>
    <xf numFmtId="0" fontId="57" fillId="5" borderId="31" xfId="5" applyFont="1" applyFill="1" applyBorder="1" applyAlignment="1">
      <alignment horizontal="left" vertical="top" wrapText="1"/>
    </xf>
    <xf numFmtId="0" fontId="57" fillId="5" borderId="32" xfId="5" applyFont="1" applyFill="1" applyBorder="1" applyAlignment="1">
      <alignment horizontal="left" vertical="top" wrapText="1"/>
    </xf>
    <xf numFmtId="0" fontId="57" fillId="5" borderId="33" xfId="5" applyFont="1" applyFill="1" applyBorder="1" applyAlignment="1">
      <alignment horizontal="left" vertical="top" wrapText="1"/>
    </xf>
    <xf numFmtId="0" fontId="5" fillId="25" borderId="0" xfId="0" applyFont="1" applyFill="1" applyAlignment="1">
      <alignment horizontal="left" vertical="top"/>
    </xf>
    <xf numFmtId="0" fontId="5" fillId="16" borderId="25" xfId="0" applyFont="1" applyFill="1" applyBorder="1" applyAlignment="1">
      <alignment horizontal="left" vertical="center"/>
    </xf>
    <xf numFmtId="0" fontId="5" fillId="16" borderId="26" xfId="0" applyFont="1" applyFill="1" applyBorder="1" applyAlignment="1">
      <alignment horizontal="left" vertical="center"/>
    </xf>
    <xf numFmtId="0" fontId="5" fillId="16" borderId="27" xfId="0" applyFont="1" applyFill="1" applyBorder="1" applyAlignment="1">
      <alignment horizontal="left" vertical="center"/>
    </xf>
    <xf numFmtId="164" fontId="35" fillId="3" borderId="0" xfId="2" applyNumberFormat="1" applyFont="1" applyFill="1" applyBorder="1" applyAlignment="1">
      <alignment horizontal="left" vertical="top" wrapText="1"/>
    </xf>
    <xf numFmtId="164" fontId="36" fillId="47" borderId="90" xfId="2" applyNumberFormat="1" applyFont="1" applyFill="1" applyBorder="1" applyAlignment="1">
      <alignment horizontal="left" vertical="top" wrapText="1" indent="1"/>
    </xf>
    <xf numFmtId="164" fontId="36" fillId="47" borderId="91" xfId="2" applyNumberFormat="1" applyFont="1" applyFill="1" applyBorder="1" applyAlignment="1">
      <alignment horizontal="left" vertical="top" wrapText="1" indent="1"/>
    </xf>
    <xf numFmtId="0" fontId="36" fillId="48" borderId="87" xfId="0" applyFont="1" applyFill="1" applyBorder="1" applyAlignment="1">
      <alignment horizontal="left" vertical="top" wrapText="1" indent="1"/>
    </xf>
    <xf numFmtId="0" fontId="36" fillId="48" borderId="14" xfId="0" applyFont="1" applyFill="1" applyBorder="1" applyAlignment="1">
      <alignment horizontal="left" vertical="top" wrapText="1" indent="1"/>
    </xf>
    <xf numFmtId="0" fontId="36" fillId="48" borderId="88" xfId="0" applyFont="1" applyFill="1" applyBorder="1" applyAlignment="1">
      <alignment horizontal="left" vertical="top" wrapText="1" indent="1"/>
    </xf>
    <xf numFmtId="0" fontId="36" fillId="48" borderId="15" xfId="0" applyFont="1" applyFill="1" applyBorder="1" applyAlignment="1">
      <alignment horizontal="left" vertical="top" wrapText="1" indent="1"/>
    </xf>
    <xf numFmtId="164" fontId="29" fillId="3" borderId="0" xfId="2" applyNumberFormat="1" applyFont="1" applyFill="1" applyAlignment="1">
      <alignment horizontal="center" vertical="center"/>
    </xf>
    <xf numFmtId="0" fontId="30" fillId="13" borderId="0" xfId="0" applyFont="1" applyFill="1" applyAlignment="1">
      <alignment horizontal="left" vertical="center" wrapText="1"/>
    </xf>
    <xf numFmtId="0" fontId="30" fillId="13" borderId="0" xfId="0" applyFont="1" applyFill="1" applyAlignment="1">
      <alignment horizontal="left" vertical="top" wrapText="1"/>
    </xf>
    <xf numFmtId="9" fontId="6" fillId="4" borderId="2" xfId="0" applyNumberFormat="1" applyFont="1" applyFill="1" applyBorder="1" applyAlignment="1">
      <alignment horizontal="center" vertical="center"/>
    </xf>
    <xf numFmtId="9" fontId="6" fillId="4" borderId="4" xfId="0" applyNumberFormat="1" applyFont="1" applyFill="1" applyBorder="1" applyAlignment="1">
      <alignment horizontal="center" vertical="center"/>
    </xf>
    <xf numFmtId="2" fontId="177" fillId="3" borderId="3" xfId="0" applyNumberFormat="1" applyFont="1" applyFill="1" applyBorder="1" applyAlignment="1">
      <alignment horizontal="left" vertical="center" indent="1"/>
    </xf>
    <xf numFmtId="0" fontId="177" fillId="3" borderId="3" xfId="0" applyFont="1" applyFill="1" applyBorder="1" applyAlignment="1">
      <alignment horizontal="left" vertical="center" indent="1"/>
    </xf>
    <xf numFmtId="0" fontId="12" fillId="11" borderId="0" xfId="0" applyFont="1" applyFill="1" applyAlignment="1">
      <alignment horizontal="center" vertical="center" wrapText="1"/>
    </xf>
    <xf numFmtId="0" fontId="12" fillId="11" borderId="6" xfId="0" applyFont="1" applyFill="1" applyBorder="1" applyAlignment="1">
      <alignment horizontal="center" vertical="center" wrapText="1"/>
    </xf>
    <xf numFmtId="0" fontId="21" fillId="5" borderId="7" xfId="0" applyFont="1" applyFill="1" applyBorder="1" applyAlignment="1">
      <alignment horizontal="left" vertical="center" wrapText="1" indent="1"/>
    </xf>
    <xf numFmtId="0" fontId="21" fillId="5" borderId="8" xfId="0" applyFont="1" applyFill="1" applyBorder="1" applyAlignment="1">
      <alignment horizontal="left" vertical="center" wrapText="1" indent="1"/>
    </xf>
    <xf numFmtId="0" fontId="21" fillId="5" borderId="9" xfId="0" applyFont="1" applyFill="1" applyBorder="1" applyAlignment="1">
      <alignment horizontal="left" vertical="center" wrapText="1" indent="1"/>
    </xf>
    <xf numFmtId="0" fontId="24" fillId="5" borderId="10" xfId="0" applyFont="1" applyFill="1" applyBorder="1" applyAlignment="1">
      <alignment horizontal="left" shrinkToFit="1"/>
    </xf>
    <xf numFmtId="0" fontId="25" fillId="0" borderId="7" xfId="0" applyFont="1" applyBorder="1" applyAlignment="1">
      <alignment horizontal="left" vertical="center" wrapText="1" indent="1"/>
    </xf>
    <xf numFmtId="0" fontId="25" fillId="0" borderId="8" xfId="0" applyFont="1" applyBorder="1" applyAlignment="1">
      <alignment horizontal="left" vertical="center" wrapText="1" indent="1"/>
    </xf>
    <xf numFmtId="0" fontId="25" fillId="0" borderId="9" xfId="0" applyFont="1" applyBorder="1" applyAlignment="1">
      <alignment horizontal="left" vertical="center" wrapText="1" indent="1"/>
    </xf>
    <xf numFmtId="164" fontId="28" fillId="3" borderId="0" xfId="2" applyNumberFormat="1" applyFont="1" applyFill="1" applyAlignment="1">
      <alignment horizontal="center" vertical="center"/>
    </xf>
    <xf numFmtId="164" fontId="34" fillId="3" borderId="0" xfId="2" applyNumberFormat="1" applyFont="1" applyFill="1" applyBorder="1" applyAlignment="1">
      <alignment horizontal="center" vertical="center" wrapText="1"/>
    </xf>
    <xf numFmtId="0" fontId="34" fillId="3" borderId="0" xfId="0" applyFont="1" applyFill="1" applyAlignment="1">
      <alignment horizontal="center" vertical="center" wrapText="1"/>
    </xf>
    <xf numFmtId="0" fontId="5" fillId="0" borderId="0" xfId="0" applyFont="1"/>
    <xf numFmtId="0" fontId="5" fillId="5" borderId="18" xfId="0" applyFont="1" applyFill="1" applyBorder="1" applyAlignment="1">
      <alignment horizontal="left" vertical="top" wrapText="1" indent="1"/>
    </xf>
    <xf numFmtId="0" fontId="5" fillId="5" borderId="19" xfId="0" applyFont="1" applyFill="1" applyBorder="1" applyAlignment="1">
      <alignment horizontal="left" vertical="top" wrapText="1" indent="1"/>
    </xf>
    <xf numFmtId="0" fontId="5" fillId="5" borderId="20" xfId="0" applyFont="1" applyFill="1" applyBorder="1" applyAlignment="1">
      <alignment horizontal="left" vertical="top" wrapText="1" indent="1"/>
    </xf>
    <xf numFmtId="0" fontId="44" fillId="5" borderId="21" xfId="0" quotePrefix="1" applyFont="1" applyFill="1" applyBorder="1" applyAlignment="1">
      <alignment horizontal="left" vertical="center" indent="1" shrinkToFit="1"/>
    </xf>
    <xf numFmtId="0" fontId="44" fillId="5" borderId="119" xfId="0" applyFont="1" applyFill="1" applyBorder="1" applyAlignment="1">
      <alignment horizontal="left" vertical="center" indent="1" shrinkToFit="1"/>
    </xf>
    <xf numFmtId="164" fontId="36" fillId="47" borderId="92" xfId="2" applyNumberFormat="1" applyFont="1" applyFill="1" applyBorder="1" applyAlignment="1">
      <alignment horizontal="left" vertical="top" wrapText="1" indent="1"/>
    </xf>
    <xf numFmtId="0" fontId="36" fillId="48" borderId="89" xfId="0" applyFont="1" applyFill="1" applyBorder="1" applyAlignment="1">
      <alignment horizontal="left" vertical="top" wrapText="1" indent="1"/>
    </xf>
    <xf numFmtId="0" fontId="36" fillId="48" borderId="16" xfId="0" applyFont="1" applyFill="1" applyBorder="1" applyAlignment="1">
      <alignment horizontal="left" vertical="top" wrapText="1" indent="1"/>
    </xf>
    <xf numFmtId="0" fontId="5" fillId="5" borderId="0" xfId="0" applyFont="1" applyFill="1" applyAlignment="1">
      <alignment horizontal="center" vertical="center"/>
    </xf>
    <xf numFmtId="14" fontId="5" fillId="0" borderId="0" xfId="0" applyNumberFormat="1" applyFont="1"/>
    <xf numFmtId="0" fontId="5" fillId="16" borderId="0" xfId="0" applyFont="1" applyFill="1" applyAlignment="1">
      <alignment horizontal="left" vertical="center" wrapText="1"/>
    </xf>
    <xf numFmtId="0" fontId="5" fillId="50" borderId="0" xfId="0" applyFont="1" applyFill="1"/>
    <xf numFmtId="164" fontId="0" fillId="8" borderId="0" xfId="0" applyNumberFormat="1" applyFill="1"/>
    <xf numFmtId="0" fontId="42" fillId="17" borderId="21" xfId="0" applyFont="1" applyFill="1" applyBorder="1" applyAlignment="1">
      <alignment horizontal="center"/>
    </xf>
    <xf numFmtId="0" fontId="5" fillId="20" borderId="0" xfId="0" applyFont="1" applyFill="1" applyAlignment="1">
      <alignment horizontal="center"/>
    </xf>
    <xf numFmtId="0" fontId="4" fillId="5" borderId="28" xfId="5" applyFill="1" applyBorder="1" applyAlignment="1">
      <alignment horizontal="left" vertical="center"/>
    </xf>
    <xf numFmtId="0" fontId="4" fillId="5" borderId="29" xfId="5" applyFill="1" applyBorder="1" applyAlignment="1">
      <alignment horizontal="left" vertical="center"/>
    </xf>
    <xf numFmtId="0" fontId="4" fillId="5" borderId="30" xfId="5" applyFill="1" applyBorder="1" applyAlignment="1">
      <alignment horizontal="left" vertical="center"/>
    </xf>
    <xf numFmtId="166" fontId="5" fillId="0" borderId="0" xfId="0" applyNumberFormat="1" applyFont="1" applyAlignment="1">
      <alignment shrinkToFit="1"/>
    </xf>
    <xf numFmtId="0" fontId="46" fillId="5" borderId="0" xfId="0" applyFont="1" applyFill="1" applyAlignment="1">
      <alignment horizontal="right" vertical="center" indent="1"/>
    </xf>
    <xf numFmtId="0" fontId="25" fillId="0" borderId="40" xfId="0" applyFont="1" applyBorder="1" applyAlignment="1">
      <alignment horizontal="left" vertical="top" wrapText="1"/>
    </xf>
    <xf numFmtId="0" fontId="25" fillId="0" borderId="41" xfId="0" applyFont="1" applyBorder="1" applyAlignment="1">
      <alignment horizontal="left" vertical="top" wrapText="1"/>
    </xf>
    <xf numFmtId="0" fontId="25" fillId="0" borderId="42" xfId="0" applyFont="1" applyBorder="1" applyAlignment="1">
      <alignment horizontal="left" vertical="top" wrapText="1"/>
    </xf>
    <xf numFmtId="9" fontId="20" fillId="20" borderId="44" xfId="0" applyNumberFormat="1" applyFont="1" applyFill="1" applyBorder="1" applyAlignment="1">
      <alignment horizontal="center" vertical="center" shrinkToFit="1"/>
    </xf>
    <xf numFmtId="9" fontId="20" fillId="20" borderId="45" xfId="0" applyNumberFormat="1" applyFont="1" applyFill="1" applyBorder="1" applyAlignment="1">
      <alignment horizontal="center" vertical="center" shrinkToFit="1"/>
    </xf>
    <xf numFmtId="0" fontId="38" fillId="23" borderId="38" xfId="0" applyFont="1" applyFill="1" applyBorder="1" applyAlignment="1">
      <alignment horizontal="left" vertical="top" wrapText="1"/>
    </xf>
    <xf numFmtId="0" fontId="38" fillId="23" borderId="0" xfId="0" applyFont="1" applyFill="1" applyAlignment="1">
      <alignment horizontal="left" vertical="top" wrapText="1"/>
    </xf>
    <xf numFmtId="0" fontId="38" fillId="23" borderId="39" xfId="0" applyFont="1" applyFill="1" applyBorder="1" applyAlignment="1">
      <alignment horizontal="left" vertical="top" wrapText="1"/>
    </xf>
    <xf numFmtId="0" fontId="75" fillId="20" borderId="49" xfId="0" applyFont="1" applyFill="1" applyBorder="1" applyAlignment="1">
      <alignment horizontal="center" vertical="center" textRotation="45" wrapText="1"/>
    </xf>
    <xf numFmtId="0" fontId="75" fillId="20" borderId="50" xfId="0" applyFont="1" applyFill="1" applyBorder="1" applyAlignment="1">
      <alignment horizontal="center" vertical="center" textRotation="45" wrapText="1"/>
    </xf>
    <xf numFmtId="0" fontId="75" fillId="20" borderId="51" xfId="0" applyFont="1" applyFill="1" applyBorder="1" applyAlignment="1">
      <alignment horizontal="center" vertical="center" textRotation="45" wrapText="1"/>
    </xf>
    <xf numFmtId="0" fontId="53" fillId="50" borderId="0" xfId="0" applyFont="1" applyFill="1" applyAlignment="1">
      <alignment horizontal="left"/>
    </xf>
    <xf numFmtId="0" fontId="53" fillId="50" borderId="118" xfId="0" applyFont="1" applyFill="1" applyBorder="1" applyAlignment="1">
      <alignment horizontal="left"/>
    </xf>
    <xf numFmtId="0" fontId="5" fillId="21" borderId="0" xfId="0" applyFont="1" applyFill="1" applyAlignment="1">
      <alignment vertical="top" wrapText="1"/>
    </xf>
    <xf numFmtId="0" fontId="20" fillId="5" borderId="54" xfId="0" applyFont="1" applyFill="1" applyBorder="1" applyAlignment="1">
      <alignment horizontal="left" vertical="top"/>
    </xf>
    <xf numFmtId="0" fontId="20" fillId="5" borderId="55" xfId="0" applyFont="1" applyFill="1" applyBorder="1" applyAlignment="1">
      <alignment horizontal="left" vertical="top"/>
    </xf>
    <xf numFmtId="0" fontId="20" fillId="5" borderId="56" xfId="0" applyFont="1" applyFill="1" applyBorder="1" applyAlignment="1">
      <alignment horizontal="left" vertical="top"/>
    </xf>
    <xf numFmtId="0" fontId="5" fillId="0" borderId="57" xfId="0" applyFont="1" applyBorder="1" applyAlignment="1">
      <alignment vertical="center" wrapText="1"/>
    </xf>
    <xf numFmtId="0" fontId="5" fillId="0" borderId="0" xfId="0" applyFont="1" applyAlignment="1">
      <alignment vertical="center" wrapText="1"/>
    </xf>
    <xf numFmtId="0" fontId="5" fillId="16" borderId="0" xfId="0" applyFont="1" applyFill="1" applyAlignment="1">
      <alignment horizontal="left" vertical="top" wrapText="1"/>
    </xf>
    <xf numFmtId="0" fontId="5" fillId="23" borderId="0" xfId="0" applyFont="1" applyFill="1" applyAlignment="1">
      <alignment vertical="top" wrapText="1"/>
    </xf>
    <xf numFmtId="0" fontId="5" fillId="20" borderId="0" xfId="0" applyFont="1" applyFill="1" applyAlignment="1">
      <alignment horizontal="left" vertical="top" wrapText="1"/>
    </xf>
    <xf numFmtId="0" fontId="5" fillId="5" borderId="0" xfId="0" applyFont="1" applyFill="1" applyAlignment="1">
      <alignment horizontal="center"/>
    </xf>
    <xf numFmtId="0" fontId="5" fillId="0" borderId="11" xfId="0" applyFont="1" applyBorder="1" applyAlignment="1">
      <alignment vertical="top" wrapText="1"/>
    </xf>
    <xf numFmtId="0" fontId="5" fillId="0" borderId="12" xfId="0" applyFont="1" applyBorder="1" applyAlignment="1">
      <alignment vertical="top" wrapText="1"/>
    </xf>
    <xf numFmtId="0" fontId="5" fillId="0" borderId="13" xfId="0" applyFont="1" applyBorder="1" applyAlignment="1">
      <alignment vertical="top"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13" xfId="0" applyFont="1" applyBorder="1" applyAlignment="1">
      <alignment vertical="center" wrapText="1"/>
    </xf>
    <xf numFmtId="0" fontId="0" fillId="5" borderId="175" xfId="0" applyFill="1" applyBorder="1" applyAlignment="1">
      <alignment vertical="center" shrinkToFit="1"/>
    </xf>
    <xf numFmtId="0" fontId="5" fillId="24" borderId="0" xfId="0" applyFont="1" applyFill="1" applyAlignment="1">
      <alignment horizontal="left" vertical="top" wrapText="1"/>
    </xf>
    <xf numFmtId="0" fontId="81" fillId="0" borderId="0" xfId="0" applyFont="1" applyAlignment="1">
      <alignment horizontal="left" vertical="top" wrapText="1"/>
    </xf>
    <xf numFmtId="0" fontId="5" fillId="24" borderId="0" xfId="0" applyFont="1" applyFill="1" applyAlignment="1">
      <alignment vertical="center" wrapText="1"/>
    </xf>
    <xf numFmtId="0" fontId="0" fillId="5" borderId="58" xfId="0" applyFill="1" applyBorder="1" applyAlignment="1">
      <alignment vertical="center" shrinkToFit="1"/>
    </xf>
    <xf numFmtId="0" fontId="83" fillId="0" borderId="0" xfId="0" applyFont="1" applyAlignment="1">
      <alignment horizontal="left" vertical="top" wrapText="1"/>
    </xf>
    <xf numFmtId="0" fontId="5" fillId="37" borderId="0" xfId="0" applyFont="1" applyFill="1" applyAlignment="1">
      <alignment vertical="top" wrapText="1"/>
    </xf>
    <xf numFmtId="0" fontId="5" fillId="11" borderId="0" xfId="0" applyFont="1" applyFill="1" applyAlignment="1">
      <alignment horizontal="left" vertical="center" wrapText="1" indent="1"/>
    </xf>
    <xf numFmtId="0" fontId="9" fillId="5" borderId="61" xfId="0" applyFont="1" applyFill="1" applyBorder="1" applyAlignment="1">
      <alignment horizontal="left" vertical="center" indent="1" shrinkToFit="1"/>
    </xf>
    <xf numFmtId="0" fontId="9" fillId="5" borderId="62" xfId="0" applyFont="1" applyFill="1" applyBorder="1" applyAlignment="1">
      <alignment horizontal="left" vertical="center" indent="1" shrinkToFit="1"/>
    </xf>
    <xf numFmtId="0" fontId="47" fillId="40" borderId="0" xfId="0" applyFont="1" applyFill="1" applyAlignment="1">
      <alignment horizontal="left" vertical="center" wrapText="1"/>
    </xf>
    <xf numFmtId="0" fontId="47" fillId="40" borderId="0" xfId="0" applyFont="1" applyFill="1" applyAlignment="1">
      <alignment horizontal="left" vertical="center"/>
    </xf>
    <xf numFmtId="169" fontId="5" fillId="0" borderId="0" xfId="1" applyNumberFormat="1" applyFont="1" applyAlignment="1"/>
    <xf numFmtId="0" fontId="0" fillId="5" borderId="63" xfId="0" applyFill="1" applyBorder="1"/>
    <xf numFmtId="0" fontId="0" fillId="5" borderId="64" xfId="0" applyFill="1" applyBorder="1"/>
    <xf numFmtId="0" fontId="0" fillId="0" borderId="65" xfId="0" applyBorder="1" applyAlignment="1">
      <alignment shrinkToFit="1"/>
    </xf>
    <xf numFmtId="0" fontId="20" fillId="40" borderId="66" xfId="0" applyFont="1" applyFill="1" applyBorder="1" applyAlignment="1">
      <alignment horizontal="left" vertical="center" wrapText="1"/>
    </xf>
    <xf numFmtId="0" fontId="20" fillId="40" borderId="0" xfId="0" applyFont="1" applyFill="1" applyAlignment="1">
      <alignment horizontal="left" vertical="center"/>
    </xf>
    <xf numFmtId="0" fontId="20" fillId="40" borderId="67" xfId="0" applyFont="1" applyFill="1" applyBorder="1" applyAlignment="1">
      <alignment horizontal="left" vertical="center"/>
    </xf>
    <xf numFmtId="0" fontId="76" fillId="16" borderId="0" xfId="0" applyFont="1" applyFill="1" applyAlignment="1">
      <alignment horizontal="left" vertical="center" wrapText="1"/>
    </xf>
    <xf numFmtId="0" fontId="9" fillId="42" borderId="68" xfId="0" applyFont="1" applyFill="1" applyBorder="1" applyAlignment="1">
      <alignment horizontal="left" vertical="top"/>
    </xf>
    <xf numFmtId="0" fontId="9" fillId="42" borderId="69" xfId="0" applyFont="1" applyFill="1" applyBorder="1" applyAlignment="1">
      <alignment horizontal="left" vertical="top"/>
    </xf>
    <xf numFmtId="0" fontId="9" fillId="42" borderId="70" xfId="0" applyFont="1" applyFill="1" applyBorder="1" applyAlignment="1">
      <alignment horizontal="left" vertical="top" wrapText="1"/>
    </xf>
    <xf numFmtId="0" fontId="9" fillId="42" borderId="71" xfId="0" applyFont="1" applyFill="1" applyBorder="1" applyAlignment="1">
      <alignment horizontal="left" vertical="top" wrapText="1"/>
    </xf>
    <xf numFmtId="0" fontId="9" fillId="42" borderId="72" xfId="0" applyFont="1" applyFill="1" applyBorder="1" applyAlignment="1">
      <alignment horizontal="left" vertical="top" wrapText="1"/>
    </xf>
    <xf numFmtId="0" fontId="9" fillId="42" borderId="73" xfId="0" applyFont="1" applyFill="1" applyBorder="1" applyAlignment="1">
      <alignment horizontal="left" vertical="top" wrapText="1"/>
    </xf>
    <xf numFmtId="0" fontId="9" fillId="42" borderId="74" xfId="0" applyFont="1" applyFill="1" applyBorder="1" applyAlignment="1">
      <alignment horizontal="left" vertical="top" wrapText="1"/>
    </xf>
    <xf numFmtId="0" fontId="9" fillId="42" borderId="75" xfId="0" applyFont="1" applyFill="1" applyBorder="1" applyAlignment="1">
      <alignment horizontal="left" vertical="top" wrapText="1"/>
    </xf>
    <xf numFmtId="0" fontId="5" fillId="41" borderId="0" xfId="0" applyFont="1" applyFill="1" applyAlignment="1">
      <alignment vertical="top" wrapText="1"/>
    </xf>
    <xf numFmtId="10" fontId="5" fillId="8" borderId="0" xfId="0" applyNumberFormat="1" applyFont="1" applyFill="1" applyAlignment="1">
      <alignment horizontal="center"/>
    </xf>
    <xf numFmtId="166" fontId="5" fillId="0" borderId="0" xfId="0" applyNumberFormat="1" applyFont="1"/>
    <xf numFmtId="169" fontId="0" fillId="0" borderId="0" xfId="1" applyNumberFormat="1" applyFont="1" applyAlignment="1"/>
    <xf numFmtId="1" fontId="5" fillId="0" borderId="0" xfId="0" applyNumberFormat="1" applyFont="1" applyAlignment="1">
      <alignment horizontal="left"/>
    </xf>
    <xf numFmtId="1" fontId="0" fillId="0" borderId="0" xfId="0" applyNumberFormat="1" applyAlignment="1">
      <alignment horizontal="left"/>
    </xf>
    <xf numFmtId="173" fontId="5" fillId="0" borderId="0" xfId="3" applyNumberFormat="1" applyFont="1" applyAlignment="1">
      <alignment shrinkToFit="1"/>
    </xf>
    <xf numFmtId="173" fontId="0" fillId="0" borderId="0" xfId="3" applyNumberFormat="1" applyFont="1" applyAlignment="1">
      <alignment shrinkToFit="1"/>
    </xf>
    <xf numFmtId="169" fontId="5" fillId="0" borderId="0" xfId="1" applyNumberFormat="1" applyFont="1" applyAlignment="1">
      <alignment horizontal="left"/>
    </xf>
    <xf numFmtId="169" fontId="0" fillId="0" borderId="0" xfId="1" applyNumberFormat="1" applyFont="1" applyAlignment="1">
      <alignment horizontal="left"/>
    </xf>
    <xf numFmtId="1" fontId="5" fillId="0" borderId="0" xfId="0" applyNumberFormat="1" applyFont="1"/>
    <xf numFmtId="1" fontId="0" fillId="0" borderId="0" xfId="0" applyNumberFormat="1"/>
    <xf numFmtId="0" fontId="20" fillId="5" borderId="112" xfId="0" applyFont="1" applyFill="1" applyBorder="1" applyAlignment="1">
      <alignment horizontal="left" indent="1"/>
    </xf>
    <xf numFmtId="0" fontId="20" fillId="5" borderId="113" xfId="0" applyFont="1" applyFill="1" applyBorder="1" applyAlignment="1">
      <alignment horizontal="left" indent="1"/>
    </xf>
    <xf numFmtId="0" fontId="20" fillId="5" borderId="114" xfId="0" applyFont="1" applyFill="1" applyBorder="1" applyAlignment="1">
      <alignment horizontal="left" indent="1"/>
    </xf>
    <xf numFmtId="0" fontId="5" fillId="20" borderId="0" xfId="0" applyFont="1" applyFill="1" applyAlignment="1">
      <alignment horizontal="left" indent="1" shrinkToFit="1"/>
    </xf>
    <xf numFmtId="0" fontId="150" fillId="20" borderId="0" xfId="0" applyFont="1" applyFill="1" applyAlignment="1">
      <alignment horizontal="right"/>
    </xf>
    <xf numFmtId="0" fontId="20" fillId="20" borderId="112" xfId="0" applyFont="1" applyFill="1" applyBorder="1" applyAlignment="1">
      <alignment horizontal="left"/>
    </xf>
    <xf numFmtId="0" fontId="20" fillId="20" borderId="113" xfId="0" applyFont="1" applyFill="1" applyBorder="1" applyAlignment="1">
      <alignment horizontal="left"/>
    </xf>
    <xf numFmtId="0" fontId="20" fillId="20" borderId="114" xfId="0" applyFont="1" applyFill="1" applyBorder="1" applyAlignment="1">
      <alignment horizontal="left"/>
    </xf>
    <xf numFmtId="0" fontId="153" fillId="36" borderId="0" xfId="0" applyFont="1" applyFill="1" applyAlignment="1">
      <alignment horizontal="center"/>
    </xf>
    <xf numFmtId="0" fontId="99" fillId="43" borderId="81" xfId="5" applyFont="1" applyFill="1" applyBorder="1" applyAlignment="1">
      <alignment horizontal="right" vertical="center" shrinkToFit="1"/>
    </xf>
    <xf numFmtId="0" fontId="101" fillId="43" borderId="84" xfId="5" applyFont="1" applyFill="1" applyBorder="1" applyAlignment="1">
      <alignment shrinkToFit="1"/>
    </xf>
    <xf numFmtId="0" fontId="20" fillId="43" borderId="0" xfId="0" applyFont="1" applyFill="1" applyAlignment="1">
      <alignment horizontal="left" indent="1"/>
    </xf>
    <xf numFmtId="164" fontId="9" fillId="42" borderId="72" xfId="0" quotePrefix="1" applyNumberFormat="1" applyFont="1" applyFill="1" applyBorder="1" applyAlignment="1">
      <alignment horizontal="left" shrinkToFit="1"/>
    </xf>
    <xf numFmtId="164" fontId="5" fillId="0" borderId="0" xfId="0" applyNumberFormat="1" applyFont="1" applyAlignment="1">
      <alignment shrinkToFit="1"/>
    </xf>
    <xf numFmtId="0" fontId="143" fillId="20" borderId="0" xfId="0" applyFont="1" applyFill="1" applyAlignment="1">
      <alignment horizontal="left"/>
    </xf>
    <xf numFmtId="0" fontId="196" fillId="48" borderId="125" xfId="0" applyFont="1" applyFill="1" applyBorder="1" applyAlignment="1">
      <alignment horizontal="center" vertical="center"/>
    </xf>
    <xf numFmtId="0" fontId="196" fillId="48" borderId="126" xfId="0" applyFont="1" applyFill="1" applyBorder="1" applyAlignment="1">
      <alignment horizontal="center" vertical="center"/>
    </xf>
    <xf numFmtId="0" fontId="196" fillId="48" borderId="127" xfId="0" applyFont="1" applyFill="1" applyBorder="1" applyAlignment="1">
      <alignment horizontal="center" vertical="center"/>
    </xf>
    <xf numFmtId="0" fontId="196" fillId="5" borderId="125" xfId="0" applyFont="1" applyFill="1" applyBorder="1" applyAlignment="1">
      <alignment horizontal="center" vertical="center"/>
    </xf>
    <xf numFmtId="0" fontId="196" fillId="5" borderId="126" xfId="0" applyFont="1" applyFill="1" applyBorder="1" applyAlignment="1">
      <alignment horizontal="center" vertical="center"/>
    </xf>
    <xf numFmtId="0" fontId="196" fillId="5" borderId="127" xfId="0" applyFont="1" applyFill="1" applyBorder="1" applyAlignment="1">
      <alignment horizontal="center" vertical="center"/>
    </xf>
    <xf numFmtId="0" fontId="20" fillId="5" borderId="122" xfId="0" applyFont="1" applyFill="1" applyBorder="1" applyAlignment="1">
      <alignment horizontal="left" indent="1"/>
    </xf>
    <xf numFmtId="0" fontId="20" fillId="5" borderId="0" xfId="0" applyFont="1" applyFill="1" applyAlignment="1">
      <alignment horizontal="left" indent="1"/>
    </xf>
    <xf numFmtId="0" fontId="20" fillId="20" borderId="0" xfId="0" applyFont="1" applyFill="1" applyAlignment="1">
      <alignment horizontal="left" vertical="center" indent="1"/>
    </xf>
    <xf numFmtId="0" fontId="57" fillId="5" borderId="116" xfId="5" applyFont="1" applyFill="1" applyBorder="1" applyAlignment="1">
      <alignment horizontal="left" vertical="center" indent="1"/>
    </xf>
    <xf numFmtId="0" fontId="57" fillId="5" borderId="117" xfId="5" applyFont="1" applyFill="1" applyBorder="1" applyAlignment="1">
      <alignment horizontal="left" vertical="center" indent="1"/>
    </xf>
    <xf numFmtId="0" fontId="53" fillId="50" borderId="0" xfId="0" applyFont="1" applyFill="1" applyAlignment="1">
      <alignment horizontal="left" vertical="center"/>
    </xf>
    <xf numFmtId="0" fontId="53" fillId="50" borderId="118" xfId="0" applyFont="1" applyFill="1" applyBorder="1" applyAlignment="1">
      <alignment horizontal="left" vertical="center"/>
    </xf>
    <xf numFmtId="0" fontId="5" fillId="43" borderId="0" xfId="0" applyFont="1" applyFill="1" applyAlignment="1">
      <alignment horizontal="left" vertical="center" wrapText="1"/>
    </xf>
    <xf numFmtId="0" fontId="5" fillId="43" borderId="0" xfId="0" applyFont="1" applyFill="1" applyAlignment="1">
      <alignment horizontal="left" wrapText="1"/>
    </xf>
    <xf numFmtId="0" fontId="5" fillId="43" borderId="0" xfId="0" applyFont="1" applyFill="1" applyAlignment="1">
      <alignment vertical="top" wrapText="1"/>
    </xf>
    <xf numFmtId="166" fontId="5" fillId="43" borderId="0" xfId="2" applyNumberFormat="1" applyFont="1" applyFill="1" applyAlignment="1">
      <alignment vertical="top" wrapText="1"/>
    </xf>
    <xf numFmtId="0" fontId="264" fillId="15" borderId="0" xfId="0" applyFont="1" applyFill="1" applyAlignment="1">
      <alignment horizontal="center" vertical="center"/>
    </xf>
    <xf numFmtId="0" fontId="90" fillId="20" borderId="0" xfId="0" applyFont="1" applyFill="1" applyAlignment="1">
      <alignment horizontal="left"/>
    </xf>
    <xf numFmtId="0" fontId="5" fillId="18" borderId="0" xfId="0" applyFont="1" applyFill="1" applyAlignment="1">
      <alignment horizontal="left" vertical="top" wrapText="1" indent="2"/>
    </xf>
    <xf numFmtId="0" fontId="256" fillId="48" borderId="176" xfId="0" applyFont="1" applyFill="1" applyBorder="1" applyAlignment="1">
      <alignment horizontal="left" vertical="center" wrapText="1"/>
    </xf>
    <xf numFmtId="0" fontId="256" fillId="48" borderId="178" xfId="0" applyFont="1" applyFill="1" applyBorder="1" applyAlignment="1">
      <alignment horizontal="left" vertical="center" wrapText="1"/>
    </xf>
    <xf numFmtId="0" fontId="102" fillId="48" borderId="177" xfId="0" applyFont="1" applyFill="1" applyBorder="1" applyAlignment="1">
      <alignment horizontal="left" vertical="center" wrapText="1" indent="1"/>
    </xf>
    <xf numFmtId="0" fontId="102" fillId="48" borderId="182" xfId="0" applyFont="1" applyFill="1" applyBorder="1" applyAlignment="1">
      <alignment horizontal="left" vertical="center" wrapText="1" indent="1"/>
    </xf>
    <xf numFmtId="0" fontId="102" fillId="48" borderId="179" xfId="0" applyFont="1" applyFill="1" applyBorder="1" applyAlignment="1">
      <alignment horizontal="left" vertical="center" wrapText="1" indent="1"/>
    </xf>
    <xf numFmtId="0" fontId="102" fillId="48" borderId="183" xfId="0" applyFont="1" applyFill="1" applyBorder="1" applyAlignment="1">
      <alignment horizontal="left" vertical="center" wrapText="1" indent="1"/>
    </xf>
    <xf numFmtId="0" fontId="257" fillId="48" borderId="188" xfId="0" applyFont="1" applyFill="1" applyBorder="1" applyAlignment="1">
      <alignment horizontal="left" vertical="center" wrapText="1"/>
    </xf>
    <xf numFmtId="0" fontId="257" fillId="48" borderId="178" xfId="0" applyFont="1" applyFill="1" applyBorder="1" applyAlignment="1">
      <alignment horizontal="left" vertical="center" wrapText="1"/>
    </xf>
    <xf numFmtId="0" fontId="257" fillId="48" borderId="185" xfId="0" applyFont="1" applyFill="1" applyBorder="1" applyAlignment="1">
      <alignment horizontal="left" vertical="center" wrapText="1"/>
    </xf>
    <xf numFmtId="0" fontId="102" fillId="48" borderId="189" xfId="0" applyFont="1" applyFill="1" applyBorder="1" applyAlignment="1">
      <alignment horizontal="left" vertical="center" wrapText="1" indent="1"/>
    </xf>
    <xf numFmtId="0" fontId="102" fillId="48" borderId="190" xfId="0" applyFont="1" applyFill="1" applyBorder="1" applyAlignment="1">
      <alignment horizontal="left" vertical="center" wrapText="1" indent="1"/>
    </xf>
    <xf numFmtId="0" fontId="102" fillId="48" borderId="186" xfId="0" applyFont="1" applyFill="1" applyBorder="1" applyAlignment="1">
      <alignment horizontal="left" vertical="center" wrapText="1" indent="1"/>
    </xf>
    <xf numFmtId="0" fontId="102" fillId="48" borderId="187" xfId="0" applyFont="1" applyFill="1" applyBorder="1" applyAlignment="1">
      <alignment horizontal="left" vertical="center" wrapText="1" indent="1"/>
    </xf>
    <xf numFmtId="0" fontId="255" fillId="48" borderId="183" xfId="0" applyFont="1" applyFill="1" applyBorder="1" applyAlignment="1">
      <alignment horizontal="left" vertical="center" wrapText="1"/>
    </xf>
    <xf numFmtId="0" fontId="5" fillId="20" borderId="0" xfId="0" applyFont="1" applyFill="1" applyAlignment="1">
      <alignment horizontal="left" vertical="top" wrapText="1" indent="2"/>
    </xf>
    <xf numFmtId="169" fontId="5" fillId="0" borderId="0" xfId="1" applyNumberFormat="1" applyFont="1" applyAlignment="1">
      <alignment horizontal="center"/>
    </xf>
    <xf numFmtId="0" fontId="5" fillId="5" borderId="0" xfId="0" applyFont="1" applyFill="1" applyAlignment="1">
      <alignment horizontal="left" vertical="center"/>
    </xf>
    <xf numFmtId="0" fontId="151" fillId="5" borderId="122" xfId="0" applyFont="1" applyFill="1" applyBorder="1" applyAlignment="1">
      <alignment horizontal="center" vertical="center" shrinkToFit="1"/>
    </xf>
    <xf numFmtId="0" fontId="151" fillId="5" borderId="0" xfId="0" applyFont="1" applyFill="1" applyAlignment="1">
      <alignment horizontal="center" vertical="center" shrinkToFit="1"/>
    </xf>
    <xf numFmtId="0" fontId="61" fillId="20" borderId="0" xfId="0" applyFont="1" applyFill="1" applyAlignment="1">
      <alignment horizontal="center" vertical="center" shrinkToFit="1"/>
    </xf>
    <xf numFmtId="0" fontId="81" fillId="5" borderId="0" xfId="0" applyFont="1" applyFill="1" applyAlignment="1">
      <alignment horizontal="right"/>
    </xf>
    <xf numFmtId="0" fontId="40" fillId="66" borderId="0" xfId="0" applyFont="1" applyFill="1" applyAlignment="1">
      <alignment horizontal="left" vertical="center"/>
    </xf>
    <xf numFmtId="0" fontId="102" fillId="48" borderId="181" xfId="0" applyFont="1" applyFill="1" applyBorder="1" applyAlignment="1">
      <alignment horizontal="left" vertical="center" wrapText="1" indent="1"/>
    </xf>
    <xf numFmtId="0" fontId="46" fillId="36" borderId="0" xfId="0" quotePrefix="1" applyFont="1" applyFill="1" applyAlignment="1">
      <alignment horizontal="left"/>
    </xf>
    <xf numFmtId="0" fontId="263" fillId="48" borderId="148" xfId="0" applyFont="1" applyFill="1" applyBorder="1" applyAlignment="1">
      <alignment horizontal="center" vertical="center"/>
    </xf>
    <xf numFmtId="0" fontId="263" fillId="48" borderId="154" xfId="0" applyFont="1" applyFill="1" applyBorder="1" applyAlignment="1">
      <alignment horizontal="center" vertical="center"/>
    </xf>
    <xf numFmtId="0" fontId="257" fillId="48" borderId="178" xfId="0" applyFont="1" applyFill="1" applyBorder="1" applyAlignment="1">
      <alignment horizontal="left" vertical="top" wrapText="1"/>
    </xf>
    <xf numFmtId="0" fontId="257" fillId="48" borderId="180" xfId="0" applyFont="1" applyFill="1" applyBorder="1" applyAlignment="1">
      <alignment horizontal="left" vertical="top" wrapText="1"/>
    </xf>
    <xf numFmtId="2" fontId="275" fillId="55" borderId="0" xfId="0" applyNumberFormat="1" applyFont="1" applyFill="1" applyAlignment="1">
      <alignment horizontal="center" vertical="center"/>
    </xf>
    <xf numFmtId="2" fontId="276" fillId="36" borderId="0" xfId="0" applyNumberFormat="1" applyFont="1" applyFill="1" applyAlignment="1">
      <alignment horizontal="center" vertical="center"/>
    </xf>
    <xf numFmtId="2" fontId="5" fillId="0" borderId="0" xfId="0" applyNumberFormat="1" applyFont="1" applyAlignment="1">
      <alignment horizontal="center" vertical="center"/>
    </xf>
    <xf numFmtId="0" fontId="272" fillId="62" borderId="0" xfId="0" applyFont="1" applyFill="1" applyAlignment="1">
      <alignment horizontal="center" vertical="center" textRotation="90" wrapText="1"/>
    </xf>
    <xf numFmtId="0" fontId="269" fillId="62" borderId="0" xfId="0" applyFont="1" applyFill="1" applyAlignment="1">
      <alignment horizontal="right" vertical="center" textRotation="90" wrapText="1"/>
    </xf>
    <xf numFmtId="0" fontId="270" fillId="62" borderId="0" xfId="0" applyFont="1" applyFill="1" applyAlignment="1">
      <alignment horizontal="center" vertical="center" textRotation="90" wrapText="1"/>
    </xf>
    <xf numFmtId="176" fontId="5" fillId="0" borderId="0" xfId="0" quotePrefix="1" applyNumberFormat="1" applyFont="1" applyAlignment="1">
      <alignment horizontal="center"/>
    </xf>
    <xf numFmtId="176" fontId="5" fillId="0" borderId="0" xfId="0" applyNumberFormat="1" applyFont="1" applyAlignment="1">
      <alignment horizontal="center"/>
    </xf>
    <xf numFmtId="0" fontId="5" fillId="5" borderId="191" xfId="0" applyFont="1" applyFill="1" applyBorder="1" applyAlignment="1">
      <alignment horizontal="left" vertical="top" indent="2"/>
    </xf>
    <xf numFmtId="0" fontId="5" fillId="5" borderId="192" xfId="0" applyFont="1" applyFill="1" applyBorder="1" applyAlignment="1">
      <alignment horizontal="left" vertical="top" indent="2"/>
    </xf>
    <xf numFmtId="0" fontId="5" fillId="5" borderId="193" xfId="0" applyFont="1" applyFill="1" applyBorder="1" applyAlignment="1">
      <alignment horizontal="left" vertical="top" indent="2"/>
    </xf>
    <xf numFmtId="0" fontId="5" fillId="64" borderId="0" xfId="0" applyFont="1" applyFill="1" applyAlignment="1">
      <alignment horizontal="left" vertical="top" wrapText="1" indent="1"/>
    </xf>
    <xf numFmtId="0" fontId="81" fillId="5" borderId="175" xfId="0" applyFont="1" applyFill="1" applyBorder="1" applyAlignment="1">
      <alignment vertical="center" shrinkToFit="1"/>
    </xf>
    <xf numFmtId="0" fontId="81" fillId="5" borderId="58" xfId="0" applyFont="1" applyFill="1" applyBorder="1" applyAlignment="1">
      <alignment vertical="center" shrinkToFit="1"/>
    </xf>
    <xf numFmtId="0" fontId="269" fillId="62" borderId="0" xfId="0" applyFont="1" applyFill="1" applyAlignment="1">
      <alignment horizontal="center" vertical="center" wrapText="1"/>
    </xf>
    <xf numFmtId="0" fontId="272" fillId="62" borderId="198" xfId="0" applyFont="1" applyFill="1" applyBorder="1" applyAlignment="1">
      <alignment horizontal="center" vertical="center"/>
    </xf>
    <xf numFmtId="0" fontId="270" fillId="62" borderId="0" xfId="0" applyFont="1" applyFill="1" applyAlignment="1">
      <alignment horizontal="center" vertical="center" wrapText="1"/>
    </xf>
    <xf numFmtId="0" fontId="290" fillId="66" borderId="0" xfId="0" applyFont="1" applyFill="1" applyAlignment="1">
      <alignment horizontal="right" vertical="center"/>
    </xf>
    <xf numFmtId="0" fontId="5" fillId="5" borderId="0" xfId="0" applyFont="1" applyFill="1" applyAlignment="1">
      <alignment horizontal="left" vertical="top" wrapText="1"/>
    </xf>
    <xf numFmtId="0" fontId="293" fillId="5" borderId="0" xfId="0" applyFont="1" applyFill="1" applyAlignment="1">
      <alignment vertical="top"/>
    </xf>
    <xf numFmtId="185" fontId="5" fillId="5" borderId="0" xfId="0" applyNumberFormat="1" applyFont="1" applyFill="1"/>
    <xf numFmtId="0" fontId="294" fillId="5" borderId="0" xfId="0" applyFont="1" applyFill="1" applyAlignment="1">
      <alignment vertical="top"/>
    </xf>
    <xf numFmtId="0" fontId="5" fillId="65" borderId="132" xfId="0" applyFont="1" applyFill="1" applyBorder="1"/>
    <xf numFmtId="0" fontId="5" fillId="65" borderId="133" xfId="0" applyFont="1" applyFill="1" applyBorder="1"/>
    <xf numFmtId="0" fontId="5" fillId="65" borderId="134" xfId="0" applyFont="1" applyFill="1" applyBorder="1"/>
    <xf numFmtId="0" fontId="5" fillId="65" borderId="135" xfId="0" applyFont="1" applyFill="1" applyBorder="1"/>
    <xf numFmtId="0" fontId="5" fillId="65" borderId="136" xfId="0" applyFont="1" applyFill="1" applyBorder="1"/>
    <xf numFmtId="0" fontId="295" fillId="65" borderId="0" xfId="0" applyFont="1" applyFill="1" applyAlignment="1">
      <alignment horizontal="center" vertical="center"/>
    </xf>
    <xf numFmtId="0" fontId="296" fillId="65" borderId="0" xfId="0" applyFont="1" applyFill="1" applyAlignment="1">
      <alignment horizontal="left" vertical="top" wrapText="1"/>
    </xf>
    <xf numFmtId="0" fontId="297" fillId="57" borderId="0" xfId="0" applyFont="1" applyFill="1" applyAlignment="1">
      <alignment horizontal="center" vertical="center" wrapText="1"/>
    </xf>
    <xf numFmtId="0" fontId="38" fillId="5" borderId="0" xfId="0" applyFont="1" applyFill="1"/>
    <xf numFmtId="0" fontId="298" fillId="5" borderId="0" xfId="0" applyFont="1" applyFill="1"/>
    <xf numFmtId="0" fontId="299" fillId="48" borderId="0" xfId="0" applyFont="1" applyFill="1" applyAlignment="1">
      <alignment vertical="top" wrapText="1"/>
    </xf>
    <xf numFmtId="0" fontId="299" fillId="48" borderId="0" xfId="0" applyFont="1" applyFill="1" applyAlignment="1">
      <alignment vertical="center" wrapText="1"/>
    </xf>
    <xf numFmtId="0" fontId="5" fillId="48" borderId="0" xfId="0" applyFont="1" applyFill="1" applyAlignment="1">
      <alignment vertical="center" wrapText="1"/>
    </xf>
    <xf numFmtId="0" fontId="302" fillId="3" borderId="0" xfId="0" applyFont="1" applyFill="1" applyAlignment="1">
      <alignment horizontal="left" vertical="center"/>
    </xf>
    <xf numFmtId="0" fontId="300" fillId="66" borderId="0" xfId="0" applyFont="1" applyFill="1" applyAlignment="1">
      <alignment horizontal="left" vertical="center"/>
    </xf>
    <xf numFmtId="0" fontId="4" fillId="3" borderId="0" xfId="5" applyFill="1"/>
    <xf numFmtId="0" fontId="303" fillId="3" borderId="0" xfId="0" applyFont="1" applyFill="1"/>
    <xf numFmtId="0" fontId="4" fillId="3" borderId="0" xfId="5" quotePrefix="1" applyFill="1"/>
    <xf numFmtId="0" fontId="15" fillId="14" borderId="0" xfId="0" applyFont="1" applyFill="1" applyAlignment="1">
      <alignment horizontal="left" indent="2"/>
    </xf>
    <xf numFmtId="0" fontId="63" fillId="15" borderId="0" xfId="0" applyFont="1" applyFill="1" applyAlignment="1">
      <alignment horizontal="left" vertical="center"/>
    </xf>
    <xf numFmtId="0" fontId="40" fillId="15" borderId="0" xfId="0" applyFont="1" applyFill="1" applyAlignment="1">
      <alignment horizontal="left" vertical="center"/>
    </xf>
  </cellXfs>
  <cellStyles count="7">
    <cellStyle name="Comma" xfId="1" builtinId="3"/>
    <cellStyle name="Currency" xfId="2" builtinId="4"/>
    <cellStyle name="Good" xfId="4" builtinId="26"/>
    <cellStyle name="Hyperlink" xfId="5" builtinId="8"/>
    <cellStyle name="Hyperlink 2" xfId="6" xr:uid="{35A57180-1E17-4E6A-A44D-1CA412AFC247}"/>
    <cellStyle name="Normal" xfId="0" builtinId="0"/>
    <cellStyle name="Percent" xfId="3" builtinId="5"/>
  </cellStyles>
  <dxfs count="1932">
    <dxf>
      <font>
        <color theme="0" tint="-0.34998626667073579"/>
      </font>
      <fill>
        <patternFill>
          <bgColor theme="0" tint="-4.9989318521683403E-2"/>
        </patternFill>
      </fill>
    </dxf>
    <dxf>
      <font>
        <color theme="0" tint="-0.34998626667073579"/>
      </font>
      <fill>
        <patternFill patternType="solid">
          <bgColor theme="2"/>
        </patternFill>
      </fill>
    </dxf>
    <dxf>
      <font>
        <color theme="2" tint="-0.499984740745262"/>
      </font>
      <fill>
        <patternFill>
          <bgColor theme="2"/>
        </patternFill>
      </fill>
    </dxf>
    <dxf>
      <font>
        <color rgb="FFFF0000"/>
      </font>
      <fill>
        <patternFill patternType="solid">
          <bgColor theme="2"/>
        </patternFill>
      </fill>
    </dxf>
    <dxf>
      <font>
        <color theme="7" tint="-0.24994659260841701"/>
      </font>
      <fill>
        <patternFill patternType="solid">
          <bgColor theme="2"/>
        </patternFill>
      </fill>
    </dxf>
    <dxf>
      <font>
        <color rgb="FF00B050"/>
      </font>
      <fill>
        <patternFill patternType="solid">
          <bgColor theme="2"/>
        </patternFill>
      </fill>
    </dxf>
    <dxf>
      <font>
        <color theme="0" tint="-0.34998626667073579"/>
      </font>
      <fill>
        <patternFill>
          <bgColor theme="0" tint="-4.9989318521683403E-2"/>
        </patternFill>
      </fill>
    </dxf>
    <dxf>
      <font>
        <color theme="0" tint="-0.34998626667073579"/>
      </font>
      <fill>
        <patternFill patternType="solid">
          <bgColor theme="2"/>
        </patternFill>
      </fill>
    </dxf>
    <dxf>
      <font>
        <color theme="2" tint="-0.499984740745262"/>
      </font>
      <fill>
        <patternFill>
          <bgColor theme="2"/>
        </patternFill>
      </fill>
    </dxf>
    <dxf>
      <font>
        <color auto="1"/>
      </font>
      <fill>
        <patternFill>
          <bgColor theme="0"/>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theme="0" tint="-0.34998626667073579"/>
      </font>
      <fill>
        <patternFill patternType="solid">
          <bgColor theme="2"/>
        </patternFill>
      </fill>
    </dxf>
    <dxf>
      <font>
        <color theme="2" tint="-0.49998474074526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theme="7" tint="0.79998168889431442"/>
      </font>
    </dxf>
    <dxf>
      <font>
        <color theme="7" tint="0.79998168889431442"/>
      </font>
    </dxf>
    <dxf>
      <font>
        <color rgb="FF00EB65"/>
      </font>
    </dxf>
    <dxf>
      <font>
        <color rgb="FF00EB65"/>
      </font>
    </dxf>
    <dxf>
      <fill>
        <patternFill>
          <bgColor rgb="FFDBFD9F"/>
        </patternFill>
      </fill>
    </dxf>
    <dxf>
      <font>
        <color rgb="FFCCFF99"/>
      </font>
    </dxf>
    <dxf>
      <fill>
        <patternFill>
          <bgColor rgb="FFDBFD9F"/>
        </patternFill>
      </fill>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ont>
        <color rgb="FFCCFF99"/>
      </font>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ill>
        <patternFill>
          <bgColor rgb="FFDBFD9F"/>
        </patternFill>
      </fill>
    </dxf>
    <dxf>
      <font>
        <color theme="0"/>
      </font>
      <fill>
        <patternFill patternType="darkTrellis">
          <fgColor rgb="FF461E64"/>
          <bgColor rgb="FF461E64"/>
        </patternFill>
      </fill>
    </dxf>
    <dxf>
      <font>
        <color rgb="FF9C0006"/>
      </font>
      <fill>
        <patternFill>
          <bgColor rgb="FFFFC7CE"/>
        </patternFill>
      </fill>
    </dxf>
    <dxf>
      <font>
        <color theme="5" tint="-0.24994659260841701"/>
      </font>
      <fill>
        <patternFill>
          <bgColor theme="7" tint="0.59996337778862885"/>
        </patternFill>
      </fill>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rgb="FFFF0000"/>
      </font>
      <fill>
        <patternFill patternType="solid">
          <bgColor theme="2"/>
        </patternFill>
      </fill>
    </dxf>
    <dxf>
      <font>
        <color theme="7" tint="-0.24994659260841701"/>
      </font>
      <fill>
        <patternFill patternType="solid">
          <bgColor theme="2"/>
        </patternFill>
      </fill>
    </dxf>
    <dxf>
      <font>
        <color rgb="FF00B050"/>
      </font>
      <fill>
        <patternFill patternType="solid">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rgb="FF006100"/>
      </font>
      <fill>
        <patternFill>
          <bgColor rgb="FFC6EFCE"/>
        </patternFill>
      </fill>
    </dxf>
    <dxf>
      <font>
        <color rgb="FF9C0006"/>
      </font>
      <fill>
        <patternFill>
          <bgColor rgb="FFFFC7CE"/>
        </patternFill>
      </fill>
    </dxf>
    <dxf>
      <font>
        <color theme="5" tint="0.5999633777886288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4.9989318521683403E-2"/>
      </font>
      <fill>
        <patternFill patternType="none">
          <bgColor auto="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59996337778862885"/>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theme="2" tint="-0.24994659260841701"/>
      </font>
    </dxf>
    <dxf>
      <fill>
        <patternFill>
          <bgColor rgb="FFCCFFC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CC99FF"/>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CC99FF"/>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theme="0" tint="-0.34998626667073579"/>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patternType="none">
          <bgColor auto="1"/>
        </patternFill>
      </fill>
    </dxf>
    <dxf>
      <font>
        <color theme="0" tint="-0.499984740745262"/>
      </font>
      <fill>
        <patternFill>
          <bgColor theme="0"/>
        </patternFill>
      </fill>
    </dxf>
    <dxf>
      <fill>
        <patternFill>
          <bgColor theme="5" tint="0.79998168889431442"/>
        </patternFill>
      </fill>
    </dxf>
    <dxf>
      <font>
        <color theme="5" tint="0.39994506668294322"/>
      </font>
      <fill>
        <patternFill>
          <bgColor theme="5" tint="0.79998168889431442"/>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b/>
        <i val="0"/>
        <color theme="5" tint="0.39994506668294322"/>
      </font>
      <fill>
        <patternFill>
          <bgColor theme="0" tint="-4.9989318521683403E-2"/>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rgb="FF9C0006"/>
      </font>
      <fill>
        <patternFill>
          <bgColor rgb="FFFFF3F4"/>
        </patternFill>
      </fill>
    </dxf>
    <dxf>
      <font>
        <b/>
        <i val="0"/>
        <color theme="9" tint="-0.499984740745262"/>
      </font>
      <fill>
        <patternFill>
          <bgColor rgb="FFEFF6EA"/>
        </patternFill>
      </fill>
    </dxf>
    <dxf>
      <font>
        <color theme="0" tint="-0.14996795556505021"/>
      </font>
      <fill>
        <patternFill>
          <bgColor theme="0" tint="-4.9989318521683403E-2"/>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bgColor theme="0" tint="-4.9989318521683403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rgb="FF00EB65"/>
      </font>
    </dxf>
    <dxf>
      <fill>
        <patternFill>
          <bgColor theme="7" tint="0.79998168889431442"/>
        </patternFill>
      </fill>
    </dxf>
    <dxf>
      <fill>
        <patternFill>
          <bgColor theme="7" tint="0.79998168889431442"/>
        </patternFill>
      </fill>
    </dxf>
    <dxf>
      <fill>
        <patternFill>
          <bgColor theme="7" tint="0.79998168889431442"/>
        </patternFill>
      </fill>
    </dxf>
    <dxf>
      <font>
        <color rgb="FFB9FFD9"/>
      </font>
      <fill>
        <patternFill>
          <bgColor rgb="FFC8FFE1"/>
        </patternFill>
      </fill>
    </dxf>
    <dxf>
      <font>
        <color rgb="FFE2B5FD"/>
      </font>
      <fill>
        <patternFill>
          <bgColor rgb="FF7030A0"/>
        </patternFill>
      </fill>
    </dxf>
    <dxf>
      <font>
        <color rgb="FFB9FFD9"/>
      </font>
      <fill>
        <patternFill>
          <bgColor rgb="FFC8FFE1"/>
        </patternFill>
      </fill>
    </dxf>
    <dxf>
      <font>
        <color rgb="FFE2B5FD"/>
      </font>
      <fill>
        <patternFill>
          <bgColor rgb="FF7030A0"/>
        </patternFill>
      </fill>
    </dxf>
    <dxf>
      <font>
        <color rgb="FFB9FFD9"/>
      </font>
      <fill>
        <patternFill>
          <bgColor rgb="FFC8FFE1"/>
        </patternFill>
      </fill>
    </dxf>
    <dxf>
      <font>
        <color rgb="FFE2B5FD"/>
      </font>
      <fill>
        <patternFill>
          <bgColor rgb="FF7030A0"/>
        </patternFill>
      </fill>
    </dxf>
    <dxf>
      <font>
        <color rgb="FFB9FFD9"/>
      </font>
      <fill>
        <patternFill>
          <bgColor rgb="FFC8FFE1"/>
        </patternFill>
      </fill>
    </dxf>
    <dxf>
      <font>
        <color rgb="FFE2B5FD"/>
      </font>
      <fill>
        <patternFill>
          <bgColor rgb="FF7030A0"/>
        </patternFill>
      </fill>
    </dxf>
    <dxf>
      <font>
        <color rgb="FFB9FFD9"/>
      </font>
      <fill>
        <patternFill>
          <bgColor rgb="FFC8FFE1"/>
        </patternFill>
      </fill>
    </dxf>
    <dxf>
      <font>
        <color rgb="FFE2B5FD"/>
      </font>
      <fill>
        <patternFill>
          <bgColor rgb="FF7030A0"/>
        </patternFill>
      </fill>
    </dxf>
    <dxf>
      <font>
        <color rgb="FFB9FFD9"/>
      </font>
      <fill>
        <patternFill>
          <bgColor rgb="FFC8FFE1"/>
        </patternFill>
      </fill>
    </dxf>
    <dxf>
      <font>
        <color rgb="FFE2B5FD"/>
      </font>
      <fill>
        <patternFill>
          <bgColor rgb="FF7030A0"/>
        </patternFill>
      </fill>
    </dxf>
    <dxf>
      <font>
        <color theme="0" tint="-0.24994659260841701"/>
      </font>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rgb="FFEAE3D2"/>
      </font>
      <fill>
        <patternFill>
          <bgColor rgb="FFEAE3D2"/>
        </patternFill>
      </fill>
    </dxf>
    <dxf>
      <font>
        <color theme="0" tint="-0.34998626667073579"/>
      </font>
      <fill>
        <patternFill>
          <bgColor theme="0" tint="-4.9989318521683403E-2"/>
        </patternFill>
      </fill>
    </dxf>
    <dxf>
      <font>
        <b/>
        <i val="0"/>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0" tint="-0.24994659260841701"/>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5" tint="0.59996337778862885"/>
      </font>
    </dxf>
    <dxf>
      <font>
        <color theme="5" tint="0.39994506668294322"/>
      </font>
      <fill>
        <patternFill>
          <bgColor theme="5" tint="0.79998168889431442"/>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theme="0" tint="-0.24994659260841701"/>
      </font>
      <fill>
        <patternFill patternType="solid">
          <bgColor theme="0"/>
        </patternFill>
      </fill>
    </dxf>
    <dxf>
      <font>
        <color theme="0" tint="-0.14996795556505021"/>
      </font>
      <fill>
        <patternFill>
          <bgColor theme="0" tint="-4.9989318521683403E-2"/>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bgColor theme="0" tint="-4.9989318521683403E-2"/>
        </patternFill>
      </fill>
    </dxf>
    <dxf>
      <font>
        <color theme="0" tint="-0.34998626667073579"/>
      </font>
      <fill>
        <patternFill patternType="solid">
          <bgColor theme="2"/>
        </patternFill>
      </fill>
    </dxf>
    <dxf>
      <font>
        <color theme="2" tint="-0.49998474074526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theme="2" tint="-0.24994659260841701"/>
      </font>
      <border>
        <top style="thin">
          <color rgb="FF99FF99"/>
        </top>
      </border>
    </dxf>
    <dxf>
      <font>
        <color rgb="FFC00000"/>
      </font>
      <fill>
        <patternFill>
          <bgColor theme="5" tint="0.79998168889431442"/>
        </patternFill>
      </fill>
    </dxf>
    <dxf>
      <font>
        <color theme="7" tint="-0.499984740745262"/>
      </font>
      <fill>
        <patternFill>
          <bgColor theme="7" tint="0.79998168889431442"/>
        </patternFill>
      </fill>
    </dxf>
    <dxf>
      <font>
        <color rgb="FF669900"/>
      </font>
      <fill>
        <patternFill>
          <bgColor rgb="FFEBFDC8"/>
        </patternFill>
      </fill>
    </dxf>
    <dxf>
      <font>
        <color theme="1" tint="0.34998626667073579"/>
      </font>
      <fill>
        <patternFill>
          <bgColor rgb="FFEBFFF5"/>
        </patternFill>
      </fill>
    </dxf>
    <dxf>
      <font>
        <color rgb="FF006100"/>
      </font>
      <fill>
        <patternFill>
          <bgColor rgb="FFC6EFCE"/>
        </patternFill>
      </fill>
    </dxf>
    <dxf>
      <font>
        <color rgb="FF9C0006"/>
      </font>
    </dxf>
    <dxf>
      <font>
        <color auto="1"/>
      </font>
      <fill>
        <patternFill>
          <bgColor theme="0"/>
        </patternFill>
      </fill>
      <border>
        <bottom style="thin">
          <color rgb="FFEAE3D2"/>
        </bottom>
      </border>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ill>
        <patternFill>
          <bgColor rgb="FFDBFD9F"/>
        </patternFill>
      </fill>
    </dxf>
    <dxf>
      <fill>
        <patternFill>
          <bgColor rgb="FFDBFD9F"/>
        </patternFill>
      </fill>
    </dxf>
    <dxf>
      <font>
        <color rgb="FFCCFF99"/>
      </font>
    </dxf>
    <dxf>
      <fill>
        <patternFill>
          <bgColor rgb="FFDBFD9F"/>
        </patternFill>
      </fill>
    </dxf>
    <dxf>
      <fill>
        <patternFill>
          <bgColor rgb="FFDBFD9F"/>
        </patternFill>
      </fill>
    </dxf>
    <dxf>
      <font>
        <color rgb="FFCCFF99"/>
      </font>
    </dxf>
    <dxf>
      <fill>
        <patternFill>
          <bgColor rgb="FFCCFFCC"/>
        </patternFill>
      </fill>
    </dxf>
    <dxf>
      <font>
        <color theme="2" tint="-0.24994659260841701"/>
      </font>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ill>
        <patternFill>
          <bgColor rgb="FFCCFFCC"/>
        </patternFill>
      </fill>
    </dxf>
    <dxf>
      <font>
        <color theme="0" tint="-0.24994659260841701"/>
      </font>
    </dxf>
    <dxf>
      <font>
        <color theme="0" tint="-0.24994659260841701"/>
      </font>
    </dxf>
    <dxf>
      <font>
        <color theme="1" tint="0.24994659260841701"/>
      </font>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patternType="solid">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solid">
          <bgColor theme="0"/>
        </patternFill>
      </fill>
    </dxf>
    <dxf>
      <font>
        <color theme="0" tint="-0.24994659260841701"/>
      </font>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C1FFFF"/>
      </font>
      <fill>
        <patternFill>
          <bgColor theme="8" tint="0.79998168889431442"/>
        </patternFill>
      </fill>
    </dxf>
    <dxf>
      <font>
        <color rgb="FFC1FFFF"/>
      </font>
      <fill>
        <patternFill>
          <bgColor theme="8" tint="0.79998168889431442"/>
        </patternFill>
      </fill>
    </dxf>
    <dxf>
      <font>
        <color rgb="FFC1FFFF"/>
      </font>
      <fill>
        <patternFill>
          <bgColor theme="8" tint="0.79998168889431442"/>
        </patternFill>
      </fill>
    </dxf>
    <dxf>
      <font>
        <color rgb="FFC1FFFF"/>
      </font>
      <fill>
        <patternFill>
          <bgColor theme="8" tint="0.79998168889431442"/>
        </patternFill>
      </fill>
    </dxf>
    <dxf>
      <font>
        <color rgb="FFC1FFFF"/>
      </font>
      <fill>
        <patternFill>
          <bgColor theme="8" tint="0.79998168889431442"/>
        </patternFill>
      </fill>
    </dxf>
    <dxf>
      <font>
        <color rgb="FFC1FFFF"/>
      </font>
      <fill>
        <patternFill>
          <bgColor theme="8" tint="0.79998168889431442"/>
        </patternFill>
      </fill>
    </dxf>
    <dxf>
      <font>
        <color rgb="FFC1FFFF"/>
      </font>
      <fill>
        <patternFill>
          <bgColor theme="8" tint="0.79998168889431442"/>
        </patternFill>
      </fill>
    </dxf>
    <dxf>
      <font>
        <color rgb="FFC1FFFF"/>
      </font>
      <fill>
        <patternFill>
          <bgColor theme="8" tint="0.79998168889431442"/>
        </patternFill>
      </fill>
    </dxf>
    <dxf>
      <font>
        <color theme="0"/>
      </font>
      <fill>
        <patternFill patternType="darkTrellis">
          <fgColor rgb="FF461E64"/>
          <bgColor rgb="FF461E64"/>
        </patternFill>
      </fill>
    </dxf>
    <dxf>
      <font>
        <color rgb="FF9C0006"/>
      </font>
      <fill>
        <patternFill>
          <bgColor rgb="FFFFC7CE"/>
        </patternFill>
      </fill>
    </dxf>
    <dxf>
      <font>
        <color theme="5" tint="-0.24994659260841701"/>
      </font>
      <fill>
        <patternFill>
          <bgColor theme="7" tint="0.59996337778862885"/>
        </patternFill>
      </fill>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rgb="FFFF0000"/>
      </font>
      <fill>
        <patternFill patternType="solid">
          <bgColor theme="2"/>
        </patternFill>
      </fill>
    </dxf>
    <dxf>
      <font>
        <color theme="7" tint="-0.24994659260841701"/>
      </font>
      <fill>
        <patternFill patternType="solid">
          <bgColor theme="2"/>
        </patternFill>
      </fill>
    </dxf>
    <dxf>
      <font>
        <color rgb="FF00B050"/>
      </font>
      <fill>
        <patternFill patternType="solid">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rgb="FF006100"/>
      </font>
      <fill>
        <patternFill>
          <bgColor rgb="FFC6EFCE"/>
        </patternFill>
      </fill>
    </dxf>
    <dxf>
      <font>
        <color rgb="FF9C0006"/>
      </font>
      <fill>
        <patternFill>
          <bgColor rgb="FFFFC7CE"/>
        </patternFill>
      </fill>
    </dxf>
    <dxf>
      <font>
        <color theme="5" tint="0.59996337778862885"/>
      </font>
    </dxf>
    <dxf>
      <font>
        <color theme="0" tint="-4.9989318521683403E-2"/>
      </font>
      <fill>
        <patternFill patternType="none">
          <bgColor auto="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5" tint="0.59996337778862885"/>
      </font>
    </dxf>
    <dxf>
      <font>
        <color theme="7" tint="0.79998168889431442"/>
      </font>
    </dxf>
    <dxf>
      <font>
        <color theme="7" tint="0.79998168889431442"/>
      </font>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theme="2" tint="-0.24994659260841701"/>
      </font>
    </dxf>
    <dxf>
      <fill>
        <patternFill>
          <bgColor rgb="FFCCFFC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CC99FF"/>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CC99FF"/>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theme="0" tint="-0.34998626667073579"/>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rgb="FF9C0006"/>
      </font>
      <fill>
        <patternFill>
          <bgColor rgb="FFFFC7CE"/>
        </patternFill>
      </fill>
    </dxf>
    <dxf>
      <font>
        <color theme="5" tint="-0.24994659260841701"/>
      </font>
      <fill>
        <patternFill>
          <bgColor theme="5" tint="0.79998168889431442"/>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rgb="FF7030A0"/>
      </font>
      <fill>
        <patternFill>
          <bgColor rgb="FF7030A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ont>
        <color theme="0" tint="-0.499984740745262"/>
      </font>
      <fill>
        <patternFill patternType="none">
          <bgColor auto="1"/>
        </patternFill>
      </fill>
    </dxf>
    <dxf>
      <font>
        <color theme="0" tint="-0.499984740745262"/>
      </font>
      <fill>
        <patternFill>
          <bgColor theme="0"/>
        </patternFill>
      </fill>
    </dxf>
    <dxf>
      <fill>
        <patternFill>
          <bgColor theme="5" tint="0.79998168889431442"/>
        </patternFill>
      </fill>
    </dxf>
    <dxf>
      <font>
        <color theme="5" tint="0.39994506668294322"/>
      </font>
      <fill>
        <patternFill>
          <bgColor theme="5" tint="0.79998168889431442"/>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rgb="FF7030A0"/>
      </font>
      <fill>
        <patternFill>
          <bgColor theme="8" tint="0.59996337778862885"/>
        </patternFill>
      </fill>
    </dxf>
    <dxf>
      <font>
        <color theme="4" tint="0.59996337778862885"/>
      </font>
      <fill>
        <patternFill>
          <bgColor theme="4" tint="0.59996337778862885"/>
        </patternFill>
      </fill>
    </dxf>
    <dxf>
      <font>
        <b/>
        <i val="0"/>
        <color theme="5" tint="0.39994506668294322"/>
      </font>
      <fill>
        <patternFill>
          <bgColor theme="0" tint="-4.9989318521683403E-2"/>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rgb="FF9C0006"/>
      </font>
      <fill>
        <patternFill>
          <bgColor rgb="FFFFF3F4"/>
        </patternFill>
      </fill>
    </dxf>
    <dxf>
      <font>
        <b/>
        <i val="0"/>
        <color theme="9" tint="-0.499984740745262"/>
      </font>
      <fill>
        <patternFill>
          <bgColor rgb="FFEFF6EA"/>
        </patternFill>
      </fill>
    </dxf>
    <dxf>
      <font>
        <color theme="0" tint="-0.14996795556505021"/>
      </font>
      <fill>
        <patternFill>
          <bgColor theme="0" tint="-4.9989318521683403E-2"/>
        </patternFill>
      </fill>
    </dxf>
    <dxf>
      <font>
        <color theme="0" tint="-0.24994659260841701"/>
      </font>
      <fill>
        <patternFill>
          <bgColor theme="0" tint="-4.9989318521683403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rgb="FF00EB65"/>
      </font>
    </dxf>
    <dxf>
      <fill>
        <patternFill>
          <bgColor theme="7" tint="0.79998168889431442"/>
        </patternFill>
      </fill>
    </dxf>
    <dxf>
      <font>
        <color rgb="FFB9FFD9"/>
      </font>
      <fill>
        <patternFill>
          <bgColor rgb="FFC8FFE1"/>
        </patternFill>
      </fill>
    </dxf>
    <dxf>
      <font>
        <color rgb="FFE2B5FD"/>
      </font>
      <fill>
        <patternFill>
          <bgColor rgb="FF7030A0"/>
        </patternFill>
      </fill>
    </dxf>
    <dxf>
      <font>
        <color rgb="FFB9FFD9"/>
      </font>
      <fill>
        <patternFill>
          <bgColor rgb="FFC8FFE1"/>
        </patternFill>
      </fill>
    </dxf>
    <dxf>
      <font>
        <color rgb="FFE2B5FD"/>
      </font>
      <fill>
        <patternFill>
          <bgColor rgb="FF7030A0"/>
        </patternFill>
      </fill>
    </dxf>
    <dxf>
      <font>
        <color rgb="FFB9FFD9"/>
      </font>
      <fill>
        <patternFill>
          <bgColor rgb="FFC8FFE1"/>
        </patternFill>
      </fill>
    </dxf>
    <dxf>
      <font>
        <color rgb="FFE2B5FD"/>
      </font>
      <fill>
        <patternFill>
          <bgColor rgb="FF7030A0"/>
        </patternFill>
      </fill>
    </dxf>
    <dxf>
      <font>
        <color rgb="FFB9FFD9"/>
      </font>
      <fill>
        <patternFill>
          <bgColor rgb="FFC8FFE1"/>
        </patternFill>
      </fill>
    </dxf>
    <dxf>
      <font>
        <color rgb="FFE2B5FD"/>
      </font>
      <fill>
        <patternFill>
          <bgColor rgb="FF7030A0"/>
        </patternFill>
      </fill>
    </dxf>
    <dxf>
      <font>
        <color rgb="FFB9FFD9"/>
      </font>
      <fill>
        <patternFill>
          <bgColor rgb="FFC8FFE1"/>
        </patternFill>
      </fill>
    </dxf>
    <dxf>
      <font>
        <color rgb="FFE2B5FD"/>
      </font>
      <fill>
        <patternFill>
          <bgColor rgb="FF7030A0"/>
        </patternFill>
      </fill>
    </dxf>
    <dxf>
      <font>
        <color rgb="FFB9FFD9"/>
      </font>
      <fill>
        <patternFill>
          <bgColor rgb="FFC8FFE1"/>
        </patternFill>
      </fill>
    </dxf>
    <dxf>
      <font>
        <color rgb="FFE2B5FD"/>
      </font>
      <fill>
        <patternFill>
          <bgColor rgb="FF7030A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24994659260841701"/>
      </font>
    </dxf>
    <dxf>
      <font>
        <color theme="0" tint="-0.24994659260841701"/>
      </font>
    </dxf>
    <dxf>
      <font>
        <color theme="0" tint="-0.24994659260841701"/>
      </font>
    </dxf>
    <dxf>
      <font>
        <color auto="1"/>
      </font>
      <fill>
        <patternFill>
          <bgColor rgb="FFCCCCFF"/>
        </patternFill>
      </fill>
    </dxf>
    <dxf>
      <font>
        <color auto="1"/>
      </font>
      <fill>
        <patternFill>
          <bgColor rgb="FFCCCCFF"/>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rgb="FFEAE3D2"/>
      </font>
      <fill>
        <patternFill>
          <bgColor rgb="FFEAE3D2"/>
        </patternFill>
      </fill>
    </dxf>
    <dxf>
      <font>
        <color theme="0" tint="-0.24994659260841701"/>
      </font>
      <fill>
        <patternFill patternType="solid">
          <bgColor theme="0"/>
        </patternFill>
      </fill>
    </dxf>
    <dxf>
      <font>
        <color theme="0" tint="-0.34998626667073579"/>
      </font>
      <fill>
        <patternFill>
          <bgColor theme="0" tint="-4.9989318521683403E-2"/>
        </patternFill>
      </fill>
    </dxf>
    <dxf>
      <font>
        <b/>
        <i val="0"/>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0" tint="-0.24994659260841701"/>
      </font>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tint="-0.24994659260841701"/>
      </font>
      <fill>
        <patternFill>
          <bgColor rgb="FFCCFF33"/>
        </patternFill>
      </fill>
    </dxf>
    <dxf>
      <font>
        <color rgb="FF9C5700"/>
      </font>
      <fill>
        <patternFill>
          <bgColor rgb="FFFFFF99"/>
        </patternFill>
      </fill>
    </dxf>
    <dxf>
      <font>
        <color theme="5" tint="-0.24994659260841701"/>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theme="5" tint="0.59996337778862885"/>
      </font>
    </dxf>
    <dxf>
      <font>
        <color theme="5" tint="0.39994506668294322"/>
      </font>
      <fill>
        <patternFill>
          <bgColor theme="5" tint="0.79998168889431442"/>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color theme="4" tint="0.59996337778862885"/>
      </font>
      <fill>
        <patternFill>
          <bgColor theme="4" tint="0.59996337778862885"/>
        </patternFill>
      </fill>
    </dxf>
    <dxf>
      <font>
        <color theme="0" tint="-0.24994659260841701"/>
      </font>
      <fill>
        <patternFill patternType="solid">
          <bgColor theme="0"/>
        </patternFill>
      </fill>
    </dxf>
    <dxf>
      <font>
        <color theme="0" tint="-0.14996795556505021"/>
      </font>
      <fill>
        <patternFill>
          <bgColor theme="0" tint="-4.9989318521683403E-2"/>
        </patternFill>
      </fill>
    </dxf>
    <dxf>
      <font>
        <color theme="0" tint="-0.24994659260841701"/>
      </font>
      <fill>
        <patternFill patternType="solid">
          <bgColor theme="0"/>
        </patternFill>
      </fill>
    </dxf>
    <dxf>
      <font>
        <color theme="0" tint="-0.24994659260841701"/>
      </font>
      <fill>
        <patternFill>
          <bgColor theme="0" tint="-4.9989318521683403E-2"/>
        </patternFill>
      </fill>
    </dxf>
    <dxf>
      <font>
        <color theme="0" tint="-0.34998626667073579"/>
      </font>
      <fill>
        <patternFill patternType="solid">
          <bgColor theme="2"/>
        </patternFill>
      </fill>
    </dxf>
    <dxf>
      <font>
        <color theme="2" tint="-0.499984740745262"/>
      </font>
      <fill>
        <patternFill>
          <bgColor theme="2"/>
        </patternFill>
      </fill>
    </dxf>
    <dxf>
      <font>
        <color theme="0" tint="-0.34998626667073579"/>
      </font>
      <fill>
        <patternFill patternType="solid">
          <bgColor theme="2"/>
        </patternFill>
      </fill>
    </dxf>
    <dxf>
      <font>
        <color theme="2" tint="-0.49998474074526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006100"/>
      </font>
      <fill>
        <patternFill>
          <bgColor rgb="FFC6EFCE"/>
        </patternFill>
      </fill>
    </dxf>
    <dxf>
      <font>
        <color theme="2" tint="-0.24994659260841701"/>
      </font>
      <border>
        <top style="thin">
          <color rgb="FF99FF99"/>
        </top>
      </border>
    </dxf>
    <dxf>
      <font>
        <color rgb="FFC00000"/>
      </font>
      <fill>
        <patternFill>
          <bgColor theme="5" tint="0.79998168889431442"/>
        </patternFill>
      </fill>
    </dxf>
    <dxf>
      <font>
        <color theme="7" tint="-0.499984740745262"/>
      </font>
      <fill>
        <patternFill>
          <bgColor theme="7" tint="0.79998168889431442"/>
        </patternFill>
      </fill>
    </dxf>
    <dxf>
      <font>
        <color rgb="FF669900"/>
      </font>
      <fill>
        <patternFill>
          <bgColor rgb="FFEBFDC8"/>
        </patternFill>
      </fill>
    </dxf>
    <dxf>
      <font>
        <color theme="1" tint="0.34998626667073579"/>
      </font>
      <fill>
        <patternFill>
          <bgColor rgb="FFEBFFF5"/>
        </patternFill>
      </fill>
    </dxf>
    <dxf>
      <font>
        <color rgb="FF006100"/>
      </font>
      <fill>
        <patternFill>
          <bgColor rgb="FFC6EFCE"/>
        </patternFill>
      </fill>
    </dxf>
    <dxf>
      <font>
        <color rgb="FF9C0006"/>
      </font>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theme="0"/>
        </patternFill>
      </fill>
      <border>
        <bottom style="thin">
          <color rgb="FFEAE3D2"/>
        </bottom>
      </border>
    </dxf>
    <dxf>
      <font>
        <color auto="1"/>
      </font>
      <fill>
        <patternFill>
          <bgColor theme="0"/>
        </patternFill>
      </fill>
    </dxf>
    <dxf>
      <font>
        <color theme="0" tint="-0.24994659260841701"/>
      </font>
      <fill>
        <patternFill patternType="solid">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theme="0" tint="-0.499984740745262"/>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ill>
        <patternFill>
          <bgColor rgb="FFDBFD9F"/>
        </patternFill>
      </fill>
    </dxf>
    <dxf>
      <fill>
        <patternFill>
          <bgColor rgb="FFDBFD9F"/>
        </patternFill>
      </fill>
    </dxf>
    <dxf>
      <font>
        <color rgb="FFCCFF99"/>
      </font>
    </dxf>
    <dxf>
      <fill>
        <patternFill>
          <bgColor rgb="FFCCFFCC"/>
        </patternFill>
      </fill>
    </dxf>
    <dxf>
      <font>
        <color theme="2" tint="-0.24994659260841701"/>
      </font>
    </dxf>
    <dxf>
      <fill>
        <patternFill>
          <bgColor rgb="FFCCFFCC"/>
        </patternFill>
      </fill>
    </dxf>
    <dxf>
      <font>
        <color theme="0" tint="-0.24994659260841701"/>
      </font>
    </dxf>
    <dxf>
      <font>
        <color theme="0" tint="-0.24994659260841701"/>
      </font>
    </dxf>
    <dxf>
      <font>
        <color theme="1" tint="0.24994659260841701"/>
      </font>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patternType="solid">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C1FFFF"/>
      </font>
      <fill>
        <patternFill>
          <bgColor theme="8" tint="0.79998168889431442"/>
        </patternFill>
      </fill>
    </dxf>
    <dxf>
      <font>
        <color rgb="FFC1FFFF"/>
      </font>
      <fill>
        <patternFill>
          <bgColor theme="8" tint="0.79998168889431442"/>
        </patternFill>
      </fill>
    </dxf>
    <dxf>
      <font>
        <color rgb="FFC1FFFF"/>
      </font>
      <fill>
        <patternFill>
          <bgColor theme="8" tint="0.79998168889431442"/>
        </patternFill>
      </fill>
    </dxf>
  </dxfs>
  <tableStyles count="0" defaultTableStyle="TableStyleMedium2" defaultPivotStyle="PivotStyleLight16"/>
  <colors>
    <mruColors>
      <color rgb="FFFFFF99"/>
      <color rgb="FFD7FFF0"/>
      <color rgb="FF00EB65"/>
      <color rgb="FF461E64"/>
      <color rgb="FFCCFFCC"/>
      <color rgb="FFFFFFEB"/>
      <color rgb="FF006E32"/>
      <color rgb="FFCCFF99"/>
      <color rgb="FFEBFFF5"/>
      <color rgb="FFDBFD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hyperlink" Target="https://csgjusticecenter.org/publications/the-national-inventory-of-collateral-consequences-of-conviction/" TargetMode="External"/><Relationship Id="rId18" Type="http://schemas.openxmlformats.org/officeDocument/2006/relationships/image" Target="../media/image2.png"/><Relationship Id="rId26" Type="http://schemas.openxmlformats.org/officeDocument/2006/relationships/hyperlink" Target="https://www.nelp.org/wp-content/uploads/2015/03/65_Million_Need_Not_Apply.pdf" TargetMode="External"/><Relationship Id="rId39" Type="http://schemas.openxmlformats.org/officeDocument/2006/relationships/hyperlink" Target="https://www.anankelogyfoundation.org/service-page/estimated-innocence-support" TargetMode="External"/><Relationship Id="rId21" Type="http://schemas.openxmlformats.org/officeDocument/2006/relationships/hyperlink" Target="https://www.anankelogyfoundation.org/forum/estimated-innocence" TargetMode="External"/><Relationship Id="rId34" Type="http://schemas.openxmlformats.org/officeDocument/2006/relationships/hyperlink" Target="https://www.anankelogyfoundation.org/need-response" TargetMode="External"/><Relationship Id="rId7" Type="http://schemas.openxmlformats.org/officeDocument/2006/relationships/hyperlink" Target="#'EIF draft E01'!A1126:F1167"/><Relationship Id="rId2" Type="http://schemas.openxmlformats.org/officeDocument/2006/relationships/hyperlink" Target="#'EIF draft E01'!A255:F520"/><Relationship Id="rId16" Type="http://schemas.openxmlformats.org/officeDocument/2006/relationships/hyperlink" Target="#serv!A39:G45"/><Relationship Id="rId20" Type="http://schemas.openxmlformats.org/officeDocument/2006/relationships/hyperlink" Target="https://exoneratednation.org/blog/a-look-at-the-facts-highlighting-the-research-of-the-national-registry-of-exonerations/" TargetMode="External"/><Relationship Id="rId29" Type="http://schemas.openxmlformats.org/officeDocument/2006/relationships/hyperlink" Target="#instructions!A1"/><Relationship Id="rId41" Type="http://schemas.openxmlformats.org/officeDocument/2006/relationships/image" Target="../media/image7.jpeg"/><Relationship Id="rId1" Type="http://schemas.openxmlformats.org/officeDocument/2006/relationships/hyperlink" Target="#'EIF draft E01'!A199:F354"/><Relationship Id="rId6" Type="http://schemas.openxmlformats.org/officeDocument/2006/relationships/hyperlink" Target="#'EIF draft E01'!A903:F945"/><Relationship Id="rId11" Type="http://schemas.openxmlformats.org/officeDocument/2006/relationships/hyperlink" Target="#'EIF draft E01'!B78:D78"/><Relationship Id="rId24" Type="http://schemas.openxmlformats.org/officeDocument/2006/relationships/hyperlink" Target="#'EIF draft E01'!C913:D920"/><Relationship Id="rId32" Type="http://schemas.openxmlformats.org/officeDocument/2006/relationships/hyperlink" Target="https://www.anankelogyfoundation.org/need-response/responsive-innocence" TargetMode="External"/><Relationship Id="rId37" Type="http://schemas.openxmlformats.org/officeDocument/2006/relationships/image" Target="../media/image6.png"/><Relationship Id="rId40" Type="http://schemas.openxmlformats.org/officeDocument/2006/relationships/hyperlink" Target="https://www.valuerelating.com/unexonerated" TargetMode="External"/><Relationship Id="rId5" Type="http://schemas.openxmlformats.org/officeDocument/2006/relationships/hyperlink" Target="#'EIF draft E01'!A826:N902"/><Relationship Id="rId15" Type="http://schemas.openxmlformats.org/officeDocument/2006/relationships/hyperlink" Target="https://www.anankelogyfoundation.org/exoneration-services" TargetMode="External"/><Relationship Id="rId23" Type="http://schemas.openxmlformats.org/officeDocument/2006/relationships/hyperlink" Target="#'EIF draft E01'!B66:D73"/><Relationship Id="rId28" Type="http://schemas.openxmlformats.org/officeDocument/2006/relationships/hyperlink" Target="#input!B1187:B1417"/><Relationship Id="rId36" Type="http://schemas.openxmlformats.org/officeDocument/2006/relationships/image" Target="../media/image5.png"/><Relationship Id="rId10" Type="http://schemas.openxmlformats.org/officeDocument/2006/relationships/hyperlink" Target="#'EIF draft E01'!B935:D943"/><Relationship Id="rId19" Type="http://schemas.microsoft.com/office/2007/relationships/hdphoto" Target="../media/hdphoto1.wdp"/><Relationship Id="rId31" Type="http://schemas.openxmlformats.org/officeDocument/2006/relationships/image" Target="../media/image4.png"/><Relationship Id="rId4" Type="http://schemas.openxmlformats.org/officeDocument/2006/relationships/hyperlink" Target="#'EIF draft E01'!A783:F825"/><Relationship Id="rId9" Type="http://schemas.openxmlformats.org/officeDocument/2006/relationships/hyperlink" Target="#'EIF draft E01'!B909:D909"/><Relationship Id="rId14" Type="http://schemas.openxmlformats.org/officeDocument/2006/relationships/image" Target="../media/image1.png"/><Relationship Id="rId22" Type="http://schemas.openxmlformats.org/officeDocument/2006/relationships/hyperlink" Target="#'EIF draft E01'!B926:D926"/><Relationship Id="rId27" Type="http://schemas.openxmlformats.org/officeDocument/2006/relationships/image" Target="../media/image3.png"/><Relationship Id="rId30" Type="http://schemas.openxmlformats.org/officeDocument/2006/relationships/hyperlink" Target="#'EIF-new'!A1"/><Relationship Id="rId35" Type="http://schemas.openxmlformats.org/officeDocument/2006/relationships/hyperlink" Target="https://www.anankelogyfoundation.org/post/engage-2" TargetMode="External"/><Relationship Id="rId8" Type="http://schemas.openxmlformats.org/officeDocument/2006/relationships/hyperlink" Target="#'EIF draft E01'!A1168:F1217"/><Relationship Id="rId3" Type="http://schemas.openxmlformats.org/officeDocument/2006/relationships/hyperlink" Target="#'EIF draft E01'!A521:F782"/><Relationship Id="rId12" Type="http://schemas.openxmlformats.org/officeDocument/2006/relationships/hyperlink" Target="#'EIF draft E01'!B83:D83"/><Relationship Id="rId17" Type="http://schemas.openxmlformats.org/officeDocument/2006/relationships/hyperlink" Target="https://ccresourcecenter.org/2021/10/08/national-maps-on-expungement-pardoning-and-voting-rights-restoration/" TargetMode="External"/><Relationship Id="rId25" Type="http://schemas.openxmlformats.org/officeDocument/2006/relationships/hyperlink" Target="#'EIF draft E01'!B64:D64"/><Relationship Id="rId33" Type="http://schemas.openxmlformats.org/officeDocument/2006/relationships/hyperlink" Target="https://www.anankelogyfoundation.org/honored-innocence" TargetMode="External"/><Relationship Id="rId38" Type="http://schemas.openxmlformats.org/officeDocument/2006/relationships/hyperlink" Target="https://www.anankelogyfoundation.org/nr-podcast" TargetMode="External"/></Relationships>
</file>

<file path=xl/drawings/_rels/drawing2.xml.rels><?xml version="1.0" encoding="UTF-8" standalone="yes"?>
<Relationships xmlns="http://schemas.openxmlformats.org/package/2006/relationships"><Relationship Id="rId13" Type="http://schemas.openxmlformats.org/officeDocument/2006/relationships/hyperlink" Target="https://csgjusticecenter.org/publications/the-national-inventory-of-collateral-consequences-of-conviction/" TargetMode="External"/><Relationship Id="rId18" Type="http://schemas.openxmlformats.org/officeDocument/2006/relationships/image" Target="../media/image2.png"/><Relationship Id="rId26" Type="http://schemas.openxmlformats.org/officeDocument/2006/relationships/hyperlink" Target="https://www.nelp.org/app/uploads/2015/03/65_Million_Need_Not_Apply1.pdf" TargetMode="External"/><Relationship Id="rId39" Type="http://schemas.openxmlformats.org/officeDocument/2006/relationships/image" Target="../media/image10.jpeg"/><Relationship Id="rId21" Type="http://schemas.openxmlformats.org/officeDocument/2006/relationships/hyperlink" Target="https://www.anankelogyfoundation.org/forum/estimated-innocence" TargetMode="External"/><Relationship Id="rId34" Type="http://schemas.openxmlformats.org/officeDocument/2006/relationships/hyperlink" Target="https://www.anankelogyfoundation.org/honored-innocence" TargetMode="External"/><Relationship Id="rId42" Type="http://schemas.openxmlformats.org/officeDocument/2006/relationships/image" Target="../media/image7.jpeg"/><Relationship Id="rId7" Type="http://schemas.openxmlformats.org/officeDocument/2006/relationships/hyperlink" Target="#'EIF E01 sample'!A1126:F1167"/><Relationship Id="rId2" Type="http://schemas.openxmlformats.org/officeDocument/2006/relationships/hyperlink" Target="#'EIF E01 sample'!A255:F520"/><Relationship Id="rId16" Type="http://schemas.openxmlformats.org/officeDocument/2006/relationships/hyperlink" Target="#serv!A39:G45"/><Relationship Id="rId20" Type="http://schemas.openxmlformats.org/officeDocument/2006/relationships/hyperlink" Target="https://exoneratednation.org/blog/a-look-at-the-facts-highlighting-the-research-of-the-national-registry-of-exonerations/" TargetMode="External"/><Relationship Id="rId29" Type="http://schemas.openxmlformats.org/officeDocument/2006/relationships/hyperlink" Target="#instructions!A1"/><Relationship Id="rId41" Type="http://schemas.openxmlformats.org/officeDocument/2006/relationships/hyperlink" Target="https://www.valuerelating.com/unexonerated" TargetMode="External"/><Relationship Id="rId1" Type="http://schemas.openxmlformats.org/officeDocument/2006/relationships/hyperlink" Target="#'EIF E01 sample'!A199:F354"/><Relationship Id="rId6" Type="http://schemas.openxmlformats.org/officeDocument/2006/relationships/hyperlink" Target="#'EIF E01 sample'!A903:F945"/><Relationship Id="rId11" Type="http://schemas.openxmlformats.org/officeDocument/2006/relationships/hyperlink" Target="#'EIF E01 sample'!B78:D78"/><Relationship Id="rId24" Type="http://schemas.openxmlformats.org/officeDocument/2006/relationships/hyperlink" Target="#'EIF E01 sample'!C913:D920"/><Relationship Id="rId32" Type="http://schemas.openxmlformats.org/officeDocument/2006/relationships/hyperlink" Target="https://www.anankelogyfoundation.org/need-response/estimated-innocence" TargetMode="External"/><Relationship Id="rId37" Type="http://schemas.openxmlformats.org/officeDocument/2006/relationships/image" Target="../media/image5.png"/><Relationship Id="rId40" Type="http://schemas.openxmlformats.org/officeDocument/2006/relationships/hyperlink" Target="https://www.anankelogyfoundation.org/exoneration-services#https://www.anankelogyfoundation.org/exoneration-services" TargetMode="External"/><Relationship Id="rId5" Type="http://schemas.openxmlformats.org/officeDocument/2006/relationships/hyperlink" Target="#'EIF E01 sample'!A826:N902"/><Relationship Id="rId15" Type="http://schemas.openxmlformats.org/officeDocument/2006/relationships/hyperlink" Target="https://www.anankelogyfoundation.org/exoneration-services" TargetMode="External"/><Relationship Id="rId23" Type="http://schemas.openxmlformats.org/officeDocument/2006/relationships/hyperlink" Target="#'EIF E01 sample'!B66:D73"/><Relationship Id="rId28" Type="http://schemas.openxmlformats.org/officeDocument/2006/relationships/hyperlink" Target="#input!B1187:B1417"/><Relationship Id="rId36" Type="http://schemas.openxmlformats.org/officeDocument/2006/relationships/hyperlink" Target="https://www.anankelogyfoundation.org/post/engage-2" TargetMode="External"/><Relationship Id="rId10" Type="http://schemas.openxmlformats.org/officeDocument/2006/relationships/hyperlink" Target="#'EIF E01 sample'!B935:D943"/><Relationship Id="rId19" Type="http://schemas.microsoft.com/office/2007/relationships/hdphoto" Target="../media/hdphoto1.wdp"/><Relationship Id="rId31" Type="http://schemas.openxmlformats.org/officeDocument/2006/relationships/image" Target="../media/image4.png"/><Relationship Id="rId4" Type="http://schemas.openxmlformats.org/officeDocument/2006/relationships/hyperlink" Target="#'EIF E01 sample'!A783:F825"/><Relationship Id="rId9" Type="http://schemas.openxmlformats.org/officeDocument/2006/relationships/hyperlink" Target="#'EIF E01 sample'!B909:D909"/><Relationship Id="rId14" Type="http://schemas.openxmlformats.org/officeDocument/2006/relationships/image" Target="../media/image1.png"/><Relationship Id="rId22" Type="http://schemas.openxmlformats.org/officeDocument/2006/relationships/hyperlink" Target="#'EIF E01 sample'!B926:D926"/><Relationship Id="rId27" Type="http://schemas.openxmlformats.org/officeDocument/2006/relationships/image" Target="../media/image3.png"/><Relationship Id="rId30" Type="http://schemas.openxmlformats.org/officeDocument/2006/relationships/hyperlink" Target="#'EIF-new'!A1"/><Relationship Id="rId35" Type="http://schemas.openxmlformats.org/officeDocument/2006/relationships/hyperlink" Target="https://www.anankelogyfoundation.org/need-response" TargetMode="External"/><Relationship Id="rId8" Type="http://schemas.openxmlformats.org/officeDocument/2006/relationships/hyperlink" Target="#'EIF E01 sample'!A1168:F1217"/><Relationship Id="rId3" Type="http://schemas.openxmlformats.org/officeDocument/2006/relationships/hyperlink" Target="#'EIF E01 sample'!A521:F782"/><Relationship Id="rId12" Type="http://schemas.openxmlformats.org/officeDocument/2006/relationships/hyperlink" Target="#'EIF E01 sample'!B83:D83"/><Relationship Id="rId17" Type="http://schemas.openxmlformats.org/officeDocument/2006/relationships/hyperlink" Target="https://ccresourcecenter.org/2021/10/08/national-maps-on-expungement-pardoning-and-voting-rights-restoration/" TargetMode="External"/><Relationship Id="rId25" Type="http://schemas.openxmlformats.org/officeDocument/2006/relationships/hyperlink" Target="#'EIF E01 sample'!B64:D64"/><Relationship Id="rId33" Type="http://schemas.openxmlformats.org/officeDocument/2006/relationships/hyperlink" Target="https://www.anankelogyfoundation.org/need-response/responsive-innocence" TargetMode="External"/><Relationship Id="rId38"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hyperlink" Target="#'EIF-new'!A1597:F1646"/><Relationship Id="rId13" Type="http://schemas.openxmlformats.org/officeDocument/2006/relationships/hyperlink" Target="#'EIF-new'!B926:D926"/><Relationship Id="rId3" Type="http://schemas.openxmlformats.org/officeDocument/2006/relationships/hyperlink" Target="#'EIF-new'!A462:F718"/><Relationship Id="rId7" Type="http://schemas.openxmlformats.org/officeDocument/2006/relationships/hyperlink" Target="#'EIF-new'!A1062:F1103"/><Relationship Id="rId12" Type="http://schemas.openxmlformats.org/officeDocument/2006/relationships/hyperlink" Target="https://www.anankelogyfoundation.org/forum/estimated-innocence" TargetMode="External"/><Relationship Id="rId17" Type="http://schemas.openxmlformats.org/officeDocument/2006/relationships/hyperlink" Target="#instructions!A1"/><Relationship Id="rId2" Type="http://schemas.openxmlformats.org/officeDocument/2006/relationships/hyperlink" Target="#'EIF-new'!A296:F461"/><Relationship Id="rId16" Type="http://schemas.openxmlformats.org/officeDocument/2006/relationships/image" Target="../media/image3.png"/><Relationship Id="rId1" Type="http://schemas.openxmlformats.org/officeDocument/2006/relationships/hyperlink" Target="#'EIF-new'!A149:F295"/><Relationship Id="rId6" Type="http://schemas.openxmlformats.org/officeDocument/2006/relationships/hyperlink" Target="#'EIF-new'!A839:F881"/><Relationship Id="rId11" Type="http://schemas.openxmlformats.org/officeDocument/2006/relationships/hyperlink" Target="#serv!A39:G45"/><Relationship Id="rId5" Type="http://schemas.openxmlformats.org/officeDocument/2006/relationships/hyperlink" Target="#'EIF-new'!A762:F838"/><Relationship Id="rId15" Type="http://schemas.openxmlformats.org/officeDocument/2006/relationships/hyperlink" Target="https://www.nelp.org/wp-content/uploads/2015/03/65_Million_Need_Not_Apply.pdf" TargetMode="External"/><Relationship Id="rId10" Type="http://schemas.openxmlformats.org/officeDocument/2006/relationships/hyperlink" Target="#'EIF-new'!B935:D935"/><Relationship Id="rId4" Type="http://schemas.openxmlformats.org/officeDocument/2006/relationships/hyperlink" Target="#'EIF-new'!A719:F761"/><Relationship Id="rId9" Type="http://schemas.openxmlformats.org/officeDocument/2006/relationships/hyperlink" Target="#'EIF-new'!B909:D909"/><Relationship Id="rId14" Type="http://schemas.openxmlformats.org/officeDocument/2006/relationships/hyperlink" Target="#'EIF-new'!C913:D913"/></Relationships>
</file>

<file path=xl/drawings/_rels/vmlDrawing2.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9.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9.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2</xdr:col>
      <xdr:colOff>1945640</xdr:colOff>
      <xdr:row>155</xdr:row>
      <xdr:rowOff>53340</xdr:rowOff>
    </xdr:from>
    <xdr:to>
      <xdr:col>2</xdr:col>
      <xdr:colOff>2264981</xdr:colOff>
      <xdr:row>155</xdr:row>
      <xdr:rowOff>259080</xdr:rowOff>
    </xdr:to>
    <xdr:sp macro="" textlink="">
      <xdr:nvSpPr>
        <xdr:cNvPr id="2" name="Rectangle 1">
          <a:hlinkClick xmlns:r="http://schemas.openxmlformats.org/officeDocument/2006/relationships" r:id="rId1" tooltip="Case information"/>
          <a:extLst>
            <a:ext uri="{FF2B5EF4-FFF2-40B4-BE49-F238E27FC236}">
              <a16:creationId xmlns:a16="http://schemas.microsoft.com/office/drawing/2014/main" id="{00000000-0008-0000-0000-000002000000}"/>
            </a:ext>
          </a:extLst>
        </xdr:cNvPr>
        <xdr:cNvSpPr/>
      </xdr:nvSpPr>
      <xdr:spPr>
        <a:xfrm>
          <a:off x="3286760" y="33901380"/>
          <a:ext cx="319341" cy="205740"/>
        </a:xfrm>
        <a:prstGeom prst="rect">
          <a:avLst/>
        </a:prstGeom>
        <a:solidFill>
          <a:srgbClr val="EAE3D2"/>
        </a:solidFill>
        <a:ln w="19050">
          <a:noFill/>
        </a:ln>
        <a:effectLst>
          <a:outerShdw blurRad="63500" sx="102000" sy="102000" algn="ctr"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indent="0" algn="ctr"/>
          <a:r>
            <a:rPr lang="en-US" sz="1400">
              <a:solidFill>
                <a:sysClr val="windowText" lastClr="000000"/>
              </a:solidFill>
              <a:latin typeface="Arial Black" panose="020B0A04020102020204" pitchFamily="34" charset="0"/>
              <a:ea typeface="+mn-ea"/>
              <a:cs typeface="+mn-cs"/>
            </a:rPr>
            <a:t>A</a:t>
          </a:r>
        </a:p>
      </xdr:txBody>
    </xdr:sp>
    <xdr:clientData/>
  </xdr:twoCellAnchor>
  <xdr:twoCellAnchor>
    <xdr:from>
      <xdr:col>2</xdr:col>
      <xdr:colOff>2269700</xdr:colOff>
      <xdr:row>155</xdr:row>
      <xdr:rowOff>53340</xdr:rowOff>
    </xdr:from>
    <xdr:to>
      <xdr:col>3</xdr:col>
      <xdr:colOff>137941</xdr:colOff>
      <xdr:row>155</xdr:row>
      <xdr:rowOff>259080</xdr:rowOff>
    </xdr:to>
    <xdr:sp macro="" textlink="">
      <xdr:nvSpPr>
        <xdr:cNvPr id="3" name="Rectangle 2">
          <a:hlinkClick xmlns:r="http://schemas.openxmlformats.org/officeDocument/2006/relationships" r:id="rId2" tooltip="Documentation for verfication"/>
          <a:extLst>
            <a:ext uri="{FF2B5EF4-FFF2-40B4-BE49-F238E27FC236}">
              <a16:creationId xmlns:a16="http://schemas.microsoft.com/office/drawing/2014/main" id="{00000000-0008-0000-0000-000003000000}"/>
            </a:ext>
          </a:extLst>
        </xdr:cNvPr>
        <xdr:cNvSpPr/>
      </xdr:nvSpPr>
      <xdr:spPr>
        <a:xfrm>
          <a:off x="3610820" y="33901380"/>
          <a:ext cx="321881" cy="205740"/>
        </a:xfrm>
        <a:prstGeom prst="rect">
          <a:avLst/>
        </a:prstGeom>
        <a:solidFill>
          <a:schemeClr val="accent1">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B</a:t>
          </a:r>
        </a:p>
      </xdr:txBody>
    </xdr:sp>
    <xdr:clientData/>
  </xdr:twoCellAnchor>
  <xdr:twoCellAnchor>
    <xdr:from>
      <xdr:col>3</xdr:col>
      <xdr:colOff>150279</xdr:colOff>
      <xdr:row>155</xdr:row>
      <xdr:rowOff>53340</xdr:rowOff>
    </xdr:from>
    <xdr:to>
      <xdr:col>3</xdr:col>
      <xdr:colOff>469620</xdr:colOff>
      <xdr:row>155</xdr:row>
      <xdr:rowOff>259080</xdr:rowOff>
    </xdr:to>
    <xdr:sp macro="" textlink="">
      <xdr:nvSpPr>
        <xdr:cNvPr id="4" name="Rectangle 3">
          <a:hlinkClick xmlns:r="http://schemas.openxmlformats.org/officeDocument/2006/relationships" r:id="rId3" tooltip="Factors in your wrongful conviction"/>
          <a:extLst>
            <a:ext uri="{FF2B5EF4-FFF2-40B4-BE49-F238E27FC236}">
              <a16:creationId xmlns:a16="http://schemas.microsoft.com/office/drawing/2014/main" id="{00000000-0008-0000-0000-000004000000}"/>
            </a:ext>
          </a:extLst>
        </xdr:cNvPr>
        <xdr:cNvSpPr/>
      </xdr:nvSpPr>
      <xdr:spPr>
        <a:xfrm>
          <a:off x="3945039" y="33901380"/>
          <a:ext cx="319341" cy="205740"/>
        </a:xfrm>
        <a:prstGeom prst="rect">
          <a:avLst/>
        </a:prstGeom>
        <a:solidFill>
          <a:srgbClr val="FFC0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C</a:t>
          </a:r>
        </a:p>
      </xdr:txBody>
    </xdr:sp>
    <xdr:clientData/>
  </xdr:twoCellAnchor>
  <xdr:twoCellAnchor>
    <xdr:from>
      <xdr:col>3</xdr:col>
      <xdr:colOff>474339</xdr:colOff>
      <xdr:row>155</xdr:row>
      <xdr:rowOff>53340</xdr:rowOff>
    </xdr:from>
    <xdr:to>
      <xdr:col>3</xdr:col>
      <xdr:colOff>793680</xdr:colOff>
      <xdr:row>155</xdr:row>
      <xdr:rowOff>259080</xdr:rowOff>
    </xdr:to>
    <xdr:sp macro="" textlink="">
      <xdr:nvSpPr>
        <xdr:cNvPr id="5" name="Rectangle 4">
          <a:hlinkClick xmlns:r="http://schemas.openxmlformats.org/officeDocument/2006/relationships" r:id="rId4" tooltip="Requests &amp; responses for exoneration help"/>
          <a:extLst>
            <a:ext uri="{FF2B5EF4-FFF2-40B4-BE49-F238E27FC236}">
              <a16:creationId xmlns:a16="http://schemas.microsoft.com/office/drawing/2014/main" id="{00000000-0008-0000-0000-000005000000}"/>
            </a:ext>
          </a:extLst>
        </xdr:cNvPr>
        <xdr:cNvSpPr/>
      </xdr:nvSpPr>
      <xdr:spPr>
        <a:xfrm>
          <a:off x="4269099" y="33901380"/>
          <a:ext cx="319341" cy="205740"/>
        </a:xfrm>
        <a:prstGeom prst="rect">
          <a:avLst/>
        </a:prstGeom>
        <a:solidFill>
          <a:schemeClr val="accent4">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D</a:t>
          </a:r>
        </a:p>
      </xdr:txBody>
    </xdr:sp>
    <xdr:clientData/>
  </xdr:twoCellAnchor>
  <xdr:twoCellAnchor>
    <xdr:from>
      <xdr:col>3</xdr:col>
      <xdr:colOff>798399</xdr:colOff>
      <xdr:row>155</xdr:row>
      <xdr:rowOff>53340</xdr:rowOff>
    </xdr:from>
    <xdr:to>
      <xdr:col>3</xdr:col>
      <xdr:colOff>1117740</xdr:colOff>
      <xdr:row>155</xdr:row>
      <xdr:rowOff>259080</xdr:rowOff>
    </xdr:to>
    <xdr:sp macro="" textlink="">
      <xdr:nvSpPr>
        <xdr:cNvPr id="6" name="Rectangle 5">
          <a:hlinkClick xmlns:r="http://schemas.openxmlformats.org/officeDocument/2006/relationships" r:id="rId5" tooltip="Collateral consequences of conviction"/>
          <a:extLst>
            <a:ext uri="{FF2B5EF4-FFF2-40B4-BE49-F238E27FC236}">
              <a16:creationId xmlns:a16="http://schemas.microsoft.com/office/drawing/2014/main" id="{00000000-0008-0000-0000-000006000000}"/>
            </a:ext>
          </a:extLst>
        </xdr:cNvPr>
        <xdr:cNvSpPr/>
      </xdr:nvSpPr>
      <xdr:spPr>
        <a:xfrm>
          <a:off x="4593159" y="33901380"/>
          <a:ext cx="319341" cy="205740"/>
        </a:xfrm>
        <a:prstGeom prst="rect">
          <a:avLst/>
        </a:prstGeom>
        <a:solidFill>
          <a:srgbClr val="FFFF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E</a:t>
          </a:r>
        </a:p>
      </xdr:txBody>
    </xdr:sp>
    <xdr:clientData/>
  </xdr:twoCellAnchor>
  <xdr:twoCellAnchor>
    <xdr:from>
      <xdr:col>3</xdr:col>
      <xdr:colOff>1131046</xdr:colOff>
      <xdr:row>155</xdr:row>
      <xdr:rowOff>53340</xdr:rowOff>
    </xdr:from>
    <xdr:to>
      <xdr:col>3</xdr:col>
      <xdr:colOff>1450387</xdr:colOff>
      <xdr:row>155</xdr:row>
      <xdr:rowOff>259080</xdr:rowOff>
    </xdr:to>
    <xdr:sp macro="" textlink="">
      <xdr:nvSpPr>
        <xdr:cNvPr id="7" name="Rectangle 6">
          <a:hlinkClick xmlns:r="http://schemas.openxmlformats.org/officeDocument/2006/relationships" r:id="rId6" tooltip="Claimant narrative"/>
          <a:extLst>
            <a:ext uri="{FF2B5EF4-FFF2-40B4-BE49-F238E27FC236}">
              <a16:creationId xmlns:a16="http://schemas.microsoft.com/office/drawing/2014/main" id="{00000000-0008-0000-0000-000007000000}"/>
            </a:ext>
          </a:extLst>
        </xdr:cNvPr>
        <xdr:cNvSpPr/>
      </xdr:nvSpPr>
      <xdr:spPr>
        <a:xfrm>
          <a:off x="4925806" y="33901380"/>
          <a:ext cx="319341" cy="205740"/>
        </a:xfrm>
        <a:prstGeom prst="rect">
          <a:avLst/>
        </a:prstGeom>
        <a:solidFill>
          <a:srgbClr val="B9FFD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F</a:t>
          </a:r>
        </a:p>
      </xdr:txBody>
    </xdr:sp>
    <xdr:clientData/>
  </xdr:twoCellAnchor>
  <xdr:twoCellAnchor>
    <xdr:from>
      <xdr:col>3</xdr:col>
      <xdr:colOff>1455105</xdr:colOff>
      <xdr:row>155</xdr:row>
      <xdr:rowOff>53340</xdr:rowOff>
    </xdr:from>
    <xdr:to>
      <xdr:col>3</xdr:col>
      <xdr:colOff>1776260</xdr:colOff>
      <xdr:row>155</xdr:row>
      <xdr:rowOff>259080</xdr:rowOff>
    </xdr:to>
    <xdr:sp macro="" textlink="">
      <xdr:nvSpPr>
        <xdr:cNvPr id="8" name="Rectangle 7">
          <a:hlinkClick xmlns:r="http://schemas.openxmlformats.org/officeDocument/2006/relationships" r:id="rId7" tooltip="Compensation"/>
          <a:extLst>
            <a:ext uri="{FF2B5EF4-FFF2-40B4-BE49-F238E27FC236}">
              <a16:creationId xmlns:a16="http://schemas.microsoft.com/office/drawing/2014/main" id="{00000000-0008-0000-0000-000008000000}"/>
            </a:ext>
          </a:extLst>
        </xdr:cNvPr>
        <xdr:cNvSpPr/>
      </xdr:nvSpPr>
      <xdr:spPr>
        <a:xfrm>
          <a:off x="5249865" y="33901380"/>
          <a:ext cx="321155" cy="205740"/>
        </a:xfrm>
        <a:prstGeom prst="rect">
          <a:avLst/>
        </a:prstGeom>
        <a:solidFill>
          <a:srgbClr val="FFE1FF"/>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G</a:t>
          </a:r>
        </a:p>
      </xdr:txBody>
    </xdr:sp>
    <xdr:clientData/>
  </xdr:twoCellAnchor>
  <xdr:twoCellAnchor>
    <xdr:from>
      <xdr:col>3</xdr:col>
      <xdr:colOff>1781946</xdr:colOff>
      <xdr:row>155</xdr:row>
      <xdr:rowOff>53340</xdr:rowOff>
    </xdr:from>
    <xdr:to>
      <xdr:col>4</xdr:col>
      <xdr:colOff>132787</xdr:colOff>
      <xdr:row>155</xdr:row>
      <xdr:rowOff>259080</xdr:rowOff>
    </xdr:to>
    <xdr:sp macro="" textlink="">
      <xdr:nvSpPr>
        <xdr:cNvPr id="9" name="Rectangle 8">
          <a:hlinkClick xmlns:r="http://schemas.openxmlformats.org/officeDocument/2006/relationships" r:id="rId8" tooltip="You're not alone"/>
          <a:extLst>
            <a:ext uri="{FF2B5EF4-FFF2-40B4-BE49-F238E27FC236}">
              <a16:creationId xmlns:a16="http://schemas.microsoft.com/office/drawing/2014/main" id="{00000000-0008-0000-0000-000009000000}"/>
            </a:ext>
          </a:extLst>
        </xdr:cNvPr>
        <xdr:cNvSpPr/>
      </xdr:nvSpPr>
      <xdr:spPr>
        <a:xfrm>
          <a:off x="5576706" y="33901380"/>
          <a:ext cx="324421" cy="205740"/>
        </a:xfrm>
        <a:prstGeom prst="rect">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H</a:t>
          </a:r>
        </a:p>
      </xdr:txBody>
    </xdr:sp>
    <xdr:clientData/>
  </xdr:twoCellAnchor>
  <xdr:twoCellAnchor>
    <xdr:from>
      <xdr:col>0</xdr:col>
      <xdr:colOff>7620</xdr:colOff>
      <xdr:row>63</xdr:row>
      <xdr:rowOff>137160</xdr:rowOff>
    </xdr:from>
    <xdr:to>
      <xdr:col>1</xdr:col>
      <xdr:colOff>15240</xdr:colOff>
      <xdr:row>63</xdr:row>
      <xdr:rowOff>434340</xdr:rowOff>
    </xdr:to>
    <xdr:sp macro="" textlink="">
      <xdr:nvSpPr>
        <xdr:cNvPr id="10" name="Arrow: Down 9">
          <a:hlinkClick xmlns:r="http://schemas.openxmlformats.org/officeDocument/2006/relationships" r:id="rId9" tooltip="SYNOPSIS entry"/>
          <a:extLst>
            <a:ext uri="{FF2B5EF4-FFF2-40B4-BE49-F238E27FC236}">
              <a16:creationId xmlns:a16="http://schemas.microsoft.com/office/drawing/2014/main" id="{00000000-0008-0000-0000-00000A000000}"/>
            </a:ext>
          </a:extLst>
        </xdr:cNvPr>
        <xdr:cNvSpPr/>
      </xdr:nvSpPr>
      <xdr:spPr>
        <a:xfrm>
          <a:off x="7620" y="31927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7620</xdr:colOff>
      <xdr:row>82</xdr:row>
      <xdr:rowOff>144780</xdr:rowOff>
    </xdr:from>
    <xdr:to>
      <xdr:col>1</xdr:col>
      <xdr:colOff>15240</xdr:colOff>
      <xdr:row>82</xdr:row>
      <xdr:rowOff>441960</xdr:rowOff>
    </xdr:to>
    <xdr:sp macro="" textlink="">
      <xdr:nvSpPr>
        <xdr:cNvPr id="11" name="Arrow: Down 10">
          <a:hlinkClick xmlns:r="http://schemas.openxmlformats.org/officeDocument/2006/relationships" r:id="rId10" tooltip="SUMMARY entry"/>
          <a:extLst>
            <a:ext uri="{FF2B5EF4-FFF2-40B4-BE49-F238E27FC236}">
              <a16:creationId xmlns:a16="http://schemas.microsoft.com/office/drawing/2014/main" id="{00000000-0008-0000-0000-00000B000000}"/>
            </a:ext>
          </a:extLst>
        </xdr:cNvPr>
        <xdr:cNvSpPr/>
      </xdr:nvSpPr>
      <xdr:spPr>
        <a:xfrm>
          <a:off x="7620" y="89458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924</xdr:row>
      <xdr:rowOff>373380</xdr:rowOff>
    </xdr:from>
    <xdr:to>
      <xdr:col>1</xdr:col>
      <xdr:colOff>15240</xdr:colOff>
      <xdr:row>925</xdr:row>
      <xdr:rowOff>678180</xdr:rowOff>
    </xdr:to>
    <xdr:sp macro="" textlink="">
      <xdr:nvSpPr>
        <xdr:cNvPr id="12" name="Arrow: Up 11">
          <a:hlinkClick xmlns:r="http://schemas.openxmlformats.org/officeDocument/2006/relationships" r:id="rId11" tooltip="FLIPSIDE displayed above"/>
          <a:extLst>
            <a:ext uri="{FF2B5EF4-FFF2-40B4-BE49-F238E27FC236}">
              <a16:creationId xmlns:a16="http://schemas.microsoft.com/office/drawing/2014/main" id="{00000000-0008-0000-0000-00000C000000}"/>
            </a:ext>
          </a:extLst>
        </xdr:cNvPr>
        <xdr:cNvSpPr/>
      </xdr:nvSpPr>
      <xdr:spPr>
        <a:xfrm>
          <a:off x="0" y="28746450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0</xdr:colOff>
      <xdr:row>934</xdr:row>
      <xdr:rowOff>0</xdr:rowOff>
    </xdr:from>
    <xdr:to>
      <xdr:col>1</xdr:col>
      <xdr:colOff>15240</xdr:colOff>
      <xdr:row>934</xdr:row>
      <xdr:rowOff>685800</xdr:rowOff>
    </xdr:to>
    <xdr:sp macro="" textlink="">
      <xdr:nvSpPr>
        <xdr:cNvPr id="13" name="Arrow: Up 12">
          <a:hlinkClick xmlns:r="http://schemas.openxmlformats.org/officeDocument/2006/relationships" r:id="rId12" tooltip="SUMMARY displayed above"/>
          <a:extLst>
            <a:ext uri="{FF2B5EF4-FFF2-40B4-BE49-F238E27FC236}">
              <a16:creationId xmlns:a16="http://schemas.microsoft.com/office/drawing/2014/main" id="{00000000-0008-0000-0000-00000D000000}"/>
            </a:ext>
          </a:extLst>
        </xdr:cNvPr>
        <xdr:cNvSpPr/>
      </xdr:nvSpPr>
      <xdr:spPr>
        <a:xfrm>
          <a:off x="0" y="29080206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35</xdr:col>
      <xdr:colOff>125334</xdr:colOff>
      <xdr:row>105</xdr:row>
      <xdr:rowOff>152976</xdr:rowOff>
    </xdr:from>
    <xdr:to>
      <xdr:col>58</xdr:col>
      <xdr:colOff>227667</xdr:colOff>
      <xdr:row>108</xdr:row>
      <xdr:rowOff>454479</xdr:rowOff>
    </xdr:to>
    <xdr:sp macro="" textlink="">
      <xdr:nvSpPr>
        <xdr:cNvPr id="21" name="Text Box 4">
          <a:extLst>
            <a:ext uri="{FF2B5EF4-FFF2-40B4-BE49-F238E27FC236}">
              <a16:creationId xmlns:a16="http://schemas.microsoft.com/office/drawing/2014/main" id="{00000000-0008-0000-0000-000015000000}"/>
            </a:ext>
          </a:extLst>
        </xdr:cNvPr>
        <xdr:cNvSpPr txBox="1"/>
      </xdr:nvSpPr>
      <xdr:spPr>
        <a:xfrm>
          <a:off x="18341340" y="21321336"/>
          <a:ext cx="0" cy="1505463"/>
        </a:xfrm>
        <a:prstGeom prst="rect">
          <a:avLst/>
        </a:prstGeom>
        <a:solidFill>
          <a:srgbClr val="FFE1FF">
            <a:alpha val="85098"/>
          </a:srgbClr>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8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that the vast majority of </a:t>
          </a:r>
          <a:r>
            <a:rPr lang="en-US" sz="1600" b="1" u="none" strike="noStrike">
              <a:ln w="3175" cap="rnd" cmpd="sng" algn="ctr">
                <a:solidFill>
                  <a:srgbClr val="7030A0"/>
                </a:solidFill>
                <a:prstDash val="solid"/>
                <a:bevel/>
              </a:ln>
              <a:solidFill>
                <a:srgbClr val="FFFF0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1600" b="1" u="none" strike="noStrike">
              <a:ln w="3175" cap="rnd" cmpd="sng" algn="ctr">
                <a:solidFill>
                  <a:srgbClr val="7030A0"/>
                </a:solidFill>
                <a:prstDash val="solid"/>
                <a:bevel/>
              </a:ln>
              <a:solidFill>
                <a:srgbClr val="70AD47"/>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61</xdr:col>
      <xdr:colOff>268876</xdr:colOff>
      <xdr:row>777</xdr:row>
      <xdr:rowOff>117565</xdr:rowOff>
    </xdr:from>
    <xdr:to>
      <xdr:col>74</xdr:col>
      <xdr:colOff>207917</xdr:colOff>
      <xdr:row>778</xdr:row>
      <xdr:rowOff>1763486</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18341340" y="253673065"/>
          <a:ext cx="0" cy="822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review URL</a:t>
          </a:r>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link does not work</a:t>
          </a:r>
        </a:p>
        <a:p>
          <a:r>
            <a:rPr lang="en-US" sz="1100" b="0" i="0" u="none" strike="noStrike" baseline="0">
              <a:solidFill>
                <a:schemeClr val="dk1"/>
              </a:solidFill>
              <a:effectLst/>
              <a:latin typeface="+mn-lt"/>
              <a:ea typeface="+mn-ea"/>
              <a:cs typeface="+mn-cs"/>
            </a:rPr>
            <a:t>link works unreliably</a:t>
          </a:r>
        </a:p>
        <a:p>
          <a:r>
            <a:rPr lang="en-US" sz="1100" b="0" i="0" u="none" strike="noStrike" baseline="0">
              <a:solidFill>
                <a:schemeClr val="dk1"/>
              </a:solidFill>
              <a:effectLst/>
              <a:latin typeface="+mn-lt"/>
              <a:ea typeface="+mn-ea"/>
              <a:cs typeface="+mn-cs"/>
            </a:rPr>
            <a:t>link works, document(s) not found</a:t>
          </a:r>
        </a:p>
        <a:p>
          <a:r>
            <a:rPr lang="en-US" sz="1100" b="0" i="0" u="none" strike="noStrike" baseline="0">
              <a:solidFill>
                <a:schemeClr val="dk1"/>
              </a:solidFill>
              <a:effectLst/>
              <a:latin typeface="+mn-lt"/>
              <a:ea typeface="+mn-ea"/>
              <a:cs typeface="+mn-cs"/>
            </a:rPr>
            <a:t>link works, some of document(s) found</a:t>
          </a:r>
        </a:p>
        <a:p>
          <a:r>
            <a:rPr lang="en-US" sz="1100" b="0" i="0" u="none" strike="noStrike" baseline="0">
              <a:solidFill>
                <a:schemeClr val="dk1"/>
              </a:solidFill>
              <a:effectLst/>
              <a:latin typeface="+mn-lt"/>
              <a:ea typeface="+mn-ea"/>
              <a:cs typeface="+mn-cs"/>
            </a:rPr>
            <a:t>link works, all of document(s) found</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39</xdr:col>
      <xdr:colOff>76200</xdr:colOff>
      <xdr:row>791</xdr:row>
      <xdr:rowOff>21771</xdr:rowOff>
    </xdr:from>
    <xdr:to>
      <xdr:col>39</xdr:col>
      <xdr:colOff>250372</xdr:colOff>
      <xdr:row>791</xdr:row>
      <xdr:rowOff>67490</xdr:rowOff>
    </xdr:to>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18341340" y="256968171"/>
          <a:ext cx="0"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57</xdr:col>
      <xdr:colOff>18507</xdr:colOff>
      <xdr:row>855</xdr:row>
      <xdr:rowOff>139337</xdr:rowOff>
    </xdr:from>
    <xdr:to>
      <xdr:col>61</xdr:col>
      <xdr:colOff>261257</xdr:colOff>
      <xdr:row>855</xdr:row>
      <xdr:rowOff>1077686</xdr:rowOff>
    </xdr:to>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18341340" y="271076057"/>
          <a:ext cx="0" cy="816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options:</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during incarceration</a:t>
          </a:r>
        </a:p>
        <a:p>
          <a:r>
            <a:rPr lang="en-US" sz="1100" b="0" i="0" u="none" strike="noStrike" baseline="0">
              <a:solidFill>
                <a:schemeClr val="dk1"/>
              </a:solidFill>
              <a:effectLst/>
              <a:latin typeface="+mn-lt"/>
              <a:ea typeface="+mn-ea"/>
              <a:cs typeface="+mn-cs"/>
            </a:rPr>
            <a:t>since incarceration</a:t>
          </a:r>
        </a:p>
        <a:p>
          <a:r>
            <a:rPr lang="en-US" sz="1100" b="0" i="0" u="none" strike="noStrike" baseline="0">
              <a:solidFill>
                <a:schemeClr val="dk1"/>
              </a:solidFill>
              <a:effectLst/>
              <a:latin typeface="+mn-lt"/>
              <a:ea typeface="+mn-ea"/>
              <a:cs typeface="+mn-cs"/>
            </a:rPr>
            <a:t>during and since incarceration</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editAs="oneCell">
    <xdr:from>
      <xdr:col>0</xdr:col>
      <xdr:colOff>257767</xdr:colOff>
      <xdr:row>828</xdr:row>
      <xdr:rowOff>397328</xdr:rowOff>
    </xdr:from>
    <xdr:to>
      <xdr:col>2</xdr:col>
      <xdr:colOff>1335932</xdr:colOff>
      <xdr:row>828</xdr:row>
      <xdr:rowOff>1924594</xdr:rowOff>
    </xdr:to>
    <xdr:pic>
      <xdr:nvPicPr>
        <xdr:cNvPr id="28" name="Picture 27" descr="Maps, Country, America, States, Land, Geography, Us">
          <a:hlinkClick xmlns:r="http://schemas.openxmlformats.org/officeDocument/2006/relationships" r:id="rId13" tooltip="Clicking on map takes you to a website listing collateral consequences by state."/>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57767" y="264712268"/>
          <a:ext cx="2419285"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223067</xdr:colOff>
      <xdr:row>1351</xdr:row>
      <xdr:rowOff>284025</xdr:rowOff>
    </xdr:from>
    <xdr:to>
      <xdr:col>87</xdr:col>
      <xdr:colOff>240846</xdr:colOff>
      <xdr:row>1405</xdr:row>
      <xdr:rowOff>0</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18341340" y="3060115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family</a:t>
          </a:r>
        </a:p>
        <a:p>
          <a:r>
            <a:rPr lang="en-US" sz="1100" b="0" i="0" u="none" strike="noStrike" baseline="0">
              <a:solidFill>
                <a:schemeClr val="dk1"/>
              </a:solidFill>
              <a:effectLst/>
              <a:latin typeface="+mn-lt"/>
              <a:ea typeface="+mn-ea"/>
              <a:cs typeface="+mn-cs"/>
            </a:rPr>
            <a:t>friend</a:t>
          </a:r>
        </a:p>
        <a:p>
          <a:r>
            <a:rPr lang="en-US" sz="1100" b="0" i="0" u="none" strike="noStrike" baseline="0">
              <a:solidFill>
                <a:schemeClr val="dk1"/>
              </a:solidFill>
              <a:effectLst/>
              <a:latin typeface="+mn-lt"/>
              <a:ea typeface="+mn-ea"/>
              <a:cs typeface="+mn-cs"/>
            </a:rPr>
            <a:t>work/school colleague</a:t>
          </a:r>
        </a:p>
        <a:p>
          <a:r>
            <a:rPr lang="en-US" sz="1100" b="0" i="0" u="none" strike="noStrike" baseline="0">
              <a:solidFill>
                <a:schemeClr val="dk1"/>
              </a:solidFill>
              <a:effectLst/>
              <a:latin typeface="+mn-lt"/>
              <a:ea typeface="+mn-ea"/>
              <a:cs typeface="+mn-cs"/>
            </a:rPr>
            <a:t>casual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professional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social media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by referral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do not personally know (yet)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other</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46</xdr:col>
      <xdr:colOff>190500</xdr:colOff>
      <xdr:row>1714</xdr:row>
      <xdr:rowOff>116408</xdr:rowOff>
    </xdr:from>
    <xdr:to>
      <xdr:col>64</xdr:col>
      <xdr:colOff>196931</xdr:colOff>
      <xdr:row>1736</xdr:row>
      <xdr:rowOff>28574</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18341340" y="3060115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I pledge my reputation that I have no personal relation with claimant or their supporters</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have only a professional relation with claimant through: ____</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only know claimant through a common contact</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was involved in the claimant's prosecution in some extent</a:t>
          </a:r>
        </a:p>
        <a:p>
          <a:r>
            <a:rPr lang="en-US" sz="1100" b="0" i="0" u="none" strike="noStrike" baseline="0">
              <a:solidFill>
                <a:schemeClr val="dk1"/>
              </a:solidFill>
              <a:effectLst/>
              <a:latin typeface="+mn-lt"/>
              <a:ea typeface="+mn-ea"/>
              <a:cs typeface="+mn-cs"/>
            </a:rPr>
            <a:t>I am a member of the criminal justice system never involved in this case</a:t>
          </a:r>
        </a:p>
        <a:p>
          <a:r>
            <a:rPr lang="en-US" sz="1100" b="0" i="0" u="none" strike="noStrike" baseline="0">
              <a:solidFill>
                <a:schemeClr val="dk1"/>
              </a:solidFill>
              <a:effectLst/>
              <a:latin typeface="+mn-lt"/>
              <a:ea typeface="+mn-ea"/>
              <a:cs typeface="+mn-cs"/>
            </a:rPr>
            <a:t>I personally know victim that led to claimant's indictment and conviction</a:t>
          </a:r>
        </a:p>
        <a:p>
          <a:r>
            <a:rPr lang="en-US" sz="1100" b="0" i="0" u="none" strike="noStrike" baseline="0">
              <a:solidFill>
                <a:schemeClr val="dk1"/>
              </a:solidFill>
              <a:effectLst/>
              <a:latin typeface="+mn-lt"/>
              <a:ea typeface="+mn-ea"/>
              <a:cs typeface="+mn-cs"/>
            </a:rPr>
            <a:t>I am the complainant behind claimant's indictment and conviction</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 I am fully independent and do not personally know claimant or any listed supporter ]]</a:t>
          </a:r>
        </a:p>
        <a:p>
          <a:r>
            <a:rPr lang="en-US" sz="1100" b="1" i="0" u="none" strike="noStrike" baseline="0">
              <a:solidFill>
                <a:schemeClr val="dk1"/>
              </a:solidFill>
              <a:effectLst/>
              <a:latin typeface="+mn-lt"/>
              <a:ea typeface="+mn-ea"/>
              <a:cs typeface="+mn-cs"/>
            </a:rPr>
            <a:t>I do not personally know claimant nor any listed supporters nor previously involved in this case</a:t>
          </a:r>
        </a:p>
        <a:p>
          <a:r>
            <a:rPr lang="en-US" sz="1100" b="0" i="0" u="none" strike="noStrike" baseline="0">
              <a:solidFill>
                <a:schemeClr val="dk1"/>
              </a:solidFill>
              <a:effectLst/>
              <a:latin typeface="+mn-lt"/>
              <a:ea typeface="+mn-ea"/>
              <a:cs typeface="+mn-cs"/>
            </a:rPr>
            <a:t>[ I am fully independent and accountable to the professional entity identified below ]</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personally know proxy or one or more of claimant's listed supporters</a:t>
          </a:r>
        </a:p>
        <a:p>
          <a:r>
            <a:rPr lang="en-US" sz="1100" b="0" i="0" u="none" strike="noStrike" baseline="0">
              <a:solidFill>
                <a:schemeClr val="dk1"/>
              </a:solidFill>
              <a:effectLst/>
              <a:latin typeface="+mn-lt"/>
              <a:ea typeface="+mn-ea"/>
              <a:cs typeface="+mn-cs"/>
            </a:rPr>
            <a:t>I personally know claimant but I am not (yet) a listed supporter</a:t>
          </a:r>
        </a:p>
        <a:p>
          <a:r>
            <a:rPr lang="en-US" sz="1100" b="0" i="0" u="none" strike="noStrike" baseline="0">
              <a:solidFill>
                <a:schemeClr val="dk1"/>
              </a:solidFill>
              <a:effectLst/>
              <a:latin typeface="+mn-lt"/>
              <a:ea typeface="+mn-ea"/>
              <a:cs typeface="+mn-cs"/>
            </a:rPr>
            <a:t>I am one of claimant's listed supporters</a:t>
          </a:r>
        </a:p>
        <a:p>
          <a:r>
            <a:rPr lang="en-US" sz="1100" b="0" i="0" u="none" strike="noStrike" baseline="0">
              <a:solidFill>
                <a:schemeClr val="dk1"/>
              </a:solidFill>
              <a:effectLst/>
              <a:latin typeface="+mn-lt"/>
              <a:ea typeface="+mn-ea"/>
              <a:cs typeface="+mn-cs"/>
            </a:rPr>
            <a:t>I am claimant's proxy supporter</a:t>
          </a:r>
        </a:p>
        <a:p>
          <a:r>
            <a:rPr lang="en-US" sz="1100" b="0" i="0" u="none" strike="noStrike" baseline="0">
              <a:solidFill>
                <a:schemeClr val="dk1"/>
              </a:solidFill>
              <a:effectLst/>
              <a:latin typeface="+mn-lt"/>
              <a:ea typeface="+mn-ea"/>
              <a:cs typeface="+mn-cs"/>
            </a:rPr>
            <a:t>I am the claimant</a:t>
          </a:r>
        </a:p>
        <a:p>
          <a:r>
            <a:rPr lang="en-US" sz="1100" b="0" i="0" u="none" strike="noStrike" baseline="0">
              <a:solidFill>
                <a:schemeClr val="dk1"/>
              </a:solidFill>
              <a:effectLst/>
              <a:latin typeface="+mn-lt"/>
              <a:ea typeface="+mn-ea"/>
              <a:cs typeface="+mn-cs"/>
            </a:rPr>
            <a:t>Other: _____</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3</xdr:col>
      <xdr:colOff>76200</xdr:colOff>
      <xdr:row>497</xdr:row>
      <xdr:rowOff>15240</xdr:rowOff>
    </xdr:from>
    <xdr:to>
      <xdr:col>4</xdr:col>
      <xdr:colOff>7620</xdr:colOff>
      <xdr:row>497</xdr:row>
      <xdr:rowOff>259080</xdr:rowOff>
    </xdr:to>
    <xdr:sp macro="" textlink="">
      <xdr:nvSpPr>
        <xdr:cNvPr id="56" name="Rectangle: Beveled 55">
          <a:hlinkClick xmlns:r="http://schemas.openxmlformats.org/officeDocument/2006/relationships" r:id="rId15" tooltip="join The Unexonerated Facebook group for peer support"/>
          <a:extLst>
            <a:ext uri="{FF2B5EF4-FFF2-40B4-BE49-F238E27FC236}">
              <a16:creationId xmlns:a16="http://schemas.microsoft.com/office/drawing/2014/main" id="{00000000-0008-0000-0000-000038000000}"/>
            </a:ext>
          </a:extLst>
        </xdr:cNvPr>
        <xdr:cNvSpPr/>
      </xdr:nvSpPr>
      <xdr:spPr>
        <a:xfrm>
          <a:off x="3870960" y="116669820"/>
          <a:ext cx="1905000" cy="24384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rgbClr val="9BFFC8"/>
              </a:solidFill>
            </a:rPr>
            <a:t>click here for support</a:t>
          </a:r>
        </a:p>
      </xdr:txBody>
    </xdr:sp>
    <xdr:clientData/>
  </xdr:twoCellAnchor>
  <xdr:twoCellAnchor>
    <xdr:from>
      <xdr:col>30</xdr:col>
      <xdr:colOff>22860</xdr:colOff>
      <xdr:row>2357</xdr:row>
      <xdr:rowOff>7620</xdr:rowOff>
    </xdr:from>
    <xdr:to>
      <xdr:col>52</xdr:col>
      <xdr:colOff>17087</xdr:colOff>
      <xdr:row>2357</xdr:row>
      <xdr:rowOff>350520</xdr:rowOff>
    </xdr:to>
    <xdr:sp macro="" textlink="">
      <xdr:nvSpPr>
        <xdr:cNvPr id="60" name="TextBox 59">
          <a:extLst>
            <a:ext uri="{FF2B5EF4-FFF2-40B4-BE49-F238E27FC236}">
              <a16:creationId xmlns:a16="http://schemas.microsoft.com/office/drawing/2014/main" id="{00000000-0008-0000-0000-00003C000000}"/>
            </a:ext>
          </a:extLst>
        </xdr:cNvPr>
        <xdr:cNvSpPr txBox="1"/>
      </xdr:nvSpPr>
      <xdr:spPr>
        <a:xfrm>
          <a:off x="19400520" y="424990260"/>
          <a:ext cx="5488247"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who can access my profile:</a:t>
          </a:r>
        </a:p>
        <a:p>
          <a:r>
            <a:rPr lang="en-US" sz="1100" b="0" i="0" u="none" strike="noStrike" baseline="0">
              <a:solidFill>
                <a:schemeClr val="dk1"/>
              </a:solidFill>
              <a:effectLst/>
              <a:latin typeface="+mn-lt"/>
              <a:ea typeface="+mn-ea"/>
              <a:cs typeface="+mn-cs"/>
            </a:rPr>
            <a:t>no one yet (unpublished)</a:t>
          </a:r>
        </a:p>
        <a:p>
          <a:r>
            <a:rPr lang="en-US" sz="1100" b="0" i="0" u="none" strike="noStrike" baseline="0">
              <a:solidFill>
                <a:schemeClr val="dk1"/>
              </a:solidFill>
              <a:effectLst/>
              <a:latin typeface="+mn-lt"/>
              <a:ea typeface="+mn-ea"/>
              <a:cs typeface="+mn-cs"/>
            </a:rPr>
            <a:t>white list: only those claimant (or proxy) names</a:t>
          </a:r>
        </a:p>
        <a:p>
          <a:r>
            <a:rPr lang="en-US" sz="1100" b="0" i="0" u="none" strike="noStrike" baseline="0">
              <a:solidFill>
                <a:schemeClr val="dk1"/>
              </a:solidFill>
              <a:effectLst/>
              <a:latin typeface="+mn-lt"/>
              <a:ea typeface="+mn-ea"/>
              <a:cs typeface="+mn-cs"/>
            </a:rPr>
            <a:t>white list and by automated agree-to-terms request</a:t>
          </a:r>
        </a:p>
        <a:p>
          <a:r>
            <a:rPr lang="en-US" sz="1100" b="0" i="0" u="none" strike="noStrike" baseline="0">
              <a:solidFill>
                <a:schemeClr val="dk1"/>
              </a:solidFill>
              <a:effectLst/>
              <a:latin typeface="+mn-lt"/>
              <a:ea typeface="+mn-ea"/>
              <a:cs typeface="+mn-cs"/>
            </a:rPr>
            <a:t>white list and by personal request, pending my approval</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proxy approval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supporter approval</a:t>
          </a:r>
          <a:endParaRPr lang="en-US">
            <a:effectLst/>
          </a:endParaRPr>
        </a:p>
        <a:p>
          <a:r>
            <a:rPr lang="en-US" sz="1100" b="0" i="0" u="none" strike="noStrike" baseline="0">
              <a:solidFill>
                <a:schemeClr val="dk1"/>
              </a:solidFill>
              <a:effectLst/>
              <a:latin typeface="+mn-lt"/>
              <a:ea typeface="+mn-ea"/>
              <a:cs typeface="+mn-cs"/>
            </a:rPr>
            <a:t>black list: exclude only those claimant (or proxy) names</a:t>
          </a:r>
        </a:p>
        <a:p>
          <a:r>
            <a:rPr lang="en-US" sz="1100" b="0" i="0" u="none" strike="noStrike" baseline="0">
              <a:solidFill>
                <a:schemeClr val="dk1"/>
              </a:solidFill>
              <a:effectLst/>
              <a:latin typeface="+mn-lt"/>
              <a:ea typeface="+mn-ea"/>
              <a:cs typeface="+mn-cs"/>
            </a:rPr>
            <a:t>open to all site registrants</a:t>
          </a:r>
        </a:p>
        <a:p>
          <a:r>
            <a:rPr lang="en-US" sz="1100" b="0" i="0" u="none" strike="noStrike" baseline="0">
              <a:solidFill>
                <a:schemeClr val="dk1"/>
              </a:solidFill>
              <a:effectLst/>
              <a:latin typeface="+mn-lt"/>
              <a:ea typeface="+mn-ea"/>
              <a:cs typeface="+mn-cs"/>
            </a:rPr>
            <a:t>open to anyone</a:t>
          </a:r>
        </a:p>
        <a:p>
          <a:endParaRPr lang="en-US">
            <a:effectLst/>
          </a:endParaRPr>
        </a:p>
        <a:p>
          <a:endParaRPr lang="en-US" sz="1100"/>
        </a:p>
      </xdr:txBody>
    </xdr:sp>
    <xdr:clientData/>
  </xdr:twoCellAnchor>
  <xdr:twoCellAnchor>
    <xdr:from>
      <xdr:col>0</xdr:col>
      <xdr:colOff>190500</xdr:colOff>
      <xdr:row>751</xdr:row>
      <xdr:rowOff>168275</xdr:rowOff>
    </xdr:from>
    <xdr:to>
      <xdr:col>1</xdr:col>
      <xdr:colOff>572135</xdr:colOff>
      <xdr:row>752</xdr:row>
      <xdr:rowOff>983615</xdr:rowOff>
    </xdr:to>
    <xdr:sp macro="" textlink="">
      <xdr:nvSpPr>
        <xdr:cNvPr id="61" name="Text Box 3">
          <a:extLst>
            <a:ext uri="{FF2B5EF4-FFF2-40B4-BE49-F238E27FC236}">
              <a16:creationId xmlns:a16="http://schemas.microsoft.com/office/drawing/2014/main" id="{00000000-0008-0000-0000-00003D000000}"/>
            </a:ext>
          </a:extLst>
        </xdr:cNvPr>
        <xdr:cNvSpPr txBox="1"/>
      </xdr:nvSpPr>
      <xdr:spPr>
        <a:xfrm>
          <a:off x="190500" y="24185181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1384300</xdr:colOff>
      <xdr:row>752</xdr:row>
      <xdr:rowOff>4069080</xdr:rowOff>
    </xdr:from>
    <xdr:to>
      <xdr:col>4</xdr:col>
      <xdr:colOff>51435</xdr:colOff>
      <xdr:row>754</xdr:row>
      <xdr:rowOff>327660</xdr:rowOff>
    </xdr:to>
    <xdr:sp macro="" textlink="">
      <xdr:nvSpPr>
        <xdr:cNvPr id="62" name="Text Box 4">
          <a:extLst>
            <a:ext uri="{FF2B5EF4-FFF2-40B4-BE49-F238E27FC236}">
              <a16:creationId xmlns:a16="http://schemas.microsoft.com/office/drawing/2014/main" id="{00000000-0008-0000-0000-00003E000000}"/>
            </a:ext>
          </a:extLst>
        </xdr:cNvPr>
        <xdr:cNvSpPr txBox="1"/>
      </xdr:nvSpPr>
      <xdr:spPr>
        <a:xfrm>
          <a:off x="5179060" y="245943120"/>
          <a:ext cx="640715" cy="10134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198120</xdr:colOff>
      <xdr:row>703</xdr:row>
      <xdr:rowOff>815975</xdr:rowOff>
    </xdr:from>
    <xdr:to>
      <xdr:col>1</xdr:col>
      <xdr:colOff>579755</xdr:colOff>
      <xdr:row>703</xdr:row>
      <xdr:rowOff>1821815</xdr:rowOff>
    </xdr:to>
    <xdr:sp macro="" textlink="">
      <xdr:nvSpPr>
        <xdr:cNvPr id="63" name="Text Box 3">
          <a:extLst>
            <a:ext uri="{FF2B5EF4-FFF2-40B4-BE49-F238E27FC236}">
              <a16:creationId xmlns:a16="http://schemas.microsoft.com/office/drawing/2014/main" id="{00000000-0008-0000-0000-00003F000000}"/>
            </a:ext>
          </a:extLst>
        </xdr:cNvPr>
        <xdr:cNvSpPr txBox="1"/>
      </xdr:nvSpPr>
      <xdr:spPr>
        <a:xfrm>
          <a:off x="198120" y="21789453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1391920</xdr:colOff>
      <xdr:row>703</xdr:row>
      <xdr:rowOff>3451860</xdr:rowOff>
    </xdr:from>
    <xdr:to>
      <xdr:col>4</xdr:col>
      <xdr:colOff>59055</xdr:colOff>
      <xdr:row>703</xdr:row>
      <xdr:rowOff>3794760</xdr:rowOff>
    </xdr:to>
    <xdr:sp macro="" textlink="">
      <xdr:nvSpPr>
        <xdr:cNvPr id="64" name="Text Box 4">
          <a:extLst>
            <a:ext uri="{FF2B5EF4-FFF2-40B4-BE49-F238E27FC236}">
              <a16:creationId xmlns:a16="http://schemas.microsoft.com/office/drawing/2014/main" id="{00000000-0008-0000-0000-000040000000}"/>
            </a:ext>
          </a:extLst>
        </xdr:cNvPr>
        <xdr:cNvSpPr txBox="1"/>
      </xdr:nvSpPr>
      <xdr:spPr>
        <a:xfrm>
          <a:off x="5186680" y="220530420"/>
          <a:ext cx="640715" cy="34290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57</xdr:col>
      <xdr:colOff>365760</xdr:colOff>
      <xdr:row>1064</xdr:row>
      <xdr:rowOff>163285</xdr:rowOff>
    </xdr:from>
    <xdr:to>
      <xdr:col>75</xdr:col>
      <xdr:colOff>185058</xdr:colOff>
      <xdr:row>1102</xdr:row>
      <xdr:rowOff>157841</xdr:rowOff>
    </xdr:to>
    <xdr:sp macro="" textlink="">
      <xdr:nvSpPr>
        <xdr:cNvPr id="65" name="Rectangle: Rounded Corners 64">
          <a:extLst>
            <a:ext uri="{FF2B5EF4-FFF2-40B4-BE49-F238E27FC236}">
              <a16:creationId xmlns:a16="http://schemas.microsoft.com/office/drawing/2014/main" id="{00000000-0008-0000-0000-000041000000}"/>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tx1"/>
              </a:solidFill>
            </a:rPr>
            <a:t>calculation</a:t>
          </a:r>
          <a:r>
            <a:rPr lang="en-US" sz="1400" baseline="0">
              <a:solidFill>
                <a:schemeClr val="tx1"/>
              </a:solidFill>
            </a:rPr>
            <a:t> of situation depression from Challenging and Aspiring response data; rule out endogynous depression</a:t>
          </a:r>
        </a:p>
        <a:p>
          <a:pPr algn="l"/>
          <a:r>
            <a:rPr lang="en-US" sz="1400" baseline="0">
              <a:solidFill>
                <a:schemeClr val="tx1"/>
              </a:solidFill>
            </a:rPr>
            <a:t>Any use of antidepressants to be informed by situational depression, with antidepressants as option to remove the intensity of the pain but not to enable the etiological situation. </a:t>
          </a:r>
          <a:endParaRPr lang="en-US" sz="1100">
            <a:solidFill>
              <a:schemeClr val="tx1"/>
            </a:solidFill>
          </a:endParaRPr>
        </a:p>
      </xdr:txBody>
    </xdr:sp>
    <xdr:clientData/>
  </xdr:twoCellAnchor>
  <xdr:twoCellAnchor>
    <xdr:from>
      <xdr:col>0</xdr:col>
      <xdr:colOff>99059</xdr:colOff>
      <xdr:row>187</xdr:row>
      <xdr:rowOff>155664</xdr:rowOff>
    </xdr:from>
    <xdr:to>
      <xdr:col>5</xdr:col>
      <xdr:colOff>83819</xdr:colOff>
      <xdr:row>195</xdr:row>
      <xdr:rowOff>186144</xdr:rowOff>
    </xdr:to>
    <xdr:sp macro="" textlink="">
      <xdr:nvSpPr>
        <xdr:cNvPr id="66" name="Rectangle: Rounded Corners 65">
          <a:extLst>
            <a:ext uri="{FF2B5EF4-FFF2-40B4-BE49-F238E27FC236}">
              <a16:creationId xmlns:a16="http://schemas.microsoft.com/office/drawing/2014/main" id="{00000000-0008-0000-0000-000042000000}"/>
            </a:ext>
          </a:extLst>
        </xdr:cNvPr>
        <xdr:cNvSpPr/>
      </xdr:nvSpPr>
      <xdr:spPr>
        <a:xfrm>
          <a:off x="99059" y="40434984"/>
          <a:ext cx="5943600" cy="1645920"/>
        </a:xfrm>
        <a:prstGeom prst="roundRect">
          <a:avLst>
            <a:gd name="adj" fmla="val 5176"/>
          </a:avLst>
        </a:prstGeom>
        <a:solidFill>
          <a:srgbClr val="007832">
            <a:alpha val="80000"/>
          </a:srgbClr>
        </a:solidFill>
        <a:ln w="50800">
          <a:solidFill>
            <a:srgbClr val="00CC5C">
              <a:alpha val="40000"/>
            </a:srgb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2000">
              <a:latin typeface="Tahoma" panose="020B0604030504040204" pitchFamily="34" charset="0"/>
              <a:ea typeface="Tahoma" panose="020B0604030504040204" pitchFamily="34" charset="0"/>
              <a:cs typeface="Tahoma" panose="020B0604030504040204" pitchFamily="34" charset="0"/>
            </a:rPr>
            <a:t>This tool is in pilot</a:t>
          </a:r>
          <a:r>
            <a:rPr lang="en-US" sz="2000" baseline="0">
              <a:latin typeface="Tahoma" panose="020B0604030504040204" pitchFamily="34" charset="0"/>
              <a:ea typeface="Tahoma" panose="020B0604030504040204" pitchFamily="34" charset="0"/>
              <a:cs typeface="Tahoma" panose="020B0604030504040204" pitchFamily="34" charset="0"/>
            </a:rPr>
            <a:t> mode. It aims to calculate a likelihood of innocence compared to known cases of exoneration. It can be improved by feedback from each person utilizing it and receiving it. </a:t>
          </a:r>
          <a:endParaRPr lang="en-US" sz="20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39</xdr:col>
      <xdr:colOff>34833</xdr:colOff>
      <xdr:row>901</xdr:row>
      <xdr:rowOff>101235</xdr:rowOff>
    </xdr:from>
    <xdr:to>
      <xdr:col>70</xdr:col>
      <xdr:colOff>89262</xdr:colOff>
      <xdr:row>908</xdr:row>
      <xdr:rowOff>21771</xdr:rowOff>
    </xdr:to>
    <xdr:sp macro="" textlink="">
      <xdr:nvSpPr>
        <xdr:cNvPr id="67" name="Rectangle: Rounded Corners 66">
          <a:extLst>
            <a:ext uri="{FF2B5EF4-FFF2-40B4-BE49-F238E27FC236}">
              <a16:creationId xmlns:a16="http://schemas.microsoft.com/office/drawing/2014/main" id="{00000000-0008-0000-0000-000043000000}"/>
            </a:ext>
          </a:extLst>
        </xdr:cNvPr>
        <xdr:cNvSpPr/>
      </xdr:nvSpPr>
      <xdr:spPr>
        <a:xfrm>
          <a:off x="18341340" y="280486755"/>
          <a:ext cx="0" cy="2016036"/>
        </a:xfrm>
        <a:prstGeom prst="roundRect">
          <a:avLst>
            <a:gd name="adj" fmla="val 5176"/>
          </a:avLst>
        </a:prstGeom>
        <a:solidFill>
          <a:srgbClr val="F19B61">
            <a:alpha val="12157"/>
          </a:srgbClr>
        </a:solidFill>
        <a:ln w="76200">
          <a:solidFill>
            <a:srgbClr val="9BFFC8"/>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accent2">
                  <a:lumMod val="75000"/>
                </a:schemeClr>
              </a:solidFill>
            </a:rPr>
            <a:t>Despite </a:t>
          </a:r>
          <a:r>
            <a:rPr lang="en-US" sz="1400">
              <a:solidFill>
                <a:schemeClr val="accent2">
                  <a:lumMod val="75000"/>
                </a:schemeClr>
              </a:solidFill>
              <a:latin typeface="+mn-lt"/>
              <a:ea typeface="+mn-ea"/>
              <a:cs typeface="+mn-cs"/>
            </a:rPr>
            <a:t>challenging [CHALLENGING] needs, [NAME] aspires toward [ASPRING].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endParaRPr>
        </a:p>
        <a:p>
          <a:pPr algn="l"/>
          <a:endParaRPr lang="en-US" sz="1400">
            <a:solidFill>
              <a:schemeClr val="accent2">
                <a:lumMod val="75000"/>
              </a:schemeClr>
            </a:solidFill>
          </a:endParaRPr>
        </a:p>
      </xdr:txBody>
    </xdr:sp>
    <xdr:clientData/>
  </xdr:twoCellAnchor>
  <xdr:twoCellAnchor>
    <xdr:from>
      <xdr:col>79</xdr:col>
      <xdr:colOff>1084</xdr:colOff>
      <xdr:row>137</xdr:row>
      <xdr:rowOff>152400</xdr:rowOff>
    </xdr:from>
    <xdr:to>
      <xdr:col>88</xdr:col>
      <xdr:colOff>13058</xdr:colOff>
      <xdr:row>147</xdr:row>
      <xdr:rowOff>38100</xdr:rowOff>
    </xdr:to>
    <xdr:sp macro="" textlink="">
      <xdr:nvSpPr>
        <xdr:cNvPr id="69" name="Arrow: Right 68">
          <a:hlinkClick xmlns:r="http://schemas.openxmlformats.org/officeDocument/2006/relationships" r:id="rId16" tooltip="&gt;&gt; click here if you could use some help with this &lt;&lt;"/>
          <a:extLst>
            <a:ext uri="{FF2B5EF4-FFF2-40B4-BE49-F238E27FC236}">
              <a16:creationId xmlns:a16="http://schemas.microsoft.com/office/drawing/2014/main" id="{00000000-0008-0000-0000-000045000000}"/>
            </a:ext>
          </a:extLst>
        </xdr:cNvPr>
        <xdr:cNvSpPr/>
      </xdr:nvSpPr>
      <xdr:spPr>
        <a:xfrm>
          <a:off x="18341340" y="30198060"/>
          <a:ext cx="0" cy="1790700"/>
        </a:xfrm>
        <a:prstGeom prst="rightArrow">
          <a:avLst>
            <a:gd name="adj1" fmla="val 100000"/>
            <a:gd name="adj2" fmla="val 10822"/>
          </a:avLst>
        </a:prstGeom>
        <a:scene3d>
          <a:camera prst="orthographicFront"/>
          <a:lightRig rig="threePt" dir="t"/>
        </a:scene3d>
        <a:sp3d>
          <a:bevelT prst="angle"/>
        </a:sp3d>
      </xdr:spPr>
      <xdr:style>
        <a:lnRef idx="0">
          <a:schemeClr val="accent2"/>
        </a:lnRef>
        <a:fillRef idx="3">
          <a:schemeClr val="accent2"/>
        </a:fillRef>
        <a:effectRef idx="3">
          <a:schemeClr val="accent2"/>
        </a:effectRef>
        <a:fontRef idx="minor">
          <a:schemeClr val="lt1"/>
        </a:fontRef>
      </xdr:style>
      <xdr:txBody>
        <a:bodyPr vertOverflow="clip" horzOverflow="clip" lIns="137160" rtlCol="0" anchor="ctr"/>
        <a:lstStyle/>
        <a:p>
          <a:pPr>
            <a:lnSpc>
              <a:spcPts val="1400"/>
            </a:lnSpc>
            <a:spcAft>
              <a:spcPts val="600"/>
            </a:spcAft>
          </a:pPr>
          <a:r>
            <a:rPr lang="en-US" sz="140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Recounting this information risks</a:t>
          </a: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 re-traumatizing those most deeply affected by it. The proxy is there for support, and we support the proxy. </a:t>
          </a:r>
          <a:endParaRPr lang="en-US" sz="1400">
            <a:effectLst>
              <a:outerShdw blurRad="50800" dist="38100" dir="2700000" algn="tl" rotWithShape="0">
                <a:prstClr val="black">
                  <a:alpha val="40000"/>
                </a:prstClr>
              </a:outerShdw>
            </a:effectLst>
            <a:latin typeface="Arial Black" panose="020B0A04020102020204" pitchFamily="34" charset="0"/>
          </a:endParaRPr>
        </a:p>
        <a:p>
          <a:pPr>
            <a:lnSpc>
              <a:spcPts val="1400"/>
            </a:lnSpc>
          </a:pP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If needing direct support to get through this, please contact us. Don't let any temporary pain stop you from receiving overdue justice. </a:t>
          </a:r>
        </a:p>
        <a:p>
          <a:pPr algn="ctr">
            <a:lnSpc>
              <a:spcPts val="1400"/>
            </a:lnSpc>
          </a:pPr>
          <a:endPar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endParaRPr>
        </a:p>
        <a:p>
          <a:pPr algn="ctr">
            <a:lnSpc>
              <a:spcPts val="1400"/>
            </a:lnSpc>
          </a:pPr>
          <a:r>
            <a:rPr lang="en-US" sz="2000" baseline="0">
              <a:ln w="3175">
                <a:solidFill>
                  <a:schemeClr val="bg1"/>
                </a:solidFill>
              </a:ln>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CLICK HERE</a:t>
          </a:r>
          <a:r>
            <a:rPr lang="en-US" sz="2000" baseline="0">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a:t>
          </a:r>
          <a:endParaRPr lang="en-US" sz="1400">
            <a:solidFill>
              <a:srgbClr val="FFABAD"/>
            </a:solidFill>
            <a:effectLst>
              <a:outerShdw blurRad="50800" dist="38100" dir="2700000" algn="tl" rotWithShape="0">
                <a:prstClr val="black">
                  <a:alpha val="40000"/>
                </a:prstClr>
              </a:outerShdw>
            </a:effectLst>
            <a:latin typeface="Arial Black" panose="020B0A04020102020204" pitchFamily="34" charset="0"/>
          </a:endParaRPr>
        </a:p>
      </xdr:txBody>
    </xdr:sp>
    <xdr:clientData/>
  </xdr:twoCellAnchor>
  <xdr:twoCellAnchor>
    <xdr:from>
      <xdr:col>1</xdr:col>
      <xdr:colOff>337144</xdr:colOff>
      <xdr:row>752</xdr:row>
      <xdr:rowOff>663397</xdr:rowOff>
    </xdr:from>
    <xdr:to>
      <xdr:col>3</xdr:col>
      <xdr:colOff>1804779</xdr:colOff>
      <xdr:row>752</xdr:row>
      <xdr:rowOff>4292129</xdr:rowOff>
    </xdr:to>
    <xdr:sp macro="" textlink="">
      <xdr:nvSpPr>
        <xdr:cNvPr id="70" name="TextBox 69">
          <a:extLst>
            <a:ext uri="{FF2B5EF4-FFF2-40B4-BE49-F238E27FC236}">
              <a16:creationId xmlns:a16="http://schemas.microsoft.com/office/drawing/2014/main" id="{00000000-0008-0000-0000-000046000000}"/>
            </a:ext>
          </a:extLst>
        </xdr:cNvPr>
        <xdr:cNvSpPr txBox="1"/>
      </xdr:nvSpPr>
      <xdr:spPr>
        <a:xfrm rot="21085390">
          <a:off x="596224" y="242537437"/>
          <a:ext cx="5003315" cy="3628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No one sits above the law, yet no law sits above need. Laws exist to serve needs, but whose?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And all needs sit equal before nature.</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moral question persists: whose needs get best served by which enforced laws?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answer determines the level of legitimacy, the level of widely earned trust to serve these needs.</a:t>
          </a:r>
        </a:p>
      </xdr:txBody>
    </xdr:sp>
    <xdr:clientData/>
  </xdr:twoCellAnchor>
  <xdr:twoCellAnchor>
    <xdr:from>
      <xdr:col>1</xdr:col>
      <xdr:colOff>879835</xdr:colOff>
      <xdr:row>703</xdr:row>
      <xdr:rowOff>1025524</xdr:rowOff>
    </xdr:from>
    <xdr:to>
      <xdr:col>3</xdr:col>
      <xdr:colOff>1248910</xdr:colOff>
      <xdr:row>703</xdr:row>
      <xdr:rowOff>3798466</xdr:rowOff>
    </xdr:to>
    <xdr:sp macro="" textlink="">
      <xdr:nvSpPr>
        <xdr:cNvPr id="71" name="TextBox 70">
          <a:extLst>
            <a:ext uri="{FF2B5EF4-FFF2-40B4-BE49-F238E27FC236}">
              <a16:creationId xmlns:a16="http://schemas.microsoft.com/office/drawing/2014/main" id="{00000000-0008-0000-0000-000047000000}"/>
            </a:ext>
          </a:extLst>
        </xdr:cNvPr>
        <xdr:cNvSpPr txBox="1"/>
      </xdr:nvSpPr>
      <xdr:spPr>
        <a:xfrm rot="352288">
          <a:off x="1138915" y="218104084"/>
          <a:ext cx="3904755" cy="2772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demand for professional help to review these viable claims of innocence far outstrips the meager supply.</a:t>
          </a:r>
        </a:p>
        <a:p>
          <a:endPar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Innocence Projects remain overwhelmed. We can help fill that gap.</a:t>
          </a:r>
        </a:p>
      </xdr:txBody>
    </xdr:sp>
    <xdr:clientData/>
  </xdr:twoCellAnchor>
  <xdr:twoCellAnchor>
    <xdr:from>
      <xdr:col>26</xdr:col>
      <xdr:colOff>0</xdr:colOff>
      <xdr:row>858</xdr:row>
      <xdr:rowOff>9797</xdr:rowOff>
    </xdr:from>
    <xdr:to>
      <xdr:col>26</xdr:col>
      <xdr:colOff>0</xdr:colOff>
      <xdr:row>875</xdr:row>
      <xdr:rowOff>117566</xdr:rowOff>
    </xdr:to>
    <xdr:grpSp>
      <xdr:nvGrpSpPr>
        <xdr:cNvPr id="72" name="Group 71">
          <a:extLst>
            <a:ext uri="{FF2B5EF4-FFF2-40B4-BE49-F238E27FC236}">
              <a16:creationId xmlns:a16="http://schemas.microsoft.com/office/drawing/2014/main" id="{00000000-0008-0000-0000-000048000000}"/>
            </a:ext>
          </a:extLst>
        </xdr:cNvPr>
        <xdr:cNvGrpSpPr/>
      </xdr:nvGrpSpPr>
      <xdr:grpSpPr>
        <a:xfrm>
          <a:off x="20341167" y="290529353"/>
          <a:ext cx="0" cy="3247491"/>
          <a:chOff x="18954206" y="257674654"/>
          <a:chExt cx="8586650" cy="3210198"/>
        </a:xfrm>
      </xdr:grpSpPr>
      <xdr:sp macro="" textlink="">
        <xdr:nvSpPr>
          <xdr:cNvPr id="73" name="TextBox 72">
            <a:extLst>
              <a:ext uri="{FF2B5EF4-FFF2-40B4-BE49-F238E27FC236}">
                <a16:creationId xmlns:a16="http://schemas.microsoft.com/office/drawing/2014/main" id="{00000000-0008-0000-0000-000049000000}"/>
              </a:ext>
            </a:extLst>
          </xdr:cNvPr>
          <xdr:cNvSpPr txBox="1"/>
        </xdr:nvSpPr>
        <xdr:spPr>
          <a:xfrm>
            <a:off x="20367172" y="257811541"/>
            <a:ext cx="2176054" cy="2053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u="none" strike="noStrike">
                <a:solidFill>
                  <a:schemeClr val="dk1"/>
                </a:solidFill>
                <a:effectLst/>
                <a:latin typeface="+mn-lt"/>
                <a:ea typeface="+mn-ea"/>
                <a:cs typeface="+mn-cs"/>
              </a:rPr>
              <a:t>Challenging</a:t>
            </a:r>
            <a:r>
              <a:rPr lang="en-US" sz="1600" b="1" i="0" u="none" strike="noStrike"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items</a:t>
            </a: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r>
              <a:rPr lang="en-US" sz="1600" b="1" i="0" u="none" strike="noStrike">
                <a:solidFill>
                  <a:schemeClr val="dk1"/>
                </a:solidFill>
                <a:effectLst/>
                <a:latin typeface="+mn-lt"/>
                <a:ea typeface="+mn-ea"/>
                <a:cs typeface="+mn-cs"/>
              </a:rPr>
              <a:t>Aspiring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r>
              <a:rPr lang="en-US" sz="1600" b="1" i="0" u="none" strike="noStrike">
                <a:solidFill>
                  <a:schemeClr val="dk1"/>
                </a:solidFill>
                <a:effectLst/>
                <a:latin typeface="+mn-lt"/>
                <a:ea typeface="+mn-ea"/>
                <a:cs typeface="+mn-cs"/>
              </a:rPr>
              <a:t>Seeking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endParaRPr lang="en-US" sz="1100"/>
          </a:p>
        </xdr:txBody>
      </xdr:sp>
      <xdr:sp macro="" textlink="">
        <xdr:nvSpPr>
          <xdr:cNvPr id="74" name="TextBox 73">
            <a:extLst>
              <a:ext uri="{FF2B5EF4-FFF2-40B4-BE49-F238E27FC236}">
                <a16:creationId xmlns:a16="http://schemas.microsoft.com/office/drawing/2014/main" id="{00000000-0008-0000-0000-00004A000000}"/>
              </a:ext>
            </a:extLst>
          </xdr:cNvPr>
          <xdr:cNvSpPr txBox="1"/>
        </xdr:nvSpPr>
        <xdr:spPr>
          <a:xfrm>
            <a:off x="18954206" y="257674654"/>
            <a:ext cx="1521822" cy="1154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CCC impacting how:</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not applicable</a:t>
            </a:r>
          </a:p>
          <a:p>
            <a:r>
              <a:rPr lang="en-US" sz="1100" b="0" i="0" u="none" strike="noStrike" baseline="0">
                <a:solidFill>
                  <a:schemeClr val="dk1"/>
                </a:solidFill>
                <a:effectLst/>
                <a:latin typeface="+mn-lt"/>
                <a:ea typeface="+mn-ea"/>
                <a:cs typeface="+mn-cs"/>
              </a:rPr>
              <a:t>temporary</a:t>
            </a:r>
          </a:p>
          <a:p>
            <a:r>
              <a:rPr lang="en-US" sz="1100" b="0" i="0" u="none" strike="noStrike" baseline="0">
                <a:solidFill>
                  <a:schemeClr val="dk1"/>
                </a:solidFill>
                <a:effectLst/>
                <a:latin typeface="+mn-lt"/>
                <a:ea typeface="+mn-ea"/>
                <a:cs typeface="+mn-cs"/>
              </a:rPr>
              <a:t>lasting</a:t>
            </a:r>
          </a:p>
          <a:p>
            <a:r>
              <a:rPr lang="en-US" sz="1100" b="0" i="0" u="none" strike="noStrike" baseline="0">
                <a:solidFill>
                  <a:schemeClr val="dk1"/>
                </a:solidFill>
                <a:effectLst/>
                <a:latin typeface="+mn-lt"/>
                <a:ea typeface="+mn-ea"/>
                <a:cs typeface="+mn-cs"/>
              </a:rPr>
              <a:t>permanent</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5" name="TextBox 74">
            <a:extLst>
              <a:ext uri="{FF2B5EF4-FFF2-40B4-BE49-F238E27FC236}">
                <a16:creationId xmlns:a16="http://schemas.microsoft.com/office/drawing/2014/main" id="{00000000-0008-0000-0000-00004B000000}"/>
              </a:ext>
            </a:extLst>
          </xdr:cNvPr>
          <xdr:cNvSpPr txBox="1"/>
        </xdr:nvSpPr>
        <xdr:spPr>
          <a:xfrm>
            <a:off x="19173008" y="259929086"/>
            <a:ext cx="3649072" cy="955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stripped of</a:t>
            </a:r>
            <a:r>
              <a:rPr lang="en-US" sz="1100" b="1" i="0" u="none" strike="noStrike" baseline="0">
                <a:solidFill>
                  <a:schemeClr val="dk1"/>
                </a:solidFill>
                <a:effectLst/>
                <a:latin typeface="+mn-lt"/>
                <a:ea typeface="+mn-ea"/>
                <a:cs typeface="+mn-cs"/>
              </a:rPr>
              <a:t> basic civil and human rights:</a:t>
            </a:r>
          </a:p>
          <a:p>
            <a:r>
              <a:rPr lang="en-US" sz="1100" b="0" i="0" u="none" strike="noStrike" baseline="0">
                <a:solidFill>
                  <a:schemeClr val="dk1"/>
                </a:solidFill>
                <a:effectLst/>
                <a:latin typeface="+mn-lt"/>
                <a:ea typeface="+mn-ea"/>
                <a:cs typeface="+mn-cs"/>
              </a:rPr>
              <a:t>right to vote</a:t>
            </a:r>
          </a:p>
          <a:p>
            <a:r>
              <a:rPr lang="en-US" sz="1100" b="0" i="0" u="none" strike="noStrike" baseline="0">
                <a:solidFill>
                  <a:schemeClr val="dk1"/>
                </a:solidFill>
                <a:effectLst/>
                <a:latin typeface="+mn-lt"/>
                <a:ea typeface="+mn-ea"/>
                <a:cs typeface="+mn-cs"/>
              </a:rPr>
              <a:t>right to serve on juries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legal discriminations</a:t>
            </a:r>
          </a:p>
          <a:p>
            <a:r>
              <a:rPr lang="en-US" sz="1100" b="0" i="0" u="none" strike="noStrike" baseline="0">
                <a:solidFill>
                  <a:schemeClr val="dk1"/>
                </a:solidFill>
                <a:effectLst/>
                <a:latin typeface="+mn-lt"/>
                <a:ea typeface="+mn-ea"/>
                <a:cs typeface="+mn-cs"/>
              </a:rPr>
              <a:t>employment discrimination</a:t>
            </a:r>
          </a:p>
          <a:p>
            <a:r>
              <a:rPr lang="en-US" sz="1100" b="0" i="0" u="none" strike="noStrike" baseline="0">
                <a:solidFill>
                  <a:schemeClr val="dk1"/>
                </a:solidFill>
                <a:effectLst/>
                <a:latin typeface="+mn-lt"/>
                <a:ea typeface="+mn-ea"/>
                <a:cs typeface="+mn-cs"/>
              </a:rPr>
              <a:t>housing discrimination</a:t>
            </a:r>
          </a:p>
          <a:p>
            <a:r>
              <a:rPr lang="en-US" sz="1100" b="0" i="0" u="none" strike="noStrike" baseline="0">
                <a:solidFill>
                  <a:schemeClr val="dk1"/>
                </a:solidFill>
                <a:effectLst/>
                <a:latin typeface="+mn-lt"/>
                <a:ea typeface="+mn-ea"/>
                <a:cs typeface="+mn-cs"/>
              </a:rPr>
              <a:t>access to education</a:t>
            </a:r>
          </a:p>
          <a:p>
            <a:r>
              <a:rPr lang="en-US" sz="1100" b="0" i="0" u="none" strike="noStrike" baseline="0">
                <a:solidFill>
                  <a:schemeClr val="dk1"/>
                </a:solidFill>
                <a:effectLst/>
                <a:latin typeface="+mn-lt"/>
                <a:ea typeface="+mn-ea"/>
                <a:cs typeface="+mn-cs"/>
              </a:rPr>
              <a:t>basic public benefits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Required to register for life</a:t>
            </a:r>
          </a:p>
          <a:p>
            <a:r>
              <a:rPr lang="en-US" sz="1100" b="0" i="0" u="none" strike="noStrike" baseline="0">
                <a:solidFill>
                  <a:schemeClr val="dk1"/>
                </a:solidFill>
                <a:effectLst/>
                <a:latin typeface="+mn-lt"/>
                <a:ea typeface="+mn-ea"/>
                <a:cs typeface="+mn-cs"/>
              </a:rPr>
              <a:t>access to education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6" name="Rectangle: Rounded Corners 75">
            <a:extLst>
              <a:ext uri="{FF2B5EF4-FFF2-40B4-BE49-F238E27FC236}">
                <a16:creationId xmlns:a16="http://schemas.microsoft.com/office/drawing/2014/main" id="{00000000-0008-0000-0000-00004C000000}"/>
              </a:ext>
            </a:extLst>
          </xdr:cNvPr>
          <xdr:cNvSpPr/>
        </xdr:nvSpPr>
        <xdr:spPr>
          <a:xfrm>
            <a:off x="22731547" y="257725818"/>
            <a:ext cx="1338943"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Rectangle: Rounded Corners 76">
            <a:extLst>
              <a:ext uri="{FF2B5EF4-FFF2-40B4-BE49-F238E27FC236}">
                <a16:creationId xmlns:a16="http://schemas.microsoft.com/office/drawing/2014/main" id="{00000000-0008-0000-0000-00004D000000}"/>
              </a:ext>
            </a:extLst>
          </xdr:cNvPr>
          <xdr:cNvSpPr/>
        </xdr:nvSpPr>
        <xdr:spPr>
          <a:xfrm>
            <a:off x="25025168" y="257747589"/>
            <a:ext cx="2194560"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8" name="TextBox 77">
            <a:extLst>
              <a:ext uri="{FF2B5EF4-FFF2-40B4-BE49-F238E27FC236}">
                <a16:creationId xmlns:a16="http://schemas.microsoft.com/office/drawing/2014/main" id="{00000000-0008-0000-0000-00004E000000}"/>
              </a:ext>
            </a:extLst>
          </xdr:cNvPr>
          <xdr:cNvSpPr txBox="1"/>
        </xdr:nvSpPr>
        <xdr:spPr>
          <a:xfrm>
            <a:off x="24479794" y="257907336"/>
            <a:ext cx="2092233" cy="20108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parent(s)</a:t>
            </a:r>
          </a:p>
          <a:p>
            <a:r>
              <a:rPr lang="en-US" sz="1100" b="0" i="0" u="none" strike="noStrike" baseline="0">
                <a:solidFill>
                  <a:schemeClr val="dk1"/>
                </a:solidFill>
                <a:effectLst/>
                <a:latin typeface="+mn-lt"/>
                <a:ea typeface="+mn-ea"/>
                <a:cs typeface="+mn-cs"/>
              </a:rPr>
              <a:t>dependent sibling(s)</a:t>
            </a:r>
          </a:p>
          <a:p>
            <a:r>
              <a:rPr lang="en-US" sz="1100" b="0" i="0" u="none" strike="noStrike" baseline="0">
                <a:solidFill>
                  <a:schemeClr val="dk1"/>
                </a:solidFill>
                <a:effectLst/>
                <a:latin typeface="+mn-lt"/>
                <a:ea typeface="+mn-ea"/>
                <a:cs typeface="+mn-cs"/>
              </a:rPr>
              <a:t>dependent children(s)</a:t>
            </a:r>
          </a:p>
          <a:p>
            <a:r>
              <a:rPr lang="en-US" sz="1100" b="0" i="0" u="none" strike="noStrike" baseline="0">
                <a:solidFill>
                  <a:schemeClr val="dk1"/>
                </a:solidFill>
                <a:effectLst/>
                <a:latin typeface="+mn-lt"/>
                <a:ea typeface="+mn-ea"/>
                <a:cs typeface="+mn-cs"/>
              </a:rPr>
              <a:t>dependent grandchild(ren)</a:t>
            </a:r>
          </a:p>
          <a:p>
            <a:r>
              <a:rPr lang="en-US" sz="1100" b="0" i="0" u="none" strike="noStrike" baseline="0">
                <a:solidFill>
                  <a:schemeClr val="dk1"/>
                </a:solidFill>
                <a:effectLst/>
                <a:latin typeface="+mn-lt"/>
                <a:ea typeface="+mn-ea"/>
                <a:cs typeface="+mn-cs"/>
              </a:rPr>
              <a:t>dependent other(s)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business partner(s)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9" name="TextBox 78">
            <a:extLst>
              <a:ext uri="{FF2B5EF4-FFF2-40B4-BE49-F238E27FC236}">
                <a16:creationId xmlns:a16="http://schemas.microsoft.com/office/drawing/2014/main" id="{00000000-0008-0000-0000-00004F000000}"/>
              </a:ext>
            </a:extLst>
          </xdr:cNvPr>
          <xdr:cNvSpPr txBox="1"/>
        </xdr:nvSpPr>
        <xdr:spPr>
          <a:xfrm>
            <a:off x="25448623" y="258310107"/>
            <a:ext cx="2092233" cy="2003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family member(s)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family &amp; friend(s)</a:t>
            </a:r>
          </a:p>
          <a:p>
            <a:r>
              <a:rPr lang="en-US" sz="1100" b="0" i="0" u="none" strike="noStrike" baseline="0">
                <a:solidFill>
                  <a:schemeClr val="dk1"/>
                </a:solidFill>
                <a:effectLst/>
                <a:latin typeface="+mn-lt"/>
                <a:ea typeface="+mn-ea"/>
                <a:cs typeface="+mn-cs"/>
              </a:rPr>
              <a:t>coworker(s)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other(s)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grpSp>
    <xdr:clientData/>
  </xdr:twoCellAnchor>
  <xdr:twoCellAnchor>
    <xdr:from>
      <xdr:col>62</xdr:col>
      <xdr:colOff>87085</xdr:colOff>
      <xdr:row>876</xdr:row>
      <xdr:rowOff>0</xdr:rowOff>
    </xdr:from>
    <xdr:to>
      <xdr:col>70</xdr:col>
      <xdr:colOff>130628</xdr:colOff>
      <xdr:row>884</xdr:row>
      <xdr:rowOff>0</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18341340" y="275577300"/>
          <a:ext cx="0"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CCC impacting whom:</a:t>
          </a:r>
        </a:p>
        <a:p>
          <a:r>
            <a:rPr lang="en-US" sz="1100">
              <a:solidFill>
                <a:schemeClr val="dk1"/>
              </a:solidFill>
              <a:effectLst/>
              <a:latin typeface="+mn-lt"/>
              <a:ea typeface="+mn-ea"/>
              <a:cs typeface="+mn-cs"/>
            </a:rPr>
            <a:t>impacting everyone I know</a:t>
          </a:r>
        </a:p>
        <a:p>
          <a:r>
            <a:rPr lang="en-US" sz="1100">
              <a:solidFill>
                <a:schemeClr val="dk1"/>
              </a:solidFill>
              <a:effectLst/>
              <a:latin typeface="+mn-lt"/>
              <a:ea typeface="+mn-ea"/>
              <a:cs typeface="+mn-cs"/>
            </a:rPr>
            <a:t>impacting close friend(s)</a:t>
          </a:r>
        </a:p>
        <a:p>
          <a:r>
            <a:rPr lang="en-US" sz="1100">
              <a:solidFill>
                <a:schemeClr val="dk1"/>
              </a:solidFill>
              <a:effectLst/>
              <a:latin typeface="+mn-lt"/>
              <a:ea typeface="+mn-ea"/>
              <a:cs typeface="+mn-cs"/>
            </a:rPr>
            <a:t>impacting close friends &amp; family</a:t>
          </a:r>
        </a:p>
        <a:p>
          <a:r>
            <a:rPr lang="en-US" sz="1100">
              <a:solidFill>
                <a:schemeClr val="dk1"/>
              </a:solidFill>
              <a:effectLst/>
              <a:latin typeface="+mn-lt"/>
              <a:ea typeface="+mn-ea"/>
              <a:cs typeface="+mn-cs"/>
            </a:rPr>
            <a:t>impacting only family members</a:t>
          </a:r>
        </a:p>
        <a:p>
          <a:r>
            <a:rPr lang="en-US" sz="1100">
              <a:solidFill>
                <a:schemeClr val="dk1"/>
              </a:solidFill>
              <a:effectLst/>
              <a:latin typeface="+mn-lt"/>
              <a:ea typeface="+mn-ea"/>
              <a:cs typeface="+mn-cs"/>
            </a:rPr>
            <a:t>impacting only my (then) partner</a:t>
          </a:r>
        </a:p>
        <a:p>
          <a:r>
            <a:rPr lang="en-US" sz="1100">
              <a:solidFill>
                <a:schemeClr val="dk1"/>
              </a:solidFill>
              <a:effectLst/>
              <a:latin typeface="+mn-lt"/>
              <a:ea typeface="+mn-ea"/>
              <a:cs typeface="+mn-cs"/>
            </a:rPr>
            <a:t>impacting (then) partner &amp; kids</a:t>
          </a:r>
        </a:p>
        <a:p>
          <a:r>
            <a:rPr lang="en-US" sz="1100">
              <a:solidFill>
                <a:schemeClr val="dk1"/>
              </a:solidFill>
              <a:effectLst/>
              <a:latin typeface="+mn-lt"/>
              <a:ea typeface="+mn-ea"/>
              <a:cs typeface="+mn-cs"/>
            </a:rPr>
            <a:t>impactig only my child(ren)</a:t>
          </a:r>
        </a:p>
        <a:p>
          <a:r>
            <a:rPr lang="en-US" sz="1100">
              <a:solidFill>
                <a:schemeClr val="dk1"/>
              </a:solidFill>
              <a:effectLst/>
              <a:latin typeface="+mn-lt"/>
              <a:ea typeface="+mn-ea"/>
              <a:cs typeface="+mn-cs"/>
            </a:rPr>
            <a:t>impactig only my grandchild(ren)</a:t>
          </a:r>
          <a:endParaRPr lang="en-US" sz="1100"/>
        </a:p>
      </xdr:txBody>
    </xdr:sp>
    <xdr:clientData/>
  </xdr:twoCellAnchor>
  <xdr:twoCellAnchor>
    <xdr:from>
      <xdr:col>2</xdr:col>
      <xdr:colOff>766354</xdr:colOff>
      <xdr:row>1125</xdr:row>
      <xdr:rowOff>83820</xdr:rowOff>
    </xdr:from>
    <xdr:to>
      <xdr:col>3</xdr:col>
      <xdr:colOff>1972491</xdr:colOff>
      <xdr:row>1125</xdr:row>
      <xdr:rowOff>358140</xdr:rowOff>
    </xdr:to>
    <xdr:sp macro="" textlink="">
      <xdr:nvSpPr>
        <xdr:cNvPr id="81" name="Arrow: Up 80">
          <a:extLst>
            <a:ext uri="{FF2B5EF4-FFF2-40B4-BE49-F238E27FC236}">
              <a16:creationId xmlns:a16="http://schemas.microsoft.com/office/drawing/2014/main" id="{00000000-0008-0000-0000-000051000000}"/>
            </a:ext>
          </a:extLst>
        </xdr:cNvPr>
        <xdr:cNvSpPr/>
      </xdr:nvSpPr>
      <xdr:spPr>
        <a:xfrm>
          <a:off x="2107474" y="297606720"/>
          <a:ext cx="3659777" cy="274320"/>
        </a:xfrm>
        <a:prstGeom prst="upArrow">
          <a:avLst>
            <a:gd name="adj1" fmla="val 90284"/>
            <a:gd name="adj2" fmla="val 31349"/>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100"/>
            <a:t>If</a:t>
          </a:r>
          <a:r>
            <a:rPr lang="en-US" sz="1100" baseline="0"/>
            <a:t> officially exonerated, will you seek compensation?</a:t>
          </a:r>
          <a:endParaRPr lang="en-US" sz="1100"/>
        </a:p>
      </xdr:txBody>
    </xdr:sp>
    <xdr:clientData/>
  </xdr:twoCellAnchor>
  <xdr:twoCellAnchor>
    <xdr:from>
      <xdr:col>60</xdr:col>
      <xdr:colOff>134981</xdr:colOff>
      <xdr:row>884</xdr:row>
      <xdr:rowOff>108856</xdr:rowOff>
    </xdr:from>
    <xdr:to>
      <xdr:col>70</xdr:col>
      <xdr:colOff>97970</xdr:colOff>
      <xdr:row>901</xdr:row>
      <xdr:rowOff>32656</xdr:rowOff>
    </xdr:to>
    <xdr:sp macro="" textlink="">
      <xdr:nvSpPr>
        <xdr:cNvPr id="82" name="Text Box 1">
          <a:extLst>
            <a:ext uri="{FF2B5EF4-FFF2-40B4-BE49-F238E27FC236}">
              <a16:creationId xmlns:a16="http://schemas.microsoft.com/office/drawing/2014/main" id="{00000000-0008-0000-0000-000052000000}"/>
            </a:ext>
          </a:extLst>
        </xdr:cNvPr>
        <xdr:cNvSpPr txBox="1"/>
      </xdr:nvSpPr>
      <xdr:spPr>
        <a:xfrm>
          <a:off x="18341340" y="277324456"/>
          <a:ext cx="0" cy="3093720"/>
        </a:xfrm>
        <a:prstGeom prst="rect">
          <a:avLst/>
        </a:prstGeom>
        <a:solidFill>
          <a:schemeClr val="bg1">
            <a:lumMod val="95000"/>
          </a:schemeClr>
        </a:solidFill>
        <a:ln w="38100">
          <a:solidFill>
            <a:srgbClr val="D088FC"/>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Challenging: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challenged at all</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only slightly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moderately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significantly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severely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Aspiring: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don't seek it nor think about it much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desire it but feel it's unlikely to happen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hope it'll happen but I can do little about it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struggle to make it happen but unsuccessfully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feel I've reached it but not maintained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sense I can maintaine it with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maintain it without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Seeking: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important at all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low priority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important but can wait for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must have it as soon as possible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increasingly consuming my focus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can't go on any further without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1817915</xdr:colOff>
      <xdr:row>828</xdr:row>
      <xdr:rowOff>468086</xdr:rowOff>
    </xdr:from>
    <xdr:to>
      <xdr:col>3</xdr:col>
      <xdr:colOff>1785737</xdr:colOff>
      <xdr:row>828</xdr:row>
      <xdr:rowOff>1995352</xdr:rowOff>
    </xdr:to>
    <xdr:pic>
      <xdr:nvPicPr>
        <xdr:cNvPr id="84" name="Picture 83" descr="Maps, Country, America, States, Land, Geography, Us">
          <a:hlinkClick xmlns:r="http://schemas.openxmlformats.org/officeDocument/2006/relationships" r:id="rId17"/>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18" cstate="print">
          <a:duotone>
            <a:schemeClr val="bg2">
              <a:shade val="45000"/>
              <a:satMod val="135000"/>
            </a:schemeClr>
            <a:prstClr val="white"/>
          </a:duotone>
          <a:extLst>
            <a:ext uri="{BEBA8EAE-BF5A-486C-A8C5-ECC9F3942E4B}">
              <a14:imgProps xmlns:a14="http://schemas.microsoft.com/office/drawing/2010/main">
                <a14:imgLayer r:embed="rId19">
                  <a14:imgEffect>
                    <a14:artisticGlowEdges/>
                  </a14:imgEffect>
                </a14:imgLayer>
              </a14:imgProps>
            </a:ext>
            <a:ext uri="{28A0092B-C50C-407E-A947-70E740481C1C}">
              <a14:useLocalDpi xmlns:a14="http://schemas.microsoft.com/office/drawing/2010/main" val="0"/>
            </a:ext>
          </a:extLst>
        </a:blip>
        <a:srcRect/>
        <a:stretch>
          <a:fillRect/>
        </a:stretch>
      </xdr:blipFill>
      <xdr:spPr bwMode="auto">
        <a:xfrm>
          <a:off x="3159035" y="264783026"/>
          <a:ext cx="2421462"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215500</xdr:colOff>
      <xdr:row>296</xdr:row>
      <xdr:rowOff>14153</xdr:rowOff>
    </xdr:from>
    <xdr:to>
      <xdr:col>35</xdr:col>
      <xdr:colOff>68580</xdr:colOff>
      <xdr:row>298</xdr:row>
      <xdr:rowOff>152400</xdr:rowOff>
    </xdr:to>
    <xdr:sp macro="" textlink="">
      <xdr:nvSpPr>
        <xdr:cNvPr id="85" name="Rectangle: Rounded Corners 84">
          <a:extLst>
            <a:ext uri="{FF2B5EF4-FFF2-40B4-BE49-F238E27FC236}">
              <a16:creationId xmlns:a16="http://schemas.microsoft.com/office/drawing/2014/main" id="{00000000-0008-0000-0000-000055000000}"/>
            </a:ext>
          </a:extLst>
        </xdr:cNvPr>
        <xdr:cNvSpPr/>
      </xdr:nvSpPr>
      <xdr:spPr>
        <a:xfrm>
          <a:off x="19075000" y="63511613"/>
          <a:ext cx="1666640" cy="389707"/>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solidFill>
                <a:srgbClr val="D088FC"/>
              </a:solidFill>
              <a:latin typeface="+mn-lt"/>
              <a:ea typeface="+mn-ea"/>
              <a:cs typeface="+mn-cs"/>
            </a:rPr>
            <a:t>race of victim</a:t>
          </a:r>
        </a:p>
      </xdr:txBody>
    </xdr:sp>
    <xdr:clientData/>
  </xdr:twoCellAnchor>
  <xdr:twoCellAnchor>
    <xdr:from>
      <xdr:col>1</xdr:col>
      <xdr:colOff>0</xdr:colOff>
      <xdr:row>702</xdr:row>
      <xdr:rowOff>167640</xdr:rowOff>
    </xdr:from>
    <xdr:to>
      <xdr:col>4</xdr:col>
      <xdr:colOff>41365</xdr:colOff>
      <xdr:row>704</xdr:row>
      <xdr:rowOff>15239</xdr:rowOff>
    </xdr:to>
    <xdr:sp macro="" textlink="">
      <xdr:nvSpPr>
        <xdr:cNvPr id="86" name="Rectangle: Rounded Corners 85">
          <a:extLst>
            <a:ext uri="{FF2B5EF4-FFF2-40B4-BE49-F238E27FC236}">
              <a16:creationId xmlns:a16="http://schemas.microsoft.com/office/drawing/2014/main" id="{00000000-0008-0000-0000-000056000000}"/>
            </a:ext>
          </a:extLst>
        </xdr:cNvPr>
        <xdr:cNvSpPr/>
      </xdr:nvSpPr>
      <xdr:spPr>
        <a:xfrm>
          <a:off x="259080" y="217063320"/>
          <a:ext cx="5550625" cy="4030979"/>
        </a:xfrm>
        <a:prstGeom prst="roundRect">
          <a:avLst>
            <a:gd name="adj" fmla="val 1556"/>
          </a:avLst>
        </a:prstGeom>
        <a:solidFill>
          <a:srgbClr val="FFE1FF">
            <a:alpha val="10196"/>
          </a:srgbClr>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900" b="1">
            <a:solidFill>
              <a:srgbClr val="FFC000"/>
            </a:solidFill>
            <a:latin typeface="Tahoma" panose="020B0604030504040204" pitchFamily="34" charset="0"/>
            <a:ea typeface="Tahoma" panose="020B0604030504040204" pitchFamily="34" charset="0"/>
            <a:cs typeface="Tahoma" panose="020B0604030504040204" pitchFamily="34" charset="0"/>
          </a:endParaRPr>
        </a:p>
        <a:p>
          <a:pPr algn="ctr"/>
          <a:r>
            <a:rPr lang="en-US" sz="1800" b="1">
              <a:solidFill>
                <a:srgbClr val="FFC000"/>
              </a:solidFill>
              <a:latin typeface="Tahoma" panose="020B0604030504040204" pitchFamily="34" charset="0"/>
              <a:ea typeface="Tahoma" panose="020B0604030504040204" pitchFamily="34" charset="0"/>
              <a:cs typeface="Tahoma" panose="020B0604030504040204" pitchFamily="34" charset="0"/>
            </a:rPr>
            <a:t>Lack of supply cannot disqualify the demand</a:t>
          </a:r>
        </a:p>
      </xdr:txBody>
    </xdr:sp>
    <xdr:clientData/>
  </xdr:twoCellAnchor>
  <xdr:twoCellAnchor>
    <xdr:from>
      <xdr:col>58</xdr:col>
      <xdr:colOff>293913</xdr:colOff>
      <xdr:row>1632</xdr:row>
      <xdr:rowOff>391882</xdr:rowOff>
    </xdr:from>
    <xdr:to>
      <xdr:col>76</xdr:col>
      <xdr:colOff>141513</xdr:colOff>
      <xdr:row>1634</xdr:row>
      <xdr:rowOff>108854</xdr:rowOff>
    </xdr:to>
    <xdr:sp macro="" textlink="">
      <xdr:nvSpPr>
        <xdr:cNvPr id="89" name="Rectangle: Rounded Corners 88">
          <a:extLst>
            <a:ext uri="{FF2B5EF4-FFF2-40B4-BE49-F238E27FC236}">
              <a16:creationId xmlns:a16="http://schemas.microsoft.com/office/drawing/2014/main" id="{00000000-0008-0000-0000-000059000000}"/>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create</a:t>
          </a:r>
          <a:r>
            <a:rPr lang="en-US" sz="1600" baseline="0">
              <a:solidFill>
                <a:srgbClr val="00B050"/>
              </a:solidFill>
            </a:rPr>
            <a:t> AI target tabs, link here</a:t>
          </a:r>
          <a:endParaRPr lang="en-US" sz="1600">
            <a:solidFill>
              <a:srgbClr val="00B050"/>
            </a:solidFill>
          </a:endParaRPr>
        </a:p>
      </xdr:txBody>
    </xdr:sp>
    <xdr:clientData/>
  </xdr:twoCellAnchor>
  <xdr:twoCellAnchor>
    <xdr:from>
      <xdr:col>53</xdr:col>
      <xdr:colOff>141515</xdr:colOff>
      <xdr:row>960</xdr:row>
      <xdr:rowOff>174171</xdr:rowOff>
    </xdr:from>
    <xdr:to>
      <xdr:col>70</xdr:col>
      <xdr:colOff>43543</xdr:colOff>
      <xdr:row>967</xdr:row>
      <xdr:rowOff>130629</xdr:rowOff>
    </xdr:to>
    <xdr:sp macro="" textlink="">
      <xdr:nvSpPr>
        <xdr:cNvPr id="90" name="Rectangle: Rounded Corners 89">
          <a:extLst>
            <a:ext uri="{FF2B5EF4-FFF2-40B4-BE49-F238E27FC236}">
              <a16:creationId xmlns:a16="http://schemas.microsoft.com/office/drawing/2014/main" id="{00000000-0008-0000-0000-00005A000000}"/>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follow up on displaying</a:t>
          </a:r>
          <a:r>
            <a:rPr lang="en-US" sz="1600" baseline="0">
              <a:solidFill>
                <a:srgbClr val="00B050"/>
              </a:solidFill>
            </a:rPr>
            <a:t> result for optimal impact </a:t>
          </a:r>
        </a:p>
        <a:p>
          <a:pPr algn="ctr"/>
          <a:r>
            <a:rPr lang="en-US" sz="1600" baseline="0">
              <a:solidFill>
                <a:srgbClr val="00B050"/>
              </a:solidFill>
            </a:rPr>
            <a:t>on display page above</a:t>
          </a:r>
          <a:endParaRPr lang="en-US" sz="1600">
            <a:solidFill>
              <a:srgbClr val="00B050"/>
            </a:solidFill>
          </a:endParaRPr>
        </a:p>
      </xdr:txBody>
    </xdr:sp>
    <xdr:clientData/>
  </xdr:twoCellAnchor>
  <xdr:twoCellAnchor>
    <xdr:from>
      <xdr:col>46</xdr:col>
      <xdr:colOff>195944</xdr:colOff>
      <xdr:row>965</xdr:row>
      <xdr:rowOff>35919</xdr:rowOff>
    </xdr:from>
    <xdr:to>
      <xdr:col>64</xdr:col>
      <xdr:colOff>195943</xdr:colOff>
      <xdr:row>971</xdr:row>
      <xdr:rowOff>79463</xdr:rowOff>
    </xdr:to>
    <xdr:sp macro="" textlink="">
      <xdr:nvSpPr>
        <xdr:cNvPr id="91" name="Rectangle: Rounded Corners 90">
          <a:extLst>
            <a:ext uri="{FF2B5EF4-FFF2-40B4-BE49-F238E27FC236}">
              <a16:creationId xmlns:a16="http://schemas.microsoft.com/office/drawing/2014/main" id="{00000000-0008-0000-0000-00005B000000}"/>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brief instructions</a:t>
          </a:r>
          <a:r>
            <a:rPr lang="en-US" sz="1600" baseline="0">
              <a:solidFill>
                <a:srgbClr val="00B050"/>
              </a:solidFill>
            </a:rPr>
            <a:t> re depression measure </a:t>
          </a:r>
        </a:p>
        <a:p>
          <a:pPr algn="ctr"/>
          <a:r>
            <a:rPr lang="en-US" sz="1600" baseline="0">
              <a:solidFill>
                <a:srgbClr val="00B050"/>
              </a:solidFill>
            </a:rPr>
            <a:t>(for baseline, to gage progress, demonstrate succes to AI)</a:t>
          </a:r>
          <a:endParaRPr lang="en-US" sz="1600">
            <a:solidFill>
              <a:srgbClr val="00B050"/>
            </a:solidFill>
          </a:endParaRPr>
        </a:p>
      </xdr:txBody>
    </xdr:sp>
    <xdr:clientData/>
  </xdr:twoCellAnchor>
  <xdr:twoCellAnchor>
    <xdr:from>
      <xdr:col>53</xdr:col>
      <xdr:colOff>424542</xdr:colOff>
      <xdr:row>1084</xdr:row>
      <xdr:rowOff>130629</xdr:rowOff>
    </xdr:from>
    <xdr:to>
      <xdr:col>59</xdr:col>
      <xdr:colOff>-1</xdr:colOff>
      <xdr:row>1091</xdr:row>
      <xdr:rowOff>163287</xdr:rowOff>
    </xdr:to>
    <xdr:sp macro="" textlink="">
      <xdr:nvSpPr>
        <xdr:cNvPr id="92" name="Rectangle: Rounded Corners 91">
          <a:extLst>
            <a:ext uri="{FF2B5EF4-FFF2-40B4-BE49-F238E27FC236}">
              <a16:creationId xmlns:a16="http://schemas.microsoft.com/office/drawing/2014/main" id="{00000000-0008-0000-0000-00005C000000}"/>
            </a:ext>
          </a:extLst>
        </xdr:cNvPr>
        <xdr:cNvSpPr/>
      </xdr:nvSpPr>
      <xdr:spPr>
        <a:xfrm rot="1190838">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i="1">
              <a:solidFill>
                <a:srgbClr val="00B050"/>
              </a:solidFill>
            </a:rPr>
            <a:t>depression = redirection</a:t>
          </a:r>
          <a:r>
            <a:rPr lang="en-US" sz="1600" i="1" baseline="0">
              <a:solidFill>
                <a:srgbClr val="00B050"/>
              </a:solidFill>
            </a:rPr>
            <a:t> </a:t>
          </a:r>
          <a:r>
            <a:rPr lang="en-US" sz="1600" baseline="0">
              <a:solidFill>
                <a:srgbClr val="00B050"/>
              </a:solidFill>
            </a:rPr>
            <a:t>reference?</a:t>
          </a:r>
          <a:endParaRPr lang="en-US" sz="1600">
            <a:solidFill>
              <a:srgbClr val="00B050"/>
            </a:solidFill>
          </a:endParaRPr>
        </a:p>
      </xdr:txBody>
    </xdr:sp>
    <xdr:clientData/>
  </xdr:twoCellAnchor>
  <xdr:twoCellAnchor>
    <xdr:from>
      <xdr:col>56</xdr:col>
      <xdr:colOff>108858</xdr:colOff>
      <xdr:row>1632</xdr:row>
      <xdr:rowOff>370114</xdr:rowOff>
    </xdr:from>
    <xdr:to>
      <xdr:col>73</xdr:col>
      <xdr:colOff>163286</xdr:colOff>
      <xdr:row>1633</xdr:row>
      <xdr:rowOff>195943</xdr:rowOff>
    </xdr:to>
    <xdr:sp macro="" textlink="">
      <xdr:nvSpPr>
        <xdr:cNvPr id="93" name="Rectangle: Rounded Corners 92">
          <a:extLst>
            <a:ext uri="{FF2B5EF4-FFF2-40B4-BE49-F238E27FC236}">
              <a16:creationId xmlns:a16="http://schemas.microsoft.com/office/drawing/2014/main" id="{00000000-0008-0000-0000-00005D000000}"/>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a:solidFill>
                <a:srgbClr val="00B050"/>
              </a:solidFill>
            </a:rPr>
            <a:t>summary of ROI offerings</a:t>
          </a:r>
        </a:p>
      </xdr:txBody>
    </xdr:sp>
    <xdr:clientData/>
  </xdr:twoCellAnchor>
  <xdr:twoCellAnchor>
    <xdr:from>
      <xdr:col>28</xdr:col>
      <xdr:colOff>43544</xdr:colOff>
      <xdr:row>497</xdr:row>
      <xdr:rowOff>187235</xdr:rowOff>
    </xdr:from>
    <xdr:to>
      <xdr:col>37</xdr:col>
      <xdr:colOff>192678</xdr:colOff>
      <xdr:row>501</xdr:row>
      <xdr:rowOff>65315</xdr:rowOff>
    </xdr:to>
    <xdr:sp macro="" textlink="">
      <xdr:nvSpPr>
        <xdr:cNvPr id="94" name="Rectangle: Rounded Corners 93">
          <a:extLst>
            <a:ext uri="{FF2B5EF4-FFF2-40B4-BE49-F238E27FC236}">
              <a16:creationId xmlns:a16="http://schemas.microsoft.com/office/drawing/2014/main" id="{00000000-0008-0000-0000-00005E000000}"/>
            </a:ext>
          </a:extLst>
        </xdr:cNvPr>
        <xdr:cNvSpPr/>
      </xdr:nvSpPr>
      <xdr:spPr>
        <a:xfrm>
          <a:off x="18908487" y="117861806"/>
          <a:ext cx="2500448" cy="738052"/>
        </a:xfrm>
        <a:prstGeom prst="roundRect">
          <a:avLst>
            <a:gd name="adj" fmla="val 14554"/>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800" b="1">
              <a:solidFill>
                <a:srgbClr val="B9FFD9"/>
              </a:solidFill>
            </a:rPr>
            <a:t>change foundation</a:t>
          </a:r>
          <a:r>
            <a:rPr lang="en-US" sz="1800" b="1" baseline="0">
              <a:solidFill>
                <a:srgbClr val="B9FFD9"/>
              </a:solidFill>
            </a:rPr>
            <a:t> to Section A data</a:t>
          </a:r>
          <a:endParaRPr lang="en-US" sz="1800" b="1">
            <a:solidFill>
              <a:srgbClr val="B9FFD9"/>
            </a:solidFill>
          </a:endParaRPr>
        </a:p>
      </xdr:txBody>
    </xdr:sp>
    <xdr:clientData/>
  </xdr:twoCellAnchor>
  <xdr:twoCellAnchor>
    <xdr:from>
      <xdr:col>55</xdr:col>
      <xdr:colOff>291737</xdr:colOff>
      <xdr:row>915</xdr:row>
      <xdr:rowOff>244929</xdr:rowOff>
    </xdr:from>
    <xdr:to>
      <xdr:col>74</xdr:col>
      <xdr:colOff>1089</xdr:colOff>
      <xdr:row>919</xdr:row>
      <xdr:rowOff>102325</xdr:rowOff>
    </xdr:to>
    <xdr:sp macro="" textlink="">
      <xdr:nvSpPr>
        <xdr:cNvPr id="95" name="Rectangle: Rounded Corners 94">
          <a:extLst>
            <a:ext uri="{FF2B5EF4-FFF2-40B4-BE49-F238E27FC236}">
              <a16:creationId xmlns:a16="http://schemas.microsoft.com/office/drawing/2014/main" id="{00000000-0008-0000-0000-00005F000000}"/>
            </a:ext>
          </a:extLst>
        </xdr:cNvPr>
        <xdr:cNvSpPr/>
      </xdr:nvSpPr>
      <xdr:spPr>
        <a:xfrm>
          <a:off x="25872077" y="285103389"/>
          <a:ext cx="5934892" cy="863236"/>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concatenate formula, after separating</a:t>
          </a:r>
        </a:p>
      </xdr:txBody>
    </xdr:sp>
    <xdr:clientData/>
  </xdr:twoCellAnchor>
  <xdr:twoCellAnchor>
    <xdr:from>
      <xdr:col>30</xdr:col>
      <xdr:colOff>163286</xdr:colOff>
      <xdr:row>1074</xdr:row>
      <xdr:rowOff>10882</xdr:rowOff>
    </xdr:from>
    <xdr:to>
      <xdr:col>59</xdr:col>
      <xdr:colOff>293915</xdr:colOff>
      <xdr:row>1078</xdr:row>
      <xdr:rowOff>141513</xdr:rowOff>
    </xdr:to>
    <xdr:sp macro="" textlink="">
      <xdr:nvSpPr>
        <xdr:cNvPr id="96" name="Rectangle: Rounded Corners 95">
          <a:extLst>
            <a:ext uri="{FF2B5EF4-FFF2-40B4-BE49-F238E27FC236}">
              <a16:creationId xmlns:a16="http://schemas.microsoft.com/office/drawing/2014/main" id="{00000000-0008-0000-0000-000060000000}"/>
            </a:ext>
          </a:extLst>
        </xdr:cNvPr>
        <xdr:cNvSpPr/>
      </xdr:nvSpPr>
      <xdr:spPr>
        <a:xfrm>
          <a:off x="18341340" y="297522900"/>
          <a:ext cx="0"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body's</a:t>
          </a:r>
          <a:r>
            <a:rPr lang="en-US" sz="1600" i="0" baseline="0">
              <a:solidFill>
                <a:srgbClr val="501E6E"/>
              </a:solidFill>
            </a:rPr>
            <a:t> intuitive shift of energy away from threats to wellbeing and toward seemingly neglected parts of wellbeing</a:t>
          </a:r>
          <a:r>
            <a:rPr lang="en-US" sz="1600" i="0" baseline="0">
              <a:solidFill>
                <a:srgbClr val="00B050"/>
              </a:solidFill>
            </a:rPr>
            <a:t>.</a:t>
          </a:r>
          <a:endParaRPr lang="en-US" sz="1600" i="0">
            <a:solidFill>
              <a:srgbClr val="00B050"/>
            </a:solidFill>
          </a:endParaRPr>
        </a:p>
      </xdr:txBody>
    </xdr:sp>
    <xdr:clientData/>
  </xdr:twoCellAnchor>
  <xdr:twoCellAnchor>
    <xdr:from>
      <xdr:col>58</xdr:col>
      <xdr:colOff>195940</xdr:colOff>
      <xdr:row>1084</xdr:row>
      <xdr:rowOff>152399</xdr:rowOff>
    </xdr:from>
    <xdr:to>
      <xdr:col>80</xdr:col>
      <xdr:colOff>178523</xdr:colOff>
      <xdr:row>1093</xdr:row>
      <xdr:rowOff>76200</xdr:rowOff>
    </xdr:to>
    <xdr:sp macro="" textlink="">
      <xdr:nvSpPr>
        <xdr:cNvPr id="97" name="Rectangle: Rounded Corners 96">
          <a:extLst>
            <a:ext uri="{FF2B5EF4-FFF2-40B4-BE49-F238E27FC236}">
              <a16:creationId xmlns:a16="http://schemas.microsoft.com/office/drawing/2014/main" id="{00000000-0008-0000-0000-000061000000}"/>
            </a:ext>
          </a:extLst>
        </xdr:cNvPr>
        <xdr:cNvSpPr/>
      </xdr:nvSpPr>
      <xdr:spPr>
        <a:xfrm>
          <a:off x="18341340" y="297522900"/>
          <a:ext cx="0"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a:t>
          </a:r>
          <a:r>
            <a:rPr lang="en-US" sz="1600" i="0" baseline="0">
              <a:solidFill>
                <a:srgbClr val="501E6E"/>
              </a:solidFill>
            </a:rPr>
            <a:t> shifting energy away from </a:t>
          </a:r>
        </a:p>
        <a:p>
          <a:pPr algn="l"/>
          <a:r>
            <a:rPr lang="en-US" sz="1600" i="0" baseline="0">
              <a:solidFill>
                <a:srgbClr val="501E6E"/>
              </a:solidFill>
            </a:rPr>
            <a:t>too much effort for others, to pull greater effort toward neglected aspects of oneself. You naturally will be depressed, according to this view, when you are coerced by the law to give up being true to yourself, to your actual innocence, to your personal integrity. Together, we can turn this around.</a:t>
          </a:r>
          <a:endParaRPr lang="en-US" sz="1600" i="0">
            <a:solidFill>
              <a:srgbClr val="00B050"/>
            </a:solidFill>
          </a:endParaRPr>
        </a:p>
      </xdr:txBody>
    </xdr:sp>
    <xdr:clientData/>
  </xdr:twoCellAnchor>
  <xdr:twoCellAnchor>
    <xdr:from>
      <xdr:col>37</xdr:col>
      <xdr:colOff>54429</xdr:colOff>
      <xdr:row>1090</xdr:row>
      <xdr:rowOff>43541</xdr:rowOff>
    </xdr:from>
    <xdr:to>
      <xdr:col>51</xdr:col>
      <xdr:colOff>65315</xdr:colOff>
      <xdr:row>1093</xdr:row>
      <xdr:rowOff>43542</xdr:rowOff>
    </xdr:to>
    <xdr:sp macro="" textlink="">
      <xdr:nvSpPr>
        <xdr:cNvPr id="98" name="Rectangle: Rounded Corners 97">
          <a:extLst>
            <a:ext uri="{FF2B5EF4-FFF2-40B4-BE49-F238E27FC236}">
              <a16:creationId xmlns:a16="http://schemas.microsoft.com/office/drawing/2014/main" id="{00000000-0008-0000-0000-000062000000}"/>
            </a:ext>
          </a:extLst>
        </xdr:cNvPr>
        <xdr:cNvSpPr/>
      </xdr:nvSpPr>
      <xdr:spPr>
        <a:xfrm>
          <a:off x="18341340" y="297522900"/>
          <a:ext cx="0"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200" i="0" baseline="0">
              <a:solidFill>
                <a:srgbClr val="501E6E"/>
              </a:solidFill>
              <a:latin typeface="Times New Roman" panose="02020603050405020304" pitchFamily="18" charset="0"/>
              <a:cs typeface="Times New Roman" panose="02020603050405020304" pitchFamily="18" charset="0"/>
            </a:rPr>
            <a:t>By </a:t>
          </a:r>
        </a:p>
        <a:p>
          <a:pPr algn="l"/>
          <a:r>
            <a:rPr lang="en-US" sz="1200" i="0" baseline="0">
              <a:solidFill>
                <a:srgbClr val="501E6E"/>
              </a:solidFill>
              <a:latin typeface="Times New Roman" panose="02020603050405020304" pitchFamily="18" charset="0"/>
              <a:cs typeface="Times New Roman" panose="02020603050405020304" pitchFamily="18" charset="0"/>
            </a:rPr>
            <a:t>Overcoming this wrongful conviction </a:t>
          </a:r>
          <a:endParaRPr lang="en-US" sz="1200" i="0">
            <a:solidFill>
              <a:srgbClr val="00B050"/>
            </a:solidFill>
            <a:latin typeface="Times New Roman" panose="02020603050405020304" pitchFamily="18" charset="0"/>
            <a:cs typeface="Times New Roman" panose="02020603050405020304" pitchFamily="18" charset="0"/>
          </a:endParaRPr>
        </a:p>
      </xdr:txBody>
    </xdr:sp>
    <xdr:clientData/>
  </xdr:twoCellAnchor>
  <xdr:twoCellAnchor>
    <xdr:from>
      <xdr:col>43</xdr:col>
      <xdr:colOff>152400</xdr:colOff>
      <xdr:row>954</xdr:row>
      <xdr:rowOff>185052</xdr:rowOff>
    </xdr:from>
    <xdr:to>
      <xdr:col>69</xdr:col>
      <xdr:colOff>232954</xdr:colOff>
      <xdr:row>959</xdr:row>
      <xdr:rowOff>239484</xdr:rowOff>
    </xdr:to>
    <xdr:sp macro="" textlink="">
      <xdr:nvSpPr>
        <xdr:cNvPr id="99" name="Rectangle: Rounded Corners 98">
          <a:extLst>
            <a:ext uri="{FF2B5EF4-FFF2-40B4-BE49-F238E27FC236}">
              <a16:creationId xmlns:a16="http://schemas.microsoft.com/office/drawing/2014/main" id="{00000000-0008-0000-0000-000063000000}"/>
            </a:ext>
          </a:extLst>
        </xdr:cNvPr>
        <xdr:cNvSpPr/>
      </xdr:nvSpPr>
      <xdr:spPr>
        <a:xfrm>
          <a:off x="18341340" y="297522900"/>
          <a:ext cx="0"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anxiety as a natural response to handling the overwhelming challenges of a wrongful conviction, or any criminal conviction of a dubious nature. If the full weight of the state crashed down upon you like a pile of bricks, each a trusted lie, wouldn't you be anxious? Together, we can turn this around.</a:t>
          </a:r>
          <a:endParaRPr lang="en-US" sz="1600" i="0">
            <a:solidFill>
              <a:srgbClr val="00B050"/>
            </a:solidFill>
          </a:endParaRPr>
        </a:p>
      </xdr:txBody>
    </xdr:sp>
    <xdr:clientData/>
  </xdr:twoCellAnchor>
  <xdr:twoCellAnchor>
    <xdr:from>
      <xdr:col>39</xdr:col>
      <xdr:colOff>217714</xdr:colOff>
      <xdr:row>534</xdr:row>
      <xdr:rowOff>566059</xdr:rowOff>
    </xdr:from>
    <xdr:to>
      <xdr:col>58</xdr:col>
      <xdr:colOff>472439</xdr:colOff>
      <xdr:row>535</xdr:row>
      <xdr:rowOff>537756</xdr:rowOff>
    </xdr:to>
    <xdr:sp macro="" textlink="">
      <xdr:nvSpPr>
        <xdr:cNvPr id="100" name="Rectangle: Rounded Corners 99">
          <a:extLst>
            <a:ext uri="{FF2B5EF4-FFF2-40B4-BE49-F238E27FC236}">
              <a16:creationId xmlns:a16="http://schemas.microsoft.com/office/drawing/2014/main" id="{00000000-0008-0000-0000-000064000000}"/>
            </a:ext>
          </a:extLst>
        </xdr:cNvPr>
        <xdr:cNvSpPr/>
      </xdr:nvSpPr>
      <xdr:spPr>
        <a:xfrm>
          <a:off x="18341340" y="128406799"/>
          <a:ext cx="0" cy="543197"/>
        </a:xfrm>
        <a:prstGeom prst="roundRect">
          <a:avLst>
            <a:gd name="adj" fmla="val 50000"/>
          </a:avLst>
        </a:prstGeom>
        <a:solidFill>
          <a:srgbClr val="B9FFD9">
            <a:alpha val="20000"/>
          </a:srgbClr>
        </a:solidFill>
        <a:ln w="76200">
          <a:solidFill>
            <a:srgbClr val="D088FC"/>
          </a:solidFill>
        </a:ln>
        <a:effectLst>
          <a:glow rad="152400">
            <a:srgbClr val="D088FC">
              <a:alpha val="25000"/>
            </a:srgbClr>
          </a:glow>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28</xdr:col>
      <xdr:colOff>213360</xdr:colOff>
      <xdr:row>290</xdr:row>
      <xdr:rowOff>134985</xdr:rowOff>
    </xdr:from>
    <xdr:to>
      <xdr:col>51</xdr:col>
      <xdr:colOff>185056</xdr:colOff>
      <xdr:row>295</xdr:row>
      <xdr:rowOff>162199</xdr:rowOff>
    </xdr:to>
    <xdr:sp macro="" textlink="">
      <xdr:nvSpPr>
        <xdr:cNvPr id="101" name="Rectangle: Rounded Corners 100">
          <a:extLst>
            <a:ext uri="{FF2B5EF4-FFF2-40B4-BE49-F238E27FC236}">
              <a16:creationId xmlns:a16="http://schemas.microsoft.com/office/drawing/2014/main" id="{00000000-0008-0000-0000-000065000000}"/>
            </a:ext>
          </a:extLst>
        </xdr:cNvPr>
        <xdr:cNvSpPr/>
      </xdr:nvSpPr>
      <xdr:spPr>
        <a:xfrm>
          <a:off x="19072860" y="62618985"/>
          <a:ext cx="5724796"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42</xdr:col>
      <xdr:colOff>185056</xdr:colOff>
      <xdr:row>535</xdr:row>
      <xdr:rowOff>1643745</xdr:rowOff>
    </xdr:from>
    <xdr:to>
      <xdr:col>60</xdr:col>
      <xdr:colOff>156753</xdr:colOff>
      <xdr:row>535</xdr:row>
      <xdr:rowOff>2192385</xdr:rowOff>
    </xdr:to>
    <xdr:sp macro="" textlink="">
      <xdr:nvSpPr>
        <xdr:cNvPr id="102" name="Rectangle: Rounded Corners 101">
          <a:hlinkClick xmlns:r="http://schemas.openxmlformats.org/officeDocument/2006/relationships" r:id="rId20"/>
          <a:extLst>
            <a:ext uri="{FF2B5EF4-FFF2-40B4-BE49-F238E27FC236}">
              <a16:creationId xmlns:a16="http://schemas.microsoft.com/office/drawing/2014/main" id="{00000000-0008-0000-0000-000066000000}"/>
            </a:ext>
          </a:extLst>
        </xdr:cNvPr>
        <xdr:cNvSpPr/>
      </xdr:nvSpPr>
      <xdr:spPr>
        <a:xfrm>
          <a:off x="18341340" y="130055985"/>
          <a:ext cx="0" cy="5486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36</xdr:col>
      <xdr:colOff>168640</xdr:colOff>
      <xdr:row>1632</xdr:row>
      <xdr:rowOff>112573</xdr:rowOff>
    </xdr:from>
    <xdr:to>
      <xdr:col>50</xdr:col>
      <xdr:colOff>87087</xdr:colOff>
      <xdr:row>1633</xdr:row>
      <xdr:rowOff>326570</xdr:rowOff>
    </xdr:to>
    <xdr:sp macro="" textlink="">
      <xdr:nvSpPr>
        <xdr:cNvPr id="103" name="TextBox 102">
          <a:extLst>
            <a:ext uri="{FF2B5EF4-FFF2-40B4-BE49-F238E27FC236}">
              <a16:creationId xmlns:a16="http://schemas.microsoft.com/office/drawing/2014/main" id="{00000000-0008-0000-0000-000067000000}"/>
            </a:ext>
          </a:extLst>
        </xdr:cNvPr>
        <xdr:cNvSpPr txBox="1"/>
      </xdr:nvSpPr>
      <xdr:spPr>
        <a:xfrm>
          <a:off x="18341340" y="306011580"/>
          <a:ext cx="0"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1st contact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53</xdr:col>
      <xdr:colOff>364581</xdr:colOff>
      <xdr:row>1632</xdr:row>
      <xdr:rowOff>373831</xdr:rowOff>
    </xdr:from>
    <xdr:to>
      <xdr:col>62</xdr:col>
      <xdr:colOff>163285</xdr:colOff>
      <xdr:row>1635</xdr:row>
      <xdr:rowOff>32657</xdr:rowOff>
    </xdr:to>
    <xdr:sp macro="" textlink="">
      <xdr:nvSpPr>
        <xdr:cNvPr id="104" name="TextBox 103">
          <a:extLst>
            <a:ext uri="{FF2B5EF4-FFF2-40B4-BE49-F238E27FC236}">
              <a16:creationId xmlns:a16="http://schemas.microsoft.com/office/drawing/2014/main" id="{00000000-0008-0000-0000-000068000000}"/>
            </a:ext>
          </a:extLst>
        </xdr:cNvPr>
        <xdr:cNvSpPr txBox="1"/>
      </xdr:nvSpPr>
      <xdr:spPr>
        <a:xfrm>
          <a:off x="18341340" y="306011580"/>
          <a:ext cx="0"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qualify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1</xdr:col>
      <xdr:colOff>385354</xdr:colOff>
      <xdr:row>194</xdr:row>
      <xdr:rowOff>152402</xdr:rowOff>
    </xdr:from>
    <xdr:to>
      <xdr:col>3</xdr:col>
      <xdr:colOff>1695994</xdr:colOff>
      <xdr:row>196</xdr:row>
      <xdr:rowOff>114302</xdr:rowOff>
    </xdr:to>
    <xdr:sp macro="" textlink="">
      <xdr:nvSpPr>
        <xdr:cNvPr id="107" name="Rectangle: Rounded Corners 106">
          <a:hlinkClick xmlns:r="http://schemas.openxmlformats.org/officeDocument/2006/relationships" r:id="rId21" tooltip="click to contact this tool creator online"/>
          <a:extLst>
            <a:ext uri="{FF2B5EF4-FFF2-40B4-BE49-F238E27FC236}">
              <a16:creationId xmlns:a16="http://schemas.microsoft.com/office/drawing/2014/main" id="{00000000-0008-0000-0000-00006B000000}"/>
            </a:ext>
          </a:extLst>
        </xdr:cNvPr>
        <xdr:cNvSpPr/>
      </xdr:nvSpPr>
      <xdr:spPr>
        <a:xfrm>
          <a:off x="644434" y="41871902"/>
          <a:ext cx="4846320" cy="36576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click here to contact me with your feedback to </a:t>
          </a:r>
          <a:r>
            <a:rPr lang="en-US" sz="1600" baseline="0">
              <a:solidFill>
                <a:srgbClr val="501E6E"/>
              </a:solidFill>
            </a:rPr>
            <a:t>this tool</a:t>
          </a:r>
          <a:endParaRPr lang="en-US" sz="1600">
            <a:solidFill>
              <a:srgbClr val="501E6E"/>
            </a:solidFill>
          </a:endParaRPr>
        </a:p>
      </xdr:txBody>
    </xdr:sp>
    <xdr:clientData/>
  </xdr:twoCellAnchor>
  <xdr:twoCellAnchor>
    <xdr:from>
      <xdr:col>72</xdr:col>
      <xdr:colOff>185058</xdr:colOff>
      <xdr:row>1354</xdr:row>
      <xdr:rowOff>133895</xdr:rowOff>
    </xdr:from>
    <xdr:to>
      <xdr:col>85</xdr:col>
      <xdr:colOff>315685</xdr:colOff>
      <xdr:row>1405</xdr:row>
      <xdr:rowOff>0</xdr:rowOff>
    </xdr:to>
    <xdr:sp macro="" textlink="">
      <xdr:nvSpPr>
        <xdr:cNvPr id="108" name="Rectangle: Rounded Corners 107">
          <a:extLst>
            <a:ext uri="{FF2B5EF4-FFF2-40B4-BE49-F238E27FC236}">
              <a16:creationId xmlns:a16="http://schemas.microsoft.com/office/drawing/2014/main" id="{00000000-0008-0000-0000-00006C000000}"/>
            </a:ext>
          </a:extLst>
        </xdr:cNvPr>
        <xdr:cNvSpPr/>
      </xdr:nvSpPr>
      <xdr:spPr>
        <a:xfrm>
          <a:off x="18341340" y="306011580"/>
          <a:ext cx="0" cy="0"/>
        </a:xfrm>
        <a:prstGeom prst="roundRect">
          <a:avLst>
            <a:gd name="adj" fmla="val 5176"/>
          </a:avLst>
        </a:prstGeom>
        <a:solidFill>
          <a:srgbClr val="E2B5FD">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600">
            <a:solidFill>
              <a:srgbClr val="00B050"/>
            </a:solidFill>
          </a:endParaRPr>
        </a:p>
        <a:p>
          <a:pPr algn="l"/>
          <a:r>
            <a:rPr lang="en-US" sz="1600">
              <a:solidFill>
                <a:srgbClr val="00B050"/>
              </a:solidFill>
            </a:rPr>
            <a:t>S</a:t>
          </a:r>
          <a:r>
            <a:rPr lang="en-US" sz="1600" baseline="0">
              <a:solidFill>
                <a:srgbClr val="00B050"/>
              </a:solidFill>
            </a:rPr>
            <a:t>upporter name [FIRST] [LAST]	knows felony/claim</a:t>
          </a:r>
        </a:p>
        <a:p>
          <a:pPr algn="l"/>
          <a:r>
            <a:rPr lang="en-US" sz="1600" baseline="0">
              <a:solidFill>
                <a:srgbClr val="00B050"/>
              </a:solidFill>
            </a:rPr>
            <a:t>Email address		relation to claimant</a:t>
          </a:r>
        </a:p>
        <a:p>
          <a:pPr algn="l"/>
          <a:endParaRPr lang="en-US" sz="1600" baseline="0">
            <a:solidFill>
              <a:srgbClr val="00B050"/>
            </a:solidFill>
          </a:endParaRPr>
        </a:p>
        <a:p>
          <a:pPr algn="l"/>
          <a:r>
            <a:rPr lang="en-US" sz="1600" baseline="0">
              <a:solidFill>
                <a:srgbClr val="00B050"/>
              </a:solidFill>
            </a:rPr>
            <a:t>Invitation sent [DATE] 	Response [LIST OF OPTIONS, from hard </a:t>
          </a:r>
          <a:r>
            <a:rPr lang="en-US" sz="1600" i="1" baseline="0">
              <a:solidFill>
                <a:srgbClr val="00B050"/>
              </a:solidFill>
            </a:rPr>
            <a:t>no</a:t>
          </a:r>
          <a:r>
            <a:rPr lang="en-US" sz="1600" baseline="0">
              <a:solidFill>
                <a:srgbClr val="00B050"/>
              </a:solidFill>
            </a:rPr>
            <a:t> to enthusiastic </a:t>
          </a:r>
          <a:r>
            <a:rPr lang="en-US" sz="1600" i="1" baseline="0">
              <a:solidFill>
                <a:srgbClr val="00B050"/>
              </a:solidFill>
            </a:rPr>
            <a:t>yes</a:t>
          </a:r>
          <a:r>
            <a:rPr lang="en-US" sz="1600" baseline="0">
              <a:solidFill>
                <a:srgbClr val="00B050"/>
              </a:solidFill>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aseline="0">
              <a:solidFill>
                <a:srgbClr val="00B050"/>
              </a:solidFill>
              <a:latin typeface="+mn-lt"/>
              <a:ea typeface="+mn-ea"/>
              <a:cs typeface="+mn-cs"/>
            </a:rPr>
            <a:t>Thank you note sent: [DATE]	Pledge: </a:t>
          </a:r>
        </a:p>
        <a:p>
          <a:pPr algn="l"/>
          <a:endParaRPr lang="en-US" sz="1600" baseline="0">
            <a:solidFill>
              <a:srgbClr val="00B050"/>
            </a:solidFill>
            <a:latin typeface="+mn-lt"/>
            <a:ea typeface="+mn-ea"/>
            <a:cs typeface="+mn-cs"/>
          </a:endParaRPr>
        </a:p>
        <a:p>
          <a:pPr algn="l"/>
          <a:r>
            <a:rPr lang="en-US" sz="1600" baseline="0">
              <a:solidFill>
                <a:srgbClr val="00B050"/>
              </a:solidFill>
            </a:rPr>
            <a:t>Contribution terms [linked from supporter # tab]</a:t>
          </a:r>
        </a:p>
        <a:p>
          <a:pPr algn="l"/>
          <a:r>
            <a:rPr lang="en-US" sz="1600" baseline="0">
              <a:solidFill>
                <a:srgbClr val="00B050"/>
              </a:solidFill>
            </a:rPr>
            <a:t>Frequency limit: </a:t>
          </a:r>
        </a:p>
        <a:p>
          <a:pPr algn="l"/>
          <a:r>
            <a:rPr lang="en-US" sz="1600" baseline="0">
              <a:solidFill>
                <a:srgbClr val="00B050"/>
              </a:solidFill>
            </a:rPr>
            <a:t>Minimum: 	</a:t>
          </a:r>
        </a:p>
        <a:p>
          <a:pPr algn="l"/>
          <a:r>
            <a:rPr lang="en-US" sz="1600" baseline="0">
              <a:solidFill>
                <a:srgbClr val="00B050"/>
              </a:solidFill>
            </a:rPr>
            <a:t>Maximum per [week/month]: </a:t>
          </a:r>
        </a:p>
        <a:p>
          <a:pPr algn="l"/>
          <a:r>
            <a:rPr lang="en-US" sz="1600" baseline="0">
              <a:solidFill>
                <a:srgbClr val="00B050"/>
              </a:solidFill>
            </a:rPr>
            <a:t>Contribution split: </a:t>
          </a:r>
        </a:p>
        <a:p>
          <a:pPr algn="l"/>
          <a:endParaRPr lang="en-US" sz="1600" baseline="0">
            <a:solidFill>
              <a:srgbClr val="00B050"/>
            </a:solidFill>
          </a:endParaRPr>
        </a:p>
        <a:p>
          <a:pPr algn="ctr"/>
          <a:endParaRPr lang="en-US" sz="1600" baseline="0">
            <a:solidFill>
              <a:srgbClr val="00B050"/>
            </a:solidFill>
          </a:endParaRPr>
        </a:p>
      </xdr:txBody>
    </xdr:sp>
    <xdr:clientData/>
  </xdr:twoCellAnchor>
  <xdr:twoCellAnchor>
    <xdr:from>
      <xdr:col>29</xdr:col>
      <xdr:colOff>74023</xdr:colOff>
      <xdr:row>1267</xdr:row>
      <xdr:rowOff>124098</xdr:rowOff>
    </xdr:from>
    <xdr:to>
      <xdr:col>51</xdr:col>
      <xdr:colOff>131717</xdr:colOff>
      <xdr:row>1281</xdr:row>
      <xdr:rowOff>29391</xdr:rowOff>
    </xdr:to>
    <xdr:sp macro="" textlink="">
      <xdr:nvSpPr>
        <xdr:cNvPr id="109" name="TextBox 108">
          <a:extLst>
            <a:ext uri="{FF2B5EF4-FFF2-40B4-BE49-F238E27FC236}">
              <a16:creationId xmlns:a16="http://schemas.microsoft.com/office/drawing/2014/main" id="{00000000-0008-0000-0000-00006D000000}"/>
            </a:ext>
          </a:extLst>
        </xdr:cNvPr>
        <xdr:cNvSpPr txBox="1"/>
      </xdr:nvSpPr>
      <xdr:spPr>
        <a:xfrm>
          <a:off x="19192603" y="317039898"/>
          <a:ext cx="5551714" cy="2244633"/>
        </a:xfrm>
        <a:prstGeom prst="rect">
          <a:avLst/>
        </a:prstGeom>
        <a:solidFill>
          <a:srgbClr val="D7FFF0"/>
        </a:solid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200">
              <a:solidFill>
                <a:schemeClr val="dk1"/>
              </a:solidFill>
              <a:effectLst/>
              <a:latin typeface="Times New Roman" panose="02020603050405020304" pitchFamily="18" charset="0"/>
              <a:ea typeface="+mn-ea"/>
              <a:cs typeface="Times New Roman" panose="02020603050405020304" pitchFamily="18" charset="0"/>
            </a:rPr>
            <a:t>You have the option to </a:t>
          </a:r>
          <a:r>
            <a:rPr lang="en-US" sz="1200" b="1">
              <a:solidFill>
                <a:schemeClr val="dk1"/>
              </a:solidFill>
              <a:effectLst/>
              <a:latin typeface="Times New Roman" panose="02020603050405020304" pitchFamily="18" charset="0"/>
              <a:ea typeface="+mn-ea"/>
              <a:cs typeface="Times New Roman" panose="02020603050405020304" pitchFamily="18" charset="0"/>
            </a:rPr>
            <a:t>Do It Yourself </a:t>
          </a:r>
          <a:r>
            <a:rPr lang="en-US" sz="1200">
              <a:solidFill>
                <a:schemeClr val="dk1"/>
              </a:solidFill>
              <a:effectLst/>
              <a:latin typeface="Times New Roman" panose="02020603050405020304" pitchFamily="18" charset="0"/>
              <a:ea typeface="+mn-ea"/>
              <a:cs typeface="Times New Roman" panose="02020603050405020304" pitchFamily="18" charset="0"/>
            </a:rPr>
            <a:t>and go it alone. Fill out this form,</a:t>
          </a:r>
          <a:r>
            <a:rPr lang="en-US" sz="1200" baseline="0">
              <a:solidFill>
                <a:schemeClr val="dk1"/>
              </a:solidFill>
              <a:effectLst/>
              <a:latin typeface="Times New Roman" panose="02020603050405020304" pitchFamily="18" charset="0"/>
              <a:ea typeface="+mn-ea"/>
              <a:cs typeface="Times New Roman" panose="02020603050405020304" pitchFamily="18" charset="0"/>
            </a:rPr>
            <a:t> and use it to notify employers, landlords and debt collectors of your highly estimated innocence. You locate the co</a:t>
          </a:r>
          <a:r>
            <a:rPr lang="en-US" sz="1200">
              <a:solidFill>
                <a:schemeClr val="dk1"/>
              </a:solidFill>
              <a:effectLst/>
              <a:latin typeface="Times New Roman" panose="02020603050405020304" pitchFamily="18" charset="0"/>
              <a:ea typeface="+mn-ea"/>
              <a:cs typeface="Times New Roman" panose="02020603050405020304" pitchFamily="18" charset="0"/>
            </a:rPr>
            <a:t>ntact information yourself and</a:t>
          </a:r>
          <a:r>
            <a:rPr lang="en-US" sz="1200" baseline="0">
              <a:solidFill>
                <a:schemeClr val="dk1"/>
              </a:solidFill>
              <a:effectLst/>
              <a:latin typeface="Times New Roman" panose="02020603050405020304" pitchFamily="18" charset="0"/>
              <a:ea typeface="+mn-ea"/>
              <a:cs typeface="Times New Roman" panose="02020603050405020304" pitchFamily="18" charset="0"/>
            </a:rPr>
            <a:t> then send the notifications, using the steps above.</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pPr algn="l"/>
          <a:r>
            <a:rPr lang="en-US" sz="1200" baseline="0">
              <a:solidFill>
                <a:schemeClr val="dk1"/>
              </a:solidFill>
              <a:effectLst/>
              <a:latin typeface="Times New Roman" panose="02020603050405020304" pitchFamily="18" charset="0"/>
              <a:ea typeface="+mn-ea"/>
              <a:cs typeface="Times New Roman" panose="02020603050405020304" pitchFamily="18" charset="0"/>
            </a:rPr>
            <a:t>First, fill in the information in the </a:t>
          </a:r>
          <a:r>
            <a:rPr lang="en-US" sz="12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Notifying</a:t>
          </a:r>
          <a:r>
            <a:rPr lang="en-US" sz="1200" baseline="0">
              <a:solidFill>
                <a:schemeClr val="dk1"/>
              </a:solidFill>
              <a:effectLst/>
              <a:latin typeface="Times New Roman" panose="02020603050405020304" pitchFamily="18" charset="0"/>
              <a:ea typeface="+mn-ea"/>
              <a:cs typeface="Times New Roman" panose="02020603050405020304" pitchFamily="18" charset="0"/>
            </a:rPr>
            <a:t> section below (K). Information you enter there automatically creates each notification in the "AI0#" tabs. Review each created notification, make sure it says what you need it to say. </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r>
            <a:rPr lang="en-US" sz="1200" baseline="0">
              <a:solidFill>
                <a:schemeClr val="dk1"/>
              </a:solidFill>
              <a:effectLst/>
              <a:latin typeface="Times New Roman" panose="02020603050405020304" pitchFamily="18" charset="0"/>
              <a:ea typeface="+mn-ea"/>
              <a:cs typeface="Times New Roman" panose="02020603050405020304" pitchFamily="18" charset="0"/>
            </a:rPr>
            <a:t>If your estimated score is relatively high, this may be all you need. If not, we strongly recommend the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FREE to start, we work with you to attact support. That support helps cover the costs, and share in some of the benefits. Learn about it more below.</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140426</xdr:colOff>
      <xdr:row>1305</xdr:row>
      <xdr:rowOff>80554</xdr:rowOff>
    </xdr:from>
    <xdr:to>
      <xdr:col>3</xdr:col>
      <xdr:colOff>1920240</xdr:colOff>
      <xdr:row>1351</xdr:row>
      <xdr:rowOff>43543</xdr:rowOff>
    </xdr:to>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140426" y="325574297"/>
          <a:ext cx="5568043" cy="7996646"/>
        </a:xfrm>
        <a:prstGeom prst="rect">
          <a:avLst/>
        </a:prstGeom>
        <a:no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Plan</a:t>
          </a:r>
          <a:r>
            <a:rPr lang="en-US" sz="1600" b="1">
              <a:ln>
                <a:noFill/>
              </a:ln>
              <a:noFill/>
              <a:effectLst/>
              <a:latin typeface="Tahoma" panose="020B0604030504040204" pitchFamily="34" charset="0"/>
              <a:ea typeface="Tahoma" panose="020B0604030504040204" pitchFamily="34" charset="0"/>
              <a:cs typeface="Tahoma" panose="020B0604030504040204" pitchFamily="34" charset="0"/>
            </a:rPr>
            <a:t> </a:t>
          </a:r>
          <a:r>
            <a:rPr lang="en-US" sz="16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rPr>
            <a:t>start for Free</a:t>
          </a:r>
          <a:endParaRPr lang="en-US" sz="11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Tragically, wrongful convictions destroy one’s credibility. Once accused, your protests of innocence sound self-serving as if avoiding responsibility. You know perfectly well that’s not the </a:t>
          </a:r>
          <a:r>
            <a:rPr lang="en-US" sz="1200" baseline="0">
              <a:solidFill>
                <a:schemeClr val="dk1"/>
              </a:solidFill>
              <a:effectLst/>
              <a:latin typeface="Times New Roman" panose="02020603050405020304" pitchFamily="18" charset="0"/>
              <a:ea typeface="+mn-ea"/>
              <a:cs typeface="Times New Roman" panose="02020603050405020304" pitchFamily="18" charset="0"/>
            </a:rPr>
            <a:t>case.</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Wrongful convictions also undermine earning capacity. An unearned felony robs one of eaerned income potential, to afford needed services. Talk about injustice!</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This service provides a way for overcoming both!</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The</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has you, t</a:t>
          </a:r>
          <a:r>
            <a:rPr lang="en-US" sz="1200">
              <a:solidFill>
                <a:schemeClr val="dk1"/>
              </a:solidFill>
              <a:effectLst/>
              <a:latin typeface="Times New Roman" panose="02020603050405020304" pitchFamily="18" charset="0"/>
              <a:ea typeface="+mn-ea"/>
              <a:cs typeface="Times New Roman" panose="02020603050405020304" pitchFamily="18" charset="0"/>
            </a:rPr>
            <a:t>he wrongly convicted, build up a support team for both the social capital to demonstrate your innocence </a:t>
          </a:r>
          <a:r>
            <a:rPr lang="en-US" sz="1200" i="1">
              <a:solidFill>
                <a:schemeClr val="dk1"/>
              </a:solidFill>
              <a:effectLst/>
              <a:latin typeface="Times New Roman" panose="02020603050405020304" pitchFamily="18" charset="0"/>
              <a:ea typeface="+mn-ea"/>
              <a:cs typeface="Times New Roman" panose="02020603050405020304" pitchFamily="18" charset="0"/>
            </a:rPr>
            <a:t>and</a:t>
          </a:r>
          <a:r>
            <a:rPr lang="en-US" sz="1200">
              <a:solidFill>
                <a:schemeClr val="dk1"/>
              </a:solidFill>
              <a:effectLst/>
              <a:latin typeface="Times New Roman" panose="02020603050405020304" pitchFamily="18" charset="0"/>
              <a:ea typeface="+mn-ea"/>
              <a:cs typeface="Times New Roman" panose="02020603050405020304" pitchFamily="18" charset="0"/>
            </a:rPr>
            <a:t> to help share in the costs and returns in needed services. Services like this one. At least that’s how it stands right now.</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Together, we'll:</a:t>
          </a:r>
        </a:p>
        <a:p>
          <a:r>
            <a:rPr lang="en-US" sz="1200">
              <a:solidFill>
                <a:schemeClr val="dk1"/>
              </a:solidFill>
              <a:effectLst/>
              <a:latin typeface="Times New Roman" panose="02020603050405020304" pitchFamily="18" charset="0"/>
              <a:ea typeface="+mn-ea"/>
              <a:cs typeface="Times New Roman" panose="02020603050405020304" pitchFamily="18" charset="0"/>
            </a:rPr>
            <a:t>1.  spot your most pressing needs, </a:t>
          </a:r>
        </a:p>
        <a:p>
          <a:r>
            <a:rPr lang="en-US" sz="1200">
              <a:solidFill>
                <a:schemeClr val="dk1"/>
              </a:solidFill>
              <a:effectLst/>
              <a:latin typeface="Times New Roman" panose="02020603050405020304" pitchFamily="18" charset="0"/>
              <a:ea typeface="+mn-ea"/>
              <a:cs typeface="Times New Roman" panose="02020603050405020304" pitchFamily="18" charset="0"/>
            </a:rPr>
            <a:t>2.  draft a plan to fit your situation, and to best serve your specific needs,</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3.  build the support necessary to meet</a:t>
          </a:r>
          <a:r>
            <a:rPr lang="en-US" sz="1200" baseline="0">
              <a:solidFill>
                <a:schemeClr val="dk1"/>
              </a:solidFill>
              <a:effectLst/>
              <a:latin typeface="Times New Roman" panose="02020603050405020304" pitchFamily="18" charset="0"/>
              <a:ea typeface="+mn-ea"/>
              <a:cs typeface="Times New Roman" panose="02020603050405020304" pitchFamily="18" charset="0"/>
            </a:rPr>
            <a:t> those needs,</a:t>
          </a:r>
          <a:r>
            <a:rPr lang="en-US" sz="1200">
              <a:solidFill>
                <a:schemeClr val="dk1"/>
              </a:solidFill>
              <a:effectLst/>
              <a:latin typeface="Times New Roman" panose="02020603050405020304" pitchFamily="18" charset="0"/>
              <a:ea typeface="+mn-ea"/>
              <a:cs typeface="Times New Roman" panose="02020603050405020304" pitchFamily="18" charset="0"/>
            </a:rPr>
            <a:t> to finally</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4.  compel others to respond to these neglected needs in mutually beneficial ways. </a:t>
          </a: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400" b="1">
              <a:solidFill>
                <a:schemeClr val="dk1"/>
              </a:solidFill>
              <a:effectLst/>
              <a:latin typeface="+mn-lt"/>
              <a:ea typeface="+mn-ea"/>
              <a:cs typeface="Times New Roman" panose="02020603050405020304" pitchFamily="18" charset="0"/>
            </a:rPr>
            <a:t>Step 1</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Together,</a:t>
          </a:r>
          <a:r>
            <a:rPr lang="en-US" sz="1200" baseline="0">
              <a:solidFill>
                <a:schemeClr val="dk1"/>
              </a:solidFill>
              <a:effectLst/>
              <a:latin typeface="Times New Roman" panose="02020603050405020304" pitchFamily="18" charset="0"/>
              <a:ea typeface="+mn-ea"/>
              <a:cs typeface="Times New Roman" panose="02020603050405020304" pitchFamily="18" charset="0"/>
            </a:rPr>
            <a:t> we get our foot in the door. We compel notified employers, landlords and/or debt collectors to take notice of the unkind impact they are having on you. To avoid the risk of bad publicity, we expect them to respond.</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We start out by exchanging messages through email. Our first exchange is FREE. We invite you to name a "proxy" who can support you through this process. Someone you can trust as you risk reliving this painful past.</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The next email exchange only costs you and your proxy $5. If we agree this process is a good fit for you, you will start building a support team. You invite each one using the supporter tabs, much like the notification tabs. As the value of this service to you rises, they bear the increased costs--and share in some of its rewards.</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Eventually, we shift to group video-chat ($100 each). Each dollar invested gets tracked. If your support team finds it's worth it, why not others? We will use that to persuade others to invest in you as well.</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Your rebuilt life will become an attractive investment. If an employer passes you over, we can make sure their competitors will see your re-emerging value.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If we reach step two, we convince</a:t>
          </a:r>
          <a:r>
            <a:rPr lang="en-US" sz="1200" baseline="0">
              <a:solidFill>
                <a:schemeClr val="dk1"/>
              </a:solidFill>
              <a:effectLst/>
              <a:latin typeface="Times New Roman" panose="02020603050405020304" pitchFamily="18" charset="0"/>
              <a:ea typeface="+mn-ea"/>
              <a:cs typeface="Times New Roman" panose="02020603050405020304" pitchFamily="18" charset="0"/>
            </a:rPr>
            <a:t> the notified parties to start investing in your rebuilt life. To not only hire you or rent to you or negotiate debt with you, but to actively see you do better. Why would they willingly invest in you? By then, we will make it hard for them to say 'no'. </a:t>
          </a: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52</xdr:col>
      <xdr:colOff>91440</xdr:colOff>
      <xdr:row>1261</xdr:row>
      <xdr:rowOff>7620</xdr:rowOff>
    </xdr:from>
    <xdr:to>
      <xdr:col>69</xdr:col>
      <xdr:colOff>137160</xdr:colOff>
      <xdr:row>1281</xdr:row>
      <xdr:rowOff>38100</xdr:rowOff>
    </xdr:to>
    <xdr:sp macro="" textlink="">
      <xdr:nvSpPr>
        <xdr:cNvPr id="111" name="TextBox 110">
          <a:extLst>
            <a:ext uri="{FF2B5EF4-FFF2-40B4-BE49-F238E27FC236}">
              <a16:creationId xmlns:a16="http://schemas.microsoft.com/office/drawing/2014/main" id="{00000000-0008-0000-0000-00006F000000}"/>
            </a:ext>
          </a:extLst>
        </xdr:cNvPr>
        <xdr:cNvSpPr txBox="1"/>
      </xdr:nvSpPr>
      <xdr:spPr>
        <a:xfrm>
          <a:off x="24963120" y="315871860"/>
          <a:ext cx="5684520" cy="3421380"/>
        </a:xfrm>
        <a:prstGeom prst="rect">
          <a:avLst/>
        </a:prstGeom>
        <a:solidFill>
          <a:srgbClr val="EBFDC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Times New Roman" panose="02020603050405020304" pitchFamily="18" charset="0"/>
            </a:rPr>
            <a:t>Step 1</a:t>
          </a:r>
        </a:p>
        <a:p>
          <a:r>
            <a:rPr lang="en-US" sz="1100">
              <a:solidFill>
                <a:schemeClr val="dk1"/>
              </a:solidFill>
              <a:effectLst/>
              <a:latin typeface="Times New Roman" panose="02020603050405020304" pitchFamily="18" charset="0"/>
              <a:ea typeface="+mn-ea"/>
              <a:cs typeface="Times New Roman" panose="02020603050405020304" pitchFamily="18" charset="0"/>
            </a:rPr>
            <a:t>Text-based</a:t>
          </a:r>
          <a:r>
            <a:rPr lang="en-US" sz="1100" baseline="0">
              <a:solidFill>
                <a:schemeClr val="dk1"/>
              </a:solidFill>
              <a:effectLst/>
              <a:latin typeface="Times New Roman" panose="02020603050405020304" pitchFamily="18" charset="0"/>
              <a:ea typeface="+mn-ea"/>
              <a:cs typeface="Times New Roman" panose="02020603050405020304" pitchFamily="18" charset="0"/>
            </a:rPr>
            <a:t> interactions.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Name someone to serve as your proxy, someone you can trust to serve your needs when you cannot be fully present. For prisoners,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out of prison, but still in some form of monitored custody,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beyond state custody, </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r>
            <a:rPr lang="en-US" sz="1100">
              <a:solidFill>
                <a:schemeClr val="dk1"/>
              </a:solidFill>
              <a:effectLst/>
              <a:latin typeface="Times New Roman" panose="02020603050405020304" pitchFamily="18" charset="0"/>
              <a:ea typeface="+mn-ea"/>
              <a:cs typeface="Times New Roman" panose="02020603050405020304" pitchFamily="18" charset="0"/>
            </a:rPr>
            <a:t>Video-conferencing</a:t>
          </a:r>
          <a:r>
            <a:rPr lang="en-US" sz="1100" baseline="0">
              <a:solidFill>
                <a:schemeClr val="dk1"/>
              </a:solidFill>
              <a:effectLst/>
              <a:latin typeface="Times New Roman" panose="02020603050405020304" pitchFamily="18" charset="0"/>
              <a:ea typeface="+mn-ea"/>
              <a:cs typeface="Times New Roman" panose="02020603050405020304" pitchFamily="18" charset="0"/>
            </a:rPr>
            <a:t> group support.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impact engaging, options array</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3</a:t>
          </a:r>
        </a:p>
      </xdr:txBody>
    </xdr:sp>
    <xdr:clientData/>
  </xdr:twoCellAnchor>
  <xdr:twoCellAnchor>
    <xdr:from>
      <xdr:col>33</xdr:col>
      <xdr:colOff>209005</xdr:colOff>
      <xdr:row>1292</xdr:row>
      <xdr:rowOff>167640</xdr:rowOff>
    </xdr:from>
    <xdr:to>
      <xdr:col>55</xdr:col>
      <xdr:colOff>323306</xdr:colOff>
      <xdr:row>1301</xdr:row>
      <xdr:rowOff>45721</xdr:rowOff>
    </xdr:to>
    <xdr:sp macro="" textlink="">
      <xdr:nvSpPr>
        <xdr:cNvPr id="112" name="TextBox 111">
          <a:extLst>
            <a:ext uri="{FF2B5EF4-FFF2-40B4-BE49-F238E27FC236}">
              <a16:creationId xmlns:a16="http://schemas.microsoft.com/office/drawing/2014/main" id="{00000000-0008-0000-0000-000070000000}"/>
            </a:ext>
          </a:extLst>
        </xdr:cNvPr>
        <xdr:cNvSpPr txBox="1"/>
      </xdr:nvSpPr>
      <xdr:spPr>
        <a:xfrm>
          <a:off x="20380234" y="323310069"/>
          <a:ext cx="5568043" cy="1532709"/>
        </a:xfrm>
        <a:prstGeom prst="rect">
          <a:avLst/>
        </a:prstGeom>
        <a:solidFill>
          <a:srgbClr val="B9FFD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B050"/>
              </a:solidFill>
              <a:effectLst/>
              <a:latin typeface="+mn-lt"/>
              <a:ea typeface="+mn-ea"/>
              <a:cs typeface="Times New Roman" panose="02020603050405020304" pitchFamily="18" charset="0"/>
            </a:rPr>
            <a:t>Benefits of going with the </a:t>
          </a:r>
          <a:r>
            <a:rPr lang="en-US" sz="1600" b="1">
              <a:solidFill>
                <a:schemeClr val="dk1"/>
              </a:solidFill>
              <a:effectLst/>
              <a:latin typeface="+mn-lt"/>
              <a:ea typeface="+mn-ea"/>
              <a:cs typeface="Times New Roman" panose="02020603050405020304" pitchFamily="18" charset="0"/>
            </a:rPr>
            <a:t>Plan</a:t>
          </a:r>
          <a:endParaRPr lang="en-US" sz="1400" b="1">
            <a:solidFill>
              <a:schemeClr val="dk1"/>
            </a:solidFill>
            <a:effectLst/>
            <a:latin typeface="+mn-lt"/>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a:solidFill>
                <a:schemeClr val="dk1"/>
              </a:solidFill>
              <a:effectLst/>
              <a:latin typeface="Times New Roman" panose="02020603050405020304" pitchFamily="18" charset="0"/>
              <a:ea typeface="+mn-ea"/>
              <a:cs typeface="Times New Roman" panose="02020603050405020304" pitchFamily="18" charset="0"/>
            </a:rPr>
            <a:t>own your data</a:t>
          </a:r>
        </a:p>
        <a:p>
          <a:r>
            <a:rPr lang="en-US" sz="1200">
              <a:solidFill>
                <a:schemeClr val="dk1"/>
              </a:solidFill>
              <a:effectLst/>
              <a:latin typeface="Times New Roman" panose="02020603050405020304" pitchFamily="18" charset="0"/>
              <a:ea typeface="+mn-ea"/>
              <a:cs typeface="Times New Roman" panose="02020603050405020304" pitchFamily="18" charset="0"/>
            </a:rPr>
            <a:t>-- improve your marketable value</a:t>
          </a:r>
        </a:p>
        <a:p>
          <a:r>
            <a:rPr lang="en-US" sz="1200">
              <a:solidFill>
                <a:schemeClr val="dk1"/>
              </a:solidFill>
              <a:effectLst/>
              <a:latin typeface="Times New Roman" panose="02020603050405020304" pitchFamily="18" charset="0"/>
              <a:ea typeface="+mn-ea"/>
              <a:cs typeface="Times New Roman" panose="02020603050405020304" pitchFamily="18" charset="0"/>
            </a:rPr>
            <a:t>-- receive engaging support from others who believe</a:t>
          </a:r>
          <a:r>
            <a:rPr lang="en-US" sz="1200" baseline="0">
              <a:solidFill>
                <a:schemeClr val="dk1"/>
              </a:solidFill>
              <a:effectLst/>
              <a:latin typeface="Times New Roman" panose="02020603050405020304" pitchFamily="18" charset="0"/>
              <a:ea typeface="+mn-ea"/>
              <a:cs typeface="Times New Roman" panose="02020603050405020304" pitchFamily="18" charset="0"/>
            </a:rPr>
            <a:t> you are innocent</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 disover</a:t>
          </a:r>
          <a:r>
            <a:rPr lang="en-US" sz="1200" baseline="0">
              <a:solidFill>
                <a:schemeClr val="dk1"/>
              </a:solidFill>
              <a:effectLst/>
              <a:latin typeface="Times New Roman" panose="02020603050405020304" pitchFamily="18" charset="0"/>
              <a:ea typeface="+mn-ea"/>
              <a:cs typeface="Times New Roman" panose="02020603050405020304" pitchFamily="18" charset="0"/>
            </a:rPr>
            <a:t> capacities you never knew you had</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find opportunties to earn doing what you passionatley enjoy doing for others</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learn to make life happen (rather than let life happen to you)</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37</xdr:col>
      <xdr:colOff>213360</xdr:colOff>
      <xdr:row>934</xdr:row>
      <xdr:rowOff>60960</xdr:rowOff>
    </xdr:from>
    <xdr:to>
      <xdr:col>58</xdr:col>
      <xdr:colOff>373380</xdr:colOff>
      <xdr:row>936</xdr:row>
      <xdr:rowOff>129540</xdr:rowOff>
    </xdr:to>
    <xdr:sp macro="" textlink="">
      <xdr:nvSpPr>
        <xdr:cNvPr id="113" name="TextBox 112">
          <a:extLst>
            <a:ext uri="{FF2B5EF4-FFF2-40B4-BE49-F238E27FC236}">
              <a16:creationId xmlns:a16="http://schemas.microsoft.com/office/drawing/2014/main" id="{00000000-0008-0000-0000-000071000000}"/>
            </a:ext>
          </a:extLst>
        </xdr:cNvPr>
        <xdr:cNvSpPr txBox="1"/>
      </xdr:nvSpPr>
      <xdr:spPr>
        <a:xfrm>
          <a:off x="21404580" y="290794440"/>
          <a:ext cx="5532120" cy="5204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 neighborhood child drew curious, peeping into Janet’s window to gawk at what she called the "man with lipstick." When caught not being home on time, the child leveled bizarre claims of sex abuse unbecoming from a child. Exposed to porn?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The child then dragged Steph into her transphobic accusations. The child claimed Steph posed with her as if she, the young child, was stabbing Steph in the chest with a butter knife. She claimed this was to scare her from talking to police, that we would say she was the aggressor. Unbelievable? Not if you already believe trans people are subhuman.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Child testimonies back then were often coached. Trans people were easily vilified. Since no corroborating evidence was necessary back then to convict for sexual misconduct, both transwomen were wrongly convicted and sentenced to long terms in men’s prisons, where Steph’s transgender sibling and codefendant died in 2001.</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 </a:t>
          </a:r>
          <a:endParaRPr lang="en-US" sz="900"/>
        </a:p>
      </xdr:txBody>
    </xdr:sp>
    <xdr:clientData/>
  </xdr:twoCellAnchor>
  <xdr:twoCellAnchor>
    <xdr:from>
      <xdr:col>34</xdr:col>
      <xdr:colOff>163830</xdr:colOff>
      <xdr:row>934</xdr:row>
      <xdr:rowOff>4259580</xdr:rowOff>
    </xdr:from>
    <xdr:to>
      <xdr:col>53</xdr:col>
      <xdr:colOff>367665</xdr:colOff>
      <xdr:row>934</xdr:row>
      <xdr:rowOff>4558665</xdr:rowOff>
    </xdr:to>
    <xdr:sp macro="" textlink="">
      <xdr:nvSpPr>
        <xdr:cNvPr id="114" name="Rectangle: Beveled 113">
          <a:extLst>
            <a:ext uri="{FF2B5EF4-FFF2-40B4-BE49-F238E27FC236}">
              <a16:creationId xmlns:a16="http://schemas.microsoft.com/office/drawing/2014/main" id="{00000000-0008-0000-0000-000072000000}"/>
            </a:ext>
          </a:extLst>
        </xdr:cNvPr>
        <xdr:cNvSpPr/>
      </xdr:nvSpPr>
      <xdr:spPr>
        <a:xfrm>
          <a:off x="18341340" y="295061640"/>
          <a:ext cx="0" cy="299085"/>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53</xdr:col>
      <xdr:colOff>278947</xdr:colOff>
      <xdr:row>944</xdr:row>
      <xdr:rowOff>119471</xdr:rowOff>
    </xdr:from>
    <xdr:to>
      <xdr:col>70</xdr:col>
      <xdr:colOff>179887</xdr:colOff>
      <xdr:row>1125</xdr:row>
      <xdr:rowOff>306979</xdr:rowOff>
    </xdr:to>
    <xdr:sp macro="" textlink="">
      <xdr:nvSpPr>
        <xdr:cNvPr id="116" name="Rectangle: Rounded Corners 115">
          <a:extLst>
            <a:ext uri="{FF2B5EF4-FFF2-40B4-BE49-F238E27FC236}">
              <a16:creationId xmlns:a16="http://schemas.microsoft.com/office/drawing/2014/main" id="{00000000-0008-0000-0000-000074000000}"/>
            </a:ext>
          </a:extLst>
        </xdr:cNvPr>
        <xdr:cNvSpPr/>
      </xdr:nvSpPr>
      <xdr:spPr>
        <a:xfrm>
          <a:off x="25272547" y="314817851"/>
          <a:ext cx="5676900" cy="309428"/>
        </a:xfrm>
        <a:prstGeom prst="roundRect">
          <a:avLst>
            <a:gd name="adj" fmla="val 5176"/>
          </a:avLst>
        </a:prstGeom>
        <a:solidFill>
          <a:srgbClr val="F19B61">
            <a:alpha val="12157"/>
          </a:srgbClr>
        </a:solidFill>
        <a:ln w="1905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COUNTS</a:t>
          </a:r>
          <a:r>
            <a:rPr lang="en-US" sz="1600" baseline="0">
              <a:solidFill>
                <a:srgbClr val="00B050"/>
              </a:solidFill>
            </a:rPr>
            <a:t> BLANK FIELDS OF QUESTIONNAIRE</a:t>
          </a:r>
          <a:endParaRPr lang="en-US" sz="1600">
            <a:solidFill>
              <a:srgbClr val="00B050"/>
            </a:solidFill>
          </a:endParaRPr>
        </a:p>
      </xdr:txBody>
    </xdr:sp>
    <xdr:clientData/>
  </xdr:twoCellAnchor>
  <xdr:twoCellAnchor>
    <xdr:from>
      <xdr:col>0</xdr:col>
      <xdr:colOff>7620</xdr:colOff>
      <xdr:row>77</xdr:row>
      <xdr:rowOff>144780</xdr:rowOff>
    </xdr:from>
    <xdr:to>
      <xdr:col>1</xdr:col>
      <xdr:colOff>15240</xdr:colOff>
      <xdr:row>77</xdr:row>
      <xdr:rowOff>441960</xdr:rowOff>
    </xdr:to>
    <xdr:sp macro="" textlink="">
      <xdr:nvSpPr>
        <xdr:cNvPr id="117" name="Arrow: Down 116">
          <a:hlinkClick xmlns:r="http://schemas.openxmlformats.org/officeDocument/2006/relationships" r:id="rId22" tooltip="FLIPSIDE entry"/>
          <a:extLst>
            <a:ext uri="{FF2B5EF4-FFF2-40B4-BE49-F238E27FC236}">
              <a16:creationId xmlns:a16="http://schemas.microsoft.com/office/drawing/2014/main" id="{00000000-0008-0000-0000-000075000000}"/>
            </a:ext>
          </a:extLst>
        </xdr:cNvPr>
        <xdr:cNvSpPr/>
      </xdr:nvSpPr>
      <xdr:spPr>
        <a:xfrm>
          <a:off x="7620" y="733806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247650</xdr:colOff>
      <xdr:row>85</xdr:row>
      <xdr:rowOff>85725</xdr:rowOff>
    </xdr:from>
    <xdr:to>
      <xdr:col>3</xdr:col>
      <xdr:colOff>1933575</xdr:colOff>
      <xdr:row>91</xdr:row>
      <xdr:rowOff>206253</xdr:rowOff>
    </xdr:to>
    <xdr:sp macro="" textlink="">
      <xdr:nvSpPr>
        <xdr:cNvPr id="118" name="Text Box 4">
          <a:extLst>
            <a:ext uri="{FF2B5EF4-FFF2-40B4-BE49-F238E27FC236}">
              <a16:creationId xmlns:a16="http://schemas.microsoft.com/office/drawing/2014/main" id="{00000000-0008-0000-0000-000076000000}"/>
            </a:ext>
          </a:extLst>
        </xdr:cNvPr>
        <xdr:cNvSpPr txBox="1"/>
      </xdr:nvSpPr>
      <xdr:spPr>
        <a:xfrm rot="21480000">
          <a:off x="247650" y="14403705"/>
          <a:ext cx="5480685" cy="2200788"/>
        </a:xfrm>
        <a:prstGeom prst="rect">
          <a:avLst/>
        </a:prstGeom>
        <a:solidFill>
          <a:srgbClr val="FF85FF"/>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4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that the vast majority of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2000" b="1" u="none" strike="noStrike">
              <a:ln w="3175" cap="rnd" cmpd="sng" algn="ctr">
                <a:solidFill>
                  <a:srgbClr val="7030A0"/>
                </a:solidFill>
                <a:prstDash val="solid"/>
                <a:bevel/>
              </a:ln>
              <a:solidFill>
                <a:srgbClr val="FFFF0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20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38100" dir="2700000" algn="tl" rotWithShape="0">
                <a:prstClr val="black">
                  <a:alpha val="40000"/>
                </a:prst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160020</xdr:colOff>
      <xdr:row>1347</xdr:row>
      <xdr:rowOff>129539</xdr:rowOff>
    </xdr:from>
    <xdr:to>
      <xdr:col>3</xdr:col>
      <xdr:colOff>449580</xdr:colOff>
      <xdr:row>1349</xdr:row>
      <xdr:rowOff>236219</xdr:rowOff>
    </xdr:to>
    <xdr:sp macro="" textlink="">
      <xdr:nvSpPr>
        <xdr:cNvPr id="119" name="Rectangle: Beveled 118">
          <a:extLst>
            <a:ext uri="{FF2B5EF4-FFF2-40B4-BE49-F238E27FC236}">
              <a16:creationId xmlns:a16="http://schemas.microsoft.com/office/drawing/2014/main" id="{00000000-0008-0000-0000-000077000000}"/>
            </a:ext>
          </a:extLst>
        </xdr:cNvPr>
        <xdr:cNvSpPr/>
      </xdr:nvSpPr>
      <xdr:spPr>
        <a:xfrm>
          <a:off x="1498963" y="332938482"/>
          <a:ext cx="2738846" cy="455023"/>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a:t>
          </a:r>
        </a:p>
      </xdr:txBody>
    </xdr:sp>
    <xdr:clientData/>
  </xdr:twoCellAnchor>
  <xdr:twoCellAnchor>
    <xdr:from>
      <xdr:col>0</xdr:col>
      <xdr:colOff>0</xdr:colOff>
      <xdr:row>911</xdr:row>
      <xdr:rowOff>426720</xdr:rowOff>
    </xdr:from>
    <xdr:to>
      <xdr:col>1</xdr:col>
      <xdr:colOff>15240</xdr:colOff>
      <xdr:row>914</xdr:row>
      <xdr:rowOff>167640</xdr:rowOff>
    </xdr:to>
    <xdr:sp macro="" textlink="">
      <xdr:nvSpPr>
        <xdr:cNvPr id="122" name="Arrow: Up 121">
          <a:hlinkClick xmlns:r="http://schemas.openxmlformats.org/officeDocument/2006/relationships" r:id="rId23" tooltip="HIGHLIGHTS displayed above"/>
          <a:extLst>
            <a:ext uri="{FF2B5EF4-FFF2-40B4-BE49-F238E27FC236}">
              <a16:creationId xmlns:a16="http://schemas.microsoft.com/office/drawing/2014/main" id="{00000000-0008-0000-0000-00007A000000}"/>
            </a:ext>
          </a:extLst>
        </xdr:cNvPr>
        <xdr:cNvSpPr/>
      </xdr:nvSpPr>
      <xdr:spPr>
        <a:xfrm>
          <a:off x="0" y="28418028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7620</xdr:colOff>
      <xdr:row>65</xdr:row>
      <xdr:rowOff>30480</xdr:rowOff>
    </xdr:from>
    <xdr:to>
      <xdr:col>1</xdr:col>
      <xdr:colOff>15240</xdr:colOff>
      <xdr:row>66</xdr:row>
      <xdr:rowOff>121920</xdr:rowOff>
    </xdr:to>
    <xdr:sp macro="" textlink="">
      <xdr:nvSpPr>
        <xdr:cNvPr id="123" name="Arrow: Down 122">
          <a:hlinkClick xmlns:r="http://schemas.openxmlformats.org/officeDocument/2006/relationships" r:id="rId24" tooltip="HIGHLIGHTS entry"/>
          <a:extLst>
            <a:ext uri="{FF2B5EF4-FFF2-40B4-BE49-F238E27FC236}">
              <a16:creationId xmlns:a16="http://schemas.microsoft.com/office/drawing/2014/main" id="{00000000-0008-0000-0000-00007B000000}"/>
            </a:ext>
          </a:extLst>
        </xdr:cNvPr>
        <xdr:cNvSpPr/>
      </xdr:nvSpPr>
      <xdr:spPr>
        <a:xfrm>
          <a:off x="7620" y="435102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908</xdr:row>
      <xdr:rowOff>7620</xdr:rowOff>
    </xdr:from>
    <xdr:to>
      <xdr:col>1</xdr:col>
      <xdr:colOff>15240</xdr:colOff>
      <xdr:row>908</xdr:row>
      <xdr:rowOff>693420</xdr:rowOff>
    </xdr:to>
    <xdr:sp macro="" textlink="">
      <xdr:nvSpPr>
        <xdr:cNvPr id="124" name="Arrow: Up 123">
          <a:hlinkClick xmlns:r="http://schemas.openxmlformats.org/officeDocument/2006/relationships" r:id="rId25" tooltip="SYNOPSIS displayed above"/>
          <a:extLst>
            <a:ext uri="{FF2B5EF4-FFF2-40B4-BE49-F238E27FC236}">
              <a16:creationId xmlns:a16="http://schemas.microsoft.com/office/drawing/2014/main" id="{00000000-0008-0000-0000-00007C000000}"/>
            </a:ext>
          </a:extLst>
        </xdr:cNvPr>
        <xdr:cNvSpPr/>
      </xdr:nvSpPr>
      <xdr:spPr>
        <a:xfrm>
          <a:off x="0" y="28248864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editAs="oneCell">
    <xdr:from>
      <xdr:col>3</xdr:col>
      <xdr:colOff>1139150</xdr:colOff>
      <xdr:row>177</xdr:row>
      <xdr:rowOff>217323</xdr:rowOff>
    </xdr:from>
    <xdr:to>
      <xdr:col>4</xdr:col>
      <xdr:colOff>180839</xdr:colOff>
      <xdr:row>184</xdr:row>
      <xdr:rowOff>136147</xdr:rowOff>
    </xdr:to>
    <xdr:pic>
      <xdr:nvPicPr>
        <xdr:cNvPr id="125" name="Picture 124">
          <a:hlinkClick xmlns:r="http://schemas.openxmlformats.org/officeDocument/2006/relationships" r:id="rId26" tooltip="PDF online about collateral consequences of criminal convictions"/>
          <a:extLst>
            <a:ext uri="{FF2B5EF4-FFF2-40B4-BE49-F238E27FC236}">
              <a16:creationId xmlns:a16="http://schemas.microsoft.com/office/drawing/2014/main" id="{00000000-0008-0000-0000-00007D000000}"/>
            </a:ext>
          </a:extLst>
        </xdr:cNvPr>
        <xdr:cNvPicPr>
          <a:picLocks noChangeAspect="1"/>
        </xdr:cNvPicPr>
      </xdr:nvPicPr>
      <xdr:blipFill rotWithShape="1">
        <a:blip xmlns:r="http://schemas.openxmlformats.org/officeDocument/2006/relationships" r:embed="rId27"/>
        <a:srcRect l="25795" t="14594" r="38951" b="4655"/>
        <a:stretch/>
      </xdr:blipFill>
      <xdr:spPr>
        <a:xfrm rot="330951">
          <a:off x="5012650" y="55722673"/>
          <a:ext cx="1054639" cy="136662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38101</xdr:colOff>
      <xdr:row>1354</xdr:row>
      <xdr:rowOff>396240</xdr:rowOff>
    </xdr:from>
    <xdr:to>
      <xdr:col>3</xdr:col>
      <xdr:colOff>1927861</xdr:colOff>
      <xdr:row>1354</xdr:row>
      <xdr:rowOff>898344</xdr:rowOff>
    </xdr:to>
    <xdr:sp macro="" textlink="">
      <xdr:nvSpPr>
        <xdr:cNvPr id="126" name="Rectangle: Rounded Corners 125">
          <a:extLst>
            <a:ext uri="{FF2B5EF4-FFF2-40B4-BE49-F238E27FC236}">
              <a16:creationId xmlns:a16="http://schemas.microsoft.com/office/drawing/2014/main" id="{00000000-0008-0000-0000-00007E000000}"/>
            </a:ext>
          </a:extLst>
        </xdr:cNvPr>
        <xdr:cNvSpPr/>
      </xdr:nvSpPr>
      <xdr:spPr>
        <a:xfrm>
          <a:off x="1379221" y="332430120"/>
          <a:ext cx="4343400" cy="502104"/>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2000">
              <a:solidFill>
                <a:srgbClr val="00B050"/>
              </a:solidFill>
              <a:effectLst>
                <a:outerShdw blurRad="50800" dist="38100" dir="2700000" algn="tl" rotWithShape="0">
                  <a:prstClr val="black">
                    <a:alpha val="40000"/>
                  </a:prstClr>
                </a:outerShdw>
              </a:effectLst>
            </a:rPr>
            <a:t>UNDER CONSTRUCTION</a:t>
          </a:r>
        </a:p>
      </xdr:txBody>
    </xdr:sp>
    <xdr:clientData/>
  </xdr:twoCellAnchor>
  <xdr:twoCellAnchor>
    <xdr:from>
      <xdr:col>1</xdr:col>
      <xdr:colOff>30480</xdr:colOff>
      <xdr:row>1354</xdr:row>
      <xdr:rowOff>510540</xdr:rowOff>
    </xdr:from>
    <xdr:to>
      <xdr:col>1</xdr:col>
      <xdr:colOff>716280</xdr:colOff>
      <xdr:row>1356</xdr:row>
      <xdr:rowOff>53340</xdr:rowOff>
    </xdr:to>
    <xdr:sp macro="" textlink="">
      <xdr:nvSpPr>
        <xdr:cNvPr id="127" name="Callout: Down Arrow 126">
          <a:hlinkClick xmlns:r="http://schemas.openxmlformats.org/officeDocument/2006/relationships" r:id="rId28" tooltip="CLICK on each &quot;Supporter #&quot; to go to that supporter tab"/>
          <a:extLst>
            <a:ext uri="{FF2B5EF4-FFF2-40B4-BE49-F238E27FC236}">
              <a16:creationId xmlns:a16="http://schemas.microsoft.com/office/drawing/2014/main" id="{00000000-0008-0000-0000-00007F000000}"/>
            </a:ext>
          </a:extLst>
        </xdr:cNvPr>
        <xdr:cNvSpPr/>
      </xdr:nvSpPr>
      <xdr:spPr>
        <a:xfrm>
          <a:off x="289560" y="306011580"/>
          <a:ext cx="685800" cy="0"/>
        </a:xfrm>
        <a:prstGeom prst="downArrowCallout">
          <a:avLst>
            <a:gd name="adj1" fmla="val 15909"/>
            <a:gd name="adj2" fmla="val 25000"/>
            <a:gd name="adj3" fmla="val 25000"/>
            <a:gd name="adj4" fmla="val 64977"/>
          </a:avLst>
        </a:prstGeom>
        <a:solidFill>
          <a:schemeClr val="accent6">
            <a:alpha val="50000"/>
          </a:schemeClr>
        </a:solidFill>
        <a:ln>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050" b="1"/>
            <a:t>CLICK</a:t>
          </a:r>
          <a:r>
            <a:rPr lang="en-US" sz="1050" b="1" baseline="0"/>
            <a:t> to go to tab</a:t>
          </a:r>
          <a:endParaRPr lang="en-US" sz="1050" b="1"/>
        </a:p>
      </xdr:txBody>
    </xdr:sp>
    <xdr:clientData/>
  </xdr:twoCellAnchor>
  <xdr:twoCellAnchor>
    <xdr:from>
      <xdr:col>70</xdr:col>
      <xdr:colOff>0</xdr:colOff>
      <xdr:row>1713</xdr:row>
      <xdr:rowOff>0</xdr:rowOff>
    </xdr:from>
    <xdr:to>
      <xdr:col>83</xdr:col>
      <xdr:colOff>268877</xdr:colOff>
      <xdr:row>1750</xdr:row>
      <xdr:rowOff>0</xdr:rowOff>
    </xdr:to>
    <xdr:sp macro="" textlink="">
      <xdr:nvSpPr>
        <xdr:cNvPr id="132" name="Rectangle: Rounded Corners 131">
          <a:extLst>
            <a:ext uri="{FF2B5EF4-FFF2-40B4-BE49-F238E27FC236}">
              <a16:creationId xmlns:a16="http://schemas.microsoft.com/office/drawing/2014/main" id="{00000000-0008-0000-0000-000084000000}"/>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a:p>
          <a:pPr algn="ctr"/>
          <a:r>
            <a:rPr lang="en-US" sz="2000" b="1">
              <a:solidFill>
                <a:srgbClr val="00B050"/>
              </a:solidFill>
              <a:latin typeface="+mn-lt"/>
              <a:ea typeface="+mn-ea"/>
              <a:cs typeface="+mn-cs"/>
            </a:rPr>
            <a:t>concluding instructions</a:t>
          </a:r>
        </a:p>
        <a:p>
          <a:pPr algn="l"/>
          <a:endParaRPr lang="en-US" sz="1100"/>
        </a:p>
        <a:p>
          <a:pPr algn="l"/>
          <a:endParaRPr lang="en-US" sz="1100"/>
        </a:p>
        <a:p>
          <a:pPr algn="l"/>
          <a:r>
            <a:rPr lang="en-US" sz="1200">
              <a:solidFill>
                <a:schemeClr val="tx1"/>
              </a:solidFill>
            </a:rPr>
            <a:t>Save this file.</a:t>
          </a:r>
          <a:r>
            <a:rPr lang="en-US" sz="1200" baseline="0">
              <a:solidFill>
                <a:schemeClr val="tx1"/>
              </a:solidFill>
            </a:rPr>
            <a:t> Then send a copy to valuerelating@gmail.com.</a:t>
          </a:r>
        </a:p>
        <a:p>
          <a:pPr algn="l"/>
          <a:endParaRPr lang="en-US" sz="1200">
            <a:solidFill>
              <a:schemeClr val="tx1"/>
            </a:solidFill>
          </a:endParaRPr>
        </a:p>
        <a:p>
          <a:pPr algn="l"/>
          <a:endParaRPr lang="en-US" sz="1200">
            <a:solidFill>
              <a:schemeClr val="tx1"/>
            </a:solidFill>
          </a:endParaRPr>
        </a:p>
        <a:p>
          <a:pPr algn="l"/>
          <a:r>
            <a:rPr lang="en-US" sz="1200">
              <a:solidFill>
                <a:schemeClr val="tx1"/>
              </a:solidFill>
            </a:rPr>
            <a:t>Go to [NOTIFIED]</a:t>
          </a:r>
          <a:r>
            <a:rPr lang="en-US" sz="1200" baseline="0">
              <a:solidFill>
                <a:schemeClr val="tx1"/>
              </a:solidFill>
            </a:rPr>
            <a:t> tab. Once there, save as PDF.</a:t>
          </a:r>
        </a:p>
        <a:p>
          <a:pPr algn="l"/>
          <a:endParaRPr lang="en-US" sz="1200" baseline="0">
            <a:solidFill>
              <a:schemeClr val="tx1"/>
            </a:solidFill>
          </a:endParaRPr>
        </a:p>
        <a:p>
          <a:pPr algn="l"/>
          <a:endParaRPr lang="en-US" sz="1100"/>
        </a:p>
      </xdr:txBody>
    </xdr:sp>
    <xdr:clientData/>
  </xdr:twoCellAnchor>
  <xdr:twoCellAnchor>
    <xdr:from>
      <xdr:col>71</xdr:col>
      <xdr:colOff>69667</xdr:colOff>
      <xdr:row>1713</xdr:row>
      <xdr:rowOff>104502</xdr:rowOff>
    </xdr:from>
    <xdr:to>
      <xdr:col>84</xdr:col>
      <xdr:colOff>195941</xdr:colOff>
      <xdr:row>1734</xdr:row>
      <xdr:rowOff>58782</xdr:rowOff>
    </xdr:to>
    <xdr:sp macro="" textlink="">
      <xdr:nvSpPr>
        <xdr:cNvPr id="133" name="TextBox 132">
          <a:extLst>
            <a:ext uri="{FF2B5EF4-FFF2-40B4-BE49-F238E27FC236}">
              <a16:creationId xmlns:a16="http://schemas.microsoft.com/office/drawing/2014/main" id="{00000000-0008-0000-0000-000085000000}"/>
            </a:ext>
          </a:extLst>
        </xdr:cNvPr>
        <xdr:cNvSpPr txBox="1"/>
      </xdr:nvSpPr>
      <xdr:spPr>
        <a:xfrm>
          <a:off x="18341340" y="306011580"/>
          <a:ext cx="0" cy="0"/>
        </a:xfrm>
        <a:prstGeom prst="rect">
          <a:avLst/>
        </a:prstGeom>
        <a:gradFill>
          <a:gsLst>
            <a:gs pos="0">
              <a:schemeClr val="accent1">
                <a:lumMod val="5000"/>
                <a:lumOff val="95000"/>
                <a:alpha val="95000"/>
              </a:schemeClr>
            </a:gs>
            <a:gs pos="50000">
              <a:schemeClr val="bg1">
                <a:alpha val="85000"/>
              </a:schemeClr>
            </a:gs>
            <a:gs pos="100000">
              <a:schemeClr val="bg1">
                <a:alpha val="95000"/>
              </a:schemeClr>
            </a:gs>
          </a:gsLst>
          <a:lin ang="5400000" scaled="1"/>
        </a:gradFill>
        <a:ln w="19050" cmpd="dbl">
          <a:solidFill>
            <a:srgbClr val="7CF85A">
              <a:alpha val="50000"/>
            </a:srgb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solidFill>
                  <a:srgbClr val="FFFFFF"/>
                </a:solidFill>
              </a:ln>
              <a:solidFill>
                <a:srgbClr val="00B050"/>
              </a:solidFill>
              <a:effectLst>
                <a:glow rad="38100">
                  <a:schemeClr val="accent6">
                    <a:satMod val="175000"/>
                    <a:alpha val="90000"/>
                  </a:schemeClr>
                </a:glow>
              </a:effectLst>
              <a:uLnTx/>
              <a:uFillTx/>
              <a:latin typeface="Tahoma" panose="020B0604030504040204" pitchFamily="34" charset="0"/>
              <a:ea typeface="Tahoma" panose="020B0604030504040204" pitchFamily="34" charset="0"/>
              <a:cs typeface="Tahoma" panose="020B0604030504040204" pitchFamily="34" charset="0"/>
            </a:rPr>
            <a:t>Terms of Service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share this profile of yours with </a:t>
          </a:r>
          <a:r>
            <a:rPr kumimoji="0" lang="en-US" sz="1100" b="1" i="0" u="none" strike="noStrike" kern="0" cap="none" spc="0" normalizeH="0" baseline="0" noProof="0">
              <a:ln>
                <a:noFill/>
              </a:ln>
              <a:solidFill>
                <a:prstClr val="black"/>
              </a:solidFill>
              <a:effectLst/>
              <a:uLnTx/>
              <a:uFillTx/>
              <a:latin typeface="+mn-lt"/>
              <a:ea typeface="+mn-ea"/>
              <a:cs typeface="+mn-cs"/>
            </a:rPr>
            <a:t>Value Relating </a:t>
          </a:r>
          <a:r>
            <a:rPr kumimoji="0" lang="en-US" sz="1100" b="0" i="0" u="none" strike="noStrike" kern="0" cap="none" spc="0" normalizeH="0" baseline="0" noProof="0">
              <a:ln>
                <a:noFill/>
              </a:ln>
              <a:solidFill>
                <a:prstClr val="black"/>
              </a:solidFill>
              <a:effectLst/>
              <a:uLnTx/>
              <a:uFillTx/>
              <a:latin typeface="+mn-lt"/>
              <a:ea typeface="+mn-ea"/>
              <a:cs typeface="+mn-cs"/>
            </a:rPr>
            <a:t>for the exclusive purpose of serving your needs, and for any other purpose you agree to prior to Value Relating using it.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Your support team initially consists of your proxy, or key supporter, and a primary support provider (PSP) from Value Relating. You build your support as you invite supporters to help cover the costs of this service to you and can provide you with essential emotional supports.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As your team grows, </a:t>
          </a:r>
          <a:r>
            <a:rPr kumimoji="0" lang="en-US" sz="1100" b="1" i="0" u="none" strike="noStrike" kern="0" cap="none" spc="0" normalizeH="0" baseline="0" noProof="0">
              <a:ln>
                <a:noFill/>
              </a:ln>
              <a:solidFill>
                <a:prstClr val="black"/>
              </a:solidFill>
              <a:effectLst/>
              <a:uLnTx/>
              <a:uFillTx/>
              <a:latin typeface="+mn-lt"/>
              <a:ea typeface="+mn-ea"/>
              <a:cs typeface="+mn-cs"/>
            </a:rPr>
            <a:t>Value Relating</a:t>
          </a:r>
          <a:r>
            <a:rPr kumimoji="0" lang="en-US" sz="1100" b="0" i="0" u="none" strike="noStrike" kern="0" cap="none" spc="0" normalizeH="0" baseline="0" noProof="0">
              <a:ln>
                <a:noFill/>
              </a:ln>
              <a:solidFill>
                <a:prstClr val="black"/>
              </a:solidFill>
              <a:effectLst/>
              <a:uLnTx/>
              <a:uFillTx/>
              <a:latin typeface="+mn-lt"/>
              <a:ea typeface="+mn-ea"/>
              <a:cs typeface="+mn-cs"/>
            </a:rPr>
            <a:t> adds a secondary support provider (SSP) to help with the growing work load (logistics, answering questions, keeping records up to date). This SSP could eventually move up to the PSP position.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Option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the above terms and you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endParaRPr lang="en-US" sz="1100"/>
        </a:p>
      </xdr:txBody>
    </xdr:sp>
    <xdr:clientData/>
  </xdr:twoCellAnchor>
  <xdr:twoCellAnchor>
    <xdr:from>
      <xdr:col>77</xdr:col>
      <xdr:colOff>65162</xdr:colOff>
      <xdr:row>116</xdr:row>
      <xdr:rowOff>74748</xdr:rowOff>
    </xdr:from>
    <xdr:to>
      <xdr:col>82</xdr:col>
      <xdr:colOff>454870</xdr:colOff>
      <xdr:row>121</xdr:row>
      <xdr:rowOff>22497</xdr:rowOff>
    </xdr:to>
    <xdr:sp macro="" textlink="">
      <xdr:nvSpPr>
        <xdr:cNvPr id="137" name="Rectangle: Rounded Corners 136">
          <a:hlinkClick xmlns:r="http://schemas.openxmlformats.org/officeDocument/2006/relationships" r:id="rId29"/>
          <a:extLst>
            <a:ext uri="{FF2B5EF4-FFF2-40B4-BE49-F238E27FC236}">
              <a16:creationId xmlns:a16="http://schemas.microsoft.com/office/drawing/2014/main" id="{00000000-0008-0000-0000-000089000000}"/>
            </a:ext>
          </a:extLst>
        </xdr:cNvPr>
        <xdr:cNvSpPr/>
      </xdr:nvSpPr>
      <xdr:spPr>
        <a:xfrm>
          <a:off x="18341340" y="25929408"/>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Do</a:t>
          </a:r>
          <a:r>
            <a:rPr lang="en-US" sz="1400" b="1" baseline="0">
              <a:solidFill>
                <a:srgbClr val="B9FFD9"/>
              </a:solidFill>
            </a:rPr>
            <a:t> It Yourself </a:t>
          </a:r>
          <a:r>
            <a:rPr lang="en-US" sz="1400" baseline="0">
              <a:solidFill>
                <a:srgbClr val="B9FFD9"/>
              </a:solidFill>
            </a:rPr>
            <a:t>for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With a high estimate of innocence, you may not need our help.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start your DIY option.</a:t>
          </a:r>
          <a:endParaRPr lang="en-US" sz="1400">
            <a:solidFill>
              <a:srgbClr val="B9FFD9"/>
            </a:solidFill>
          </a:endParaRPr>
        </a:p>
      </xdr:txBody>
    </xdr:sp>
    <xdr:clientData/>
  </xdr:twoCellAnchor>
  <xdr:twoCellAnchor>
    <xdr:from>
      <xdr:col>77</xdr:col>
      <xdr:colOff>65162</xdr:colOff>
      <xdr:row>123</xdr:row>
      <xdr:rowOff>85634</xdr:rowOff>
    </xdr:from>
    <xdr:to>
      <xdr:col>82</xdr:col>
      <xdr:colOff>454870</xdr:colOff>
      <xdr:row>128</xdr:row>
      <xdr:rowOff>33383</xdr:rowOff>
    </xdr:to>
    <xdr:sp macro="" textlink="">
      <xdr:nvSpPr>
        <xdr:cNvPr id="138" name="Rectangle: Rounded Corners 137">
          <a:extLst>
            <a:ext uri="{FF2B5EF4-FFF2-40B4-BE49-F238E27FC236}">
              <a16:creationId xmlns:a16="http://schemas.microsoft.com/office/drawing/2014/main" id="{00000000-0008-0000-0000-00008A000000}"/>
            </a:ext>
          </a:extLst>
        </xdr:cNvPr>
        <xdr:cNvSpPr/>
      </xdr:nvSpPr>
      <xdr:spPr>
        <a:xfrm>
          <a:off x="18341340" y="27464294"/>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Receive Support </a:t>
          </a:r>
          <a:r>
            <a:rPr lang="en-US" sz="1400" b="0" baseline="0">
              <a:solidFill>
                <a:srgbClr val="B9FFD9"/>
              </a:solidFill>
            </a:rPr>
            <a:t>starting for</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$5</a:t>
          </a:r>
          <a:r>
            <a:rPr lang="en-US" sz="1400" baseline="0">
              <a:solidFill>
                <a:srgbClr val="B9FFD9"/>
              </a:solidFill>
            </a:rPr>
            <a:t>. You've already been through hell. Let us take you to heaven.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more.</a:t>
          </a:r>
          <a:endParaRPr lang="en-US" sz="1400">
            <a:solidFill>
              <a:srgbClr val="B9FFD9"/>
            </a:solidFill>
          </a:endParaRPr>
        </a:p>
      </xdr:txBody>
    </xdr:sp>
    <xdr:clientData/>
  </xdr:twoCellAnchor>
  <xdr:twoCellAnchor>
    <xdr:from>
      <xdr:col>77</xdr:col>
      <xdr:colOff>65162</xdr:colOff>
      <xdr:row>131</xdr:row>
      <xdr:rowOff>85635</xdr:rowOff>
    </xdr:from>
    <xdr:to>
      <xdr:col>82</xdr:col>
      <xdr:colOff>454870</xdr:colOff>
      <xdr:row>136</xdr:row>
      <xdr:rowOff>33383</xdr:rowOff>
    </xdr:to>
    <xdr:sp macro="" textlink="">
      <xdr:nvSpPr>
        <xdr:cNvPr id="139" name="Rectangle: Rounded Corners 138">
          <a:extLst>
            <a:ext uri="{FF2B5EF4-FFF2-40B4-BE49-F238E27FC236}">
              <a16:creationId xmlns:a16="http://schemas.microsoft.com/office/drawing/2014/main" id="{00000000-0008-0000-0000-00008B000000}"/>
            </a:ext>
          </a:extLst>
        </xdr:cNvPr>
        <xdr:cNvSpPr/>
      </xdr:nvSpPr>
      <xdr:spPr>
        <a:xfrm>
          <a:off x="18341340" y="28988295"/>
          <a:ext cx="0" cy="900248"/>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If you find the</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route frustrating, give this support route a try.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how.</a:t>
          </a:r>
          <a:endParaRPr lang="en-US" sz="1400">
            <a:solidFill>
              <a:srgbClr val="B9FFD9"/>
            </a:solidFill>
          </a:endParaRPr>
        </a:p>
      </xdr:txBody>
    </xdr:sp>
    <xdr:clientData/>
  </xdr:twoCellAnchor>
  <xdr:twoCellAnchor>
    <xdr:from>
      <xdr:col>83</xdr:col>
      <xdr:colOff>364518</xdr:colOff>
      <xdr:row>132</xdr:row>
      <xdr:rowOff>2906</xdr:rowOff>
    </xdr:from>
    <xdr:to>
      <xdr:col>89</xdr:col>
      <xdr:colOff>318798</xdr:colOff>
      <xdr:row>135</xdr:row>
      <xdr:rowOff>41004</xdr:rowOff>
    </xdr:to>
    <xdr:sp macro="" textlink="">
      <xdr:nvSpPr>
        <xdr:cNvPr id="140" name="Rectangle: Rounded Corners 139">
          <a:extLst>
            <a:ext uri="{FF2B5EF4-FFF2-40B4-BE49-F238E27FC236}">
              <a16:creationId xmlns:a16="http://schemas.microsoft.com/office/drawing/2014/main" id="{00000000-0008-0000-0000-00008C000000}"/>
            </a:ext>
          </a:extLst>
        </xdr:cNvPr>
        <xdr:cNvSpPr/>
      </xdr:nvSpPr>
      <xdr:spPr>
        <a:xfrm>
          <a:off x="36605238" y="29164646"/>
          <a:ext cx="4023360" cy="609598"/>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dropdown</a:t>
          </a:r>
          <a:r>
            <a:rPr lang="en-US" sz="1600" baseline="0">
              <a:solidFill>
                <a:srgbClr val="501E6E"/>
              </a:solidFill>
            </a:rPr>
            <a:t> list of main crime</a:t>
          </a:r>
          <a:endParaRPr lang="en-US" sz="1600">
            <a:solidFill>
              <a:srgbClr val="501E6E"/>
            </a:solidFill>
          </a:endParaRPr>
        </a:p>
      </xdr:txBody>
    </xdr:sp>
    <xdr:clientData/>
  </xdr:twoCellAnchor>
  <xdr:twoCellAnchor>
    <xdr:from>
      <xdr:col>0</xdr:col>
      <xdr:colOff>121920</xdr:colOff>
      <xdr:row>115</xdr:row>
      <xdr:rowOff>144780</xdr:rowOff>
    </xdr:from>
    <xdr:to>
      <xdr:col>5</xdr:col>
      <xdr:colOff>106680</xdr:colOff>
      <xdr:row>132</xdr:row>
      <xdr:rowOff>29845</xdr:rowOff>
    </xdr:to>
    <xdr:sp macro="" textlink="">
      <xdr:nvSpPr>
        <xdr:cNvPr id="141" name="Text Box 1">
          <a:extLst>
            <a:ext uri="{FF2B5EF4-FFF2-40B4-BE49-F238E27FC236}">
              <a16:creationId xmlns:a16="http://schemas.microsoft.com/office/drawing/2014/main" id="{00000000-0008-0000-0000-00008D000000}"/>
            </a:ext>
          </a:extLst>
        </xdr:cNvPr>
        <xdr:cNvSpPr txBox="1"/>
      </xdr:nvSpPr>
      <xdr:spPr>
        <a:xfrm>
          <a:off x="121920" y="25808940"/>
          <a:ext cx="5943600" cy="331406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Wrongful convictions run the gamut from totally innocent to complicated involvement. From convicted of a heinous sex crime that never occurred to complex situations where a child dies and the grieving mother is implicated by discredited forensic science of burn patterns ostensibly</a:t>
          </a:r>
          <a:r>
            <a:rPr lang="en-US" sz="1200" baseline="0">
              <a:effectLst/>
              <a:latin typeface="Cambria Math" panose="02040503050406030204" pitchFamily="18" charset="0"/>
              <a:ea typeface="Calibri" panose="020F0502020204030204" pitchFamily="34" charset="0"/>
              <a:cs typeface="Times New Roman" panose="02020603050405020304" pitchFamily="18" charset="0"/>
            </a:rPr>
            <a:t> set by accerlants</a:t>
          </a: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The business of addressing damages from interpersonal violence is serious business. The sledgehammer approach to many crime investigations suggest “criminal justice” is more criminal than justice. Tunnel vision, confirmation bias, emotionally charged investigations, tainted interviewing and other routines practices ensures wrongful convictions likely occur at a faster pace than currently being cleared by the same process committing these egregious errors.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Can the same conflicted process repeatedly creating damaging mistakes continue to be trusted as the exclusive means to correct such egregious errors? This alternative puts that question to the test. Which would you prefer? Keep pitting human beings against each other from the untested faith as a way to find truth and justice? Or address all the needs involved in each conflict. This “need-response” alternative dares to serve as a better option than the disappointing legal process.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114300</xdr:colOff>
      <xdr:row>151</xdr:row>
      <xdr:rowOff>114300</xdr:rowOff>
    </xdr:from>
    <xdr:to>
      <xdr:col>5</xdr:col>
      <xdr:colOff>99060</xdr:colOff>
      <xdr:row>154</xdr:row>
      <xdr:rowOff>15240</xdr:rowOff>
    </xdr:to>
    <xdr:sp macro="" textlink="">
      <xdr:nvSpPr>
        <xdr:cNvPr id="142" name="Text Box 1">
          <a:extLst>
            <a:ext uri="{FF2B5EF4-FFF2-40B4-BE49-F238E27FC236}">
              <a16:creationId xmlns:a16="http://schemas.microsoft.com/office/drawing/2014/main" id="{00000000-0008-0000-0000-00008E000000}"/>
            </a:ext>
          </a:extLst>
        </xdr:cNvPr>
        <xdr:cNvSpPr txBox="1"/>
      </xdr:nvSpPr>
      <xdr:spPr>
        <a:xfrm>
          <a:off x="114300" y="32826960"/>
          <a:ext cx="5943600" cy="91440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Welcome to </a:t>
          </a:r>
          <a:r>
            <a:rPr lang="en-US" sz="1200" b="1">
              <a:effectLst/>
              <a:latin typeface="Cambria Math" panose="02040503050406030204" pitchFamily="18" charset="0"/>
              <a:ea typeface="Calibri" panose="020F0502020204030204" pitchFamily="34" charset="0"/>
              <a:cs typeface="Times New Roman" panose="02020603050405020304" pitchFamily="18" charset="0"/>
            </a:rPr>
            <a:t>competitive legitimacy</a:t>
          </a:r>
          <a:r>
            <a:rPr lang="en-US" sz="1200">
              <a:effectLst/>
              <a:latin typeface="Cambria Math" panose="02040503050406030204" pitchFamily="18" charset="0"/>
              <a:ea typeface="Calibri" panose="020F0502020204030204" pitchFamily="34" charset="0"/>
              <a:cs typeface="Times New Roman" panose="02020603050405020304" pitchFamily="18" charset="0"/>
            </a:rPr>
            <a:t>, which incentivizes alternatives to addressing a common need and awards those most effective in resolving such needs. Competitive legitimacy is a tool of need-response, which applies anankelogy, the new social science for the study and better understanding of many needs. Welcome to this experiment to resolve needs using a fresh understanding of affected justice needs.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26</xdr:col>
      <xdr:colOff>0</xdr:colOff>
      <xdr:row>781</xdr:row>
      <xdr:rowOff>24675</xdr:rowOff>
    </xdr:from>
    <xdr:to>
      <xdr:col>26</xdr:col>
      <xdr:colOff>0</xdr:colOff>
      <xdr:row>809</xdr:row>
      <xdr:rowOff>144780</xdr:rowOff>
    </xdr:to>
    <xdr:grpSp>
      <xdr:nvGrpSpPr>
        <xdr:cNvPr id="154" name="Group 153">
          <a:extLst>
            <a:ext uri="{FF2B5EF4-FFF2-40B4-BE49-F238E27FC236}">
              <a16:creationId xmlns:a16="http://schemas.microsoft.com/office/drawing/2014/main" id="{00000000-0008-0000-0000-00009A000000}"/>
            </a:ext>
          </a:extLst>
        </xdr:cNvPr>
        <xdr:cNvGrpSpPr/>
      </xdr:nvGrpSpPr>
      <xdr:grpSpPr>
        <a:xfrm>
          <a:off x="20341167" y="273067619"/>
          <a:ext cx="0" cy="5856272"/>
          <a:chOff x="10157459" y="255066075"/>
          <a:chExt cx="6972301" cy="5804625"/>
        </a:xfrm>
      </xdr:grpSpPr>
      <xdr:sp macro="" textlink="">
        <xdr:nvSpPr>
          <xdr:cNvPr id="155" name="TextBox 154">
            <a:extLst>
              <a:ext uri="{FF2B5EF4-FFF2-40B4-BE49-F238E27FC236}">
                <a16:creationId xmlns:a16="http://schemas.microsoft.com/office/drawing/2014/main" id="{00000000-0008-0000-0000-00009B000000}"/>
              </a:ext>
            </a:extLst>
          </xdr:cNvPr>
          <xdr:cNvSpPr txBox="1"/>
        </xdr:nvSpPr>
        <xdr:spPr>
          <a:xfrm>
            <a:off x="1287779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this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sp macro="" textlink="">
        <xdr:nvSpPr>
          <xdr:cNvPr id="156" name="TextBox 155">
            <a:extLst>
              <a:ext uri="{FF2B5EF4-FFF2-40B4-BE49-F238E27FC236}">
                <a16:creationId xmlns:a16="http://schemas.microsoft.com/office/drawing/2014/main" id="{00000000-0008-0000-0000-00009C000000}"/>
              </a:ext>
            </a:extLst>
          </xdr:cNvPr>
          <xdr:cNvSpPr txBox="1"/>
        </xdr:nvSpPr>
        <xdr:spPr>
          <a:xfrm>
            <a:off x="15041879" y="25890655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8 disillusioned with process</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at all and eager to try again</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somewhat but hanging on to hope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increasingly disapppointed</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tempted to give up trying</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fully disillusioned, gave up hope</a:t>
            </a:r>
            <a:endParaRPr lang="en-US" sz="1100">
              <a:latin typeface="Times New Roman" panose="02020603050405020304" pitchFamily="18" charset="0"/>
              <a:cs typeface="Times New Roman" panose="02020603050405020304" pitchFamily="18" charset="0"/>
            </a:endParaRPr>
          </a:p>
        </xdr:txBody>
      </xdr:sp>
      <xdr:sp macro="" textlink="">
        <xdr:nvSpPr>
          <xdr:cNvPr id="157" name="TextBox 156">
            <a:extLst>
              <a:ext uri="{FF2B5EF4-FFF2-40B4-BE49-F238E27FC236}">
                <a16:creationId xmlns:a16="http://schemas.microsoft.com/office/drawing/2014/main" id="{00000000-0008-0000-0000-00009D000000}"/>
              </a:ext>
            </a:extLst>
          </xdr:cNvPr>
          <xdr:cNvSpPr txBox="1"/>
        </xdr:nvSpPr>
        <xdr:spPr>
          <a:xfrm>
            <a:off x="12877799" y="256353855"/>
            <a:ext cx="2087881" cy="13012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2 retraumatization risk</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trauma or risk of trauma</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losing some focus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reliving the nightmare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shutting down entirely</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complicating the damage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lethal damage, suicide</a:t>
            </a:r>
          </a:p>
        </xdr:txBody>
      </xdr:sp>
      <xdr:sp macro="" textlink="">
        <xdr:nvSpPr>
          <xdr:cNvPr id="158" name="TextBox 157">
            <a:extLst>
              <a:ext uri="{FF2B5EF4-FFF2-40B4-BE49-F238E27FC236}">
                <a16:creationId xmlns:a16="http://schemas.microsoft.com/office/drawing/2014/main" id="{00000000-0008-0000-0000-00009E000000}"/>
              </a:ext>
            </a:extLst>
          </xdr:cNvPr>
          <xdr:cNvSpPr txBox="1"/>
        </xdr:nvSpPr>
        <xdr:spPr>
          <a:xfrm>
            <a:off x="12870179" y="2577178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3 depression</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none linked to legal-jud.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moderate level linkable to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often feel de-energized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routinely immobilized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constantly incapacitated by it</a:t>
            </a:r>
          </a:p>
          <a:p>
            <a:endParaRPr lang="en-US" sz="1100">
              <a:latin typeface="Times New Roman" panose="02020603050405020304" pitchFamily="18" charset="0"/>
              <a:cs typeface="Times New Roman" panose="02020603050405020304" pitchFamily="18" charset="0"/>
            </a:endParaRPr>
          </a:p>
        </xdr:txBody>
      </xdr:sp>
      <xdr:sp macro="" textlink="">
        <xdr:nvSpPr>
          <xdr:cNvPr id="159" name="TextBox 158">
            <a:extLst>
              <a:ext uri="{FF2B5EF4-FFF2-40B4-BE49-F238E27FC236}">
                <a16:creationId xmlns:a16="http://schemas.microsoft.com/office/drawing/2014/main" id="{00000000-0008-0000-0000-00009F000000}"/>
              </a:ext>
            </a:extLst>
          </xdr:cNvPr>
          <xdr:cNvSpPr txBox="1"/>
        </xdr:nvSpPr>
        <xdr:spPr>
          <a:xfrm>
            <a:off x="1503425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5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it may take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concerned it may take many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it may take decades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justice will come too late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terrified justice will never come </a:t>
            </a:r>
            <a:endParaRPr lang="en-US" sz="1100">
              <a:latin typeface="Times New Roman" panose="02020603050405020304" pitchFamily="18" charset="0"/>
              <a:cs typeface="Times New Roman" panose="02020603050405020304" pitchFamily="18" charset="0"/>
            </a:endParaRPr>
          </a:p>
        </xdr:txBody>
      </xdr:sp>
      <xdr:sp macro="" textlink="">
        <xdr:nvSpPr>
          <xdr:cNvPr id="160" name="TextBox 159">
            <a:extLst>
              <a:ext uri="{FF2B5EF4-FFF2-40B4-BE49-F238E27FC236}">
                <a16:creationId xmlns:a16="http://schemas.microsoft.com/office/drawing/2014/main" id="{00000000-0008-0000-0000-0000A0000000}"/>
              </a:ext>
            </a:extLst>
          </xdr:cNvPr>
          <xdr:cNvSpPr txBox="1"/>
        </xdr:nvSpPr>
        <xdr:spPr>
          <a:xfrm>
            <a:off x="12870179" y="259013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4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trusting court process</a:t>
            </a:r>
          </a:p>
          <a:p>
            <a:r>
              <a:rPr lang="en-US" sz="1100">
                <a:latin typeface="Times New Roman" panose="02020603050405020304" pitchFamily="18" charset="0"/>
                <a:cs typeface="Times New Roman" panose="02020603050405020304" pitchFamily="18" charset="0"/>
              </a:rPr>
              <a:t>slightly</a:t>
            </a:r>
            <a:r>
              <a:rPr lang="en-US" sz="1100" baseline="0">
                <a:latin typeface="Times New Roman" panose="02020603050405020304" pitchFamily="18" charset="0"/>
                <a:cs typeface="Times New Roman" panose="02020603050405020304" pitchFamily="18" charset="0"/>
              </a:rPr>
              <a:t> wary of trusting courts</a:t>
            </a:r>
          </a:p>
          <a:p>
            <a:r>
              <a:rPr lang="en-US" sz="1100" baseline="0">
                <a:latin typeface="Times New Roman" panose="02020603050405020304" pitchFamily="18" charset="0"/>
                <a:cs typeface="Times New Roman" panose="02020603050405020304" pitchFamily="18" charset="0"/>
              </a:rPr>
              <a:t>worried process will go poorly</a:t>
            </a:r>
          </a:p>
          <a:p>
            <a:r>
              <a:rPr lang="en-US" sz="1100" baseline="0">
                <a:latin typeface="Times New Roman" panose="02020603050405020304" pitchFamily="18" charset="0"/>
                <a:cs typeface="Times New Roman" panose="02020603050405020304" pitchFamily="18" charset="0"/>
              </a:rPr>
              <a:t>afraid courts cannot face its errors</a:t>
            </a:r>
          </a:p>
          <a:p>
            <a:r>
              <a:rPr lang="en-US" sz="1100" baseline="0">
                <a:latin typeface="Times New Roman" panose="02020603050405020304" pitchFamily="18" charset="0"/>
                <a:cs typeface="Times New Roman" panose="02020603050405020304" pitchFamily="18" charset="0"/>
              </a:rPr>
              <a:t>terrified having to rely on courts</a:t>
            </a:r>
          </a:p>
        </xdr:txBody>
      </xdr:sp>
      <xdr:sp macro="" textlink="">
        <xdr:nvSpPr>
          <xdr:cNvPr id="161" name="TextBox 160">
            <a:extLst>
              <a:ext uri="{FF2B5EF4-FFF2-40B4-BE49-F238E27FC236}">
                <a16:creationId xmlns:a16="http://schemas.microsoft.com/office/drawing/2014/main" id="{00000000-0008-0000-0000-0000A1000000}"/>
              </a:ext>
            </a:extLst>
          </xdr:cNvPr>
          <xdr:cNvSpPr txBox="1"/>
        </xdr:nvSpPr>
        <xdr:spPr>
          <a:xfrm>
            <a:off x="15026639" y="25762639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7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being out of the loop</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some vulnerability to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manipulated by the process </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controlled by the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paralyzed by the process</a:t>
            </a:r>
            <a:endParaRPr lang="en-US" sz="1100">
              <a:latin typeface="Times New Roman" panose="02020603050405020304" pitchFamily="18" charset="0"/>
              <a:cs typeface="Times New Roman" panose="02020603050405020304" pitchFamily="18" charset="0"/>
            </a:endParaRPr>
          </a:p>
        </xdr:txBody>
      </xdr:sp>
      <xdr:sp macro="" textlink="">
        <xdr:nvSpPr>
          <xdr:cNvPr id="162" name="TextBox 161">
            <a:extLst>
              <a:ext uri="{FF2B5EF4-FFF2-40B4-BE49-F238E27FC236}">
                <a16:creationId xmlns:a16="http://schemas.microsoft.com/office/drawing/2014/main" id="{00000000-0008-0000-0000-0000A2000000}"/>
              </a:ext>
            </a:extLst>
          </xdr:cNvPr>
          <xdr:cNvSpPr txBox="1"/>
        </xdr:nvSpPr>
        <xdr:spPr>
          <a:xfrm>
            <a:off x="15026639" y="256346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6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at all about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slightly concerned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about innoconce deniers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of their conflicts of interest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fear judiciary opposes full justice</a:t>
            </a:r>
            <a:endParaRPr lang="en-US" sz="1100">
              <a:latin typeface="Times New Roman" panose="02020603050405020304" pitchFamily="18" charset="0"/>
              <a:cs typeface="Times New Roman" panose="02020603050405020304" pitchFamily="18" charset="0"/>
            </a:endParaRPr>
          </a:p>
        </xdr:txBody>
      </xdr:sp>
      <xdr:sp macro="" textlink="">
        <xdr:nvSpPr>
          <xdr:cNvPr id="163" name="TextBox 162">
            <a:extLst>
              <a:ext uri="{FF2B5EF4-FFF2-40B4-BE49-F238E27FC236}">
                <a16:creationId xmlns:a16="http://schemas.microsoft.com/office/drawing/2014/main" id="{00000000-0008-0000-0000-0000A3000000}"/>
              </a:ext>
            </a:extLst>
          </xdr:cNvPr>
          <xdr:cNvSpPr txBox="1"/>
        </xdr:nvSpPr>
        <xdr:spPr>
          <a:xfrm>
            <a:off x="10157459" y="259638075"/>
            <a:ext cx="2087881" cy="1232625"/>
          </a:xfrm>
          <a:prstGeom prst="rect">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your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grpSp>
    <xdr:clientData/>
  </xdr:twoCellAnchor>
  <xdr:twoCellAnchor>
    <xdr:from>
      <xdr:col>29</xdr:col>
      <xdr:colOff>0</xdr:colOff>
      <xdr:row>820</xdr:row>
      <xdr:rowOff>0</xdr:rowOff>
    </xdr:from>
    <xdr:to>
      <xdr:col>50</xdr:col>
      <xdr:colOff>100216</xdr:colOff>
      <xdr:row>823</xdr:row>
      <xdr:rowOff>166518</xdr:rowOff>
    </xdr:to>
    <xdr:sp macro="" textlink="">
      <xdr:nvSpPr>
        <xdr:cNvPr id="164" name="TextBox 163">
          <a:extLst>
            <a:ext uri="{FF2B5EF4-FFF2-40B4-BE49-F238E27FC236}">
              <a16:creationId xmlns:a16="http://schemas.microsoft.com/office/drawing/2014/main" id="{00000000-0008-0000-0000-0000A4000000}"/>
            </a:ext>
          </a:extLst>
        </xdr:cNvPr>
        <xdr:cNvSpPr txBox="1"/>
      </xdr:nvSpPr>
      <xdr:spPr>
        <a:xfrm>
          <a:off x="18341340" y="262653780"/>
          <a:ext cx="0" cy="738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Painful</a:t>
          </a:r>
          <a:r>
            <a:rPr lang="en-US" sz="1100" b="1" i="0" u="none" strike="noStrike" baseline="0">
              <a:solidFill>
                <a:schemeClr val="dk1"/>
              </a:solidFill>
              <a:effectLst/>
              <a:latin typeface="+mn-lt"/>
              <a:ea typeface="+mn-ea"/>
              <a:cs typeface="+mn-cs"/>
            </a:rPr>
            <a:t> experiences with the adversarial legal-judicial system helps account for the estimated high volume of unexonerated innocent. This tool exists independent of the judiciary and can either complement it or compete with it. </a:t>
          </a:r>
        </a:p>
        <a:p>
          <a:endParaRPr lang="en-US" sz="1100" b="1" i="0" u="none" strike="noStrike" baseline="0">
            <a:solidFill>
              <a:schemeClr val="dk1"/>
            </a:solidFill>
            <a:effectLst/>
            <a:latin typeface="+mn-lt"/>
            <a:ea typeface="+mn-ea"/>
            <a:cs typeface="+mn-cs"/>
          </a:endParaRPr>
        </a:p>
        <a:p>
          <a:r>
            <a:rPr lang="en-US">
              <a:effectLst/>
            </a:rPr>
            <a:t>legitimacy</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EIT option</a:t>
          </a:r>
        </a:p>
        <a:p>
          <a:endParaRPr lang="en-US" sz="1100"/>
        </a:p>
      </xdr:txBody>
    </xdr:sp>
    <xdr:clientData/>
  </xdr:twoCellAnchor>
  <xdr:twoCellAnchor>
    <xdr:from>
      <xdr:col>130</xdr:col>
      <xdr:colOff>533400</xdr:colOff>
      <xdr:row>3272</xdr:row>
      <xdr:rowOff>0</xdr:rowOff>
    </xdr:from>
    <xdr:to>
      <xdr:col>141</xdr:col>
      <xdr:colOff>594360</xdr:colOff>
      <xdr:row>3274</xdr:row>
      <xdr:rowOff>53340</xdr:rowOff>
    </xdr:to>
    <xdr:sp macro="" textlink="">
      <xdr:nvSpPr>
        <xdr:cNvPr id="129" name="TextBox 128">
          <a:extLst>
            <a:ext uri="{FF2B5EF4-FFF2-40B4-BE49-F238E27FC236}">
              <a16:creationId xmlns:a16="http://schemas.microsoft.com/office/drawing/2014/main" id="{00000000-0008-0000-0000-000081000000}"/>
            </a:ext>
          </a:extLst>
        </xdr:cNvPr>
        <xdr:cNvSpPr txBox="1"/>
      </xdr:nvSpPr>
      <xdr:spPr>
        <a:xfrm>
          <a:off x="35493960" y="624573300"/>
          <a:ext cx="6766560" cy="472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20210604.2256</a:t>
          </a:r>
          <a:r>
            <a:rPr lang="en-US" sz="1100" baseline="0"/>
            <a:t> IDEA</a:t>
          </a:r>
        </a:p>
        <a:p>
          <a:r>
            <a:rPr lang="en-US" sz="1100" baseline="0"/>
            <a:t>Do formula with 50+ "nested" items at a time, then use with "blank" formula that finds the one output name.</a:t>
          </a:r>
          <a:endParaRPr lang="en-US" sz="1100"/>
        </a:p>
      </xdr:txBody>
    </xdr:sp>
    <xdr:clientData/>
  </xdr:twoCellAnchor>
  <xdr:twoCellAnchor>
    <xdr:from>
      <xdr:col>45</xdr:col>
      <xdr:colOff>181792</xdr:colOff>
      <xdr:row>1891</xdr:row>
      <xdr:rowOff>38101</xdr:rowOff>
    </xdr:from>
    <xdr:to>
      <xdr:col>69</xdr:col>
      <xdr:colOff>112123</xdr:colOff>
      <xdr:row>1895</xdr:row>
      <xdr:rowOff>125186</xdr:rowOff>
    </xdr:to>
    <xdr:sp macro="" textlink="">
      <xdr:nvSpPr>
        <xdr:cNvPr id="171" name="TextBox 170">
          <a:extLst>
            <a:ext uri="{FF2B5EF4-FFF2-40B4-BE49-F238E27FC236}">
              <a16:creationId xmlns:a16="http://schemas.microsoft.com/office/drawing/2014/main" id="{00000000-0008-0000-0000-0000AB000000}"/>
            </a:ext>
          </a:extLst>
        </xdr:cNvPr>
        <xdr:cNvSpPr txBox="1"/>
      </xdr:nvSpPr>
      <xdr:spPr>
        <a:xfrm>
          <a:off x="23445652" y="341376001"/>
          <a:ext cx="7176951" cy="810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Tahoma" panose="020B0604030504040204" pitchFamily="34" charset="0"/>
              <a:ea typeface="Tahoma" panose="020B0604030504040204" pitchFamily="34" charset="0"/>
              <a:cs typeface="Tahoma" panose="020B0604030504040204" pitchFamily="34" charset="0"/>
            </a:rPr>
            <a:t>A </a:t>
          </a:r>
          <a:r>
            <a:rPr lang="en-US" sz="1100"/>
            <a:t>[CLAIMANT]</a:t>
          </a:r>
          <a:r>
            <a:rPr lang="en-US" sz="1100" baseline="0"/>
            <a:t> was wrongly convicted in [YEAR] and continues to be [FALSELY INCARCERATED] in [STATE]. I'm convinced [he/she/they] had no role in the crime, and now I have a tool to help prove it. The tool compares [FIRST NAME]'s case to known exonerations, then calculates the likelihood of innocence. It estimates [FIRST NAME] is [00]% innocent, which is a [STRONG CLAIM]. Together, we can help make that claim stronger. And finally liberate [FIRST NAME].</a:t>
          </a:r>
        </a:p>
      </xdr:txBody>
    </xdr:sp>
    <xdr:clientData/>
  </xdr:twoCellAnchor>
  <xdr:twoCellAnchor>
    <xdr:from>
      <xdr:col>46</xdr:col>
      <xdr:colOff>109945</xdr:colOff>
      <xdr:row>1892</xdr:row>
      <xdr:rowOff>66402</xdr:rowOff>
    </xdr:from>
    <xdr:to>
      <xdr:col>63</xdr:col>
      <xdr:colOff>91439</xdr:colOff>
      <xdr:row>1897</xdr:row>
      <xdr:rowOff>51162</xdr:rowOff>
    </xdr:to>
    <xdr:sp macro="" textlink="">
      <xdr:nvSpPr>
        <xdr:cNvPr id="176" name="TextBox 175">
          <a:extLst>
            <a:ext uri="{FF2B5EF4-FFF2-40B4-BE49-F238E27FC236}">
              <a16:creationId xmlns:a16="http://schemas.microsoft.com/office/drawing/2014/main" id="{00000000-0008-0000-0000-0000B0000000}"/>
            </a:ext>
          </a:extLst>
        </xdr:cNvPr>
        <xdr:cNvSpPr txBox="1"/>
      </xdr:nvSpPr>
      <xdr:spPr>
        <a:xfrm>
          <a:off x="23632885" y="341587182"/>
          <a:ext cx="5414554"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ahoma" panose="020B0604030504040204" pitchFamily="34" charset="0"/>
              <a:ea typeface="Tahoma" panose="020B0604030504040204" pitchFamily="34" charset="0"/>
              <a:cs typeface="Tahoma" panose="020B0604030504040204" pitchFamily="34" charset="0"/>
            </a:rPr>
            <a:t>B</a:t>
          </a:r>
          <a:r>
            <a:rPr lang="en-US" sz="1100" b="1">
              <a:solidFill>
                <a:schemeClr val="dk1"/>
              </a:solidFill>
              <a:effectLst/>
              <a:latin typeface="+mn-lt"/>
              <a:ea typeface="+mn-ea"/>
              <a:cs typeface="+mn-cs"/>
            </a:rPr>
            <a:t> </a:t>
          </a:r>
          <a:r>
            <a:rPr lang="en-US" sz="1100"/>
            <a:t>[CLAIMANT]</a:t>
          </a:r>
          <a:r>
            <a:rPr lang="en-US" sz="1100" baseline="0"/>
            <a:t> was wrongly convicted in [YEAR] and continues to be [INCARCERATED]. I'm convinced [he/she/they] had no role in the crime, and now I have a tool to help prove it. </a:t>
          </a:r>
        </a:p>
        <a:p>
          <a:r>
            <a:rPr lang="en-US" sz="1100" baseline="0"/>
            <a:t>The criminal justice system continues to resist its complicity in condemning those [fully innocent of the crime]. We now are exploring an alternative, and need your support. </a:t>
          </a:r>
          <a:endParaRPr lang="en-US" sz="1100"/>
        </a:p>
      </xdr:txBody>
    </xdr:sp>
    <xdr:clientData/>
  </xdr:twoCellAnchor>
  <xdr:twoCellAnchor>
    <xdr:from>
      <xdr:col>88</xdr:col>
      <xdr:colOff>285204</xdr:colOff>
      <xdr:row>1887</xdr:row>
      <xdr:rowOff>203561</xdr:rowOff>
    </xdr:from>
    <xdr:to>
      <xdr:col>98</xdr:col>
      <xdr:colOff>27213</xdr:colOff>
      <xdr:row>1892</xdr:row>
      <xdr:rowOff>158930</xdr:rowOff>
    </xdr:to>
    <xdr:sp macro="" textlink="">
      <xdr:nvSpPr>
        <xdr:cNvPr id="178" name="TextBox 177">
          <a:extLst>
            <a:ext uri="{FF2B5EF4-FFF2-40B4-BE49-F238E27FC236}">
              <a16:creationId xmlns:a16="http://schemas.microsoft.com/office/drawing/2014/main" id="{00000000-0008-0000-0000-0000B2000000}"/>
            </a:ext>
          </a:extLst>
        </xdr:cNvPr>
        <xdr:cNvSpPr txBox="1"/>
      </xdr:nvSpPr>
      <xdr:spPr>
        <a:xfrm>
          <a:off x="39985404" y="340619441"/>
          <a:ext cx="5838009" cy="10602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asserts [##] of six known factors common in wrongful convictions. [PPP] identifies [##] other important factors contributing to wrongful convictions. [PPP] needs your support to help prove [PPP] [compelling] claim. With your support, [PPP] can [VERIFICATION PROGRESS]. </a:t>
          </a:r>
        </a:p>
        <a:p>
          <a:endParaRPr lang="en-US" sz="1100" baseline="0"/>
        </a:p>
        <a:p>
          <a:r>
            <a:rPr lang="en-US" sz="1100" baseline="0"/>
            <a:t>{complement or compete with adversarial justice}</a:t>
          </a:r>
        </a:p>
      </xdr:txBody>
    </xdr:sp>
    <xdr:clientData/>
  </xdr:twoCellAnchor>
  <xdr:twoCellAnchor>
    <xdr:from>
      <xdr:col>88</xdr:col>
      <xdr:colOff>281940</xdr:colOff>
      <xdr:row>1892</xdr:row>
      <xdr:rowOff>182879</xdr:rowOff>
    </xdr:from>
    <xdr:to>
      <xdr:col>98</xdr:col>
      <xdr:colOff>30480</xdr:colOff>
      <xdr:row>1901</xdr:row>
      <xdr:rowOff>106679</xdr:rowOff>
    </xdr:to>
    <xdr:sp macro="" textlink="">
      <xdr:nvSpPr>
        <xdr:cNvPr id="180" name="TextBox 179">
          <a:extLst>
            <a:ext uri="{FF2B5EF4-FFF2-40B4-BE49-F238E27FC236}">
              <a16:creationId xmlns:a16="http://schemas.microsoft.com/office/drawing/2014/main" id="{00000000-0008-0000-0000-0000B4000000}"/>
            </a:ext>
          </a:extLst>
        </xdr:cNvPr>
        <xdr:cNvSpPr txBox="1"/>
      </xdr:nvSpPr>
      <xdr:spPr>
        <a:xfrm>
          <a:off x="39982140" y="341703659"/>
          <a:ext cx="5844540" cy="1516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I. Just a reminder - paragraph 2</a:t>
          </a:r>
        </a:p>
        <a:p>
          <a:endParaRPr lang="en-US" sz="1100" baseline="0"/>
        </a:p>
        <a:p>
          <a:r>
            <a:rPr lang="en-US" sz="1100" baseline="0"/>
            <a:t>Contrary to popular beliefs, guilty prisoners readily admit to their crimes. They often minimize the harm of their admitted misconduct. Or they complain about harsh sentences and prison conditions. [CLAIMANT] sits among the 15% or so who assert full innocence. Innocence denying judicial elites expect you to lump [CLAIMANT] with stereotypical criminals denying responsibility, so they can denyo or minimize their responsibility. It is now easier for the accused like [CLAIMANT] to admit their human imperfections than for police and prosecutors to admit theirs.</a:t>
          </a:r>
          <a:endParaRPr lang="en-US" sz="1100"/>
        </a:p>
      </xdr:txBody>
    </xdr:sp>
    <xdr:clientData/>
  </xdr:twoCellAnchor>
  <xdr:twoCellAnchor>
    <xdr:from>
      <xdr:col>88</xdr:col>
      <xdr:colOff>281940</xdr:colOff>
      <xdr:row>1901</xdr:row>
      <xdr:rowOff>129539</xdr:rowOff>
    </xdr:from>
    <xdr:to>
      <xdr:col>98</xdr:col>
      <xdr:colOff>30480</xdr:colOff>
      <xdr:row>1913</xdr:row>
      <xdr:rowOff>7619</xdr:rowOff>
    </xdr:to>
    <xdr:sp macro="" textlink="">
      <xdr:nvSpPr>
        <xdr:cNvPr id="181" name="TextBox 180">
          <a:extLst>
            <a:ext uri="{FF2B5EF4-FFF2-40B4-BE49-F238E27FC236}">
              <a16:creationId xmlns:a16="http://schemas.microsoft.com/office/drawing/2014/main" id="{00000000-0008-0000-0000-0000B5000000}"/>
            </a:ext>
          </a:extLst>
        </xdr:cNvPr>
        <xdr:cNvSpPr txBox="1"/>
      </xdr:nvSpPr>
      <xdr:spPr>
        <a:xfrm>
          <a:off x="39982140" y="343242899"/>
          <a:ext cx="5844540"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I. Just a reminder - paragraph 3</a:t>
          </a:r>
        </a:p>
        <a:p>
          <a:endParaRPr lang="en-US" sz="1100" baseline="0"/>
        </a:p>
        <a:p>
          <a:r>
            <a:rPr lang="en-US" sz="1100" baseline="0"/>
            <a:t>Conflicts of interest prevent the criminal justice system from promptly admitting and correcting these errors. Innocence projects lack sufficient resources to process [CLAIMANT]'s claim. We are now taking matters in our hand. In this era of populist empowerment, we're taking the lead in dissecting [his/her/their] innocence claim. Essentially, we are doing a higher quality version of the state's work and expect to be responsibly compensated. Or deny them democratic legitimacy if they refuse. With your help, we will create value, produce results, meet needs, remove pain, and serve justice on all sides. Together, we invest in "</a:t>
          </a:r>
          <a:r>
            <a:rPr lang="en-US" sz="1100" b="1" baseline="0"/>
            <a:t>conviction quality</a:t>
          </a:r>
          <a:r>
            <a:rPr lang="en-US" sz="1100" baseline="0"/>
            <a:t>" as a pioneering approach. It will either complement or compete with the slow legal process. Deeper justice demands it.</a:t>
          </a:r>
          <a:endParaRPr lang="en-US" sz="1100"/>
        </a:p>
      </xdr:txBody>
    </xdr:sp>
    <xdr:clientData/>
  </xdr:twoCellAnchor>
  <xdr:twoCellAnchor>
    <xdr:from>
      <xdr:col>44</xdr:col>
      <xdr:colOff>177439</xdr:colOff>
      <xdr:row>2301</xdr:row>
      <xdr:rowOff>14151</xdr:rowOff>
    </xdr:from>
    <xdr:to>
      <xdr:col>56</xdr:col>
      <xdr:colOff>46811</xdr:colOff>
      <xdr:row>2307</xdr:row>
      <xdr:rowOff>102325</xdr:rowOff>
    </xdr:to>
    <xdr:sp macro="" textlink="">
      <xdr:nvSpPr>
        <xdr:cNvPr id="172" name="TextBox 171">
          <a:extLst>
            <a:ext uri="{FF2B5EF4-FFF2-40B4-BE49-F238E27FC236}">
              <a16:creationId xmlns:a16="http://schemas.microsoft.com/office/drawing/2014/main" id="{5DB63FDE-4BBE-4DB4-B2E3-E3C2A73B4844}"/>
            </a:ext>
          </a:extLst>
        </xdr:cNvPr>
        <xdr:cNvSpPr txBox="1"/>
      </xdr:nvSpPr>
      <xdr:spPr>
        <a:xfrm>
          <a:off x="23182219" y="414679311"/>
          <a:ext cx="2909752" cy="1139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There is no free lunch</a:t>
          </a:r>
        </a:p>
        <a:p>
          <a:endParaRPr lang="en-US" sz="1100"/>
        </a:p>
        <a:p>
          <a:r>
            <a:rPr lang="en-US" sz="1100"/>
            <a:t>exaction invoice</a:t>
          </a:r>
        </a:p>
        <a:p>
          <a:endParaRPr lang="en-US" sz="1100"/>
        </a:p>
        <a:p>
          <a:r>
            <a:rPr lang="en-US" sz="1100"/>
            <a:t>How much is this worth to you?</a:t>
          </a:r>
        </a:p>
      </xdr:txBody>
    </xdr:sp>
    <xdr:clientData/>
  </xdr:twoCellAnchor>
  <xdr:twoCellAnchor>
    <xdr:from>
      <xdr:col>32</xdr:col>
      <xdr:colOff>229689</xdr:colOff>
      <xdr:row>2300</xdr:row>
      <xdr:rowOff>20682</xdr:rowOff>
    </xdr:from>
    <xdr:to>
      <xdr:col>44</xdr:col>
      <xdr:colOff>28303</xdr:colOff>
      <xdr:row>2307</xdr:row>
      <xdr:rowOff>28302</xdr:rowOff>
    </xdr:to>
    <xdr:sp macro="" textlink="">
      <xdr:nvSpPr>
        <xdr:cNvPr id="186" name="TextBox 185">
          <a:extLst>
            <a:ext uri="{FF2B5EF4-FFF2-40B4-BE49-F238E27FC236}">
              <a16:creationId xmlns:a16="http://schemas.microsoft.com/office/drawing/2014/main" id="{6AD7C3A3-D699-42EB-9C27-2CB07D1FE864}"/>
            </a:ext>
          </a:extLst>
        </xdr:cNvPr>
        <xdr:cNvSpPr txBox="1"/>
      </xdr:nvSpPr>
      <xdr:spPr>
        <a:xfrm>
          <a:off x="20139660" y="416290396"/>
          <a:ext cx="2933700" cy="1226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Hard no	definitely not</a:t>
          </a:r>
        </a:p>
        <a:p>
          <a:r>
            <a:rPr lang="en-US" sz="1100">
              <a:solidFill>
                <a:schemeClr val="dk1"/>
              </a:solidFill>
              <a:effectLst/>
              <a:latin typeface="+mn-lt"/>
              <a:ea typeface="+mn-ea"/>
              <a:cs typeface="+mn-cs"/>
            </a:rPr>
            <a:t>Soft no	only if ______</a:t>
          </a:r>
        </a:p>
        <a:p>
          <a:r>
            <a:rPr lang="en-US" sz="1100">
              <a:solidFill>
                <a:schemeClr val="dk1"/>
              </a:solidFill>
              <a:effectLst/>
              <a:latin typeface="+mn-lt"/>
              <a:ea typeface="+mn-ea"/>
              <a:cs typeface="+mn-cs"/>
            </a:rPr>
            <a:t>Hesitant	perhaps</a:t>
          </a:r>
        </a:p>
        <a:p>
          <a:r>
            <a:rPr lang="en-US" sz="1100">
              <a:solidFill>
                <a:schemeClr val="dk1"/>
              </a:solidFill>
              <a:effectLst/>
              <a:latin typeface="+mn-lt"/>
              <a:ea typeface="+mn-ea"/>
              <a:cs typeface="+mn-cs"/>
            </a:rPr>
            <a:t>Soft yes	Yes, but first ____</a:t>
          </a:r>
        </a:p>
        <a:p>
          <a:r>
            <a:rPr lang="en-US" sz="1100">
              <a:solidFill>
                <a:schemeClr val="dk1"/>
              </a:solidFill>
              <a:effectLst/>
              <a:latin typeface="+mn-lt"/>
              <a:ea typeface="+mn-ea"/>
              <a:cs typeface="+mn-cs"/>
            </a:rPr>
            <a:t>Eager yes	Ready to start</a:t>
          </a:r>
        </a:p>
      </xdr:txBody>
    </xdr:sp>
    <xdr:clientData/>
  </xdr:twoCellAnchor>
  <xdr:twoCellAnchor>
    <xdr:from>
      <xdr:col>47</xdr:col>
      <xdr:colOff>114300</xdr:colOff>
      <xdr:row>784</xdr:row>
      <xdr:rowOff>91440</xdr:rowOff>
    </xdr:from>
    <xdr:to>
      <xdr:col>60</xdr:col>
      <xdr:colOff>99060</xdr:colOff>
      <xdr:row>790</xdr:row>
      <xdr:rowOff>167640</xdr:rowOff>
    </xdr:to>
    <xdr:sp macro="" textlink="">
      <xdr:nvSpPr>
        <xdr:cNvPr id="191" name="TextBox 190">
          <a:extLst>
            <a:ext uri="{FF2B5EF4-FFF2-40B4-BE49-F238E27FC236}">
              <a16:creationId xmlns:a16="http://schemas.microsoft.com/office/drawing/2014/main" id="{7F75A60D-6936-4844-9C45-9D055E5E2F8D}"/>
            </a:ext>
          </a:extLst>
        </xdr:cNvPr>
        <xdr:cNvSpPr txBox="1"/>
      </xdr:nvSpPr>
      <xdr:spPr>
        <a:xfrm>
          <a:off x="23896320" y="255902460"/>
          <a:ext cx="3832860" cy="1203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Painful</a:t>
          </a:r>
          <a:r>
            <a:rPr lang="en-US" sz="1100" b="1" i="0" u="none" strike="noStrike" baseline="0">
              <a:solidFill>
                <a:schemeClr val="dk1"/>
              </a:solidFill>
              <a:effectLst/>
              <a:latin typeface="+mn-lt"/>
              <a:ea typeface="+mn-ea"/>
              <a:cs typeface="+mn-cs"/>
            </a:rPr>
            <a:t> experiences with the adversarial legal-judicial system helps account for the estimated high volume of unexonerated innocent. This tool exists independent of the judiciary and can either complement it or compete with it. </a:t>
          </a:r>
        </a:p>
        <a:p>
          <a:endParaRPr lang="en-US" sz="1100" b="1" i="0" u="none" strike="noStrike" baseline="0">
            <a:solidFill>
              <a:schemeClr val="dk1"/>
            </a:solidFill>
            <a:effectLst/>
            <a:latin typeface="+mn-lt"/>
            <a:ea typeface="+mn-ea"/>
            <a:cs typeface="+mn-cs"/>
          </a:endParaRPr>
        </a:p>
        <a:p>
          <a:r>
            <a:rPr lang="en-US">
              <a:effectLst/>
            </a:rPr>
            <a:t>legitimacy</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EIT option</a:t>
          </a:r>
        </a:p>
        <a:p>
          <a:endParaRPr lang="en-US" sz="1100"/>
        </a:p>
      </xdr:txBody>
    </xdr:sp>
    <xdr:clientData/>
  </xdr:twoCellAnchor>
  <xdr:twoCellAnchor>
    <xdr:from>
      <xdr:col>47</xdr:col>
      <xdr:colOff>115455</xdr:colOff>
      <xdr:row>791</xdr:row>
      <xdr:rowOff>38100</xdr:rowOff>
    </xdr:from>
    <xdr:to>
      <xdr:col>60</xdr:col>
      <xdr:colOff>272936</xdr:colOff>
      <xdr:row>798</xdr:row>
      <xdr:rowOff>46446</xdr:rowOff>
    </xdr:to>
    <xdr:sp macro="" textlink="">
      <xdr:nvSpPr>
        <xdr:cNvPr id="193" name="TextBox 192">
          <a:extLst>
            <a:ext uri="{FF2B5EF4-FFF2-40B4-BE49-F238E27FC236}">
              <a16:creationId xmlns:a16="http://schemas.microsoft.com/office/drawing/2014/main" id="{279D0291-16AD-4EDE-8101-D8DD114F747A}"/>
            </a:ext>
          </a:extLst>
        </xdr:cNvPr>
        <xdr:cNvSpPr txBox="1"/>
      </xdr:nvSpPr>
      <xdr:spPr>
        <a:xfrm>
          <a:off x="23897475" y="257159760"/>
          <a:ext cx="4005581" cy="1318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Request</a:t>
          </a:r>
          <a:r>
            <a:rPr lang="en-US" sz="1100" b="1" i="0" u="none" strike="noStrike" baseline="0">
              <a:solidFill>
                <a:schemeClr val="dk1"/>
              </a:solidFill>
              <a:effectLst/>
              <a:latin typeface="+mn-lt"/>
              <a:ea typeface="+mn-ea"/>
              <a:cs typeface="+mn-cs"/>
            </a:rPr>
            <a:t> not honored:</a:t>
          </a:r>
        </a:p>
        <a:p>
          <a:r>
            <a:rPr lang="en-US" sz="1100" b="0" i="0" u="none" strike="noStrike" baseline="0">
              <a:solidFill>
                <a:schemeClr val="dk1"/>
              </a:solidFill>
              <a:effectLst/>
              <a:latin typeface="+mn-lt"/>
              <a:ea typeface="+mn-ea"/>
              <a:cs typeface="+mn-cs"/>
            </a:rPr>
            <a:t>Prioritizing assistance to claimants on death row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life sentance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long sentences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still in prison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28</xdr:col>
      <xdr:colOff>68580</xdr:colOff>
      <xdr:row>795</xdr:row>
      <xdr:rowOff>52647</xdr:rowOff>
    </xdr:from>
    <xdr:to>
      <xdr:col>43</xdr:col>
      <xdr:colOff>185190</xdr:colOff>
      <xdr:row>800</xdr:row>
      <xdr:rowOff>358140</xdr:rowOff>
    </xdr:to>
    <xdr:sp macro="" textlink="">
      <xdr:nvSpPr>
        <xdr:cNvPr id="194" name="TextBox 193">
          <a:extLst>
            <a:ext uri="{FF2B5EF4-FFF2-40B4-BE49-F238E27FC236}">
              <a16:creationId xmlns:a16="http://schemas.microsoft.com/office/drawing/2014/main" id="{D1EBD89B-70A0-431F-888F-FD3805BE897B}"/>
            </a:ext>
          </a:extLst>
        </xdr:cNvPr>
        <xdr:cNvSpPr txBox="1"/>
      </xdr:nvSpPr>
      <xdr:spPr>
        <a:xfrm>
          <a:off x="18928080" y="257921067"/>
          <a:ext cx="4002810" cy="1250373"/>
        </a:xfrm>
        <a:prstGeom prst="rect">
          <a:avLst/>
        </a:prstGeom>
        <a:solidFill>
          <a:srgbClr val="FFE6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62 satisfaction</a:t>
          </a:r>
          <a:r>
            <a:rPr lang="en-US" sz="1100" b="1" i="0" u="none" strike="noStrike" baseline="0">
              <a:solidFill>
                <a:schemeClr val="dk1"/>
              </a:solidFill>
              <a:effectLst/>
              <a:latin typeface="+mn-lt"/>
              <a:ea typeface="+mn-ea"/>
              <a:cs typeface="+mn-cs"/>
            </a:rPr>
            <a:t> level:</a:t>
          </a:r>
        </a:p>
        <a:p>
          <a:r>
            <a:rPr lang="en-US" sz="1100" b="0" i="0" u="none" strike="noStrike" baseline="0">
              <a:solidFill>
                <a:schemeClr val="dk1"/>
              </a:solidFill>
              <a:effectLst/>
              <a:latin typeface="+mn-lt"/>
              <a:ea typeface="+mn-ea"/>
              <a:cs typeface="+mn-cs"/>
            </a:rPr>
            <a:t>grateful for the efforts to serve innocence claimants </a:t>
          </a:r>
        </a:p>
        <a:p>
          <a:r>
            <a:rPr lang="en-US" sz="1100" b="0" i="0" u="none" strike="noStrike" baseline="0">
              <a:solidFill>
                <a:schemeClr val="dk1"/>
              </a:solidFill>
              <a:effectLst/>
              <a:latin typeface="+mn-lt"/>
              <a:ea typeface="+mn-ea"/>
              <a:cs typeface="+mn-cs"/>
            </a:rPr>
            <a:t>content with level of service to innocence claimants</a:t>
          </a:r>
        </a:p>
        <a:p>
          <a:r>
            <a:rPr lang="en-US" sz="1100" b="0" i="0" u="none" strike="noStrike" baseline="0">
              <a:solidFill>
                <a:schemeClr val="dk1"/>
              </a:solidFill>
              <a:effectLst/>
              <a:latin typeface="+mn-lt"/>
              <a:ea typeface="+mn-ea"/>
              <a:cs typeface="+mn-cs"/>
            </a:rPr>
            <a:t>discontent but understanding of limited service to claimants</a:t>
          </a:r>
        </a:p>
        <a:p>
          <a:r>
            <a:rPr lang="en-US" sz="1100" b="0" i="0" u="none" strike="noStrike" baseline="0">
              <a:solidFill>
                <a:schemeClr val="dk1"/>
              </a:solidFill>
              <a:effectLst/>
              <a:latin typeface="+mn-lt"/>
              <a:ea typeface="+mn-ea"/>
              <a:cs typeface="+mn-cs"/>
            </a:rPr>
            <a:t>discouraged with the limited level of service to claimants</a:t>
          </a:r>
        </a:p>
        <a:p>
          <a:r>
            <a:rPr lang="en-US" sz="1100" b="0" i="0" u="none" strike="noStrike" baseline="0">
              <a:solidFill>
                <a:schemeClr val="dk1"/>
              </a:solidFill>
              <a:effectLst/>
              <a:latin typeface="+mn-lt"/>
              <a:ea typeface="+mn-ea"/>
              <a:cs typeface="+mn-cs"/>
            </a:rPr>
            <a:t>disgusted with the limited level of service to claimants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47</xdr:col>
      <xdr:colOff>114300</xdr:colOff>
      <xdr:row>798</xdr:row>
      <xdr:rowOff>67887</xdr:rowOff>
    </xdr:from>
    <xdr:to>
      <xdr:col>60</xdr:col>
      <xdr:colOff>269010</xdr:colOff>
      <xdr:row>807</xdr:row>
      <xdr:rowOff>20353</xdr:rowOff>
    </xdr:to>
    <xdr:sp macro="" textlink="">
      <xdr:nvSpPr>
        <xdr:cNvPr id="195" name="TextBox 194">
          <a:extLst>
            <a:ext uri="{FF2B5EF4-FFF2-40B4-BE49-F238E27FC236}">
              <a16:creationId xmlns:a16="http://schemas.microsoft.com/office/drawing/2014/main" id="{A967E282-B3DF-43E4-8F12-00F711486917}"/>
            </a:ext>
          </a:extLst>
        </xdr:cNvPr>
        <xdr:cNvSpPr txBox="1"/>
      </xdr:nvSpPr>
      <xdr:spPr>
        <a:xfrm>
          <a:off x="23896320" y="258500187"/>
          <a:ext cx="4002810" cy="1918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hestitancy</a:t>
          </a:r>
          <a:r>
            <a:rPr lang="en-US" sz="1100" b="1" i="0" u="none" strike="noStrike" baseline="0">
              <a:solidFill>
                <a:schemeClr val="dk1"/>
              </a:solidFill>
              <a:effectLst/>
              <a:latin typeface="+mn-lt"/>
              <a:ea typeface="+mn-ea"/>
              <a:cs typeface="+mn-cs"/>
            </a:rPr>
            <a:t> to trust or seek legal recourse:</a:t>
          </a:r>
        </a:p>
        <a:p>
          <a:r>
            <a:rPr lang="en-US" sz="1100" b="0" i="0" u="none" strike="noStrike" baseline="0">
              <a:solidFill>
                <a:schemeClr val="dk1"/>
              </a:solidFill>
              <a:effectLst/>
              <a:latin typeface="+mn-lt"/>
              <a:ea typeface="+mn-ea"/>
              <a:cs typeface="+mn-cs"/>
            </a:rPr>
            <a:t>worry legal-judical process could retraumatize me</a:t>
          </a:r>
        </a:p>
        <a:p>
          <a:r>
            <a:rPr lang="en-US" sz="1100" b="0" i="0" u="none" strike="noStrike" baseline="0">
              <a:solidFill>
                <a:schemeClr val="dk1"/>
              </a:solidFill>
              <a:effectLst/>
              <a:latin typeface="+mn-lt"/>
              <a:ea typeface="+mn-ea"/>
              <a:cs typeface="+mn-cs"/>
            </a:rPr>
            <a:t>endured bouts of depression because of legal-judicial process</a:t>
          </a:r>
        </a:p>
        <a:p>
          <a:r>
            <a:rPr lang="en-US" sz="1100" b="0" i="0" u="none" strike="noStrike" baseline="0">
              <a:solidFill>
                <a:schemeClr val="dk1"/>
              </a:solidFill>
              <a:effectLst/>
              <a:latin typeface="+mn-lt"/>
              <a:ea typeface="+mn-ea"/>
              <a:cs typeface="+mn-cs"/>
            </a:rPr>
            <a:t>fear of dismissiveness; low priority</a:t>
          </a:r>
        </a:p>
        <a:p>
          <a:r>
            <a:rPr lang="en-US" sz="1100" b="0" i="0" u="none" strike="noStrike" baseline="0">
              <a:solidFill>
                <a:schemeClr val="dk1"/>
              </a:solidFill>
              <a:effectLst/>
              <a:latin typeface="+mn-lt"/>
              <a:ea typeface="+mn-ea"/>
              <a:cs typeface="+mn-cs"/>
            </a:rPr>
            <a:t>anxiety  from trusting same process creating egregious error</a:t>
          </a:r>
        </a:p>
        <a:p>
          <a:r>
            <a:rPr lang="en-US" sz="1100" b="0" i="0" u="none" strike="noStrike" baseline="0">
              <a:solidFill>
                <a:schemeClr val="dk1"/>
              </a:solidFill>
              <a:effectLst/>
              <a:latin typeface="+mn-lt"/>
              <a:ea typeface="+mn-ea"/>
              <a:cs typeface="+mn-cs"/>
            </a:rPr>
            <a:t>anxiety from extremely slow process of court review</a:t>
          </a:r>
        </a:p>
        <a:p>
          <a:r>
            <a:rPr lang="en-US" sz="1100" b="0" i="0" u="none" strike="noStrike" baseline="0">
              <a:solidFill>
                <a:schemeClr val="dk1"/>
              </a:solidFill>
              <a:effectLst/>
              <a:latin typeface="+mn-lt"/>
              <a:ea typeface="+mn-ea"/>
              <a:cs typeface="+mn-cs"/>
            </a:rPr>
            <a:t>anxiety from prosecutor resisting admission of being wrong</a:t>
          </a:r>
        </a:p>
        <a:p>
          <a:r>
            <a:rPr lang="en-US" sz="1100" b="0" i="0" u="none" strike="noStrike" baseline="0">
              <a:solidFill>
                <a:schemeClr val="dk1"/>
              </a:solidFill>
              <a:effectLst/>
              <a:latin typeface="+mn-lt"/>
              <a:ea typeface="+mn-ea"/>
              <a:cs typeface="+mn-cs"/>
            </a:rPr>
            <a:t>anxiety from being denied review/reversal by technicality</a:t>
          </a:r>
        </a:p>
        <a:p>
          <a:r>
            <a:rPr lang="en-US" sz="1100" b="0" i="0" u="none" strike="noStrike" baseline="0">
              <a:solidFill>
                <a:schemeClr val="dk1"/>
              </a:solidFill>
              <a:effectLst/>
              <a:latin typeface="+mn-lt"/>
              <a:ea typeface="+mn-ea"/>
              <a:cs typeface="+mn-cs"/>
            </a:rPr>
            <a:t>disillusioned with process (no longer seeking exoneration)</a:t>
          </a:r>
        </a:p>
        <a:p>
          <a:r>
            <a:rPr lang="en-US" sz="1100" b="0" i="0" u="none" strike="noStrike" baseline="0">
              <a:solidFill>
                <a:schemeClr val="dk1"/>
              </a:solidFill>
              <a:effectLst/>
              <a:latin typeface="+mn-lt"/>
              <a:ea typeface="+mn-ea"/>
              <a:cs typeface="+mn-cs"/>
            </a:rPr>
            <a:t>conflict of interest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28</xdr:col>
      <xdr:colOff>68580</xdr:colOff>
      <xdr:row>788</xdr:row>
      <xdr:rowOff>152400</xdr:rowOff>
    </xdr:from>
    <xdr:to>
      <xdr:col>45</xdr:col>
      <xdr:colOff>76200</xdr:colOff>
      <xdr:row>795</xdr:row>
      <xdr:rowOff>22860</xdr:rowOff>
    </xdr:to>
    <xdr:sp macro="" textlink="">
      <xdr:nvSpPr>
        <xdr:cNvPr id="196" name="TextBox 195">
          <a:extLst>
            <a:ext uri="{FF2B5EF4-FFF2-40B4-BE49-F238E27FC236}">
              <a16:creationId xmlns:a16="http://schemas.microsoft.com/office/drawing/2014/main" id="{09DC1592-9BC7-40A0-B750-DFFB642543BE}"/>
            </a:ext>
          </a:extLst>
        </xdr:cNvPr>
        <xdr:cNvSpPr txBox="1"/>
      </xdr:nvSpPr>
      <xdr:spPr>
        <a:xfrm>
          <a:off x="18928080" y="256717800"/>
          <a:ext cx="4411980" cy="1173480"/>
        </a:xfrm>
        <a:prstGeom prst="rect">
          <a:avLst/>
        </a:prstGeom>
        <a:solidFill>
          <a:srgbClr val="FFF0B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59-61 Trust level</a:t>
          </a:r>
        </a:p>
        <a:p>
          <a:r>
            <a:rPr lang="en-US" sz="1100" b="0" i="0" u="none" strike="noStrike" baseline="0">
              <a:solidFill>
                <a:schemeClr val="dk1"/>
              </a:solidFill>
              <a:effectLst/>
              <a:latin typeface="+mn-lt"/>
              <a:ea typeface="+mn-ea"/>
              <a:cs typeface="+mn-cs"/>
            </a:rPr>
            <a:t>I continue to trust their legal-judicial process for official exoneration</a:t>
          </a:r>
        </a:p>
        <a:p>
          <a:r>
            <a:rPr lang="en-US" sz="1100" b="0" i="0" u="none" strike="noStrike" baseline="0">
              <a:solidFill>
                <a:schemeClr val="dk1"/>
              </a:solidFill>
              <a:effectLst/>
              <a:latin typeface="+mn-lt"/>
              <a:ea typeface="+mn-ea"/>
              <a:cs typeface="+mn-cs"/>
            </a:rPr>
            <a:t>I'd start trusting them less if I knew of a popular alternative</a:t>
          </a:r>
        </a:p>
        <a:p>
          <a:r>
            <a:rPr lang="en-US" sz="1100" b="0" i="0" u="none" strike="noStrike" baseline="0">
              <a:solidFill>
                <a:schemeClr val="dk1"/>
              </a:solidFill>
              <a:effectLst/>
              <a:latin typeface="+mn-lt"/>
              <a:ea typeface="+mn-ea"/>
              <a:cs typeface="+mn-cs"/>
            </a:rPr>
            <a:t>I'd lose trust if seeing an alternative work for other claimants</a:t>
          </a:r>
        </a:p>
        <a:p>
          <a:r>
            <a:rPr lang="en-US" sz="1100" b="0" i="0" u="none" strike="noStrike" baseline="0">
              <a:solidFill>
                <a:schemeClr val="dk1"/>
              </a:solidFill>
              <a:effectLst/>
              <a:latin typeface="+mn-lt"/>
              <a:ea typeface="+mn-ea"/>
              <a:cs typeface="+mn-cs"/>
            </a:rPr>
            <a:t>I'm discouraged and ready to try something radically different</a:t>
          </a:r>
        </a:p>
        <a:p>
          <a:r>
            <a:rPr lang="en-US" sz="1100"/>
            <a:t>I totally distrust</a:t>
          </a:r>
          <a:r>
            <a:rPr lang="en-US" sz="1100" baseline="0"/>
            <a:t> their dismissive approach &amp; now seeking a better option</a:t>
          </a:r>
        </a:p>
        <a:p>
          <a:endParaRPr lang="en-US" sz="1100"/>
        </a:p>
      </xdr:txBody>
    </xdr:sp>
    <xdr:clientData/>
  </xdr:twoCellAnchor>
  <xdr:twoCellAnchor>
    <xdr:from>
      <xdr:col>28</xdr:col>
      <xdr:colOff>68580</xdr:colOff>
      <xdr:row>800</xdr:row>
      <xdr:rowOff>388620</xdr:rowOff>
    </xdr:from>
    <xdr:to>
      <xdr:col>43</xdr:col>
      <xdr:colOff>228600</xdr:colOff>
      <xdr:row>806</xdr:row>
      <xdr:rowOff>160020</xdr:rowOff>
    </xdr:to>
    <xdr:sp macro="" textlink="">
      <xdr:nvSpPr>
        <xdr:cNvPr id="197" name="TextBox 196">
          <a:extLst>
            <a:ext uri="{FF2B5EF4-FFF2-40B4-BE49-F238E27FC236}">
              <a16:creationId xmlns:a16="http://schemas.microsoft.com/office/drawing/2014/main" id="{41EFAFE0-97C4-4250-965C-E73650AA310A}"/>
            </a:ext>
          </a:extLst>
        </xdr:cNvPr>
        <xdr:cNvSpPr txBox="1"/>
      </xdr:nvSpPr>
      <xdr:spPr>
        <a:xfrm>
          <a:off x="18928080" y="259201920"/>
          <a:ext cx="4046220" cy="1165860"/>
        </a:xfrm>
        <a:prstGeom prst="rect">
          <a:avLst/>
        </a:prstGeom>
        <a:solidFill>
          <a:srgbClr val="FFE6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62 Trust level</a:t>
          </a:r>
        </a:p>
        <a:p>
          <a:r>
            <a:rPr lang="en-US" sz="1100" b="0" i="0" u="none" strike="noStrike" baseline="0">
              <a:solidFill>
                <a:schemeClr val="dk1"/>
              </a:solidFill>
              <a:effectLst/>
              <a:latin typeface="+mn-lt"/>
              <a:ea typeface="+mn-ea"/>
              <a:cs typeface="+mn-cs"/>
            </a:rPr>
            <a:t>I only can trust the legal-judicial process to regain my freedom</a:t>
          </a:r>
        </a:p>
        <a:p>
          <a:r>
            <a:rPr lang="en-US" sz="1100" b="0" i="0" u="none" strike="noStrike" baseline="0">
              <a:solidFill>
                <a:schemeClr val="dk1"/>
              </a:solidFill>
              <a:effectLst/>
              <a:latin typeface="+mn-lt"/>
              <a:ea typeface="+mn-ea"/>
              <a:cs typeface="+mn-cs"/>
            </a:rPr>
            <a:t>I'd likely try an alternative once it catches on as a popular option</a:t>
          </a:r>
        </a:p>
        <a:p>
          <a:r>
            <a:rPr lang="en-US" sz="1100" b="0" i="0" u="none" strike="noStrike" baseline="0">
              <a:solidFill>
                <a:schemeClr val="dk1"/>
              </a:solidFill>
              <a:effectLst/>
              <a:latin typeface="+mn-lt"/>
              <a:ea typeface="+mn-ea"/>
              <a:cs typeface="+mn-cs"/>
            </a:rPr>
            <a:t>I'm open to an alternative if I see it working for other claimants</a:t>
          </a:r>
        </a:p>
        <a:p>
          <a:r>
            <a:rPr lang="en-US" sz="1100" b="0" i="0" u="none" strike="noStrike" baseline="0">
              <a:solidFill>
                <a:schemeClr val="dk1"/>
              </a:solidFill>
              <a:effectLst/>
              <a:latin typeface="+mn-lt"/>
              <a:ea typeface="+mn-ea"/>
              <a:cs typeface="+mn-cs"/>
            </a:rPr>
            <a:t>I'll try this pioneering alternative when I can make the time</a:t>
          </a:r>
        </a:p>
        <a:p>
          <a:r>
            <a:rPr lang="en-US" sz="1100"/>
            <a:t>I'm</a:t>
          </a:r>
          <a:r>
            <a:rPr lang="en-US" sz="1100" baseline="0"/>
            <a:t> </a:t>
          </a:r>
          <a:r>
            <a:rPr lang="en-US" sz="1100"/>
            <a:t>eager to try this</a:t>
          </a:r>
          <a:r>
            <a:rPr lang="en-US" sz="1100" baseline="0"/>
            <a:t> alternative now, even if it doesn't work</a:t>
          </a:r>
        </a:p>
        <a:p>
          <a:endParaRPr lang="en-US" sz="1100"/>
        </a:p>
      </xdr:txBody>
    </xdr:sp>
    <xdr:clientData/>
  </xdr:twoCellAnchor>
  <xdr:twoCellAnchor>
    <xdr:from>
      <xdr:col>26</xdr:col>
      <xdr:colOff>53340</xdr:colOff>
      <xdr:row>498</xdr:row>
      <xdr:rowOff>76200</xdr:rowOff>
    </xdr:from>
    <xdr:to>
      <xdr:col>38</xdr:col>
      <xdr:colOff>151130</xdr:colOff>
      <xdr:row>518</xdr:row>
      <xdr:rowOff>162560</xdr:rowOff>
    </xdr:to>
    <xdr:sp macro="" textlink="">
      <xdr:nvSpPr>
        <xdr:cNvPr id="198" name="Verification progress dropdown list" hidden="1">
          <a:extLst>
            <a:ext uri="{FF2B5EF4-FFF2-40B4-BE49-F238E27FC236}">
              <a16:creationId xmlns:a16="http://schemas.microsoft.com/office/drawing/2014/main" id="{20E5F72B-BAA4-4B68-8EF1-FA57B9401AD6}"/>
            </a:ext>
          </a:extLst>
        </xdr:cNvPr>
        <xdr:cNvSpPr txBox="1"/>
      </xdr:nvSpPr>
      <xdr:spPr>
        <a:xfrm>
          <a:off x="6202680" y="116707920"/>
          <a:ext cx="3206750" cy="1945640"/>
        </a:xfrm>
        <a:prstGeom prst="rect">
          <a:avLst/>
        </a:prstGeom>
        <a:solidFill>
          <a:schemeClr val="accent1">
            <a:lumMod val="20000"/>
            <a:lumOff val="80000"/>
          </a:schemeClr>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tabLst>
              <a:tab pos="3200400" algn="r"/>
            </a:tabLst>
          </a:pPr>
          <a:r>
            <a:rPr lang="en-US" sz="1300">
              <a:effectLst/>
              <a:latin typeface="Franklin Gothic Demi" panose="020B0703020102020204" pitchFamily="34" charset="0"/>
              <a:ea typeface="Calibri" panose="020F0502020204030204" pitchFamily="34" charset="0"/>
              <a:cs typeface="Times New Roman" panose="02020603050405020304" pitchFamily="18" charset="0"/>
            </a:rPr>
            <a:t>Verification progress</a:t>
          </a:r>
          <a:endParaRPr lang="en-US" sz="1600">
            <a:effectLst/>
            <a:latin typeface="Franklin Gothic Demi" panose="020B0703020102020204" pitchFamily="34" charset="0"/>
            <a:ea typeface="Calibri" panose="020F0502020204030204" pitchFamily="34" charset="0"/>
            <a:cs typeface="Times New Roman" panose="02020603050405020304" pitchFamily="18" charset="0"/>
          </a:endParaRP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locating my case documents	.1</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accessing my case documents	.2</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scanning my case documents	.3</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counting pages of case documents	.4</a:t>
          </a:r>
        </a:p>
        <a:p>
          <a:pPr marL="0" marR="0">
            <a:spcBef>
              <a:spcPts val="0"/>
            </a:spcBef>
            <a:spcAft>
              <a:spcPts val="0"/>
            </a:spcAft>
            <a:tabLst>
              <a:tab pos="3200400" algn="r"/>
            </a:tabLst>
          </a:pPr>
          <a:r>
            <a:rPr lang="en-US" sz="1100" spc="-20">
              <a:effectLst/>
              <a:latin typeface="Cambria" panose="02040503050406030204" pitchFamily="18" charset="0"/>
              <a:ea typeface="Cambria" panose="02040503050406030204" pitchFamily="18" charset="0"/>
              <a:cs typeface="Times New Roman" panose="02020603050405020304" pitchFamily="18" charset="0"/>
            </a:rPr>
            <a:t>Need help identifying support in case documents	.5</a:t>
          </a:r>
          <a:endParaRPr lang="en-US" sz="1100">
            <a:effectLst/>
            <a:latin typeface="Cambria" panose="02040503050406030204" pitchFamily="18" charset="0"/>
            <a:ea typeface="Cambria" panose="02040503050406030204" pitchFamily="18" charset="0"/>
            <a:cs typeface="Times New Roman" panose="02020603050405020304" pitchFamily="18" charset="0"/>
          </a:endParaRP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uploading case documents	.6</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checking if URL works	.7</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hiring independent verifiers	.8</a:t>
          </a:r>
        </a:p>
        <a:p>
          <a:pPr marL="0" marR="0">
            <a:spcBef>
              <a:spcPts val="0"/>
            </a:spcBef>
            <a:spcAft>
              <a:spcPts val="0"/>
            </a:spcAft>
            <a:tabLst>
              <a:tab pos="3200400" algn="r"/>
            </a:tabLst>
          </a:pPr>
          <a:r>
            <a:rPr lang="en-US" sz="1100" spc="-20">
              <a:effectLst/>
              <a:latin typeface="Cambria" panose="02040503050406030204" pitchFamily="18" charset="0"/>
              <a:ea typeface="Cambria" panose="02040503050406030204" pitchFamily="18" charset="0"/>
              <a:cs typeface="Times New Roman" panose="02020603050405020304" pitchFamily="18" charset="0"/>
            </a:rPr>
            <a:t>Need help verifying claim using case document</a:t>
          </a:r>
          <a:r>
            <a:rPr lang="en-US" sz="1100">
              <a:effectLst/>
              <a:latin typeface="Cambria" panose="02040503050406030204" pitchFamily="18" charset="0"/>
              <a:ea typeface="Cambria" panose="02040503050406030204" pitchFamily="18" charset="0"/>
              <a:cs typeface="Times New Roman" panose="02020603050405020304" pitchFamily="18" charset="0"/>
            </a:rPr>
            <a:t>s	.9</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accreditation on claim verification	1.0</a:t>
          </a:r>
        </a:p>
      </xdr:txBody>
    </xdr:sp>
    <xdr:clientData/>
  </xdr:twoCellAnchor>
  <xdr:twoCellAnchor>
    <xdr:from>
      <xdr:col>0</xdr:col>
      <xdr:colOff>114300</xdr:colOff>
      <xdr:row>3572</xdr:row>
      <xdr:rowOff>53340</xdr:rowOff>
    </xdr:from>
    <xdr:to>
      <xdr:col>5</xdr:col>
      <xdr:colOff>99060</xdr:colOff>
      <xdr:row>3573</xdr:row>
      <xdr:rowOff>121920</xdr:rowOff>
    </xdr:to>
    <xdr:sp macro="" textlink="">
      <xdr:nvSpPr>
        <xdr:cNvPr id="199" name="Rectangle: Beveled 198">
          <a:hlinkClick xmlns:r="http://schemas.openxmlformats.org/officeDocument/2006/relationships" r:id="rId30" tooltip="back to top"/>
          <a:extLst>
            <a:ext uri="{FF2B5EF4-FFF2-40B4-BE49-F238E27FC236}">
              <a16:creationId xmlns:a16="http://schemas.microsoft.com/office/drawing/2014/main" id="{B3831CD6-EF56-4188-AF73-A52EC1F02E6A}"/>
            </a:ext>
          </a:extLst>
        </xdr:cNvPr>
        <xdr:cNvSpPr/>
      </xdr:nvSpPr>
      <xdr:spPr>
        <a:xfrm>
          <a:off x="114300" y="680199300"/>
          <a:ext cx="5943600" cy="243840"/>
        </a:xfrm>
        <a:prstGeom prst="bevel">
          <a:avLst>
            <a:gd name="adj" fmla="val 8814"/>
          </a:avLst>
        </a:prstGeom>
        <a:gradFill flip="none" rotWithShape="1">
          <a:gsLst>
            <a:gs pos="0">
              <a:schemeClr val="accent4">
                <a:tint val="66000"/>
                <a:satMod val="160000"/>
              </a:schemeClr>
            </a:gs>
            <a:gs pos="50000">
              <a:schemeClr val="accent4">
                <a:tint val="44500"/>
                <a:satMod val="160000"/>
              </a:schemeClr>
            </a:gs>
            <a:gs pos="100000">
              <a:schemeClr val="accent4">
                <a:tint val="23500"/>
                <a:satMod val="160000"/>
              </a:schemeClr>
            </a:gs>
          </a:gsLst>
          <a:lin ang="16200000" scaled="1"/>
          <a:tileRect/>
        </a:gra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200">
              <a:solidFill>
                <a:srgbClr val="C00000"/>
              </a:solidFill>
              <a:latin typeface="Arial Black" panose="020B0A04020102020204" pitchFamily="34" charset="0"/>
            </a:rPr>
            <a:t>back to top</a:t>
          </a:r>
        </a:p>
      </xdr:txBody>
    </xdr:sp>
    <xdr:clientData/>
  </xdr:twoCellAnchor>
  <xdr:twoCellAnchor>
    <xdr:from>
      <xdr:col>0</xdr:col>
      <xdr:colOff>91440</xdr:colOff>
      <xdr:row>1731</xdr:row>
      <xdr:rowOff>91440</xdr:rowOff>
    </xdr:from>
    <xdr:to>
      <xdr:col>4</xdr:col>
      <xdr:colOff>83820</xdr:colOff>
      <xdr:row>1749</xdr:row>
      <xdr:rowOff>0</xdr:rowOff>
    </xdr:to>
    <xdr:grpSp>
      <xdr:nvGrpSpPr>
        <xdr:cNvPr id="201" name="Group 200">
          <a:extLst>
            <a:ext uri="{FF2B5EF4-FFF2-40B4-BE49-F238E27FC236}">
              <a16:creationId xmlns:a16="http://schemas.microsoft.com/office/drawing/2014/main" id="{262EC3CB-7DFB-4DA7-822B-8F00B88C450C}"/>
            </a:ext>
          </a:extLst>
        </xdr:cNvPr>
        <xdr:cNvGrpSpPr/>
      </xdr:nvGrpSpPr>
      <xdr:grpSpPr>
        <a:xfrm>
          <a:off x="91440" y="350526350"/>
          <a:ext cx="5878830" cy="0"/>
          <a:chOff x="175260" y="30243780"/>
          <a:chExt cx="5760720" cy="3241675"/>
        </a:xfrm>
      </xdr:grpSpPr>
      <xdr:pic>
        <xdr:nvPicPr>
          <xdr:cNvPr id="202" name="Picture 201">
            <a:extLst>
              <a:ext uri="{FF2B5EF4-FFF2-40B4-BE49-F238E27FC236}">
                <a16:creationId xmlns:a16="http://schemas.microsoft.com/office/drawing/2014/main" id="{6B980990-ABFF-4AD5-8791-C1C7DD3F7DC8}"/>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75260" y="30243780"/>
            <a:ext cx="5760720" cy="3241675"/>
          </a:xfrm>
          <a:prstGeom prst="rect">
            <a:avLst/>
          </a:prstGeom>
        </xdr:spPr>
      </xdr:pic>
      <xdr:grpSp>
        <xdr:nvGrpSpPr>
          <xdr:cNvPr id="203" name="skewed toward error 1 - WC">
            <a:extLst>
              <a:ext uri="{FF2B5EF4-FFF2-40B4-BE49-F238E27FC236}">
                <a16:creationId xmlns:a16="http://schemas.microsoft.com/office/drawing/2014/main" id="{44D39653-D4E8-47CF-9B58-63DFA4C425B6}"/>
              </a:ext>
            </a:extLst>
          </xdr:cNvPr>
          <xdr:cNvGrpSpPr>
            <a:grpSpLocks noChangeAspect="1"/>
          </xdr:cNvGrpSpPr>
        </xdr:nvGrpSpPr>
        <xdr:grpSpPr>
          <a:xfrm>
            <a:off x="487679" y="31623000"/>
            <a:ext cx="5120640" cy="1352222"/>
            <a:chOff x="696686" y="2909506"/>
            <a:chExt cx="10847614" cy="2864558"/>
          </a:xfrm>
        </xdr:grpSpPr>
        <xdr:sp macro="" textlink="">
          <xdr:nvSpPr>
            <xdr:cNvPr id="204" name="left curve">
              <a:extLst>
                <a:ext uri="{FF2B5EF4-FFF2-40B4-BE49-F238E27FC236}">
                  <a16:creationId xmlns:a16="http://schemas.microsoft.com/office/drawing/2014/main" id="{C2D68C0F-4331-4675-AD74-80524F2CF31F}"/>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205" name="right curve">
              <a:extLst>
                <a:ext uri="{FF2B5EF4-FFF2-40B4-BE49-F238E27FC236}">
                  <a16:creationId xmlns:a16="http://schemas.microsoft.com/office/drawing/2014/main" id="{AAF8554F-AA4D-4433-A10E-3C63C7E1CD25}"/>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206" name="bottom">
              <a:extLst>
                <a:ext uri="{FF2B5EF4-FFF2-40B4-BE49-F238E27FC236}">
                  <a16:creationId xmlns:a16="http://schemas.microsoft.com/office/drawing/2014/main" id="{A52881FD-C000-45A3-9A7B-672F26070EA1}"/>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207" name="dotted center">
              <a:extLst>
                <a:ext uri="{FF2B5EF4-FFF2-40B4-BE49-F238E27FC236}">
                  <a16:creationId xmlns:a16="http://schemas.microsoft.com/office/drawing/2014/main" id="{9B11D54A-ECDF-4FF8-BAAA-5C3969037ADA}"/>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39</xdr:col>
      <xdr:colOff>175260</xdr:colOff>
      <xdr:row>503</xdr:row>
      <xdr:rowOff>129540</xdr:rowOff>
    </xdr:from>
    <xdr:to>
      <xdr:col>51</xdr:col>
      <xdr:colOff>26126</xdr:colOff>
      <xdr:row>515</xdr:row>
      <xdr:rowOff>121920</xdr:rowOff>
    </xdr:to>
    <xdr:sp macro="" textlink="">
      <xdr:nvSpPr>
        <xdr:cNvPr id="208" name="Rectangle: Rounded Corners 207">
          <a:extLst>
            <a:ext uri="{FF2B5EF4-FFF2-40B4-BE49-F238E27FC236}">
              <a16:creationId xmlns:a16="http://schemas.microsoft.com/office/drawing/2014/main" id="{03ACF058-EE4E-4FE1-AC96-5F208CB3758B}"/>
            </a:ext>
          </a:extLst>
        </xdr:cNvPr>
        <xdr:cNvSpPr/>
      </xdr:nvSpPr>
      <xdr:spPr>
        <a:xfrm>
          <a:off x="9692640" y="117729000"/>
          <a:ext cx="2754086" cy="464820"/>
        </a:xfrm>
        <a:prstGeom prst="roundRect">
          <a:avLst>
            <a:gd name="adj" fmla="val 14516"/>
          </a:avLst>
        </a:prstGeom>
        <a:gradFill flip="none" rotWithShape="1">
          <a:gsLst>
            <a:gs pos="0">
              <a:srgbClr val="007832"/>
            </a:gs>
            <a:gs pos="50000">
              <a:srgbClr val="00B050"/>
            </a:gs>
            <a:gs pos="100000">
              <a:srgbClr val="01FF80"/>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800" b="1">
              <a:solidFill>
                <a:srgbClr val="9BFFC8"/>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click here for support</a:t>
          </a:r>
        </a:p>
      </xdr:txBody>
    </xdr:sp>
    <xdr:clientData/>
  </xdr:twoCellAnchor>
  <xdr:twoCellAnchor>
    <xdr:from>
      <xdr:col>3</xdr:col>
      <xdr:colOff>0</xdr:colOff>
      <xdr:row>2716</xdr:row>
      <xdr:rowOff>0</xdr:rowOff>
    </xdr:from>
    <xdr:to>
      <xdr:col>6</xdr:col>
      <xdr:colOff>388620</xdr:colOff>
      <xdr:row>2719</xdr:row>
      <xdr:rowOff>147502</xdr:rowOff>
    </xdr:to>
    <xdr:sp macro="" textlink="">
      <xdr:nvSpPr>
        <xdr:cNvPr id="209" name="TextBox 208">
          <a:extLst>
            <a:ext uri="{FF2B5EF4-FFF2-40B4-BE49-F238E27FC236}">
              <a16:creationId xmlns:a16="http://schemas.microsoft.com/office/drawing/2014/main" id="{B9FB3E09-9BFE-45EC-BF31-2C7CB5D61094}"/>
            </a:ext>
          </a:extLst>
        </xdr:cNvPr>
        <xdr:cNvSpPr txBox="1"/>
      </xdr:nvSpPr>
      <xdr:spPr>
        <a:xfrm>
          <a:off x="3794760" y="446692020"/>
          <a:ext cx="2743200" cy="696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Initial statements to police: </a:t>
          </a:r>
        </a:p>
        <a:p>
          <a:endParaRPr lang="en-US" sz="1100"/>
        </a:p>
        <a:p>
          <a:endParaRPr lang="en-US" sz="1100" baseline="0"/>
        </a:p>
      </xdr:txBody>
    </xdr:sp>
    <xdr:clientData/>
  </xdr:twoCellAnchor>
  <xdr:twoCellAnchor>
    <xdr:from>
      <xdr:col>3</xdr:col>
      <xdr:colOff>87086</xdr:colOff>
      <xdr:row>2717</xdr:row>
      <xdr:rowOff>81640</xdr:rowOff>
    </xdr:from>
    <xdr:to>
      <xdr:col>8</xdr:col>
      <xdr:colOff>170906</xdr:colOff>
      <xdr:row>2732</xdr:row>
      <xdr:rowOff>161379</xdr:rowOff>
    </xdr:to>
    <xdr:sp macro="" textlink="">
      <xdr:nvSpPr>
        <xdr:cNvPr id="210" name="TextBox 209">
          <a:extLst>
            <a:ext uri="{FF2B5EF4-FFF2-40B4-BE49-F238E27FC236}">
              <a16:creationId xmlns:a16="http://schemas.microsoft.com/office/drawing/2014/main" id="{3907A823-32B1-44B7-8AC7-1751C91C1C01}"/>
            </a:ext>
          </a:extLst>
        </xdr:cNvPr>
        <xdr:cNvSpPr txBox="1"/>
      </xdr:nvSpPr>
      <xdr:spPr>
        <a:xfrm>
          <a:off x="3881846" y="446956540"/>
          <a:ext cx="3657600" cy="2899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Your understanding of your statements to police: </a:t>
          </a:r>
        </a:p>
        <a:p>
          <a:r>
            <a:rPr lang="en-US" sz="1100">
              <a:solidFill>
                <a:srgbClr val="7030A0"/>
              </a:solidFill>
              <a:latin typeface="Arial Black" panose="020B0A04020102020204" pitchFamily="34" charset="0"/>
            </a:rPr>
            <a:t>[</a:t>
          </a:r>
          <a:r>
            <a:rPr lang="en-US" sz="1100" i="1">
              <a:solidFill>
                <a:srgbClr val="7030A0"/>
              </a:solidFill>
              <a:latin typeface="Arial Black" panose="020B0A04020102020204" pitchFamily="34" charset="0"/>
            </a:rPr>
            <a:t>in situ</a:t>
          </a:r>
          <a:r>
            <a:rPr lang="en-US" sz="1100" i="1" baseline="0">
              <a:solidFill>
                <a:srgbClr val="7030A0"/>
              </a:solidFill>
              <a:latin typeface="Arial Black" panose="020B0A04020102020204" pitchFamily="34" charset="0"/>
            </a:rPr>
            <a:t> </a:t>
          </a:r>
          <a:r>
            <a:rPr lang="en-US" sz="1100" baseline="0">
              <a:solidFill>
                <a:srgbClr val="7030A0"/>
              </a:solidFill>
              <a:latin typeface="Arial Black" panose="020B0A04020102020204" pitchFamily="34" charset="0"/>
            </a:rPr>
            <a:t>Impact Relating]</a:t>
          </a:r>
          <a:endParaRPr lang="en-US" sz="1100">
            <a:solidFill>
              <a:srgbClr val="7030A0"/>
            </a:solidFill>
            <a:latin typeface="Arial Black" panose="020B0A04020102020204" pitchFamily="34" charset="0"/>
          </a:endParaRPr>
        </a:p>
        <a:p>
          <a:r>
            <a:rPr lang="en-US" sz="1100" baseline="0"/>
            <a:t>asserting right to remain silent</a:t>
          </a:r>
        </a:p>
        <a:p>
          <a:r>
            <a:rPr lang="en-US" sz="1100" baseline="0"/>
            <a:t>not yet a suspect nor "person of interest"</a:t>
          </a:r>
        </a:p>
        <a:p>
          <a:r>
            <a:rPr lang="en-US" sz="1100" baseline="0"/>
            <a:t>feared arrest if wasn't openly cooperative</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providing helpful information to investigate alleged incident</a:t>
          </a:r>
          <a:endParaRPr lang="en-US">
            <a:effectLst/>
          </a:endParaRPr>
        </a:p>
        <a:p>
          <a:r>
            <a:rPr lang="en-US" sz="1100" baseline="0"/>
            <a:t>providing helpful information to investigate someone else</a:t>
          </a:r>
        </a:p>
        <a:p>
          <a:r>
            <a:rPr lang="en-US" sz="1100" baseline="0"/>
            <a:t>implicate actual perpetrator</a:t>
          </a:r>
        </a:p>
        <a:p>
          <a:r>
            <a:rPr lang="en-US" sz="1100" baseline="0"/>
            <a:t>inquire what police were investigating</a:t>
          </a:r>
        </a:p>
        <a:p>
          <a:r>
            <a:rPr lang="en-US" sz="1100" baseline="0"/>
            <a:t>inquire about a matter of law ostensibly being enforced</a:t>
          </a:r>
        </a:p>
        <a:p>
          <a:r>
            <a:rPr lang="en-US" sz="1100" baseline="0"/>
            <a:t>inquire about nature of accusation(s)</a:t>
          </a:r>
        </a:p>
        <a:p>
          <a:r>
            <a:rPr lang="en-US" sz="1100" baseline="0"/>
            <a:t>inquire who was making accusation(s)</a:t>
          </a:r>
        </a:p>
        <a:p>
          <a:r>
            <a:rPr lang="en-US" sz="1100" baseline="0"/>
            <a:t>admit being present but having no criminal role</a:t>
          </a:r>
        </a:p>
        <a:p>
          <a:r>
            <a:rPr lang="en-US" sz="1100" baseline="0"/>
            <a:t>deny being present with any criminal role</a:t>
          </a:r>
        </a:p>
        <a:p>
          <a:r>
            <a:rPr lang="en-US" sz="1100" baseline="0"/>
            <a:t>admit to involvement assumed not to be criminal</a:t>
          </a:r>
        </a:p>
        <a:p>
          <a:r>
            <a:rPr lang="en-US" sz="1100" baseline="0"/>
            <a:t>other (explain below)</a:t>
          </a:r>
        </a:p>
        <a:p>
          <a:endParaRPr lang="en-US" sz="1100" baseline="0"/>
        </a:p>
        <a:p>
          <a:endParaRPr lang="en-US" sz="1100" baseline="0"/>
        </a:p>
        <a:p>
          <a:endParaRPr lang="en-US" sz="1100" baseline="0"/>
        </a:p>
      </xdr:txBody>
    </xdr:sp>
    <xdr:clientData/>
  </xdr:twoCellAnchor>
  <xdr:twoCellAnchor>
    <xdr:from>
      <xdr:col>31</xdr:col>
      <xdr:colOff>76200</xdr:colOff>
      <xdr:row>2727</xdr:row>
      <xdr:rowOff>123008</xdr:rowOff>
    </xdr:from>
    <xdr:to>
      <xdr:col>37</xdr:col>
      <xdr:colOff>188360</xdr:colOff>
      <xdr:row>2729</xdr:row>
      <xdr:rowOff>108855</xdr:rowOff>
    </xdr:to>
    <xdr:sp macro="" textlink="">
      <xdr:nvSpPr>
        <xdr:cNvPr id="211" name="Rectangle: Rounded Corners 210">
          <a:extLst>
            <a:ext uri="{FF2B5EF4-FFF2-40B4-BE49-F238E27FC236}">
              <a16:creationId xmlns:a16="http://schemas.microsoft.com/office/drawing/2014/main" id="{1FF7D07B-5E81-4DE5-9C96-6E23F5A5F062}"/>
            </a:ext>
          </a:extLst>
        </xdr:cNvPr>
        <xdr:cNvSpPr/>
      </xdr:nvSpPr>
      <xdr:spPr>
        <a:xfrm>
          <a:off x="7520940" y="437709128"/>
          <a:ext cx="1666640" cy="389707"/>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solidFill>
                <a:srgbClr val="D088FC"/>
              </a:solidFill>
              <a:latin typeface="+mn-lt"/>
              <a:ea typeface="+mn-ea"/>
              <a:cs typeface="+mn-cs"/>
            </a:rPr>
            <a:t>race of victim</a:t>
          </a:r>
        </a:p>
      </xdr:txBody>
    </xdr:sp>
    <xdr:clientData/>
  </xdr:twoCellAnchor>
  <xdr:twoCellAnchor>
    <xdr:from>
      <xdr:col>28</xdr:col>
      <xdr:colOff>39223</xdr:colOff>
      <xdr:row>2718</xdr:row>
      <xdr:rowOff>152400</xdr:rowOff>
    </xdr:from>
    <xdr:to>
      <xdr:col>49</xdr:col>
      <xdr:colOff>182916</xdr:colOff>
      <xdr:row>2723</xdr:row>
      <xdr:rowOff>50074</xdr:rowOff>
    </xdr:to>
    <xdr:sp macro="" textlink="">
      <xdr:nvSpPr>
        <xdr:cNvPr id="212" name="Rectangle: Rounded Corners 211">
          <a:extLst>
            <a:ext uri="{FF2B5EF4-FFF2-40B4-BE49-F238E27FC236}">
              <a16:creationId xmlns:a16="http://schemas.microsoft.com/office/drawing/2014/main" id="{61B0D716-DE0F-4F40-B7BC-9F35129B8D30}"/>
            </a:ext>
          </a:extLst>
        </xdr:cNvPr>
        <xdr:cNvSpPr/>
      </xdr:nvSpPr>
      <xdr:spPr>
        <a:xfrm>
          <a:off x="18898723" y="436016400"/>
          <a:ext cx="5515793"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27</xdr:col>
      <xdr:colOff>1155</xdr:colOff>
      <xdr:row>3034</xdr:row>
      <xdr:rowOff>0</xdr:rowOff>
    </xdr:from>
    <xdr:to>
      <xdr:col>42</xdr:col>
      <xdr:colOff>120536</xdr:colOff>
      <xdr:row>3041</xdr:row>
      <xdr:rowOff>726</xdr:rowOff>
    </xdr:to>
    <xdr:sp macro="" textlink="">
      <xdr:nvSpPr>
        <xdr:cNvPr id="213" name="TextBox 212">
          <a:extLst>
            <a:ext uri="{FF2B5EF4-FFF2-40B4-BE49-F238E27FC236}">
              <a16:creationId xmlns:a16="http://schemas.microsoft.com/office/drawing/2014/main" id="{35F33340-55AA-40EB-837A-47FECDC402F4}"/>
            </a:ext>
          </a:extLst>
        </xdr:cNvPr>
        <xdr:cNvSpPr txBox="1"/>
      </xdr:nvSpPr>
      <xdr:spPr>
        <a:xfrm>
          <a:off x="6409575" y="490171740"/>
          <a:ext cx="4005581" cy="1273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Request</a:t>
          </a:r>
          <a:r>
            <a:rPr lang="en-US" sz="1100" b="1" i="0" u="none" strike="noStrike" baseline="0">
              <a:solidFill>
                <a:schemeClr val="dk1"/>
              </a:solidFill>
              <a:effectLst/>
              <a:latin typeface="+mn-lt"/>
              <a:ea typeface="+mn-ea"/>
              <a:cs typeface="+mn-cs"/>
            </a:rPr>
            <a:t> not honored:</a:t>
          </a:r>
        </a:p>
        <a:p>
          <a:r>
            <a:rPr lang="en-US" sz="1100" b="0" i="0" u="none" strike="noStrike" baseline="0">
              <a:solidFill>
                <a:schemeClr val="dk1"/>
              </a:solidFill>
              <a:effectLst/>
              <a:latin typeface="+mn-lt"/>
              <a:ea typeface="+mn-ea"/>
              <a:cs typeface="+mn-cs"/>
            </a:rPr>
            <a:t>Prioritizing assistance to claimants on death row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life sentance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long sentences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still in prison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27</xdr:col>
      <xdr:colOff>0</xdr:colOff>
      <xdr:row>3041</xdr:row>
      <xdr:rowOff>90747</xdr:rowOff>
    </xdr:from>
    <xdr:to>
      <xdr:col>42</xdr:col>
      <xdr:colOff>116610</xdr:colOff>
      <xdr:row>3052</xdr:row>
      <xdr:rowOff>35593</xdr:rowOff>
    </xdr:to>
    <xdr:sp macro="" textlink="">
      <xdr:nvSpPr>
        <xdr:cNvPr id="214" name="TextBox 213">
          <a:extLst>
            <a:ext uri="{FF2B5EF4-FFF2-40B4-BE49-F238E27FC236}">
              <a16:creationId xmlns:a16="http://schemas.microsoft.com/office/drawing/2014/main" id="{F8F56816-10F4-437A-94C3-C699AC42B2C5}"/>
            </a:ext>
          </a:extLst>
        </xdr:cNvPr>
        <xdr:cNvSpPr txBox="1"/>
      </xdr:nvSpPr>
      <xdr:spPr>
        <a:xfrm>
          <a:off x="6408420" y="491535027"/>
          <a:ext cx="4002810" cy="1941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hestitancy</a:t>
          </a:r>
          <a:r>
            <a:rPr lang="en-US" sz="1100" b="1" i="0" u="none" strike="noStrike" baseline="0">
              <a:solidFill>
                <a:schemeClr val="dk1"/>
              </a:solidFill>
              <a:effectLst/>
              <a:latin typeface="+mn-lt"/>
              <a:ea typeface="+mn-ea"/>
              <a:cs typeface="+mn-cs"/>
            </a:rPr>
            <a:t> to trust or seek legal recourse:</a:t>
          </a:r>
        </a:p>
        <a:p>
          <a:r>
            <a:rPr lang="en-US" sz="1100" b="0" i="0" u="none" strike="noStrike" baseline="0">
              <a:solidFill>
                <a:schemeClr val="dk1"/>
              </a:solidFill>
              <a:effectLst/>
              <a:latin typeface="+mn-lt"/>
              <a:ea typeface="+mn-ea"/>
              <a:cs typeface="+mn-cs"/>
            </a:rPr>
            <a:t>fear of retraumatization</a:t>
          </a:r>
        </a:p>
        <a:p>
          <a:r>
            <a:rPr lang="en-US" sz="1100" b="0" i="0" u="none" strike="noStrike" baseline="0">
              <a:solidFill>
                <a:schemeClr val="dk1"/>
              </a:solidFill>
              <a:effectLst/>
              <a:latin typeface="+mn-lt"/>
              <a:ea typeface="+mn-ea"/>
              <a:cs typeface="+mn-cs"/>
            </a:rPr>
            <a:t>struggled with depression</a:t>
          </a:r>
        </a:p>
        <a:p>
          <a:r>
            <a:rPr lang="en-US" sz="1100" b="0" i="0" u="none" strike="noStrike" baseline="0">
              <a:solidFill>
                <a:schemeClr val="dk1"/>
              </a:solidFill>
              <a:effectLst/>
              <a:latin typeface="+mn-lt"/>
              <a:ea typeface="+mn-ea"/>
              <a:cs typeface="+mn-cs"/>
            </a:rPr>
            <a:t>fear of dismissiveness; low priority</a:t>
          </a:r>
        </a:p>
        <a:p>
          <a:r>
            <a:rPr lang="en-US" sz="1100" b="0" i="0" u="none" strike="noStrike" baseline="0">
              <a:solidFill>
                <a:schemeClr val="dk1"/>
              </a:solidFill>
              <a:effectLst/>
              <a:latin typeface="+mn-lt"/>
              <a:ea typeface="+mn-ea"/>
              <a:cs typeface="+mn-cs"/>
            </a:rPr>
            <a:t>anxiety  from trusting same process creating egregious error</a:t>
          </a:r>
        </a:p>
        <a:p>
          <a:r>
            <a:rPr lang="en-US" sz="1100" b="0" i="0" u="none" strike="noStrike" baseline="0">
              <a:solidFill>
                <a:schemeClr val="dk1"/>
              </a:solidFill>
              <a:effectLst/>
              <a:latin typeface="+mn-lt"/>
              <a:ea typeface="+mn-ea"/>
              <a:cs typeface="+mn-cs"/>
            </a:rPr>
            <a:t>anxiety from extremely slow process of court review</a:t>
          </a:r>
        </a:p>
        <a:p>
          <a:r>
            <a:rPr lang="en-US" sz="1100" b="0" i="0" u="none" strike="noStrike" baseline="0">
              <a:solidFill>
                <a:schemeClr val="dk1"/>
              </a:solidFill>
              <a:effectLst/>
              <a:latin typeface="+mn-lt"/>
              <a:ea typeface="+mn-ea"/>
              <a:cs typeface="+mn-cs"/>
            </a:rPr>
            <a:t>anxiety from prosecutor resisting admission of being wrong</a:t>
          </a:r>
        </a:p>
        <a:p>
          <a:r>
            <a:rPr lang="en-US" sz="1100" b="0" i="0" u="none" strike="noStrike" baseline="0">
              <a:solidFill>
                <a:schemeClr val="dk1"/>
              </a:solidFill>
              <a:effectLst/>
              <a:latin typeface="+mn-lt"/>
              <a:ea typeface="+mn-ea"/>
              <a:cs typeface="+mn-cs"/>
            </a:rPr>
            <a:t>anxiety from being denied review/reversal by technicality</a:t>
          </a:r>
        </a:p>
        <a:p>
          <a:r>
            <a:rPr lang="en-US" sz="1100" b="0" i="0" u="none" strike="noStrike" baseline="0">
              <a:solidFill>
                <a:schemeClr val="dk1"/>
              </a:solidFill>
              <a:effectLst/>
              <a:latin typeface="+mn-lt"/>
              <a:ea typeface="+mn-ea"/>
              <a:cs typeface="+mn-cs"/>
            </a:rPr>
            <a:t>disillusioned with process (no longer seeking exoneration)</a:t>
          </a:r>
        </a:p>
        <a:p>
          <a:r>
            <a:rPr lang="en-US" sz="1100" b="0" i="0" u="none" strike="noStrike" baseline="0">
              <a:solidFill>
                <a:schemeClr val="dk1"/>
              </a:solidFill>
              <a:effectLst/>
              <a:latin typeface="+mn-lt"/>
              <a:ea typeface="+mn-ea"/>
              <a:cs typeface="+mn-cs"/>
            </a:rPr>
            <a:t>conflict of interest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xdr:col>
      <xdr:colOff>114300</xdr:colOff>
      <xdr:row>2900</xdr:row>
      <xdr:rowOff>60960</xdr:rowOff>
    </xdr:from>
    <xdr:to>
      <xdr:col>7</xdr:col>
      <xdr:colOff>182880</xdr:colOff>
      <xdr:row>2905</xdr:row>
      <xdr:rowOff>34834</xdr:rowOff>
    </xdr:to>
    <xdr:sp macro="" textlink="">
      <xdr:nvSpPr>
        <xdr:cNvPr id="215" name="Rectangle: Rounded Corners 214">
          <a:extLst>
            <a:ext uri="{FF2B5EF4-FFF2-40B4-BE49-F238E27FC236}">
              <a16:creationId xmlns:a16="http://schemas.microsoft.com/office/drawing/2014/main" id="{D03DEC86-A3E7-47DC-858D-A45582712983}"/>
            </a:ext>
          </a:extLst>
        </xdr:cNvPr>
        <xdr:cNvSpPr/>
      </xdr:nvSpPr>
      <xdr:spPr>
        <a:xfrm>
          <a:off x="1455420" y="480402900"/>
          <a:ext cx="5486400"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65</xdr:col>
      <xdr:colOff>175260</xdr:colOff>
      <xdr:row>2452</xdr:row>
      <xdr:rowOff>106680</xdr:rowOff>
    </xdr:from>
    <xdr:to>
      <xdr:col>74</xdr:col>
      <xdr:colOff>129540</xdr:colOff>
      <xdr:row>2481</xdr:row>
      <xdr:rowOff>137160</xdr:rowOff>
    </xdr:to>
    <xdr:sp macro="" textlink="">
      <xdr:nvSpPr>
        <xdr:cNvPr id="216" name="Rectangle: Rounded Corners 215">
          <a:extLst>
            <a:ext uri="{FF2B5EF4-FFF2-40B4-BE49-F238E27FC236}">
              <a16:creationId xmlns:a16="http://schemas.microsoft.com/office/drawing/2014/main" id="{7BBB3BDE-AEE3-49F6-88E2-BC35F8C68E0C}"/>
            </a:ext>
          </a:extLst>
        </xdr:cNvPr>
        <xdr:cNvSpPr/>
      </xdr:nvSpPr>
      <xdr:spPr>
        <a:xfrm>
          <a:off x="29649420" y="435010560"/>
          <a:ext cx="2286000" cy="5455920"/>
        </a:xfrm>
        <a:prstGeom prst="roundRect">
          <a:avLst>
            <a:gd name="adj" fmla="val 5176"/>
          </a:avLst>
        </a:prstGeom>
        <a:solidFill>
          <a:srgbClr val="ED65AC">
            <a:alpha val="90980"/>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a:solidFill>
                <a:srgbClr val="00B050"/>
              </a:solidFill>
            </a:rPr>
            <a:t>A</a:t>
          </a:r>
          <a:r>
            <a:rPr lang="en-US" sz="1600" baseline="0">
              <a:solidFill>
                <a:srgbClr val="00B050"/>
              </a:solidFill>
            </a:rPr>
            <a:t> 	A149:F295</a:t>
          </a:r>
        </a:p>
        <a:p>
          <a:pPr algn="l"/>
          <a:r>
            <a:rPr lang="en-US" sz="1600" baseline="0">
              <a:solidFill>
                <a:srgbClr val="00B050"/>
              </a:solidFill>
            </a:rPr>
            <a:t>B 	A296:F461</a:t>
          </a:r>
        </a:p>
        <a:p>
          <a:pPr algn="l"/>
          <a:r>
            <a:rPr lang="en-US" sz="1600" baseline="0">
              <a:solidFill>
                <a:srgbClr val="00B050"/>
              </a:solidFill>
            </a:rPr>
            <a:t>C1	A462:F496</a:t>
          </a:r>
        </a:p>
        <a:p>
          <a:pPr algn="l"/>
          <a:r>
            <a:rPr lang="en-US" sz="1600" baseline="0">
              <a:solidFill>
                <a:srgbClr val="00B050"/>
              </a:solidFill>
            </a:rPr>
            <a:t>C2	A497:F530</a:t>
          </a:r>
        </a:p>
        <a:p>
          <a:pPr algn="l"/>
          <a:r>
            <a:rPr lang="en-US" sz="1600" baseline="0">
              <a:solidFill>
                <a:srgbClr val="00B050"/>
              </a:solidFill>
            </a:rPr>
            <a:t>C3	A531:F564</a:t>
          </a:r>
        </a:p>
        <a:p>
          <a:pPr algn="l"/>
          <a:r>
            <a:rPr lang="en-US" sz="1600" baseline="0">
              <a:solidFill>
                <a:srgbClr val="00B050"/>
              </a:solidFill>
            </a:rPr>
            <a:t>C4	A565:F598</a:t>
          </a:r>
        </a:p>
        <a:p>
          <a:pPr algn="l"/>
          <a:r>
            <a:rPr lang="en-US" sz="1600" baseline="0">
              <a:solidFill>
                <a:srgbClr val="00B050"/>
              </a:solidFill>
            </a:rPr>
            <a:t>C5	A599:F641</a:t>
          </a:r>
        </a:p>
        <a:p>
          <a:pPr algn="l"/>
          <a:r>
            <a:rPr lang="en-US" sz="1600" baseline="0">
              <a:solidFill>
                <a:srgbClr val="00B050"/>
              </a:solidFill>
            </a:rPr>
            <a:t>C6	A642:F680</a:t>
          </a:r>
        </a:p>
        <a:p>
          <a:pPr algn="l"/>
          <a:r>
            <a:rPr lang="en-US" sz="1600" baseline="0">
              <a:solidFill>
                <a:srgbClr val="00B050"/>
              </a:solidFill>
            </a:rPr>
            <a:t>C7	A681:F690</a:t>
          </a:r>
        </a:p>
        <a:p>
          <a:pPr algn="l"/>
          <a:r>
            <a:rPr lang="en-US" sz="1600" baseline="0">
              <a:solidFill>
                <a:srgbClr val="00B050"/>
              </a:solidFill>
            </a:rPr>
            <a:t>C8	A691:F718</a:t>
          </a:r>
        </a:p>
        <a:p>
          <a:pPr algn="l"/>
          <a:r>
            <a:rPr lang="en-US" sz="1600">
              <a:solidFill>
                <a:srgbClr val="00B050"/>
              </a:solidFill>
            </a:rPr>
            <a:t>D	A719:F747</a:t>
          </a:r>
        </a:p>
        <a:p>
          <a:pPr algn="l"/>
          <a:r>
            <a:rPr lang="en-US" sz="1600">
              <a:solidFill>
                <a:srgbClr val="00B050"/>
              </a:solidFill>
            </a:rPr>
            <a:t>E	A748:F824</a:t>
          </a:r>
        </a:p>
        <a:p>
          <a:pPr algn="l"/>
          <a:r>
            <a:rPr lang="en-US" sz="1600">
              <a:solidFill>
                <a:srgbClr val="00B050"/>
              </a:solidFill>
            </a:rPr>
            <a:t>F	A825:F867</a:t>
          </a:r>
        </a:p>
        <a:p>
          <a:pPr algn="l"/>
          <a:r>
            <a:rPr lang="en-US" sz="1600">
              <a:solidFill>
                <a:srgbClr val="00B050"/>
              </a:solidFill>
            </a:rPr>
            <a:t>G	A868:F1047</a:t>
          </a:r>
        </a:p>
        <a:p>
          <a:pPr algn="l"/>
          <a:r>
            <a:rPr lang="en-US" sz="1600">
              <a:solidFill>
                <a:srgbClr val="00B050"/>
              </a:solidFill>
            </a:rPr>
            <a:t>H	A1048:F1089</a:t>
          </a:r>
        </a:p>
        <a:p>
          <a:pPr algn="l"/>
          <a:r>
            <a:rPr lang="en-US" sz="1600">
              <a:solidFill>
                <a:srgbClr val="00B050"/>
              </a:solidFill>
            </a:rPr>
            <a:t>I	A1090:F1181</a:t>
          </a:r>
        </a:p>
        <a:p>
          <a:pPr algn="l"/>
          <a:r>
            <a:rPr lang="en-US" sz="1600">
              <a:solidFill>
                <a:srgbClr val="00B050"/>
              </a:solidFill>
            </a:rPr>
            <a:t>J	A1182:F1461</a:t>
          </a:r>
        </a:p>
        <a:p>
          <a:pPr algn="l"/>
          <a:r>
            <a:rPr lang="en-US" sz="1600">
              <a:solidFill>
                <a:srgbClr val="00B050"/>
              </a:solidFill>
            </a:rPr>
            <a:t>K	A1462:F1535</a:t>
          </a:r>
        </a:p>
        <a:p>
          <a:pPr algn="l"/>
          <a:r>
            <a:rPr lang="en-US" sz="1600">
              <a:solidFill>
                <a:srgbClr val="00B050"/>
              </a:solidFill>
            </a:rPr>
            <a:t>L	A1536:F1582</a:t>
          </a:r>
        </a:p>
        <a:p>
          <a:pPr algn="l"/>
          <a:r>
            <a:rPr lang="en-US" sz="1600">
              <a:solidFill>
                <a:srgbClr val="00B050"/>
              </a:solidFill>
            </a:rPr>
            <a:t>M	A1583:F1629</a:t>
          </a:r>
        </a:p>
      </xdr:txBody>
    </xdr:sp>
    <xdr:clientData/>
  </xdr:twoCellAnchor>
  <xdr:twoCellAnchor>
    <xdr:from>
      <xdr:col>128</xdr:col>
      <xdr:colOff>83820</xdr:colOff>
      <xdr:row>499</xdr:row>
      <xdr:rowOff>114300</xdr:rowOff>
    </xdr:from>
    <xdr:to>
      <xdr:col>130</xdr:col>
      <xdr:colOff>460466</xdr:colOff>
      <xdr:row>502</xdr:row>
      <xdr:rowOff>30480</xdr:rowOff>
    </xdr:to>
    <xdr:sp macro="" textlink="">
      <xdr:nvSpPr>
        <xdr:cNvPr id="225" name="Rectangle: Rounded Corners 224">
          <a:extLst>
            <a:ext uri="{FF2B5EF4-FFF2-40B4-BE49-F238E27FC236}">
              <a16:creationId xmlns:a16="http://schemas.microsoft.com/office/drawing/2014/main" id="{943B13E0-AD3C-4E07-8C3B-8273727B0EC8}"/>
            </a:ext>
          </a:extLst>
        </xdr:cNvPr>
        <xdr:cNvSpPr/>
      </xdr:nvSpPr>
      <xdr:spPr>
        <a:xfrm>
          <a:off x="20474940" y="116936520"/>
          <a:ext cx="2754086" cy="464820"/>
        </a:xfrm>
        <a:prstGeom prst="roundRect">
          <a:avLst>
            <a:gd name="adj" fmla="val 14516"/>
          </a:avLst>
        </a:prstGeom>
        <a:gradFill flip="none" rotWithShape="1">
          <a:gsLst>
            <a:gs pos="0">
              <a:srgbClr val="007832"/>
            </a:gs>
            <a:gs pos="50000">
              <a:srgbClr val="00B050"/>
            </a:gs>
            <a:gs pos="100000">
              <a:srgbClr val="01FF80"/>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2000" b="1">
              <a:solidFill>
                <a:srgbClr val="9BFFC8"/>
              </a:solidFill>
              <a:latin typeface="+mn-lt"/>
              <a:ea typeface="+mn-ea"/>
              <a:cs typeface="+mn-cs"/>
            </a:rPr>
            <a:t>click here for support</a:t>
          </a:r>
        </a:p>
      </xdr:txBody>
    </xdr:sp>
    <xdr:clientData/>
  </xdr:twoCellAnchor>
  <xdr:twoCellAnchor>
    <xdr:from>
      <xdr:col>32</xdr:col>
      <xdr:colOff>34290</xdr:colOff>
      <xdr:row>1237</xdr:row>
      <xdr:rowOff>133713</xdr:rowOff>
    </xdr:from>
    <xdr:to>
      <xdr:col>40</xdr:col>
      <xdr:colOff>234950</xdr:colOff>
      <xdr:row>1239</xdr:row>
      <xdr:rowOff>27033</xdr:rowOff>
    </xdr:to>
    <xdr:sp macro="" textlink="">
      <xdr:nvSpPr>
        <xdr:cNvPr id="226" name="Rectangle: Rounded Corners 225">
          <a:hlinkClick xmlns:r="http://schemas.openxmlformats.org/officeDocument/2006/relationships" r:id="rId32" tooltip="Download this tool for free"/>
          <a:extLst>
            <a:ext uri="{FF2B5EF4-FFF2-40B4-BE49-F238E27FC236}">
              <a16:creationId xmlns:a16="http://schemas.microsoft.com/office/drawing/2014/main" id="{6283E9A9-0224-4AA7-8E6B-A7508181929D}"/>
            </a:ext>
          </a:extLst>
        </xdr:cNvPr>
        <xdr:cNvSpPr/>
      </xdr:nvSpPr>
      <xdr:spPr>
        <a:xfrm>
          <a:off x="20360640" y="337693363"/>
          <a:ext cx="2334260" cy="32512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a:solidFill>
                <a:srgbClr val="006E32"/>
              </a:solidFill>
              <a:latin typeface="Franklin Gothic Demi" panose="020B0703020102020204" pitchFamily="34" charset="0"/>
            </a:rPr>
            <a:t>Estimated Innocence</a:t>
          </a:r>
        </a:p>
      </xdr:txBody>
    </xdr:sp>
    <xdr:clientData/>
  </xdr:twoCellAnchor>
  <xdr:twoCellAnchor>
    <xdr:from>
      <xdr:col>2</xdr:col>
      <xdr:colOff>2004060</xdr:colOff>
      <xdr:row>1246</xdr:row>
      <xdr:rowOff>127363</xdr:rowOff>
    </xdr:from>
    <xdr:to>
      <xdr:col>3</xdr:col>
      <xdr:colOff>1836420</xdr:colOff>
      <xdr:row>1248</xdr:row>
      <xdr:rowOff>20683</xdr:rowOff>
    </xdr:to>
    <xdr:sp macro="" textlink="">
      <xdr:nvSpPr>
        <xdr:cNvPr id="227" name="Rectangle: Rounded Corners 226">
          <a:hlinkClick xmlns:r="http://schemas.openxmlformats.org/officeDocument/2006/relationships" r:id="rId32" tooltip="Book a 25-min. RELATE Your Innocence session with me"/>
          <a:extLst>
            <a:ext uri="{FF2B5EF4-FFF2-40B4-BE49-F238E27FC236}">
              <a16:creationId xmlns:a16="http://schemas.microsoft.com/office/drawing/2014/main" id="{ADAE5D78-74DA-4A48-BF14-EA71782187FE}"/>
            </a:ext>
          </a:extLst>
        </xdr:cNvPr>
        <xdr:cNvSpPr/>
      </xdr:nvSpPr>
      <xdr:spPr>
        <a:xfrm>
          <a:off x="3345180" y="338402023"/>
          <a:ext cx="2286000" cy="3200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a:solidFill>
                <a:srgbClr val="006E32"/>
              </a:solidFill>
              <a:latin typeface="Franklin Gothic Demi" panose="020B0703020102020204" pitchFamily="34" charset="0"/>
            </a:rPr>
            <a:t>Responsive</a:t>
          </a:r>
          <a:r>
            <a:rPr lang="en-US" sz="1400" baseline="0">
              <a:solidFill>
                <a:srgbClr val="006E32"/>
              </a:solidFill>
              <a:latin typeface="Franklin Gothic Demi" panose="020B0703020102020204" pitchFamily="34" charset="0"/>
            </a:rPr>
            <a:t> I</a:t>
          </a:r>
          <a:r>
            <a:rPr lang="en-US" sz="1400">
              <a:solidFill>
                <a:srgbClr val="006E32"/>
              </a:solidFill>
              <a:latin typeface="Franklin Gothic Demi" panose="020B0703020102020204" pitchFamily="34" charset="0"/>
            </a:rPr>
            <a:t>nnocence</a:t>
          </a:r>
        </a:p>
      </xdr:txBody>
    </xdr:sp>
    <xdr:clientData/>
  </xdr:twoCellAnchor>
  <xdr:twoCellAnchor>
    <xdr:from>
      <xdr:col>2</xdr:col>
      <xdr:colOff>2042160</xdr:colOff>
      <xdr:row>1254</xdr:row>
      <xdr:rowOff>112123</xdr:rowOff>
    </xdr:from>
    <xdr:to>
      <xdr:col>3</xdr:col>
      <xdr:colOff>1874520</xdr:colOff>
      <xdr:row>1256</xdr:row>
      <xdr:rowOff>43543</xdr:rowOff>
    </xdr:to>
    <xdr:sp macro="" textlink="">
      <xdr:nvSpPr>
        <xdr:cNvPr id="228" name="Rectangle: Rounded Corners 227">
          <a:hlinkClick xmlns:r="http://schemas.openxmlformats.org/officeDocument/2006/relationships" r:id="rId33" tooltip="Book an hr-long ADVOCATE Your Innocence session with me"/>
          <a:extLst>
            <a:ext uri="{FF2B5EF4-FFF2-40B4-BE49-F238E27FC236}">
              <a16:creationId xmlns:a16="http://schemas.microsoft.com/office/drawing/2014/main" id="{E2115DC9-F6CB-417E-A68F-AA8C8EA240E7}"/>
            </a:ext>
          </a:extLst>
        </xdr:cNvPr>
        <xdr:cNvSpPr/>
      </xdr:nvSpPr>
      <xdr:spPr>
        <a:xfrm>
          <a:off x="3383280" y="339910783"/>
          <a:ext cx="2286000" cy="3200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spc="-50" baseline="0">
              <a:solidFill>
                <a:srgbClr val="006E32"/>
              </a:solidFill>
              <a:latin typeface="Franklin Gothic Demi" panose="020B0703020102020204" pitchFamily="34" charset="0"/>
            </a:rPr>
            <a:t>Honored Innocence</a:t>
          </a:r>
        </a:p>
      </xdr:txBody>
    </xdr:sp>
    <xdr:clientData/>
  </xdr:twoCellAnchor>
  <xdr:twoCellAnchor>
    <xdr:from>
      <xdr:col>32</xdr:col>
      <xdr:colOff>170906</xdr:colOff>
      <xdr:row>1798</xdr:row>
      <xdr:rowOff>290648</xdr:rowOff>
    </xdr:from>
    <xdr:to>
      <xdr:col>55</xdr:col>
      <xdr:colOff>154849</xdr:colOff>
      <xdr:row>1801</xdr:row>
      <xdr:rowOff>14441</xdr:rowOff>
    </xdr:to>
    <xdr:sp macro="" textlink="">
      <xdr:nvSpPr>
        <xdr:cNvPr id="229" name="Rectangle: Rounded Corners 228">
          <a:extLst>
            <a:ext uri="{FF2B5EF4-FFF2-40B4-BE49-F238E27FC236}">
              <a16:creationId xmlns:a16="http://schemas.microsoft.com/office/drawing/2014/main" id="{707A73BE-790D-4BDD-9E1C-FEDD743EBAD9}"/>
            </a:ext>
          </a:extLst>
        </xdr:cNvPr>
        <xdr:cNvSpPr/>
      </xdr:nvSpPr>
      <xdr:spPr>
        <a:xfrm>
          <a:off x="22102219" y="358684648"/>
          <a:ext cx="5889443" cy="533418"/>
        </a:xfrm>
        <a:prstGeom prst="roundRect">
          <a:avLst>
            <a:gd name="adj" fmla="val 5176"/>
          </a:avLst>
        </a:prstGeom>
        <a:solidFill>
          <a:srgbClr val="FFFF00">
            <a:alpha val="74902"/>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3600" b="1">
              <a:solidFill>
                <a:srgbClr val="00B050"/>
              </a:solidFill>
              <a:effectLst>
                <a:outerShdw blurRad="50800" dist="38100" dir="2700000" algn="tl" rotWithShape="0">
                  <a:prstClr val="black">
                    <a:alpha val="40000"/>
                  </a:prstClr>
                </a:outerShdw>
              </a:effectLst>
            </a:rPr>
            <a:t>Estimated</a:t>
          </a:r>
          <a:r>
            <a:rPr lang="en-US" sz="3600" b="1" baseline="0">
              <a:solidFill>
                <a:srgbClr val="00B050"/>
              </a:solidFill>
              <a:effectLst>
                <a:outerShdw blurRad="50800" dist="38100" dir="2700000" algn="tl" rotWithShape="0">
                  <a:prstClr val="black">
                    <a:alpha val="40000"/>
                  </a:prstClr>
                </a:outerShdw>
              </a:effectLst>
            </a:rPr>
            <a:t> Innocence Form</a:t>
          </a:r>
          <a:endParaRPr lang="en-US" sz="3600" b="1">
            <a:solidFill>
              <a:srgbClr val="00B050"/>
            </a:solidFill>
            <a:effectLst>
              <a:outerShdw blurRad="50800" dist="38100" dir="2700000" algn="tl" rotWithShape="0">
                <a:prstClr val="black">
                  <a:alpha val="40000"/>
                </a:prstClr>
              </a:outerShdw>
            </a:effectLst>
          </a:endParaRPr>
        </a:p>
      </xdr:txBody>
    </xdr:sp>
    <xdr:clientData/>
  </xdr:twoCellAnchor>
  <xdr:twoCellAnchor>
    <xdr:from>
      <xdr:col>42</xdr:col>
      <xdr:colOff>88174</xdr:colOff>
      <xdr:row>196</xdr:row>
      <xdr:rowOff>13063</xdr:rowOff>
    </xdr:from>
    <xdr:to>
      <xdr:col>60</xdr:col>
      <xdr:colOff>458290</xdr:colOff>
      <xdr:row>198</xdr:row>
      <xdr:rowOff>371203</xdr:rowOff>
    </xdr:to>
    <xdr:sp macro="" textlink="">
      <xdr:nvSpPr>
        <xdr:cNvPr id="232" name="Rectangle: Rounded Corners 231">
          <a:extLst>
            <a:ext uri="{FF2B5EF4-FFF2-40B4-BE49-F238E27FC236}">
              <a16:creationId xmlns:a16="http://schemas.microsoft.com/office/drawing/2014/main" id="{659CD348-543E-45C9-89B3-418D9A8AFD49}"/>
            </a:ext>
          </a:extLst>
        </xdr:cNvPr>
        <xdr:cNvSpPr/>
      </xdr:nvSpPr>
      <xdr:spPr>
        <a:xfrm>
          <a:off x="22610717" y="42423806"/>
          <a:ext cx="5519059" cy="630283"/>
        </a:xfrm>
        <a:prstGeom prst="roundRect">
          <a:avLst>
            <a:gd name="adj" fmla="val 5176"/>
          </a:avLst>
        </a:prstGeom>
        <a:solidFill>
          <a:srgbClr val="F19B61">
            <a:alpha val="89804"/>
          </a:srgbClr>
        </a:solidFill>
        <a:ln w="28575">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5A2D0A"/>
              </a:solidFill>
              <a:latin typeface="+mn-lt"/>
              <a:ea typeface="+mn-ea"/>
              <a:cs typeface="+mn-cs"/>
            </a:rPr>
            <a:t>IF non-white hispanic</a:t>
          </a:r>
          <a:r>
            <a:rPr lang="en-US" sz="1600" b="1" baseline="0">
              <a:solidFill>
                <a:srgbClr val="5A2D0A"/>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5A2D0A"/>
              </a:solidFill>
              <a:latin typeface="+mn-lt"/>
              <a:ea typeface="+mn-ea"/>
              <a:cs typeface="+mn-cs"/>
            </a:rPr>
            <a:t>IF non-white</a:t>
          </a:r>
          <a:r>
            <a:rPr lang="en-US" sz="1600" b="1" baseline="0">
              <a:solidFill>
                <a:srgbClr val="5A2D0A"/>
              </a:solidFill>
              <a:latin typeface="+mn-lt"/>
              <a:ea typeface="+mn-ea"/>
              <a:cs typeface="+mn-cs"/>
            </a:rPr>
            <a:t> (i.e., black)</a:t>
          </a:r>
          <a:r>
            <a:rPr lang="en-US" sz="1600" b="1">
              <a:solidFill>
                <a:srgbClr val="5A2D0A"/>
              </a:solidFill>
              <a:latin typeface="+mn-lt"/>
              <a:ea typeface="+mn-ea"/>
              <a:cs typeface="+mn-cs"/>
            </a:rPr>
            <a:t> with complementary factors = x4</a:t>
          </a:r>
        </a:p>
        <a:p>
          <a:pPr algn="l"/>
          <a:endParaRPr lang="en-US" sz="1600" b="1">
            <a:solidFill>
              <a:srgbClr val="5A2D0A"/>
            </a:solidFill>
            <a:latin typeface="+mn-lt"/>
            <a:ea typeface="+mn-ea"/>
            <a:cs typeface="+mn-cs"/>
          </a:endParaRPr>
        </a:p>
      </xdr:txBody>
    </xdr:sp>
    <xdr:clientData/>
  </xdr:twoCellAnchor>
  <xdr:twoCellAnchor>
    <xdr:from>
      <xdr:col>47</xdr:col>
      <xdr:colOff>1088</xdr:colOff>
      <xdr:row>1893</xdr:row>
      <xdr:rowOff>37011</xdr:rowOff>
    </xdr:from>
    <xdr:to>
      <xdr:col>63</xdr:col>
      <xdr:colOff>243839</xdr:colOff>
      <xdr:row>1898</xdr:row>
      <xdr:rowOff>29391</xdr:rowOff>
    </xdr:to>
    <xdr:sp macro="" textlink="">
      <xdr:nvSpPr>
        <xdr:cNvPr id="217" name="TextBox 216">
          <a:extLst>
            <a:ext uri="{FF2B5EF4-FFF2-40B4-BE49-F238E27FC236}">
              <a16:creationId xmlns:a16="http://schemas.microsoft.com/office/drawing/2014/main" id="{8D4F03D3-86BE-47FB-BC85-F262C9681D5C}"/>
            </a:ext>
          </a:extLst>
        </xdr:cNvPr>
        <xdr:cNvSpPr txBox="1"/>
      </xdr:nvSpPr>
      <xdr:spPr>
        <a:xfrm>
          <a:off x="23783108" y="341740671"/>
          <a:ext cx="5416731"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ahoma" panose="020B0604030504040204" pitchFamily="34" charset="0"/>
              <a:ea typeface="Tahoma" panose="020B0604030504040204" pitchFamily="34" charset="0"/>
              <a:cs typeface="Tahoma" panose="020B0604030504040204" pitchFamily="34" charset="0"/>
            </a:rPr>
            <a:t>F</a:t>
          </a:r>
          <a:r>
            <a:rPr lang="en-US" sz="1100" b="1">
              <a:solidFill>
                <a:schemeClr val="dk1"/>
              </a:solidFill>
              <a:effectLst/>
              <a:latin typeface="+mn-lt"/>
              <a:ea typeface="+mn-ea"/>
              <a:cs typeface="+mn-cs"/>
            </a:rPr>
            <a:t> </a:t>
          </a:r>
          <a:r>
            <a:rPr lang="en-US" sz="1100"/>
            <a:t>[CLAIMANT]</a:t>
          </a:r>
          <a:r>
            <a:rPr lang="en-US" sz="1100" baseline="0"/>
            <a:t> shouldn't have to bear the costs of the state's egregious mistake. Your investment </a:t>
          </a:r>
        </a:p>
        <a:p>
          <a:r>
            <a:rPr lang="en-US" sz="1100" baseline="0"/>
            <a:t>either reimbursed or we assert greater legitimacy to serve this underappreciated need</a:t>
          </a:r>
          <a:endParaRPr lang="en-US" sz="1100"/>
        </a:p>
      </xdr:txBody>
    </xdr:sp>
    <xdr:clientData/>
  </xdr:twoCellAnchor>
  <xdr:twoCellAnchor>
    <xdr:from>
      <xdr:col>45</xdr:col>
      <xdr:colOff>130629</xdr:colOff>
      <xdr:row>2132</xdr:row>
      <xdr:rowOff>9795</xdr:rowOff>
    </xdr:from>
    <xdr:to>
      <xdr:col>64</xdr:col>
      <xdr:colOff>92529</xdr:colOff>
      <xdr:row>2155</xdr:row>
      <xdr:rowOff>30481</xdr:rowOff>
    </xdr:to>
    <xdr:sp macro="" textlink="">
      <xdr:nvSpPr>
        <xdr:cNvPr id="233" name="TextBox 232">
          <a:extLst>
            <a:ext uri="{FF2B5EF4-FFF2-40B4-BE49-F238E27FC236}">
              <a16:creationId xmlns:a16="http://schemas.microsoft.com/office/drawing/2014/main" id="{4D4B2BB3-52F7-4DB7-B9DC-973EC2EBA960}"/>
            </a:ext>
          </a:extLst>
        </xdr:cNvPr>
        <xdr:cNvSpPr txBox="1"/>
      </xdr:nvSpPr>
      <xdr:spPr>
        <a:xfrm>
          <a:off x="23394489" y="384926475"/>
          <a:ext cx="5913120" cy="4074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We ran the numbers for the innocence movement and it doesn't look good. A handful of lawyers pour hours and hours through a choice number of innocence claims. With an estimated range of ### to ### of innocent prisoners in [STATE] alone, [Claimaint] wonders will you ever get to [ppp] compelling claim of innocence?</a:t>
          </a:r>
        </a:p>
        <a:p>
          <a:endParaRPr lang="en-US" sz="1100" baseline="0"/>
        </a:p>
        <a:p>
          <a:r>
            <a:rPr lang="en-US" sz="1100" baseline="0"/>
            <a:t>Don't get me wrong, we're thankful for what you do. But why must we rely exclusively on the same broken adversarial legal process that keeps making these egregious errors? [Claimant] now has an alternative that can either complement or compete with your noble yet limited efforts. Called the Estimated Innocence Form, [Claimant] can now demonstrate [ppp] innocence with ##% certainty.</a:t>
          </a:r>
        </a:p>
        <a:p>
          <a:endParaRPr lang="en-US" sz="1100" baseline="0"/>
        </a:p>
        <a:p>
          <a:r>
            <a:rPr lang="en-US" sz="1100" baseline="0"/>
            <a:t>This tool compares the details to [ppp] claim to those already exonerated. The more [ppp] his case mirrors those exonerated, the higher the score of estimated innocence. This "EIF" processes the nuance of [ppp] innocence claim more thoroughly than your typical questionairre for claimnants.</a:t>
          </a:r>
        </a:p>
        <a:p>
          <a:endParaRPr lang="en-US" sz="1100" baseline="0"/>
        </a:p>
        <a:p>
          <a:r>
            <a:rPr lang="en-US" sz="1100" baseline="0"/>
            <a:t>[Claimant]'s chief ally, [Proxy], is assembling a team of volunteers to go through [claimant]'s case documents. Together, they will try to link as much of [ppp] claim as possible to available documentation. After they lean on those who could provide those documents. </a:t>
          </a:r>
        </a:p>
        <a:p>
          <a:endParaRPr lang="en-US" sz="1100" baseline="0"/>
        </a:p>
        <a:p>
          <a:r>
            <a:rPr lang="en-US" sz="1100" baseline="0"/>
            <a:t>We invite you to engage us during this pioneering approach toward exoneration. During this populist era, we see it's time for us to take more matters in our own hands. If the legal-judicial process cannot be trusted to correct its own errors, we will step up.  See the enclosed Conviction Summary Report to see what we mean. Then let's talk about getting [claimant] the justice [ppp] is overdue. Thank you.</a:t>
          </a:r>
        </a:p>
      </xdr:txBody>
    </xdr:sp>
    <xdr:clientData/>
  </xdr:twoCellAnchor>
  <xdr:twoCellAnchor>
    <xdr:from>
      <xdr:col>55</xdr:col>
      <xdr:colOff>261258</xdr:colOff>
      <xdr:row>2113</xdr:row>
      <xdr:rowOff>65314</xdr:rowOff>
    </xdr:from>
    <xdr:to>
      <xdr:col>73</xdr:col>
      <xdr:colOff>195944</xdr:colOff>
      <xdr:row>2117</xdr:row>
      <xdr:rowOff>152400</xdr:rowOff>
    </xdr:to>
    <xdr:sp macro="" textlink="">
      <xdr:nvSpPr>
        <xdr:cNvPr id="234" name="TextBox 233">
          <a:extLst>
            <a:ext uri="{FF2B5EF4-FFF2-40B4-BE49-F238E27FC236}">
              <a16:creationId xmlns:a16="http://schemas.microsoft.com/office/drawing/2014/main" id="{98604724-8B28-4A2E-BF1A-90FC2A205EA1}"/>
            </a:ext>
          </a:extLst>
        </xdr:cNvPr>
        <xdr:cNvSpPr txBox="1"/>
      </xdr:nvSpPr>
      <xdr:spPr>
        <a:xfrm>
          <a:off x="25886229" y="374479457"/>
          <a:ext cx="5921829" cy="7837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aseline="0"/>
        </a:p>
        <a:p>
          <a:r>
            <a:rPr lang="en-US" sz="1100" baseline="0"/>
            <a:t>It's now easier for the accused to admit their human imperfections than for many police and prosecutors to admit theirs. </a:t>
          </a:r>
        </a:p>
        <a:p>
          <a:endParaRPr lang="en-US" sz="1100" baseline="0"/>
        </a:p>
      </xdr:txBody>
    </xdr:sp>
    <xdr:clientData/>
  </xdr:twoCellAnchor>
  <xdr:twoCellAnchor>
    <xdr:from>
      <xdr:col>53</xdr:col>
      <xdr:colOff>326572</xdr:colOff>
      <xdr:row>2117</xdr:row>
      <xdr:rowOff>10885</xdr:rowOff>
    </xdr:from>
    <xdr:to>
      <xdr:col>71</xdr:col>
      <xdr:colOff>195944</xdr:colOff>
      <xdr:row>2123</xdr:row>
      <xdr:rowOff>141514</xdr:rowOff>
    </xdr:to>
    <xdr:sp macro="" textlink="">
      <xdr:nvSpPr>
        <xdr:cNvPr id="235" name="TextBox 234">
          <a:extLst>
            <a:ext uri="{FF2B5EF4-FFF2-40B4-BE49-F238E27FC236}">
              <a16:creationId xmlns:a16="http://schemas.microsoft.com/office/drawing/2014/main" id="{1E3BACB0-A5D6-4824-95F7-931F54881623}"/>
            </a:ext>
          </a:extLst>
        </xdr:cNvPr>
        <xdr:cNvSpPr txBox="1"/>
      </xdr:nvSpPr>
      <xdr:spPr>
        <a:xfrm>
          <a:off x="25363715" y="375121714"/>
          <a:ext cx="5921829" cy="13824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is supported by [##] emotional supporters and [##] financial supporters. You are invited to join their enthusiastic support. [fundraising URL]</a:t>
          </a:r>
        </a:p>
        <a:p>
          <a:r>
            <a:rPr lang="en-US" sz="1100" baseline="0"/>
            <a:t>From conviction integrity to co</a:t>
          </a:r>
          <a:r>
            <a:rPr lang="en-US" sz="1100" baseline="0">
              <a:solidFill>
                <a:schemeClr val="dk1"/>
              </a:solidFill>
              <a:effectLst/>
              <a:latin typeface="+mn-lt"/>
              <a:ea typeface="+mn-ea"/>
              <a:cs typeface="+mn-cs"/>
            </a:rPr>
            <a:t>nviction quality</a:t>
          </a:r>
          <a:endParaRPr lang="en-US" sz="1100" baseline="0"/>
        </a:p>
        <a:p>
          <a:endParaRPr lang="en-US" sz="1100" baseline="0"/>
        </a:p>
        <a:p>
          <a:r>
            <a:rPr lang="en-US" sz="1100" baseline="0"/>
            <a:t>If the only reason you cannot serve [CLAIMANT] is from lack of resoures, then let this help you convet the underserved need.</a:t>
          </a:r>
        </a:p>
      </xdr:txBody>
    </xdr:sp>
    <xdr:clientData/>
  </xdr:twoCellAnchor>
  <xdr:twoCellAnchor>
    <xdr:from>
      <xdr:col>66</xdr:col>
      <xdr:colOff>228600</xdr:colOff>
      <xdr:row>2462</xdr:row>
      <xdr:rowOff>106680</xdr:rowOff>
    </xdr:from>
    <xdr:to>
      <xdr:col>75</xdr:col>
      <xdr:colOff>149133</xdr:colOff>
      <xdr:row>2473</xdr:row>
      <xdr:rowOff>91439</xdr:rowOff>
    </xdr:to>
    <xdr:sp macro="" textlink="">
      <xdr:nvSpPr>
        <xdr:cNvPr id="230" name="Rectangle: Rounded Corners 229">
          <a:extLst>
            <a:ext uri="{FF2B5EF4-FFF2-40B4-BE49-F238E27FC236}">
              <a16:creationId xmlns:a16="http://schemas.microsoft.com/office/drawing/2014/main" id="{BE5A675A-2846-4572-9DC6-17F6BEE2A475}"/>
            </a:ext>
          </a:extLst>
        </xdr:cNvPr>
        <xdr:cNvSpPr/>
      </xdr:nvSpPr>
      <xdr:spPr>
        <a:xfrm>
          <a:off x="29961840" y="436763160"/>
          <a:ext cx="2252253" cy="1904999"/>
        </a:xfrm>
        <a:prstGeom prst="roundRect">
          <a:avLst>
            <a:gd name="adj" fmla="val 5176"/>
          </a:avLst>
        </a:prstGeom>
        <a:solidFill>
          <a:srgbClr val="F19B61">
            <a:alpha val="12157"/>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create</a:t>
          </a:r>
          <a:r>
            <a:rPr lang="en-US" sz="1200" b="1"/>
            <a:t> </a:t>
          </a:r>
          <a:r>
            <a:rPr lang="en-US" sz="1800" b="1">
              <a:solidFill>
                <a:srgbClr val="00B050"/>
              </a:solidFill>
              <a:latin typeface="+mn-lt"/>
              <a:ea typeface="+mn-ea"/>
              <a:cs typeface="+mn-cs"/>
            </a:rPr>
            <a:t>new </a:t>
          </a:r>
        </a:p>
        <a:p>
          <a:pPr algn="r"/>
          <a:r>
            <a:rPr lang="en-US" sz="1800" b="1">
              <a:solidFill>
                <a:srgbClr val="00B050"/>
              </a:solidFill>
              <a:latin typeface="+mn-lt"/>
              <a:ea typeface="+mn-ea"/>
              <a:cs typeface="+mn-cs"/>
            </a:rPr>
            <a:t>section here for </a:t>
          </a:r>
        </a:p>
        <a:p>
          <a:pPr algn="r"/>
          <a:r>
            <a:rPr lang="en-US" sz="1800" b="1">
              <a:solidFill>
                <a:srgbClr val="00B050"/>
              </a:solidFill>
              <a:latin typeface="+mn-lt"/>
              <a:ea typeface="+mn-ea"/>
              <a:cs typeface="+mn-cs"/>
            </a:rPr>
            <a:t>INSTRUCTIONS </a:t>
          </a:r>
        </a:p>
        <a:p>
          <a:pPr algn="r"/>
          <a:r>
            <a:rPr lang="en-US" sz="1800" b="1">
              <a:solidFill>
                <a:srgbClr val="00B050"/>
              </a:solidFill>
              <a:latin typeface="+mn-lt"/>
              <a:ea typeface="+mn-ea"/>
              <a:cs typeface="+mn-cs"/>
            </a:rPr>
            <a:t>and AVAILABLE</a:t>
          </a:r>
        </a:p>
        <a:p>
          <a:pPr algn="r"/>
          <a:r>
            <a:rPr lang="en-US" sz="1800" b="1">
              <a:solidFill>
                <a:srgbClr val="00B050"/>
              </a:solidFill>
              <a:latin typeface="+mn-lt"/>
              <a:ea typeface="+mn-ea"/>
              <a:cs typeface="+mn-cs"/>
            </a:rPr>
            <a:t> SUPPORT</a:t>
          </a:r>
        </a:p>
      </xdr:txBody>
    </xdr:sp>
    <xdr:clientData/>
  </xdr:twoCellAnchor>
  <xdr:twoCellAnchor>
    <xdr:from>
      <xdr:col>0</xdr:col>
      <xdr:colOff>108857</xdr:colOff>
      <xdr:row>1261</xdr:row>
      <xdr:rowOff>92537</xdr:rowOff>
    </xdr:from>
    <xdr:to>
      <xdr:col>5</xdr:col>
      <xdr:colOff>64226</xdr:colOff>
      <xdr:row>1298</xdr:row>
      <xdr:rowOff>138257</xdr:rowOff>
    </xdr:to>
    <xdr:grpSp>
      <xdr:nvGrpSpPr>
        <xdr:cNvPr id="17" name="Group 16">
          <a:hlinkClick xmlns:r="http://schemas.openxmlformats.org/officeDocument/2006/relationships" r:id="rId34"/>
          <a:extLst>
            <a:ext uri="{FF2B5EF4-FFF2-40B4-BE49-F238E27FC236}">
              <a16:creationId xmlns:a16="http://schemas.microsoft.com/office/drawing/2014/main" id="{B5634D85-24D4-49D5-811C-8DE994DE1F5E}"/>
            </a:ext>
          </a:extLst>
        </xdr:cNvPr>
        <xdr:cNvGrpSpPr/>
      </xdr:nvGrpSpPr>
      <xdr:grpSpPr>
        <a:xfrm>
          <a:off x="108857" y="342780870"/>
          <a:ext cx="6044313" cy="6536831"/>
          <a:chOff x="152400" y="402287015"/>
          <a:chExt cx="5909855" cy="6568149"/>
        </a:xfrm>
      </xdr:grpSpPr>
      <xdr:sp macro="" textlink="">
        <xdr:nvSpPr>
          <xdr:cNvPr id="239" name="TextBox 238">
            <a:hlinkClick xmlns:r="http://schemas.openxmlformats.org/officeDocument/2006/relationships" r:id="rId34"/>
            <a:extLst>
              <a:ext uri="{FF2B5EF4-FFF2-40B4-BE49-F238E27FC236}">
                <a16:creationId xmlns:a16="http://schemas.microsoft.com/office/drawing/2014/main" id="{5E3844FB-A5C6-4FFA-B93E-F2CDEE17EEAF}"/>
              </a:ext>
            </a:extLst>
          </xdr:cNvPr>
          <xdr:cNvSpPr txBox="1"/>
        </xdr:nvSpPr>
        <xdr:spPr>
          <a:xfrm>
            <a:off x="242752" y="402287015"/>
            <a:ext cx="5722620" cy="974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Times New Roman" panose="02020603050405020304" pitchFamily="18" charset="0"/>
                <a:cs typeface="Times New Roman" panose="02020603050405020304" pitchFamily="18" charset="0"/>
              </a:rPr>
              <a:t>Welcome to </a:t>
            </a:r>
            <a:r>
              <a:rPr lang="en-US" sz="1100" b="1">
                <a:latin typeface="Times New Roman" panose="02020603050405020304" pitchFamily="18" charset="0"/>
                <a:cs typeface="Times New Roman" panose="02020603050405020304" pitchFamily="18" charset="0"/>
              </a:rPr>
              <a:t>need-response</a:t>
            </a:r>
            <a:r>
              <a:rPr lang="en-US" sz="1100">
                <a:latin typeface="Times New Roman" panose="02020603050405020304" pitchFamily="18" charset="0"/>
                <a:cs typeface="Times New Roman" panose="02020603050405020304" pitchFamily="18" charset="0"/>
              </a:rPr>
              <a:t>. Laws exist to serve needs, and this new field goes straight to the needs. One of its tools is the </a:t>
            </a:r>
            <a:r>
              <a:rPr lang="en-US" sz="1100" b="1">
                <a:latin typeface="Times New Roman" panose="02020603050405020304" pitchFamily="18" charset="0"/>
                <a:cs typeface="Times New Roman" panose="02020603050405020304" pitchFamily="18" charset="0"/>
              </a:rPr>
              <a:t>impact parity model</a:t>
            </a:r>
            <a:r>
              <a:rPr lang="en-US" sz="1100">
                <a:latin typeface="Times New Roman" panose="02020603050405020304" pitchFamily="18" charset="0"/>
                <a:cs typeface="Times New Roman" panose="02020603050405020304" pitchFamily="18" charset="0"/>
              </a:rPr>
              <a:t>. It looks at how power relations impacts your needs.</a:t>
            </a:r>
          </a:p>
          <a:p>
            <a:endParaRPr lang="en-US" sz="1100">
              <a:latin typeface="Times New Roman" panose="02020603050405020304" pitchFamily="18" charset="0"/>
              <a:cs typeface="Times New Roman" panose="02020603050405020304" pitchFamily="18" charset="0"/>
            </a:endParaRPr>
          </a:p>
          <a:p>
            <a:r>
              <a:rPr lang="en-US" sz="1100">
                <a:latin typeface="Times New Roman" panose="02020603050405020304" pitchFamily="18" charset="0"/>
                <a:cs typeface="Times New Roman" panose="02020603050405020304" pitchFamily="18" charset="0"/>
              </a:rPr>
              <a:t>A power relation exists where one person holds more influence over the other person in the relation. The powerholder is called the 'ascribed impactor' or AI. The powerless is called the 'reporting impactee'</a:t>
            </a:r>
            <a:r>
              <a:rPr lang="en-US" sz="1100" baseline="0">
                <a:latin typeface="Times New Roman" panose="02020603050405020304" pitchFamily="18" charset="0"/>
                <a:cs typeface="Times New Roman" panose="02020603050405020304" pitchFamily="18" charset="0"/>
              </a:rPr>
              <a:t> or RI.</a:t>
            </a:r>
            <a:endParaRPr lang="en-US" sz="1100">
              <a:latin typeface="Times New Roman" panose="02020603050405020304" pitchFamily="18" charset="0"/>
              <a:cs typeface="Times New Roman" panose="02020603050405020304" pitchFamily="18" charset="0"/>
            </a:endParaRPr>
          </a:p>
        </xdr:txBody>
      </xdr:sp>
      <xdr:grpSp>
        <xdr:nvGrpSpPr>
          <xdr:cNvPr id="16" name="Group 15">
            <a:extLst>
              <a:ext uri="{FF2B5EF4-FFF2-40B4-BE49-F238E27FC236}">
                <a16:creationId xmlns:a16="http://schemas.microsoft.com/office/drawing/2014/main" id="{2B202D95-62AD-4221-8287-E958B3D364BC}"/>
              </a:ext>
            </a:extLst>
          </xdr:cNvPr>
          <xdr:cNvGrpSpPr/>
        </xdr:nvGrpSpPr>
        <xdr:grpSpPr>
          <a:xfrm>
            <a:off x="152400" y="403326600"/>
            <a:ext cx="5909855" cy="5528564"/>
            <a:chOff x="152400" y="403326600"/>
            <a:chExt cx="5909855" cy="5528564"/>
          </a:xfrm>
        </xdr:grpSpPr>
        <xdr:grpSp>
          <xdr:nvGrpSpPr>
            <xdr:cNvPr id="240" name="Group 239">
              <a:extLst>
                <a:ext uri="{FF2B5EF4-FFF2-40B4-BE49-F238E27FC236}">
                  <a16:creationId xmlns:a16="http://schemas.microsoft.com/office/drawing/2014/main" id="{65ACE898-6A59-4ACA-9A5F-B80CA9AED81F}"/>
                </a:ext>
              </a:extLst>
            </xdr:cNvPr>
            <xdr:cNvGrpSpPr/>
          </xdr:nvGrpSpPr>
          <xdr:grpSpPr>
            <a:xfrm>
              <a:off x="696686" y="403326600"/>
              <a:ext cx="4831670" cy="2402590"/>
              <a:chOff x="308500" y="-253097"/>
              <a:chExt cx="4719869" cy="2306876"/>
            </a:xfrm>
          </xdr:grpSpPr>
          <xdr:sp macro="" textlink="">
            <xdr:nvSpPr>
              <xdr:cNvPr id="241" name="Oval 240">
                <a:extLst>
                  <a:ext uri="{FF2B5EF4-FFF2-40B4-BE49-F238E27FC236}">
                    <a16:creationId xmlns:a16="http://schemas.microsoft.com/office/drawing/2014/main" id="{276C7303-651C-4D81-9C1F-8452E01671BF}"/>
                  </a:ext>
                </a:extLst>
              </xdr:cNvPr>
              <xdr:cNvSpPr>
                <a:spLocks noChangeAspect="1"/>
              </xdr:cNvSpPr>
            </xdr:nvSpPr>
            <xdr:spPr>
              <a:xfrm>
                <a:off x="3003958" y="-253097"/>
                <a:ext cx="2024411" cy="1995201"/>
              </a:xfrm>
              <a:prstGeom prst="ellipse">
                <a:avLst/>
              </a:prstGeom>
              <a:gradFill flip="none" rotWithShape="1">
                <a:gsLst>
                  <a:gs pos="67000">
                    <a:srgbClr val="CC66FF"/>
                  </a:gs>
                  <a:gs pos="45000">
                    <a:srgbClr val="CC99FF"/>
                  </a:gs>
                  <a:gs pos="0">
                    <a:srgbClr val="CC66FF"/>
                  </a:gs>
                </a:gsLst>
                <a:path path="circle">
                  <a:fillToRect l="50000" t="50000" r="50000" b="50000"/>
                </a:path>
                <a:tileRect/>
              </a:gradFill>
              <a:ln w="28575">
                <a:solidFill>
                  <a:srgbClr val="EBDCFF"/>
                </a:solidFill>
              </a:ln>
              <a:effectLst>
                <a:glow rad="63500">
                  <a:schemeClr val="accent6">
                    <a:satMod val="175000"/>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marL="0" marR="0" algn="ctr">
                  <a:spcBef>
                    <a:spcPts val="0"/>
                  </a:spcBef>
                  <a:spcAft>
                    <a:spcPts val="0"/>
                  </a:spcAft>
                </a:pPr>
                <a:r>
                  <a:rPr lang="en-US" sz="24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ASCRIBED</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lgn="ctr">
                  <a:spcBef>
                    <a:spcPts val="0"/>
                  </a:spcBef>
                  <a:spcAft>
                    <a:spcPts val="0"/>
                  </a:spcAft>
                </a:pPr>
                <a:r>
                  <a:rPr lang="en-US" sz="24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IMPACTOR</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sp macro="" textlink="">
            <xdr:nvSpPr>
              <xdr:cNvPr id="242" name="Oval 241">
                <a:extLst>
                  <a:ext uri="{FF2B5EF4-FFF2-40B4-BE49-F238E27FC236}">
                    <a16:creationId xmlns:a16="http://schemas.microsoft.com/office/drawing/2014/main" id="{91645C86-DA17-43D3-A6DE-81D324730594}"/>
                  </a:ext>
                </a:extLst>
              </xdr:cNvPr>
              <xdr:cNvSpPr>
                <a:spLocks noChangeAspect="1"/>
              </xdr:cNvSpPr>
            </xdr:nvSpPr>
            <xdr:spPr>
              <a:xfrm>
                <a:off x="308500" y="-117181"/>
                <a:ext cx="1430653" cy="1404607"/>
              </a:xfrm>
              <a:prstGeom prst="ellipse">
                <a:avLst/>
              </a:prstGeom>
              <a:gradFill flip="none" rotWithShape="1">
                <a:gsLst>
                  <a:gs pos="70000">
                    <a:srgbClr val="00B050"/>
                  </a:gs>
                  <a:gs pos="20000">
                    <a:srgbClr val="00F587"/>
                  </a:gs>
                  <a:gs pos="0">
                    <a:srgbClr val="E1FFEB"/>
                  </a:gs>
                </a:gsLst>
                <a:path path="circle">
                  <a:fillToRect l="50000" t="50000" r="50000" b="50000"/>
                </a:path>
                <a:tileRect/>
              </a:gradFill>
              <a:ln w="19050">
                <a:solidFill>
                  <a:srgbClr val="A0FFCD"/>
                </a:solidFill>
              </a:ln>
              <a:effectLst>
                <a:glow rad="63500">
                  <a:schemeClr val="accent6">
                    <a:satMod val="175000"/>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marL="0" marR="0" algn="ctr">
                  <a:spcBef>
                    <a:spcPts val="0"/>
                  </a:spcBef>
                  <a:spcAft>
                    <a:spcPts val="0"/>
                  </a:spcAft>
                </a:pPr>
                <a:r>
                  <a:rPr lang="en-US" sz="1600" spc="-5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REPORTING</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lgn="ctr">
                  <a:spcBef>
                    <a:spcPts val="0"/>
                  </a:spcBef>
                  <a:spcAft>
                    <a:spcPts val="0"/>
                  </a:spcAft>
                </a:pPr>
                <a:r>
                  <a:rPr lang="en-US" sz="16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IMPACTEE</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sp macro="" textlink="">
            <xdr:nvSpPr>
              <xdr:cNvPr id="243" name="Right Brace 242">
                <a:extLst>
                  <a:ext uri="{FF2B5EF4-FFF2-40B4-BE49-F238E27FC236}">
                    <a16:creationId xmlns:a16="http://schemas.microsoft.com/office/drawing/2014/main" id="{95205918-41B9-45E5-8BF6-F65A3ADA09BE}"/>
                  </a:ext>
                </a:extLst>
              </xdr:cNvPr>
              <xdr:cNvSpPr/>
            </xdr:nvSpPr>
            <xdr:spPr>
              <a:xfrm rot="16809231" flipH="1">
                <a:off x="2326064" y="214256"/>
                <a:ext cx="314158" cy="3041316"/>
              </a:xfrm>
              <a:prstGeom prst="rightBrace">
                <a:avLst>
                  <a:gd name="adj1" fmla="val 55142"/>
                  <a:gd name="adj2" fmla="val 49780"/>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244" name="Right Bracket 243">
                <a:extLst>
                  <a:ext uri="{FF2B5EF4-FFF2-40B4-BE49-F238E27FC236}">
                    <a16:creationId xmlns:a16="http://schemas.microsoft.com/office/drawing/2014/main" id="{287DB10E-7E77-4334-80B6-E7241A403D30}"/>
                  </a:ext>
                </a:extLst>
              </xdr:cNvPr>
              <xdr:cNvSpPr/>
            </xdr:nvSpPr>
            <xdr:spPr>
              <a:xfrm rot="5400000">
                <a:off x="928681" y="788085"/>
                <a:ext cx="182880" cy="914400"/>
              </a:xfrm>
              <a:prstGeom prst="rightBracket">
                <a:avLst>
                  <a:gd name="adj" fmla="val 78333"/>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245" name="Right Bracket 244">
                <a:extLst>
                  <a:ext uri="{FF2B5EF4-FFF2-40B4-BE49-F238E27FC236}">
                    <a16:creationId xmlns:a16="http://schemas.microsoft.com/office/drawing/2014/main" id="{7C3B60E0-D664-42B1-83E2-4F2A51411869}"/>
                  </a:ext>
                </a:extLst>
              </xdr:cNvPr>
              <xdr:cNvSpPr/>
            </xdr:nvSpPr>
            <xdr:spPr>
              <a:xfrm rot="5400000">
                <a:off x="3912877" y="1282437"/>
                <a:ext cx="182880" cy="914400"/>
              </a:xfrm>
              <a:prstGeom prst="rightBracket">
                <a:avLst>
                  <a:gd name="adj" fmla="val 78333"/>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246" name="Flowchart: Delay 245">
                <a:extLst>
                  <a:ext uri="{FF2B5EF4-FFF2-40B4-BE49-F238E27FC236}">
                    <a16:creationId xmlns:a16="http://schemas.microsoft.com/office/drawing/2014/main" id="{75C221BC-8EA2-474F-BC6B-04D812C4B806}"/>
                  </a:ext>
                </a:extLst>
              </xdr:cNvPr>
              <xdr:cNvSpPr/>
            </xdr:nvSpPr>
            <xdr:spPr>
              <a:xfrm rot="16200000">
                <a:off x="2325911" y="1622647"/>
                <a:ext cx="173790" cy="688474"/>
              </a:xfrm>
              <a:prstGeom prst="flowChartDelay">
                <a:avLst/>
              </a:prstGeom>
              <a:solidFill>
                <a:srgbClr val="50236E"/>
              </a:solidFill>
              <a:ln>
                <a:solidFill>
                  <a:srgbClr val="50236E"/>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n-US"/>
              </a:p>
            </xdr:txBody>
          </xdr:sp>
        </xdr:grpSp>
        <xdr:sp macro="" textlink="">
          <xdr:nvSpPr>
            <xdr:cNvPr id="237" name="TextBox 236">
              <a:extLst>
                <a:ext uri="{FF2B5EF4-FFF2-40B4-BE49-F238E27FC236}">
                  <a16:creationId xmlns:a16="http://schemas.microsoft.com/office/drawing/2014/main" id="{A3407922-3661-41EA-96A3-5BD2DD18847A}"/>
                </a:ext>
              </a:extLst>
            </xdr:cNvPr>
            <xdr:cNvSpPr txBox="1"/>
          </xdr:nvSpPr>
          <xdr:spPr>
            <a:xfrm>
              <a:off x="152400" y="406111964"/>
              <a:ext cx="2926080" cy="2743200"/>
            </a:xfrm>
            <a:prstGeom prst="rect">
              <a:avLst/>
            </a:prstGeom>
            <a:solidFill>
              <a:srgbClr val="A5FFC8">
                <a:alpha val="9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Reporting Impactee </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is impacted by the power relation more then impacting it.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As the RI, you humbly yet firmly "report" being impacted by legal-judicial power, as you're forced </a:t>
              </a:r>
              <a:r>
                <a:rPr lang="en-US" sz="1050" b="0" spc="-2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to fit into their binary categories, against your needs</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RI</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typically endures the coercive impact of judicial power relation in a fearful </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2">
                        <a:lumMod val="50000"/>
                      </a:schemeClr>
                    </a:solidFill>
                  </a:ln>
                  <a:solidFill>
                    <a:srgbClr val="FFFF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AVOIDANCE PHASE</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Justice is not serve. When that pain gets unbearable, the RI may shift to a pain-relieving </a:t>
              </a:r>
              <a:b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rgbClr val="C00000"/>
                    </a:solidFill>
                  </a:ln>
                  <a:solidFill>
                    <a:srgbClr val="FF00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ADVERSARIAL PHASE</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Peace resumes when boths sides identify and address each other's affected needs in this </a:t>
              </a:r>
              <a:b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6">
                        <a:lumMod val="50000"/>
                      </a:schemeClr>
                    </a:solidFill>
                  </a:ln>
                  <a:solidFill>
                    <a:srgbClr val="00B05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MUTUALITY TRANSITION</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endPar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38" name="TextBox 237">
              <a:extLst>
                <a:ext uri="{FF2B5EF4-FFF2-40B4-BE49-F238E27FC236}">
                  <a16:creationId xmlns:a16="http://schemas.microsoft.com/office/drawing/2014/main" id="{57DD02FD-1CDF-444D-8D7A-5C485CFEEB69}"/>
                </a:ext>
              </a:extLst>
            </xdr:cNvPr>
            <xdr:cNvSpPr txBox="1"/>
          </xdr:nvSpPr>
          <xdr:spPr>
            <a:xfrm>
              <a:off x="3136175" y="406104344"/>
              <a:ext cx="2926080" cy="2743200"/>
            </a:xfrm>
            <a:prstGeom prst="rect">
              <a:avLst/>
            </a:prstGeom>
            <a:solidFill>
              <a:srgbClr val="FFCCFF">
                <a:alpha val="9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Ascribed Impactor </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impacts the power relation more than being impacted by it.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You "ascribe" who forcefully impacts you, giving them a chance to respond to your transcendence of their judicial binarism with "conviction quality".</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AI</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tends to steer clear of uncomfortable details of those they adjudicate in this</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2">
                        <a:lumMod val="50000"/>
                      </a:schemeClr>
                    </a:solidFill>
                  </a:ln>
                  <a:solidFill>
                    <a:srgbClr val="FFFF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AVOIDANCE PHASE</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Justice is not served. When the RI eventually reacts, 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AI</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often guards self from pain in this</a:t>
              </a:r>
              <a:b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br>
              <a:r>
                <a:rPr lang="en-US" sz="1200" b="1" baseline="0">
                  <a:ln>
                    <a:solidFill>
                      <a:srgbClr val="C00000"/>
                    </a:solidFill>
                  </a:ln>
                  <a:solidFill>
                    <a:srgbClr val="FF00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ADVERSARIAL PHASE</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Peace resumes when boths sides identify and address each other's affected needs in this </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6">
                        <a:lumMod val="50000"/>
                      </a:schemeClr>
                    </a:solidFill>
                  </a:ln>
                  <a:solidFill>
                    <a:srgbClr val="00B05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MUTUALITY TRANSITION</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endPar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endParaRPr>
            </a:p>
          </xdr:txBody>
        </xdr:sp>
      </xdr:grpSp>
    </xdr:grpSp>
    <xdr:clientData/>
  </xdr:twoCellAnchor>
  <xdr:twoCellAnchor>
    <xdr:from>
      <xdr:col>65</xdr:col>
      <xdr:colOff>239486</xdr:colOff>
      <xdr:row>2131</xdr:row>
      <xdr:rowOff>129536</xdr:rowOff>
    </xdr:from>
    <xdr:to>
      <xdr:col>81</xdr:col>
      <xdr:colOff>582386</xdr:colOff>
      <xdr:row>2155</xdr:row>
      <xdr:rowOff>60960</xdr:rowOff>
    </xdr:to>
    <xdr:sp macro="" textlink="">
      <xdr:nvSpPr>
        <xdr:cNvPr id="247" name="TextBox 246">
          <a:extLst>
            <a:ext uri="{FF2B5EF4-FFF2-40B4-BE49-F238E27FC236}">
              <a16:creationId xmlns:a16="http://schemas.microsoft.com/office/drawing/2014/main" id="{BF6C344A-4441-4291-98A9-A33B0F7F3184}"/>
            </a:ext>
          </a:extLst>
        </xdr:cNvPr>
        <xdr:cNvSpPr txBox="1"/>
      </xdr:nvSpPr>
      <xdr:spPr>
        <a:xfrm>
          <a:off x="29713646" y="384870956"/>
          <a:ext cx="5890260" cy="416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A</a:t>
          </a:r>
          <a:r>
            <a:rPr lang="en-US" sz="1100" baseline="0"/>
            <a:t> We ran the numbers for the innocence movement and it doesn't look good. A handful of lawyers pour hours and hours through a choice number of innocence claims. With an estimated range of ### to ### of innocent prisoners in [STATE] alone, [Claimaint] wonders will you ever get to [ppp] compelling claim of innocence?</a:t>
          </a:r>
        </a:p>
        <a:p>
          <a:endParaRPr lang="en-US" sz="1100" baseline="0"/>
        </a:p>
        <a:p>
          <a:r>
            <a:rPr lang="en-US" sz="1100" baseline="0"/>
            <a:t>Don't get me wrong, we're thankful for what you do. But why must we rely exclusively on the same broken adversarial legal process that keeps making these egregious errors? [Claimant] now has an alternative that can either complement or compete with your noble yet limited efforts. Called the Estimated Innocence Form, [Claimant] can now demonstrate [ppp] innocence with ##% certainty.</a:t>
          </a:r>
        </a:p>
        <a:p>
          <a:endParaRPr lang="en-US" sz="1100" baseline="0"/>
        </a:p>
        <a:p>
          <a:r>
            <a:rPr lang="en-US" sz="1100" baseline="0"/>
            <a:t>This tool compares the details to [ppp] claim to those already exonerated. The more [ppp] his case mirrors those exonerated, the higher the score of estimated innocence. This "EIF" processes the nuance of [ppp] innocence claim more thoroughly than your typical questionairre for claimnants.</a:t>
          </a:r>
        </a:p>
        <a:p>
          <a:endParaRPr lang="en-US" sz="1100" baseline="0"/>
        </a:p>
        <a:p>
          <a:r>
            <a:rPr lang="en-US" sz="1100" baseline="0"/>
            <a:t>[Claimant]'s chief ally, [Proxy], is assembling a team of volunteers to go through [claimant]'s case documents. Together, they will try to link as much of [ppp] claim as possible to available documentation. After they lean on those who could provide those documents. </a:t>
          </a:r>
        </a:p>
        <a:p>
          <a:endParaRPr lang="en-US" sz="1100" baseline="0"/>
        </a:p>
        <a:p>
          <a:r>
            <a:rPr lang="en-US" sz="1100" baseline="0"/>
            <a:t>We invite you to engage us during this pioneering approach toward exoneration. During this populist era, we see it's time for us to take more matters in our own hands. If the legal-judicial process cannot be trusted to correct its own errors, we will step up.  See the enclosed Conviction Summary Report to see what we mean. Then let's talk about getting [claimant] the justice [ppp] is overdue. Thank you.</a:t>
          </a:r>
        </a:p>
      </xdr:txBody>
    </xdr:sp>
    <xdr:clientData/>
  </xdr:twoCellAnchor>
  <xdr:twoCellAnchor>
    <xdr:from>
      <xdr:col>53</xdr:col>
      <xdr:colOff>108858</xdr:colOff>
      <xdr:row>2259</xdr:row>
      <xdr:rowOff>87086</xdr:rowOff>
    </xdr:from>
    <xdr:to>
      <xdr:col>70</xdr:col>
      <xdr:colOff>234044</xdr:colOff>
      <xdr:row>2265</xdr:row>
      <xdr:rowOff>54429</xdr:rowOff>
    </xdr:to>
    <xdr:sp macro="" textlink="">
      <xdr:nvSpPr>
        <xdr:cNvPr id="248" name="TextBox 247">
          <a:extLst>
            <a:ext uri="{FF2B5EF4-FFF2-40B4-BE49-F238E27FC236}">
              <a16:creationId xmlns:a16="http://schemas.microsoft.com/office/drawing/2014/main" id="{D549777A-934F-4997-A0E4-74552AA233B5}"/>
            </a:ext>
          </a:extLst>
        </xdr:cNvPr>
        <xdr:cNvSpPr txBox="1"/>
      </xdr:nvSpPr>
      <xdr:spPr>
        <a:xfrm>
          <a:off x="25146001" y="408823886"/>
          <a:ext cx="5916386" cy="1034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a:t>
          </a:r>
        </a:p>
        <a:p>
          <a:endParaRPr lang="en-US" sz="1100" baseline="0"/>
        </a:p>
        <a:p>
          <a:r>
            <a:rPr lang="en-US" sz="1100" baseline="0"/>
            <a:t>If you have already helped [access case documents], we thank you </a:t>
          </a:r>
        </a:p>
      </xdr:txBody>
    </xdr:sp>
    <xdr:clientData/>
  </xdr:twoCellAnchor>
  <xdr:twoCellAnchor>
    <xdr:from>
      <xdr:col>55</xdr:col>
      <xdr:colOff>43543</xdr:colOff>
      <xdr:row>2258</xdr:row>
      <xdr:rowOff>76199</xdr:rowOff>
    </xdr:from>
    <xdr:to>
      <xdr:col>72</xdr:col>
      <xdr:colOff>234043</xdr:colOff>
      <xdr:row>2266</xdr:row>
      <xdr:rowOff>1</xdr:rowOff>
    </xdr:to>
    <xdr:sp macro="" textlink="">
      <xdr:nvSpPr>
        <xdr:cNvPr id="249" name="TextBox 248">
          <a:extLst>
            <a:ext uri="{FF2B5EF4-FFF2-40B4-BE49-F238E27FC236}">
              <a16:creationId xmlns:a16="http://schemas.microsoft.com/office/drawing/2014/main" id="{12AD7D52-D5FA-4A01-A4C0-CF503238BCE2}"/>
            </a:ext>
          </a:extLst>
        </xdr:cNvPr>
        <xdr:cNvSpPr txBox="1"/>
      </xdr:nvSpPr>
      <xdr:spPr>
        <a:xfrm>
          <a:off x="25668514" y="408638828"/>
          <a:ext cx="5916386" cy="134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C</a:t>
          </a:r>
          <a:endParaRPr lang="en-US" sz="1100" baseline="0"/>
        </a:p>
        <a:p>
          <a:endParaRPr lang="en-US" sz="1100" baseline="0"/>
        </a:p>
        <a:p>
          <a:r>
            <a:rPr lang="en-US" sz="1100" baseline="0"/>
            <a:t>If you have already helped [access case documents], we thank you </a:t>
          </a:r>
        </a:p>
        <a:p>
          <a:endParaRPr lang="en-US" sz="1100" baseline="0"/>
        </a:p>
        <a:p>
          <a:r>
            <a:rPr lang="en-US" sz="1100" baseline="0"/>
            <a:t>Review the enclosed/attached "Exaction Invoice" </a:t>
          </a:r>
        </a:p>
      </xdr:txBody>
    </xdr:sp>
    <xdr:clientData/>
  </xdr:twoCellAnchor>
  <xdr:twoCellAnchor>
    <xdr:from>
      <xdr:col>59</xdr:col>
      <xdr:colOff>23949</xdr:colOff>
      <xdr:row>1766</xdr:row>
      <xdr:rowOff>11973</xdr:rowOff>
    </xdr:from>
    <xdr:to>
      <xdr:col>80</xdr:col>
      <xdr:colOff>495300</xdr:colOff>
      <xdr:row>1797</xdr:row>
      <xdr:rowOff>167640</xdr:rowOff>
    </xdr:to>
    <xdr:sp macro="" textlink="">
      <xdr:nvSpPr>
        <xdr:cNvPr id="250" name="TextBox 249">
          <a:extLst>
            <a:ext uri="{FF2B5EF4-FFF2-40B4-BE49-F238E27FC236}">
              <a16:creationId xmlns:a16="http://schemas.microsoft.com/office/drawing/2014/main" id="{37164D84-1F74-4E56-A554-2AF288763C7D}"/>
            </a:ext>
          </a:extLst>
        </xdr:cNvPr>
        <xdr:cNvSpPr txBox="1"/>
      </xdr:nvSpPr>
      <xdr:spPr>
        <a:xfrm>
          <a:off x="27120669" y="326353713"/>
          <a:ext cx="7786551" cy="5535387"/>
        </a:xfrm>
        <a:prstGeom prst="rect">
          <a:avLst/>
        </a:prstGeom>
        <a:solidFill>
          <a:srgbClr val="FFFF99">
            <a:alpha val="89804"/>
          </a:srgbClr>
        </a:solid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Plan</a:t>
          </a:r>
          <a:r>
            <a:rPr lang="en-US" sz="1200" b="1">
              <a:ln>
                <a:noFill/>
              </a:ln>
              <a:noFill/>
              <a:effectLst/>
              <a:latin typeface="Tahoma" panose="020B0604030504040204" pitchFamily="34" charset="0"/>
              <a:ea typeface="Tahoma" panose="020B0604030504040204" pitchFamily="34" charset="0"/>
              <a:cs typeface="Tahoma" panose="020B0604030504040204" pitchFamily="34" charset="0"/>
            </a:rPr>
            <a:t> </a:t>
          </a:r>
          <a:r>
            <a:rPr lang="en-US" sz="12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rPr>
            <a:t>start for Free</a:t>
          </a:r>
          <a:endParaRPr lang="en-US" sz="10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Tragically, wrongful convictions destroy one’s credibility. Once accused, your protests of innocence sound self-serving as if avoiding responsibility. You know perfectly well that’s not the </a:t>
          </a:r>
          <a:r>
            <a:rPr lang="en-US" sz="1050" baseline="0">
              <a:solidFill>
                <a:schemeClr val="dk1"/>
              </a:solidFill>
              <a:effectLst/>
              <a:latin typeface="Times New Roman" panose="02020603050405020304" pitchFamily="18" charset="0"/>
              <a:ea typeface="+mn-ea"/>
              <a:cs typeface="Times New Roman" panose="02020603050405020304" pitchFamily="18" charset="0"/>
            </a:rPr>
            <a:t>case.</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Wrongful convictions also undermine earning capacity. An unearned felony robs one of earned income potential, to afford needed services. Talk about injustice!</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This service provides a way for overcoming both!</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The</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r>
            <a:rPr lang="en-US" sz="1050" b="1" baseline="0">
              <a:solidFill>
                <a:schemeClr val="dk1"/>
              </a:solidFill>
              <a:effectLst/>
              <a:latin typeface="Times New Roman" panose="02020603050405020304" pitchFamily="18" charset="0"/>
              <a:ea typeface="+mn-ea"/>
              <a:cs typeface="Times New Roman" panose="02020603050405020304" pitchFamily="18" charset="0"/>
            </a:rPr>
            <a:t>Plan</a:t>
          </a:r>
          <a:r>
            <a:rPr lang="en-US" sz="1050" baseline="0">
              <a:solidFill>
                <a:schemeClr val="dk1"/>
              </a:solidFill>
              <a:effectLst/>
              <a:latin typeface="Times New Roman" panose="02020603050405020304" pitchFamily="18" charset="0"/>
              <a:ea typeface="+mn-ea"/>
              <a:cs typeface="Times New Roman" panose="02020603050405020304" pitchFamily="18" charset="0"/>
            </a:rPr>
            <a:t> has you, t</a:t>
          </a:r>
          <a:r>
            <a:rPr lang="en-US" sz="1050">
              <a:solidFill>
                <a:schemeClr val="dk1"/>
              </a:solidFill>
              <a:effectLst/>
              <a:latin typeface="Times New Roman" panose="02020603050405020304" pitchFamily="18" charset="0"/>
              <a:ea typeface="+mn-ea"/>
              <a:cs typeface="Times New Roman" panose="02020603050405020304" pitchFamily="18" charset="0"/>
            </a:rPr>
            <a:t>he wrongly convicted, build up a support team for both the social capital to demonstrate your innocence </a:t>
          </a:r>
          <a:r>
            <a:rPr lang="en-US" sz="1050" i="1">
              <a:solidFill>
                <a:schemeClr val="dk1"/>
              </a:solidFill>
              <a:effectLst/>
              <a:latin typeface="Times New Roman" panose="02020603050405020304" pitchFamily="18" charset="0"/>
              <a:ea typeface="+mn-ea"/>
              <a:cs typeface="Times New Roman" panose="02020603050405020304" pitchFamily="18" charset="0"/>
            </a:rPr>
            <a:t>and</a:t>
          </a:r>
          <a:r>
            <a:rPr lang="en-US" sz="1050">
              <a:solidFill>
                <a:schemeClr val="dk1"/>
              </a:solidFill>
              <a:effectLst/>
              <a:latin typeface="Times New Roman" panose="02020603050405020304" pitchFamily="18" charset="0"/>
              <a:ea typeface="+mn-ea"/>
              <a:cs typeface="Times New Roman" panose="02020603050405020304" pitchFamily="18" charset="0"/>
            </a:rPr>
            <a:t> to help share in the costs and returns in needed services. Services like this one. At least that’s how it stands right now.</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Together, we'll:</a:t>
          </a:r>
        </a:p>
        <a:p>
          <a:r>
            <a:rPr lang="en-US" sz="1050">
              <a:solidFill>
                <a:schemeClr val="dk1"/>
              </a:solidFill>
              <a:effectLst/>
              <a:latin typeface="Times New Roman" panose="02020603050405020304" pitchFamily="18" charset="0"/>
              <a:ea typeface="+mn-ea"/>
              <a:cs typeface="Times New Roman" panose="02020603050405020304" pitchFamily="18" charset="0"/>
            </a:rPr>
            <a:t>1.  spot your most pressing needs, </a:t>
          </a:r>
        </a:p>
        <a:p>
          <a:r>
            <a:rPr lang="en-US" sz="1050">
              <a:solidFill>
                <a:schemeClr val="dk1"/>
              </a:solidFill>
              <a:effectLst/>
              <a:latin typeface="Times New Roman" panose="02020603050405020304" pitchFamily="18" charset="0"/>
              <a:ea typeface="+mn-ea"/>
              <a:cs typeface="Times New Roman" panose="02020603050405020304" pitchFamily="18" charset="0"/>
            </a:rPr>
            <a:t>2.  draft a plan to fit your situation, and to best serve your specific needs,</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3.  build the support necessary to meet</a:t>
          </a:r>
          <a:r>
            <a:rPr lang="en-US" sz="1050" baseline="0">
              <a:solidFill>
                <a:schemeClr val="dk1"/>
              </a:solidFill>
              <a:effectLst/>
              <a:latin typeface="Times New Roman" panose="02020603050405020304" pitchFamily="18" charset="0"/>
              <a:ea typeface="+mn-ea"/>
              <a:cs typeface="Times New Roman" panose="02020603050405020304" pitchFamily="18" charset="0"/>
            </a:rPr>
            <a:t> those needs,</a:t>
          </a:r>
          <a:r>
            <a:rPr lang="en-US" sz="1050">
              <a:solidFill>
                <a:schemeClr val="dk1"/>
              </a:solidFill>
              <a:effectLst/>
              <a:latin typeface="Times New Roman" panose="02020603050405020304" pitchFamily="18" charset="0"/>
              <a:ea typeface="+mn-ea"/>
              <a:cs typeface="Times New Roman" panose="02020603050405020304" pitchFamily="18" charset="0"/>
            </a:rPr>
            <a:t> to finally</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4.  compel others to respond to these neglected needs in mutually beneficial ways. </a:t>
          </a: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r>
            <a:rPr lang="en-US" sz="1100" b="1">
              <a:solidFill>
                <a:schemeClr val="dk1"/>
              </a:solidFill>
              <a:effectLst/>
              <a:latin typeface="+mn-lt"/>
              <a:ea typeface="+mn-ea"/>
              <a:cs typeface="Times New Roman" panose="02020603050405020304" pitchFamily="18" charset="0"/>
            </a:rPr>
            <a:t>Step 1</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Together,</a:t>
          </a:r>
          <a:r>
            <a:rPr lang="en-US" sz="1050" baseline="0">
              <a:solidFill>
                <a:schemeClr val="dk1"/>
              </a:solidFill>
              <a:effectLst/>
              <a:latin typeface="Times New Roman" panose="02020603050405020304" pitchFamily="18" charset="0"/>
              <a:ea typeface="+mn-ea"/>
              <a:cs typeface="Times New Roman" panose="02020603050405020304" pitchFamily="18" charset="0"/>
            </a:rPr>
            <a:t> we get our foot in the door. We compel notified employers, landlords and/or debt collectors to take notice of the unkind impact they are having on you. To avoid the risk of bad publicity, we expect them to respond.</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We start out by exchanging messages through email. Our first exchange is FREE. We invite you to name a "proxy" who can support you through this process. Someone you can trust as you risk reliving this painful past.</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The next email exchange only costs you and your proxy $5. If we agree this process is a good fit for you, you will start building a support team. You invite each one using the supporter tabs, much like the notification tabs. As the value of this service to you rises, they bear the increased costs--and share in some of its rewards.</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Eventually, we shift to group video-chat ($100 each). Each dollar invested gets tracked. If your support team finds it's worth it, why not others? We will use that to persuade others to invest in you as well.</a:t>
          </a:r>
        </a:p>
        <a:p>
          <a:r>
            <a:rPr lang="en-US" sz="1050" baseline="0">
              <a:solidFill>
                <a:schemeClr val="dk1"/>
              </a:solidFill>
              <a:effectLst/>
              <a:latin typeface="Times New Roman" panose="02020603050405020304" pitchFamily="18" charset="0"/>
              <a:ea typeface="+mn-ea"/>
              <a:cs typeface="Times New Roman" panose="02020603050405020304" pitchFamily="18" charset="0"/>
            </a:rPr>
            <a:t>Your rebuilt life will become an attractive investment. If an employer passes you over, we can make sure their competitors will see your re-emerging value.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100" b="1">
              <a:solidFill>
                <a:schemeClr val="dk1"/>
              </a:solidFill>
              <a:effectLst/>
              <a:latin typeface="+mn-lt"/>
              <a:ea typeface="+mn-ea"/>
              <a:cs typeface="Times New Roman" panose="02020603050405020304" pitchFamily="18" charset="0"/>
            </a:rPr>
            <a:t>Step 2</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If we reach step two, we convince</a:t>
          </a:r>
          <a:r>
            <a:rPr lang="en-US" sz="1050" baseline="0">
              <a:solidFill>
                <a:schemeClr val="dk1"/>
              </a:solidFill>
              <a:effectLst/>
              <a:latin typeface="Times New Roman" panose="02020603050405020304" pitchFamily="18" charset="0"/>
              <a:ea typeface="+mn-ea"/>
              <a:cs typeface="Times New Roman" panose="02020603050405020304" pitchFamily="18" charset="0"/>
            </a:rPr>
            <a:t> the notified parties to start investing in your rebuilt life. To not only hire you or rent to you or negotiate debt with you, but to actively see you do better. Why would they willingly invest in you? By then, we will make it hard for them to say 'no'. </a:t>
          </a:r>
        </a:p>
        <a:p>
          <a:endParaRPr lang="en-US" sz="1050">
            <a:solidFill>
              <a:schemeClr val="dk1"/>
            </a:solidFill>
            <a:effectLst/>
            <a:latin typeface="Times New Roman" panose="02020603050405020304" pitchFamily="18" charset="0"/>
            <a:ea typeface="+mn-ea"/>
            <a:cs typeface="Times New Roman" panose="02020603050405020304" pitchFamily="18"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268876</xdr:colOff>
      <xdr:row>1300</xdr:row>
      <xdr:rowOff>75111</xdr:rowOff>
    </xdr:from>
    <xdr:to>
      <xdr:col>3</xdr:col>
      <xdr:colOff>558436</xdr:colOff>
      <xdr:row>1303</xdr:row>
      <xdr:rowOff>7620</xdr:rowOff>
    </xdr:to>
    <xdr:sp macro="" textlink="">
      <xdr:nvSpPr>
        <xdr:cNvPr id="251" name="Rectangle: Beveled 250">
          <a:hlinkClick xmlns:r="http://schemas.openxmlformats.org/officeDocument/2006/relationships" r:id="rId35" tooltip="Click to learn more about the Impact Parity Model online"/>
          <a:extLst>
            <a:ext uri="{FF2B5EF4-FFF2-40B4-BE49-F238E27FC236}">
              <a16:creationId xmlns:a16="http://schemas.microsoft.com/office/drawing/2014/main" id="{D09354C3-5AAC-494F-8806-B5FE7861B010}"/>
            </a:ext>
          </a:extLst>
        </xdr:cNvPr>
        <xdr:cNvSpPr/>
      </xdr:nvSpPr>
      <xdr:spPr>
        <a:xfrm>
          <a:off x="1607819" y="324687111"/>
          <a:ext cx="2738846" cy="455023"/>
        </a:xfrm>
        <a:prstGeom prst="bevel">
          <a:avLst/>
        </a:prstGeom>
        <a:gradFill>
          <a:gsLst>
            <a:gs pos="0">
              <a:srgbClr val="01FF80"/>
            </a:gs>
            <a:gs pos="50000">
              <a:srgbClr val="23B98C"/>
            </a:gs>
            <a:gs pos="100000">
              <a:srgbClr val="198264"/>
            </a:gs>
          </a:gsLst>
        </a:gradFill>
        <a:ln>
          <a:solidFill>
            <a:srgbClr val="01FF8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a:t>
          </a:r>
        </a:p>
      </xdr:txBody>
    </xdr:sp>
    <xdr:clientData/>
  </xdr:twoCellAnchor>
  <xdr:twoCellAnchor>
    <xdr:from>
      <xdr:col>41</xdr:col>
      <xdr:colOff>229689</xdr:colOff>
      <xdr:row>2276</xdr:row>
      <xdr:rowOff>31569</xdr:rowOff>
    </xdr:from>
    <xdr:to>
      <xdr:col>61</xdr:col>
      <xdr:colOff>42455</xdr:colOff>
      <xdr:row>2295</xdr:row>
      <xdr:rowOff>26127</xdr:rowOff>
    </xdr:to>
    <xdr:grpSp>
      <xdr:nvGrpSpPr>
        <xdr:cNvPr id="19" name="Group 18">
          <a:extLst>
            <a:ext uri="{FF2B5EF4-FFF2-40B4-BE49-F238E27FC236}">
              <a16:creationId xmlns:a16="http://schemas.microsoft.com/office/drawing/2014/main" id="{0523BB10-ECE6-45D2-8E5B-4D12B5417370}"/>
            </a:ext>
          </a:extLst>
        </xdr:cNvPr>
        <xdr:cNvGrpSpPr/>
      </xdr:nvGrpSpPr>
      <xdr:grpSpPr>
        <a:xfrm>
          <a:off x="24592522" y="445314736"/>
          <a:ext cx="5929933" cy="3494113"/>
          <a:chOff x="261257" y="413678915"/>
          <a:chExt cx="5750923" cy="3065419"/>
        </a:xfrm>
      </xdr:grpSpPr>
      <xdr:pic>
        <xdr:nvPicPr>
          <xdr:cNvPr id="261" name="Picture 260">
            <a:extLst>
              <a:ext uri="{FF2B5EF4-FFF2-40B4-BE49-F238E27FC236}">
                <a16:creationId xmlns:a16="http://schemas.microsoft.com/office/drawing/2014/main" id="{F948ACC8-1357-4B1D-AE66-28F5A15A433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61257" y="413678915"/>
            <a:ext cx="5750923" cy="3065419"/>
          </a:xfrm>
          <a:prstGeom prst="rect">
            <a:avLst/>
          </a:prstGeom>
        </xdr:spPr>
      </xdr:pic>
      <xdr:grpSp>
        <xdr:nvGrpSpPr>
          <xdr:cNvPr id="262" name="skewed toward error 1 - WC">
            <a:extLst>
              <a:ext uri="{FF2B5EF4-FFF2-40B4-BE49-F238E27FC236}">
                <a16:creationId xmlns:a16="http://schemas.microsoft.com/office/drawing/2014/main" id="{5C5A7815-74D1-4723-A776-49050B931D8F}"/>
              </a:ext>
            </a:extLst>
          </xdr:cNvPr>
          <xdr:cNvGrpSpPr>
            <a:grpSpLocks noChangeAspect="1"/>
          </xdr:cNvGrpSpPr>
        </xdr:nvGrpSpPr>
        <xdr:grpSpPr>
          <a:xfrm>
            <a:off x="573145" y="414983137"/>
            <a:ext cx="5111932" cy="1278699"/>
            <a:chOff x="696686" y="2909506"/>
            <a:chExt cx="10847614" cy="2864558"/>
          </a:xfrm>
        </xdr:grpSpPr>
        <xdr:sp macro="" textlink="">
          <xdr:nvSpPr>
            <xdr:cNvPr id="263" name="left curve">
              <a:extLst>
                <a:ext uri="{FF2B5EF4-FFF2-40B4-BE49-F238E27FC236}">
                  <a16:creationId xmlns:a16="http://schemas.microsoft.com/office/drawing/2014/main" id="{EDC5FB4F-93DE-4FF3-B9D7-496C8A6C5AFD}"/>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264" name="right curve">
              <a:extLst>
                <a:ext uri="{FF2B5EF4-FFF2-40B4-BE49-F238E27FC236}">
                  <a16:creationId xmlns:a16="http://schemas.microsoft.com/office/drawing/2014/main" id="{DD2DC028-D598-4282-A2A9-FE596A8FD581}"/>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265" name="bottom">
              <a:extLst>
                <a:ext uri="{FF2B5EF4-FFF2-40B4-BE49-F238E27FC236}">
                  <a16:creationId xmlns:a16="http://schemas.microsoft.com/office/drawing/2014/main" id="{856B2E5F-9F53-4453-A22E-CAD698BB5B08}"/>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266" name="dotted center">
              <a:extLst>
                <a:ext uri="{FF2B5EF4-FFF2-40B4-BE49-F238E27FC236}">
                  <a16:creationId xmlns:a16="http://schemas.microsoft.com/office/drawing/2014/main" id="{9E86AA06-23B4-496A-A6A6-B438D1E28ABA}"/>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77</xdr:col>
      <xdr:colOff>121920</xdr:colOff>
      <xdr:row>2261</xdr:row>
      <xdr:rowOff>125186</xdr:rowOff>
    </xdr:from>
    <xdr:to>
      <xdr:col>86</xdr:col>
      <xdr:colOff>371022</xdr:colOff>
      <xdr:row>2265</xdr:row>
      <xdr:rowOff>35470</xdr:rowOff>
    </xdr:to>
    <xdr:sp macro="" textlink="">
      <xdr:nvSpPr>
        <xdr:cNvPr id="269" name="Text Box 1">
          <a:extLst>
            <a:ext uri="{FF2B5EF4-FFF2-40B4-BE49-F238E27FC236}">
              <a16:creationId xmlns:a16="http://schemas.microsoft.com/office/drawing/2014/main" id="{DB9A2D0B-456F-4282-BA68-0EA23D39BB1E}"/>
            </a:ext>
          </a:extLst>
        </xdr:cNvPr>
        <xdr:cNvSpPr txBox="1"/>
      </xdr:nvSpPr>
      <xdr:spPr>
        <a:xfrm>
          <a:off x="32705040" y="407406566"/>
          <a:ext cx="5941242" cy="618944"/>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25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Green, Bruce A. (1999). Why Should Prosecutors "Seek Justice"? </a:t>
          </a:r>
          <a:r>
            <a:rPr lang="en-US" sz="1250" i="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Fordham Urban Law Journal, 26</a:t>
          </a:r>
          <a:r>
            <a:rPr lang="en-US" sz="125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:3:6</a:t>
          </a:r>
          <a:r>
            <a:rPr lang="en-US" sz="1250">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77</xdr:col>
      <xdr:colOff>121920</xdr:colOff>
      <xdr:row>2257</xdr:row>
      <xdr:rowOff>144780</xdr:rowOff>
    </xdr:from>
    <xdr:to>
      <xdr:col>86</xdr:col>
      <xdr:colOff>371022</xdr:colOff>
      <xdr:row>2261</xdr:row>
      <xdr:rowOff>57241</xdr:rowOff>
    </xdr:to>
    <xdr:sp macro="" textlink="">
      <xdr:nvSpPr>
        <xdr:cNvPr id="270" name="Text Box 2">
          <a:extLst>
            <a:ext uri="{FF2B5EF4-FFF2-40B4-BE49-F238E27FC236}">
              <a16:creationId xmlns:a16="http://schemas.microsoft.com/office/drawing/2014/main" id="{DC8EAF98-8314-435A-904F-EBB8D30EA151}"/>
            </a:ext>
          </a:extLst>
        </xdr:cNvPr>
        <xdr:cNvSpPr txBox="1"/>
      </xdr:nvSpPr>
      <xdr:spPr>
        <a:xfrm>
          <a:off x="32705040" y="406717500"/>
          <a:ext cx="5941242" cy="621121"/>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250">
              <a:effectLst/>
              <a:latin typeface="Calibri" panose="020F0502020204030204" pitchFamily="34" charset="0"/>
              <a:ea typeface="Calibri" panose="020F0502020204030204" pitchFamily="34" charset="0"/>
              <a:cs typeface="Times New Roman" panose="02020603050405020304" pitchFamily="18" charset="0"/>
            </a:rPr>
            <a:t>Need-response checks the “gross imbalance of power between prosecutors and defense lawyers” (Green, 1999).</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235133</xdr:colOff>
      <xdr:row>1237</xdr:row>
      <xdr:rowOff>127365</xdr:rowOff>
    </xdr:from>
    <xdr:to>
      <xdr:col>2</xdr:col>
      <xdr:colOff>501833</xdr:colOff>
      <xdr:row>1239</xdr:row>
      <xdr:rowOff>66405</xdr:rowOff>
    </xdr:to>
    <xdr:sp macro="" textlink="">
      <xdr:nvSpPr>
        <xdr:cNvPr id="271" name="Rectangle: Beveled 270">
          <a:hlinkClick xmlns:r="http://schemas.openxmlformats.org/officeDocument/2006/relationships" r:id="rId21" tooltip="Join our Facebook group The Unexonerated"/>
          <a:extLst>
            <a:ext uri="{FF2B5EF4-FFF2-40B4-BE49-F238E27FC236}">
              <a16:creationId xmlns:a16="http://schemas.microsoft.com/office/drawing/2014/main" id="{91224E08-E4E8-4545-AD52-D010B5B1CEDC}"/>
            </a:ext>
          </a:extLst>
        </xdr:cNvPr>
        <xdr:cNvSpPr/>
      </xdr:nvSpPr>
      <xdr:spPr>
        <a:xfrm>
          <a:off x="501833" y="337687015"/>
          <a:ext cx="1371600" cy="37084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rIns="0"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EIF </a:t>
          </a:r>
          <a:r>
            <a:rPr lang="en-US" sz="1400" b="1" baseline="0">
              <a:latin typeface="Tahoma" panose="020B0604030504040204" pitchFamily="34" charset="0"/>
              <a:ea typeface="Tahoma" panose="020B0604030504040204" pitchFamily="34" charset="0"/>
              <a:cs typeface="Tahoma" panose="020B0604030504040204" pitchFamily="34" charset="0"/>
            </a:rPr>
            <a:t>forum</a:t>
          </a:r>
          <a:endParaRPr lang="en-US" sz="1400" b="1">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43</xdr:col>
      <xdr:colOff>76201</xdr:colOff>
      <xdr:row>2277</xdr:row>
      <xdr:rowOff>97973</xdr:rowOff>
    </xdr:from>
    <xdr:to>
      <xdr:col>60</xdr:col>
      <xdr:colOff>178042</xdr:colOff>
      <xdr:row>2286</xdr:row>
      <xdr:rowOff>106903</xdr:rowOff>
    </xdr:to>
    <xdr:sp macro="" textlink="">
      <xdr:nvSpPr>
        <xdr:cNvPr id="275" name="TextBox 274">
          <a:extLst>
            <a:ext uri="{FF2B5EF4-FFF2-40B4-BE49-F238E27FC236}">
              <a16:creationId xmlns:a16="http://schemas.microsoft.com/office/drawing/2014/main" id="{05A4FA29-B923-4F31-88AD-3D29F82A7398}"/>
            </a:ext>
          </a:extLst>
        </xdr:cNvPr>
        <xdr:cNvSpPr txBox="1"/>
      </xdr:nvSpPr>
      <xdr:spPr>
        <a:xfrm rot="387988">
          <a:off x="22860001" y="412209344"/>
          <a:ext cx="4989527" cy="1652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60000"/>
                  <a:lumOff val="40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46</xdr:col>
      <xdr:colOff>20687</xdr:colOff>
      <xdr:row>2282</xdr:row>
      <xdr:rowOff>6531</xdr:rowOff>
    </xdr:from>
    <xdr:to>
      <xdr:col>61</xdr:col>
      <xdr:colOff>372899</xdr:colOff>
      <xdr:row>2292</xdr:row>
      <xdr:rowOff>45942</xdr:rowOff>
    </xdr:to>
    <xdr:sp macro="" textlink="">
      <xdr:nvSpPr>
        <xdr:cNvPr id="276" name="TextBox 275">
          <a:extLst>
            <a:ext uri="{FF2B5EF4-FFF2-40B4-BE49-F238E27FC236}">
              <a16:creationId xmlns:a16="http://schemas.microsoft.com/office/drawing/2014/main" id="{8E9A50A6-1D93-455C-BE0B-CA3D031510D7}"/>
            </a:ext>
          </a:extLst>
        </xdr:cNvPr>
        <xdr:cNvSpPr txBox="1"/>
      </xdr:nvSpPr>
      <xdr:spPr>
        <a:xfrm rot="387988">
          <a:off x="23588258" y="413064960"/>
          <a:ext cx="4989527" cy="1857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57</xdr:col>
      <xdr:colOff>272142</xdr:colOff>
      <xdr:row>2251</xdr:row>
      <xdr:rowOff>87085</xdr:rowOff>
    </xdr:from>
    <xdr:to>
      <xdr:col>77</xdr:col>
      <xdr:colOff>76199</xdr:colOff>
      <xdr:row>2265</xdr:row>
      <xdr:rowOff>21771</xdr:rowOff>
    </xdr:to>
    <xdr:sp macro="" textlink="">
      <xdr:nvSpPr>
        <xdr:cNvPr id="18" name="TextBox 17">
          <a:extLst>
            <a:ext uri="{FF2B5EF4-FFF2-40B4-BE49-F238E27FC236}">
              <a16:creationId xmlns:a16="http://schemas.microsoft.com/office/drawing/2014/main" id="{4F16E94A-500D-4D33-BCEF-6EC5B64627BB}"/>
            </a:ext>
          </a:extLst>
        </xdr:cNvPr>
        <xdr:cNvSpPr txBox="1"/>
      </xdr:nvSpPr>
      <xdr:spPr>
        <a:xfrm>
          <a:off x="26484942" y="407430514"/>
          <a:ext cx="6248400" cy="2394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t>In the interest</a:t>
          </a:r>
          <a:r>
            <a:rPr lang="en-US" sz="1100" baseline="0"/>
            <a:t> of justice for all, we must hold you accountable for the power you hold over our lives. Not in anger, but as a service to you and to your office. </a:t>
          </a:r>
          <a:r>
            <a:rPr lang="en-US" sz="1100" baseline="0">
              <a:solidFill>
                <a:schemeClr val="dk1"/>
              </a:solidFill>
              <a:effectLst/>
              <a:latin typeface="+mn-lt"/>
              <a:ea typeface="+mn-ea"/>
              <a:cs typeface="+mn-cs"/>
            </a:rPr>
            <a:t>This new professional field of need-response prioritizes objective needs over arbitrary laws. While no one sits above the law, no law sits above the needs for which it exists to serve.</a:t>
          </a:r>
          <a:endParaRPr lang="en-US">
            <a:effectLst/>
          </a:endParaRPr>
        </a:p>
        <a:p>
          <a:endParaRPr lang="en-US" sz="1100" baseline="0"/>
        </a:p>
        <a:p>
          <a:r>
            <a:rPr lang="en-US" sz="1100" baseline="0"/>
            <a:t>If power corrupts, you risk losing sight of the purpose for law enforcement. Out of fear of your power, [claimant] and others like [pp] routinely acquiesce to the implicit or explicit demands of your power. Need-response calls it 'structural exaction' when your power "exacts" concessions against the interests of justice. It answers the problem with the "exaction invoice".</a:t>
          </a:r>
        </a:p>
        <a:p>
          <a:endParaRPr lang="en-US" sz="1100" baseline="0"/>
        </a:p>
        <a:p>
          <a:endParaRPr lang="en-US" sz="1100" baseline="0"/>
        </a:p>
        <a:p>
          <a:endParaRPr lang="en-US" sz="1100" baseline="0"/>
        </a:p>
      </xdr:txBody>
    </xdr:sp>
    <xdr:clientData/>
  </xdr:twoCellAnchor>
  <xdr:twoCellAnchor>
    <xdr:from>
      <xdr:col>0</xdr:col>
      <xdr:colOff>178531</xdr:colOff>
      <xdr:row>2301</xdr:row>
      <xdr:rowOff>26126</xdr:rowOff>
    </xdr:from>
    <xdr:to>
      <xdr:col>2</xdr:col>
      <xdr:colOff>2316485</xdr:colOff>
      <xdr:row>2311</xdr:row>
      <xdr:rowOff>136543</xdr:rowOff>
    </xdr:to>
    <xdr:grpSp>
      <xdr:nvGrpSpPr>
        <xdr:cNvPr id="222" name="Group 221">
          <a:extLst>
            <a:ext uri="{FF2B5EF4-FFF2-40B4-BE49-F238E27FC236}">
              <a16:creationId xmlns:a16="http://schemas.microsoft.com/office/drawing/2014/main" id="{38D82091-70B0-4115-86B4-627BF2F85FA3}"/>
            </a:ext>
          </a:extLst>
        </xdr:cNvPr>
        <xdr:cNvGrpSpPr>
          <a:grpSpLocks noChangeAspect="1"/>
        </xdr:cNvGrpSpPr>
      </xdr:nvGrpSpPr>
      <xdr:grpSpPr>
        <a:xfrm>
          <a:off x="178531" y="449860126"/>
          <a:ext cx="3513787" cy="1874306"/>
          <a:chOff x="234470" y="413681234"/>
          <a:chExt cx="5750923" cy="3065419"/>
        </a:xfrm>
      </xdr:grpSpPr>
      <xdr:pic>
        <xdr:nvPicPr>
          <xdr:cNvPr id="252" name="Picture 251">
            <a:extLst>
              <a:ext uri="{FF2B5EF4-FFF2-40B4-BE49-F238E27FC236}">
                <a16:creationId xmlns:a16="http://schemas.microsoft.com/office/drawing/2014/main" id="{35932C54-9711-4A24-B249-6FFBE0213A9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34470" y="413681234"/>
            <a:ext cx="5750923" cy="3065419"/>
          </a:xfrm>
          <a:prstGeom prst="rect">
            <a:avLst/>
          </a:prstGeom>
        </xdr:spPr>
      </xdr:pic>
      <xdr:grpSp>
        <xdr:nvGrpSpPr>
          <xdr:cNvPr id="253" name="skewed toward error 1 - WC">
            <a:extLst>
              <a:ext uri="{FF2B5EF4-FFF2-40B4-BE49-F238E27FC236}">
                <a16:creationId xmlns:a16="http://schemas.microsoft.com/office/drawing/2014/main" id="{F458AF2D-4E62-4EC5-8984-28DF49F9297C}"/>
              </a:ext>
            </a:extLst>
          </xdr:cNvPr>
          <xdr:cNvGrpSpPr>
            <a:grpSpLocks noChangeAspect="1"/>
          </xdr:cNvGrpSpPr>
        </xdr:nvGrpSpPr>
        <xdr:grpSpPr>
          <a:xfrm>
            <a:off x="573145" y="414983137"/>
            <a:ext cx="5111932" cy="1278699"/>
            <a:chOff x="696686" y="2909506"/>
            <a:chExt cx="10847614" cy="2864558"/>
          </a:xfrm>
        </xdr:grpSpPr>
        <xdr:sp macro="" textlink="">
          <xdr:nvSpPr>
            <xdr:cNvPr id="254" name="left curve">
              <a:extLst>
                <a:ext uri="{FF2B5EF4-FFF2-40B4-BE49-F238E27FC236}">
                  <a16:creationId xmlns:a16="http://schemas.microsoft.com/office/drawing/2014/main" id="{950F5012-3CE9-4E0B-8102-F38D6E1372F4}"/>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255" name="right curve">
              <a:extLst>
                <a:ext uri="{FF2B5EF4-FFF2-40B4-BE49-F238E27FC236}">
                  <a16:creationId xmlns:a16="http://schemas.microsoft.com/office/drawing/2014/main" id="{3A8B3676-B83D-4212-9B1E-B5404BC22F97}"/>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256" name="bottom">
              <a:extLst>
                <a:ext uri="{FF2B5EF4-FFF2-40B4-BE49-F238E27FC236}">
                  <a16:creationId xmlns:a16="http://schemas.microsoft.com/office/drawing/2014/main" id="{C5CACB7E-82F3-4470-995B-734951E206F8}"/>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257" name="dotted center">
              <a:extLst>
                <a:ext uri="{FF2B5EF4-FFF2-40B4-BE49-F238E27FC236}">
                  <a16:creationId xmlns:a16="http://schemas.microsoft.com/office/drawing/2014/main" id="{A6267AF6-1CF1-4715-B3FA-1CED1A78D1EA}"/>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55</xdr:col>
      <xdr:colOff>134674</xdr:colOff>
      <xdr:row>2479</xdr:row>
      <xdr:rowOff>16753</xdr:rowOff>
    </xdr:from>
    <xdr:to>
      <xdr:col>67</xdr:col>
      <xdr:colOff>149311</xdr:colOff>
      <xdr:row>2488</xdr:row>
      <xdr:rowOff>92953</xdr:rowOff>
    </xdr:to>
    <xdr:sp macro="" textlink="">
      <xdr:nvSpPr>
        <xdr:cNvPr id="291" name="Text Box 8">
          <a:extLst>
            <a:ext uri="{FF2B5EF4-FFF2-40B4-BE49-F238E27FC236}">
              <a16:creationId xmlns:a16="http://schemas.microsoft.com/office/drawing/2014/main" id="{E3B7F367-91A6-4447-A252-D40106B4FFF3}"/>
            </a:ext>
          </a:extLst>
        </xdr:cNvPr>
        <xdr:cNvSpPr txBox="1"/>
      </xdr:nvSpPr>
      <xdr:spPr>
        <a:xfrm rot="406479">
          <a:off x="25715014" y="440109853"/>
          <a:ext cx="4426617" cy="182880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Any injustice in the name</a:t>
          </a:r>
          <a:r>
            <a:rPr lang="en-US" sz="2000" b="1" baseline="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justice is no justice at all.</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47</xdr:col>
      <xdr:colOff>304800</xdr:colOff>
      <xdr:row>2190</xdr:row>
      <xdr:rowOff>0</xdr:rowOff>
    </xdr:from>
    <xdr:to>
      <xdr:col>67</xdr:col>
      <xdr:colOff>44450</xdr:colOff>
      <xdr:row>2221</xdr:row>
      <xdr:rowOff>103505</xdr:rowOff>
    </xdr:to>
    <xdr:sp macro="" textlink="">
      <xdr:nvSpPr>
        <xdr:cNvPr id="300" name="Text Box 1">
          <a:extLst>
            <a:ext uri="{FF2B5EF4-FFF2-40B4-BE49-F238E27FC236}">
              <a16:creationId xmlns:a16="http://schemas.microsoft.com/office/drawing/2014/main" id="{A56F6922-FF8E-43AB-9D30-4F03D34A3D41}"/>
            </a:ext>
          </a:extLst>
        </xdr:cNvPr>
        <xdr:cNvSpPr txBox="1"/>
      </xdr:nvSpPr>
      <xdr:spPr>
        <a:xfrm>
          <a:off x="24086820" y="395074140"/>
          <a:ext cx="5949950" cy="5300345"/>
        </a:xfrm>
        <a:prstGeom prst="rect">
          <a:avLst/>
        </a:prstGeom>
        <a:solidFill>
          <a:srgbClr val="FFFF99"/>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DYI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Supported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have a petition signed by 113 supporters who all ask you to reopen my brother’s case. We trust you will recognize you have locked up the wrong person for this horrible crime. We want to help you find the actual person who did this.”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Advocated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have a petition signed by 113 supporters who all ask you to reopen my brother’s case. We are ready to support the victim’s family adjust to the fact they helped convict the wrong man. We want to work with them and with you in identifying and convicting the guy who actually did this horrible crime.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prefer the victim’s family know ahead of time before our exoneration campaign goes public. See the enclosed list of supporters of community leaders, state legislatures, media figures, and other public figures encouraging to you reexamine this case. We all trust you to do the right thing, and look forward to your response on this critical matter of justice.”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p>
      </xdr:txBody>
    </xdr:sp>
    <xdr:clientData/>
  </xdr:twoCellAnchor>
  <xdr:twoCellAnchor>
    <xdr:from>
      <xdr:col>92</xdr:col>
      <xdr:colOff>73149</xdr:colOff>
      <xdr:row>1913</xdr:row>
      <xdr:rowOff>175259</xdr:rowOff>
    </xdr:from>
    <xdr:to>
      <xdr:col>101</xdr:col>
      <xdr:colOff>458323</xdr:colOff>
      <xdr:row>1926</xdr:row>
      <xdr:rowOff>45803</xdr:rowOff>
    </xdr:to>
    <xdr:sp macro="" textlink="">
      <xdr:nvSpPr>
        <xdr:cNvPr id="258" name="Text Box 12">
          <a:extLst>
            <a:ext uri="{FF2B5EF4-FFF2-40B4-BE49-F238E27FC236}">
              <a16:creationId xmlns:a16="http://schemas.microsoft.com/office/drawing/2014/main" id="{86B6DE3C-6362-47D3-87A2-8CF6504068B7}"/>
            </a:ext>
          </a:extLst>
        </xdr:cNvPr>
        <xdr:cNvSpPr txBox="1"/>
      </xdr:nvSpPr>
      <xdr:spPr>
        <a:xfrm rot="21221143">
          <a:off x="42211749" y="345391739"/>
          <a:ext cx="5871574" cy="2148924"/>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 this present</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crisis, to paraphrase Ronald Reagan, the criminal justice system is not the solution to the problem. The criminal justice system is the problem.</a:t>
          </a:r>
          <a:endParaRPr lang="en-US" sz="16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90</xdr:col>
      <xdr:colOff>23648</xdr:colOff>
      <xdr:row>1914</xdr:row>
      <xdr:rowOff>68209</xdr:rowOff>
    </xdr:from>
    <xdr:to>
      <xdr:col>99</xdr:col>
      <xdr:colOff>408822</xdr:colOff>
      <xdr:row>1927</xdr:row>
      <xdr:rowOff>95166</xdr:rowOff>
    </xdr:to>
    <xdr:sp macro="" textlink="">
      <xdr:nvSpPr>
        <xdr:cNvPr id="259" name="Text Box 12">
          <a:extLst>
            <a:ext uri="{FF2B5EF4-FFF2-40B4-BE49-F238E27FC236}">
              <a16:creationId xmlns:a16="http://schemas.microsoft.com/office/drawing/2014/main" id="{4708BE79-70BC-4C1D-A12C-17B3EBED0E52}"/>
            </a:ext>
          </a:extLst>
        </xdr:cNvPr>
        <xdr:cNvSpPr txBox="1"/>
      </xdr:nvSpPr>
      <xdr:spPr>
        <a:xfrm rot="328490">
          <a:off x="40943048" y="345459949"/>
          <a:ext cx="5871574" cy="2305337"/>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difficult to get either side to see the adversarial system’s conflict of interest, to paraphrase Sinclair Lewis, when their power depends on them not seeing it.</a:t>
          </a:r>
        </a:p>
      </xdr:txBody>
    </xdr:sp>
    <xdr:clientData/>
  </xdr:twoCellAnchor>
  <xdr:twoCellAnchor>
    <xdr:from>
      <xdr:col>89</xdr:col>
      <xdr:colOff>477246</xdr:colOff>
      <xdr:row>1928</xdr:row>
      <xdr:rowOff>82546</xdr:rowOff>
    </xdr:from>
    <xdr:to>
      <xdr:col>99</xdr:col>
      <xdr:colOff>252820</xdr:colOff>
      <xdr:row>1939</xdr:row>
      <xdr:rowOff>136904</xdr:rowOff>
    </xdr:to>
    <xdr:sp macro="" textlink="">
      <xdr:nvSpPr>
        <xdr:cNvPr id="273" name="Text Box 12">
          <a:extLst>
            <a:ext uri="{FF2B5EF4-FFF2-40B4-BE49-F238E27FC236}">
              <a16:creationId xmlns:a16="http://schemas.microsoft.com/office/drawing/2014/main" id="{5760DA1D-C217-4BFD-9726-23A16B9904A5}"/>
            </a:ext>
          </a:extLst>
        </xdr:cNvPr>
        <xdr:cNvSpPr txBox="1"/>
      </xdr:nvSpPr>
      <xdr:spPr>
        <a:xfrm rot="21221143">
          <a:off x="40787046" y="347927926"/>
          <a:ext cx="5871574" cy="2233678"/>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The adversarial system</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divides human beings into winners and losers of a court battle. It anchors objectified human beings to untested beliefs. Meanwwhile, the many lives it impacts remains anchored to painful reality.</a:t>
          </a:r>
          <a:endPar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88</xdr:col>
      <xdr:colOff>266700</xdr:colOff>
      <xdr:row>1928</xdr:row>
      <xdr:rowOff>19286</xdr:rowOff>
    </xdr:from>
    <xdr:to>
      <xdr:col>98</xdr:col>
      <xdr:colOff>10886</xdr:colOff>
      <xdr:row>1938</xdr:row>
      <xdr:rowOff>25818</xdr:rowOff>
    </xdr:to>
    <xdr:sp macro="" textlink="">
      <xdr:nvSpPr>
        <xdr:cNvPr id="290" name="TextBox 289">
          <a:extLst>
            <a:ext uri="{FF2B5EF4-FFF2-40B4-BE49-F238E27FC236}">
              <a16:creationId xmlns:a16="http://schemas.microsoft.com/office/drawing/2014/main" id="{12CBA28B-9467-4188-BD83-0ADC331CCDBE}"/>
            </a:ext>
          </a:extLst>
        </xdr:cNvPr>
        <xdr:cNvSpPr txBox="1"/>
      </xdr:nvSpPr>
      <xdr:spPr>
        <a:xfrm>
          <a:off x="39966900" y="347864666"/>
          <a:ext cx="5840186" cy="2002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You are invited, RECIPIENT, to </a:t>
          </a:r>
        </a:p>
        <a:p>
          <a:r>
            <a:rPr lang="en-US" sz="1100" baseline="0"/>
            <a:t>"Deeper justice" addresses such needs overlooked by the adversarial criminal judicial system. </a:t>
          </a:r>
        </a:p>
        <a:p>
          <a:endParaRPr lang="en-US" sz="1100" baseline="0"/>
        </a:p>
        <a:p>
          <a:r>
            <a:rPr lang="en-US" sz="1100" baseline="0"/>
            <a:t>compel - incentivize - earn legitimacy from our critique </a:t>
          </a:r>
        </a:p>
        <a:p>
          <a:endParaRPr lang="en-US" sz="1100" baseline="0"/>
        </a:p>
        <a:p>
          <a:r>
            <a:rPr lang="en-US" sz="1100" baseline="0"/>
            <a:t>help innocence projects establish the need for more resources to process claims like these </a:t>
          </a:r>
        </a:p>
        <a:p>
          <a:endParaRPr lang="en-US" sz="1100" baseline="0"/>
        </a:p>
        <a:p>
          <a:r>
            <a:rPr lang="en-US" sz="1100" baseline="0"/>
            <a:t>Learn what you can do at [claimant]'s innocence profile: https://www.valuerelating.com/YEAR-FNAME-LNAME. I will follow up soon to keep momentum going. [FNAME] deserves no less from us.</a:t>
          </a:r>
        </a:p>
        <a:p>
          <a:endParaRPr lang="en-US" sz="1100"/>
        </a:p>
      </xdr:txBody>
    </xdr:sp>
    <xdr:clientData/>
  </xdr:twoCellAnchor>
  <xdr:twoCellAnchor>
    <xdr:from>
      <xdr:col>88</xdr:col>
      <xdr:colOff>269966</xdr:colOff>
      <xdr:row>1919</xdr:row>
      <xdr:rowOff>37791</xdr:rowOff>
    </xdr:from>
    <xdr:to>
      <xdr:col>98</xdr:col>
      <xdr:colOff>17418</xdr:colOff>
      <xdr:row>1927</xdr:row>
      <xdr:rowOff>158623</xdr:rowOff>
    </xdr:to>
    <xdr:sp macro="" textlink="">
      <xdr:nvSpPr>
        <xdr:cNvPr id="292" name="TextBox 291">
          <a:extLst>
            <a:ext uri="{FF2B5EF4-FFF2-40B4-BE49-F238E27FC236}">
              <a16:creationId xmlns:a16="http://schemas.microsoft.com/office/drawing/2014/main" id="{4B3A8680-EB3D-4125-A67B-3D21E9702564}"/>
            </a:ext>
          </a:extLst>
        </xdr:cNvPr>
        <xdr:cNvSpPr txBox="1"/>
      </xdr:nvSpPr>
      <xdr:spPr>
        <a:xfrm>
          <a:off x="39970166" y="346305831"/>
          <a:ext cx="5843452" cy="1522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a:t>
          </a:r>
        </a:p>
        <a:p>
          <a:endParaRPr lang="en-US" sz="1100" baseline="0"/>
        </a:p>
        <a:p>
          <a:r>
            <a:rPr lang="en-US" sz="1100" baseline="0"/>
            <a:t>Innocence Projects receive far more requests for help than they can serve. The legal process runs painfully too slow. </a:t>
          </a:r>
        </a:p>
        <a:p>
          <a:r>
            <a:rPr lang="en-US" sz="1100" baseline="0"/>
            <a:t>Together with your help, we </a:t>
          </a:r>
        </a:p>
        <a:p>
          <a:r>
            <a:rPr lang="en-US" sz="1100" baseline="0"/>
            <a:t>conviction quality by </a:t>
          </a:r>
        </a:p>
        <a:p>
          <a:r>
            <a:rPr lang="en-US" sz="1100" baseline="0"/>
            <a:t>passed judicial divisivism that forces [CLAIMANT] and you to fit into their oppositional categories. We are addressing specifics those categories patently ignore. </a:t>
          </a:r>
          <a:endParaRPr lang="en-US" sz="1100"/>
        </a:p>
      </xdr:txBody>
    </xdr:sp>
    <xdr:clientData/>
  </xdr:twoCellAnchor>
  <xdr:twoCellAnchor>
    <xdr:from>
      <xdr:col>83</xdr:col>
      <xdr:colOff>100152</xdr:colOff>
      <xdr:row>1943</xdr:row>
      <xdr:rowOff>41366</xdr:rowOff>
    </xdr:from>
    <xdr:to>
      <xdr:col>84</xdr:col>
      <xdr:colOff>562793</xdr:colOff>
      <xdr:row>1950</xdr:row>
      <xdr:rowOff>18506</xdr:rowOff>
    </xdr:to>
    <xdr:sp macro="" textlink="">
      <xdr:nvSpPr>
        <xdr:cNvPr id="304" name="TextBox 303">
          <a:extLst>
            <a:ext uri="{FF2B5EF4-FFF2-40B4-BE49-F238E27FC236}">
              <a16:creationId xmlns:a16="http://schemas.microsoft.com/office/drawing/2014/main" id="{3AA6E3A7-13F7-441D-9E99-6084D0A15F63}"/>
            </a:ext>
          </a:extLst>
        </xdr:cNvPr>
        <xdr:cNvSpPr txBox="1"/>
      </xdr:nvSpPr>
      <xdr:spPr>
        <a:xfrm>
          <a:off x="36340872" y="350782346"/>
          <a:ext cx="1072241" cy="1203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The criminal justice system continues to resist admitting these errors. </a:t>
          </a:r>
        </a:p>
        <a:p>
          <a:r>
            <a:rPr lang="en-US" sz="1100" baseline="0"/>
            <a:t>Innocence projects lack sufficient resources to process [CLAIMANT]'s claim. We are now taking matters in our hand. We are dissecting his innocence claim and </a:t>
          </a:r>
        </a:p>
        <a:p>
          <a:r>
            <a:rPr lang="en-US" sz="1100" baseline="0"/>
            <a:t>We are doing the state's work, and will compete with their inadequate performance. Together, we will create value, produce results, meet needs, remove pain, serve justice on all sides</a:t>
          </a:r>
        </a:p>
        <a:p>
          <a:r>
            <a:rPr lang="en-US" sz="1100" baseline="0"/>
            <a:t>invest in "conviction quality" as a pioneering approach the slow legal process desperately needs</a:t>
          </a:r>
          <a:endParaRPr lang="en-US" sz="1100"/>
        </a:p>
      </xdr:txBody>
    </xdr:sp>
    <xdr:clientData/>
  </xdr:twoCellAnchor>
  <xdr:twoCellAnchor>
    <xdr:from>
      <xdr:col>82</xdr:col>
      <xdr:colOff>312420</xdr:colOff>
      <xdr:row>1924</xdr:row>
      <xdr:rowOff>121920</xdr:rowOff>
    </xdr:from>
    <xdr:to>
      <xdr:col>86</xdr:col>
      <xdr:colOff>407126</xdr:colOff>
      <xdr:row>1929</xdr:row>
      <xdr:rowOff>116477</xdr:rowOff>
    </xdr:to>
    <xdr:sp macro="" textlink="">
      <xdr:nvSpPr>
        <xdr:cNvPr id="305" name="TextBox 304">
          <a:extLst>
            <a:ext uri="{FF2B5EF4-FFF2-40B4-BE49-F238E27FC236}">
              <a16:creationId xmlns:a16="http://schemas.microsoft.com/office/drawing/2014/main" id="{D43500A1-BB06-4E11-91DE-1ECE963C1B90}"/>
            </a:ext>
          </a:extLst>
        </xdr:cNvPr>
        <xdr:cNvSpPr txBox="1"/>
      </xdr:nvSpPr>
      <xdr:spPr>
        <a:xfrm>
          <a:off x="35943540" y="347266260"/>
          <a:ext cx="2738846" cy="870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1A</a:t>
          </a:r>
          <a:r>
            <a:rPr lang="en-US" sz="1100" baseline="0"/>
            <a:t> grab recipient's attention with painful need: claimant still linguishing behind bars. Introduce remedy: % estimated innocence.</a:t>
          </a:r>
          <a:endParaRPr lang="en-US" sz="1100"/>
        </a:p>
      </xdr:txBody>
    </xdr:sp>
    <xdr:clientData/>
  </xdr:twoCellAnchor>
  <xdr:twoCellAnchor>
    <xdr:from>
      <xdr:col>82</xdr:col>
      <xdr:colOff>312420</xdr:colOff>
      <xdr:row>1931</xdr:row>
      <xdr:rowOff>140425</xdr:rowOff>
    </xdr:from>
    <xdr:to>
      <xdr:col>86</xdr:col>
      <xdr:colOff>407126</xdr:colOff>
      <xdr:row>1935</xdr:row>
      <xdr:rowOff>96883</xdr:rowOff>
    </xdr:to>
    <xdr:sp macro="" textlink="">
      <xdr:nvSpPr>
        <xdr:cNvPr id="306" name="TextBox 305">
          <a:extLst>
            <a:ext uri="{FF2B5EF4-FFF2-40B4-BE49-F238E27FC236}">
              <a16:creationId xmlns:a16="http://schemas.microsoft.com/office/drawing/2014/main" id="{6D260CB1-EA88-4662-B786-1403F6C0B0F5}"/>
            </a:ext>
          </a:extLst>
        </xdr:cNvPr>
        <xdr:cNvSpPr txBox="1"/>
      </xdr:nvSpPr>
      <xdr:spPr>
        <a:xfrm>
          <a:off x="35943540" y="348526825"/>
          <a:ext cx="2738846" cy="8708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0"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1B</a:t>
          </a:r>
          <a:r>
            <a:rPr lang="en-US" sz="1100" baseline="0"/>
            <a:t> mention factors corraborating innocence.</a:t>
          </a:r>
          <a:endParaRPr lang="en-US" sz="1100"/>
        </a:p>
      </xdr:txBody>
    </xdr:sp>
    <xdr:clientData/>
  </xdr:twoCellAnchor>
  <xdr:twoCellAnchor>
    <xdr:from>
      <xdr:col>75</xdr:col>
      <xdr:colOff>10890</xdr:colOff>
      <xdr:row>1951</xdr:row>
      <xdr:rowOff>100148</xdr:rowOff>
    </xdr:from>
    <xdr:to>
      <xdr:col>84</xdr:col>
      <xdr:colOff>558439</xdr:colOff>
      <xdr:row>1955</xdr:row>
      <xdr:rowOff>120832</xdr:rowOff>
    </xdr:to>
    <xdr:sp macro="" textlink="">
      <xdr:nvSpPr>
        <xdr:cNvPr id="307" name="TextBox 306">
          <a:extLst>
            <a:ext uri="{FF2B5EF4-FFF2-40B4-BE49-F238E27FC236}">
              <a16:creationId xmlns:a16="http://schemas.microsoft.com/office/drawing/2014/main" id="{7A46120D-6E39-4858-BC28-B129D3C7EED2}"/>
            </a:ext>
          </a:extLst>
        </xdr:cNvPr>
        <xdr:cNvSpPr txBox="1"/>
      </xdr:nvSpPr>
      <xdr:spPr>
        <a:xfrm>
          <a:off x="32075850" y="352243208"/>
          <a:ext cx="5332909" cy="721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TO</a:t>
          </a:r>
          <a:r>
            <a:rPr lang="en-US" sz="1100" baseline="0"/>
            <a:t> IP; DA; friendly media; local media; legacy media; podcaster </a:t>
          </a:r>
        </a:p>
        <a:p>
          <a:endParaRPr lang="en-US" sz="1100"/>
        </a:p>
      </xdr:txBody>
    </xdr:sp>
    <xdr:clientData/>
  </xdr:twoCellAnchor>
  <xdr:twoCellAnchor>
    <xdr:from>
      <xdr:col>69</xdr:col>
      <xdr:colOff>0</xdr:colOff>
      <xdr:row>2212</xdr:row>
      <xdr:rowOff>99060</xdr:rowOff>
    </xdr:from>
    <xdr:to>
      <xdr:col>83</xdr:col>
      <xdr:colOff>129540</xdr:colOff>
      <xdr:row>2217</xdr:row>
      <xdr:rowOff>68580</xdr:rowOff>
    </xdr:to>
    <xdr:sp macro="" textlink="">
      <xdr:nvSpPr>
        <xdr:cNvPr id="308" name="TextBox 307">
          <a:extLst>
            <a:ext uri="{FF2B5EF4-FFF2-40B4-BE49-F238E27FC236}">
              <a16:creationId xmlns:a16="http://schemas.microsoft.com/office/drawing/2014/main" id="{6D15DB7E-A56D-41B5-9A9B-8BDD48348074}"/>
            </a:ext>
          </a:extLst>
        </xdr:cNvPr>
        <xdr:cNvSpPr txBox="1"/>
      </xdr:nvSpPr>
      <xdr:spPr>
        <a:xfrm>
          <a:off x="30510480" y="398670780"/>
          <a:ext cx="5859780"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anose="020B0606020202030204" pitchFamily="34" charset="0"/>
            </a:rPr>
            <a:t>This report</a:t>
          </a:r>
          <a:r>
            <a:rPr lang="en-US" sz="1100" baseline="0">
              <a:latin typeface="Arial Narrow" panose="020B0606020202030204" pitchFamily="34" charset="0"/>
            </a:rPr>
            <a:t> gives an initial quality rating of 00%. Quality may improve with further documentation availability and with independent verification of all available documents. Justice is less served by the more arbitrary conviction binary of guilt or innocence. This report offers greater resolution into the nuance of this innocence claim.</a:t>
          </a:r>
          <a:endParaRPr lang="en-US" sz="1100">
            <a:latin typeface="Arial Narrow" panose="020B0606020202030204" pitchFamily="34" charset="0"/>
          </a:endParaRPr>
        </a:p>
      </xdr:txBody>
    </xdr:sp>
    <xdr:clientData/>
  </xdr:twoCellAnchor>
  <xdr:twoCellAnchor>
    <xdr:from>
      <xdr:col>69</xdr:col>
      <xdr:colOff>83820</xdr:colOff>
      <xdr:row>2199</xdr:row>
      <xdr:rowOff>0</xdr:rowOff>
    </xdr:from>
    <xdr:to>
      <xdr:col>83</xdr:col>
      <xdr:colOff>601980</xdr:colOff>
      <xdr:row>2204</xdr:row>
      <xdr:rowOff>22860</xdr:rowOff>
    </xdr:to>
    <xdr:sp macro="" textlink="">
      <xdr:nvSpPr>
        <xdr:cNvPr id="309" name="TextBox 308">
          <a:extLst>
            <a:ext uri="{FF2B5EF4-FFF2-40B4-BE49-F238E27FC236}">
              <a16:creationId xmlns:a16="http://schemas.microsoft.com/office/drawing/2014/main" id="{9AADE7FA-7DC4-49AD-AD3F-E0DCA6B2BF26}"/>
            </a:ext>
          </a:extLst>
        </xdr:cNvPr>
        <xdr:cNvSpPr txBox="1"/>
      </xdr:nvSpPr>
      <xdr:spPr>
        <a:xfrm>
          <a:off x="30594300" y="396491460"/>
          <a:ext cx="6248400"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anose="020B0606020202030204" pitchFamily="34" charset="0"/>
            </a:rPr>
            <a:t>This confidence range provides a higher resolution of information than the standard guilt-acquittal binary. Where it can result in more needs resolving, need-response asserts higher authority than adversrial judicial norms prioritizing its own needs at the expense of the public's justice needs. According to anankelogy, there is no greater authority than resolved needs since all authorities exist to serve needs. Authority is less necessary where needs can freely and fully resolve. </a:t>
          </a:r>
          <a:endParaRPr lang="en-US" sz="1100">
            <a:latin typeface="Arial Narrow" panose="020B0606020202030204" pitchFamily="34" charset="0"/>
          </a:endParaRPr>
        </a:p>
      </xdr:txBody>
    </xdr:sp>
    <xdr:clientData/>
  </xdr:twoCellAnchor>
  <xdr:twoCellAnchor>
    <xdr:from>
      <xdr:col>69</xdr:col>
      <xdr:colOff>190500</xdr:colOff>
      <xdr:row>2202</xdr:row>
      <xdr:rowOff>144780</xdr:rowOff>
    </xdr:from>
    <xdr:to>
      <xdr:col>83</xdr:col>
      <xdr:colOff>137160</xdr:colOff>
      <xdr:row>2208</xdr:row>
      <xdr:rowOff>7620</xdr:rowOff>
    </xdr:to>
    <xdr:sp macro="" textlink="">
      <xdr:nvSpPr>
        <xdr:cNvPr id="310" name="TextBox 309">
          <a:extLst>
            <a:ext uri="{FF2B5EF4-FFF2-40B4-BE49-F238E27FC236}">
              <a16:creationId xmlns:a16="http://schemas.microsoft.com/office/drawing/2014/main" id="{BF536B9F-327B-41B7-82BE-7B4905CD5935}"/>
            </a:ext>
          </a:extLst>
        </xdr:cNvPr>
        <xdr:cNvSpPr txBox="1"/>
      </xdr:nvSpPr>
      <xdr:spPr>
        <a:xfrm>
          <a:off x="30700980" y="397116300"/>
          <a:ext cx="5676900"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anose="020B0606020202030204" pitchFamily="34" charset="0"/>
            </a:rPr>
            <a:t>This confidence range provides a higher resolution of information than the standard guilt-acquittal binary. Where it can result in more needs resolving, need-response asserts higher authority than adversrial judicial norms prioritizing its own needs at the expense of the public's justice needs. According to anankelogy, there is no greater authority than resolved needs since all authorities exist to serve needs. </a:t>
          </a:r>
          <a:endParaRPr lang="en-US" sz="1100">
            <a:latin typeface="Arial Narrow" panose="020B0606020202030204" pitchFamily="34" charset="0"/>
          </a:endParaRPr>
        </a:p>
      </xdr:txBody>
    </xdr:sp>
    <xdr:clientData/>
  </xdr:twoCellAnchor>
  <xdr:twoCellAnchor>
    <xdr:from>
      <xdr:col>70</xdr:col>
      <xdr:colOff>76200</xdr:colOff>
      <xdr:row>2209</xdr:row>
      <xdr:rowOff>83820</xdr:rowOff>
    </xdr:from>
    <xdr:to>
      <xdr:col>83</xdr:col>
      <xdr:colOff>464820</xdr:colOff>
      <xdr:row>2212</xdr:row>
      <xdr:rowOff>137160</xdr:rowOff>
    </xdr:to>
    <xdr:sp macro="" textlink="">
      <xdr:nvSpPr>
        <xdr:cNvPr id="311" name="TextBox 310">
          <a:extLst>
            <a:ext uri="{FF2B5EF4-FFF2-40B4-BE49-F238E27FC236}">
              <a16:creationId xmlns:a16="http://schemas.microsoft.com/office/drawing/2014/main" id="{7B83C129-A986-4C9D-A9EB-4C9446E366A7}"/>
            </a:ext>
          </a:extLst>
        </xdr:cNvPr>
        <xdr:cNvSpPr txBox="1"/>
      </xdr:nvSpPr>
      <xdr:spPr>
        <a:xfrm>
          <a:off x="30845760" y="398175480"/>
          <a:ext cx="585978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anose="020B0606020202030204" pitchFamily="34" charset="0"/>
            </a:rPr>
            <a:t>This report</a:t>
          </a:r>
          <a:r>
            <a:rPr lang="en-US" sz="1100" baseline="0">
              <a:latin typeface="Arial Narrow" panose="020B0606020202030204" pitchFamily="34" charset="0"/>
            </a:rPr>
            <a:t> gives an initial quality rating of 00%. Confidence may improve with further documentation availability and with independent verification of all available documents. Justice is less served by </a:t>
          </a:r>
          <a:endParaRPr lang="en-US" sz="1100">
            <a:latin typeface="Arial Narrow" panose="020B0606020202030204" pitchFamily="34" charset="0"/>
          </a:endParaRPr>
        </a:p>
      </xdr:txBody>
    </xdr:sp>
    <xdr:clientData/>
  </xdr:twoCellAnchor>
  <xdr:twoCellAnchor>
    <xdr:from>
      <xdr:col>67</xdr:col>
      <xdr:colOff>39712</xdr:colOff>
      <xdr:row>2266</xdr:row>
      <xdr:rowOff>164495</xdr:rowOff>
    </xdr:from>
    <xdr:to>
      <xdr:col>82</xdr:col>
      <xdr:colOff>272486</xdr:colOff>
      <xdr:row>2276</xdr:row>
      <xdr:rowOff>57158</xdr:rowOff>
    </xdr:to>
    <xdr:sp macro="" textlink="">
      <xdr:nvSpPr>
        <xdr:cNvPr id="312" name="Text Box 12">
          <a:extLst>
            <a:ext uri="{FF2B5EF4-FFF2-40B4-BE49-F238E27FC236}">
              <a16:creationId xmlns:a16="http://schemas.microsoft.com/office/drawing/2014/main" id="{43259600-67FC-4283-A78F-E4C0755C9AEC}"/>
            </a:ext>
          </a:extLst>
        </xdr:cNvPr>
        <xdr:cNvSpPr txBox="1"/>
      </xdr:nvSpPr>
      <xdr:spPr>
        <a:xfrm rot="21221143">
          <a:off x="30032032" y="408337415"/>
          <a:ext cx="5871574" cy="185100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20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Whether law</a:t>
          </a:r>
          <a:r>
            <a:rPr lang="en-US" sz="20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breaker or law enforcer</a:t>
          </a:r>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indulging your need at another's expense lets you become the evil you fear in others.</a:t>
          </a:r>
        </a:p>
      </xdr:txBody>
    </xdr:sp>
    <xdr:clientData/>
  </xdr:twoCellAnchor>
  <xdr:twoCellAnchor>
    <xdr:from>
      <xdr:col>69</xdr:col>
      <xdr:colOff>206767</xdr:colOff>
      <xdr:row>2293</xdr:row>
      <xdr:rowOff>111804</xdr:rowOff>
    </xdr:from>
    <xdr:to>
      <xdr:col>82</xdr:col>
      <xdr:colOff>343927</xdr:colOff>
      <xdr:row>2307</xdr:row>
      <xdr:rowOff>125187</xdr:rowOff>
    </xdr:to>
    <xdr:sp macro="" textlink="">
      <xdr:nvSpPr>
        <xdr:cNvPr id="313" name="Text Box 7">
          <a:extLst>
            <a:ext uri="{FF2B5EF4-FFF2-40B4-BE49-F238E27FC236}">
              <a16:creationId xmlns:a16="http://schemas.microsoft.com/office/drawing/2014/main" id="{2006C114-2C48-4FEB-BE79-FBCBBCBE1D8E}"/>
            </a:ext>
          </a:extLst>
        </xdr:cNvPr>
        <xdr:cNvSpPr txBox="1"/>
      </xdr:nvSpPr>
      <xdr:spPr>
        <a:xfrm>
          <a:off x="30717247" y="413374884"/>
          <a:ext cx="5257800" cy="246702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nSpc>
              <a:spcPct val="100000"/>
            </a:lnSpc>
            <a:spcBef>
              <a:spcPts val="0"/>
            </a:spcBef>
            <a:spcAft>
              <a:spcPts val="600"/>
            </a:spcAft>
            <a:tabLst>
              <a:tab pos="3200400" algn="r"/>
            </a:tabLst>
          </a:pPr>
          <a:r>
            <a:rPr lang="en-US" sz="18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DISINGENUOUS LABELLING</a:t>
          </a:r>
        </a:p>
        <a:p>
          <a:pPr marL="0" marR="0">
            <a:lnSpc>
              <a:spcPct val="100000"/>
            </a:lnSpc>
            <a:spcBef>
              <a:spcPts val="300"/>
            </a:spcBef>
            <a:spcAft>
              <a:spcPts val="300"/>
            </a:spcAft>
            <a:tabLst>
              <a:tab pos="3200400" algn="r"/>
            </a:tabLst>
          </a:pPr>
          <a:r>
            <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Why call it justice if the process is actually for violently managing </a:t>
          </a:r>
          <a:r>
            <a:rPr lang="en-US" sz="1400" b="1" baseline="0">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human bodies associated with acts of violence? </a:t>
          </a:r>
          <a:endPar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a:p>
          <a:pPr marL="0" marR="0">
            <a:lnSpc>
              <a:spcPct val="100000"/>
            </a:lnSpc>
            <a:spcBef>
              <a:spcPts val="300"/>
            </a:spcBef>
            <a:spcAft>
              <a:spcPts val="300"/>
            </a:spcAft>
            <a:tabLst>
              <a:tab pos="3200400" algn="r"/>
            </a:tabLst>
          </a:pPr>
          <a:r>
            <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Any unfairness in the process for justice rarely results in the fairness of justice</a:t>
          </a:r>
          <a:r>
            <a:rPr lang="en-US" sz="1400" b="1"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t>
          </a:r>
        </a:p>
        <a:p>
          <a:pPr marL="0" marR="0">
            <a:lnSpc>
              <a:spcPct val="100000"/>
            </a:lnSpc>
            <a:spcBef>
              <a:spcPts val="300"/>
            </a:spcBef>
            <a:spcAft>
              <a:spcPts val="300"/>
            </a:spcAft>
            <a:tabLst>
              <a:tab pos="3200400" algn="r"/>
            </a:tabLst>
          </a:pPr>
          <a:r>
            <a:rPr lang="en-US" sz="1400" b="1"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Any injustice in the name</a:t>
          </a:r>
          <a:r>
            <a:rPr lang="en-US" sz="1400" b="1" u="none" baseline="0">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 of justice is no justice at all. We will be less disingenuous by labeling it as 'state reaction to interersonal violence' or "violence reaction" for short.</a:t>
          </a:r>
          <a:endParaRPr lang="en-US" sz="1100"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67</xdr:col>
      <xdr:colOff>38100</xdr:colOff>
      <xdr:row>2281</xdr:row>
      <xdr:rowOff>96343</xdr:rowOff>
    </xdr:from>
    <xdr:to>
      <xdr:col>81</xdr:col>
      <xdr:colOff>471352</xdr:colOff>
      <xdr:row>2289</xdr:row>
      <xdr:rowOff>149113</xdr:rowOff>
    </xdr:to>
    <xdr:sp macro="" textlink="">
      <xdr:nvSpPr>
        <xdr:cNvPr id="314" name="Text Box 8">
          <a:extLst>
            <a:ext uri="{FF2B5EF4-FFF2-40B4-BE49-F238E27FC236}">
              <a16:creationId xmlns:a16="http://schemas.microsoft.com/office/drawing/2014/main" id="{BCFB19A4-9B87-4486-86F9-D799819FDC62}"/>
            </a:ext>
          </a:extLst>
        </xdr:cNvPr>
        <xdr:cNvSpPr txBox="1"/>
      </xdr:nvSpPr>
      <xdr:spPr>
        <a:xfrm rot="565750">
          <a:off x="30030420" y="411103903"/>
          <a:ext cx="5462452" cy="160725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better that ten guilty persons </a:t>
          </a:r>
          <a:r>
            <a:rPr lang="en-US" sz="2000" b="1" spc="-2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escape than that one innocent suffer</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68</xdr:col>
      <xdr:colOff>118817</xdr:colOff>
      <xdr:row>2266</xdr:row>
      <xdr:rowOff>297180</xdr:rowOff>
    </xdr:from>
    <xdr:to>
      <xdr:col>75</xdr:col>
      <xdr:colOff>129703</xdr:colOff>
      <xdr:row>2276</xdr:row>
      <xdr:rowOff>167641</xdr:rowOff>
    </xdr:to>
    <xdr:sp macro="" textlink="">
      <xdr:nvSpPr>
        <xdr:cNvPr id="315" name="Rectangle: Rounded Corners 314">
          <a:extLst>
            <a:ext uri="{FF2B5EF4-FFF2-40B4-BE49-F238E27FC236}">
              <a16:creationId xmlns:a16="http://schemas.microsoft.com/office/drawing/2014/main" id="{7F1EE904-A227-47E6-9AB1-32102CE6B39E}"/>
            </a:ext>
          </a:extLst>
        </xdr:cNvPr>
        <xdr:cNvSpPr/>
      </xdr:nvSpPr>
      <xdr:spPr>
        <a:xfrm>
          <a:off x="30370217" y="408470100"/>
          <a:ext cx="1824446" cy="1828801"/>
        </a:xfrm>
        <a:prstGeom prst="roundRect">
          <a:avLst>
            <a:gd name="adj" fmla="val 50000"/>
          </a:avLst>
        </a:prstGeom>
        <a:gradFill>
          <a:gsLst>
            <a:gs pos="0">
              <a:schemeClr val="accent1">
                <a:lumMod val="5000"/>
                <a:lumOff val="95000"/>
              </a:schemeClr>
            </a:gs>
            <a:gs pos="40000">
              <a:srgbClr val="FFCCFF"/>
            </a:gs>
            <a:gs pos="70000">
              <a:srgbClr val="FF99FF"/>
            </a:gs>
            <a:gs pos="100000">
              <a:srgbClr val="CC99FF"/>
            </a:gs>
          </a:gsLst>
          <a:lin ang="5400000" scaled="1"/>
        </a:gradFill>
        <a:ln>
          <a:solidFill>
            <a:srgbClr val="CC99FF"/>
          </a:solidFill>
        </a:ln>
        <a:effectLst>
          <a:glow rad="63500">
            <a:srgbClr val="CC99FF">
              <a:alpha val="80000"/>
            </a:srgbClr>
          </a:glow>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2400">
              <a:ln>
                <a:solidFill>
                  <a:srgbClr val="7030A0"/>
                </a:solidFill>
              </a:ln>
              <a:effectLst>
                <a:innerShdw blurRad="63500" dist="50800" dir="5400000">
                  <a:prstClr val="black">
                    <a:alpha val="50000"/>
                  </a:prstClr>
                </a:innerShdw>
              </a:effectLst>
              <a:latin typeface="Impact" panose="020B0806030902050204" pitchFamily="34" charset="0"/>
            </a:rPr>
            <a:t>ASCRIBED</a:t>
          </a:r>
          <a:r>
            <a:rPr lang="en-US" sz="2400" baseline="0">
              <a:ln>
                <a:solidFill>
                  <a:srgbClr val="7030A0"/>
                </a:solidFill>
              </a:ln>
              <a:effectLst>
                <a:innerShdw blurRad="63500" dist="50800" dir="5400000">
                  <a:prstClr val="black">
                    <a:alpha val="50000"/>
                  </a:prstClr>
                </a:innerShdw>
              </a:effectLst>
              <a:latin typeface="Impact" panose="020B0806030902050204" pitchFamily="34" charset="0"/>
            </a:rPr>
            <a:t> IMPACTOR</a:t>
          </a:r>
          <a:endParaRPr lang="en-US" sz="2400">
            <a:ln>
              <a:solidFill>
                <a:srgbClr val="7030A0"/>
              </a:solidFill>
            </a:ln>
            <a:effectLst>
              <a:innerShdw blurRad="63500" dist="50800" dir="5400000">
                <a:prstClr val="black">
                  <a:alpha val="50000"/>
                </a:prstClr>
              </a:innerShdw>
            </a:effectLst>
            <a:latin typeface="Impact" panose="020B0806030902050204" pitchFamily="34" charset="0"/>
          </a:endParaRPr>
        </a:p>
      </xdr:txBody>
    </xdr:sp>
    <xdr:clientData/>
  </xdr:twoCellAnchor>
  <xdr:twoCellAnchor>
    <xdr:from>
      <xdr:col>78</xdr:col>
      <xdr:colOff>112286</xdr:colOff>
      <xdr:row>2266</xdr:row>
      <xdr:rowOff>297180</xdr:rowOff>
    </xdr:from>
    <xdr:to>
      <xdr:col>81</xdr:col>
      <xdr:colOff>107932</xdr:colOff>
      <xdr:row>2276</xdr:row>
      <xdr:rowOff>167641</xdr:rowOff>
    </xdr:to>
    <xdr:sp macro="" textlink="">
      <xdr:nvSpPr>
        <xdr:cNvPr id="316" name="Rectangle: Rounded Corners 315">
          <a:extLst>
            <a:ext uri="{FF2B5EF4-FFF2-40B4-BE49-F238E27FC236}">
              <a16:creationId xmlns:a16="http://schemas.microsoft.com/office/drawing/2014/main" id="{818F79EB-7A9F-4C85-9139-53DD546C7B39}"/>
            </a:ext>
          </a:extLst>
        </xdr:cNvPr>
        <xdr:cNvSpPr/>
      </xdr:nvSpPr>
      <xdr:spPr>
        <a:xfrm>
          <a:off x="33305006" y="408470100"/>
          <a:ext cx="1824446" cy="1828801"/>
        </a:xfrm>
        <a:prstGeom prst="roundRect">
          <a:avLst>
            <a:gd name="adj" fmla="val 50000"/>
          </a:avLst>
        </a:prstGeom>
        <a:gradFill>
          <a:gsLst>
            <a:gs pos="0">
              <a:schemeClr val="accent1">
                <a:lumMod val="5000"/>
                <a:lumOff val="95000"/>
              </a:schemeClr>
            </a:gs>
            <a:gs pos="40000">
              <a:srgbClr val="CCFFCC"/>
            </a:gs>
            <a:gs pos="70000">
              <a:srgbClr val="99FF99"/>
            </a:gs>
            <a:gs pos="100000">
              <a:srgbClr val="01FF80"/>
            </a:gs>
          </a:gsLst>
          <a:lin ang="5400000" scaled="1"/>
        </a:gradFill>
        <a:ln>
          <a:solidFill>
            <a:srgbClr val="01FF80"/>
          </a:solidFill>
        </a:ln>
        <a:effectLst>
          <a:glow rad="63500">
            <a:srgbClr val="01FF80">
              <a:alpha val="80000"/>
            </a:srgbClr>
          </a:glow>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2400" spc="-50" baseline="0">
              <a:ln>
                <a:solidFill>
                  <a:srgbClr val="00B050"/>
                </a:solidFill>
              </a:ln>
              <a:effectLst>
                <a:innerShdw blurRad="63500" dist="50800" dir="5400000">
                  <a:prstClr val="black">
                    <a:alpha val="50000"/>
                  </a:prstClr>
                </a:innerShdw>
              </a:effectLst>
              <a:latin typeface="Impact" panose="020B0806030902050204" pitchFamily="34" charset="0"/>
            </a:rPr>
            <a:t>REPORTING</a:t>
          </a:r>
          <a:r>
            <a:rPr lang="en-US" sz="2400" spc="-100" baseline="0">
              <a:ln>
                <a:solidFill>
                  <a:srgbClr val="00B050"/>
                </a:solidFill>
              </a:ln>
              <a:effectLst>
                <a:innerShdw blurRad="63500" dist="50800" dir="5400000">
                  <a:prstClr val="black">
                    <a:alpha val="50000"/>
                  </a:prstClr>
                </a:innerShdw>
              </a:effectLst>
              <a:latin typeface="Impact" panose="020B0806030902050204" pitchFamily="34" charset="0"/>
            </a:rPr>
            <a:t> </a:t>
          </a:r>
          <a:r>
            <a:rPr lang="en-US" sz="2400" baseline="0">
              <a:ln>
                <a:solidFill>
                  <a:srgbClr val="00B050"/>
                </a:solidFill>
              </a:ln>
              <a:effectLst>
                <a:innerShdw blurRad="63500" dist="50800" dir="5400000">
                  <a:prstClr val="black">
                    <a:alpha val="50000"/>
                  </a:prstClr>
                </a:innerShdw>
              </a:effectLst>
              <a:latin typeface="Impact" panose="020B0806030902050204" pitchFamily="34" charset="0"/>
            </a:rPr>
            <a:t>IMPACTEE</a:t>
          </a:r>
          <a:endParaRPr lang="en-US" sz="2400">
            <a:ln>
              <a:solidFill>
                <a:srgbClr val="00B050"/>
              </a:solidFill>
            </a:ln>
            <a:effectLst>
              <a:innerShdw blurRad="63500" dist="50800" dir="5400000">
                <a:prstClr val="black">
                  <a:alpha val="50000"/>
                </a:prstClr>
              </a:innerShdw>
            </a:effectLst>
            <a:latin typeface="Impact" panose="020B0806030902050204" pitchFamily="34" charset="0"/>
          </a:endParaRPr>
        </a:p>
      </xdr:txBody>
    </xdr:sp>
    <xdr:clientData/>
  </xdr:twoCellAnchor>
  <xdr:twoCellAnchor>
    <xdr:from>
      <xdr:col>62</xdr:col>
      <xdr:colOff>121920</xdr:colOff>
      <xdr:row>2458</xdr:row>
      <xdr:rowOff>22860</xdr:rowOff>
    </xdr:from>
    <xdr:to>
      <xdr:col>76</xdr:col>
      <xdr:colOff>225208</xdr:colOff>
      <xdr:row>2471</xdr:row>
      <xdr:rowOff>141053</xdr:rowOff>
    </xdr:to>
    <xdr:sp macro="" textlink="">
      <xdr:nvSpPr>
        <xdr:cNvPr id="317" name="Text Box 8">
          <a:extLst>
            <a:ext uri="{FF2B5EF4-FFF2-40B4-BE49-F238E27FC236}">
              <a16:creationId xmlns:a16="http://schemas.microsoft.com/office/drawing/2014/main" id="{DA1265DA-D931-4C3A-BADF-39B8E502D9EE}"/>
            </a:ext>
          </a:extLst>
        </xdr:cNvPr>
        <xdr:cNvSpPr txBox="1"/>
      </xdr:nvSpPr>
      <xdr:spPr>
        <a:xfrm rot="343004">
          <a:off x="28818840" y="436092600"/>
          <a:ext cx="3730408" cy="238895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Guilty</a:t>
          </a:r>
          <a:r>
            <a:rPr lang="en-US" sz="1100">
              <a:effectLst/>
              <a:latin typeface="+mn-lt"/>
              <a:ea typeface="+mn-ea"/>
              <a:cs typeface="+mn-cs"/>
            </a:rPr>
            <a:t> </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or innocent? I’m not talking about you,</a:t>
          </a:r>
          <a:r>
            <a:rPr lang="en-US" sz="2000" b="1" baseline="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but about them</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Who shall exonerate those who remain slow to exonerate others they falsely condemn?</a:t>
          </a:r>
        </a:p>
      </xdr:txBody>
    </xdr:sp>
    <xdr:clientData/>
  </xdr:twoCellAnchor>
  <xdr:twoCellAnchor>
    <xdr:from>
      <xdr:col>28</xdr:col>
      <xdr:colOff>198120</xdr:colOff>
      <xdr:row>2492</xdr:row>
      <xdr:rowOff>45720</xdr:rowOff>
    </xdr:from>
    <xdr:to>
      <xdr:col>53</xdr:col>
      <xdr:colOff>13970</xdr:colOff>
      <xdr:row>2557</xdr:row>
      <xdr:rowOff>90170</xdr:rowOff>
    </xdr:to>
    <xdr:sp macro="" textlink="">
      <xdr:nvSpPr>
        <xdr:cNvPr id="236" name="Text Box 1">
          <a:extLst>
            <a:ext uri="{FF2B5EF4-FFF2-40B4-BE49-F238E27FC236}">
              <a16:creationId xmlns:a16="http://schemas.microsoft.com/office/drawing/2014/main" id="{A2BF04C0-091A-4AE3-A926-4DB9E7B16C60}"/>
            </a:ext>
          </a:extLst>
        </xdr:cNvPr>
        <xdr:cNvSpPr txBox="1"/>
      </xdr:nvSpPr>
      <xdr:spPr>
        <a:xfrm>
          <a:off x="19057620" y="485660700"/>
          <a:ext cx="5949950" cy="11436350"/>
        </a:xfrm>
        <a:prstGeom prst="rect">
          <a:avLst/>
        </a:prstGeom>
        <a:solidFill>
          <a:schemeClr val="bg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https://en.wikipedia.org/wiki/Prosecutorial_misconduct</a:t>
          </a:r>
        </a:p>
        <a:p>
          <a:pPr marL="0" marR="0"/>
          <a:r>
            <a:rPr lang="en-US" sz="1800" b="1">
              <a:effectLst/>
              <a:latin typeface="Times New Roman" panose="02020603050405020304" pitchFamily="18" charset="0"/>
              <a:ea typeface="Times New Roman" panose="02020603050405020304" pitchFamily="18" charset="0"/>
            </a:rPr>
            <a:t>Types of misconduct</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Burden Shifting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Failure to disclose exculpatory evidence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False confession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False arrest</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Falsified evidence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Intimidation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Malicious prosecution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Police brutality</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Prosecutorial corruption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Political repression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Racial profiling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Sexual abuse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Surveillance abuse</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Testifying</a:t>
          </a:r>
          <a:r>
            <a:rPr lang="en-US" sz="1100">
              <a:effectLst/>
              <a:latin typeface="Calibri" panose="020F0502020204030204" pitchFamily="34" charset="0"/>
              <a:ea typeface="Calibri" panose="020F0502020204030204" pitchFamily="34" charset="0"/>
              <a:cs typeface="Times New Roman" panose="02020603050405020304" pitchFamily="18" charset="0"/>
            </a:rPr>
            <a:t> --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Subornation of perjury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r>
            <a:rPr lang="en-US" sz="1800" b="1">
              <a:effectLst/>
              <a:latin typeface="Times New Roman" panose="02020603050405020304" pitchFamily="18" charset="0"/>
              <a:ea typeface="Times New Roman" panose="02020603050405020304" pitchFamily="18" charset="0"/>
            </a:rPr>
            <a:t>Abuses of discretion</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This section </a:t>
          </a:r>
          <a:r>
            <a:rPr lang="en-US" sz="1100" b="1">
              <a:effectLst/>
              <a:latin typeface="Calibri" panose="020F0502020204030204" pitchFamily="34" charset="0"/>
              <a:ea typeface="Calibri" panose="020F0502020204030204" pitchFamily="34" charset="0"/>
              <a:cs typeface="Times New Roman" panose="02020603050405020304" pitchFamily="18" charset="0"/>
            </a:rPr>
            <a:t>does not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cite</a:t>
          </a:r>
          <a:r>
            <a:rPr lang="en-US" sz="1100" b="1">
              <a:effectLst/>
              <a:latin typeface="Calibri" panose="020F0502020204030204" pitchFamily="34" charset="0"/>
              <a:ea typeface="Calibri" panose="020F0502020204030204" pitchFamily="34" charset="0"/>
              <a:cs typeface="Times New Roman" panose="02020603050405020304" pitchFamily="18" charset="0"/>
            </a:rPr>
            <a:t> any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sources</a:t>
          </a:r>
          <a:r>
            <a:rPr lang="en-US" sz="1100">
              <a:effectLst/>
              <a:latin typeface="Calibri" panose="020F0502020204030204" pitchFamily="34" charset="0"/>
              <a:ea typeface="Calibri" panose="020F0502020204030204" pitchFamily="34" charset="0"/>
              <a:cs typeface="Times New Roman" panose="02020603050405020304" pitchFamily="18" charset="0"/>
            </a:rPr>
            <a:t>. Please help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improve this section</a:t>
          </a:r>
          <a:r>
            <a:rPr lang="en-US" sz="1100">
              <a:effectLst/>
              <a:latin typeface="Calibri" panose="020F0502020204030204" pitchFamily="34" charset="0"/>
              <a:ea typeface="Calibri" panose="020F0502020204030204" pitchFamily="34" charset="0"/>
              <a:cs typeface="Times New Roman" panose="02020603050405020304" pitchFamily="18" charset="0"/>
            </a:rPr>
            <a:t> by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adding citations to reliable sources</a:t>
          </a:r>
          <a:r>
            <a:rPr lang="en-US" sz="1100">
              <a:effectLst/>
              <a:latin typeface="Calibri" panose="020F0502020204030204" pitchFamily="34" charset="0"/>
              <a:ea typeface="Calibri" panose="020F0502020204030204" pitchFamily="34" charset="0"/>
              <a:cs typeface="Times New Roman" panose="02020603050405020304" pitchFamily="18" charset="0"/>
            </a:rPr>
            <a:t>. Unsourced material may be challenged and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removed</a:t>
          </a:r>
          <a:r>
            <a:rPr lang="en-US" sz="1100">
              <a:effectLst/>
              <a:latin typeface="Calibri" panose="020F0502020204030204" pitchFamily="34" charset="0"/>
              <a:ea typeface="Calibri" panose="020F0502020204030204" pitchFamily="34" charset="0"/>
              <a:cs typeface="Times New Roman" panose="02020603050405020304" pitchFamily="18" charset="0"/>
            </a:rPr>
            <a:t>. </a:t>
          </a:r>
          <a:r>
            <a:rPr lang="en-US" sz="1100" i="1">
              <a:effectLst/>
              <a:latin typeface="Calibri" panose="020F0502020204030204" pitchFamily="34" charset="0"/>
              <a:ea typeface="Calibri" panose="020F0502020204030204" pitchFamily="34" charset="0"/>
              <a:cs typeface="Times New Roman" panose="02020603050405020304" pitchFamily="18" charset="0"/>
            </a:rPr>
            <a:t>(March 2013) (</a:t>
          </a:r>
          <a:r>
            <a:rPr lang="en-US" sz="1100" i="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Learn how and when to remove this template message</a:t>
          </a:r>
          <a:r>
            <a:rPr lang="en-US" sz="1100" i="1">
              <a:effectLst/>
              <a:latin typeface="Calibri" panose="020F050202020403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r>
            <a:rPr lang="en-US" sz="1200">
              <a:effectLst/>
              <a:latin typeface="Times New Roman" panose="02020603050405020304" pitchFamily="18" charset="0"/>
              <a:ea typeface="Times New Roman" panose="02020603050405020304" pitchFamily="18" charset="0"/>
            </a:rPr>
            <a:t>Prosecutors are given discretion about how they conduct their business. However, while some practices are not illegal, they may be seen as unethical and/or abusive and in need of reform, particularly by defendants and criminal defense attorneys: </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Selective prosecution by race, income, political affiliation, etc.</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Capture of the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grand jury</a:t>
          </a:r>
          <a:r>
            <a:rPr lang="en-US" sz="1100">
              <a:effectLst/>
              <a:latin typeface="Calibri" panose="020F0502020204030204" pitchFamily="34" charset="0"/>
              <a:ea typeface="Calibri" panose="020F0502020204030204" pitchFamily="34" charset="0"/>
              <a:cs typeface="Times New Roman" panose="02020603050405020304" pitchFamily="18" charset="0"/>
            </a:rPr>
            <a:t>, misusing it as a tool for inquisitorial abuse, or excluding citizen complaints from being heard.</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Plea bargaining</a:t>
          </a:r>
          <a:r>
            <a:rPr lang="en-US" sz="1100">
              <a:effectLst/>
              <a:latin typeface="Calibri" panose="020F0502020204030204" pitchFamily="34" charset="0"/>
              <a:ea typeface="Calibri" panose="020F0502020204030204" pitchFamily="34" charset="0"/>
              <a:cs typeface="Times New Roman" panose="02020603050405020304" pitchFamily="18" charset="0"/>
            </a:rPr>
            <a:t> abuses, such as seeking testimony in exchange for leniency. This may solicit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perjury</a:t>
          </a:r>
          <a:r>
            <a:rPr lang="en-US" sz="1100">
              <a:effectLst/>
              <a:latin typeface="Calibri" panose="020F0502020204030204" pitchFamily="34" charset="0"/>
              <a:ea typeface="Calibri" panose="020F0502020204030204" pitchFamily="34" charset="0"/>
              <a:cs typeface="Times New Roman" panose="02020603050405020304" pitchFamily="18" charset="0"/>
            </a:rPr>
            <a:t> or falsified evidence.</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“Horsetrading”, the practice of colluding with defense attorneys to agree to get some of their clients to plead guilty in exchange for letting others off.</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Threatening public officials, especially judges, with prosecution if they don't unduly support their cases.</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Tainting of jury pools with public statements by prosecutors that are either inaccurate, exaggerated, unsupported by evidence or that could be inadmissible at trial, and such statements become widely promulgated by the media.</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causing depositions in a related civil trial which were likely to yield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exculpatory evidence</a:t>
          </a:r>
          <a:r>
            <a:rPr lang="en-US" sz="1100">
              <a:effectLst/>
              <a:latin typeface="Calibri" panose="020F0502020204030204" pitchFamily="34" charset="0"/>
              <a:ea typeface="Calibri" panose="020F0502020204030204" pitchFamily="34" charset="0"/>
              <a:cs typeface="Times New Roman" panose="02020603050405020304" pitchFamily="18" charset="0"/>
            </a:rPr>
            <a:t>, and then "staying" those statements so they cannot be used in a criminal trial.</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naming a host of “un-indicted co-conspirators” in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conspiracy</a:t>
          </a:r>
          <a:r>
            <a:rPr lang="en-US" sz="1100">
              <a:effectLst/>
              <a:latin typeface="Calibri" panose="020F0502020204030204" pitchFamily="34" charset="0"/>
              <a:ea typeface="Calibri" panose="020F0502020204030204" pitchFamily="34" charset="0"/>
              <a:cs typeface="Times New Roman" panose="02020603050405020304" pitchFamily="18" charset="0"/>
            </a:rPr>
            <a:t> cases to intimidate potential defense witnesses with threats of retaliatory prosecution.</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using their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Peremptory Challenges</a:t>
          </a:r>
          <a:r>
            <a:rPr lang="en-US" sz="1100">
              <a:effectLst/>
              <a:latin typeface="Calibri" panose="020F0502020204030204" pitchFamily="34" charset="0"/>
              <a:ea typeface="Calibri" panose="020F0502020204030204" pitchFamily="34" charset="0"/>
              <a:cs typeface="Times New Roman" panose="02020603050405020304" pitchFamily="18" charset="0"/>
            </a:rPr>
            <a:t> to remove from the jury anyone with relevant experience in the complex subjects of a trial. Defense attorneys often use similar tactics. Both attempt to prevent a juror's technical knowledge from interfering with the credibility of their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expert witnesses</a:t>
          </a:r>
          <a:r>
            <a:rPr lang="en-US" sz="1100">
              <a:effectLst/>
              <a:latin typeface="Calibri" panose="020F0502020204030204" pitchFamily="34" charset="0"/>
              <a:ea typeface="Calibri" panose="020F0502020204030204" pitchFamily="34" charset="0"/>
              <a:cs typeface="Times New Roman" panose="02020603050405020304" pitchFamily="18" charset="0"/>
            </a:rPr>
            <a:t>.</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pursuing criminal penalties for selected industry practices in Corporate America when regulatory intervention would be more appropriate. For example, prosecuting a mechanic for minor violations of the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Clean Water Act</a:t>
          </a:r>
          <a:r>
            <a:rPr lang="en-US" sz="1100">
              <a:effectLst/>
              <a:latin typeface="Calibri" panose="020F0502020204030204" pitchFamily="34" charset="0"/>
              <a:ea typeface="Calibri" panose="020F0502020204030204" pitchFamily="34" charset="0"/>
              <a:cs typeface="Times New Roman" panose="02020603050405020304" pitchFamily="18" charset="0"/>
            </a:rPr>
            <a:t> rather than affording the opportunity for the mechanic to correct their error and pay the appropriate fines.</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using multidefendant trials to get defendants to turn on one another in the courtroom, as judges may be reluctant to allow separate trials in multi-defendant cases.</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https://en.wikipedia.org/wiki/Malicious_prosecution</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https://digitalcommons.tourolaw.edu/cgi/viewcontent.cgi?referer=https://www.google.com/&amp;httpsredir=1&amp;article=1712&amp;context=scholarlyworks</a:t>
          </a:r>
        </a:p>
      </xdr:txBody>
    </xdr:sp>
    <xdr:clientData/>
  </xdr:twoCellAnchor>
  <xdr:twoCellAnchor>
    <xdr:from>
      <xdr:col>2</xdr:col>
      <xdr:colOff>1850571</xdr:colOff>
      <xdr:row>43</xdr:row>
      <xdr:rowOff>171061</xdr:rowOff>
    </xdr:from>
    <xdr:to>
      <xdr:col>2</xdr:col>
      <xdr:colOff>1850571</xdr:colOff>
      <xdr:row>45</xdr:row>
      <xdr:rowOff>3607836</xdr:rowOff>
    </xdr:to>
    <xdr:cxnSp macro="">
      <xdr:nvCxnSpPr>
        <xdr:cNvPr id="23" name="Straight Connector 22">
          <a:extLst>
            <a:ext uri="{FF2B5EF4-FFF2-40B4-BE49-F238E27FC236}">
              <a16:creationId xmlns:a16="http://schemas.microsoft.com/office/drawing/2014/main" id="{739C619B-DF50-44B5-841F-6EE9D6F3EADF}"/>
            </a:ext>
          </a:extLst>
        </xdr:cNvPr>
        <xdr:cNvCxnSpPr/>
      </xdr:nvCxnSpPr>
      <xdr:spPr>
        <a:xfrm>
          <a:off x="3203510" y="314768204"/>
          <a:ext cx="0" cy="7884367"/>
        </a:xfrm>
        <a:prstGeom prst="line">
          <a:avLst/>
        </a:prstGeom>
        <a:ln w="2857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41</xdr:row>
      <xdr:rowOff>228600</xdr:rowOff>
    </xdr:from>
    <xdr:to>
      <xdr:col>6</xdr:col>
      <xdr:colOff>50829</xdr:colOff>
      <xdr:row>50</xdr:row>
      <xdr:rowOff>46393</xdr:rowOff>
    </xdr:to>
    <xdr:pic>
      <xdr:nvPicPr>
        <xdr:cNvPr id="329" name="COVI frame">
          <a:extLst>
            <a:ext uri="{FF2B5EF4-FFF2-40B4-BE49-F238E27FC236}">
              <a16:creationId xmlns:a16="http://schemas.microsoft.com/office/drawing/2014/main" id="{0323177A-069D-42DA-9B2D-E341C613F6AD}"/>
            </a:ext>
          </a:extLst>
        </xdr:cNvPr>
        <xdr:cNvPicPr>
          <a:picLocks noChangeAspect="1"/>
        </xdr:cNvPicPr>
      </xdr:nvPicPr>
      <xdr:blipFill>
        <a:blip xmlns:r="http://schemas.openxmlformats.org/officeDocument/2006/relationships" r:embed="rId37"/>
        <a:stretch>
          <a:fillRect/>
        </a:stretch>
      </xdr:blipFill>
      <xdr:spPr>
        <a:xfrm>
          <a:off x="0" y="8504767"/>
          <a:ext cx="6326746" cy="8633709"/>
        </a:xfrm>
        <a:prstGeom prst="rect">
          <a:avLst/>
        </a:prstGeom>
      </xdr:spPr>
    </xdr:pic>
    <xdr:clientData/>
  </xdr:twoCellAnchor>
  <xdr:oneCellAnchor>
    <xdr:from>
      <xdr:col>1</xdr:col>
      <xdr:colOff>218165</xdr:colOff>
      <xdr:row>43</xdr:row>
      <xdr:rowOff>134254</xdr:rowOff>
    </xdr:from>
    <xdr:ext cx="1821754" cy="7523959"/>
    <xdr:sp macro="" textlink="">
      <xdr:nvSpPr>
        <xdr:cNvPr id="330" name="Rectangle 329">
          <a:extLst>
            <a:ext uri="{FF2B5EF4-FFF2-40B4-BE49-F238E27FC236}">
              <a16:creationId xmlns:a16="http://schemas.microsoft.com/office/drawing/2014/main" id="{05814A9B-170C-46E1-8AF6-05B7C790E3BC}"/>
            </a:ext>
          </a:extLst>
        </xdr:cNvPr>
        <xdr:cNvSpPr/>
      </xdr:nvSpPr>
      <xdr:spPr>
        <a:xfrm rot="16200000">
          <a:off x="-2378938" y="11583257"/>
          <a:ext cx="7523959" cy="1821754"/>
        </a:xfrm>
        <a:prstGeom prst="rect">
          <a:avLst/>
        </a:prstGeom>
        <a:noFill/>
      </xdr:spPr>
      <xdr:txBody>
        <a:bodyPr wrap="none" lIns="91440" tIns="45720" rIns="91440" bIns="45720">
          <a:prstTxWarp prst="textArchUp">
            <a:avLst/>
          </a:prstTxWarp>
          <a:spAutoFit/>
        </a:bodyPr>
        <a:lstStyle/>
        <a:p>
          <a:pPr algn="ctr"/>
          <a:r>
            <a:rPr lang="en-US" sz="2500" b="0" cap="none" spc="0">
              <a:ln w="0"/>
              <a:solidFill>
                <a:schemeClr val="accent6">
                  <a:lumMod val="50000"/>
                </a:schemeClr>
              </a:solidFill>
              <a:effectLst>
                <a:outerShdw blurRad="38100" dist="19050" dir="2700000" algn="tl" rotWithShape="0">
                  <a:schemeClr val="dk1">
                    <a:alpha val="40000"/>
                  </a:schemeClr>
                </a:outerShdw>
              </a:effectLst>
              <a:latin typeface="Arial Black" panose="020B0A04020102020204" pitchFamily="34" charset="0"/>
            </a:rPr>
            <a:t>CERTIFICATE OF VERIFIABLE INNOCENCE</a:t>
          </a:r>
        </a:p>
      </xdr:txBody>
    </xdr:sp>
    <xdr:clientData/>
  </xdr:oneCellAnchor>
  <xdr:twoCellAnchor>
    <xdr:from>
      <xdr:col>53</xdr:col>
      <xdr:colOff>278947</xdr:colOff>
      <xdr:row>1125</xdr:row>
      <xdr:rowOff>375285</xdr:rowOff>
    </xdr:from>
    <xdr:to>
      <xdr:col>70</xdr:col>
      <xdr:colOff>179887</xdr:colOff>
      <xdr:row>1127</xdr:row>
      <xdr:rowOff>89264</xdr:rowOff>
    </xdr:to>
    <xdr:sp macro="" textlink="">
      <xdr:nvSpPr>
        <xdr:cNvPr id="331" name="Rectangle: Rounded Corners 330">
          <a:extLst>
            <a:ext uri="{FF2B5EF4-FFF2-40B4-BE49-F238E27FC236}">
              <a16:creationId xmlns:a16="http://schemas.microsoft.com/office/drawing/2014/main" id="{A925EAC7-338A-4C77-A7DB-270E6B3B5BBF}"/>
            </a:ext>
          </a:extLst>
        </xdr:cNvPr>
        <xdr:cNvSpPr/>
      </xdr:nvSpPr>
      <xdr:spPr>
        <a:xfrm>
          <a:off x="25272547" y="315195585"/>
          <a:ext cx="5676900" cy="315959"/>
        </a:xfrm>
        <a:prstGeom prst="roundRect">
          <a:avLst>
            <a:gd name="adj" fmla="val 5176"/>
          </a:avLst>
        </a:prstGeom>
        <a:solidFill>
          <a:srgbClr val="FFCCFF">
            <a:alpha val="12157"/>
          </a:srgbClr>
        </a:solidFill>
        <a:ln w="1905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7030A0"/>
              </a:solidFill>
            </a:rPr>
            <a:t>COUNTS</a:t>
          </a:r>
          <a:r>
            <a:rPr lang="en-US" sz="1600" baseline="0">
              <a:solidFill>
                <a:srgbClr val="7030A0"/>
              </a:solidFill>
            </a:rPr>
            <a:t> VERIFICATION POINTS</a:t>
          </a:r>
          <a:endParaRPr lang="en-US" sz="1600">
            <a:solidFill>
              <a:srgbClr val="7030A0"/>
            </a:solidFill>
          </a:endParaRPr>
        </a:p>
      </xdr:txBody>
    </xdr:sp>
    <xdr:clientData/>
  </xdr:twoCellAnchor>
  <xdr:twoCellAnchor>
    <xdr:from>
      <xdr:col>27</xdr:col>
      <xdr:colOff>7620</xdr:colOff>
      <xdr:row>1217</xdr:row>
      <xdr:rowOff>0</xdr:rowOff>
    </xdr:from>
    <xdr:to>
      <xdr:col>50</xdr:col>
      <xdr:colOff>0</xdr:colOff>
      <xdr:row>1218</xdr:row>
      <xdr:rowOff>0</xdr:rowOff>
    </xdr:to>
    <xdr:sp macro="" textlink="">
      <xdr:nvSpPr>
        <xdr:cNvPr id="319" name="TextBox 318">
          <a:extLst>
            <a:ext uri="{FF2B5EF4-FFF2-40B4-BE49-F238E27FC236}">
              <a16:creationId xmlns:a16="http://schemas.microsoft.com/office/drawing/2014/main" id="{D7AC67B9-127C-478E-AE4B-5D85A256A214}"/>
            </a:ext>
          </a:extLst>
        </xdr:cNvPr>
        <xdr:cNvSpPr txBox="1"/>
      </xdr:nvSpPr>
      <xdr:spPr>
        <a:xfrm>
          <a:off x="7025640" y="331957680"/>
          <a:ext cx="5882640" cy="7620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Before you go any further, now is a good time to return to the top and review each page. Check for any spelling errors, or missing fields,</a:t>
          </a:r>
          <a:r>
            <a:rPr lang="en-US" sz="1100" baseline="0">
              <a:latin typeface="Times New Roman" panose="02020603050405020304" pitchFamily="18" charset="0"/>
              <a:cs typeface="Times New Roman" panose="02020603050405020304" pitchFamily="18" charset="0"/>
            </a:rPr>
            <a:t> or where you can improve the wording. After making any final edits, save this document once more.</a:t>
          </a:r>
        </a:p>
        <a:p>
          <a:endParaRPr lang="en-US" sz="1100" baseline="0">
            <a:latin typeface="Times New Roman" panose="02020603050405020304" pitchFamily="18" charset="0"/>
            <a:cs typeface="Times New Roman" panose="02020603050405020304" pitchFamily="18" charset="0"/>
          </a:endParaRPr>
        </a:p>
        <a:p>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27</xdr:col>
      <xdr:colOff>15240</xdr:colOff>
      <xdr:row>1212</xdr:row>
      <xdr:rowOff>175260</xdr:rowOff>
    </xdr:from>
    <xdr:to>
      <xdr:col>50</xdr:col>
      <xdr:colOff>7620</xdr:colOff>
      <xdr:row>1217</xdr:row>
      <xdr:rowOff>624840</xdr:rowOff>
    </xdr:to>
    <xdr:sp macro="" textlink="">
      <xdr:nvSpPr>
        <xdr:cNvPr id="320" name="TextBox 13">
          <a:extLst>
            <a:ext uri="{FF2B5EF4-FFF2-40B4-BE49-F238E27FC236}">
              <a16:creationId xmlns:a16="http://schemas.microsoft.com/office/drawing/2014/main" id="{79732C52-539A-4A8A-A07E-0E55F703DBAB}"/>
            </a:ext>
          </a:extLst>
        </xdr:cNvPr>
        <xdr:cNvSpPr txBox="1"/>
      </xdr:nvSpPr>
      <xdr:spPr>
        <a:xfrm>
          <a:off x="7033260" y="331012800"/>
          <a:ext cx="5882640" cy="156972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If you need help making the most of this </a:t>
          </a:r>
          <a:r>
            <a:rPr lang="en-US" sz="1400" b="1">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Estimated Innocence</a:t>
          </a: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 we can help.</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1.	Ask for free guidance at our Facebook group: The Unexonerated.</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2.	Get one-on-one support to </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3.	Let us help you build support for your innocence with an "advocacy campaign".</a:t>
          </a:r>
        </a:p>
        <a:p>
          <a:pPr marL="228600" marR="0" indent="-228600" fontAlgn="base">
            <a:lnSpc>
              <a:spcPct val="107000"/>
            </a:lnSpc>
            <a:spcBef>
              <a:spcPts val="0"/>
            </a:spcBef>
            <a:spcAft>
              <a:spcPts val="800"/>
            </a:spcAft>
          </a:pP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368300</xdr:colOff>
      <xdr:row>2490</xdr:row>
      <xdr:rowOff>76200</xdr:rowOff>
    </xdr:from>
    <xdr:to>
      <xdr:col>3</xdr:col>
      <xdr:colOff>701403</xdr:colOff>
      <xdr:row>2492</xdr:row>
      <xdr:rowOff>35197</xdr:rowOff>
    </xdr:to>
    <xdr:sp macro="" textlink="">
      <xdr:nvSpPr>
        <xdr:cNvPr id="14" name="Rectangle: Beveled 13">
          <a:extLst>
            <a:ext uri="{FF2B5EF4-FFF2-40B4-BE49-F238E27FC236}">
              <a16:creationId xmlns:a16="http://schemas.microsoft.com/office/drawing/2014/main" id="{154233D0-37C0-45E7-845C-36C661F01664}"/>
            </a:ext>
          </a:extLst>
        </xdr:cNvPr>
        <xdr:cNvSpPr/>
      </xdr:nvSpPr>
      <xdr:spPr>
        <a:xfrm>
          <a:off x="1739900" y="478707450"/>
          <a:ext cx="2835003" cy="314597"/>
        </a:xfrm>
        <a:prstGeom prst="bevel">
          <a:avLst/>
        </a:prstGeom>
        <a:solidFill>
          <a:srgbClr val="006E32"/>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 ONLINE...</a:t>
          </a:r>
        </a:p>
      </xdr:txBody>
    </xdr:sp>
    <xdr:clientData/>
  </xdr:twoCellAnchor>
  <xdr:twoCellAnchor>
    <xdr:from>
      <xdr:col>2</xdr:col>
      <xdr:colOff>558983</xdr:colOff>
      <xdr:row>1237</xdr:row>
      <xdr:rowOff>127365</xdr:rowOff>
    </xdr:from>
    <xdr:to>
      <xdr:col>2</xdr:col>
      <xdr:colOff>1930583</xdr:colOff>
      <xdr:row>1239</xdr:row>
      <xdr:rowOff>66405</xdr:rowOff>
    </xdr:to>
    <xdr:sp macro="" textlink="">
      <xdr:nvSpPr>
        <xdr:cNvPr id="22" name="Rectangle: Beveled 21">
          <a:hlinkClick xmlns:r="http://schemas.openxmlformats.org/officeDocument/2006/relationships" r:id="rId38" tooltip="Join our Facebook group The Unexonerated"/>
          <a:extLst>
            <a:ext uri="{FF2B5EF4-FFF2-40B4-BE49-F238E27FC236}">
              <a16:creationId xmlns:a16="http://schemas.microsoft.com/office/drawing/2014/main" id="{65455AF6-C762-B6FD-1320-6FC09EA18293}"/>
            </a:ext>
          </a:extLst>
        </xdr:cNvPr>
        <xdr:cNvSpPr/>
      </xdr:nvSpPr>
      <xdr:spPr>
        <a:xfrm>
          <a:off x="1930583" y="337687015"/>
          <a:ext cx="1371600" cy="37084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rIns="0"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NR podcast</a:t>
          </a:r>
        </a:p>
      </xdr:txBody>
    </xdr:sp>
    <xdr:clientData/>
  </xdr:twoCellAnchor>
  <xdr:twoCellAnchor>
    <xdr:from>
      <xdr:col>2</xdr:col>
      <xdr:colOff>1994083</xdr:colOff>
      <xdr:row>1237</xdr:row>
      <xdr:rowOff>127365</xdr:rowOff>
    </xdr:from>
    <xdr:to>
      <xdr:col>3</xdr:col>
      <xdr:colOff>863783</xdr:colOff>
      <xdr:row>1239</xdr:row>
      <xdr:rowOff>66405</xdr:rowOff>
    </xdr:to>
    <xdr:sp macro="" textlink="">
      <xdr:nvSpPr>
        <xdr:cNvPr id="30" name="Rectangle: Beveled 29">
          <a:hlinkClick xmlns:r="http://schemas.openxmlformats.org/officeDocument/2006/relationships" r:id="rId39" tooltip="Join our Facebook group The Unexonerated"/>
          <a:extLst>
            <a:ext uri="{FF2B5EF4-FFF2-40B4-BE49-F238E27FC236}">
              <a16:creationId xmlns:a16="http://schemas.microsoft.com/office/drawing/2014/main" id="{E9845961-62D1-EF29-ACF9-FC926624F085}"/>
            </a:ext>
          </a:extLst>
        </xdr:cNvPr>
        <xdr:cNvSpPr/>
      </xdr:nvSpPr>
      <xdr:spPr>
        <a:xfrm>
          <a:off x="3365683" y="337687015"/>
          <a:ext cx="1371600" cy="37084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rIns="0"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EIF support</a:t>
          </a:r>
        </a:p>
      </xdr:txBody>
    </xdr:sp>
    <xdr:clientData/>
  </xdr:twoCellAnchor>
  <xdr:twoCellAnchor>
    <xdr:from>
      <xdr:col>0</xdr:col>
      <xdr:colOff>87313</xdr:colOff>
      <xdr:row>1753</xdr:row>
      <xdr:rowOff>79375</xdr:rowOff>
    </xdr:from>
    <xdr:to>
      <xdr:col>5</xdr:col>
      <xdr:colOff>186324</xdr:colOff>
      <xdr:row>1797</xdr:row>
      <xdr:rowOff>148589</xdr:rowOff>
    </xdr:to>
    <xdr:grpSp>
      <xdr:nvGrpSpPr>
        <xdr:cNvPr id="37" name="Group 36">
          <a:extLst>
            <a:ext uri="{FF2B5EF4-FFF2-40B4-BE49-F238E27FC236}">
              <a16:creationId xmlns:a16="http://schemas.microsoft.com/office/drawing/2014/main" id="{B45F75AE-4D55-A1B7-06E6-4603EC4C66AB}"/>
            </a:ext>
          </a:extLst>
        </xdr:cNvPr>
        <xdr:cNvGrpSpPr/>
      </xdr:nvGrpSpPr>
      <xdr:grpSpPr>
        <a:xfrm>
          <a:off x="87313" y="350698153"/>
          <a:ext cx="6187955" cy="7823269"/>
          <a:chOff x="87313" y="350345375"/>
          <a:chExt cx="6187074" cy="8022589"/>
        </a:xfrm>
      </xdr:grpSpPr>
      <xdr:pic>
        <xdr:nvPicPr>
          <xdr:cNvPr id="33" name="Picture 32">
            <a:hlinkClick xmlns:r="http://schemas.openxmlformats.org/officeDocument/2006/relationships" r:id="rId40"/>
            <a:extLst>
              <a:ext uri="{FF2B5EF4-FFF2-40B4-BE49-F238E27FC236}">
                <a16:creationId xmlns:a16="http://schemas.microsoft.com/office/drawing/2014/main" id="{6788F4E5-E0F0-4F62-AA68-38ACFFB0E185}"/>
              </a:ext>
            </a:extLst>
          </xdr:cNvPr>
          <xdr:cNvPicPr>
            <a:picLocks noChangeAspect="1"/>
          </xdr:cNvPicPr>
        </xdr:nvPicPr>
        <xdr:blipFill>
          <a:blip xmlns:r="http://schemas.openxmlformats.org/officeDocument/2006/relationships" r:embed="rId41"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667000" y="350588604"/>
            <a:ext cx="3607387" cy="7779360"/>
          </a:xfrm>
          <a:prstGeom prst="rect">
            <a:avLst/>
          </a:prstGeom>
        </xdr:spPr>
      </xdr:pic>
      <xdr:sp macro="" textlink="">
        <xdr:nvSpPr>
          <xdr:cNvPr id="35" name="TextBox 34">
            <a:extLst>
              <a:ext uri="{FF2B5EF4-FFF2-40B4-BE49-F238E27FC236}">
                <a16:creationId xmlns:a16="http://schemas.microsoft.com/office/drawing/2014/main" id="{E412741C-09D4-661F-6078-EF1B954D46A9}"/>
              </a:ext>
            </a:extLst>
          </xdr:cNvPr>
          <xdr:cNvSpPr txBox="1"/>
        </xdr:nvSpPr>
        <xdr:spPr>
          <a:xfrm>
            <a:off x="95250" y="351075625"/>
            <a:ext cx="2468880" cy="7223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b="1">
                <a:latin typeface="Times New Roman" panose="02020603050405020304" pitchFamily="18" charset="0"/>
                <a:cs typeface="Times New Roman" panose="02020603050405020304" pitchFamily="18" charset="0"/>
              </a:rPr>
              <a:t>We could publicize</a:t>
            </a:r>
            <a:r>
              <a:rPr lang="en-US" sz="1100" b="1" baseline="0">
                <a:latin typeface="Times New Roman" panose="02020603050405020304" pitchFamily="18" charset="0"/>
                <a:cs typeface="Times New Roman" panose="02020603050405020304" pitchFamily="18" charset="0"/>
              </a:rPr>
              <a:t> your innocence claim with your resulting claim's viable score.</a:t>
            </a:r>
          </a:p>
          <a:p>
            <a:endParaRPr lang="en-US" sz="1100" baseline="0">
              <a:latin typeface="Times New Roman" panose="02020603050405020304" pitchFamily="18" charset="0"/>
              <a:cs typeface="Times New Roman" panose="02020603050405020304" pitchFamily="18" charset="0"/>
            </a:endParaRPr>
          </a:p>
          <a:p>
            <a:pPr>
              <a:lnSpc>
                <a:spcPts val="1200"/>
              </a:lnSpc>
            </a:pPr>
            <a:r>
              <a:rPr lang="en-US" sz="1100" baseline="0">
                <a:latin typeface="Times New Roman" panose="02020603050405020304" pitchFamily="18" charset="0"/>
                <a:cs typeface="Times New Roman" panose="02020603050405020304" pitchFamily="18" charset="0"/>
              </a:rPr>
              <a:t>This demo at the right offers one way we could pubicize your viable claim. It gives your name (or pseudonym), your tagline that summarizes your claim in a sentence, how DNA testing relates to your claim, your current status of state custody (i.e., your liberty at stake), your state and the year of the wrongful conviction. After your raw "likely score" of viable innocence, visitors can click on a button to VIEW your claim further. With helpful feedback, such summary info could be much different.</a:t>
            </a:r>
          </a:p>
          <a:p>
            <a:pPr>
              <a:lnSpc>
                <a:spcPts val="1200"/>
              </a:lnSpc>
            </a:pPr>
            <a:endParaRPr lang="en-US" sz="1100" baseline="0">
              <a:latin typeface="Times New Roman" panose="02020603050405020304" pitchFamily="18" charset="0"/>
              <a:cs typeface="Times New Roman" panose="02020603050405020304" pitchFamily="18" charset="0"/>
            </a:endParaRPr>
          </a:p>
          <a:p>
            <a:pPr>
              <a:lnSpc>
                <a:spcPts val="1200"/>
              </a:lnSpc>
            </a:pPr>
            <a:r>
              <a:rPr lang="en-US" sz="1100" baseline="0">
                <a:latin typeface="Times New Roman" panose="02020603050405020304" pitchFamily="18" charset="0"/>
                <a:cs typeface="Times New Roman" panose="02020603050405020304" pitchFamily="18" charset="0"/>
              </a:rPr>
              <a:t>Visitors must register to the site to receive permission to view your details. This has visitors agreeing to respect your rights and grants us permission to hold accountable anyone who abuses access to your details.</a:t>
            </a:r>
          </a:p>
          <a:p>
            <a:pPr>
              <a:lnSpc>
                <a:spcPts val="1200"/>
              </a:lnSpc>
            </a:pPr>
            <a:endParaRPr lang="en-US" sz="1100" baseline="0">
              <a:latin typeface="Times New Roman" panose="02020603050405020304" pitchFamily="18" charset="0"/>
              <a:cs typeface="Times New Roman" panose="02020603050405020304" pitchFamily="18" charset="0"/>
            </a:endParaRPr>
          </a:p>
          <a:p>
            <a:r>
              <a:rPr lang="en-US" sz="1150" b="1" baseline="0">
                <a:latin typeface="Times New Roman" panose="02020603050405020304" pitchFamily="18" charset="0"/>
                <a:cs typeface="Times New Roman" panose="02020603050405020304" pitchFamily="18" charset="0"/>
              </a:rPr>
              <a:t>Let users sort the list as needed</a:t>
            </a:r>
          </a:p>
          <a:p>
            <a:pPr>
              <a:lnSpc>
                <a:spcPts val="1200"/>
              </a:lnSpc>
            </a:pPr>
            <a:r>
              <a:rPr lang="en-US" sz="1100" baseline="0">
                <a:latin typeface="Times New Roman" panose="02020603050405020304" pitchFamily="18" charset="0"/>
                <a:cs typeface="Times New Roman" panose="02020603050405020304" pitchFamily="18" charset="0"/>
              </a:rPr>
              <a:t>The default order would be newest claim to olde claims. But users could change the order as needed. They could list them by score, so that those with the highest raw score appears at the top. There could also be the option to list by adjusted score. Which some innocence litigators may favor, knowing how this can significantly reduce their time to process such claims. Other ways could also be offered, such alphabetical order by last name, by state, or any other way helpful input helps decide.</a:t>
            </a:r>
            <a:endParaRPr lang="en-US" sz="1100">
              <a:latin typeface="Times New Roman" panose="02020603050405020304" pitchFamily="18" charset="0"/>
              <a:cs typeface="Times New Roman" panose="02020603050405020304" pitchFamily="18" charset="0"/>
            </a:endParaRPr>
          </a:p>
          <a:p>
            <a:pPr>
              <a:lnSpc>
                <a:spcPts val="1200"/>
              </a:lnSpc>
            </a:pPr>
            <a:endParaRPr lang="en-US" sz="1100">
              <a:latin typeface="Times New Roman" panose="02020603050405020304" pitchFamily="18" charset="0"/>
              <a:cs typeface="Times New Roman" panose="02020603050405020304" pitchFamily="18" charset="0"/>
            </a:endParaRPr>
          </a:p>
          <a:p>
            <a:r>
              <a:rPr lang="en-US" sz="1150" b="1" spc="-40">
                <a:latin typeface="Times New Roman" panose="02020603050405020304" pitchFamily="18" charset="0"/>
                <a:cs typeface="Times New Roman" panose="02020603050405020304" pitchFamily="18" charset="0"/>
              </a:rPr>
              <a:t>Invite podcasters</a:t>
            </a:r>
            <a:r>
              <a:rPr lang="en-US" sz="1150" b="1" spc="-40" baseline="0">
                <a:latin typeface="Times New Roman" panose="02020603050405020304" pitchFamily="18" charset="0"/>
                <a:cs typeface="Times New Roman" panose="02020603050405020304" pitchFamily="18" charset="0"/>
              </a:rPr>
              <a:t> to publicize your case</a:t>
            </a:r>
            <a:endParaRPr lang="en-US" sz="1150" b="1" spc="-40">
              <a:latin typeface="Times New Roman" panose="02020603050405020304" pitchFamily="18" charset="0"/>
              <a:cs typeface="Times New Roman" panose="02020603050405020304" pitchFamily="18" charset="0"/>
            </a:endParaRPr>
          </a:p>
          <a:p>
            <a:pPr>
              <a:lnSpc>
                <a:spcPts val="1200"/>
              </a:lnSpc>
            </a:pPr>
            <a:r>
              <a:rPr lang="en-US" sz="1100">
                <a:latin typeface="Times New Roman" panose="02020603050405020304" pitchFamily="18" charset="0"/>
                <a:cs typeface="Times New Roman" panose="02020603050405020304" pitchFamily="18" charset="0"/>
              </a:rPr>
              <a:t>With your permission,</a:t>
            </a:r>
            <a:r>
              <a:rPr lang="en-US" sz="1100" baseline="0">
                <a:latin typeface="Times New Roman" panose="02020603050405020304" pitchFamily="18" charset="0"/>
                <a:cs typeface="Times New Roman" panose="02020603050405020304" pitchFamily="18" charset="0"/>
              </a:rPr>
              <a:t> we may showcase your viable claim on our Need-Response  podcast. You could grant permission to podcasters who show interest. Or you could grant blanket permission, which is quicker.</a:t>
            </a:r>
          </a:p>
          <a:p>
            <a:endParaRPr lang="en-US" sz="1100" baseline="0">
              <a:latin typeface="Times New Roman" panose="02020603050405020304" pitchFamily="18" charset="0"/>
              <a:cs typeface="Times New Roman" panose="02020603050405020304" pitchFamily="18" charset="0"/>
            </a:endParaRPr>
          </a:p>
          <a:p>
            <a:r>
              <a:rPr lang="en-US" sz="1100" baseline="0">
                <a:latin typeface="Times New Roman" panose="02020603050405020304" pitchFamily="18" charset="0"/>
                <a:cs typeface="Times New Roman" panose="02020603050405020304" pitchFamily="18" charset="0"/>
              </a:rPr>
              <a:t>We can ask you if you're interested in this option to publicize your claim. </a:t>
            </a:r>
            <a:r>
              <a:rPr lang="en-US" sz="1100">
                <a:latin typeface="Times New Roman" panose="02020603050405020304" pitchFamily="18" charset="0"/>
                <a:cs typeface="Times New Roman" panose="02020603050405020304" pitchFamily="18" charset="0"/>
              </a:rPr>
              <a:t>Click on the image at</a:t>
            </a:r>
            <a:r>
              <a:rPr lang="en-US" sz="1100" baseline="0">
                <a:latin typeface="Times New Roman" panose="02020603050405020304" pitchFamily="18" charset="0"/>
                <a:cs typeface="Times New Roman" panose="02020603050405020304" pitchFamily="18" charset="0"/>
              </a:rPr>
              <a:t> the right to see a sample online.</a:t>
            </a:r>
            <a:endParaRPr lang="en-US" sz="1100">
              <a:latin typeface="Times New Roman" panose="02020603050405020304" pitchFamily="18" charset="0"/>
              <a:cs typeface="Times New Roman" panose="02020603050405020304" pitchFamily="18" charset="0"/>
            </a:endParaRPr>
          </a:p>
        </xdr:txBody>
      </xdr:sp>
      <xdr:sp macro="" textlink="">
        <xdr:nvSpPr>
          <xdr:cNvPr id="36" name="Rectangle: Rounded Corners 35">
            <a:extLst>
              <a:ext uri="{FF2B5EF4-FFF2-40B4-BE49-F238E27FC236}">
                <a16:creationId xmlns:a16="http://schemas.microsoft.com/office/drawing/2014/main" id="{0F80530B-5A60-E448-1D3A-70502038A658}"/>
              </a:ext>
            </a:extLst>
          </xdr:cNvPr>
          <xdr:cNvSpPr/>
        </xdr:nvSpPr>
        <xdr:spPr>
          <a:xfrm>
            <a:off x="87313" y="350345375"/>
            <a:ext cx="5976938" cy="548640"/>
          </a:xfrm>
          <a:prstGeom prst="roundRect">
            <a:avLst>
              <a:gd name="adj" fmla="val 50000"/>
            </a:avLst>
          </a:prstGeom>
          <a:gradFill>
            <a:gsLst>
              <a:gs pos="0">
                <a:schemeClr val="bg1"/>
              </a:gs>
              <a:gs pos="74000">
                <a:srgbClr val="00EB65"/>
              </a:gs>
              <a:gs pos="100000">
                <a:srgbClr val="CCFFCC"/>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45720" rtlCol="0" anchor="ctr"/>
          <a:lstStyle/>
          <a:p>
            <a:pPr algn="ctr"/>
            <a:r>
              <a:rPr lang="en-US" sz="2800" spc="-100" baseline="0">
                <a:ln>
                  <a:noFill/>
                </a:ln>
                <a:solidFill>
                  <a:srgbClr val="461E64"/>
                </a:solidFill>
                <a:effectLst>
                  <a:glow rad="25400">
                    <a:schemeClr val="bg1"/>
                  </a:glow>
                </a:effectLst>
                <a:latin typeface="Arial Black" panose="020B0A04020102020204" pitchFamily="34" charset="0"/>
              </a:rPr>
              <a:t>Compelling Innocence Claims</a:t>
            </a:r>
          </a:p>
        </xdr:txBody>
      </xdr:sp>
    </xdr:grpSp>
    <xdr:clientData/>
  </xdr:twoCellAnchor>
  <xdr:twoCellAnchor>
    <xdr:from>
      <xdr:col>3</xdr:col>
      <xdr:colOff>698499</xdr:colOff>
      <xdr:row>782</xdr:row>
      <xdr:rowOff>52917</xdr:rowOff>
    </xdr:from>
    <xdr:to>
      <xdr:col>4</xdr:col>
      <xdr:colOff>152823</xdr:colOff>
      <xdr:row>782</xdr:row>
      <xdr:rowOff>327237</xdr:rowOff>
    </xdr:to>
    <xdr:sp macro="" textlink="">
      <xdr:nvSpPr>
        <xdr:cNvPr id="38" name="Rectangle: Diagonal Corners Rounded 37">
          <a:extLst>
            <a:ext uri="{FF2B5EF4-FFF2-40B4-BE49-F238E27FC236}">
              <a16:creationId xmlns:a16="http://schemas.microsoft.com/office/drawing/2014/main" id="{73291C1C-6E70-4B0D-983D-C2DE099C7B6C}"/>
            </a:ext>
          </a:extLst>
        </xdr:cNvPr>
        <xdr:cNvSpPr/>
      </xdr:nvSpPr>
      <xdr:spPr>
        <a:xfrm>
          <a:off x="4561416" y="273441584"/>
          <a:ext cx="1465157" cy="274320"/>
        </a:xfrm>
        <a:prstGeom prst="round2DiagRect">
          <a:avLst/>
        </a:prstGeom>
        <a:solidFill>
          <a:srgbClr val="002060"/>
        </a:solidFill>
        <a:ln>
          <a:solidFill>
            <a:srgbClr val="00EB65"/>
          </a:solidFill>
        </a:ln>
        <a:effectLst>
          <a:glow rad="38100">
            <a:srgbClr val="D7FFF0"/>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00" b="1">
              <a:solidFill>
                <a:srgbClr val="FFFF99"/>
              </a:solidFill>
              <a:latin typeface="Arial Narrow" panose="020B0606020202030204" pitchFamily="34" charset="0"/>
              <a:cs typeface="Arial" panose="020B0604020202020204" pitchFamily="34" charset="0"/>
            </a:rPr>
            <a:t>Items</a:t>
          </a:r>
          <a:r>
            <a:rPr lang="en-US" sz="1000" b="1" baseline="0">
              <a:solidFill>
                <a:srgbClr val="FFFF99"/>
              </a:solidFill>
              <a:latin typeface="Arial Narrow" panose="020B0606020202030204" pitchFamily="34" charset="0"/>
              <a:cs typeface="Arial" panose="020B0604020202020204" pitchFamily="34" charset="0"/>
            </a:rPr>
            <a:t> 59 to 66 are optional.</a:t>
          </a:r>
          <a:endParaRPr lang="en-US" sz="1000" b="1">
            <a:solidFill>
              <a:srgbClr val="FFFF99"/>
            </a:solidFill>
            <a:latin typeface="Arial Narrow" panose="020B060602020203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1945640</xdr:colOff>
      <xdr:row>155</xdr:row>
      <xdr:rowOff>53340</xdr:rowOff>
    </xdr:from>
    <xdr:to>
      <xdr:col>2</xdr:col>
      <xdr:colOff>2264981</xdr:colOff>
      <xdr:row>155</xdr:row>
      <xdr:rowOff>259080</xdr:rowOff>
    </xdr:to>
    <xdr:sp macro="" textlink="">
      <xdr:nvSpPr>
        <xdr:cNvPr id="2" name="Rectangle 1">
          <a:hlinkClick xmlns:r="http://schemas.openxmlformats.org/officeDocument/2006/relationships" r:id="rId1" tooltip="Case information"/>
          <a:extLst>
            <a:ext uri="{FF2B5EF4-FFF2-40B4-BE49-F238E27FC236}">
              <a16:creationId xmlns:a16="http://schemas.microsoft.com/office/drawing/2014/main" id="{489C5A60-3957-437F-A93D-3D4198FC046B}"/>
            </a:ext>
          </a:extLst>
        </xdr:cNvPr>
        <xdr:cNvSpPr/>
      </xdr:nvSpPr>
      <xdr:spPr>
        <a:xfrm>
          <a:off x="3286760" y="51046380"/>
          <a:ext cx="319341" cy="205740"/>
        </a:xfrm>
        <a:prstGeom prst="rect">
          <a:avLst/>
        </a:prstGeom>
        <a:solidFill>
          <a:srgbClr val="EAE3D2"/>
        </a:solidFill>
        <a:ln w="19050">
          <a:noFill/>
        </a:ln>
        <a:effectLst>
          <a:outerShdw blurRad="63500" sx="102000" sy="102000" algn="ctr"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indent="0" algn="ctr"/>
          <a:r>
            <a:rPr lang="en-US" sz="1400">
              <a:solidFill>
                <a:sysClr val="windowText" lastClr="000000"/>
              </a:solidFill>
              <a:latin typeface="Arial Black" panose="020B0A04020102020204" pitchFamily="34" charset="0"/>
              <a:ea typeface="+mn-ea"/>
              <a:cs typeface="+mn-cs"/>
            </a:rPr>
            <a:t>A</a:t>
          </a:r>
        </a:p>
      </xdr:txBody>
    </xdr:sp>
    <xdr:clientData/>
  </xdr:twoCellAnchor>
  <xdr:twoCellAnchor>
    <xdr:from>
      <xdr:col>2</xdr:col>
      <xdr:colOff>2269700</xdr:colOff>
      <xdr:row>155</xdr:row>
      <xdr:rowOff>53340</xdr:rowOff>
    </xdr:from>
    <xdr:to>
      <xdr:col>3</xdr:col>
      <xdr:colOff>137941</xdr:colOff>
      <xdr:row>155</xdr:row>
      <xdr:rowOff>259080</xdr:rowOff>
    </xdr:to>
    <xdr:sp macro="" textlink="">
      <xdr:nvSpPr>
        <xdr:cNvPr id="3" name="Rectangle 2">
          <a:hlinkClick xmlns:r="http://schemas.openxmlformats.org/officeDocument/2006/relationships" r:id="rId2" tooltip="Documentation for verfication"/>
          <a:extLst>
            <a:ext uri="{FF2B5EF4-FFF2-40B4-BE49-F238E27FC236}">
              <a16:creationId xmlns:a16="http://schemas.microsoft.com/office/drawing/2014/main" id="{5050E8BA-4EAF-449E-B1C0-2BFEDE37F7CB}"/>
            </a:ext>
          </a:extLst>
        </xdr:cNvPr>
        <xdr:cNvSpPr/>
      </xdr:nvSpPr>
      <xdr:spPr>
        <a:xfrm>
          <a:off x="3610820" y="51046380"/>
          <a:ext cx="321881" cy="205740"/>
        </a:xfrm>
        <a:prstGeom prst="rect">
          <a:avLst/>
        </a:prstGeom>
        <a:solidFill>
          <a:schemeClr val="accent1">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B</a:t>
          </a:r>
        </a:p>
      </xdr:txBody>
    </xdr:sp>
    <xdr:clientData/>
  </xdr:twoCellAnchor>
  <xdr:twoCellAnchor>
    <xdr:from>
      <xdr:col>3</xdr:col>
      <xdr:colOff>150279</xdr:colOff>
      <xdr:row>155</xdr:row>
      <xdr:rowOff>53340</xdr:rowOff>
    </xdr:from>
    <xdr:to>
      <xdr:col>3</xdr:col>
      <xdr:colOff>469620</xdr:colOff>
      <xdr:row>155</xdr:row>
      <xdr:rowOff>259080</xdr:rowOff>
    </xdr:to>
    <xdr:sp macro="" textlink="">
      <xdr:nvSpPr>
        <xdr:cNvPr id="4" name="Rectangle 3">
          <a:hlinkClick xmlns:r="http://schemas.openxmlformats.org/officeDocument/2006/relationships" r:id="rId3" tooltip="Factors in your wrongful conviction"/>
          <a:extLst>
            <a:ext uri="{FF2B5EF4-FFF2-40B4-BE49-F238E27FC236}">
              <a16:creationId xmlns:a16="http://schemas.microsoft.com/office/drawing/2014/main" id="{FEA1AB71-799F-487D-9788-38A77CC384D0}"/>
            </a:ext>
          </a:extLst>
        </xdr:cNvPr>
        <xdr:cNvSpPr/>
      </xdr:nvSpPr>
      <xdr:spPr>
        <a:xfrm>
          <a:off x="3945039" y="51046380"/>
          <a:ext cx="319341" cy="205740"/>
        </a:xfrm>
        <a:prstGeom prst="rect">
          <a:avLst/>
        </a:prstGeom>
        <a:solidFill>
          <a:srgbClr val="FFC0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C</a:t>
          </a:r>
        </a:p>
      </xdr:txBody>
    </xdr:sp>
    <xdr:clientData/>
  </xdr:twoCellAnchor>
  <xdr:twoCellAnchor>
    <xdr:from>
      <xdr:col>3</xdr:col>
      <xdr:colOff>474339</xdr:colOff>
      <xdr:row>155</xdr:row>
      <xdr:rowOff>53340</xdr:rowOff>
    </xdr:from>
    <xdr:to>
      <xdr:col>3</xdr:col>
      <xdr:colOff>793680</xdr:colOff>
      <xdr:row>155</xdr:row>
      <xdr:rowOff>259080</xdr:rowOff>
    </xdr:to>
    <xdr:sp macro="" textlink="">
      <xdr:nvSpPr>
        <xdr:cNvPr id="5" name="Rectangle 4">
          <a:hlinkClick xmlns:r="http://schemas.openxmlformats.org/officeDocument/2006/relationships" r:id="rId4" tooltip="Requests &amp; responses for exoneration help"/>
          <a:extLst>
            <a:ext uri="{FF2B5EF4-FFF2-40B4-BE49-F238E27FC236}">
              <a16:creationId xmlns:a16="http://schemas.microsoft.com/office/drawing/2014/main" id="{185D7876-B47E-435E-8DD9-859BE7963C48}"/>
            </a:ext>
          </a:extLst>
        </xdr:cNvPr>
        <xdr:cNvSpPr/>
      </xdr:nvSpPr>
      <xdr:spPr>
        <a:xfrm>
          <a:off x="4269099" y="51046380"/>
          <a:ext cx="319341" cy="205740"/>
        </a:xfrm>
        <a:prstGeom prst="rect">
          <a:avLst/>
        </a:prstGeom>
        <a:solidFill>
          <a:schemeClr val="accent4">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D</a:t>
          </a:r>
        </a:p>
      </xdr:txBody>
    </xdr:sp>
    <xdr:clientData/>
  </xdr:twoCellAnchor>
  <xdr:twoCellAnchor>
    <xdr:from>
      <xdr:col>3</xdr:col>
      <xdr:colOff>798399</xdr:colOff>
      <xdr:row>155</xdr:row>
      <xdr:rowOff>53340</xdr:rowOff>
    </xdr:from>
    <xdr:to>
      <xdr:col>3</xdr:col>
      <xdr:colOff>1117740</xdr:colOff>
      <xdr:row>155</xdr:row>
      <xdr:rowOff>259080</xdr:rowOff>
    </xdr:to>
    <xdr:sp macro="" textlink="">
      <xdr:nvSpPr>
        <xdr:cNvPr id="6" name="Rectangle 5">
          <a:hlinkClick xmlns:r="http://schemas.openxmlformats.org/officeDocument/2006/relationships" r:id="rId5" tooltip="Collateral consequences of conviction"/>
          <a:extLst>
            <a:ext uri="{FF2B5EF4-FFF2-40B4-BE49-F238E27FC236}">
              <a16:creationId xmlns:a16="http://schemas.microsoft.com/office/drawing/2014/main" id="{616A7003-1050-457C-A512-A80DFF136BA3}"/>
            </a:ext>
          </a:extLst>
        </xdr:cNvPr>
        <xdr:cNvSpPr/>
      </xdr:nvSpPr>
      <xdr:spPr>
        <a:xfrm>
          <a:off x="4593159" y="51046380"/>
          <a:ext cx="319341" cy="205740"/>
        </a:xfrm>
        <a:prstGeom prst="rect">
          <a:avLst/>
        </a:prstGeom>
        <a:solidFill>
          <a:srgbClr val="FFFF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E</a:t>
          </a:r>
        </a:p>
      </xdr:txBody>
    </xdr:sp>
    <xdr:clientData/>
  </xdr:twoCellAnchor>
  <xdr:twoCellAnchor>
    <xdr:from>
      <xdr:col>3</xdr:col>
      <xdr:colOff>1131046</xdr:colOff>
      <xdr:row>155</xdr:row>
      <xdr:rowOff>53340</xdr:rowOff>
    </xdr:from>
    <xdr:to>
      <xdr:col>3</xdr:col>
      <xdr:colOff>1450387</xdr:colOff>
      <xdr:row>155</xdr:row>
      <xdr:rowOff>259080</xdr:rowOff>
    </xdr:to>
    <xdr:sp macro="" textlink="">
      <xdr:nvSpPr>
        <xdr:cNvPr id="7" name="Rectangle 6">
          <a:hlinkClick xmlns:r="http://schemas.openxmlformats.org/officeDocument/2006/relationships" r:id="rId6" tooltip="Claimant narrative"/>
          <a:extLst>
            <a:ext uri="{FF2B5EF4-FFF2-40B4-BE49-F238E27FC236}">
              <a16:creationId xmlns:a16="http://schemas.microsoft.com/office/drawing/2014/main" id="{01EB8644-EFD7-4128-A83C-4AD8F3DF69A6}"/>
            </a:ext>
          </a:extLst>
        </xdr:cNvPr>
        <xdr:cNvSpPr/>
      </xdr:nvSpPr>
      <xdr:spPr>
        <a:xfrm>
          <a:off x="4925806" y="51046380"/>
          <a:ext cx="319341" cy="205740"/>
        </a:xfrm>
        <a:prstGeom prst="rect">
          <a:avLst/>
        </a:prstGeom>
        <a:solidFill>
          <a:srgbClr val="B9FFD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F</a:t>
          </a:r>
        </a:p>
      </xdr:txBody>
    </xdr:sp>
    <xdr:clientData/>
  </xdr:twoCellAnchor>
  <xdr:twoCellAnchor>
    <xdr:from>
      <xdr:col>3</xdr:col>
      <xdr:colOff>1455105</xdr:colOff>
      <xdr:row>155</xdr:row>
      <xdr:rowOff>53340</xdr:rowOff>
    </xdr:from>
    <xdr:to>
      <xdr:col>3</xdr:col>
      <xdr:colOff>1776260</xdr:colOff>
      <xdr:row>155</xdr:row>
      <xdr:rowOff>259080</xdr:rowOff>
    </xdr:to>
    <xdr:sp macro="" textlink="">
      <xdr:nvSpPr>
        <xdr:cNvPr id="8" name="Rectangle 7">
          <a:hlinkClick xmlns:r="http://schemas.openxmlformats.org/officeDocument/2006/relationships" r:id="rId7" tooltip="Compensation"/>
          <a:extLst>
            <a:ext uri="{FF2B5EF4-FFF2-40B4-BE49-F238E27FC236}">
              <a16:creationId xmlns:a16="http://schemas.microsoft.com/office/drawing/2014/main" id="{04CA3032-D0B9-43E0-A054-452D7EB1A042}"/>
            </a:ext>
          </a:extLst>
        </xdr:cNvPr>
        <xdr:cNvSpPr/>
      </xdr:nvSpPr>
      <xdr:spPr>
        <a:xfrm>
          <a:off x="5249865" y="51046380"/>
          <a:ext cx="321155" cy="205740"/>
        </a:xfrm>
        <a:prstGeom prst="rect">
          <a:avLst/>
        </a:prstGeom>
        <a:solidFill>
          <a:srgbClr val="FFE1FF"/>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G</a:t>
          </a:r>
        </a:p>
      </xdr:txBody>
    </xdr:sp>
    <xdr:clientData/>
  </xdr:twoCellAnchor>
  <xdr:twoCellAnchor>
    <xdr:from>
      <xdr:col>3</xdr:col>
      <xdr:colOff>1781946</xdr:colOff>
      <xdr:row>155</xdr:row>
      <xdr:rowOff>53340</xdr:rowOff>
    </xdr:from>
    <xdr:to>
      <xdr:col>4</xdr:col>
      <xdr:colOff>132787</xdr:colOff>
      <xdr:row>155</xdr:row>
      <xdr:rowOff>259080</xdr:rowOff>
    </xdr:to>
    <xdr:sp macro="" textlink="">
      <xdr:nvSpPr>
        <xdr:cNvPr id="9" name="Rectangle 8">
          <a:hlinkClick xmlns:r="http://schemas.openxmlformats.org/officeDocument/2006/relationships" r:id="rId8" tooltip="You're not alone"/>
          <a:extLst>
            <a:ext uri="{FF2B5EF4-FFF2-40B4-BE49-F238E27FC236}">
              <a16:creationId xmlns:a16="http://schemas.microsoft.com/office/drawing/2014/main" id="{E5D9E35A-251F-42EE-BA85-C862F2AF0F72}"/>
            </a:ext>
          </a:extLst>
        </xdr:cNvPr>
        <xdr:cNvSpPr/>
      </xdr:nvSpPr>
      <xdr:spPr>
        <a:xfrm>
          <a:off x="5576706" y="51046380"/>
          <a:ext cx="324421" cy="205740"/>
        </a:xfrm>
        <a:prstGeom prst="rect">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H</a:t>
          </a:r>
        </a:p>
      </xdr:txBody>
    </xdr:sp>
    <xdr:clientData/>
  </xdr:twoCellAnchor>
  <xdr:twoCellAnchor>
    <xdr:from>
      <xdr:col>0</xdr:col>
      <xdr:colOff>7620</xdr:colOff>
      <xdr:row>63</xdr:row>
      <xdr:rowOff>137160</xdr:rowOff>
    </xdr:from>
    <xdr:to>
      <xdr:col>1</xdr:col>
      <xdr:colOff>15240</xdr:colOff>
      <xdr:row>63</xdr:row>
      <xdr:rowOff>434340</xdr:rowOff>
    </xdr:to>
    <xdr:sp macro="" textlink="">
      <xdr:nvSpPr>
        <xdr:cNvPr id="10" name="Arrow: Down 9">
          <a:hlinkClick xmlns:r="http://schemas.openxmlformats.org/officeDocument/2006/relationships" r:id="rId9" tooltip="SYNOPSIS entry"/>
          <a:extLst>
            <a:ext uri="{FF2B5EF4-FFF2-40B4-BE49-F238E27FC236}">
              <a16:creationId xmlns:a16="http://schemas.microsoft.com/office/drawing/2014/main" id="{8B555FE7-B6B6-4CEC-91C3-11FE36032698}"/>
            </a:ext>
          </a:extLst>
        </xdr:cNvPr>
        <xdr:cNvSpPr/>
      </xdr:nvSpPr>
      <xdr:spPr>
        <a:xfrm>
          <a:off x="7620" y="2034540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7620</xdr:colOff>
      <xdr:row>82</xdr:row>
      <xdr:rowOff>144780</xdr:rowOff>
    </xdr:from>
    <xdr:to>
      <xdr:col>1</xdr:col>
      <xdr:colOff>15240</xdr:colOff>
      <xdr:row>82</xdr:row>
      <xdr:rowOff>441960</xdr:rowOff>
    </xdr:to>
    <xdr:sp macro="" textlink="">
      <xdr:nvSpPr>
        <xdr:cNvPr id="11" name="Arrow: Down 10">
          <a:hlinkClick xmlns:r="http://schemas.openxmlformats.org/officeDocument/2006/relationships" r:id="rId10" tooltip="SUMMARY entry"/>
          <a:extLst>
            <a:ext uri="{FF2B5EF4-FFF2-40B4-BE49-F238E27FC236}">
              <a16:creationId xmlns:a16="http://schemas.microsoft.com/office/drawing/2014/main" id="{22BA5E35-13DA-4179-A41B-FBAF169B553A}"/>
            </a:ext>
          </a:extLst>
        </xdr:cNvPr>
        <xdr:cNvSpPr/>
      </xdr:nvSpPr>
      <xdr:spPr>
        <a:xfrm>
          <a:off x="7620" y="260908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924</xdr:row>
      <xdr:rowOff>373380</xdr:rowOff>
    </xdr:from>
    <xdr:to>
      <xdr:col>1</xdr:col>
      <xdr:colOff>15240</xdr:colOff>
      <xdr:row>925</xdr:row>
      <xdr:rowOff>678180</xdr:rowOff>
    </xdr:to>
    <xdr:sp macro="" textlink="">
      <xdr:nvSpPr>
        <xdr:cNvPr id="12" name="Arrow: Up 11">
          <a:hlinkClick xmlns:r="http://schemas.openxmlformats.org/officeDocument/2006/relationships" r:id="rId11" tooltip="FLIPSIDE displayed above"/>
          <a:extLst>
            <a:ext uri="{FF2B5EF4-FFF2-40B4-BE49-F238E27FC236}">
              <a16:creationId xmlns:a16="http://schemas.microsoft.com/office/drawing/2014/main" id="{07935E92-0FAC-4ED1-BAC8-BB291E59079C}"/>
            </a:ext>
          </a:extLst>
        </xdr:cNvPr>
        <xdr:cNvSpPr/>
      </xdr:nvSpPr>
      <xdr:spPr>
        <a:xfrm>
          <a:off x="0" y="30476190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0</xdr:colOff>
      <xdr:row>934</xdr:row>
      <xdr:rowOff>0</xdr:rowOff>
    </xdr:from>
    <xdr:to>
      <xdr:col>1</xdr:col>
      <xdr:colOff>15240</xdr:colOff>
      <xdr:row>934</xdr:row>
      <xdr:rowOff>685800</xdr:rowOff>
    </xdr:to>
    <xdr:sp macro="" textlink="">
      <xdr:nvSpPr>
        <xdr:cNvPr id="13" name="Arrow: Up 12">
          <a:hlinkClick xmlns:r="http://schemas.openxmlformats.org/officeDocument/2006/relationships" r:id="rId12" tooltip="SUMMARY displayed above"/>
          <a:extLst>
            <a:ext uri="{FF2B5EF4-FFF2-40B4-BE49-F238E27FC236}">
              <a16:creationId xmlns:a16="http://schemas.microsoft.com/office/drawing/2014/main" id="{DB7C0B8E-987A-4232-BF7B-59E9735D3390}"/>
            </a:ext>
          </a:extLst>
        </xdr:cNvPr>
        <xdr:cNvSpPr/>
      </xdr:nvSpPr>
      <xdr:spPr>
        <a:xfrm>
          <a:off x="0" y="30809946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35</xdr:col>
      <xdr:colOff>125334</xdr:colOff>
      <xdr:row>105</xdr:row>
      <xdr:rowOff>152976</xdr:rowOff>
    </xdr:from>
    <xdr:to>
      <xdr:col>58</xdr:col>
      <xdr:colOff>227667</xdr:colOff>
      <xdr:row>108</xdr:row>
      <xdr:rowOff>454479</xdr:rowOff>
    </xdr:to>
    <xdr:sp macro="" textlink="">
      <xdr:nvSpPr>
        <xdr:cNvPr id="14" name="Text Box 4">
          <a:extLst>
            <a:ext uri="{FF2B5EF4-FFF2-40B4-BE49-F238E27FC236}">
              <a16:creationId xmlns:a16="http://schemas.microsoft.com/office/drawing/2014/main" id="{8C316E8F-7309-4B19-847F-004DC3D1C7B4}"/>
            </a:ext>
          </a:extLst>
        </xdr:cNvPr>
        <xdr:cNvSpPr txBox="1"/>
      </xdr:nvSpPr>
      <xdr:spPr>
        <a:xfrm>
          <a:off x="9215994" y="38466336"/>
          <a:ext cx="5992593" cy="1505463"/>
        </a:xfrm>
        <a:prstGeom prst="rect">
          <a:avLst/>
        </a:prstGeom>
        <a:solidFill>
          <a:srgbClr val="FFE1FF">
            <a:alpha val="85098"/>
          </a:srgbClr>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8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that the vast majority of </a:t>
          </a:r>
          <a:r>
            <a:rPr lang="en-US" sz="1600" b="1" u="none" strike="noStrike">
              <a:ln w="3175" cap="rnd" cmpd="sng" algn="ctr">
                <a:solidFill>
                  <a:srgbClr val="7030A0"/>
                </a:solidFill>
                <a:prstDash val="solid"/>
                <a:bevel/>
              </a:ln>
              <a:solidFill>
                <a:srgbClr val="FFFF0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1600" b="1" u="none" strike="noStrike">
              <a:ln w="3175" cap="rnd" cmpd="sng" algn="ctr">
                <a:solidFill>
                  <a:srgbClr val="7030A0"/>
                </a:solidFill>
                <a:prstDash val="solid"/>
                <a:bevel/>
              </a:ln>
              <a:solidFill>
                <a:srgbClr val="70AD47"/>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61</xdr:col>
      <xdr:colOff>268876</xdr:colOff>
      <xdr:row>777</xdr:row>
      <xdr:rowOff>117565</xdr:rowOff>
    </xdr:from>
    <xdr:to>
      <xdr:col>74</xdr:col>
      <xdr:colOff>207917</xdr:colOff>
      <xdr:row>778</xdr:row>
      <xdr:rowOff>1763486</xdr:rowOff>
    </xdr:to>
    <xdr:sp macro="" textlink="">
      <xdr:nvSpPr>
        <xdr:cNvPr id="15" name="TextBox 14">
          <a:extLst>
            <a:ext uri="{FF2B5EF4-FFF2-40B4-BE49-F238E27FC236}">
              <a16:creationId xmlns:a16="http://schemas.microsoft.com/office/drawing/2014/main" id="{97FFE484-4F9C-442E-AF2B-2244FD803712}"/>
            </a:ext>
          </a:extLst>
        </xdr:cNvPr>
        <xdr:cNvSpPr txBox="1"/>
      </xdr:nvSpPr>
      <xdr:spPr>
        <a:xfrm>
          <a:off x="16849996" y="270901885"/>
          <a:ext cx="3581401" cy="822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review URL</a:t>
          </a:r>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link does not work</a:t>
          </a:r>
        </a:p>
        <a:p>
          <a:r>
            <a:rPr lang="en-US" sz="1100" b="0" i="0" u="none" strike="noStrike" baseline="0">
              <a:solidFill>
                <a:schemeClr val="dk1"/>
              </a:solidFill>
              <a:effectLst/>
              <a:latin typeface="+mn-lt"/>
              <a:ea typeface="+mn-ea"/>
              <a:cs typeface="+mn-cs"/>
            </a:rPr>
            <a:t>link works unreliably</a:t>
          </a:r>
        </a:p>
        <a:p>
          <a:r>
            <a:rPr lang="en-US" sz="1100" b="0" i="0" u="none" strike="noStrike" baseline="0">
              <a:solidFill>
                <a:schemeClr val="dk1"/>
              </a:solidFill>
              <a:effectLst/>
              <a:latin typeface="+mn-lt"/>
              <a:ea typeface="+mn-ea"/>
              <a:cs typeface="+mn-cs"/>
            </a:rPr>
            <a:t>link works, document(s) not found</a:t>
          </a:r>
        </a:p>
        <a:p>
          <a:r>
            <a:rPr lang="en-US" sz="1100" b="0" i="0" u="none" strike="noStrike" baseline="0">
              <a:solidFill>
                <a:schemeClr val="dk1"/>
              </a:solidFill>
              <a:effectLst/>
              <a:latin typeface="+mn-lt"/>
              <a:ea typeface="+mn-ea"/>
              <a:cs typeface="+mn-cs"/>
            </a:rPr>
            <a:t>link works, some of document(s) found</a:t>
          </a:r>
        </a:p>
        <a:p>
          <a:r>
            <a:rPr lang="en-US" sz="1100" b="0" i="0" u="none" strike="noStrike" baseline="0">
              <a:solidFill>
                <a:schemeClr val="dk1"/>
              </a:solidFill>
              <a:effectLst/>
              <a:latin typeface="+mn-lt"/>
              <a:ea typeface="+mn-ea"/>
              <a:cs typeface="+mn-cs"/>
            </a:rPr>
            <a:t>link works, all of document(s) found</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39</xdr:col>
      <xdr:colOff>76200</xdr:colOff>
      <xdr:row>791</xdr:row>
      <xdr:rowOff>21771</xdr:rowOff>
    </xdr:from>
    <xdr:to>
      <xdr:col>39</xdr:col>
      <xdr:colOff>250372</xdr:colOff>
      <xdr:row>791</xdr:row>
      <xdr:rowOff>67490</xdr:rowOff>
    </xdr:to>
    <xdr:sp macro="" textlink="">
      <xdr:nvSpPr>
        <xdr:cNvPr id="16" name="TextBox 15">
          <a:extLst>
            <a:ext uri="{FF2B5EF4-FFF2-40B4-BE49-F238E27FC236}">
              <a16:creationId xmlns:a16="http://schemas.microsoft.com/office/drawing/2014/main" id="{B5D8F941-C8C2-4520-A1FD-CB78506437D1}"/>
            </a:ext>
          </a:extLst>
        </xdr:cNvPr>
        <xdr:cNvSpPr txBox="1"/>
      </xdr:nvSpPr>
      <xdr:spPr>
        <a:xfrm>
          <a:off x="10203180" y="274219851"/>
          <a:ext cx="174172"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57</xdr:col>
      <xdr:colOff>18507</xdr:colOff>
      <xdr:row>855</xdr:row>
      <xdr:rowOff>139337</xdr:rowOff>
    </xdr:from>
    <xdr:to>
      <xdr:col>61</xdr:col>
      <xdr:colOff>261257</xdr:colOff>
      <xdr:row>855</xdr:row>
      <xdr:rowOff>1077686</xdr:rowOff>
    </xdr:to>
    <xdr:sp macro="" textlink="">
      <xdr:nvSpPr>
        <xdr:cNvPr id="17" name="TextBox 16">
          <a:extLst>
            <a:ext uri="{FF2B5EF4-FFF2-40B4-BE49-F238E27FC236}">
              <a16:creationId xmlns:a16="http://schemas.microsoft.com/office/drawing/2014/main" id="{7BE36C2D-DBF1-4CEF-8476-F0CAB2743D55}"/>
            </a:ext>
          </a:extLst>
        </xdr:cNvPr>
        <xdr:cNvSpPr txBox="1"/>
      </xdr:nvSpPr>
      <xdr:spPr>
        <a:xfrm>
          <a:off x="14603187" y="288373457"/>
          <a:ext cx="2239190" cy="816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options:</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during incarceration</a:t>
          </a:r>
        </a:p>
        <a:p>
          <a:r>
            <a:rPr lang="en-US" sz="1100" b="0" i="0" u="none" strike="noStrike" baseline="0">
              <a:solidFill>
                <a:schemeClr val="dk1"/>
              </a:solidFill>
              <a:effectLst/>
              <a:latin typeface="+mn-lt"/>
              <a:ea typeface="+mn-ea"/>
              <a:cs typeface="+mn-cs"/>
            </a:rPr>
            <a:t>since incarceration</a:t>
          </a:r>
        </a:p>
        <a:p>
          <a:r>
            <a:rPr lang="en-US" sz="1100" b="0" i="0" u="none" strike="noStrike" baseline="0">
              <a:solidFill>
                <a:schemeClr val="dk1"/>
              </a:solidFill>
              <a:effectLst/>
              <a:latin typeface="+mn-lt"/>
              <a:ea typeface="+mn-ea"/>
              <a:cs typeface="+mn-cs"/>
            </a:rPr>
            <a:t>during and since incarceration</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editAs="oneCell">
    <xdr:from>
      <xdr:col>0</xdr:col>
      <xdr:colOff>257767</xdr:colOff>
      <xdr:row>828</xdr:row>
      <xdr:rowOff>397328</xdr:rowOff>
    </xdr:from>
    <xdr:to>
      <xdr:col>2</xdr:col>
      <xdr:colOff>1335932</xdr:colOff>
      <xdr:row>828</xdr:row>
      <xdr:rowOff>1924594</xdr:rowOff>
    </xdr:to>
    <xdr:pic>
      <xdr:nvPicPr>
        <xdr:cNvPr id="18" name="Picture 17" descr="Maps, Country, America, States, Land, Geography, Us">
          <a:hlinkClick xmlns:r="http://schemas.openxmlformats.org/officeDocument/2006/relationships" r:id="rId13" tooltip="Clicking on map takes you to a website listing collateral consequences by state."/>
          <a:extLst>
            <a:ext uri="{FF2B5EF4-FFF2-40B4-BE49-F238E27FC236}">
              <a16:creationId xmlns:a16="http://schemas.microsoft.com/office/drawing/2014/main" id="{1E558367-B7BA-4A32-9FC2-E5697A6D008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57767" y="282009668"/>
          <a:ext cx="2419285"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223067</xdr:colOff>
      <xdr:row>1351</xdr:row>
      <xdr:rowOff>284025</xdr:rowOff>
    </xdr:from>
    <xdr:to>
      <xdr:col>87</xdr:col>
      <xdr:colOff>240846</xdr:colOff>
      <xdr:row>1405</xdr:row>
      <xdr:rowOff>0</xdr:rowOff>
    </xdr:to>
    <xdr:sp macro="" textlink="">
      <xdr:nvSpPr>
        <xdr:cNvPr id="19" name="TextBox 18">
          <a:extLst>
            <a:ext uri="{FF2B5EF4-FFF2-40B4-BE49-F238E27FC236}">
              <a16:creationId xmlns:a16="http://schemas.microsoft.com/office/drawing/2014/main" id="{1D669792-10AE-4A17-97BD-91B6B20554D7}"/>
            </a:ext>
          </a:extLst>
        </xdr:cNvPr>
        <xdr:cNvSpPr txBox="1"/>
      </xdr:nvSpPr>
      <xdr:spPr>
        <a:xfrm>
          <a:off x="24881387" y="348904560"/>
          <a:ext cx="2867659"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family</a:t>
          </a:r>
        </a:p>
        <a:p>
          <a:r>
            <a:rPr lang="en-US" sz="1100" b="0" i="0" u="none" strike="noStrike" baseline="0">
              <a:solidFill>
                <a:schemeClr val="dk1"/>
              </a:solidFill>
              <a:effectLst/>
              <a:latin typeface="+mn-lt"/>
              <a:ea typeface="+mn-ea"/>
              <a:cs typeface="+mn-cs"/>
            </a:rPr>
            <a:t>friend</a:t>
          </a:r>
        </a:p>
        <a:p>
          <a:r>
            <a:rPr lang="en-US" sz="1100" b="0" i="0" u="none" strike="noStrike" baseline="0">
              <a:solidFill>
                <a:schemeClr val="dk1"/>
              </a:solidFill>
              <a:effectLst/>
              <a:latin typeface="+mn-lt"/>
              <a:ea typeface="+mn-ea"/>
              <a:cs typeface="+mn-cs"/>
            </a:rPr>
            <a:t>work/school colleague</a:t>
          </a:r>
        </a:p>
        <a:p>
          <a:r>
            <a:rPr lang="en-US" sz="1100" b="0" i="0" u="none" strike="noStrike" baseline="0">
              <a:solidFill>
                <a:schemeClr val="dk1"/>
              </a:solidFill>
              <a:effectLst/>
              <a:latin typeface="+mn-lt"/>
              <a:ea typeface="+mn-ea"/>
              <a:cs typeface="+mn-cs"/>
            </a:rPr>
            <a:t>casual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professional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social media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by referral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do not personally know (yet)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other</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46</xdr:col>
      <xdr:colOff>190500</xdr:colOff>
      <xdr:row>1714</xdr:row>
      <xdr:rowOff>116408</xdr:rowOff>
    </xdr:from>
    <xdr:to>
      <xdr:col>64</xdr:col>
      <xdr:colOff>196931</xdr:colOff>
      <xdr:row>1736</xdr:row>
      <xdr:rowOff>28574</xdr:rowOff>
    </xdr:to>
    <xdr:sp macro="" textlink="">
      <xdr:nvSpPr>
        <xdr:cNvPr id="20" name="TextBox 19">
          <a:extLst>
            <a:ext uri="{FF2B5EF4-FFF2-40B4-BE49-F238E27FC236}">
              <a16:creationId xmlns:a16="http://schemas.microsoft.com/office/drawing/2014/main" id="{0D5A12AF-4AD8-4993-881E-1542F43E4A2B}"/>
            </a:ext>
          </a:extLst>
        </xdr:cNvPr>
        <xdr:cNvSpPr txBox="1"/>
      </xdr:nvSpPr>
      <xdr:spPr>
        <a:xfrm>
          <a:off x="12131040" y="348904560"/>
          <a:ext cx="5698571"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I pledge my reputation that I have no personal relation with claimant or their supporters</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have only a professional relation with claimant through: ____</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only know claimant through a common contact</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was involved in the claimant's prosecution in some extent</a:t>
          </a:r>
        </a:p>
        <a:p>
          <a:r>
            <a:rPr lang="en-US" sz="1100" b="0" i="0" u="none" strike="noStrike" baseline="0">
              <a:solidFill>
                <a:schemeClr val="dk1"/>
              </a:solidFill>
              <a:effectLst/>
              <a:latin typeface="+mn-lt"/>
              <a:ea typeface="+mn-ea"/>
              <a:cs typeface="+mn-cs"/>
            </a:rPr>
            <a:t>I am a member of the criminal justice system never involved in this case</a:t>
          </a:r>
        </a:p>
        <a:p>
          <a:r>
            <a:rPr lang="en-US" sz="1100" b="0" i="0" u="none" strike="noStrike" baseline="0">
              <a:solidFill>
                <a:schemeClr val="dk1"/>
              </a:solidFill>
              <a:effectLst/>
              <a:latin typeface="+mn-lt"/>
              <a:ea typeface="+mn-ea"/>
              <a:cs typeface="+mn-cs"/>
            </a:rPr>
            <a:t>I personally know victim that led to claimant's indictment and conviction</a:t>
          </a:r>
        </a:p>
        <a:p>
          <a:r>
            <a:rPr lang="en-US" sz="1100" b="0" i="0" u="none" strike="noStrike" baseline="0">
              <a:solidFill>
                <a:schemeClr val="dk1"/>
              </a:solidFill>
              <a:effectLst/>
              <a:latin typeface="+mn-lt"/>
              <a:ea typeface="+mn-ea"/>
              <a:cs typeface="+mn-cs"/>
            </a:rPr>
            <a:t>I am the complainant behind claimant's indictment and conviction</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 I am fully independent and do not personally know claimant or any listed supporter ]]</a:t>
          </a:r>
        </a:p>
        <a:p>
          <a:r>
            <a:rPr lang="en-US" sz="1100" b="1" i="0" u="none" strike="noStrike" baseline="0">
              <a:solidFill>
                <a:schemeClr val="dk1"/>
              </a:solidFill>
              <a:effectLst/>
              <a:latin typeface="+mn-lt"/>
              <a:ea typeface="+mn-ea"/>
              <a:cs typeface="+mn-cs"/>
            </a:rPr>
            <a:t>I do not personally know claimant nor any listed supporters nor previously involved in this case</a:t>
          </a:r>
        </a:p>
        <a:p>
          <a:r>
            <a:rPr lang="en-US" sz="1100" b="0" i="0" u="none" strike="noStrike" baseline="0">
              <a:solidFill>
                <a:schemeClr val="dk1"/>
              </a:solidFill>
              <a:effectLst/>
              <a:latin typeface="+mn-lt"/>
              <a:ea typeface="+mn-ea"/>
              <a:cs typeface="+mn-cs"/>
            </a:rPr>
            <a:t>[ I am fully independent and accountable to the professional entity identified below ]</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personally know proxy or one or more of claimant's listed supporters</a:t>
          </a:r>
        </a:p>
        <a:p>
          <a:r>
            <a:rPr lang="en-US" sz="1100" b="0" i="0" u="none" strike="noStrike" baseline="0">
              <a:solidFill>
                <a:schemeClr val="dk1"/>
              </a:solidFill>
              <a:effectLst/>
              <a:latin typeface="+mn-lt"/>
              <a:ea typeface="+mn-ea"/>
              <a:cs typeface="+mn-cs"/>
            </a:rPr>
            <a:t>I personally know claimant but I am not (yet) a listed supporter</a:t>
          </a:r>
        </a:p>
        <a:p>
          <a:r>
            <a:rPr lang="en-US" sz="1100" b="0" i="0" u="none" strike="noStrike" baseline="0">
              <a:solidFill>
                <a:schemeClr val="dk1"/>
              </a:solidFill>
              <a:effectLst/>
              <a:latin typeface="+mn-lt"/>
              <a:ea typeface="+mn-ea"/>
              <a:cs typeface="+mn-cs"/>
            </a:rPr>
            <a:t>I am one of claimant's listed supporters</a:t>
          </a:r>
        </a:p>
        <a:p>
          <a:r>
            <a:rPr lang="en-US" sz="1100" b="0" i="0" u="none" strike="noStrike" baseline="0">
              <a:solidFill>
                <a:schemeClr val="dk1"/>
              </a:solidFill>
              <a:effectLst/>
              <a:latin typeface="+mn-lt"/>
              <a:ea typeface="+mn-ea"/>
              <a:cs typeface="+mn-cs"/>
            </a:rPr>
            <a:t>I am claimant's proxy supporter</a:t>
          </a:r>
        </a:p>
        <a:p>
          <a:r>
            <a:rPr lang="en-US" sz="1100" b="0" i="0" u="none" strike="noStrike" baseline="0">
              <a:solidFill>
                <a:schemeClr val="dk1"/>
              </a:solidFill>
              <a:effectLst/>
              <a:latin typeface="+mn-lt"/>
              <a:ea typeface="+mn-ea"/>
              <a:cs typeface="+mn-cs"/>
            </a:rPr>
            <a:t>I am the claimant</a:t>
          </a:r>
        </a:p>
        <a:p>
          <a:r>
            <a:rPr lang="en-US" sz="1100" b="0" i="0" u="none" strike="noStrike" baseline="0">
              <a:solidFill>
                <a:schemeClr val="dk1"/>
              </a:solidFill>
              <a:effectLst/>
              <a:latin typeface="+mn-lt"/>
              <a:ea typeface="+mn-ea"/>
              <a:cs typeface="+mn-cs"/>
            </a:rPr>
            <a:t>Other: _____</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3</xdr:col>
      <xdr:colOff>76200</xdr:colOff>
      <xdr:row>497</xdr:row>
      <xdr:rowOff>15240</xdr:rowOff>
    </xdr:from>
    <xdr:to>
      <xdr:col>4</xdr:col>
      <xdr:colOff>7620</xdr:colOff>
      <xdr:row>497</xdr:row>
      <xdr:rowOff>259080</xdr:rowOff>
    </xdr:to>
    <xdr:sp macro="" textlink="">
      <xdr:nvSpPr>
        <xdr:cNvPr id="21" name="Rectangle: Beveled 20">
          <a:hlinkClick xmlns:r="http://schemas.openxmlformats.org/officeDocument/2006/relationships" r:id="rId15" tooltip="join The Unexonerated Facebook group for peer support"/>
          <a:extLst>
            <a:ext uri="{FF2B5EF4-FFF2-40B4-BE49-F238E27FC236}">
              <a16:creationId xmlns:a16="http://schemas.microsoft.com/office/drawing/2014/main" id="{3B164E5F-8F62-4F7A-849B-230047FCA4ED}"/>
            </a:ext>
          </a:extLst>
        </xdr:cNvPr>
        <xdr:cNvSpPr/>
      </xdr:nvSpPr>
      <xdr:spPr>
        <a:xfrm>
          <a:off x="3870960" y="133746240"/>
          <a:ext cx="1905000" cy="24384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rgbClr val="9BFFC8"/>
              </a:solidFill>
            </a:rPr>
            <a:t>click here for support</a:t>
          </a:r>
        </a:p>
      </xdr:txBody>
    </xdr:sp>
    <xdr:clientData/>
  </xdr:twoCellAnchor>
  <xdr:twoCellAnchor>
    <xdr:from>
      <xdr:col>30</xdr:col>
      <xdr:colOff>22860</xdr:colOff>
      <xdr:row>2357</xdr:row>
      <xdr:rowOff>7620</xdr:rowOff>
    </xdr:from>
    <xdr:to>
      <xdr:col>52</xdr:col>
      <xdr:colOff>17087</xdr:colOff>
      <xdr:row>2357</xdr:row>
      <xdr:rowOff>350520</xdr:rowOff>
    </xdr:to>
    <xdr:sp macro="" textlink="">
      <xdr:nvSpPr>
        <xdr:cNvPr id="22" name="TextBox 21">
          <a:extLst>
            <a:ext uri="{FF2B5EF4-FFF2-40B4-BE49-F238E27FC236}">
              <a16:creationId xmlns:a16="http://schemas.microsoft.com/office/drawing/2014/main" id="{A01D76DB-EBA7-404F-A899-CA0B2D666E63}"/>
            </a:ext>
          </a:extLst>
        </xdr:cNvPr>
        <xdr:cNvSpPr txBox="1"/>
      </xdr:nvSpPr>
      <xdr:spPr>
        <a:xfrm>
          <a:off x="7818120" y="458884020"/>
          <a:ext cx="5488247"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who can access my profile:</a:t>
          </a:r>
        </a:p>
        <a:p>
          <a:r>
            <a:rPr lang="en-US" sz="1100" b="0" i="0" u="none" strike="noStrike" baseline="0">
              <a:solidFill>
                <a:schemeClr val="dk1"/>
              </a:solidFill>
              <a:effectLst/>
              <a:latin typeface="+mn-lt"/>
              <a:ea typeface="+mn-ea"/>
              <a:cs typeface="+mn-cs"/>
            </a:rPr>
            <a:t>no one yet (unpublished)</a:t>
          </a:r>
        </a:p>
        <a:p>
          <a:r>
            <a:rPr lang="en-US" sz="1100" b="0" i="0" u="none" strike="noStrike" baseline="0">
              <a:solidFill>
                <a:schemeClr val="dk1"/>
              </a:solidFill>
              <a:effectLst/>
              <a:latin typeface="+mn-lt"/>
              <a:ea typeface="+mn-ea"/>
              <a:cs typeface="+mn-cs"/>
            </a:rPr>
            <a:t>white list: only those claimant (or proxy) names</a:t>
          </a:r>
        </a:p>
        <a:p>
          <a:r>
            <a:rPr lang="en-US" sz="1100" b="0" i="0" u="none" strike="noStrike" baseline="0">
              <a:solidFill>
                <a:schemeClr val="dk1"/>
              </a:solidFill>
              <a:effectLst/>
              <a:latin typeface="+mn-lt"/>
              <a:ea typeface="+mn-ea"/>
              <a:cs typeface="+mn-cs"/>
            </a:rPr>
            <a:t>white list and by automated agree-to-terms request</a:t>
          </a:r>
        </a:p>
        <a:p>
          <a:r>
            <a:rPr lang="en-US" sz="1100" b="0" i="0" u="none" strike="noStrike" baseline="0">
              <a:solidFill>
                <a:schemeClr val="dk1"/>
              </a:solidFill>
              <a:effectLst/>
              <a:latin typeface="+mn-lt"/>
              <a:ea typeface="+mn-ea"/>
              <a:cs typeface="+mn-cs"/>
            </a:rPr>
            <a:t>white list and by personal request, pending my approval</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proxy approval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supporter approval</a:t>
          </a:r>
          <a:endParaRPr lang="en-US">
            <a:effectLst/>
          </a:endParaRPr>
        </a:p>
        <a:p>
          <a:r>
            <a:rPr lang="en-US" sz="1100" b="0" i="0" u="none" strike="noStrike" baseline="0">
              <a:solidFill>
                <a:schemeClr val="dk1"/>
              </a:solidFill>
              <a:effectLst/>
              <a:latin typeface="+mn-lt"/>
              <a:ea typeface="+mn-ea"/>
              <a:cs typeface="+mn-cs"/>
            </a:rPr>
            <a:t>black list: exclude only those claimant (or proxy) names</a:t>
          </a:r>
        </a:p>
        <a:p>
          <a:r>
            <a:rPr lang="en-US" sz="1100" b="0" i="0" u="none" strike="noStrike" baseline="0">
              <a:solidFill>
                <a:schemeClr val="dk1"/>
              </a:solidFill>
              <a:effectLst/>
              <a:latin typeface="+mn-lt"/>
              <a:ea typeface="+mn-ea"/>
              <a:cs typeface="+mn-cs"/>
            </a:rPr>
            <a:t>open to all site registrants</a:t>
          </a:r>
        </a:p>
        <a:p>
          <a:r>
            <a:rPr lang="en-US" sz="1100" b="0" i="0" u="none" strike="noStrike" baseline="0">
              <a:solidFill>
                <a:schemeClr val="dk1"/>
              </a:solidFill>
              <a:effectLst/>
              <a:latin typeface="+mn-lt"/>
              <a:ea typeface="+mn-ea"/>
              <a:cs typeface="+mn-cs"/>
            </a:rPr>
            <a:t>open to anyone</a:t>
          </a:r>
        </a:p>
        <a:p>
          <a:endParaRPr lang="en-US">
            <a:effectLst/>
          </a:endParaRPr>
        </a:p>
        <a:p>
          <a:endParaRPr lang="en-US" sz="1100"/>
        </a:p>
      </xdr:txBody>
    </xdr:sp>
    <xdr:clientData/>
  </xdr:twoCellAnchor>
  <xdr:twoCellAnchor>
    <xdr:from>
      <xdr:col>0</xdr:col>
      <xdr:colOff>190500</xdr:colOff>
      <xdr:row>751</xdr:row>
      <xdr:rowOff>168275</xdr:rowOff>
    </xdr:from>
    <xdr:to>
      <xdr:col>1</xdr:col>
      <xdr:colOff>572135</xdr:colOff>
      <xdr:row>752</xdr:row>
      <xdr:rowOff>983615</xdr:rowOff>
    </xdr:to>
    <xdr:sp macro="" textlink="">
      <xdr:nvSpPr>
        <xdr:cNvPr id="23" name="Text Box 3">
          <a:extLst>
            <a:ext uri="{FF2B5EF4-FFF2-40B4-BE49-F238E27FC236}">
              <a16:creationId xmlns:a16="http://schemas.microsoft.com/office/drawing/2014/main" id="{C7FE46A8-6E4C-46BF-AAA4-A3B6AA0A8401}"/>
            </a:ext>
          </a:extLst>
        </xdr:cNvPr>
        <xdr:cNvSpPr txBox="1"/>
      </xdr:nvSpPr>
      <xdr:spPr>
        <a:xfrm>
          <a:off x="190500" y="25908063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1384300</xdr:colOff>
      <xdr:row>752</xdr:row>
      <xdr:rowOff>4069080</xdr:rowOff>
    </xdr:from>
    <xdr:to>
      <xdr:col>4</xdr:col>
      <xdr:colOff>51435</xdr:colOff>
      <xdr:row>754</xdr:row>
      <xdr:rowOff>327660</xdr:rowOff>
    </xdr:to>
    <xdr:sp macro="" textlink="">
      <xdr:nvSpPr>
        <xdr:cNvPr id="24" name="Text Box 4">
          <a:extLst>
            <a:ext uri="{FF2B5EF4-FFF2-40B4-BE49-F238E27FC236}">
              <a16:creationId xmlns:a16="http://schemas.microsoft.com/office/drawing/2014/main" id="{9BA0DFD6-A7F7-4F23-8C8E-91C14C0D3656}"/>
            </a:ext>
          </a:extLst>
        </xdr:cNvPr>
        <xdr:cNvSpPr txBox="1"/>
      </xdr:nvSpPr>
      <xdr:spPr>
        <a:xfrm>
          <a:off x="5179060" y="263171940"/>
          <a:ext cx="640715" cy="10134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198120</xdr:colOff>
      <xdr:row>703</xdr:row>
      <xdr:rowOff>815975</xdr:rowOff>
    </xdr:from>
    <xdr:to>
      <xdr:col>1</xdr:col>
      <xdr:colOff>579755</xdr:colOff>
      <xdr:row>703</xdr:row>
      <xdr:rowOff>1821815</xdr:rowOff>
    </xdr:to>
    <xdr:sp macro="" textlink="">
      <xdr:nvSpPr>
        <xdr:cNvPr id="25" name="Text Box 3">
          <a:extLst>
            <a:ext uri="{FF2B5EF4-FFF2-40B4-BE49-F238E27FC236}">
              <a16:creationId xmlns:a16="http://schemas.microsoft.com/office/drawing/2014/main" id="{F6621925-3BB5-4A7D-82AD-1C0807247724}"/>
            </a:ext>
          </a:extLst>
        </xdr:cNvPr>
        <xdr:cNvSpPr txBox="1"/>
      </xdr:nvSpPr>
      <xdr:spPr>
        <a:xfrm>
          <a:off x="198120" y="23531385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1391920</xdr:colOff>
      <xdr:row>703</xdr:row>
      <xdr:rowOff>3451860</xdr:rowOff>
    </xdr:from>
    <xdr:to>
      <xdr:col>4</xdr:col>
      <xdr:colOff>59055</xdr:colOff>
      <xdr:row>703</xdr:row>
      <xdr:rowOff>3794760</xdr:rowOff>
    </xdr:to>
    <xdr:sp macro="" textlink="">
      <xdr:nvSpPr>
        <xdr:cNvPr id="26" name="Text Box 4">
          <a:extLst>
            <a:ext uri="{FF2B5EF4-FFF2-40B4-BE49-F238E27FC236}">
              <a16:creationId xmlns:a16="http://schemas.microsoft.com/office/drawing/2014/main" id="{3F34EE3E-4E14-4863-8E91-0D31E2D9C623}"/>
            </a:ext>
          </a:extLst>
        </xdr:cNvPr>
        <xdr:cNvSpPr txBox="1"/>
      </xdr:nvSpPr>
      <xdr:spPr>
        <a:xfrm>
          <a:off x="5186680" y="237949740"/>
          <a:ext cx="640715" cy="34290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57</xdr:col>
      <xdr:colOff>365760</xdr:colOff>
      <xdr:row>1064</xdr:row>
      <xdr:rowOff>163285</xdr:rowOff>
    </xdr:from>
    <xdr:to>
      <xdr:col>75</xdr:col>
      <xdr:colOff>185058</xdr:colOff>
      <xdr:row>1102</xdr:row>
      <xdr:rowOff>157841</xdr:rowOff>
    </xdr:to>
    <xdr:sp macro="" textlink="">
      <xdr:nvSpPr>
        <xdr:cNvPr id="27" name="Rectangle: Rounded Corners 26">
          <a:extLst>
            <a:ext uri="{FF2B5EF4-FFF2-40B4-BE49-F238E27FC236}">
              <a16:creationId xmlns:a16="http://schemas.microsoft.com/office/drawing/2014/main" id="{30062B30-EA73-4A4F-9EEE-F27D0D042A38}"/>
            </a:ext>
          </a:extLst>
        </xdr:cNvPr>
        <xdr:cNvSpPr/>
      </xdr:nvSpPr>
      <xdr:spPr>
        <a:xfrm>
          <a:off x="14950440" y="314820300"/>
          <a:ext cx="5717178"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tx1"/>
              </a:solidFill>
            </a:rPr>
            <a:t>calculation</a:t>
          </a:r>
          <a:r>
            <a:rPr lang="en-US" sz="1400" baseline="0">
              <a:solidFill>
                <a:schemeClr val="tx1"/>
              </a:solidFill>
            </a:rPr>
            <a:t> of situation depression from Challenging and Aspiring response data; rule out endogynous depression</a:t>
          </a:r>
        </a:p>
        <a:p>
          <a:pPr algn="l"/>
          <a:r>
            <a:rPr lang="en-US" sz="1400" baseline="0">
              <a:solidFill>
                <a:schemeClr val="tx1"/>
              </a:solidFill>
            </a:rPr>
            <a:t>Any use of antidepressants to be informed by situational depression, with antidepressants as option to remove the intensity of the pain but not to enable the etiological situation. </a:t>
          </a:r>
          <a:endParaRPr lang="en-US" sz="1100">
            <a:solidFill>
              <a:schemeClr val="tx1"/>
            </a:solidFill>
          </a:endParaRPr>
        </a:p>
      </xdr:txBody>
    </xdr:sp>
    <xdr:clientData/>
  </xdr:twoCellAnchor>
  <xdr:twoCellAnchor>
    <xdr:from>
      <xdr:col>0</xdr:col>
      <xdr:colOff>99059</xdr:colOff>
      <xdr:row>187</xdr:row>
      <xdr:rowOff>155664</xdr:rowOff>
    </xdr:from>
    <xdr:to>
      <xdr:col>5</xdr:col>
      <xdr:colOff>83819</xdr:colOff>
      <xdr:row>195</xdr:row>
      <xdr:rowOff>186144</xdr:rowOff>
    </xdr:to>
    <xdr:sp macro="" textlink="">
      <xdr:nvSpPr>
        <xdr:cNvPr id="28" name="Rectangle: Rounded Corners 27">
          <a:extLst>
            <a:ext uri="{FF2B5EF4-FFF2-40B4-BE49-F238E27FC236}">
              <a16:creationId xmlns:a16="http://schemas.microsoft.com/office/drawing/2014/main" id="{F0473D1A-2B60-46D8-AF82-1B4385B30336}"/>
            </a:ext>
          </a:extLst>
        </xdr:cNvPr>
        <xdr:cNvSpPr/>
      </xdr:nvSpPr>
      <xdr:spPr>
        <a:xfrm>
          <a:off x="99059" y="57579984"/>
          <a:ext cx="5943600" cy="1645920"/>
        </a:xfrm>
        <a:prstGeom prst="roundRect">
          <a:avLst>
            <a:gd name="adj" fmla="val 5176"/>
          </a:avLst>
        </a:prstGeom>
        <a:solidFill>
          <a:srgbClr val="007832">
            <a:alpha val="80000"/>
          </a:srgbClr>
        </a:solidFill>
        <a:ln w="50800">
          <a:solidFill>
            <a:srgbClr val="00CC5C">
              <a:alpha val="40000"/>
            </a:srgb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2000">
              <a:latin typeface="Tahoma" panose="020B0604030504040204" pitchFamily="34" charset="0"/>
              <a:ea typeface="Tahoma" panose="020B0604030504040204" pitchFamily="34" charset="0"/>
              <a:cs typeface="Tahoma" panose="020B0604030504040204" pitchFamily="34" charset="0"/>
            </a:rPr>
            <a:t>This tool is in pilot</a:t>
          </a:r>
          <a:r>
            <a:rPr lang="en-US" sz="2000" baseline="0">
              <a:latin typeface="Tahoma" panose="020B0604030504040204" pitchFamily="34" charset="0"/>
              <a:ea typeface="Tahoma" panose="020B0604030504040204" pitchFamily="34" charset="0"/>
              <a:cs typeface="Tahoma" panose="020B0604030504040204" pitchFamily="34" charset="0"/>
            </a:rPr>
            <a:t> mode. It aims to calculate a likelihood of innocence compared to known cases of exoneration. It can be improved by feedback from each person utilizing it and receiving it. </a:t>
          </a:r>
          <a:endParaRPr lang="en-US" sz="20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39</xdr:col>
      <xdr:colOff>34833</xdr:colOff>
      <xdr:row>901</xdr:row>
      <xdr:rowOff>101235</xdr:rowOff>
    </xdr:from>
    <xdr:to>
      <xdr:col>70</xdr:col>
      <xdr:colOff>89262</xdr:colOff>
      <xdr:row>908</xdr:row>
      <xdr:rowOff>21771</xdr:rowOff>
    </xdr:to>
    <xdr:sp macro="" textlink="">
      <xdr:nvSpPr>
        <xdr:cNvPr id="29" name="Rectangle: Rounded Corners 28">
          <a:extLst>
            <a:ext uri="{FF2B5EF4-FFF2-40B4-BE49-F238E27FC236}">
              <a16:creationId xmlns:a16="http://schemas.microsoft.com/office/drawing/2014/main" id="{A62449FC-075E-43D6-9D7B-63B1AFF19DFE}"/>
            </a:ext>
          </a:extLst>
        </xdr:cNvPr>
        <xdr:cNvSpPr/>
      </xdr:nvSpPr>
      <xdr:spPr>
        <a:xfrm>
          <a:off x="10161813" y="297784155"/>
          <a:ext cx="9114609" cy="2016036"/>
        </a:xfrm>
        <a:prstGeom prst="roundRect">
          <a:avLst>
            <a:gd name="adj" fmla="val 5176"/>
          </a:avLst>
        </a:prstGeom>
        <a:solidFill>
          <a:srgbClr val="F19B61">
            <a:alpha val="12157"/>
          </a:srgbClr>
        </a:solidFill>
        <a:ln w="76200">
          <a:solidFill>
            <a:srgbClr val="9BFFC8"/>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accent2">
                  <a:lumMod val="75000"/>
                </a:schemeClr>
              </a:solidFill>
            </a:rPr>
            <a:t>Despite </a:t>
          </a:r>
          <a:r>
            <a:rPr lang="en-US" sz="1400">
              <a:solidFill>
                <a:schemeClr val="accent2">
                  <a:lumMod val="75000"/>
                </a:schemeClr>
              </a:solidFill>
              <a:latin typeface="+mn-lt"/>
              <a:ea typeface="+mn-ea"/>
              <a:cs typeface="+mn-cs"/>
            </a:rPr>
            <a:t>challenging [CHALLENGING] needs, [NAME] aspires toward [ASPRING].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endParaRPr>
        </a:p>
        <a:p>
          <a:pPr algn="l"/>
          <a:endParaRPr lang="en-US" sz="1400">
            <a:solidFill>
              <a:schemeClr val="accent2">
                <a:lumMod val="75000"/>
              </a:schemeClr>
            </a:solidFill>
          </a:endParaRPr>
        </a:p>
      </xdr:txBody>
    </xdr:sp>
    <xdr:clientData/>
  </xdr:twoCellAnchor>
  <xdr:twoCellAnchor>
    <xdr:from>
      <xdr:col>79</xdr:col>
      <xdr:colOff>1084</xdr:colOff>
      <xdr:row>137</xdr:row>
      <xdr:rowOff>152400</xdr:rowOff>
    </xdr:from>
    <xdr:to>
      <xdr:col>88</xdr:col>
      <xdr:colOff>13058</xdr:colOff>
      <xdr:row>147</xdr:row>
      <xdr:rowOff>38100</xdr:rowOff>
    </xdr:to>
    <xdr:sp macro="" textlink="">
      <xdr:nvSpPr>
        <xdr:cNvPr id="30" name="Arrow: Right 29">
          <a:hlinkClick xmlns:r="http://schemas.openxmlformats.org/officeDocument/2006/relationships" r:id="rId16" tooltip="&gt;&gt; click here if you could use some help with this &lt;&lt;"/>
          <a:extLst>
            <a:ext uri="{FF2B5EF4-FFF2-40B4-BE49-F238E27FC236}">
              <a16:creationId xmlns:a16="http://schemas.microsoft.com/office/drawing/2014/main" id="{7D627F2B-D6AB-48C9-A9E6-ECB17ED2B057}"/>
            </a:ext>
          </a:extLst>
        </xdr:cNvPr>
        <xdr:cNvSpPr/>
      </xdr:nvSpPr>
      <xdr:spPr>
        <a:xfrm>
          <a:off x="22221004" y="47343060"/>
          <a:ext cx="5909854" cy="1790700"/>
        </a:xfrm>
        <a:prstGeom prst="rightArrow">
          <a:avLst>
            <a:gd name="adj1" fmla="val 100000"/>
            <a:gd name="adj2" fmla="val 10822"/>
          </a:avLst>
        </a:prstGeom>
        <a:scene3d>
          <a:camera prst="orthographicFront"/>
          <a:lightRig rig="threePt" dir="t"/>
        </a:scene3d>
        <a:sp3d>
          <a:bevelT prst="angle"/>
        </a:sp3d>
      </xdr:spPr>
      <xdr:style>
        <a:lnRef idx="0">
          <a:schemeClr val="accent2"/>
        </a:lnRef>
        <a:fillRef idx="3">
          <a:schemeClr val="accent2"/>
        </a:fillRef>
        <a:effectRef idx="3">
          <a:schemeClr val="accent2"/>
        </a:effectRef>
        <a:fontRef idx="minor">
          <a:schemeClr val="lt1"/>
        </a:fontRef>
      </xdr:style>
      <xdr:txBody>
        <a:bodyPr vertOverflow="clip" horzOverflow="clip" lIns="137160" rtlCol="0" anchor="ctr"/>
        <a:lstStyle/>
        <a:p>
          <a:pPr>
            <a:lnSpc>
              <a:spcPts val="1400"/>
            </a:lnSpc>
            <a:spcAft>
              <a:spcPts val="600"/>
            </a:spcAft>
          </a:pPr>
          <a:r>
            <a:rPr lang="en-US" sz="140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Recounting this information risks</a:t>
          </a: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 re-traumatizing those most deeply affected by it. The proxy is there for support, and we support the proxy. </a:t>
          </a:r>
          <a:endParaRPr lang="en-US" sz="1400">
            <a:effectLst>
              <a:outerShdw blurRad="50800" dist="38100" dir="2700000" algn="tl" rotWithShape="0">
                <a:prstClr val="black">
                  <a:alpha val="40000"/>
                </a:prstClr>
              </a:outerShdw>
            </a:effectLst>
            <a:latin typeface="Arial Black" panose="020B0A04020102020204" pitchFamily="34" charset="0"/>
          </a:endParaRPr>
        </a:p>
        <a:p>
          <a:pPr>
            <a:lnSpc>
              <a:spcPts val="1400"/>
            </a:lnSpc>
          </a:pP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If needing direct support to get through this, please contact us. Don't let any temporary pain stop you from receiving overdue justice. </a:t>
          </a:r>
        </a:p>
        <a:p>
          <a:pPr algn="ctr">
            <a:lnSpc>
              <a:spcPts val="1400"/>
            </a:lnSpc>
          </a:pPr>
          <a:endPar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endParaRPr>
        </a:p>
        <a:p>
          <a:pPr algn="ctr">
            <a:lnSpc>
              <a:spcPts val="1400"/>
            </a:lnSpc>
          </a:pPr>
          <a:r>
            <a:rPr lang="en-US" sz="2000" baseline="0">
              <a:ln w="3175">
                <a:solidFill>
                  <a:schemeClr val="bg1"/>
                </a:solidFill>
              </a:ln>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CLICK HERE</a:t>
          </a:r>
          <a:r>
            <a:rPr lang="en-US" sz="2000" baseline="0">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a:t>
          </a:r>
          <a:endParaRPr lang="en-US" sz="1400">
            <a:solidFill>
              <a:srgbClr val="FFABAD"/>
            </a:solidFill>
            <a:effectLst>
              <a:outerShdw blurRad="50800" dist="38100" dir="2700000" algn="tl" rotWithShape="0">
                <a:prstClr val="black">
                  <a:alpha val="40000"/>
                </a:prstClr>
              </a:outerShdw>
            </a:effectLst>
            <a:latin typeface="Arial Black" panose="020B0A04020102020204" pitchFamily="34" charset="0"/>
          </a:endParaRPr>
        </a:p>
      </xdr:txBody>
    </xdr:sp>
    <xdr:clientData/>
  </xdr:twoCellAnchor>
  <xdr:twoCellAnchor>
    <xdr:from>
      <xdr:col>1</xdr:col>
      <xdr:colOff>337144</xdr:colOff>
      <xdr:row>752</xdr:row>
      <xdr:rowOff>663397</xdr:rowOff>
    </xdr:from>
    <xdr:to>
      <xdr:col>3</xdr:col>
      <xdr:colOff>1804779</xdr:colOff>
      <xdr:row>752</xdr:row>
      <xdr:rowOff>4292129</xdr:rowOff>
    </xdr:to>
    <xdr:sp macro="" textlink="">
      <xdr:nvSpPr>
        <xdr:cNvPr id="31" name="TextBox 30">
          <a:extLst>
            <a:ext uri="{FF2B5EF4-FFF2-40B4-BE49-F238E27FC236}">
              <a16:creationId xmlns:a16="http://schemas.microsoft.com/office/drawing/2014/main" id="{3257C39D-D601-44D2-B42B-C578AC6B2C24}"/>
            </a:ext>
          </a:extLst>
        </xdr:cNvPr>
        <xdr:cNvSpPr txBox="1"/>
      </xdr:nvSpPr>
      <xdr:spPr>
        <a:xfrm rot="21085390">
          <a:off x="596224" y="259766257"/>
          <a:ext cx="5003315" cy="3628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No one sits above the law, yet no law sits above need. Laws exist to serve needs, but whose?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And all needs sit equal before nature.</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moral question persists: whose needs get best served by which enforced laws?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answer determines the level of legitimacy, the level of widely earned trust to serve these needs.</a:t>
          </a:r>
        </a:p>
      </xdr:txBody>
    </xdr:sp>
    <xdr:clientData/>
  </xdr:twoCellAnchor>
  <xdr:twoCellAnchor>
    <xdr:from>
      <xdr:col>1</xdr:col>
      <xdr:colOff>879835</xdr:colOff>
      <xdr:row>703</xdr:row>
      <xdr:rowOff>1025524</xdr:rowOff>
    </xdr:from>
    <xdr:to>
      <xdr:col>3</xdr:col>
      <xdr:colOff>1248910</xdr:colOff>
      <xdr:row>703</xdr:row>
      <xdr:rowOff>3798466</xdr:rowOff>
    </xdr:to>
    <xdr:sp macro="" textlink="">
      <xdr:nvSpPr>
        <xdr:cNvPr id="32" name="TextBox 31">
          <a:extLst>
            <a:ext uri="{FF2B5EF4-FFF2-40B4-BE49-F238E27FC236}">
              <a16:creationId xmlns:a16="http://schemas.microsoft.com/office/drawing/2014/main" id="{2130D9B2-FDC9-4C0F-AE6A-CF038CAAE6B3}"/>
            </a:ext>
          </a:extLst>
        </xdr:cNvPr>
        <xdr:cNvSpPr txBox="1"/>
      </xdr:nvSpPr>
      <xdr:spPr>
        <a:xfrm rot="352288">
          <a:off x="1138915" y="235523404"/>
          <a:ext cx="3904755" cy="2772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demand for professional help to review these viable claims of innocence far outstrips the meager supply.</a:t>
          </a:r>
        </a:p>
        <a:p>
          <a:endPar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8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Innocence Projects remain overwhelmed. We can help fill that gap.</a:t>
          </a:r>
        </a:p>
      </xdr:txBody>
    </xdr:sp>
    <xdr:clientData/>
  </xdr:twoCellAnchor>
  <xdr:twoCellAnchor>
    <xdr:from>
      <xdr:col>62</xdr:col>
      <xdr:colOff>87085</xdr:colOff>
      <xdr:row>876</xdr:row>
      <xdr:rowOff>0</xdr:rowOff>
    </xdr:from>
    <xdr:to>
      <xdr:col>70</xdr:col>
      <xdr:colOff>130628</xdr:colOff>
      <xdr:row>884</xdr:row>
      <xdr:rowOff>0</xdr:rowOff>
    </xdr:to>
    <xdr:sp macro="" textlink="">
      <xdr:nvSpPr>
        <xdr:cNvPr id="41" name="TextBox 40">
          <a:extLst>
            <a:ext uri="{FF2B5EF4-FFF2-40B4-BE49-F238E27FC236}">
              <a16:creationId xmlns:a16="http://schemas.microsoft.com/office/drawing/2014/main" id="{353197F4-05E7-40EB-927A-8199A0EF1FF9}"/>
            </a:ext>
          </a:extLst>
        </xdr:cNvPr>
        <xdr:cNvSpPr txBox="1"/>
      </xdr:nvSpPr>
      <xdr:spPr>
        <a:xfrm>
          <a:off x="17201605" y="292874700"/>
          <a:ext cx="2116183"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CCC impacting whom:</a:t>
          </a:r>
        </a:p>
        <a:p>
          <a:r>
            <a:rPr lang="en-US" sz="1100">
              <a:solidFill>
                <a:schemeClr val="dk1"/>
              </a:solidFill>
              <a:effectLst/>
              <a:latin typeface="+mn-lt"/>
              <a:ea typeface="+mn-ea"/>
              <a:cs typeface="+mn-cs"/>
            </a:rPr>
            <a:t>impacting everyone I know</a:t>
          </a:r>
        </a:p>
        <a:p>
          <a:r>
            <a:rPr lang="en-US" sz="1100">
              <a:solidFill>
                <a:schemeClr val="dk1"/>
              </a:solidFill>
              <a:effectLst/>
              <a:latin typeface="+mn-lt"/>
              <a:ea typeface="+mn-ea"/>
              <a:cs typeface="+mn-cs"/>
            </a:rPr>
            <a:t>impacting close friend(s)</a:t>
          </a:r>
        </a:p>
        <a:p>
          <a:r>
            <a:rPr lang="en-US" sz="1100">
              <a:solidFill>
                <a:schemeClr val="dk1"/>
              </a:solidFill>
              <a:effectLst/>
              <a:latin typeface="+mn-lt"/>
              <a:ea typeface="+mn-ea"/>
              <a:cs typeface="+mn-cs"/>
            </a:rPr>
            <a:t>impacting close friends &amp; family</a:t>
          </a:r>
        </a:p>
        <a:p>
          <a:r>
            <a:rPr lang="en-US" sz="1100">
              <a:solidFill>
                <a:schemeClr val="dk1"/>
              </a:solidFill>
              <a:effectLst/>
              <a:latin typeface="+mn-lt"/>
              <a:ea typeface="+mn-ea"/>
              <a:cs typeface="+mn-cs"/>
            </a:rPr>
            <a:t>impacting only family members</a:t>
          </a:r>
        </a:p>
        <a:p>
          <a:r>
            <a:rPr lang="en-US" sz="1100">
              <a:solidFill>
                <a:schemeClr val="dk1"/>
              </a:solidFill>
              <a:effectLst/>
              <a:latin typeface="+mn-lt"/>
              <a:ea typeface="+mn-ea"/>
              <a:cs typeface="+mn-cs"/>
            </a:rPr>
            <a:t>impacting only my (then) partner</a:t>
          </a:r>
        </a:p>
        <a:p>
          <a:r>
            <a:rPr lang="en-US" sz="1100">
              <a:solidFill>
                <a:schemeClr val="dk1"/>
              </a:solidFill>
              <a:effectLst/>
              <a:latin typeface="+mn-lt"/>
              <a:ea typeface="+mn-ea"/>
              <a:cs typeface="+mn-cs"/>
            </a:rPr>
            <a:t>impacting (then) partner &amp; kids</a:t>
          </a:r>
        </a:p>
        <a:p>
          <a:r>
            <a:rPr lang="en-US" sz="1100">
              <a:solidFill>
                <a:schemeClr val="dk1"/>
              </a:solidFill>
              <a:effectLst/>
              <a:latin typeface="+mn-lt"/>
              <a:ea typeface="+mn-ea"/>
              <a:cs typeface="+mn-cs"/>
            </a:rPr>
            <a:t>impactig only my child(ren)</a:t>
          </a:r>
        </a:p>
        <a:p>
          <a:r>
            <a:rPr lang="en-US" sz="1100">
              <a:solidFill>
                <a:schemeClr val="dk1"/>
              </a:solidFill>
              <a:effectLst/>
              <a:latin typeface="+mn-lt"/>
              <a:ea typeface="+mn-ea"/>
              <a:cs typeface="+mn-cs"/>
            </a:rPr>
            <a:t>impactig only my grandchild(ren)</a:t>
          </a:r>
          <a:endParaRPr lang="en-US" sz="1100"/>
        </a:p>
      </xdr:txBody>
    </xdr:sp>
    <xdr:clientData/>
  </xdr:twoCellAnchor>
  <xdr:twoCellAnchor>
    <xdr:from>
      <xdr:col>2</xdr:col>
      <xdr:colOff>872187</xdr:colOff>
      <xdr:row>1125</xdr:row>
      <xdr:rowOff>62654</xdr:rowOff>
    </xdr:from>
    <xdr:to>
      <xdr:col>4</xdr:col>
      <xdr:colOff>67491</xdr:colOff>
      <xdr:row>1125</xdr:row>
      <xdr:rowOff>336974</xdr:rowOff>
    </xdr:to>
    <xdr:sp macro="" textlink="">
      <xdr:nvSpPr>
        <xdr:cNvPr id="42" name="Arrow: Up 41">
          <a:extLst>
            <a:ext uri="{FF2B5EF4-FFF2-40B4-BE49-F238E27FC236}">
              <a16:creationId xmlns:a16="http://schemas.microsoft.com/office/drawing/2014/main" id="{5C1A3C63-C8FF-4C0B-BB64-AA6144335026}"/>
            </a:ext>
          </a:extLst>
        </xdr:cNvPr>
        <xdr:cNvSpPr/>
      </xdr:nvSpPr>
      <xdr:spPr>
        <a:xfrm>
          <a:off x="2237437" y="316334987"/>
          <a:ext cx="3703804" cy="274320"/>
        </a:xfrm>
        <a:prstGeom prst="upArrow">
          <a:avLst>
            <a:gd name="adj1" fmla="val 90284"/>
            <a:gd name="adj2" fmla="val 31349"/>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100"/>
            <a:t>If</a:t>
          </a:r>
          <a:r>
            <a:rPr lang="en-US" sz="1100" baseline="0"/>
            <a:t> officially exonerated, will you seek compensation?</a:t>
          </a:r>
          <a:endParaRPr lang="en-US" sz="1100"/>
        </a:p>
      </xdr:txBody>
    </xdr:sp>
    <xdr:clientData/>
  </xdr:twoCellAnchor>
  <xdr:twoCellAnchor>
    <xdr:from>
      <xdr:col>60</xdr:col>
      <xdr:colOff>134981</xdr:colOff>
      <xdr:row>884</xdr:row>
      <xdr:rowOff>108856</xdr:rowOff>
    </xdr:from>
    <xdr:to>
      <xdr:col>70</xdr:col>
      <xdr:colOff>97970</xdr:colOff>
      <xdr:row>901</xdr:row>
      <xdr:rowOff>32656</xdr:rowOff>
    </xdr:to>
    <xdr:sp macro="" textlink="">
      <xdr:nvSpPr>
        <xdr:cNvPr id="43" name="Text Box 1">
          <a:extLst>
            <a:ext uri="{FF2B5EF4-FFF2-40B4-BE49-F238E27FC236}">
              <a16:creationId xmlns:a16="http://schemas.microsoft.com/office/drawing/2014/main" id="{8ADC3819-9E29-440F-B6AA-34E05FD9DB72}"/>
            </a:ext>
          </a:extLst>
        </xdr:cNvPr>
        <xdr:cNvSpPr txBox="1"/>
      </xdr:nvSpPr>
      <xdr:spPr>
        <a:xfrm>
          <a:off x="16182701" y="294621856"/>
          <a:ext cx="3102429" cy="3093720"/>
        </a:xfrm>
        <a:prstGeom prst="rect">
          <a:avLst/>
        </a:prstGeom>
        <a:solidFill>
          <a:schemeClr val="bg1">
            <a:lumMod val="95000"/>
          </a:schemeClr>
        </a:solidFill>
        <a:ln w="38100">
          <a:solidFill>
            <a:srgbClr val="D088FC"/>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Challenging: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challenged at all</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only slightly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moderately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significantly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severely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Aspiring: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don't seek it nor think about it much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desire it but feel it's unlikely to happen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hope it'll happen but I can do little about it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struggle to make it happen but unsuccessfully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feel I've reached it but not maintained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sense I can maintaine it with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maintain it without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Seeking: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important at all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low priority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important but can wait for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must have it as soon as possible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increasingly consuming my focus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can't go on any further without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2</xdr:col>
      <xdr:colOff>1817915</xdr:colOff>
      <xdr:row>828</xdr:row>
      <xdr:rowOff>468086</xdr:rowOff>
    </xdr:from>
    <xdr:to>
      <xdr:col>3</xdr:col>
      <xdr:colOff>1785737</xdr:colOff>
      <xdr:row>828</xdr:row>
      <xdr:rowOff>1995352</xdr:rowOff>
    </xdr:to>
    <xdr:pic>
      <xdr:nvPicPr>
        <xdr:cNvPr id="44" name="Picture 43" descr="Maps, Country, America, States, Land, Geography, Us">
          <a:hlinkClick xmlns:r="http://schemas.openxmlformats.org/officeDocument/2006/relationships" r:id="rId17"/>
          <a:extLst>
            <a:ext uri="{FF2B5EF4-FFF2-40B4-BE49-F238E27FC236}">
              <a16:creationId xmlns:a16="http://schemas.microsoft.com/office/drawing/2014/main" id="{F38A2142-0042-4197-AAF1-7F49DDE4EE02}"/>
            </a:ext>
          </a:extLst>
        </xdr:cNvPr>
        <xdr:cNvPicPr>
          <a:picLocks noChangeAspect="1" noChangeArrowheads="1"/>
        </xdr:cNvPicPr>
      </xdr:nvPicPr>
      <xdr:blipFill>
        <a:blip xmlns:r="http://schemas.openxmlformats.org/officeDocument/2006/relationships" r:embed="rId18" cstate="print">
          <a:duotone>
            <a:schemeClr val="bg2">
              <a:shade val="45000"/>
              <a:satMod val="135000"/>
            </a:schemeClr>
            <a:prstClr val="white"/>
          </a:duotone>
          <a:extLst>
            <a:ext uri="{BEBA8EAE-BF5A-486C-A8C5-ECC9F3942E4B}">
              <a14:imgProps xmlns:a14="http://schemas.microsoft.com/office/drawing/2010/main">
                <a14:imgLayer r:embed="rId19">
                  <a14:imgEffect>
                    <a14:artisticGlowEdges/>
                  </a14:imgEffect>
                </a14:imgLayer>
              </a14:imgProps>
            </a:ext>
            <a:ext uri="{28A0092B-C50C-407E-A947-70E740481C1C}">
              <a14:useLocalDpi xmlns:a14="http://schemas.microsoft.com/office/drawing/2010/main" val="0"/>
            </a:ext>
          </a:extLst>
        </a:blip>
        <a:srcRect/>
        <a:stretch>
          <a:fillRect/>
        </a:stretch>
      </xdr:blipFill>
      <xdr:spPr bwMode="auto">
        <a:xfrm>
          <a:off x="3159035" y="282080426"/>
          <a:ext cx="2421462"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215500</xdr:colOff>
      <xdr:row>296</xdr:row>
      <xdr:rowOff>14153</xdr:rowOff>
    </xdr:from>
    <xdr:to>
      <xdr:col>35</xdr:col>
      <xdr:colOff>68580</xdr:colOff>
      <xdr:row>298</xdr:row>
      <xdr:rowOff>152400</xdr:rowOff>
    </xdr:to>
    <xdr:sp macro="" textlink="">
      <xdr:nvSpPr>
        <xdr:cNvPr id="45" name="Rectangle: Rounded Corners 44">
          <a:extLst>
            <a:ext uri="{FF2B5EF4-FFF2-40B4-BE49-F238E27FC236}">
              <a16:creationId xmlns:a16="http://schemas.microsoft.com/office/drawing/2014/main" id="{DD16EDB8-85DE-43E5-BB1A-0F685ABD988B}"/>
            </a:ext>
          </a:extLst>
        </xdr:cNvPr>
        <xdr:cNvSpPr/>
      </xdr:nvSpPr>
      <xdr:spPr>
        <a:xfrm>
          <a:off x="7492600" y="80588033"/>
          <a:ext cx="1666640" cy="389707"/>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solidFill>
                <a:srgbClr val="D088FC"/>
              </a:solidFill>
              <a:latin typeface="+mn-lt"/>
              <a:ea typeface="+mn-ea"/>
              <a:cs typeface="+mn-cs"/>
            </a:rPr>
            <a:t>race of victim</a:t>
          </a:r>
        </a:p>
      </xdr:txBody>
    </xdr:sp>
    <xdr:clientData/>
  </xdr:twoCellAnchor>
  <xdr:twoCellAnchor>
    <xdr:from>
      <xdr:col>1</xdr:col>
      <xdr:colOff>0</xdr:colOff>
      <xdr:row>702</xdr:row>
      <xdr:rowOff>167640</xdr:rowOff>
    </xdr:from>
    <xdr:to>
      <xdr:col>4</xdr:col>
      <xdr:colOff>41365</xdr:colOff>
      <xdr:row>704</xdr:row>
      <xdr:rowOff>15239</xdr:rowOff>
    </xdr:to>
    <xdr:sp macro="" textlink="">
      <xdr:nvSpPr>
        <xdr:cNvPr id="46" name="Rectangle: Rounded Corners 45">
          <a:extLst>
            <a:ext uri="{FF2B5EF4-FFF2-40B4-BE49-F238E27FC236}">
              <a16:creationId xmlns:a16="http://schemas.microsoft.com/office/drawing/2014/main" id="{E6BDC45C-1668-454B-A3F7-2F92FE8A7EED}"/>
            </a:ext>
          </a:extLst>
        </xdr:cNvPr>
        <xdr:cNvSpPr/>
      </xdr:nvSpPr>
      <xdr:spPr>
        <a:xfrm>
          <a:off x="259080" y="234482640"/>
          <a:ext cx="5550625" cy="4030979"/>
        </a:xfrm>
        <a:prstGeom prst="roundRect">
          <a:avLst>
            <a:gd name="adj" fmla="val 1556"/>
          </a:avLst>
        </a:prstGeom>
        <a:solidFill>
          <a:srgbClr val="FFE1FF">
            <a:alpha val="10196"/>
          </a:srgbClr>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900" b="1">
            <a:solidFill>
              <a:srgbClr val="FFC000"/>
            </a:solidFill>
            <a:latin typeface="Tahoma" panose="020B0604030504040204" pitchFamily="34" charset="0"/>
            <a:ea typeface="Tahoma" panose="020B0604030504040204" pitchFamily="34" charset="0"/>
            <a:cs typeface="Tahoma" panose="020B0604030504040204" pitchFamily="34" charset="0"/>
          </a:endParaRPr>
        </a:p>
        <a:p>
          <a:pPr algn="ctr"/>
          <a:r>
            <a:rPr lang="en-US" sz="1800" b="1">
              <a:solidFill>
                <a:srgbClr val="FFC000"/>
              </a:solidFill>
              <a:latin typeface="Tahoma" panose="020B0604030504040204" pitchFamily="34" charset="0"/>
              <a:ea typeface="Tahoma" panose="020B0604030504040204" pitchFamily="34" charset="0"/>
              <a:cs typeface="Tahoma" panose="020B0604030504040204" pitchFamily="34" charset="0"/>
            </a:rPr>
            <a:t>Lack of supply cannot disqualify the demand</a:t>
          </a:r>
        </a:p>
      </xdr:txBody>
    </xdr:sp>
    <xdr:clientData/>
  </xdr:twoCellAnchor>
  <xdr:twoCellAnchor>
    <xdr:from>
      <xdr:col>58</xdr:col>
      <xdr:colOff>293913</xdr:colOff>
      <xdr:row>1632</xdr:row>
      <xdr:rowOff>391882</xdr:rowOff>
    </xdr:from>
    <xdr:to>
      <xdr:col>76</xdr:col>
      <xdr:colOff>141513</xdr:colOff>
      <xdr:row>1634</xdr:row>
      <xdr:rowOff>108854</xdr:rowOff>
    </xdr:to>
    <xdr:sp macro="" textlink="">
      <xdr:nvSpPr>
        <xdr:cNvPr id="47" name="Rectangle: Rounded Corners 46">
          <a:extLst>
            <a:ext uri="{FF2B5EF4-FFF2-40B4-BE49-F238E27FC236}">
              <a16:creationId xmlns:a16="http://schemas.microsoft.com/office/drawing/2014/main" id="{ABC8FB27-FD85-40F7-A76A-E16AF4727B67}"/>
            </a:ext>
          </a:extLst>
        </xdr:cNvPr>
        <xdr:cNvSpPr/>
      </xdr:nvSpPr>
      <xdr:spPr>
        <a:xfrm>
          <a:off x="15274833" y="348904560"/>
          <a:ext cx="560832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create</a:t>
          </a:r>
          <a:r>
            <a:rPr lang="en-US" sz="1600" baseline="0">
              <a:solidFill>
                <a:srgbClr val="00B050"/>
              </a:solidFill>
            </a:rPr>
            <a:t> AI target tabs, link here</a:t>
          </a:r>
          <a:endParaRPr lang="en-US" sz="1600">
            <a:solidFill>
              <a:srgbClr val="00B050"/>
            </a:solidFill>
          </a:endParaRPr>
        </a:p>
      </xdr:txBody>
    </xdr:sp>
    <xdr:clientData/>
  </xdr:twoCellAnchor>
  <xdr:twoCellAnchor>
    <xdr:from>
      <xdr:col>53</xdr:col>
      <xdr:colOff>141515</xdr:colOff>
      <xdr:row>960</xdr:row>
      <xdr:rowOff>174171</xdr:rowOff>
    </xdr:from>
    <xdr:to>
      <xdr:col>70</xdr:col>
      <xdr:colOff>43543</xdr:colOff>
      <xdr:row>967</xdr:row>
      <xdr:rowOff>130629</xdr:rowOff>
    </xdr:to>
    <xdr:sp macro="" textlink="">
      <xdr:nvSpPr>
        <xdr:cNvPr id="48" name="Rectangle: Rounded Corners 47">
          <a:extLst>
            <a:ext uri="{FF2B5EF4-FFF2-40B4-BE49-F238E27FC236}">
              <a16:creationId xmlns:a16="http://schemas.microsoft.com/office/drawing/2014/main" id="{468E174E-799B-4657-AD1C-E98A079BF474}"/>
            </a:ext>
          </a:extLst>
        </xdr:cNvPr>
        <xdr:cNvSpPr/>
      </xdr:nvSpPr>
      <xdr:spPr>
        <a:xfrm>
          <a:off x="13552715" y="314820300"/>
          <a:ext cx="5677988"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follow up on displaying</a:t>
          </a:r>
          <a:r>
            <a:rPr lang="en-US" sz="1600" baseline="0">
              <a:solidFill>
                <a:srgbClr val="00B050"/>
              </a:solidFill>
            </a:rPr>
            <a:t> result for optimal impact </a:t>
          </a:r>
        </a:p>
        <a:p>
          <a:pPr algn="ctr"/>
          <a:r>
            <a:rPr lang="en-US" sz="1600" baseline="0">
              <a:solidFill>
                <a:srgbClr val="00B050"/>
              </a:solidFill>
            </a:rPr>
            <a:t>on display page above</a:t>
          </a:r>
          <a:endParaRPr lang="en-US" sz="1600">
            <a:solidFill>
              <a:srgbClr val="00B050"/>
            </a:solidFill>
          </a:endParaRPr>
        </a:p>
      </xdr:txBody>
    </xdr:sp>
    <xdr:clientData/>
  </xdr:twoCellAnchor>
  <xdr:twoCellAnchor>
    <xdr:from>
      <xdr:col>46</xdr:col>
      <xdr:colOff>195944</xdr:colOff>
      <xdr:row>965</xdr:row>
      <xdr:rowOff>35919</xdr:rowOff>
    </xdr:from>
    <xdr:to>
      <xdr:col>64</xdr:col>
      <xdr:colOff>195943</xdr:colOff>
      <xdr:row>971</xdr:row>
      <xdr:rowOff>79463</xdr:rowOff>
    </xdr:to>
    <xdr:sp macro="" textlink="">
      <xdr:nvSpPr>
        <xdr:cNvPr id="49" name="Rectangle: Rounded Corners 48">
          <a:extLst>
            <a:ext uri="{FF2B5EF4-FFF2-40B4-BE49-F238E27FC236}">
              <a16:creationId xmlns:a16="http://schemas.microsoft.com/office/drawing/2014/main" id="{0E8CD75C-4D0C-497C-84A4-A38DB8BFFB42}"/>
            </a:ext>
          </a:extLst>
        </xdr:cNvPr>
        <xdr:cNvSpPr/>
      </xdr:nvSpPr>
      <xdr:spPr>
        <a:xfrm>
          <a:off x="12136484" y="314820300"/>
          <a:ext cx="5692139"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brief instructions</a:t>
          </a:r>
          <a:r>
            <a:rPr lang="en-US" sz="1600" baseline="0">
              <a:solidFill>
                <a:srgbClr val="00B050"/>
              </a:solidFill>
            </a:rPr>
            <a:t> re depression measure </a:t>
          </a:r>
        </a:p>
        <a:p>
          <a:pPr algn="ctr"/>
          <a:r>
            <a:rPr lang="en-US" sz="1600" baseline="0">
              <a:solidFill>
                <a:srgbClr val="00B050"/>
              </a:solidFill>
            </a:rPr>
            <a:t>(for baseline, to gage progress, demonstrate succes to AI)</a:t>
          </a:r>
          <a:endParaRPr lang="en-US" sz="1600">
            <a:solidFill>
              <a:srgbClr val="00B050"/>
            </a:solidFill>
          </a:endParaRPr>
        </a:p>
      </xdr:txBody>
    </xdr:sp>
    <xdr:clientData/>
  </xdr:twoCellAnchor>
  <xdr:twoCellAnchor>
    <xdr:from>
      <xdr:col>53</xdr:col>
      <xdr:colOff>424542</xdr:colOff>
      <xdr:row>1084</xdr:row>
      <xdr:rowOff>130629</xdr:rowOff>
    </xdr:from>
    <xdr:to>
      <xdr:col>59</xdr:col>
      <xdr:colOff>-1</xdr:colOff>
      <xdr:row>1091</xdr:row>
      <xdr:rowOff>163287</xdr:rowOff>
    </xdr:to>
    <xdr:sp macro="" textlink="">
      <xdr:nvSpPr>
        <xdr:cNvPr id="50" name="Rectangle: Rounded Corners 49">
          <a:extLst>
            <a:ext uri="{FF2B5EF4-FFF2-40B4-BE49-F238E27FC236}">
              <a16:creationId xmlns:a16="http://schemas.microsoft.com/office/drawing/2014/main" id="{D9E93284-E6A7-483D-9A35-57DE8505A14C}"/>
            </a:ext>
          </a:extLst>
        </xdr:cNvPr>
        <xdr:cNvSpPr/>
      </xdr:nvSpPr>
      <xdr:spPr>
        <a:xfrm rot="1190838">
          <a:off x="13835742" y="314820300"/>
          <a:ext cx="1678577"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i="1">
              <a:solidFill>
                <a:srgbClr val="00B050"/>
              </a:solidFill>
            </a:rPr>
            <a:t>depression = redirection</a:t>
          </a:r>
          <a:r>
            <a:rPr lang="en-US" sz="1600" i="1" baseline="0">
              <a:solidFill>
                <a:srgbClr val="00B050"/>
              </a:solidFill>
            </a:rPr>
            <a:t> </a:t>
          </a:r>
          <a:r>
            <a:rPr lang="en-US" sz="1600" baseline="0">
              <a:solidFill>
                <a:srgbClr val="00B050"/>
              </a:solidFill>
            </a:rPr>
            <a:t>reference?</a:t>
          </a:r>
          <a:endParaRPr lang="en-US" sz="1600">
            <a:solidFill>
              <a:srgbClr val="00B050"/>
            </a:solidFill>
          </a:endParaRPr>
        </a:p>
      </xdr:txBody>
    </xdr:sp>
    <xdr:clientData/>
  </xdr:twoCellAnchor>
  <xdr:twoCellAnchor>
    <xdr:from>
      <xdr:col>56</xdr:col>
      <xdr:colOff>108858</xdr:colOff>
      <xdr:row>1632</xdr:row>
      <xdr:rowOff>370114</xdr:rowOff>
    </xdr:from>
    <xdr:to>
      <xdr:col>73</xdr:col>
      <xdr:colOff>163286</xdr:colOff>
      <xdr:row>1633</xdr:row>
      <xdr:rowOff>195943</xdr:rowOff>
    </xdr:to>
    <xdr:sp macro="" textlink="">
      <xdr:nvSpPr>
        <xdr:cNvPr id="51" name="Rectangle: Rounded Corners 50">
          <a:extLst>
            <a:ext uri="{FF2B5EF4-FFF2-40B4-BE49-F238E27FC236}">
              <a16:creationId xmlns:a16="http://schemas.microsoft.com/office/drawing/2014/main" id="{A6EBA544-EED0-4F7B-A97B-0EA76B3D9F5E}"/>
            </a:ext>
          </a:extLst>
        </xdr:cNvPr>
        <xdr:cNvSpPr/>
      </xdr:nvSpPr>
      <xdr:spPr>
        <a:xfrm>
          <a:off x="14571618" y="348904560"/>
          <a:ext cx="5556068"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a:solidFill>
                <a:srgbClr val="00B050"/>
              </a:solidFill>
            </a:rPr>
            <a:t>summary of ROI offerings</a:t>
          </a:r>
        </a:p>
      </xdr:txBody>
    </xdr:sp>
    <xdr:clientData/>
  </xdr:twoCellAnchor>
  <xdr:twoCellAnchor>
    <xdr:from>
      <xdr:col>28</xdr:col>
      <xdr:colOff>43544</xdr:colOff>
      <xdr:row>497</xdr:row>
      <xdr:rowOff>187235</xdr:rowOff>
    </xdr:from>
    <xdr:to>
      <xdr:col>37</xdr:col>
      <xdr:colOff>192678</xdr:colOff>
      <xdr:row>501</xdr:row>
      <xdr:rowOff>65315</xdr:rowOff>
    </xdr:to>
    <xdr:sp macro="" textlink="">
      <xdr:nvSpPr>
        <xdr:cNvPr id="52" name="Rectangle: Rounded Corners 51">
          <a:extLst>
            <a:ext uri="{FF2B5EF4-FFF2-40B4-BE49-F238E27FC236}">
              <a16:creationId xmlns:a16="http://schemas.microsoft.com/office/drawing/2014/main" id="{0D5B441A-1D6A-4338-B95D-A2C65E7E5E8B}"/>
            </a:ext>
          </a:extLst>
        </xdr:cNvPr>
        <xdr:cNvSpPr/>
      </xdr:nvSpPr>
      <xdr:spPr>
        <a:xfrm>
          <a:off x="7320644" y="133918235"/>
          <a:ext cx="2480854" cy="739140"/>
        </a:xfrm>
        <a:prstGeom prst="roundRect">
          <a:avLst>
            <a:gd name="adj" fmla="val 14554"/>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800" b="1">
              <a:solidFill>
                <a:srgbClr val="B9FFD9"/>
              </a:solidFill>
            </a:rPr>
            <a:t>change foundation</a:t>
          </a:r>
          <a:r>
            <a:rPr lang="en-US" sz="1800" b="1" baseline="0">
              <a:solidFill>
                <a:srgbClr val="B9FFD9"/>
              </a:solidFill>
            </a:rPr>
            <a:t> to Section A data</a:t>
          </a:r>
          <a:endParaRPr lang="en-US" sz="1800" b="1">
            <a:solidFill>
              <a:srgbClr val="B9FFD9"/>
            </a:solidFill>
          </a:endParaRPr>
        </a:p>
      </xdr:txBody>
    </xdr:sp>
    <xdr:clientData/>
  </xdr:twoCellAnchor>
  <xdr:twoCellAnchor>
    <xdr:from>
      <xdr:col>55</xdr:col>
      <xdr:colOff>291737</xdr:colOff>
      <xdr:row>915</xdr:row>
      <xdr:rowOff>244929</xdr:rowOff>
    </xdr:from>
    <xdr:to>
      <xdr:col>74</xdr:col>
      <xdr:colOff>1089</xdr:colOff>
      <xdr:row>919</xdr:row>
      <xdr:rowOff>102325</xdr:rowOff>
    </xdr:to>
    <xdr:sp macro="" textlink="">
      <xdr:nvSpPr>
        <xdr:cNvPr id="53" name="Rectangle: Rounded Corners 52">
          <a:extLst>
            <a:ext uri="{FF2B5EF4-FFF2-40B4-BE49-F238E27FC236}">
              <a16:creationId xmlns:a16="http://schemas.microsoft.com/office/drawing/2014/main" id="{428E135B-DE33-4045-B091-6549D0434A88}"/>
            </a:ext>
          </a:extLst>
        </xdr:cNvPr>
        <xdr:cNvSpPr/>
      </xdr:nvSpPr>
      <xdr:spPr>
        <a:xfrm>
          <a:off x="14289677" y="302492229"/>
          <a:ext cx="5934892" cy="863236"/>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concatenate formula, after separating</a:t>
          </a:r>
        </a:p>
      </xdr:txBody>
    </xdr:sp>
    <xdr:clientData/>
  </xdr:twoCellAnchor>
  <xdr:twoCellAnchor>
    <xdr:from>
      <xdr:col>30</xdr:col>
      <xdr:colOff>163286</xdr:colOff>
      <xdr:row>1074</xdr:row>
      <xdr:rowOff>10882</xdr:rowOff>
    </xdr:from>
    <xdr:to>
      <xdr:col>59</xdr:col>
      <xdr:colOff>293915</xdr:colOff>
      <xdr:row>1078</xdr:row>
      <xdr:rowOff>141513</xdr:rowOff>
    </xdr:to>
    <xdr:sp macro="" textlink="">
      <xdr:nvSpPr>
        <xdr:cNvPr id="54" name="Rectangle: Rounded Corners 53">
          <a:extLst>
            <a:ext uri="{FF2B5EF4-FFF2-40B4-BE49-F238E27FC236}">
              <a16:creationId xmlns:a16="http://schemas.microsoft.com/office/drawing/2014/main" id="{B9490BD0-A6BA-480F-A4E0-45A7DD7DFF03}"/>
            </a:ext>
          </a:extLst>
        </xdr:cNvPr>
        <xdr:cNvSpPr/>
      </xdr:nvSpPr>
      <xdr:spPr>
        <a:xfrm>
          <a:off x="7958546" y="314820300"/>
          <a:ext cx="7849689"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body's</a:t>
          </a:r>
          <a:r>
            <a:rPr lang="en-US" sz="1600" i="0" baseline="0">
              <a:solidFill>
                <a:srgbClr val="501E6E"/>
              </a:solidFill>
            </a:rPr>
            <a:t> intuitive shift of energy away from threats to wellbeing and toward seemingly neglected parts of wellbeing</a:t>
          </a:r>
          <a:r>
            <a:rPr lang="en-US" sz="1600" i="0" baseline="0">
              <a:solidFill>
                <a:srgbClr val="00B050"/>
              </a:solidFill>
            </a:rPr>
            <a:t>.</a:t>
          </a:r>
          <a:endParaRPr lang="en-US" sz="1600" i="0">
            <a:solidFill>
              <a:srgbClr val="00B050"/>
            </a:solidFill>
          </a:endParaRPr>
        </a:p>
      </xdr:txBody>
    </xdr:sp>
    <xdr:clientData/>
  </xdr:twoCellAnchor>
  <xdr:twoCellAnchor>
    <xdr:from>
      <xdr:col>58</xdr:col>
      <xdr:colOff>195940</xdr:colOff>
      <xdr:row>1084</xdr:row>
      <xdr:rowOff>152399</xdr:rowOff>
    </xdr:from>
    <xdr:to>
      <xdr:col>80</xdr:col>
      <xdr:colOff>178523</xdr:colOff>
      <xdr:row>1093</xdr:row>
      <xdr:rowOff>76200</xdr:rowOff>
    </xdr:to>
    <xdr:sp macro="" textlink="">
      <xdr:nvSpPr>
        <xdr:cNvPr id="55" name="Rectangle: Rounded Corners 54">
          <a:extLst>
            <a:ext uri="{FF2B5EF4-FFF2-40B4-BE49-F238E27FC236}">
              <a16:creationId xmlns:a16="http://schemas.microsoft.com/office/drawing/2014/main" id="{AFCD89B4-EB6D-41F0-9ADB-13F533A741E4}"/>
            </a:ext>
          </a:extLst>
        </xdr:cNvPr>
        <xdr:cNvSpPr/>
      </xdr:nvSpPr>
      <xdr:spPr>
        <a:xfrm>
          <a:off x="15176860" y="314820300"/>
          <a:ext cx="7831183"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a:t>
          </a:r>
          <a:r>
            <a:rPr lang="en-US" sz="1600" i="0" baseline="0">
              <a:solidFill>
                <a:srgbClr val="501E6E"/>
              </a:solidFill>
            </a:rPr>
            <a:t> shifting energy away from </a:t>
          </a:r>
        </a:p>
        <a:p>
          <a:pPr algn="l"/>
          <a:r>
            <a:rPr lang="en-US" sz="1600" i="0" baseline="0">
              <a:solidFill>
                <a:srgbClr val="501E6E"/>
              </a:solidFill>
            </a:rPr>
            <a:t>too much effort for others, to pull greater effort toward neglected aspects of oneself. You naturally will be depressed, according to this view, when you are coerced by the law to give up being true to yourself, to your actual innocence, to your personal integrity. Together, we can turn this around.</a:t>
          </a:r>
          <a:endParaRPr lang="en-US" sz="1600" i="0">
            <a:solidFill>
              <a:srgbClr val="00B050"/>
            </a:solidFill>
          </a:endParaRPr>
        </a:p>
      </xdr:txBody>
    </xdr:sp>
    <xdr:clientData/>
  </xdr:twoCellAnchor>
  <xdr:twoCellAnchor>
    <xdr:from>
      <xdr:col>37</xdr:col>
      <xdr:colOff>54429</xdr:colOff>
      <xdr:row>1090</xdr:row>
      <xdr:rowOff>43541</xdr:rowOff>
    </xdr:from>
    <xdr:to>
      <xdr:col>51</xdr:col>
      <xdr:colOff>65315</xdr:colOff>
      <xdr:row>1093</xdr:row>
      <xdr:rowOff>43542</xdr:rowOff>
    </xdr:to>
    <xdr:sp macro="" textlink="">
      <xdr:nvSpPr>
        <xdr:cNvPr id="56" name="Rectangle: Rounded Corners 55">
          <a:extLst>
            <a:ext uri="{FF2B5EF4-FFF2-40B4-BE49-F238E27FC236}">
              <a16:creationId xmlns:a16="http://schemas.microsoft.com/office/drawing/2014/main" id="{DF9A4F82-E499-4111-BC1D-56BC78CDCFD6}"/>
            </a:ext>
          </a:extLst>
        </xdr:cNvPr>
        <xdr:cNvSpPr/>
      </xdr:nvSpPr>
      <xdr:spPr>
        <a:xfrm>
          <a:off x="9663249" y="314820300"/>
          <a:ext cx="3432266"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200" i="0" baseline="0">
              <a:solidFill>
                <a:srgbClr val="501E6E"/>
              </a:solidFill>
              <a:latin typeface="Times New Roman" panose="02020603050405020304" pitchFamily="18" charset="0"/>
              <a:cs typeface="Times New Roman" panose="02020603050405020304" pitchFamily="18" charset="0"/>
            </a:rPr>
            <a:t>By </a:t>
          </a:r>
        </a:p>
        <a:p>
          <a:pPr algn="l"/>
          <a:r>
            <a:rPr lang="en-US" sz="1200" i="0" baseline="0">
              <a:solidFill>
                <a:srgbClr val="501E6E"/>
              </a:solidFill>
              <a:latin typeface="Times New Roman" panose="02020603050405020304" pitchFamily="18" charset="0"/>
              <a:cs typeface="Times New Roman" panose="02020603050405020304" pitchFamily="18" charset="0"/>
            </a:rPr>
            <a:t>Overcoming this wrongful conviction </a:t>
          </a:r>
          <a:endParaRPr lang="en-US" sz="1200" i="0">
            <a:solidFill>
              <a:srgbClr val="00B050"/>
            </a:solidFill>
            <a:latin typeface="Times New Roman" panose="02020603050405020304" pitchFamily="18" charset="0"/>
            <a:cs typeface="Times New Roman" panose="02020603050405020304" pitchFamily="18" charset="0"/>
          </a:endParaRPr>
        </a:p>
      </xdr:txBody>
    </xdr:sp>
    <xdr:clientData/>
  </xdr:twoCellAnchor>
  <xdr:twoCellAnchor>
    <xdr:from>
      <xdr:col>43</xdr:col>
      <xdr:colOff>152400</xdr:colOff>
      <xdr:row>954</xdr:row>
      <xdr:rowOff>185052</xdr:rowOff>
    </xdr:from>
    <xdr:to>
      <xdr:col>69</xdr:col>
      <xdr:colOff>232954</xdr:colOff>
      <xdr:row>959</xdr:row>
      <xdr:rowOff>239484</xdr:rowOff>
    </xdr:to>
    <xdr:sp macro="" textlink="">
      <xdr:nvSpPr>
        <xdr:cNvPr id="57" name="Rectangle: Rounded Corners 56">
          <a:extLst>
            <a:ext uri="{FF2B5EF4-FFF2-40B4-BE49-F238E27FC236}">
              <a16:creationId xmlns:a16="http://schemas.microsoft.com/office/drawing/2014/main" id="{262F8D8A-E225-487E-A6C6-33C8CFC0A68E}"/>
            </a:ext>
          </a:extLst>
        </xdr:cNvPr>
        <xdr:cNvSpPr/>
      </xdr:nvSpPr>
      <xdr:spPr>
        <a:xfrm>
          <a:off x="11315700" y="314820300"/>
          <a:ext cx="7845334"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anxiety as a natural response to handling the overwhelming challenges of a wrongful conviction, or any criminal conviction of a dubious nature. If the full weight of the state crashed down upon you like a pile of bricks, each a trusted lie, wouldn't you be anxious? Together, we can turn this around.</a:t>
          </a:r>
          <a:endParaRPr lang="en-US" sz="1600" i="0">
            <a:solidFill>
              <a:srgbClr val="00B050"/>
            </a:solidFill>
          </a:endParaRPr>
        </a:p>
      </xdr:txBody>
    </xdr:sp>
    <xdr:clientData/>
  </xdr:twoCellAnchor>
  <xdr:twoCellAnchor>
    <xdr:from>
      <xdr:col>39</xdr:col>
      <xdr:colOff>217714</xdr:colOff>
      <xdr:row>534</xdr:row>
      <xdr:rowOff>566059</xdr:rowOff>
    </xdr:from>
    <xdr:to>
      <xdr:col>58</xdr:col>
      <xdr:colOff>472439</xdr:colOff>
      <xdr:row>535</xdr:row>
      <xdr:rowOff>537756</xdr:rowOff>
    </xdr:to>
    <xdr:sp macro="" textlink="">
      <xdr:nvSpPr>
        <xdr:cNvPr id="58" name="Rectangle: Rounded Corners 57">
          <a:extLst>
            <a:ext uri="{FF2B5EF4-FFF2-40B4-BE49-F238E27FC236}">
              <a16:creationId xmlns:a16="http://schemas.microsoft.com/office/drawing/2014/main" id="{8331B869-9C61-4165-8D5A-B1B9093F6F7C}"/>
            </a:ext>
          </a:extLst>
        </xdr:cNvPr>
        <xdr:cNvSpPr/>
      </xdr:nvSpPr>
      <xdr:spPr>
        <a:xfrm>
          <a:off x="10344694" y="145528939"/>
          <a:ext cx="5108665" cy="543197"/>
        </a:xfrm>
        <a:prstGeom prst="roundRect">
          <a:avLst>
            <a:gd name="adj" fmla="val 50000"/>
          </a:avLst>
        </a:prstGeom>
        <a:solidFill>
          <a:srgbClr val="B9FFD9">
            <a:alpha val="20000"/>
          </a:srgbClr>
        </a:solidFill>
        <a:ln w="76200">
          <a:solidFill>
            <a:srgbClr val="D088FC"/>
          </a:solidFill>
        </a:ln>
        <a:effectLst>
          <a:glow rad="152400">
            <a:srgbClr val="D088FC">
              <a:alpha val="25000"/>
            </a:srgbClr>
          </a:glow>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28</xdr:col>
      <xdr:colOff>213360</xdr:colOff>
      <xdr:row>290</xdr:row>
      <xdr:rowOff>134985</xdr:rowOff>
    </xdr:from>
    <xdr:to>
      <xdr:col>51</xdr:col>
      <xdr:colOff>185056</xdr:colOff>
      <xdr:row>295</xdr:row>
      <xdr:rowOff>162199</xdr:rowOff>
    </xdr:to>
    <xdr:sp macro="" textlink="">
      <xdr:nvSpPr>
        <xdr:cNvPr id="59" name="Rectangle: Rounded Corners 58">
          <a:extLst>
            <a:ext uri="{FF2B5EF4-FFF2-40B4-BE49-F238E27FC236}">
              <a16:creationId xmlns:a16="http://schemas.microsoft.com/office/drawing/2014/main" id="{4BD05653-36C5-472E-9FA2-188BA46CBFC5}"/>
            </a:ext>
          </a:extLst>
        </xdr:cNvPr>
        <xdr:cNvSpPr/>
      </xdr:nvSpPr>
      <xdr:spPr>
        <a:xfrm>
          <a:off x="7490460" y="79695405"/>
          <a:ext cx="5724796"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42</xdr:col>
      <xdr:colOff>185056</xdr:colOff>
      <xdr:row>535</xdr:row>
      <xdr:rowOff>1643745</xdr:rowOff>
    </xdr:from>
    <xdr:to>
      <xdr:col>60</xdr:col>
      <xdr:colOff>156753</xdr:colOff>
      <xdr:row>535</xdr:row>
      <xdr:rowOff>2192385</xdr:rowOff>
    </xdr:to>
    <xdr:sp macro="" textlink="">
      <xdr:nvSpPr>
        <xdr:cNvPr id="60" name="Rectangle: Rounded Corners 59">
          <a:hlinkClick xmlns:r="http://schemas.openxmlformats.org/officeDocument/2006/relationships" r:id="rId20"/>
          <a:extLst>
            <a:ext uri="{FF2B5EF4-FFF2-40B4-BE49-F238E27FC236}">
              <a16:creationId xmlns:a16="http://schemas.microsoft.com/office/drawing/2014/main" id="{3419AE6A-D85A-4EAF-85E3-E63B8C35CE6F}"/>
            </a:ext>
          </a:extLst>
        </xdr:cNvPr>
        <xdr:cNvSpPr/>
      </xdr:nvSpPr>
      <xdr:spPr>
        <a:xfrm>
          <a:off x="11089276" y="147178125"/>
          <a:ext cx="5115197" cy="5486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36</xdr:col>
      <xdr:colOff>168640</xdr:colOff>
      <xdr:row>1632</xdr:row>
      <xdr:rowOff>112573</xdr:rowOff>
    </xdr:from>
    <xdr:to>
      <xdr:col>50</xdr:col>
      <xdr:colOff>87087</xdr:colOff>
      <xdr:row>1633</xdr:row>
      <xdr:rowOff>326570</xdr:rowOff>
    </xdr:to>
    <xdr:sp macro="" textlink="">
      <xdr:nvSpPr>
        <xdr:cNvPr id="61" name="TextBox 60">
          <a:extLst>
            <a:ext uri="{FF2B5EF4-FFF2-40B4-BE49-F238E27FC236}">
              <a16:creationId xmlns:a16="http://schemas.microsoft.com/office/drawing/2014/main" id="{11024BA6-017C-407F-AF76-AF3A5740D55F}"/>
            </a:ext>
          </a:extLst>
        </xdr:cNvPr>
        <xdr:cNvSpPr txBox="1"/>
      </xdr:nvSpPr>
      <xdr:spPr>
        <a:xfrm>
          <a:off x="9518380" y="348904560"/>
          <a:ext cx="3476987"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1st contact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53</xdr:col>
      <xdr:colOff>364581</xdr:colOff>
      <xdr:row>1632</xdr:row>
      <xdr:rowOff>373831</xdr:rowOff>
    </xdr:from>
    <xdr:to>
      <xdr:col>62</xdr:col>
      <xdr:colOff>163285</xdr:colOff>
      <xdr:row>1635</xdr:row>
      <xdr:rowOff>32657</xdr:rowOff>
    </xdr:to>
    <xdr:sp macro="" textlink="">
      <xdr:nvSpPr>
        <xdr:cNvPr id="62" name="TextBox 61">
          <a:extLst>
            <a:ext uri="{FF2B5EF4-FFF2-40B4-BE49-F238E27FC236}">
              <a16:creationId xmlns:a16="http://schemas.microsoft.com/office/drawing/2014/main" id="{37CDC419-AFED-412D-A0D1-4B75504E68AC}"/>
            </a:ext>
          </a:extLst>
        </xdr:cNvPr>
        <xdr:cNvSpPr txBox="1"/>
      </xdr:nvSpPr>
      <xdr:spPr>
        <a:xfrm>
          <a:off x="13775781" y="348904560"/>
          <a:ext cx="3502024"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qualify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1</xdr:col>
      <xdr:colOff>385354</xdr:colOff>
      <xdr:row>194</xdr:row>
      <xdr:rowOff>152402</xdr:rowOff>
    </xdr:from>
    <xdr:to>
      <xdr:col>3</xdr:col>
      <xdr:colOff>1695994</xdr:colOff>
      <xdr:row>196</xdr:row>
      <xdr:rowOff>114302</xdr:rowOff>
    </xdr:to>
    <xdr:sp macro="" textlink="">
      <xdr:nvSpPr>
        <xdr:cNvPr id="63" name="Rectangle: Rounded Corners 62">
          <a:hlinkClick xmlns:r="http://schemas.openxmlformats.org/officeDocument/2006/relationships" r:id="rId21" tooltip="click to contact this tool creator online"/>
          <a:extLst>
            <a:ext uri="{FF2B5EF4-FFF2-40B4-BE49-F238E27FC236}">
              <a16:creationId xmlns:a16="http://schemas.microsoft.com/office/drawing/2014/main" id="{C9D182BE-CCF9-4667-A0E7-EBF0C7CBEC09}"/>
            </a:ext>
          </a:extLst>
        </xdr:cNvPr>
        <xdr:cNvSpPr/>
      </xdr:nvSpPr>
      <xdr:spPr>
        <a:xfrm>
          <a:off x="644434" y="59016902"/>
          <a:ext cx="4846320" cy="36576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click here to contact me with your feedback to </a:t>
          </a:r>
          <a:r>
            <a:rPr lang="en-US" sz="1600" baseline="0">
              <a:solidFill>
                <a:srgbClr val="501E6E"/>
              </a:solidFill>
            </a:rPr>
            <a:t>this tool</a:t>
          </a:r>
          <a:endParaRPr lang="en-US" sz="1600">
            <a:solidFill>
              <a:srgbClr val="501E6E"/>
            </a:solidFill>
          </a:endParaRPr>
        </a:p>
      </xdr:txBody>
    </xdr:sp>
    <xdr:clientData/>
  </xdr:twoCellAnchor>
  <xdr:twoCellAnchor>
    <xdr:from>
      <xdr:col>72</xdr:col>
      <xdr:colOff>185058</xdr:colOff>
      <xdr:row>1354</xdr:row>
      <xdr:rowOff>133895</xdr:rowOff>
    </xdr:from>
    <xdr:to>
      <xdr:col>85</xdr:col>
      <xdr:colOff>315685</xdr:colOff>
      <xdr:row>1405</xdr:row>
      <xdr:rowOff>0</xdr:rowOff>
    </xdr:to>
    <xdr:sp macro="" textlink="">
      <xdr:nvSpPr>
        <xdr:cNvPr id="64" name="Rectangle: Rounded Corners 63">
          <a:extLst>
            <a:ext uri="{FF2B5EF4-FFF2-40B4-BE49-F238E27FC236}">
              <a16:creationId xmlns:a16="http://schemas.microsoft.com/office/drawing/2014/main" id="{AE17ABFF-7D04-49D4-8331-978FC907791B}"/>
            </a:ext>
          </a:extLst>
        </xdr:cNvPr>
        <xdr:cNvSpPr/>
      </xdr:nvSpPr>
      <xdr:spPr>
        <a:xfrm>
          <a:off x="19890378" y="348904560"/>
          <a:ext cx="6302827" cy="0"/>
        </a:xfrm>
        <a:prstGeom prst="roundRect">
          <a:avLst>
            <a:gd name="adj" fmla="val 5176"/>
          </a:avLst>
        </a:prstGeom>
        <a:solidFill>
          <a:srgbClr val="E2B5FD">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600">
            <a:solidFill>
              <a:srgbClr val="00B050"/>
            </a:solidFill>
          </a:endParaRPr>
        </a:p>
        <a:p>
          <a:pPr algn="l"/>
          <a:r>
            <a:rPr lang="en-US" sz="1600">
              <a:solidFill>
                <a:srgbClr val="00B050"/>
              </a:solidFill>
            </a:rPr>
            <a:t>S</a:t>
          </a:r>
          <a:r>
            <a:rPr lang="en-US" sz="1600" baseline="0">
              <a:solidFill>
                <a:srgbClr val="00B050"/>
              </a:solidFill>
            </a:rPr>
            <a:t>upporter name [FIRST] [LAST]	knows felony/claim</a:t>
          </a:r>
        </a:p>
        <a:p>
          <a:pPr algn="l"/>
          <a:r>
            <a:rPr lang="en-US" sz="1600" baseline="0">
              <a:solidFill>
                <a:srgbClr val="00B050"/>
              </a:solidFill>
            </a:rPr>
            <a:t>Email address		relation to claimant</a:t>
          </a:r>
        </a:p>
        <a:p>
          <a:pPr algn="l"/>
          <a:endParaRPr lang="en-US" sz="1600" baseline="0">
            <a:solidFill>
              <a:srgbClr val="00B050"/>
            </a:solidFill>
          </a:endParaRPr>
        </a:p>
        <a:p>
          <a:pPr algn="l"/>
          <a:r>
            <a:rPr lang="en-US" sz="1600" baseline="0">
              <a:solidFill>
                <a:srgbClr val="00B050"/>
              </a:solidFill>
            </a:rPr>
            <a:t>Invitation sent [DATE] 	Response [LIST OF OPTIONS, from hard </a:t>
          </a:r>
          <a:r>
            <a:rPr lang="en-US" sz="1600" i="1" baseline="0">
              <a:solidFill>
                <a:srgbClr val="00B050"/>
              </a:solidFill>
            </a:rPr>
            <a:t>no</a:t>
          </a:r>
          <a:r>
            <a:rPr lang="en-US" sz="1600" baseline="0">
              <a:solidFill>
                <a:srgbClr val="00B050"/>
              </a:solidFill>
            </a:rPr>
            <a:t> to enthusiastic </a:t>
          </a:r>
          <a:r>
            <a:rPr lang="en-US" sz="1600" i="1" baseline="0">
              <a:solidFill>
                <a:srgbClr val="00B050"/>
              </a:solidFill>
            </a:rPr>
            <a:t>yes</a:t>
          </a:r>
          <a:r>
            <a:rPr lang="en-US" sz="1600" baseline="0">
              <a:solidFill>
                <a:srgbClr val="00B050"/>
              </a:solidFill>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aseline="0">
              <a:solidFill>
                <a:srgbClr val="00B050"/>
              </a:solidFill>
              <a:latin typeface="+mn-lt"/>
              <a:ea typeface="+mn-ea"/>
              <a:cs typeface="+mn-cs"/>
            </a:rPr>
            <a:t>Thank you note sent: [DATE]	Pledge: </a:t>
          </a:r>
        </a:p>
        <a:p>
          <a:pPr algn="l"/>
          <a:endParaRPr lang="en-US" sz="1600" baseline="0">
            <a:solidFill>
              <a:srgbClr val="00B050"/>
            </a:solidFill>
            <a:latin typeface="+mn-lt"/>
            <a:ea typeface="+mn-ea"/>
            <a:cs typeface="+mn-cs"/>
          </a:endParaRPr>
        </a:p>
        <a:p>
          <a:pPr algn="l"/>
          <a:r>
            <a:rPr lang="en-US" sz="1600" baseline="0">
              <a:solidFill>
                <a:srgbClr val="00B050"/>
              </a:solidFill>
            </a:rPr>
            <a:t>Contribution terms [linked from supporter # tab]</a:t>
          </a:r>
        </a:p>
        <a:p>
          <a:pPr algn="l"/>
          <a:r>
            <a:rPr lang="en-US" sz="1600" baseline="0">
              <a:solidFill>
                <a:srgbClr val="00B050"/>
              </a:solidFill>
            </a:rPr>
            <a:t>Frequency limit: </a:t>
          </a:r>
        </a:p>
        <a:p>
          <a:pPr algn="l"/>
          <a:r>
            <a:rPr lang="en-US" sz="1600" baseline="0">
              <a:solidFill>
                <a:srgbClr val="00B050"/>
              </a:solidFill>
            </a:rPr>
            <a:t>Minimum: 	</a:t>
          </a:r>
        </a:p>
        <a:p>
          <a:pPr algn="l"/>
          <a:r>
            <a:rPr lang="en-US" sz="1600" baseline="0">
              <a:solidFill>
                <a:srgbClr val="00B050"/>
              </a:solidFill>
            </a:rPr>
            <a:t>Maximum per [week/month]: </a:t>
          </a:r>
        </a:p>
        <a:p>
          <a:pPr algn="l"/>
          <a:r>
            <a:rPr lang="en-US" sz="1600" baseline="0">
              <a:solidFill>
                <a:srgbClr val="00B050"/>
              </a:solidFill>
            </a:rPr>
            <a:t>Contribution split: </a:t>
          </a:r>
        </a:p>
        <a:p>
          <a:pPr algn="l"/>
          <a:endParaRPr lang="en-US" sz="1600" baseline="0">
            <a:solidFill>
              <a:srgbClr val="00B050"/>
            </a:solidFill>
          </a:endParaRPr>
        </a:p>
        <a:p>
          <a:pPr algn="ctr"/>
          <a:endParaRPr lang="en-US" sz="1600" baseline="0">
            <a:solidFill>
              <a:srgbClr val="00B050"/>
            </a:solidFill>
          </a:endParaRPr>
        </a:p>
      </xdr:txBody>
    </xdr:sp>
    <xdr:clientData/>
  </xdr:twoCellAnchor>
  <xdr:twoCellAnchor>
    <xdr:from>
      <xdr:col>29</xdr:col>
      <xdr:colOff>74023</xdr:colOff>
      <xdr:row>1267</xdr:row>
      <xdr:rowOff>124098</xdr:rowOff>
    </xdr:from>
    <xdr:to>
      <xdr:col>51</xdr:col>
      <xdr:colOff>131717</xdr:colOff>
      <xdr:row>1281</xdr:row>
      <xdr:rowOff>29391</xdr:rowOff>
    </xdr:to>
    <xdr:sp macro="" textlink="">
      <xdr:nvSpPr>
        <xdr:cNvPr id="65" name="TextBox 64">
          <a:extLst>
            <a:ext uri="{FF2B5EF4-FFF2-40B4-BE49-F238E27FC236}">
              <a16:creationId xmlns:a16="http://schemas.microsoft.com/office/drawing/2014/main" id="{9CB27979-1DC2-4C7C-8178-8572E3DDC48E}"/>
            </a:ext>
          </a:extLst>
        </xdr:cNvPr>
        <xdr:cNvSpPr txBox="1"/>
      </xdr:nvSpPr>
      <xdr:spPr>
        <a:xfrm>
          <a:off x="7610203" y="342574518"/>
          <a:ext cx="5551714" cy="2244633"/>
        </a:xfrm>
        <a:prstGeom prst="rect">
          <a:avLst/>
        </a:prstGeom>
        <a:solidFill>
          <a:srgbClr val="D7FFF0"/>
        </a:solid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200">
              <a:solidFill>
                <a:schemeClr val="dk1"/>
              </a:solidFill>
              <a:effectLst/>
              <a:latin typeface="Times New Roman" panose="02020603050405020304" pitchFamily="18" charset="0"/>
              <a:ea typeface="+mn-ea"/>
              <a:cs typeface="Times New Roman" panose="02020603050405020304" pitchFamily="18" charset="0"/>
            </a:rPr>
            <a:t>You have the option to </a:t>
          </a:r>
          <a:r>
            <a:rPr lang="en-US" sz="1200" b="1">
              <a:solidFill>
                <a:schemeClr val="dk1"/>
              </a:solidFill>
              <a:effectLst/>
              <a:latin typeface="Times New Roman" panose="02020603050405020304" pitchFamily="18" charset="0"/>
              <a:ea typeface="+mn-ea"/>
              <a:cs typeface="Times New Roman" panose="02020603050405020304" pitchFamily="18" charset="0"/>
            </a:rPr>
            <a:t>Do It Yourself </a:t>
          </a:r>
          <a:r>
            <a:rPr lang="en-US" sz="1200">
              <a:solidFill>
                <a:schemeClr val="dk1"/>
              </a:solidFill>
              <a:effectLst/>
              <a:latin typeface="Times New Roman" panose="02020603050405020304" pitchFamily="18" charset="0"/>
              <a:ea typeface="+mn-ea"/>
              <a:cs typeface="Times New Roman" panose="02020603050405020304" pitchFamily="18" charset="0"/>
            </a:rPr>
            <a:t>and go it alone. Fill out this form,</a:t>
          </a:r>
          <a:r>
            <a:rPr lang="en-US" sz="1200" baseline="0">
              <a:solidFill>
                <a:schemeClr val="dk1"/>
              </a:solidFill>
              <a:effectLst/>
              <a:latin typeface="Times New Roman" panose="02020603050405020304" pitchFamily="18" charset="0"/>
              <a:ea typeface="+mn-ea"/>
              <a:cs typeface="Times New Roman" panose="02020603050405020304" pitchFamily="18" charset="0"/>
            </a:rPr>
            <a:t> and use it to notify employers, landlords and debt collectors of your highly estimated innocence. You locate the co</a:t>
          </a:r>
          <a:r>
            <a:rPr lang="en-US" sz="1200">
              <a:solidFill>
                <a:schemeClr val="dk1"/>
              </a:solidFill>
              <a:effectLst/>
              <a:latin typeface="Times New Roman" panose="02020603050405020304" pitchFamily="18" charset="0"/>
              <a:ea typeface="+mn-ea"/>
              <a:cs typeface="Times New Roman" panose="02020603050405020304" pitchFamily="18" charset="0"/>
            </a:rPr>
            <a:t>ntact information yourself and</a:t>
          </a:r>
          <a:r>
            <a:rPr lang="en-US" sz="1200" baseline="0">
              <a:solidFill>
                <a:schemeClr val="dk1"/>
              </a:solidFill>
              <a:effectLst/>
              <a:latin typeface="Times New Roman" panose="02020603050405020304" pitchFamily="18" charset="0"/>
              <a:ea typeface="+mn-ea"/>
              <a:cs typeface="Times New Roman" panose="02020603050405020304" pitchFamily="18" charset="0"/>
            </a:rPr>
            <a:t> then send the notifications, using the steps above.</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pPr algn="l"/>
          <a:r>
            <a:rPr lang="en-US" sz="1200" baseline="0">
              <a:solidFill>
                <a:schemeClr val="dk1"/>
              </a:solidFill>
              <a:effectLst/>
              <a:latin typeface="Times New Roman" panose="02020603050405020304" pitchFamily="18" charset="0"/>
              <a:ea typeface="+mn-ea"/>
              <a:cs typeface="Times New Roman" panose="02020603050405020304" pitchFamily="18" charset="0"/>
            </a:rPr>
            <a:t>First, fill in the information in the </a:t>
          </a:r>
          <a:r>
            <a:rPr lang="en-US" sz="12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Notifying</a:t>
          </a:r>
          <a:r>
            <a:rPr lang="en-US" sz="1200" baseline="0">
              <a:solidFill>
                <a:schemeClr val="dk1"/>
              </a:solidFill>
              <a:effectLst/>
              <a:latin typeface="Times New Roman" panose="02020603050405020304" pitchFamily="18" charset="0"/>
              <a:ea typeface="+mn-ea"/>
              <a:cs typeface="Times New Roman" panose="02020603050405020304" pitchFamily="18" charset="0"/>
            </a:rPr>
            <a:t> section below (K). Information you enter there automatically creates each notification in the "AI0#" tabs. Review each created notification, make sure it says what you need it to say. </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r>
            <a:rPr lang="en-US" sz="1200" baseline="0">
              <a:solidFill>
                <a:schemeClr val="dk1"/>
              </a:solidFill>
              <a:effectLst/>
              <a:latin typeface="Times New Roman" panose="02020603050405020304" pitchFamily="18" charset="0"/>
              <a:ea typeface="+mn-ea"/>
              <a:cs typeface="Times New Roman" panose="02020603050405020304" pitchFamily="18" charset="0"/>
            </a:rPr>
            <a:t>If your estimated score is relatively high, this may be all you need. If not, we strongly recommend the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FREE to start, we work with you to attact support. That support helps cover the costs, and share in some of the benefits. Learn about it more below.</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140426</xdr:colOff>
      <xdr:row>1305</xdr:row>
      <xdr:rowOff>80554</xdr:rowOff>
    </xdr:from>
    <xdr:to>
      <xdr:col>3</xdr:col>
      <xdr:colOff>1920240</xdr:colOff>
      <xdr:row>1351</xdr:row>
      <xdr:rowOff>43543</xdr:rowOff>
    </xdr:to>
    <xdr:sp macro="" textlink="">
      <xdr:nvSpPr>
        <xdr:cNvPr id="66" name="TextBox 65">
          <a:extLst>
            <a:ext uri="{FF2B5EF4-FFF2-40B4-BE49-F238E27FC236}">
              <a16:creationId xmlns:a16="http://schemas.microsoft.com/office/drawing/2014/main" id="{BF02B77D-7373-46C9-A8F2-78CAC454D8E3}"/>
            </a:ext>
          </a:extLst>
        </xdr:cNvPr>
        <xdr:cNvSpPr txBox="1"/>
      </xdr:nvSpPr>
      <xdr:spPr>
        <a:xfrm>
          <a:off x="140426" y="348904560"/>
          <a:ext cx="5574574" cy="0"/>
        </a:xfrm>
        <a:prstGeom prst="rect">
          <a:avLst/>
        </a:prstGeom>
        <a:no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Plan</a:t>
          </a:r>
          <a:r>
            <a:rPr lang="en-US" sz="1600" b="1">
              <a:ln>
                <a:noFill/>
              </a:ln>
              <a:noFill/>
              <a:effectLst/>
              <a:latin typeface="Tahoma" panose="020B0604030504040204" pitchFamily="34" charset="0"/>
              <a:ea typeface="Tahoma" panose="020B0604030504040204" pitchFamily="34" charset="0"/>
              <a:cs typeface="Tahoma" panose="020B0604030504040204" pitchFamily="34" charset="0"/>
            </a:rPr>
            <a:t> </a:t>
          </a:r>
          <a:r>
            <a:rPr lang="en-US" sz="16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rPr>
            <a:t>start for Free</a:t>
          </a:r>
          <a:endParaRPr lang="en-US" sz="11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Tragically, wrongful convictions destroy one’s credibility. Once accused, your protests of innocence sound self-serving as if avoiding responsibility. You know perfectly well that’s not the </a:t>
          </a:r>
          <a:r>
            <a:rPr lang="en-US" sz="1200" baseline="0">
              <a:solidFill>
                <a:schemeClr val="dk1"/>
              </a:solidFill>
              <a:effectLst/>
              <a:latin typeface="Times New Roman" panose="02020603050405020304" pitchFamily="18" charset="0"/>
              <a:ea typeface="+mn-ea"/>
              <a:cs typeface="Times New Roman" panose="02020603050405020304" pitchFamily="18" charset="0"/>
            </a:rPr>
            <a:t>case.</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Wrongful convictions also undermine earning capacity. An unearned felony robs one of eaerned income potential, to afford needed services. Talk about injustice!</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This service provides a way for overcoming both!</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The</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has you, t</a:t>
          </a:r>
          <a:r>
            <a:rPr lang="en-US" sz="1200">
              <a:solidFill>
                <a:schemeClr val="dk1"/>
              </a:solidFill>
              <a:effectLst/>
              <a:latin typeface="Times New Roman" panose="02020603050405020304" pitchFamily="18" charset="0"/>
              <a:ea typeface="+mn-ea"/>
              <a:cs typeface="Times New Roman" panose="02020603050405020304" pitchFamily="18" charset="0"/>
            </a:rPr>
            <a:t>he wrongly convicted, build up a support team for both the social capital to demonstrate your innocence </a:t>
          </a:r>
          <a:r>
            <a:rPr lang="en-US" sz="1200" i="1">
              <a:solidFill>
                <a:schemeClr val="dk1"/>
              </a:solidFill>
              <a:effectLst/>
              <a:latin typeface="Times New Roman" panose="02020603050405020304" pitchFamily="18" charset="0"/>
              <a:ea typeface="+mn-ea"/>
              <a:cs typeface="Times New Roman" panose="02020603050405020304" pitchFamily="18" charset="0"/>
            </a:rPr>
            <a:t>and</a:t>
          </a:r>
          <a:r>
            <a:rPr lang="en-US" sz="1200">
              <a:solidFill>
                <a:schemeClr val="dk1"/>
              </a:solidFill>
              <a:effectLst/>
              <a:latin typeface="Times New Roman" panose="02020603050405020304" pitchFamily="18" charset="0"/>
              <a:ea typeface="+mn-ea"/>
              <a:cs typeface="Times New Roman" panose="02020603050405020304" pitchFamily="18" charset="0"/>
            </a:rPr>
            <a:t> to help share in the costs and returns in needed services. Services like this one. At least that’s how it stands right now.</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Together, we'll:</a:t>
          </a:r>
        </a:p>
        <a:p>
          <a:r>
            <a:rPr lang="en-US" sz="1200">
              <a:solidFill>
                <a:schemeClr val="dk1"/>
              </a:solidFill>
              <a:effectLst/>
              <a:latin typeface="Times New Roman" panose="02020603050405020304" pitchFamily="18" charset="0"/>
              <a:ea typeface="+mn-ea"/>
              <a:cs typeface="Times New Roman" panose="02020603050405020304" pitchFamily="18" charset="0"/>
            </a:rPr>
            <a:t>1.  spot your most pressing needs, </a:t>
          </a:r>
        </a:p>
        <a:p>
          <a:r>
            <a:rPr lang="en-US" sz="1200">
              <a:solidFill>
                <a:schemeClr val="dk1"/>
              </a:solidFill>
              <a:effectLst/>
              <a:latin typeface="Times New Roman" panose="02020603050405020304" pitchFamily="18" charset="0"/>
              <a:ea typeface="+mn-ea"/>
              <a:cs typeface="Times New Roman" panose="02020603050405020304" pitchFamily="18" charset="0"/>
            </a:rPr>
            <a:t>2.  draft a plan to fit your situation, and to best serve your specific needs,</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3.  build the support necessary to meet</a:t>
          </a:r>
          <a:r>
            <a:rPr lang="en-US" sz="1200" baseline="0">
              <a:solidFill>
                <a:schemeClr val="dk1"/>
              </a:solidFill>
              <a:effectLst/>
              <a:latin typeface="Times New Roman" panose="02020603050405020304" pitchFamily="18" charset="0"/>
              <a:ea typeface="+mn-ea"/>
              <a:cs typeface="Times New Roman" panose="02020603050405020304" pitchFamily="18" charset="0"/>
            </a:rPr>
            <a:t> those needs,</a:t>
          </a:r>
          <a:r>
            <a:rPr lang="en-US" sz="1200">
              <a:solidFill>
                <a:schemeClr val="dk1"/>
              </a:solidFill>
              <a:effectLst/>
              <a:latin typeface="Times New Roman" panose="02020603050405020304" pitchFamily="18" charset="0"/>
              <a:ea typeface="+mn-ea"/>
              <a:cs typeface="Times New Roman" panose="02020603050405020304" pitchFamily="18" charset="0"/>
            </a:rPr>
            <a:t> to finally</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4.  compel others to respond to these neglected needs in mutually beneficial ways. </a:t>
          </a: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400" b="1">
              <a:solidFill>
                <a:schemeClr val="dk1"/>
              </a:solidFill>
              <a:effectLst/>
              <a:latin typeface="+mn-lt"/>
              <a:ea typeface="+mn-ea"/>
              <a:cs typeface="Times New Roman" panose="02020603050405020304" pitchFamily="18" charset="0"/>
            </a:rPr>
            <a:t>Step 1</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Together,</a:t>
          </a:r>
          <a:r>
            <a:rPr lang="en-US" sz="1200" baseline="0">
              <a:solidFill>
                <a:schemeClr val="dk1"/>
              </a:solidFill>
              <a:effectLst/>
              <a:latin typeface="Times New Roman" panose="02020603050405020304" pitchFamily="18" charset="0"/>
              <a:ea typeface="+mn-ea"/>
              <a:cs typeface="Times New Roman" panose="02020603050405020304" pitchFamily="18" charset="0"/>
            </a:rPr>
            <a:t> we get our foot in the door. We compel notified employers, landlords and/or debt collectors to take notice of the unkind impact they are having on you. To avoid the risk of bad publicity, we expect them to respond.</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We start out by exchanging messages through email. Our first exchange is FREE. We invite you to name a "proxy" who can support you through this process. Someone you can trust as you risk reliving this painful past.</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The next email exchange only costs you and your proxy $5. If we agree this process is a good fit for you, you will start building a support team. You invite each one using the supporter tabs, much like the notification tabs. As the value of this service to you rises, they bear the increased costs--and share in some of its rewards.</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Eventually, we shift to group video-chat ($100 each). Each dollar invested gets tracked. If your support team finds it's worth it, why not others? We will use that to persuade others to invest in you as well.</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Your rebuilt life will become an attractive investment. If an employer passes you over, we can make sure their competitors will see your re-emerging value.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If we reach step two, we convince</a:t>
          </a:r>
          <a:r>
            <a:rPr lang="en-US" sz="1200" baseline="0">
              <a:solidFill>
                <a:schemeClr val="dk1"/>
              </a:solidFill>
              <a:effectLst/>
              <a:latin typeface="Times New Roman" panose="02020603050405020304" pitchFamily="18" charset="0"/>
              <a:ea typeface="+mn-ea"/>
              <a:cs typeface="Times New Roman" panose="02020603050405020304" pitchFamily="18" charset="0"/>
            </a:rPr>
            <a:t> the notified parties to start investing in your rebuilt life. To not only hire you or rent to you or negotiate debt with you, but to actively see you do better. Why would they willingly invest in you? By then, we will make it hard for them to say 'no'. </a:t>
          </a: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52</xdr:col>
      <xdr:colOff>91440</xdr:colOff>
      <xdr:row>1261</xdr:row>
      <xdr:rowOff>7620</xdr:rowOff>
    </xdr:from>
    <xdr:to>
      <xdr:col>69</xdr:col>
      <xdr:colOff>137160</xdr:colOff>
      <xdr:row>1281</xdr:row>
      <xdr:rowOff>38100</xdr:rowOff>
    </xdr:to>
    <xdr:sp macro="" textlink="">
      <xdr:nvSpPr>
        <xdr:cNvPr id="67" name="TextBox 66">
          <a:extLst>
            <a:ext uri="{FF2B5EF4-FFF2-40B4-BE49-F238E27FC236}">
              <a16:creationId xmlns:a16="http://schemas.microsoft.com/office/drawing/2014/main" id="{483CC4FC-8028-4DC4-A19C-C7A01C8F008D}"/>
            </a:ext>
          </a:extLst>
        </xdr:cNvPr>
        <xdr:cNvSpPr txBox="1"/>
      </xdr:nvSpPr>
      <xdr:spPr>
        <a:xfrm>
          <a:off x="13380720" y="341406480"/>
          <a:ext cx="5684520" cy="3421380"/>
        </a:xfrm>
        <a:prstGeom prst="rect">
          <a:avLst/>
        </a:prstGeom>
        <a:solidFill>
          <a:srgbClr val="EBFDC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Times New Roman" panose="02020603050405020304" pitchFamily="18" charset="0"/>
            </a:rPr>
            <a:t>Step 1</a:t>
          </a:r>
        </a:p>
        <a:p>
          <a:r>
            <a:rPr lang="en-US" sz="1100">
              <a:solidFill>
                <a:schemeClr val="dk1"/>
              </a:solidFill>
              <a:effectLst/>
              <a:latin typeface="Times New Roman" panose="02020603050405020304" pitchFamily="18" charset="0"/>
              <a:ea typeface="+mn-ea"/>
              <a:cs typeface="Times New Roman" panose="02020603050405020304" pitchFamily="18" charset="0"/>
            </a:rPr>
            <a:t>Text-based</a:t>
          </a:r>
          <a:r>
            <a:rPr lang="en-US" sz="1100" baseline="0">
              <a:solidFill>
                <a:schemeClr val="dk1"/>
              </a:solidFill>
              <a:effectLst/>
              <a:latin typeface="Times New Roman" panose="02020603050405020304" pitchFamily="18" charset="0"/>
              <a:ea typeface="+mn-ea"/>
              <a:cs typeface="Times New Roman" panose="02020603050405020304" pitchFamily="18" charset="0"/>
            </a:rPr>
            <a:t> interactions.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Name someone to serve as your proxy, someone you can trust to serve your needs when you cannot be fully present. For prisoners,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out of prison, but still in some form of monitored custody,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beyond state custody, </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r>
            <a:rPr lang="en-US" sz="1100">
              <a:solidFill>
                <a:schemeClr val="dk1"/>
              </a:solidFill>
              <a:effectLst/>
              <a:latin typeface="Times New Roman" panose="02020603050405020304" pitchFamily="18" charset="0"/>
              <a:ea typeface="+mn-ea"/>
              <a:cs typeface="Times New Roman" panose="02020603050405020304" pitchFamily="18" charset="0"/>
            </a:rPr>
            <a:t>Video-conferencing</a:t>
          </a:r>
          <a:r>
            <a:rPr lang="en-US" sz="1100" baseline="0">
              <a:solidFill>
                <a:schemeClr val="dk1"/>
              </a:solidFill>
              <a:effectLst/>
              <a:latin typeface="Times New Roman" panose="02020603050405020304" pitchFamily="18" charset="0"/>
              <a:ea typeface="+mn-ea"/>
              <a:cs typeface="Times New Roman" panose="02020603050405020304" pitchFamily="18" charset="0"/>
            </a:rPr>
            <a:t> group support.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impact engaging, options array</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3</a:t>
          </a:r>
        </a:p>
      </xdr:txBody>
    </xdr:sp>
    <xdr:clientData/>
  </xdr:twoCellAnchor>
  <xdr:twoCellAnchor>
    <xdr:from>
      <xdr:col>33</xdr:col>
      <xdr:colOff>209005</xdr:colOff>
      <xdr:row>1292</xdr:row>
      <xdr:rowOff>167640</xdr:rowOff>
    </xdr:from>
    <xdr:to>
      <xdr:col>55</xdr:col>
      <xdr:colOff>323306</xdr:colOff>
      <xdr:row>1301</xdr:row>
      <xdr:rowOff>45721</xdr:rowOff>
    </xdr:to>
    <xdr:sp macro="" textlink="">
      <xdr:nvSpPr>
        <xdr:cNvPr id="68" name="TextBox 67">
          <a:extLst>
            <a:ext uri="{FF2B5EF4-FFF2-40B4-BE49-F238E27FC236}">
              <a16:creationId xmlns:a16="http://schemas.microsoft.com/office/drawing/2014/main" id="{987B7B32-C51A-4A10-ACA6-6026FBBF438C}"/>
            </a:ext>
          </a:extLst>
        </xdr:cNvPr>
        <xdr:cNvSpPr txBox="1"/>
      </xdr:nvSpPr>
      <xdr:spPr>
        <a:xfrm>
          <a:off x="8781505" y="346885260"/>
          <a:ext cx="5539741" cy="1539241"/>
        </a:xfrm>
        <a:prstGeom prst="rect">
          <a:avLst/>
        </a:prstGeom>
        <a:solidFill>
          <a:srgbClr val="B9FFD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B050"/>
              </a:solidFill>
              <a:effectLst/>
              <a:latin typeface="+mn-lt"/>
              <a:ea typeface="+mn-ea"/>
              <a:cs typeface="Times New Roman" panose="02020603050405020304" pitchFamily="18" charset="0"/>
            </a:rPr>
            <a:t>Benefits of going with the </a:t>
          </a:r>
          <a:r>
            <a:rPr lang="en-US" sz="1600" b="1">
              <a:solidFill>
                <a:schemeClr val="dk1"/>
              </a:solidFill>
              <a:effectLst/>
              <a:latin typeface="+mn-lt"/>
              <a:ea typeface="+mn-ea"/>
              <a:cs typeface="Times New Roman" panose="02020603050405020304" pitchFamily="18" charset="0"/>
            </a:rPr>
            <a:t>Plan</a:t>
          </a:r>
          <a:endParaRPr lang="en-US" sz="1400" b="1">
            <a:solidFill>
              <a:schemeClr val="dk1"/>
            </a:solidFill>
            <a:effectLst/>
            <a:latin typeface="+mn-lt"/>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a:solidFill>
                <a:schemeClr val="dk1"/>
              </a:solidFill>
              <a:effectLst/>
              <a:latin typeface="Times New Roman" panose="02020603050405020304" pitchFamily="18" charset="0"/>
              <a:ea typeface="+mn-ea"/>
              <a:cs typeface="Times New Roman" panose="02020603050405020304" pitchFamily="18" charset="0"/>
            </a:rPr>
            <a:t>own your data</a:t>
          </a:r>
        </a:p>
        <a:p>
          <a:r>
            <a:rPr lang="en-US" sz="1200">
              <a:solidFill>
                <a:schemeClr val="dk1"/>
              </a:solidFill>
              <a:effectLst/>
              <a:latin typeface="Times New Roman" panose="02020603050405020304" pitchFamily="18" charset="0"/>
              <a:ea typeface="+mn-ea"/>
              <a:cs typeface="Times New Roman" panose="02020603050405020304" pitchFamily="18" charset="0"/>
            </a:rPr>
            <a:t>-- improve your marketable value</a:t>
          </a:r>
        </a:p>
        <a:p>
          <a:r>
            <a:rPr lang="en-US" sz="1200">
              <a:solidFill>
                <a:schemeClr val="dk1"/>
              </a:solidFill>
              <a:effectLst/>
              <a:latin typeface="Times New Roman" panose="02020603050405020304" pitchFamily="18" charset="0"/>
              <a:ea typeface="+mn-ea"/>
              <a:cs typeface="Times New Roman" panose="02020603050405020304" pitchFamily="18" charset="0"/>
            </a:rPr>
            <a:t>-- receive engaging support from others who believe</a:t>
          </a:r>
          <a:r>
            <a:rPr lang="en-US" sz="1200" baseline="0">
              <a:solidFill>
                <a:schemeClr val="dk1"/>
              </a:solidFill>
              <a:effectLst/>
              <a:latin typeface="Times New Roman" panose="02020603050405020304" pitchFamily="18" charset="0"/>
              <a:ea typeface="+mn-ea"/>
              <a:cs typeface="Times New Roman" panose="02020603050405020304" pitchFamily="18" charset="0"/>
            </a:rPr>
            <a:t> you are innocent</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 disover</a:t>
          </a:r>
          <a:r>
            <a:rPr lang="en-US" sz="1200" baseline="0">
              <a:solidFill>
                <a:schemeClr val="dk1"/>
              </a:solidFill>
              <a:effectLst/>
              <a:latin typeface="Times New Roman" panose="02020603050405020304" pitchFamily="18" charset="0"/>
              <a:ea typeface="+mn-ea"/>
              <a:cs typeface="Times New Roman" panose="02020603050405020304" pitchFamily="18" charset="0"/>
            </a:rPr>
            <a:t> capacities you never knew you had</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find opportunties to earn doing what you passionatley enjoy doing for others</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learn to make life happen (rather than let life happen to you)</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37</xdr:col>
      <xdr:colOff>213360</xdr:colOff>
      <xdr:row>934</xdr:row>
      <xdr:rowOff>60960</xdr:rowOff>
    </xdr:from>
    <xdr:to>
      <xdr:col>58</xdr:col>
      <xdr:colOff>373380</xdr:colOff>
      <xdr:row>936</xdr:row>
      <xdr:rowOff>129540</xdr:rowOff>
    </xdr:to>
    <xdr:sp macro="" textlink="">
      <xdr:nvSpPr>
        <xdr:cNvPr id="69" name="TextBox 68">
          <a:extLst>
            <a:ext uri="{FF2B5EF4-FFF2-40B4-BE49-F238E27FC236}">
              <a16:creationId xmlns:a16="http://schemas.microsoft.com/office/drawing/2014/main" id="{96083560-1D74-418E-936F-340AD2FD130A}"/>
            </a:ext>
          </a:extLst>
        </xdr:cNvPr>
        <xdr:cNvSpPr txBox="1"/>
      </xdr:nvSpPr>
      <xdr:spPr>
        <a:xfrm>
          <a:off x="9822180" y="308160420"/>
          <a:ext cx="5532120" cy="5204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 neighborhood child drew curious, peeping into Janet’s window to gawk at what she called the "man with lipstick." When caught not being home on time, the child leveled bizarre claims of sex abuse unbecoming from a child. Exposed to porn?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The child then dragged Steph into her transphobic accusations. The child claimed Steph posed with her as if she, the young child, was stabbing Steph in the chest with a butter knife. She claimed this was to scare her from talking to police, that we would say she was the aggressor. Unbelievable? Not if you already believe trans people are subhuman.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Child testimonies back then were often coached. Trans people were easily vilified. Since no corroborating evidence was necessary back then to convict for sexual misconduct, both transwomen were wrongly convicted and sentenced to long terms in men’s prisons, where Steph’s transgender sibling and codefendant died in 2001.</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 </a:t>
          </a:r>
          <a:endParaRPr lang="en-US" sz="900"/>
        </a:p>
      </xdr:txBody>
    </xdr:sp>
    <xdr:clientData/>
  </xdr:twoCellAnchor>
  <xdr:twoCellAnchor>
    <xdr:from>
      <xdr:col>34</xdr:col>
      <xdr:colOff>163830</xdr:colOff>
      <xdr:row>934</xdr:row>
      <xdr:rowOff>4259580</xdr:rowOff>
    </xdr:from>
    <xdr:to>
      <xdr:col>53</xdr:col>
      <xdr:colOff>367665</xdr:colOff>
      <xdr:row>934</xdr:row>
      <xdr:rowOff>4558665</xdr:rowOff>
    </xdr:to>
    <xdr:sp macro="" textlink="">
      <xdr:nvSpPr>
        <xdr:cNvPr id="70" name="Rectangle: Beveled 69">
          <a:extLst>
            <a:ext uri="{FF2B5EF4-FFF2-40B4-BE49-F238E27FC236}">
              <a16:creationId xmlns:a16="http://schemas.microsoft.com/office/drawing/2014/main" id="{7580888C-5B27-4812-B4C8-310FBF9CB777}"/>
            </a:ext>
          </a:extLst>
        </xdr:cNvPr>
        <xdr:cNvSpPr/>
      </xdr:nvSpPr>
      <xdr:spPr>
        <a:xfrm>
          <a:off x="8995410" y="312359040"/>
          <a:ext cx="4783455" cy="299085"/>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53</xdr:col>
      <xdr:colOff>278947</xdr:colOff>
      <xdr:row>944</xdr:row>
      <xdr:rowOff>119471</xdr:rowOff>
    </xdr:from>
    <xdr:to>
      <xdr:col>70</xdr:col>
      <xdr:colOff>179887</xdr:colOff>
      <xdr:row>1125</xdr:row>
      <xdr:rowOff>306979</xdr:rowOff>
    </xdr:to>
    <xdr:sp macro="" textlink="">
      <xdr:nvSpPr>
        <xdr:cNvPr id="71" name="Rectangle: Rounded Corners 70">
          <a:extLst>
            <a:ext uri="{FF2B5EF4-FFF2-40B4-BE49-F238E27FC236}">
              <a16:creationId xmlns:a16="http://schemas.microsoft.com/office/drawing/2014/main" id="{ECC20E14-CA7D-4B69-B3AE-718F07686767}"/>
            </a:ext>
          </a:extLst>
        </xdr:cNvPr>
        <xdr:cNvSpPr/>
      </xdr:nvSpPr>
      <xdr:spPr>
        <a:xfrm>
          <a:off x="13690147" y="314817851"/>
          <a:ext cx="5676900" cy="309428"/>
        </a:xfrm>
        <a:prstGeom prst="roundRect">
          <a:avLst>
            <a:gd name="adj" fmla="val 5176"/>
          </a:avLst>
        </a:prstGeom>
        <a:solidFill>
          <a:srgbClr val="F19B61">
            <a:alpha val="12157"/>
          </a:srgbClr>
        </a:solidFill>
        <a:ln w="1905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COUNTS</a:t>
          </a:r>
          <a:r>
            <a:rPr lang="en-US" sz="1600" baseline="0">
              <a:solidFill>
                <a:srgbClr val="00B050"/>
              </a:solidFill>
            </a:rPr>
            <a:t> BLANK FIELDS OF QUESTIONNAIRE</a:t>
          </a:r>
          <a:endParaRPr lang="en-US" sz="1600">
            <a:solidFill>
              <a:srgbClr val="00B050"/>
            </a:solidFill>
          </a:endParaRPr>
        </a:p>
      </xdr:txBody>
    </xdr:sp>
    <xdr:clientData/>
  </xdr:twoCellAnchor>
  <xdr:twoCellAnchor>
    <xdr:from>
      <xdr:col>0</xdr:col>
      <xdr:colOff>7620</xdr:colOff>
      <xdr:row>77</xdr:row>
      <xdr:rowOff>144780</xdr:rowOff>
    </xdr:from>
    <xdr:to>
      <xdr:col>1</xdr:col>
      <xdr:colOff>15240</xdr:colOff>
      <xdr:row>77</xdr:row>
      <xdr:rowOff>441960</xdr:rowOff>
    </xdr:to>
    <xdr:sp macro="" textlink="">
      <xdr:nvSpPr>
        <xdr:cNvPr id="72" name="Arrow: Down 71">
          <a:hlinkClick xmlns:r="http://schemas.openxmlformats.org/officeDocument/2006/relationships" r:id="rId22" tooltip="FLIPSIDE entry"/>
          <a:extLst>
            <a:ext uri="{FF2B5EF4-FFF2-40B4-BE49-F238E27FC236}">
              <a16:creationId xmlns:a16="http://schemas.microsoft.com/office/drawing/2014/main" id="{861E1376-36CC-4B8A-8366-C587E9B353A9}"/>
            </a:ext>
          </a:extLst>
        </xdr:cNvPr>
        <xdr:cNvSpPr/>
      </xdr:nvSpPr>
      <xdr:spPr>
        <a:xfrm>
          <a:off x="7620" y="2448306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247650</xdr:colOff>
      <xdr:row>85</xdr:row>
      <xdr:rowOff>85725</xdr:rowOff>
    </xdr:from>
    <xdr:to>
      <xdr:col>3</xdr:col>
      <xdr:colOff>1933575</xdr:colOff>
      <xdr:row>91</xdr:row>
      <xdr:rowOff>206253</xdr:rowOff>
    </xdr:to>
    <xdr:sp macro="" textlink="">
      <xdr:nvSpPr>
        <xdr:cNvPr id="73" name="Text Box 4">
          <a:extLst>
            <a:ext uri="{FF2B5EF4-FFF2-40B4-BE49-F238E27FC236}">
              <a16:creationId xmlns:a16="http://schemas.microsoft.com/office/drawing/2014/main" id="{6797F308-503C-4082-9E80-5DBAFE30C515}"/>
            </a:ext>
          </a:extLst>
        </xdr:cNvPr>
        <xdr:cNvSpPr txBox="1"/>
      </xdr:nvSpPr>
      <xdr:spPr>
        <a:xfrm rot="21480000">
          <a:off x="247650" y="31548705"/>
          <a:ext cx="5480685" cy="2200788"/>
        </a:xfrm>
        <a:prstGeom prst="rect">
          <a:avLst/>
        </a:prstGeom>
        <a:solidFill>
          <a:srgbClr val="FF85FF"/>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4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that the vast majority of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2000" b="1" u="none" strike="noStrike">
              <a:ln w="3175" cap="rnd" cmpd="sng" algn="ctr">
                <a:solidFill>
                  <a:srgbClr val="7030A0"/>
                </a:solidFill>
                <a:prstDash val="solid"/>
                <a:bevel/>
              </a:ln>
              <a:solidFill>
                <a:srgbClr val="FFFF0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20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38100" dir="2700000" algn="tl" rotWithShape="0">
                <a:prstClr val="black">
                  <a:alpha val="40000"/>
                </a:prst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160020</xdr:colOff>
      <xdr:row>1347</xdr:row>
      <xdr:rowOff>129539</xdr:rowOff>
    </xdr:from>
    <xdr:to>
      <xdr:col>3</xdr:col>
      <xdr:colOff>449580</xdr:colOff>
      <xdr:row>1349</xdr:row>
      <xdr:rowOff>236219</xdr:rowOff>
    </xdr:to>
    <xdr:sp macro="" textlink="">
      <xdr:nvSpPr>
        <xdr:cNvPr id="74" name="Rectangle: Beveled 73">
          <a:extLst>
            <a:ext uri="{FF2B5EF4-FFF2-40B4-BE49-F238E27FC236}">
              <a16:creationId xmlns:a16="http://schemas.microsoft.com/office/drawing/2014/main" id="{A802A632-B999-4479-BC07-05AF919B1424}"/>
            </a:ext>
          </a:extLst>
        </xdr:cNvPr>
        <xdr:cNvSpPr/>
      </xdr:nvSpPr>
      <xdr:spPr>
        <a:xfrm>
          <a:off x="1501140" y="348904560"/>
          <a:ext cx="2743200" cy="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a:t>
          </a:r>
        </a:p>
      </xdr:txBody>
    </xdr:sp>
    <xdr:clientData/>
  </xdr:twoCellAnchor>
  <xdr:twoCellAnchor>
    <xdr:from>
      <xdr:col>0</xdr:col>
      <xdr:colOff>0</xdr:colOff>
      <xdr:row>911</xdr:row>
      <xdr:rowOff>426720</xdr:rowOff>
    </xdr:from>
    <xdr:to>
      <xdr:col>1</xdr:col>
      <xdr:colOff>15240</xdr:colOff>
      <xdr:row>914</xdr:row>
      <xdr:rowOff>167640</xdr:rowOff>
    </xdr:to>
    <xdr:sp macro="" textlink="">
      <xdr:nvSpPr>
        <xdr:cNvPr id="75" name="Arrow: Up 74">
          <a:hlinkClick xmlns:r="http://schemas.openxmlformats.org/officeDocument/2006/relationships" r:id="rId23" tooltip="HIGHLIGHTS displayed above"/>
          <a:extLst>
            <a:ext uri="{FF2B5EF4-FFF2-40B4-BE49-F238E27FC236}">
              <a16:creationId xmlns:a16="http://schemas.microsoft.com/office/drawing/2014/main" id="{732E2EF5-AD39-4D56-B810-84EDE6AB9000}"/>
            </a:ext>
          </a:extLst>
        </xdr:cNvPr>
        <xdr:cNvSpPr/>
      </xdr:nvSpPr>
      <xdr:spPr>
        <a:xfrm>
          <a:off x="0" y="30147768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7620</xdr:colOff>
      <xdr:row>65</xdr:row>
      <xdr:rowOff>30480</xdr:rowOff>
    </xdr:from>
    <xdr:to>
      <xdr:col>1</xdr:col>
      <xdr:colOff>15240</xdr:colOff>
      <xdr:row>66</xdr:row>
      <xdr:rowOff>121920</xdr:rowOff>
    </xdr:to>
    <xdr:sp macro="" textlink="">
      <xdr:nvSpPr>
        <xdr:cNvPr id="76" name="Arrow: Down 75">
          <a:hlinkClick xmlns:r="http://schemas.openxmlformats.org/officeDocument/2006/relationships" r:id="rId24" tooltip="HIGHLIGHTS entry"/>
          <a:extLst>
            <a:ext uri="{FF2B5EF4-FFF2-40B4-BE49-F238E27FC236}">
              <a16:creationId xmlns:a16="http://schemas.microsoft.com/office/drawing/2014/main" id="{451278B1-407C-4611-9D2E-0C6A4F039811}"/>
            </a:ext>
          </a:extLst>
        </xdr:cNvPr>
        <xdr:cNvSpPr/>
      </xdr:nvSpPr>
      <xdr:spPr>
        <a:xfrm>
          <a:off x="7620" y="2150364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908</xdr:row>
      <xdr:rowOff>7620</xdr:rowOff>
    </xdr:from>
    <xdr:to>
      <xdr:col>1</xdr:col>
      <xdr:colOff>15240</xdr:colOff>
      <xdr:row>908</xdr:row>
      <xdr:rowOff>693420</xdr:rowOff>
    </xdr:to>
    <xdr:sp macro="" textlink="">
      <xdr:nvSpPr>
        <xdr:cNvPr id="77" name="Arrow: Up 76">
          <a:hlinkClick xmlns:r="http://schemas.openxmlformats.org/officeDocument/2006/relationships" r:id="rId25" tooltip="SYNOPSIS displayed above"/>
          <a:extLst>
            <a:ext uri="{FF2B5EF4-FFF2-40B4-BE49-F238E27FC236}">
              <a16:creationId xmlns:a16="http://schemas.microsoft.com/office/drawing/2014/main" id="{A15E325A-5E96-4A31-BE36-FD7F4DA6F2A1}"/>
            </a:ext>
          </a:extLst>
        </xdr:cNvPr>
        <xdr:cNvSpPr/>
      </xdr:nvSpPr>
      <xdr:spPr>
        <a:xfrm>
          <a:off x="0" y="29978604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editAs="oneCell">
    <xdr:from>
      <xdr:col>3</xdr:col>
      <xdr:colOff>1188002</xdr:colOff>
      <xdr:row>178</xdr:row>
      <xdr:rowOff>12771</xdr:rowOff>
    </xdr:from>
    <xdr:to>
      <xdr:col>5</xdr:col>
      <xdr:colOff>28458</xdr:colOff>
      <xdr:row>184</xdr:row>
      <xdr:rowOff>154059</xdr:rowOff>
    </xdr:to>
    <xdr:pic>
      <xdr:nvPicPr>
        <xdr:cNvPr id="78" name="Picture 77">
          <a:hlinkClick xmlns:r="http://schemas.openxmlformats.org/officeDocument/2006/relationships" r:id="rId26" tooltip="PDF online about collateral consequences of criminal convictions"/>
          <a:extLst>
            <a:ext uri="{FF2B5EF4-FFF2-40B4-BE49-F238E27FC236}">
              <a16:creationId xmlns:a16="http://schemas.microsoft.com/office/drawing/2014/main" id="{261DD68E-B011-4384-8E87-69E4CE94373D}"/>
            </a:ext>
          </a:extLst>
        </xdr:cNvPr>
        <xdr:cNvPicPr>
          <a:picLocks noChangeAspect="1"/>
        </xdr:cNvPicPr>
      </xdr:nvPicPr>
      <xdr:blipFill rotWithShape="1">
        <a:blip xmlns:r="http://schemas.openxmlformats.org/officeDocument/2006/relationships" r:embed="rId27"/>
        <a:srcRect l="25795" t="14594" r="38951" b="4655"/>
        <a:stretch/>
      </xdr:blipFill>
      <xdr:spPr>
        <a:xfrm rot="330951">
          <a:off x="5057533" y="56117667"/>
          <a:ext cx="1049727" cy="13716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38101</xdr:colOff>
      <xdr:row>1354</xdr:row>
      <xdr:rowOff>396240</xdr:rowOff>
    </xdr:from>
    <xdr:to>
      <xdr:col>3</xdr:col>
      <xdr:colOff>1927861</xdr:colOff>
      <xdr:row>1354</xdr:row>
      <xdr:rowOff>898344</xdr:rowOff>
    </xdr:to>
    <xdr:sp macro="" textlink="">
      <xdr:nvSpPr>
        <xdr:cNvPr id="79" name="Rectangle: Rounded Corners 78">
          <a:extLst>
            <a:ext uri="{FF2B5EF4-FFF2-40B4-BE49-F238E27FC236}">
              <a16:creationId xmlns:a16="http://schemas.microsoft.com/office/drawing/2014/main" id="{4AD65D0B-45FE-42A8-8F8A-82F29618204B}"/>
            </a:ext>
          </a:extLst>
        </xdr:cNvPr>
        <xdr:cNvSpPr/>
      </xdr:nvSpPr>
      <xdr:spPr>
        <a:xfrm>
          <a:off x="1379221" y="348904560"/>
          <a:ext cx="434340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2000">
              <a:solidFill>
                <a:srgbClr val="00B050"/>
              </a:solidFill>
              <a:effectLst>
                <a:outerShdw blurRad="50800" dist="38100" dir="2700000" algn="tl" rotWithShape="0">
                  <a:prstClr val="black">
                    <a:alpha val="40000"/>
                  </a:prstClr>
                </a:outerShdw>
              </a:effectLst>
            </a:rPr>
            <a:t>UNDER CONSTRUCTION</a:t>
          </a:r>
        </a:p>
      </xdr:txBody>
    </xdr:sp>
    <xdr:clientData/>
  </xdr:twoCellAnchor>
  <xdr:twoCellAnchor>
    <xdr:from>
      <xdr:col>1</xdr:col>
      <xdr:colOff>30480</xdr:colOff>
      <xdr:row>1354</xdr:row>
      <xdr:rowOff>510540</xdr:rowOff>
    </xdr:from>
    <xdr:to>
      <xdr:col>1</xdr:col>
      <xdr:colOff>716280</xdr:colOff>
      <xdr:row>1356</xdr:row>
      <xdr:rowOff>53340</xdr:rowOff>
    </xdr:to>
    <xdr:sp macro="" textlink="">
      <xdr:nvSpPr>
        <xdr:cNvPr id="80" name="Callout: Down Arrow 79">
          <a:hlinkClick xmlns:r="http://schemas.openxmlformats.org/officeDocument/2006/relationships" r:id="rId28" tooltip="CLICK on each &quot;Supporter #&quot; to go to that supporter tab"/>
          <a:extLst>
            <a:ext uri="{FF2B5EF4-FFF2-40B4-BE49-F238E27FC236}">
              <a16:creationId xmlns:a16="http://schemas.microsoft.com/office/drawing/2014/main" id="{286EA7D8-C388-4B19-8493-70D9F51B497B}"/>
            </a:ext>
          </a:extLst>
        </xdr:cNvPr>
        <xdr:cNvSpPr/>
      </xdr:nvSpPr>
      <xdr:spPr>
        <a:xfrm>
          <a:off x="289560" y="348904560"/>
          <a:ext cx="685800" cy="0"/>
        </a:xfrm>
        <a:prstGeom prst="downArrowCallout">
          <a:avLst>
            <a:gd name="adj1" fmla="val 15909"/>
            <a:gd name="adj2" fmla="val 25000"/>
            <a:gd name="adj3" fmla="val 25000"/>
            <a:gd name="adj4" fmla="val 64977"/>
          </a:avLst>
        </a:prstGeom>
        <a:solidFill>
          <a:schemeClr val="accent6">
            <a:alpha val="50000"/>
          </a:schemeClr>
        </a:solidFill>
        <a:ln>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050" b="1"/>
            <a:t>CLICK</a:t>
          </a:r>
          <a:r>
            <a:rPr lang="en-US" sz="1050" b="1" baseline="0"/>
            <a:t> to go to tab</a:t>
          </a:r>
          <a:endParaRPr lang="en-US" sz="1050" b="1"/>
        </a:p>
      </xdr:txBody>
    </xdr:sp>
    <xdr:clientData/>
  </xdr:twoCellAnchor>
  <xdr:twoCellAnchor>
    <xdr:from>
      <xdr:col>70</xdr:col>
      <xdr:colOff>0</xdr:colOff>
      <xdr:row>1713</xdr:row>
      <xdr:rowOff>0</xdr:rowOff>
    </xdr:from>
    <xdr:to>
      <xdr:col>83</xdr:col>
      <xdr:colOff>268877</xdr:colOff>
      <xdr:row>1750</xdr:row>
      <xdr:rowOff>0</xdr:rowOff>
    </xdr:to>
    <xdr:sp macro="" textlink="">
      <xdr:nvSpPr>
        <xdr:cNvPr id="81" name="Rectangle: Rounded Corners 80">
          <a:extLst>
            <a:ext uri="{FF2B5EF4-FFF2-40B4-BE49-F238E27FC236}">
              <a16:creationId xmlns:a16="http://schemas.microsoft.com/office/drawing/2014/main" id="{C705EE76-84D0-4298-9094-2A55AB08E1C9}"/>
            </a:ext>
          </a:extLst>
        </xdr:cNvPr>
        <xdr:cNvSpPr/>
      </xdr:nvSpPr>
      <xdr:spPr>
        <a:xfrm>
          <a:off x="19187160" y="348904560"/>
          <a:ext cx="5740037"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a:p>
          <a:pPr algn="ctr"/>
          <a:r>
            <a:rPr lang="en-US" sz="2000" b="1">
              <a:solidFill>
                <a:srgbClr val="00B050"/>
              </a:solidFill>
              <a:latin typeface="+mn-lt"/>
              <a:ea typeface="+mn-ea"/>
              <a:cs typeface="+mn-cs"/>
            </a:rPr>
            <a:t>concluding instructions</a:t>
          </a:r>
        </a:p>
        <a:p>
          <a:pPr algn="l"/>
          <a:endParaRPr lang="en-US" sz="1100"/>
        </a:p>
        <a:p>
          <a:pPr algn="l"/>
          <a:endParaRPr lang="en-US" sz="1100"/>
        </a:p>
        <a:p>
          <a:pPr algn="l"/>
          <a:r>
            <a:rPr lang="en-US" sz="1200">
              <a:solidFill>
                <a:schemeClr val="tx1"/>
              </a:solidFill>
            </a:rPr>
            <a:t>Save this file.</a:t>
          </a:r>
          <a:r>
            <a:rPr lang="en-US" sz="1200" baseline="0">
              <a:solidFill>
                <a:schemeClr val="tx1"/>
              </a:solidFill>
            </a:rPr>
            <a:t> Then send a copy to valuerelating@gmail.com.</a:t>
          </a:r>
        </a:p>
        <a:p>
          <a:pPr algn="l"/>
          <a:endParaRPr lang="en-US" sz="1200">
            <a:solidFill>
              <a:schemeClr val="tx1"/>
            </a:solidFill>
          </a:endParaRPr>
        </a:p>
        <a:p>
          <a:pPr algn="l"/>
          <a:endParaRPr lang="en-US" sz="1200">
            <a:solidFill>
              <a:schemeClr val="tx1"/>
            </a:solidFill>
          </a:endParaRPr>
        </a:p>
        <a:p>
          <a:pPr algn="l"/>
          <a:r>
            <a:rPr lang="en-US" sz="1200">
              <a:solidFill>
                <a:schemeClr val="tx1"/>
              </a:solidFill>
            </a:rPr>
            <a:t>Go to [NOTIFIED]</a:t>
          </a:r>
          <a:r>
            <a:rPr lang="en-US" sz="1200" baseline="0">
              <a:solidFill>
                <a:schemeClr val="tx1"/>
              </a:solidFill>
            </a:rPr>
            <a:t> tab. Once there, save as PDF.</a:t>
          </a:r>
        </a:p>
        <a:p>
          <a:pPr algn="l"/>
          <a:endParaRPr lang="en-US" sz="1200" baseline="0">
            <a:solidFill>
              <a:schemeClr val="tx1"/>
            </a:solidFill>
          </a:endParaRPr>
        </a:p>
        <a:p>
          <a:pPr algn="l"/>
          <a:endParaRPr lang="en-US" sz="1100"/>
        </a:p>
      </xdr:txBody>
    </xdr:sp>
    <xdr:clientData/>
  </xdr:twoCellAnchor>
  <xdr:twoCellAnchor>
    <xdr:from>
      <xdr:col>71</xdr:col>
      <xdr:colOff>69667</xdr:colOff>
      <xdr:row>1713</xdr:row>
      <xdr:rowOff>104502</xdr:rowOff>
    </xdr:from>
    <xdr:to>
      <xdr:col>84</xdr:col>
      <xdr:colOff>195941</xdr:colOff>
      <xdr:row>1734</xdr:row>
      <xdr:rowOff>58782</xdr:rowOff>
    </xdr:to>
    <xdr:sp macro="" textlink="">
      <xdr:nvSpPr>
        <xdr:cNvPr id="82" name="TextBox 81">
          <a:extLst>
            <a:ext uri="{FF2B5EF4-FFF2-40B4-BE49-F238E27FC236}">
              <a16:creationId xmlns:a16="http://schemas.microsoft.com/office/drawing/2014/main" id="{014195E2-0A92-4B28-939F-4C0A7E937121}"/>
            </a:ext>
          </a:extLst>
        </xdr:cNvPr>
        <xdr:cNvSpPr txBox="1"/>
      </xdr:nvSpPr>
      <xdr:spPr>
        <a:xfrm>
          <a:off x="19515907" y="348904560"/>
          <a:ext cx="5947954" cy="0"/>
        </a:xfrm>
        <a:prstGeom prst="rect">
          <a:avLst/>
        </a:prstGeom>
        <a:gradFill>
          <a:gsLst>
            <a:gs pos="0">
              <a:schemeClr val="accent1">
                <a:lumMod val="5000"/>
                <a:lumOff val="95000"/>
                <a:alpha val="95000"/>
              </a:schemeClr>
            </a:gs>
            <a:gs pos="50000">
              <a:schemeClr val="bg1">
                <a:alpha val="85000"/>
              </a:schemeClr>
            </a:gs>
            <a:gs pos="100000">
              <a:schemeClr val="bg1">
                <a:alpha val="95000"/>
              </a:schemeClr>
            </a:gs>
          </a:gsLst>
          <a:lin ang="5400000" scaled="1"/>
        </a:gradFill>
        <a:ln w="19050" cmpd="dbl">
          <a:solidFill>
            <a:srgbClr val="7CF85A">
              <a:alpha val="50000"/>
            </a:srgb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solidFill>
                  <a:srgbClr val="FFFFFF"/>
                </a:solidFill>
              </a:ln>
              <a:solidFill>
                <a:srgbClr val="00B050"/>
              </a:solidFill>
              <a:effectLst>
                <a:glow rad="38100">
                  <a:schemeClr val="accent6">
                    <a:satMod val="175000"/>
                    <a:alpha val="90000"/>
                  </a:schemeClr>
                </a:glow>
              </a:effectLst>
              <a:uLnTx/>
              <a:uFillTx/>
              <a:latin typeface="Tahoma" panose="020B0604030504040204" pitchFamily="34" charset="0"/>
              <a:ea typeface="Tahoma" panose="020B0604030504040204" pitchFamily="34" charset="0"/>
              <a:cs typeface="Tahoma" panose="020B0604030504040204" pitchFamily="34" charset="0"/>
            </a:rPr>
            <a:t>Terms of Service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share this profile of yours with </a:t>
          </a:r>
          <a:r>
            <a:rPr kumimoji="0" lang="en-US" sz="1100" b="1" i="0" u="none" strike="noStrike" kern="0" cap="none" spc="0" normalizeH="0" baseline="0" noProof="0">
              <a:ln>
                <a:noFill/>
              </a:ln>
              <a:solidFill>
                <a:prstClr val="black"/>
              </a:solidFill>
              <a:effectLst/>
              <a:uLnTx/>
              <a:uFillTx/>
              <a:latin typeface="+mn-lt"/>
              <a:ea typeface="+mn-ea"/>
              <a:cs typeface="+mn-cs"/>
            </a:rPr>
            <a:t>Value Relating </a:t>
          </a:r>
          <a:r>
            <a:rPr kumimoji="0" lang="en-US" sz="1100" b="0" i="0" u="none" strike="noStrike" kern="0" cap="none" spc="0" normalizeH="0" baseline="0" noProof="0">
              <a:ln>
                <a:noFill/>
              </a:ln>
              <a:solidFill>
                <a:prstClr val="black"/>
              </a:solidFill>
              <a:effectLst/>
              <a:uLnTx/>
              <a:uFillTx/>
              <a:latin typeface="+mn-lt"/>
              <a:ea typeface="+mn-ea"/>
              <a:cs typeface="+mn-cs"/>
            </a:rPr>
            <a:t>for the exclusive purpose of serving your needs, and for any other purpose you agree to prior to Value Relating using it.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Your support team initially consists of your proxy, or key supporter, and a primary support provider (PSP) from Value Relating. You build your support as you invite supporters to help cover the costs of this service to you and can provide you with essential emotional supports.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As your team grows, </a:t>
          </a:r>
          <a:r>
            <a:rPr kumimoji="0" lang="en-US" sz="1100" b="1" i="0" u="none" strike="noStrike" kern="0" cap="none" spc="0" normalizeH="0" baseline="0" noProof="0">
              <a:ln>
                <a:noFill/>
              </a:ln>
              <a:solidFill>
                <a:prstClr val="black"/>
              </a:solidFill>
              <a:effectLst/>
              <a:uLnTx/>
              <a:uFillTx/>
              <a:latin typeface="+mn-lt"/>
              <a:ea typeface="+mn-ea"/>
              <a:cs typeface="+mn-cs"/>
            </a:rPr>
            <a:t>Value Relating</a:t>
          </a:r>
          <a:r>
            <a:rPr kumimoji="0" lang="en-US" sz="1100" b="0" i="0" u="none" strike="noStrike" kern="0" cap="none" spc="0" normalizeH="0" baseline="0" noProof="0">
              <a:ln>
                <a:noFill/>
              </a:ln>
              <a:solidFill>
                <a:prstClr val="black"/>
              </a:solidFill>
              <a:effectLst/>
              <a:uLnTx/>
              <a:uFillTx/>
              <a:latin typeface="+mn-lt"/>
              <a:ea typeface="+mn-ea"/>
              <a:cs typeface="+mn-cs"/>
            </a:rPr>
            <a:t> adds a secondary support provider (SSP) to help with the growing work load (logistics, answering questions, keeping records up to date). This SSP could eventually move up to the PSP position.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Option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the above terms and you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endParaRPr lang="en-US" sz="1100"/>
        </a:p>
      </xdr:txBody>
    </xdr:sp>
    <xdr:clientData/>
  </xdr:twoCellAnchor>
  <xdr:twoCellAnchor>
    <xdr:from>
      <xdr:col>77</xdr:col>
      <xdr:colOff>65162</xdr:colOff>
      <xdr:row>116</xdr:row>
      <xdr:rowOff>74748</xdr:rowOff>
    </xdr:from>
    <xdr:to>
      <xdr:col>82</xdr:col>
      <xdr:colOff>454870</xdr:colOff>
      <xdr:row>121</xdr:row>
      <xdr:rowOff>22497</xdr:rowOff>
    </xdr:to>
    <xdr:sp macro="" textlink="">
      <xdr:nvSpPr>
        <xdr:cNvPr id="83" name="Rectangle: Rounded Corners 82">
          <a:hlinkClick xmlns:r="http://schemas.openxmlformats.org/officeDocument/2006/relationships" r:id="rId29"/>
          <a:extLst>
            <a:ext uri="{FF2B5EF4-FFF2-40B4-BE49-F238E27FC236}">
              <a16:creationId xmlns:a16="http://schemas.microsoft.com/office/drawing/2014/main" id="{E7D926FE-A804-4514-9F25-A3CE072B70A9}"/>
            </a:ext>
          </a:extLst>
        </xdr:cNvPr>
        <xdr:cNvSpPr/>
      </xdr:nvSpPr>
      <xdr:spPr>
        <a:xfrm>
          <a:off x="21065882" y="43074408"/>
          <a:ext cx="3437708"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Do</a:t>
          </a:r>
          <a:r>
            <a:rPr lang="en-US" sz="1400" b="1" baseline="0">
              <a:solidFill>
                <a:srgbClr val="B9FFD9"/>
              </a:solidFill>
            </a:rPr>
            <a:t> It Yourself </a:t>
          </a:r>
          <a:r>
            <a:rPr lang="en-US" sz="1400" baseline="0">
              <a:solidFill>
                <a:srgbClr val="B9FFD9"/>
              </a:solidFill>
            </a:rPr>
            <a:t>for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With a high estimate of innocence, you may not need our help.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start your DIY option.</a:t>
          </a:r>
          <a:endParaRPr lang="en-US" sz="1400">
            <a:solidFill>
              <a:srgbClr val="B9FFD9"/>
            </a:solidFill>
          </a:endParaRPr>
        </a:p>
      </xdr:txBody>
    </xdr:sp>
    <xdr:clientData/>
  </xdr:twoCellAnchor>
  <xdr:twoCellAnchor>
    <xdr:from>
      <xdr:col>77</xdr:col>
      <xdr:colOff>65162</xdr:colOff>
      <xdr:row>123</xdr:row>
      <xdr:rowOff>85634</xdr:rowOff>
    </xdr:from>
    <xdr:to>
      <xdr:col>82</xdr:col>
      <xdr:colOff>454870</xdr:colOff>
      <xdr:row>128</xdr:row>
      <xdr:rowOff>33383</xdr:rowOff>
    </xdr:to>
    <xdr:sp macro="" textlink="">
      <xdr:nvSpPr>
        <xdr:cNvPr id="84" name="Rectangle: Rounded Corners 83">
          <a:extLst>
            <a:ext uri="{FF2B5EF4-FFF2-40B4-BE49-F238E27FC236}">
              <a16:creationId xmlns:a16="http://schemas.microsoft.com/office/drawing/2014/main" id="{64E3E872-3D7D-4674-A77F-7C9A39A8E1E8}"/>
            </a:ext>
          </a:extLst>
        </xdr:cNvPr>
        <xdr:cNvSpPr/>
      </xdr:nvSpPr>
      <xdr:spPr>
        <a:xfrm>
          <a:off x="21065882" y="44609294"/>
          <a:ext cx="3437708"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Receive Support </a:t>
          </a:r>
          <a:r>
            <a:rPr lang="en-US" sz="1400" b="0" baseline="0">
              <a:solidFill>
                <a:srgbClr val="B9FFD9"/>
              </a:solidFill>
            </a:rPr>
            <a:t>starting for</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$5</a:t>
          </a:r>
          <a:r>
            <a:rPr lang="en-US" sz="1400" baseline="0">
              <a:solidFill>
                <a:srgbClr val="B9FFD9"/>
              </a:solidFill>
            </a:rPr>
            <a:t>. You've already been through hell. Let us take you to heaven.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more.</a:t>
          </a:r>
          <a:endParaRPr lang="en-US" sz="1400">
            <a:solidFill>
              <a:srgbClr val="B9FFD9"/>
            </a:solidFill>
          </a:endParaRPr>
        </a:p>
      </xdr:txBody>
    </xdr:sp>
    <xdr:clientData/>
  </xdr:twoCellAnchor>
  <xdr:twoCellAnchor>
    <xdr:from>
      <xdr:col>77</xdr:col>
      <xdr:colOff>65162</xdr:colOff>
      <xdr:row>131</xdr:row>
      <xdr:rowOff>85635</xdr:rowOff>
    </xdr:from>
    <xdr:to>
      <xdr:col>82</xdr:col>
      <xdr:colOff>454870</xdr:colOff>
      <xdr:row>136</xdr:row>
      <xdr:rowOff>33383</xdr:rowOff>
    </xdr:to>
    <xdr:sp macro="" textlink="">
      <xdr:nvSpPr>
        <xdr:cNvPr id="85" name="Rectangle: Rounded Corners 84">
          <a:extLst>
            <a:ext uri="{FF2B5EF4-FFF2-40B4-BE49-F238E27FC236}">
              <a16:creationId xmlns:a16="http://schemas.microsoft.com/office/drawing/2014/main" id="{425200BF-FF59-4D2D-AE8A-59427DFFE82E}"/>
            </a:ext>
          </a:extLst>
        </xdr:cNvPr>
        <xdr:cNvSpPr/>
      </xdr:nvSpPr>
      <xdr:spPr>
        <a:xfrm>
          <a:off x="21065882" y="46133295"/>
          <a:ext cx="3437708" cy="900248"/>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If you find the</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route frustrating, give this support route a try.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how.</a:t>
          </a:r>
          <a:endParaRPr lang="en-US" sz="1400">
            <a:solidFill>
              <a:srgbClr val="B9FFD9"/>
            </a:solidFill>
          </a:endParaRPr>
        </a:p>
      </xdr:txBody>
    </xdr:sp>
    <xdr:clientData/>
  </xdr:twoCellAnchor>
  <xdr:twoCellAnchor>
    <xdr:from>
      <xdr:col>83</xdr:col>
      <xdr:colOff>364518</xdr:colOff>
      <xdr:row>132</xdr:row>
      <xdr:rowOff>2906</xdr:rowOff>
    </xdr:from>
    <xdr:to>
      <xdr:col>89</xdr:col>
      <xdr:colOff>318798</xdr:colOff>
      <xdr:row>135</xdr:row>
      <xdr:rowOff>41004</xdr:rowOff>
    </xdr:to>
    <xdr:sp macro="" textlink="">
      <xdr:nvSpPr>
        <xdr:cNvPr id="86" name="Rectangle: Rounded Corners 85">
          <a:extLst>
            <a:ext uri="{FF2B5EF4-FFF2-40B4-BE49-F238E27FC236}">
              <a16:creationId xmlns:a16="http://schemas.microsoft.com/office/drawing/2014/main" id="{72322C06-824B-4971-83E7-C8E218FED7AF}"/>
            </a:ext>
          </a:extLst>
        </xdr:cNvPr>
        <xdr:cNvSpPr/>
      </xdr:nvSpPr>
      <xdr:spPr>
        <a:xfrm>
          <a:off x="25022838" y="46241066"/>
          <a:ext cx="4023360" cy="609598"/>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dropdown</a:t>
          </a:r>
          <a:r>
            <a:rPr lang="en-US" sz="1600" baseline="0">
              <a:solidFill>
                <a:srgbClr val="501E6E"/>
              </a:solidFill>
            </a:rPr>
            <a:t> list of main crime</a:t>
          </a:r>
          <a:endParaRPr lang="en-US" sz="1600">
            <a:solidFill>
              <a:srgbClr val="501E6E"/>
            </a:solidFill>
          </a:endParaRPr>
        </a:p>
      </xdr:txBody>
    </xdr:sp>
    <xdr:clientData/>
  </xdr:twoCellAnchor>
  <xdr:twoCellAnchor>
    <xdr:from>
      <xdr:col>0</xdr:col>
      <xdr:colOff>121920</xdr:colOff>
      <xdr:row>115</xdr:row>
      <xdr:rowOff>144780</xdr:rowOff>
    </xdr:from>
    <xdr:to>
      <xdr:col>5</xdr:col>
      <xdr:colOff>106680</xdr:colOff>
      <xdr:row>132</xdr:row>
      <xdr:rowOff>29845</xdr:rowOff>
    </xdr:to>
    <xdr:sp macro="" textlink="">
      <xdr:nvSpPr>
        <xdr:cNvPr id="87" name="Text Box 1">
          <a:extLst>
            <a:ext uri="{FF2B5EF4-FFF2-40B4-BE49-F238E27FC236}">
              <a16:creationId xmlns:a16="http://schemas.microsoft.com/office/drawing/2014/main" id="{5A13C300-D606-4B64-B95F-E1329D22F675}"/>
            </a:ext>
          </a:extLst>
        </xdr:cNvPr>
        <xdr:cNvSpPr txBox="1"/>
      </xdr:nvSpPr>
      <xdr:spPr>
        <a:xfrm>
          <a:off x="121920" y="42953940"/>
          <a:ext cx="5943600" cy="331406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Wrongful convictions run the gamut from totally innocent to complicated involvement. From convicted of a heinous sex crime that never occurred to complex situations where a child dies and the grieving mother is implicated by discredited forensic science of burn patterns ostensibly</a:t>
          </a:r>
          <a:r>
            <a:rPr lang="en-US" sz="1200" baseline="0">
              <a:effectLst/>
              <a:latin typeface="Cambria Math" panose="02040503050406030204" pitchFamily="18" charset="0"/>
              <a:ea typeface="Calibri" panose="020F0502020204030204" pitchFamily="34" charset="0"/>
              <a:cs typeface="Times New Roman" panose="02020603050405020304" pitchFamily="18" charset="0"/>
            </a:rPr>
            <a:t> set by accerlants</a:t>
          </a: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The business of addressing damages from interpersonal violence is serious business. The sledgehammer approach to many crime investigations suggest “criminal justice” is more criminal than justice. Tunnel vision, confirmation bias, emotionally charged investigations, tainted interviewing and other routines practices ensures wrongful convictions likely occur at a faster pace than currently being cleared by the same process committing these egregious errors.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Can the same conflicted process repeatedly creating damaging mistakes continue to be trusted as the exclusive means to correct such egregious errors? This alternative puts that question to the test. Which would you prefer? Keep pitting human beings against each other from the untested faith as a way to find truth and justice? Or address all the needs involved in each conflict. This “need-response” alternative dares to serve as a better option than the disappointing legal process.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114300</xdr:colOff>
      <xdr:row>151</xdr:row>
      <xdr:rowOff>114300</xdr:rowOff>
    </xdr:from>
    <xdr:to>
      <xdr:col>5</xdr:col>
      <xdr:colOff>99060</xdr:colOff>
      <xdr:row>154</xdr:row>
      <xdr:rowOff>15240</xdr:rowOff>
    </xdr:to>
    <xdr:sp macro="" textlink="">
      <xdr:nvSpPr>
        <xdr:cNvPr id="88" name="Text Box 1">
          <a:extLst>
            <a:ext uri="{FF2B5EF4-FFF2-40B4-BE49-F238E27FC236}">
              <a16:creationId xmlns:a16="http://schemas.microsoft.com/office/drawing/2014/main" id="{7C3B9A37-66B8-4E5C-ABB8-6288B60EF7EA}"/>
            </a:ext>
          </a:extLst>
        </xdr:cNvPr>
        <xdr:cNvSpPr txBox="1"/>
      </xdr:nvSpPr>
      <xdr:spPr>
        <a:xfrm>
          <a:off x="114300" y="49971960"/>
          <a:ext cx="5943600" cy="91440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Welcome to </a:t>
          </a:r>
          <a:r>
            <a:rPr lang="en-US" sz="1200" b="1">
              <a:effectLst/>
              <a:latin typeface="Cambria Math" panose="02040503050406030204" pitchFamily="18" charset="0"/>
              <a:ea typeface="Calibri" panose="020F0502020204030204" pitchFamily="34" charset="0"/>
              <a:cs typeface="Times New Roman" panose="02020603050405020304" pitchFamily="18" charset="0"/>
            </a:rPr>
            <a:t>competitive legitimacy</a:t>
          </a:r>
          <a:r>
            <a:rPr lang="en-US" sz="1200">
              <a:effectLst/>
              <a:latin typeface="Cambria Math" panose="02040503050406030204" pitchFamily="18" charset="0"/>
              <a:ea typeface="Calibri" panose="020F0502020204030204" pitchFamily="34" charset="0"/>
              <a:cs typeface="Times New Roman" panose="02020603050405020304" pitchFamily="18" charset="0"/>
            </a:rPr>
            <a:t>, which incentivizes alternatives to addressing a common need and awards those most effective in resolving such needs. Competitive legitimacy is a tool of need-response, which applies anankelogy, the new social science for the study and better understanding of many needs. Welcome to this experiment to resolve needs using a fresh understanding of affected justice needs.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29</xdr:col>
      <xdr:colOff>0</xdr:colOff>
      <xdr:row>820</xdr:row>
      <xdr:rowOff>0</xdr:rowOff>
    </xdr:from>
    <xdr:to>
      <xdr:col>50</xdr:col>
      <xdr:colOff>100216</xdr:colOff>
      <xdr:row>823</xdr:row>
      <xdr:rowOff>166518</xdr:rowOff>
    </xdr:to>
    <xdr:sp macro="" textlink="">
      <xdr:nvSpPr>
        <xdr:cNvPr id="99" name="TextBox 98">
          <a:extLst>
            <a:ext uri="{FF2B5EF4-FFF2-40B4-BE49-F238E27FC236}">
              <a16:creationId xmlns:a16="http://schemas.microsoft.com/office/drawing/2014/main" id="{3A4D1650-D108-44D7-AC8A-F7661078C989}"/>
            </a:ext>
          </a:extLst>
        </xdr:cNvPr>
        <xdr:cNvSpPr txBox="1"/>
      </xdr:nvSpPr>
      <xdr:spPr>
        <a:xfrm>
          <a:off x="7536180" y="279951180"/>
          <a:ext cx="5472316" cy="738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Painful</a:t>
          </a:r>
          <a:r>
            <a:rPr lang="en-US" sz="1100" b="1" i="0" u="none" strike="noStrike" baseline="0">
              <a:solidFill>
                <a:schemeClr val="dk1"/>
              </a:solidFill>
              <a:effectLst/>
              <a:latin typeface="+mn-lt"/>
              <a:ea typeface="+mn-ea"/>
              <a:cs typeface="+mn-cs"/>
            </a:rPr>
            <a:t> experiences with the adversarial legal-judicial system helps account for the estimated high volume of unexonerated innocent. This tool exists independent of the judiciary and can either complement it or compete with it. </a:t>
          </a:r>
        </a:p>
        <a:p>
          <a:endParaRPr lang="en-US" sz="1100" b="1" i="0" u="none" strike="noStrike" baseline="0">
            <a:solidFill>
              <a:schemeClr val="dk1"/>
            </a:solidFill>
            <a:effectLst/>
            <a:latin typeface="+mn-lt"/>
            <a:ea typeface="+mn-ea"/>
            <a:cs typeface="+mn-cs"/>
          </a:endParaRPr>
        </a:p>
        <a:p>
          <a:r>
            <a:rPr lang="en-US">
              <a:effectLst/>
            </a:rPr>
            <a:t>legitimacy</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EIT option</a:t>
          </a:r>
        </a:p>
        <a:p>
          <a:endParaRPr lang="en-US" sz="1100"/>
        </a:p>
      </xdr:txBody>
    </xdr:sp>
    <xdr:clientData/>
  </xdr:twoCellAnchor>
  <xdr:twoCellAnchor>
    <xdr:from>
      <xdr:col>130</xdr:col>
      <xdr:colOff>533400</xdr:colOff>
      <xdr:row>3275</xdr:row>
      <xdr:rowOff>0</xdr:rowOff>
    </xdr:from>
    <xdr:to>
      <xdr:col>141</xdr:col>
      <xdr:colOff>594360</xdr:colOff>
      <xdr:row>3277</xdr:row>
      <xdr:rowOff>53340</xdr:rowOff>
    </xdr:to>
    <xdr:sp macro="" textlink="">
      <xdr:nvSpPr>
        <xdr:cNvPr id="100" name="TextBox 99">
          <a:extLst>
            <a:ext uri="{FF2B5EF4-FFF2-40B4-BE49-F238E27FC236}">
              <a16:creationId xmlns:a16="http://schemas.microsoft.com/office/drawing/2014/main" id="{ABBD8F3E-319B-4FA9-B906-D208964221C8}"/>
            </a:ext>
          </a:extLst>
        </xdr:cNvPr>
        <xdr:cNvSpPr txBox="1"/>
      </xdr:nvSpPr>
      <xdr:spPr>
        <a:xfrm>
          <a:off x="55412640" y="616869480"/>
          <a:ext cx="6766560" cy="403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20210604.2256</a:t>
          </a:r>
          <a:r>
            <a:rPr lang="en-US" sz="1100" baseline="0"/>
            <a:t> IDEA</a:t>
          </a:r>
        </a:p>
        <a:p>
          <a:r>
            <a:rPr lang="en-US" sz="1100" baseline="0"/>
            <a:t>Do formula with 50+ "nested" items at a time, then use with "blank" formula that finds the one output name.</a:t>
          </a:r>
          <a:endParaRPr lang="en-US" sz="1100"/>
        </a:p>
      </xdr:txBody>
    </xdr:sp>
    <xdr:clientData/>
  </xdr:twoCellAnchor>
  <xdr:twoCellAnchor>
    <xdr:from>
      <xdr:col>45</xdr:col>
      <xdr:colOff>181792</xdr:colOff>
      <xdr:row>1891</xdr:row>
      <xdr:rowOff>38101</xdr:rowOff>
    </xdr:from>
    <xdr:to>
      <xdr:col>69</xdr:col>
      <xdr:colOff>112123</xdr:colOff>
      <xdr:row>1895</xdr:row>
      <xdr:rowOff>125186</xdr:rowOff>
    </xdr:to>
    <xdr:sp macro="" textlink="">
      <xdr:nvSpPr>
        <xdr:cNvPr id="101" name="TextBox 100">
          <a:extLst>
            <a:ext uri="{FF2B5EF4-FFF2-40B4-BE49-F238E27FC236}">
              <a16:creationId xmlns:a16="http://schemas.microsoft.com/office/drawing/2014/main" id="{34B68DBF-9BBE-4EB1-B366-F7C0BF2E2EB5}"/>
            </a:ext>
          </a:extLst>
        </xdr:cNvPr>
        <xdr:cNvSpPr txBox="1"/>
      </xdr:nvSpPr>
      <xdr:spPr>
        <a:xfrm>
          <a:off x="11863252" y="375269761"/>
          <a:ext cx="7176951" cy="810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Tahoma" panose="020B0604030504040204" pitchFamily="34" charset="0"/>
              <a:ea typeface="Tahoma" panose="020B0604030504040204" pitchFamily="34" charset="0"/>
              <a:cs typeface="Tahoma" panose="020B0604030504040204" pitchFamily="34" charset="0"/>
            </a:rPr>
            <a:t>A </a:t>
          </a:r>
          <a:r>
            <a:rPr lang="en-US" sz="1100"/>
            <a:t>[CLAIMANT]</a:t>
          </a:r>
          <a:r>
            <a:rPr lang="en-US" sz="1100" baseline="0"/>
            <a:t> was wrongly convicted in [YEAR] and continues to be [FALSELY INCARCERATED] in [STATE]. I'm convinced [he/she/they] had no role in the crime, and now I have a tool to help prove it. The tool compares [FIRST NAME]'s case to known exonerations, then calculates the likelihood of innocence. It estimates [FIRST NAME] is [00]% innocent, which is a [STRONG CLAIM]. Together, we can help make that claim stronger. And finally liberate [FIRST NAME].</a:t>
          </a:r>
        </a:p>
      </xdr:txBody>
    </xdr:sp>
    <xdr:clientData/>
  </xdr:twoCellAnchor>
  <xdr:twoCellAnchor>
    <xdr:from>
      <xdr:col>46</xdr:col>
      <xdr:colOff>109945</xdr:colOff>
      <xdr:row>1892</xdr:row>
      <xdr:rowOff>66402</xdr:rowOff>
    </xdr:from>
    <xdr:to>
      <xdr:col>63</xdr:col>
      <xdr:colOff>91439</xdr:colOff>
      <xdr:row>1897</xdr:row>
      <xdr:rowOff>51162</xdr:rowOff>
    </xdr:to>
    <xdr:sp macro="" textlink="">
      <xdr:nvSpPr>
        <xdr:cNvPr id="102" name="TextBox 101">
          <a:extLst>
            <a:ext uri="{FF2B5EF4-FFF2-40B4-BE49-F238E27FC236}">
              <a16:creationId xmlns:a16="http://schemas.microsoft.com/office/drawing/2014/main" id="{4C71F002-D4F1-4D20-8AAF-FCCDF79E6B23}"/>
            </a:ext>
          </a:extLst>
        </xdr:cNvPr>
        <xdr:cNvSpPr txBox="1"/>
      </xdr:nvSpPr>
      <xdr:spPr>
        <a:xfrm>
          <a:off x="12050485" y="375480942"/>
          <a:ext cx="5414554"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ahoma" panose="020B0604030504040204" pitchFamily="34" charset="0"/>
              <a:ea typeface="Tahoma" panose="020B0604030504040204" pitchFamily="34" charset="0"/>
              <a:cs typeface="Tahoma" panose="020B0604030504040204" pitchFamily="34" charset="0"/>
            </a:rPr>
            <a:t>B</a:t>
          </a:r>
          <a:r>
            <a:rPr lang="en-US" sz="1100" b="1">
              <a:solidFill>
                <a:schemeClr val="dk1"/>
              </a:solidFill>
              <a:effectLst/>
              <a:latin typeface="+mn-lt"/>
              <a:ea typeface="+mn-ea"/>
              <a:cs typeface="+mn-cs"/>
            </a:rPr>
            <a:t> </a:t>
          </a:r>
          <a:r>
            <a:rPr lang="en-US" sz="1100"/>
            <a:t>[CLAIMANT]</a:t>
          </a:r>
          <a:r>
            <a:rPr lang="en-US" sz="1100" baseline="0"/>
            <a:t> was wrongly convicted in [YEAR] and continues to be [INCARCERATED]. I'm convinced [he/she/they] had no role in the crime, and now I have a tool to help prove it. </a:t>
          </a:r>
        </a:p>
        <a:p>
          <a:r>
            <a:rPr lang="en-US" sz="1100" baseline="0"/>
            <a:t>The criminal justice system continues to resist its complicity in condemning those [fully innocent of the crime]. We now are exploring an alternative, and need your support. </a:t>
          </a:r>
          <a:endParaRPr lang="en-US" sz="1100"/>
        </a:p>
      </xdr:txBody>
    </xdr:sp>
    <xdr:clientData/>
  </xdr:twoCellAnchor>
  <xdr:twoCellAnchor>
    <xdr:from>
      <xdr:col>88</xdr:col>
      <xdr:colOff>285204</xdr:colOff>
      <xdr:row>1887</xdr:row>
      <xdr:rowOff>203561</xdr:rowOff>
    </xdr:from>
    <xdr:to>
      <xdr:col>98</xdr:col>
      <xdr:colOff>27213</xdr:colOff>
      <xdr:row>1892</xdr:row>
      <xdr:rowOff>158930</xdr:rowOff>
    </xdr:to>
    <xdr:sp macro="" textlink="">
      <xdr:nvSpPr>
        <xdr:cNvPr id="103" name="TextBox 102">
          <a:extLst>
            <a:ext uri="{FF2B5EF4-FFF2-40B4-BE49-F238E27FC236}">
              <a16:creationId xmlns:a16="http://schemas.microsoft.com/office/drawing/2014/main" id="{DAF085EB-5D38-443D-91BE-B150F5AF6C78}"/>
            </a:ext>
          </a:extLst>
        </xdr:cNvPr>
        <xdr:cNvSpPr txBox="1"/>
      </xdr:nvSpPr>
      <xdr:spPr>
        <a:xfrm>
          <a:off x="28403004" y="374513201"/>
          <a:ext cx="5838009" cy="10602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asserts [##] of six known factors common in wrongful convictions. [PPP] identifies [##] other important factors contributing to wrongful convictions. [PPP] needs your support to help prove [PPP] [compelling] claim. With your support, [PPP] can [VERIFICATION PROGRESS]. </a:t>
          </a:r>
        </a:p>
        <a:p>
          <a:endParaRPr lang="en-US" sz="1100" baseline="0"/>
        </a:p>
        <a:p>
          <a:r>
            <a:rPr lang="en-US" sz="1100" baseline="0"/>
            <a:t>{complement or compete with adversarial justice}</a:t>
          </a:r>
        </a:p>
      </xdr:txBody>
    </xdr:sp>
    <xdr:clientData/>
  </xdr:twoCellAnchor>
  <xdr:twoCellAnchor>
    <xdr:from>
      <xdr:col>88</xdr:col>
      <xdr:colOff>281940</xdr:colOff>
      <xdr:row>1892</xdr:row>
      <xdr:rowOff>182879</xdr:rowOff>
    </xdr:from>
    <xdr:to>
      <xdr:col>98</xdr:col>
      <xdr:colOff>30480</xdr:colOff>
      <xdr:row>1901</xdr:row>
      <xdr:rowOff>106679</xdr:rowOff>
    </xdr:to>
    <xdr:sp macro="" textlink="">
      <xdr:nvSpPr>
        <xdr:cNvPr id="104" name="TextBox 103">
          <a:extLst>
            <a:ext uri="{FF2B5EF4-FFF2-40B4-BE49-F238E27FC236}">
              <a16:creationId xmlns:a16="http://schemas.microsoft.com/office/drawing/2014/main" id="{A6CB2AC7-A6CE-4669-9543-2F0C1D39386F}"/>
            </a:ext>
          </a:extLst>
        </xdr:cNvPr>
        <xdr:cNvSpPr txBox="1"/>
      </xdr:nvSpPr>
      <xdr:spPr>
        <a:xfrm>
          <a:off x="28399740" y="375597419"/>
          <a:ext cx="5844540" cy="1516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I. Just a reminder - paragraph 2</a:t>
          </a:r>
        </a:p>
        <a:p>
          <a:endParaRPr lang="en-US" sz="1100" baseline="0"/>
        </a:p>
        <a:p>
          <a:r>
            <a:rPr lang="en-US" sz="1100" baseline="0"/>
            <a:t>Contrary to popular beliefs, guilty prisoners readily admit to their crimes. They often minimize the harm of their admitted misconduct. Or they complain about harsh sentences and prison conditions. [CLAIMANT] sits among the 15% or so who assert full innocence. Innocence denying judicial elites expect you to lump [CLAIMANT] with stereotypical criminals denying responsibility, so they can denyo or minimize their responsibility. It is now easier for the accused like [CLAIMANT] to admit their human imperfections than for police and prosecutors to admit theirs.</a:t>
          </a:r>
          <a:endParaRPr lang="en-US" sz="1100"/>
        </a:p>
      </xdr:txBody>
    </xdr:sp>
    <xdr:clientData/>
  </xdr:twoCellAnchor>
  <xdr:twoCellAnchor>
    <xdr:from>
      <xdr:col>88</xdr:col>
      <xdr:colOff>281940</xdr:colOff>
      <xdr:row>1901</xdr:row>
      <xdr:rowOff>129539</xdr:rowOff>
    </xdr:from>
    <xdr:to>
      <xdr:col>98</xdr:col>
      <xdr:colOff>30480</xdr:colOff>
      <xdr:row>1913</xdr:row>
      <xdr:rowOff>7619</xdr:rowOff>
    </xdr:to>
    <xdr:sp macro="" textlink="">
      <xdr:nvSpPr>
        <xdr:cNvPr id="105" name="TextBox 104">
          <a:extLst>
            <a:ext uri="{FF2B5EF4-FFF2-40B4-BE49-F238E27FC236}">
              <a16:creationId xmlns:a16="http://schemas.microsoft.com/office/drawing/2014/main" id="{76C03D7F-3B81-4F4F-AE91-E3CD2D014FC0}"/>
            </a:ext>
          </a:extLst>
        </xdr:cNvPr>
        <xdr:cNvSpPr txBox="1"/>
      </xdr:nvSpPr>
      <xdr:spPr>
        <a:xfrm>
          <a:off x="28399740" y="377136659"/>
          <a:ext cx="5844540"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I. Just a reminder - paragraph 3</a:t>
          </a:r>
        </a:p>
        <a:p>
          <a:endParaRPr lang="en-US" sz="1100" baseline="0"/>
        </a:p>
        <a:p>
          <a:r>
            <a:rPr lang="en-US" sz="1100" baseline="0"/>
            <a:t>Conflicts of interest prevent the criminal justice system from promptly admitting and correcting these errors. Innocence projects lack sufficient resources to process [CLAIMANT]'s claim. We are now taking matters in our hand. In this era of populist empowerment, we're taking the lead in dissecting [his/her/their] innocence claim. Essentially, we are doing a higher quality version of the state's work and expect to be responsibly compensated. Or deny them democratic legitimacy if they refuse. With your help, we will create value, produce results, meet needs, remove pain, and serve justice on all sides. Together, we invest in "</a:t>
          </a:r>
          <a:r>
            <a:rPr lang="en-US" sz="1100" b="1" baseline="0"/>
            <a:t>conviction quality</a:t>
          </a:r>
          <a:r>
            <a:rPr lang="en-US" sz="1100" baseline="0"/>
            <a:t>" as a pioneering approach. It will either complement or compete with the slow legal process. Deeper justice demands it.</a:t>
          </a:r>
          <a:endParaRPr lang="en-US" sz="1100"/>
        </a:p>
      </xdr:txBody>
    </xdr:sp>
    <xdr:clientData/>
  </xdr:twoCellAnchor>
  <xdr:twoCellAnchor>
    <xdr:from>
      <xdr:col>44</xdr:col>
      <xdr:colOff>177439</xdr:colOff>
      <xdr:row>2301</xdr:row>
      <xdr:rowOff>14151</xdr:rowOff>
    </xdr:from>
    <xdr:to>
      <xdr:col>56</xdr:col>
      <xdr:colOff>46811</xdr:colOff>
      <xdr:row>2307</xdr:row>
      <xdr:rowOff>102325</xdr:rowOff>
    </xdr:to>
    <xdr:sp macro="" textlink="">
      <xdr:nvSpPr>
        <xdr:cNvPr id="106" name="TextBox 105">
          <a:extLst>
            <a:ext uri="{FF2B5EF4-FFF2-40B4-BE49-F238E27FC236}">
              <a16:creationId xmlns:a16="http://schemas.microsoft.com/office/drawing/2014/main" id="{CF6EE105-3C55-4F06-8226-5B9B87FE474B}"/>
            </a:ext>
          </a:extLst>
        </xdr:cNvPr>
        <xdr:cNvSpPr txBox="1"/>
      </xdr:nvSpPr>
      <xdr:spPr>
        <a:xfrm>
          <a:off x="11599819" y="448573071"/>
          <a:ext cx="2909752" cy="1139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There is no free lunch</a:t>
          </a:r>
        </a:p>
        <a:p>
          <a:endParaRPr lang="en-US" sz="1100"/>
        </a:p>
        <a:p>
          <a:r>
            <a:rPr lang="en-US" sz="1100"/>
            <a:t>exaction invoice</a:t>
          </a:r>
        </a:p>
        <a:p>
          <a:endParaRPr lang="en-US" sz="1100"/>
        </a:p>
        <a:p>
          <a:r>
            <a:rPr lang="en-US" sz="1100"/>
            <a:t>How much is this worth to you?</a:t>
          </a:r>
        </a:p>
      </xdr:txBody>
    </xdr:sp>
    <xdr:clientData/>
  </xdr:twoCellAnchor>
  <xdr:twoCellAnchor>
    <xdr:from>
      <xdr:col>32</xdr:col>
      <xdr:colOff>229689</xdr:colOff>
      <xdr:row>2300</xdr:row>
      <xdr:rowOff>20682</xdr:rowOff>
    </xdr:from>
    <xdr:to>
      <xdr:col>44</xdr:col>
      <xdr:colOff>28303</xdr:colOff>
      <xdr:row>2307</xdr:row>
      <xdr:rowOff>28302</xdr:rowOff>
    </xdr:to>
    <xdr:sp macro="" textlink="">
      <xdr:nvSpPr>
        <xdr:cNvPr id="107" name="TextBox 106">
          <a:extLst>
            <a:ext uri="{FF2B5EF4-FFF2-40B4-BE49-F238E27FC236}">
              <a16:creationId xmlns:a16="http://schemas.microsoft.com/office/drawing/2014/main" id="{06693A92-B0B7-4E3B-BB84-877DE878C4A6}"/>
            </a:ext>
          </a:extLst>
        </xdr:cNvPr>
        <xdr:cNvSpPr txBox="1"/>
      </xdr:nvSpPr>
      <xdr:spPr>
        <a:xfrm>
          <a:off x="8543109" y="448404342"/>
          <a:ext cx="2907574" cy="12344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Hard no	definitely not</a:t>
          </a:r>
        </a:p>
        <a:p>
          <a:r>
            <a:rPr lang="en-US" sz="1100">
              <a:solidFill>
                <a:schemeClr val="dk1"/>
              </a:solidFill>
              <a:effectLst/>
              <a:latin typeface="+mn-lt"/>
              <a:ea typeface="+mn-ea"/>
              <a:cs typeface="+mn-cs"/>
            </a:rPr>
            <a:t>Soft no	only if ______</a:t>
          </a:r>
        </a:p>
        <a:p>
          <a:r>
            <a:rPr lang="en-US" sz="1100">
              <a:solidFill>
                <a:schemeClr val="dk1"/>
              </a:solidFill>
              <a:effectLst/>
              <a:latin typeface="+mn-lt"/>
              <a:ea typeface="+mn-ea"/>
              <a:cs typeface="+mn-cs"/>
            </a:rPr>
            <a:t>Hesitant	perhaps</a:t>
          </a:r>
        </a:p>
        <a:p>
          <a:r>
            <a:rPr lang="en-US" sz="1100">
              <a:solidFill>
                <a:schemeClr val="dk1"/>
              </a:solidFill>
              <a:effectLst/>
              <a:latin typeface="+mn-lt"/>
              <a:ea typeface="+mn-ea"/>
              <a:cs typeface="+mn-cs"/>
            </a:rPr>
            <a:t>Soft yes	Yes, but first ____</a:t>
          </a:r>
        </a:p>
        <a:p>
          <a:r>
            <a:rPr lang="en-US" sz="1100">
              <a:solidFill>
                <a:schemeClr val="dk1"/>
              </a:solidFill>
              <a:effectLst/>
              <a:latin typeface="+mn-lt"/>
              <a:ea typeface="+mn-ea"/>
              <a:cs typeface="+mn-cs"/>
            </a:rPr>
            <a:t>Eager yes	Ready to start</a:t>
          </a:r>
        </a:p>
      </xdr:txBody>
    </xdr:sp>
    <xdr:clientData/>
  </xdr:twoCellAnchor>
  <xdr:twoCellAnchor>
    <xdr:from>
      <xdr:col>47</xdr:col>
      <xdr:colOff>114300</xdr:colOff>
      <xdr:row>784</xdr:row>
      <xdr:rowOff>91440</xdr:rowOff>
    </xdr:from>
    <xdr:to>
      <xdr:col>60</xdr:col>
      <xdr:colOff>99060</xdr:colOff>
      <xdr:row>790</xdr:row>
      <xdr:rowOff>167640</xdr:rowOff>
    </xdr:to>
    <xdr:sp macro="" textlink="">
      <xdr:nvSpPr>
        <xdr:cNvPr id="108" name="TextBox 107">
          <a:extLst>
            <a:ext uri="{FF2B5EF4-FFF2-40B4-BE49-F238E27FC236}">
              <a16:creationId xmlns:a16="http://schemas.microsoft.com/office/drawing/2014/main" id="{C14B196D-7B19-409B-B9CA-7D1F1FE25B78}"/>
            </a:ext>
          </a:extLst>
        </xdr:cNvPr>
        <xdr:cNvSpPr txBox="1"/>
      </xdr:nvSpPr>
      <xdr:spPr>
        <a:xfrm>
          <a:off x="12313920" y="272978880"/>
          <a:ext cx="3832860" cy="1203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Painful</a:t>
          </a:r>
          <a:r>
            <a:rPr lang="en-US" sz="1100" b="1" i="0" u="none" strike="noStrike" baseline="0">
              <a:solidFill>
                <a:schemeClr val="dk1"/>
              </a:solidFill>
              <a:effectLst/>
              <a:latin typeface="+mn-lt"/>
              <a:ea typeface="+mn-ea"/>
              <a:cs typeface="+mn-cs"/>
            </a:rPr>
            <a:t> experiences with the adversarial legal-judicial system helps account for the estimated high volume of unexonerated innocent. This tool exists independent of the judiciary and can either complement it or compete with it. </a:t>
          </a:r>
        </a:p>
        <a:p>
          <a:endParaRPr lang="en-US" sz="1100" b="1" i="0" u="none" strike="noStrike" baseline="0">
            <a:solidFill>
              <a:schemeClr val="dk1"/>
            </a:solidFill>
            <a:effectLst/>
            <a:latin typeface="+mn-lt"/>
            <a:ea typeface="+mn-ea"/>
            <a:cs typeface="+mn-cs"/>
          </a:endParaRPr>
        </a:p>
        <a:p>
          <a:r>
            <a:rPr lang="en-US">
              <a:effectLst/>
            </a:rPr>
            <a:t>legitimacy</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EIT option</a:t>
          </a:r>
        </a:p>
        <a:p>
          <a:endParaRPr lang="en-US" sz="1100"/>
        </a:p>
      </xdr:txBody>
    </xdr:sp>
    <xdr:clientData/>
  </xdr:twoCellAnchor>
  <xdr:twoCellAnchor>
    <xdr:from>
      <xdr:col>47</xdr:col>
      <xdr:colOff>115455</xdr:colOff>
      <xdr:row>791</xdr:row>
      <xdr:rowOff>38100</xdr:rowOff>
    </xdr:from>
    <xdr:to>
      <xdr:col>60</xdr:col>
      <xdr:colOff>272936</xdr:colOff>
      <xdr:row>798</xdr:row>
      <xdr:rowOff>46446</xdr:rowOff>
    </xdr:to>
    <xdr:sp macro="" textlink="">
      <xdr:nvSpPr>
        <xdr:cNvPr id="109" name="TextBox 108">
          <a:extLst>
            <a:ext uri="{FF2B5EF4-FFF2-40B4-BE49-F238E27FC236}">
              <a16:creationId xmlns:a16="http://schemas.microsoft.com/office/drawing/2014/main" id="{B8346C2B-13E6-4CA5-B12F-18D782E55824}"/>
            </a:ext>
          </a:extLst>
        </xdr:cNvPr>
        <xdr:cNvSpPr txBox="1"/>
      </xdr:nvSpPr>
      <xdr:spPr>
        <a:xfrm>
          <a:off x="12315075" y="274236180"/>
          <a:ext cx="4005581" cy="1318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Request</a:t>
          </a:r>
          <a:r>
            <a:rPr lang="en-US" sz="1100" b="1" i="0" u="none" strike="noStrike" baseline="0">
              <a:solidFill>
                <a:schemeClr val="dk1"/>
              </a:solidFill>
              <a:effectLst/>
              <a:latin typeface="+mn-lt"/>
              <a:ea typeface="+mn-ea"/>
              <a:cs typeface="+mn-cs"/>
            </a:rPr>
            <a:t> not honored:</a:t>
          </a:r>
        </a:p>
        <a:p>
          <a:r>
            <a:rPr lang="en-US" sz="1100" b="0" i="0" u="none" strike="noStrike" baseline="0">
              <a:solidFill>
                <a:schemeClr val="dk1"/>
              </a:solidFill>
              <a:effectLst/>
              <a:latin typeface="+mn-lt"/>
              <a:ea typeface="+mn-ea"/>
              <a:cs typeface="+mn-cs"/>
            </a:rPr>
            <a:t>Prioritizing assistance to claimants on death row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life sentance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long sentences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still in prison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28</xdr:col>
      <xdr:colOff>68580</xdr:colOff>
      <xdr:row>795</xdr:row>
      <xdr:rowOff>52647</xdr:rowOff>
    </xdr:from>
    <xdr:to>
      <xdr:col>43</xdr:col>
      <xdr:colOff>185190</xdr:colOff>
      <xdr:row>800</xdr:row>
      <xdr:rowOff>358140</xdr:rowOff>
    </xdr:to>
    <xdr:sp macro="" textlink="">
      <xdr:nvSpPr>
        <xdr:cNvPr id="110" name="TextBox 109">
          <a:extLst>
            <a:ext uri="{FF2B5EF4-FFF2-40B4-BE49-F238E27FC236}">
              <a16:creationId xmlns:a16="http://schemas.microsoft.com/office/drawing/2014/main" id="{CE56A1FB-97BB-4500-8D5E-C488670628CC}"/>
            </a:ext>
          </a:extLst>
        </xdr:cNvPr>
        <xdr:cNvSpPr txBox="1"/>
      </xdr:nvSpPr>
      <xdr:spPr>
        <a:xfrm>
          <a:off x="7345680" y="274997487"/>
          <a:ext cx="4002810" cy="1250373"/>
        </a:xfrm>
        <a:prstGeom prst="rect">
          <a:avLst/>
        </a:prstGeom>
        <a:solidFill>
          <a:srgbClr val="FFE6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62 satisfaction</a:t>
          </a:r>
          <a:r>
            <a:rPr lang="en-US" sz="1100" b="1" i="0" u="none" strike="noStrike" baseline="0">
              <a:solidFill>
                <a:schemeClr val="dk1"/>
              </a:solidFill>
              <a:effectLst/>
              <a:latin typeface="+mn-lt"/>
              <a:ea typeface="+mn-ea"/>
              <a:cs typeface="+mn-cs"/>
            </a:rPr>
            <a:t> level:</a:t>
          </a:r>
        </a:p>
        <a:p>
          <a:r>
            <a:rPr lang="en-US" sz="1100" b="0" i="0" u="none" strike="noStrike" baseline="0">
              <a:solidFill>
                <a:schemeClr val="dk1"/>
              </a:solidFill>
              <a:effectLst/>
              <a:latin typeface="+mn-lt"/>
              <a:ea typeface="+mn-ea"/>
              <a:cs typeface="+mn-cs"/>
            </a:rPr>
            <a:t>grateful for the efforts to serve innocence claimants </a:t>
          </a:r>
        </a:p>
        <a:p>
          <a:r>
            <a:rPr lang="en-US" sz="1100" b="0" i="0" u="none" strike="noStrike" baseline="0">
              <a:solidFill>
                <a:schemeClr val="dk1"/>
              </a:solidFill>
              <a:effectLst/>
              <a:latin typeface="+mn-lt"/>
              <a:ea typeface="+mn-ea"/>
              <a:cs typeface="+mn-cs"/>
            </a:rPr>
            <a:t>content with level of service to innocence claimants</a:t>
          </a:r>
        </a:p>
        <a:p>
          <a:r>
            <a:rPr lang="en-US" sz="1100" b="0" i="0" u="none" strike="noStrike" baseline="0">
              <a:solidFill>
                <a:schemeClr val="dk1"/>
              </a:solidFill>
              <a:effectLst/>
              <a:latin typeface="+mn-lt"/>
              <a:ea typeface="+mn-ea"/>
              <a:cs typeface="+mn-cs"/>
            </a:rPr>
            <a:t>discontent but understanding of limited service to claimants</a:t>
          </a:r>
        </a:p>
        <a:p>
          <a:r>
            <a:rPr lang="en-US" sz="1100" b="0" i="0" u="none" strike="noStrike" baseline="0">
              <a:solidFill>
                <a:schemeClr val="dk1"/>
              </a:solidFill>
              <a:effectLst/>
              <a:latin typeface="+mn-lt"/>
              <a:ea typeface="+mn-ea"/>
              <a:cs typeface="+mn-cs"/>
            </a:rPr>
            <a:t>discouraged with the limited level of service to claimants</a:t>
          </a:r>
        </a:p>
        <a:p>
          <a:r>
            <a:rPr lang="en-US" sz="1100" b="0" i="0" u="none" strike="noStrike" baseline="0">
              <a:solidFill>
                <a:schemeClr val="dk1"/>
              </a:solidFill>
              <a:effectLst/>
              <a:latin typeface="+mn-lt"/>
              <a:ea typeface="+mn-ea"/>
              <a:cs typeface="+mn-cs"/>
            </a:rPr>
            <a:t>disgusted with the limited level of service to claimants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47</xdr:col>
      <xdr:colOff>114300</xdr:colOff>
      <xdr:row>798</xdr:row>
      <xdr:rowOff>67887</xdr:rowOff>
    </xdr:from>
    <xdr:to>
      <xdr:col>60</xdr:col>
      <xdr:colOff>269010</xdr:colOff>
      <xdr:row>807</xdr:row>
      <xdr:rowOff>20353</xdr:rowOff>
    </xdr:to>
    <xdr:sp macro="" textlink="">
      <xdr:nvSpPr>
        <xdr:cNvPr id="111" name="TextBox 110">
          <a:extLst>
            <a:ext uri="{FF2B5EF4-FFF2-40B4-BE49-F238E27FC236}">
              <a16:creationId xmlns:a16="http://schemas.microsoft.com/office/drawing/2014/main" id="{93E97119-3E34-4D2D-8191-7D3EF0878F10}"/>
            </a:ext>
          </a:extLst>
        </xdr:cNvPr>
        <xdr:cNvSpPr txBox="1"/>
      </xdr:nvSpPr>
      <xdr:spPr>
        <a:xfrm>
          <a:off x="12313920" y="275576607"/>
          <a:ext cx="4002810" cy="1918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hestitancy</a:t>
          </a:r>
          <a:r>
            <a:rPr lang="en-US" sz="1100" b="1" i="0" u="none" strike="noStrike" baseline="0">
              <a:solidFill>
                <a:schemeClr val="dk1"/>
              </a:solidFill>
              <a:effectLst/>
              <a:latin typeface="+mn-lt"/>
              <a:ea typeface="+mn-ea"/>
              <a:cs typeface="+mn-cs"/>
            </a:rPr>
            <a:t> to trust or seek legal recourse:</a:t>
          </a:r>
        </a:p>
        <a:p>
          <a:r>
            <a:rPr lang="en-US" sz="1100" b="0" i="0" u="none" strike="noStrike" baseline="0">
              <a:solidFill>
                <a:schemeClr val="dk1"/>
              </a:solidFill>
              <a:effectLst/>
              <a:latin typeface="+mn-lt"/>
              <a:ea typeface="+mn-ea"/>
              <a:cs typeface="+mn-cs"/>
            </a:rPr>
            <a:t>worry legal-judical process could retraumatize me</a:t>
          </a:r>
        </a:p>
        <a:p>
          <a:r>
            <a:rPr lang="en-US" sz="1100" b="0" i="0" u="none" strike="noStrike" baseline="0">
              <a:solidFill>
                <a:schemeClr val="dk1"/>
              </a:solidFill>
              <a:effectLst/>
              <a:latin typeface="+mn-lt"/>
              <a:ea typeface="+mn-ea"/>
              <a:cs typeface="+mn-cs"/>
            </a:rPr>
            <a:t>endured bouts of depression because of legal-judicial process</a:t>
          </a:r>
        </a:p>
        <a:p>
          <a:r>
            <a:rPr lang="en-US" sz="1100" b="0" i="0" u="none" strike="noStrike" baseline="0">
              <a:solidFill>
                <a:schemeClr val="dk1"/>
              </a:solidFill>
              <a:effectLst/>
              <a:latin typeface="+mn-lt"/>
              <a:ea typeface="+mn-ea"/>
              <a:cs typeface="+mn-cs"/>
            </a:rPr>
            <a:t>fear of dismissiveness; low priority</a:t>
          </a:r>
        </a:p>
        <a:p>
          <a:r>
            <a:rPr lang="en-US" sz="1100" b="0" i="0" u="none" strike="noStrike" baseline="0">
              <a:solidFill>
                <a:schemeClr val="dk1"/>
              </a:solidFill>
              <a:effectLst/>
              <a:latin typeface="+mn-lt"/>
              <a:ea typeface="+mn-ea"/>
              <a:cs typeface="+mn-cs"/>
            </a:rPr>
            <a:t>anxiety  from trusting same process creating egregious error</a:t>
          </a:r>
        </a:p>
        <a:p>
          <a:r>
            <a:rPr lang="en-US" sz="1100" b="0" i="0" u="none" strike="noStrike" baseline="0">
              <a:solidFill>
                <a:schemeClr val="dk1"/>
              </a:solidFill>
              <a:effectLst/>
              <a:latin typeface="+mn-lt"/>
              <a:ea typeface="+mn-ea"/>
              <a:cs typeface="+mn-cs"/>
            </a:rPr>
            <a:t>anxiety from extremely slow process of court review</a:t>
          </a:r>
        </a:p>
        <a:p>
          <a:r>
            <a:rPr lang="en-US" sz="1100" b="0" i="0" u="none" strike="noStrike" baseline="0">
              <a:solidFill>
                <a:schemeClr val="dk1"/>
              </a:solidFill>
              <a:effectLst/>
              <a:latin typeface="+mn-lt"/>
              <a:ea typeface="+mn-ea"/>
              <a:cs typeface="+mn-cs"/>
            </a:rPr>
            <a:t>anxiety from prosecutor resisting admission of being wrong</a:t>
          </a:r>
        </a:p>
        <a:p>
          <a:r>
            <a:rPr lang="en-US" sz="1100" b="0" i="0" u="none" strike="noStrike" baseline="0">
              <a:solidFill>
                <a:schemeClr val="dk1"/>
              </a:solidFill>
              <a:effectLst/>
              <a:latin typeface="+mn-lt"/>
              <a:ea typeface="+mn-ea"/>
              <a:cs typeface="+mn-cs"/>
            </a:rPr>
            <a:t>anxiety from being denied review/reversal by technicality</a:t>
          </a:r>
        </a:p>
        <a:p>
          <a:r>
            <a:rPr lang="en-US" sz="1100" b="0" i="0" u="none" strike="noStrike" baseline="0">
              <a:solidFill>
                <a:schemeClr val="dk1"/>
              </a:solidFill>
              <a:effectLst/>
              <a:latin typeface="+mn-lt"/>
              <a:ea typeface="+mn-ea"/>
              <a:cs typeface="+mn-cs"/>
            </a:rPr>
            <a:t>disillusioned with process (no longer seeking exoneration)</a:t>
          </a:r>
        </a:p>
        <a:p>
          <a:r>
            <a:rPr lang="en-US" sz="1100" b="0" i="0" u="none" strike="noStrike" baseline="0">
              <a:solidFill>
                <a:schemeClr val="dk1"/>
              </a:solidFill>
              <a:effectLst/>
              <a:latin typeface="+mn-lt"/>
              <a:ea typeface="+mn-ea"/>
              <a:cs typeface="+mn-cs"/>
            </a:rPr>
            <a:t>conflict of interest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28</xdr:col>
      <xdr:colOff>68580</xdr:colOff>
      <xdr:row>788</xdr:row>
      <xdr:rowOff>152400</xdr:rowOff>
    </xdr:from>
    <xdr:to>
      <xdr:col>45</xdr:col>
      <xdr:colOff>76200</xdr:colOff>
      <xdr:row>795</xdr:row>
      <xdr:rowOff>22860</xdr:rowOff>
    </xdr:to>
    <xdr:sp macro="" textlink="">
      <xdr:nvSpPr>
        <xdr:cNvPr id="112" name="TextBox 111">
          <a:extLst>
            <a:ext uri="{FF2B5EF4-FFF2-40B4-BE49-F238E27FC236}">
              <a16:creationId xmlns:a16="http://schemas.microsoft.com/office/drawing/2014/main" id="{8AC4EA09-F883-42A6-84C5-8FBCE1D5F6A7}"/>
            </a:ext>
          </a:extLst>
        </xdr:cNvPr>
        <xdr:cNvSpPr txBox="1"/>
      </xdr:nvSpPr>
      <xdr:spPr>
        <a:xfrm>
          <a:off x="7345680" y="273794220"/>
          <a:ext cx="4411980" cy="1173480"/>
        </a:xfrm>
        <a:prstGeom prst="rect">
          <a:avLst/>
        </a:prstGeom>
        <a:solidFill>
          <a:srgbClr val="FFF0B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59-61 Trust level</a:t>
          </a:r>
        </a:p>
        <a:p>
          <a:r>
            <a:rPr lang="en-US" sz="1100" b="0" i="0" u="none" strike="noStrike" baseline="0">
              <a:solidFill>
                <a:schemeClr val="dk1"/>
              </a:solidFill>
              <a:effectLst/>
              <a:latin typeface="+mn-lt"/>
              <a:ea typeface="+mn-ea"/>
              <a:cs typeface="+mn-cs"/>
            </a:rPr>
            <a:t>I continue to trust their legal-judicial process for official exoneration</a:t>
          </a:r>
        </a:p>
        <a:p>
          <a:r>
            <a:rPr lang="en-US" sz="1100" b="0" i="0" u="none" strike="noStrike" baseline="0">
              <a:solidFill>
                <a:schemeClr val="dk1"/>
              </a:solidFill>
              <a:effectLst/>
              <a:latin typeface="+mn-lt"/>
              <a:ea typeface="+mn-ea"/>
              <a:cs typeface="+mn-cs"/>
            </a:rPr>
            <a:t>I'd start trusting them less if I knew of a popular alternative</a:t>
          </a:r>
        </a:p>
        <a:p>
          <a:r>
            <a:rPr lang="en-US" sz="1100" b="0" i="0" u="none" strike="noStrike" baseline="0">
              <a:solidFill>
                <a:schemeClr val="dk1"/>
              </a:solidFill>
              <a:effectLst/>
              <a:latin typeface="+mn-lt"/>
              <a:ea typeface="+mn-ea"/>
              <a:cs typeface="+mn-cs"/>
            </a:rPr>
            <a:t>I'd lose trust if seeing an alternative work for other claimants</a:t>
          </a:r>
        </a:p>
        <a:p>
          <a:r>
            <a:rPr lang="en-US" sz="1100" b="0" i="0" u="none" strike="noStrike" baseline="0">
              <a:solidFill>
                <a:schemeClr val="dk1"/>
              </a:solidFill>
              <a:effectLst/>
              <a:latin typeface="+mn-lt"/>
              <a:ea typeface="+mn-ea"/>
              <a:cs typeface="+mn-cs"/>
            </a:rPr>
            <a:t>I'm discouraged and ready to try something radically different</a:t>
          </a:r>
        </a:p>
        <a:p>
          <a:r>
            <a:rPr lang="en-US" sz="1100"/>
            <a:t>I totally distrust</a:t>
          </a:r>
          <a:r>
            <a:rPr lang="en-US" sz="1100" baseline="0"/>
            <a:t> their dismissive approach &amp; now seeking a better option</a:t>
          </a:r>
        </a:p>
        <a:p>
          <a:endParaRPr lang="en-US" sz="1100"/>
        </a:p>
      </xdr:txBody>
    </xdr:sp>
    <xdr:clientData/>
  </xdr:twoCellAnchor>
  <xdr:twoCellAnchor>
    <xdr:from>
      <xdr:col>28</xdr:col>
      <xdr:colOff>68580</xdr:colOff>
      <xdr:row>800</xdr:row>
      <xdr:rowOff>388620</xdr:rowOff>
    </xdr:from>
    <xdr:to>
      <xdr:col>43</xdr:col>
      <xdr:colOff>228600</xdr:colOff>
      <xdr:row>806</xdr:row>
      <xdr:rowOff>160020</xdr:rowOff>
    </xdr:to>
    <xdr:sp macro="" textlink="">
      <xdr:nvSpPr>
        <xdr:cNvPr id="113" name="TextBox 112">
          <a:extLst>
            <a:ext uri="{FF2B5EF4-FFF2-40B4-BE49-F238E27FC236}">
              <a16:creationId xmlns:a16="http://schemas.microsoft.com/office/drawing/2014/main" id="{E9E4D48A-53BC-4BEC-8BE8-DAC9AE515F7C}"/>
            </a:ext>
          </a:extLst>
        </xdr:cNvPr>
        <xdr:cNvSpPr txBox="1"/>
      </xdr:nvSpPr>
      <xdr:spPr>
        <a:xfrm>
          <a:off x="7345680" y="276278340"/>
          <a:ext cx="4046220" cy="1165860"/>
        </a:xfrm>
        <a:prstGeom prst="rect">
          <a:avLst/>
        </a:prstGeom>
        <a:solidFill>
          <a:srgbClr val="FFE6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62 Trust level</a:t>
          </a:r>
        </a:p>
        <a:p>
          <a:r>
            <a:rPr lang="en-US" sz="1100" b="0" i="0" u="none" strike="noStrike" baseline="0">
              <a:solidFill>
                <a:schemeClr val="dk1"/>
              </a:solidFill>
              <a:effectLst/>
              <a:latin typeface="+mn-lt"/>
              <a:ea typeface="+mn-ea"/>
              <a:cs typeface="+mn-cs"/>
            </a:rPr>
            <a:t>I only can trust the legal-judicial process to regain my freedom</a:t>
          </a:r>
        </a:p>
        <a:p>
          <a:r>
            <a:rPr lang="en-US" sz="1100" b="0" i="0" u="none" strike="noStrike" baseline="0">
              <a:solidFill>
                <a:schemeClr val="dk1"/>
              </a:solidFill>
              <a:effectLst/>
              <a:latin typeface="+mn-lt"/>
              <a:ea typeface="+mn-ea"/>
              <a:cs typeface="+mn-cs"/>
            </a:rPr>
            <a:t>I'd likely try an alternative once it catches on as a popular option</a:t>
          </a:r>
        </a:p>
        <a:p>
          <a:r>
            <a:rPr lang="en-US" sz="1100" b="0" i="0" u="none" strike="noStrike" baseline="0">
              <a:solidFill>
                <a:schemeClr val="dk1"/>
              </a:solidFill>
              <a:effectLst/>
              <a:latin typeface="+mn-lt"/>
              <a:ea typeface="+mn-ea"/>
              <a:cs typeface="+mn-cs"/>
            </a:rPr>
            <a:t>I'm open to an alternative if I see it working for other claimants</a:t>
          </a:r>
        </a:p>
        <a:p>
          <a:r>
            <a:rPr lang="en-US" sz="1100" b="0" i="0" u="none" strike="noStrike" baseline="0">
              <a:solidFill>
                <a:schemeClr val="dk1"/>
              </a:solidFill>
              <a:effectLst/>
              <a:latin typeface="+mn-lt"/>
              <a:ea typeface="+mn-ea"/>
              <a:cs typeface="+mn-cs"/>
            </a:rPr>
            <a:t>I'll try this pioneering alternative when I can make the time</a:t>
          </a:r>
        </a:p>
        <a:p>
          <a:r>
            <a:rPr lang="en-US" sz="1100"/>
            <a:t>I'm</a:t>
          </a:r>
          <a:r>
            <a:rPr lang="en-US" sz="1100" baseline="0"/>
            <a:t> </a:t>
          </a:r>
          <a:r>
            <a:rPr lang="en-US" sz="1100"/>
            <a:t>eager to try this</a:t>
          </a:r>
          <a:r>
            <a:rPr lang="en-US" sz="1100" baseline="0"/>
            <a:t> alternative now, even if it doesn't work</a:t>
          </a:r>
        </a:p>
        <a:p>
          <a:endParaRPr lang="en-US" sz="1100"/>
        </a:p>
      </xdr:txBody>
    </xdr:sp>
    <xdr:clientData/>
  </xdr:twoCellAnchor>
  <xdr:twoCellAnchor>
    <xdr:from>
      <xdr:col>26</xdr:col>
      <xdr:colOff>53340</xdr:colOff>
      <xdr:row>498</xdr:row>
      <xdr:rowOff>76200</xdr:rowOff>
    </xdr:from>
    <xdr:to>
      <xdr:col>38</xdr:col>
      <xdr:colOff>151130</xdr:colOff>
      <xdr:row>518</xdr:row>
      <xdr:rowOff>162560</xdr:rowOff>
    </xdr:to>
    <xdr:sp macro="" textlink="">
      <xdr:nvSpPr>
        <xdr:cNvPr id="114" name="Verification progress dropdown list" hidden="1">
          <a:extLst>
            <a:ext uri="{FF2B5EF4-FFF2-40B4-BE49-F238E27FC236}">
              <a16:creationId xmlns:a16="http://schemas.microsoft.com/office/drawing/2014/main" id="{0C2C63DC-9B56-4D5A-972C-8CC4A48FA1ED}"/>
            </a:ext>
          </a:extLst>
        </xdr:cNvPr>
        <xdr:cNvSpPr txBox="1"/>
      </xdr:nvSpPr>
      <xdr:spPr>
        <a:xfrm>
          <a:off x="6812280" y="134119620"/>
          <a:ext cx="3206750" cy="1945640"/>
        </a:xfrm>
        <a:prstGeom prst="rect">
          <a:avLst/>
        </a:prstGeom>
        <a:solidFill>
          <a:schemeClr val="accent1">
            <a:lumMod val="20000"/>
            <a:lumOff val="80000"/>
          </a:schemeClr>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tabLst>
              <a:tab pos="3200400" algn="r"/>
            </a:tabLst>
          </a:pPr>
          <a:r>
            <a:rPr lang="en-US" sz="1300">
              <a:effectLst/>
              <a:latin typeface="Franklin Gothic Demi" panose="020B0703020102020204" pitchFamily="34" charset="0"/>
              <a:ea typeface="Calibri" panose="020F0502020204030204" pitchFamily="34" charset="0"/>
              <a:cs typeface="Times New Roman" panose="02020603050405020304" pitchFamily="18" charset="0"/>
            </a:rPr>
            <a:t>Verification progress</a:t>
          </a:r>
          <a:endParaRPr lang="en-US" sz="1600">
            <a:effectLst/>
            <a:latin typeface="Franklin Gothic Demi" panose="020B0703020102020204" pitchFamily="34" charset="0"/>
            <a:ea typeface="Calibri" panose="020F0502020204030204" pitchFamily="34" charset="0"/>
            <a:cs typeface="Times New Roman" panose="02020603050405020304" pitchFamily="18" charset="0"/>
          </a:endParaRP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locating my case documents	.1</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accessing my case documents	.2</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scanning my case documents	.3</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counting pages of case documents	.4</a:t>
          </a:r>
        </a:p>
        <a:p>
          <a:pPr marL="0" marR="0">
            <a:spcBef>
              <a:spcPts val="0"/>
            </a:spcBef>
            <a:spcAft>
              <a:spcPts val="0"/>
            </a:spcAft>
            <a:tabLst>
              <a:tab pos="3200400" algn="r"/>
            </a:tabLst>
          </a:pPr>
          <a:r>
            <a:rPr lang="en-US" sz="1100" spc="-20">
              <a:effectLst/>
              <a:latin typeface="Cambria" panose="02040503050406030204" pitchFamily="18" charset="0"/>
              <a:ea typeface="Cambria" panose="02040503050406030204" pitchFamily="18" charset="0"/>
              <a:cs typeface="Times New Roman" panose="02020603050405020304" pitchFamily="18" charset="0"/>
            </a:rPr>
            <a:t>Need help identifying support in case documents	.5</a:t>
          </a:r>
          <a:endParaRPr lang="en-US" sz="1100">
            <a:effectLst/>
            <a:latin typeface="Cambria" panose="02040503050406030204" pitchFamily="18" charset="0"/>
            <a:ea typeface="Cambria" panose="02040503050406030204" pitchFamily="18" charset="0"/>
            <a:cs typeface="Times New Roman" panose="02020603050405020304" pitchFamily="18" charset="0"/>
          </a:endParaRP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uploading case documents	.6</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checking if URL works	.7</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help hiring independent verifiers	.8</a:t>
          </a:r>
        </a:p>
        <a:p>
          <a:pPr marL="0" marR="0">
            <a:spcBef>
              <a:spcPts val="0"/>
            </a:spcBef>
            <a:spcAft>
              <a:spcPts val="0"/>
            </a:spcAft>
            <a:tabLst>
              <a:tab pos="3200400" algn="r"/>
            </a:tabLst>
          </a:pPr>
          <a:r>
            <a:rPr lang="en-US" sz="1100" spc="-20">
              <a:effectLst/>
              <a:latin typeface="Cambria" panose="02040503050406030204" pitchFamily="18" charset="0"/>
              <a:ea typeface="Cambria" panose="02040503050406030204" pitchFamily="18" charset="0"/>
              <a:cs typeface="Times New Roman" panose="02020603050405020304" pitchFamily="18" charset="0"/>
            </a:rPr>
            <a:t>Need help verifying claim using case document</a:t>
          </a:r>
          <a:r>
            <a:rPr lang="en-US" sz="1100">
              <a:effectLst/>
              <a:latin typeface="Cambria" panose="02040503050406030204" pitchFamily="18" charset="0"/>
              <a:ea typeface="Cambria" panose="02040503050406030204" pitchFamily="18" charset="0"/>
              <a:cs typeface="Times New Roman" panose="02020603050405020304" pitchFamily="18" charset="0"/>
            </a:rPr>
            <a:t>s	.9</a:t>
          </a:r>
        </a:p>
        <a:p>
          <a:pPr marL="0" marR="0">
            <a:spcBef>
              <a:spcPts val="0"/>
            </a:spcBef>
            <a:spcAft>
              <a:spcPts val="0"/>
            </a:spcAft>
            <a:tabLst>
              <a:tab pos="3200400" algn="r"/>
            </a:tabLst>
          </a:pPr>
          <a:r>
            <a:rPr lang="en-US" sz="1100">
              <a:effectLst/>
              <a:latin typeface="Cambria" panose="02040503050406030204" pitchFamily="18" charset="0"/>
              <a:ea typeface="Cambria" panose="02040503050406030204" pitchFamily="18" charset="0"/>
              <a:cs typeface="Times New Roman" panose="02020603050405020304" pitchFamily="18" charset="0"/>
            </a:rPr>
            <a:t>Need accreditation on claim verification	1.0</a:t>
          </a:r>
        </a:p>
      </xdr:txBody>
    </xdr:sp>
    <xdr:clientData/>
  </xdr:twoCellAnchor>
  <xdr:twoCellAnchor>
    <xdr:from>
      <xdr:col>0</xdr:col>
      <xdr:colOff>114300</xdr:colOff>
      <xdr:row>3575</xdr:row>
      <xdr:rowOff>53340</xdr:rowOff>
    </xdr:from>
    <xdr:to>
      <xdr:col>5</xdr:col>
      <xdr:colOff>99060</xdr:colOff>
      <xdr:row>3576</xdr:row>
      <xdr:rowOff>121920</xdr:rowOff>
    </xdr:to>
    <xdr:sp macro="" textlink="">
      <xdr:nvSpPr>
        <xdr:cNvPr id="115" name="Rectangle: Beveled 114">
          <a:hlinkClick xmlns:r="http://schemas.openxmlformats.org/officeDocument/2006/relationships" r:id="rId30" tooltip="back to top"/>
          <a:extLst>
            <a:ext uri="{FF2B5EF4-FFF2-40B4-BE49-F238E27FC236}">
              <a16:creationId xmlns:a16="http://schemas.microsoft.com/office/drawing/2014/main" id="{50FAAE75-E5B8-419F-8509-7B199F81DA55}"/>
            </a:ext>
          </a:extLst>
        </xdr:cNvPr>
        <xdr:cNvSpPr/>
      </xdr:nvSpPr>
      <xdr:spPr>
        <a:xfrm>
          <a:off x="114300" y="678469560"/>
          <a:ext cx="5943600" cy="243840"/>
        </a:xfrm>
        <a:prstGeom prst="bevel">
          <a:avLst>
            <a:gd name="adj" fmla="val 8814"/>
          </a:avLst>
        </a:prstGeom>
        <a:gradFill flip="none" rotWithShape="1">
          <a:gsLst>
            <a:gs pos="0">
              <a:schemeClr val="accent4">
                <a:tint val="66000"/>
                <a:satMod val="160000"/>
              </a:schemeClr>
            </a:gs>
            <a:gs pos="50000">
              <a:schemeClr val="accent4">
                <a:tint val="44500"/>
                <a:satMod val="160000"/>
              </a:schemeClr>
            </a:gs>
            <a:gs pos="100000">
              <a:schemeClr val="accent4">
                <a:tint val="23500"/>
                <a:satMod val="160000"/>
              </a:schemeClr>
            </a:gs>
          </a:gsLst>
          <a:lin ang="16200000" scaled="1"/>
          <a:tileRect/>
        </a:gra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200">
              <a:solidFill>
                <a:srgbClr val="C00000"/>
              </a:solidFill>
              <a:latin typeface="Arial Black" panose="020B0A04020102020204" pitchFamily="34" charset="0"/>
            </a:rPr>
            <a:t>back to top</a:t>
          </a:r>
        </a:p>
      </xdr:txBody>
    </xdr:sp>
    <xdr:clientData/>
  </xdr:twoCellAnchor>
  <xdr:twoCellAnchor>
    <xdr:from>
      <xdr:col>0</xdr:col>
      <xdr:colOff>91440</xdr:colOff>
      <xdr:row>1304</xdr:row>
      <xdr:rowOff>0</xdr:rowOff>
    </xdr:from>
    <xdr:to>
      <xdr:col>4</xdr:col>
      <xdr:colOff>83820</xdr:colOff>
      <xdr:row>1304</xdr:row>
      <xdr:rowOff>0</xdr:rowOff>
    </xdr:to>
    <xdr:grpSp>
      <xdr:nvGrpSpPr>
        <xdr:cNvPr id="117" name="Group 116">
          <a:extLst>
            <a:ext uri="{FF2B5EF4-FFF2-40B4-BE49-F238E27FC236}">
              <a16:creationId xmlns:a16="http://schemas.microsoft.com/office/drawing/2014/main" id="{A8D6F24B-6259-4630-B171-B53D63508136}"/>
            </a:ext>
          </a:extLst>
        </xdr:cNvPr>
        <xdr:cNvGrpSpPr/>
      </xdr:nvGrpSpPr>
      <xdr:grpSpPr>
        <a:xfrm>
          <a:off x="91440" y="350500950"/>
          <a:ext cx="5878830" cy="0"/>
          <a:chOff x="175260" y="30243780"/>
          <a:chExt cx="5760720" cy="3241675"/>
        </a:xfrm>
      </xdr:grpSpPr>
      <xdr:pic>
        <xdr:nvPicPr>
          <xdr:cNvPr id="118" name="Picture 117">
            <a:extLst>
              <a:ext uri="{FF2B5EF4-FFF2-40B4-BE49-F238E27FC236}">
                <a16:creationId xmlns:a16="http://schemas.microsoft.com/office/drawing/2014/main" id="{B7217575-07F8-4A73-BCA3-3AE59A22B01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75260" y="30243780"/>
            <a:ext cx="5760720" cy="3241675"/>
          </a:xfrm>
          <a:prstGeom prst="rect">
            <a:avLst/>
          </a:prstGeom>
        </xdr:spPr>
      </xdr:pic>
      <xdr:grpSp>
        <xdr:nvGrpSpPr>
          <xdr:cNvPr id="119" name="skewed toward error 1 - WC">
            <a:extLst>
              <a:ext uri="{FF2B5EF4-FFF2-40B4-BE49-F238E27FC236}">
                <a16:creationId xmlns:a16="http://schemas.microsoft.com/office/drawing/2014/main" id="{8E733F76-A2F9-46CF-9BCA-C0B1F4710EA7}"/>
              </a:ext>
            </a:extLst>
          </xdr:cNvPr>
          <xdr:cNvGrpSpPr>
            <a:grpSpLocks noChangeAspect="1"/>
          </xdr:cNvGrpSpPr>
        </xdr:nvGrpSpPr>
        <xdr:grpSpPr>
          <a:xfrm>
            <a:off x="487679" y="31623000"/>
            <a:ext cx="5120640" cy="1352222"/>
            <a:chOff x="696686" y="2909506"/>
            <a:chExt cx="10847614" cy="2864558"/>
          </a:xfrm>
        </xdr:grpSpPr>
        <xdr:sp macro="" textlink="">
          <xdr:nvSpPr>
            <xdr:cNvPr id="120" name="left curve">
              <a:extLst>
                <a:ext uri="{FF2B5EF4-FFF2-40B4-BE49-F238E27FC236}">
                  <a16:creationId xmlns:a16="http://schemas.microsoft.com/office/drawing/2014/main" id="{A6DD2D70-C3F4-4B95-97D0-DB4F2A2C8BD9}"/>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121" name="right curve">
              <a:extLst>
                <a:ext uri="{FF2B5EF4-FFF2-40B4-BE49-F238E27FC236}">
                  <a16:creationId xmlns:a16="http://schemas.microsoft.com/office/drawing/2014/main" id="{0391090E-59A0-4AE2-9336-16E0E79E1437}"/>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122" name="bottom">
              <a:extLst>
                <a:ext uri="{FF2B5EF4-FFF2-40B4-BE49-F238E27FC236}">
                  <a16:creationId xmlns:a16="http://schemas.microsoft.com/office/drawing/2014/main" id="{28664D9E-68C4-4EB8-95F3-2AA7485D8971}"/>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123" name="dotted center">
              <a:extLst>
                <a:ext uri="{FF2B5EF4-FFF2-40B4-BE49-F238E27FC236}">
                  <a16:creationId xmlns:a16="http://schemas.microsoft.com/office/drawing/2014/main" id="{64F52186-ACB1-435B-A5BF-097672D5F892}"/>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39</xdr:col>
      <xdr:colOff>175260</xdr:colOff>
      <xdr:row>503</xdr:row>
      <xdr:rowOff>129540</xdr:rowOff>
    </xdr:from>
    <xdr:to>
      <xdr:col>51</xdr:col>
      <xdr:colOff>26126</xdr:colOff>
      <xdr:row>515</xdr:row>
      <xdr:rowOff>121920</xdr:rowOff>
    </xdr:to>
    <xdr:sp macro="" textlink="">
      <xdr:nvSpPr>
        <xdr:cNvPr id="124" name="Rectangle: Rounded Corners 123">
          <a:extLst>
            <a:ext uri="{FF2B5EF4-FFF2-40B4-BE49-F238E27FC236}">
              <a16:creationId xmlns:a16="http://schemas.microsoft.com/office/drawing/2014/main" id="{64D87ADB-4528-4B3F-8F99-B9748E775601}"/>
            </a:ext>
          </a:extLst>
        </xdr:cNvPr>
        <xdr:cNvSpPr/>
      </xdr:nvSpPr>
      <xdr:spPr>
        <a:xfrm>
          <a:off x="10302240" y="135148320"/>
          <a:ext cx="2754086" cy="464820"/>
        </a:xfrm>
        <a:prstGeom prst="roundRect">
          <a:avLst>
            <a:gd name="adj" fmla="val 14516"/>
          </a:avLst>
        </a:prstGeom>
        <a:gradFill flip="none" rotWithShape="1">
          <a:gsLst>
            <a:gs pos="0">
              <a:srgbClr val="007832"/>
            </a:gs>
            <a:gs pos="50000">
              <a:srgbClr val="00B050"/>
            </a:gs>
            <a:gs pos="100000">
              <a:srgbClr val="01FF80"/>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800" b="1">
              <a:solidFill>
                <a:srgbClr val="9BFFC8"/>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click here for support</a:t>
          </a:r>
        </a:p>
      </xdr:txBody>
    </xdr:sp>
    <xdr:clientData/>
  </xdr:twoCellAnchor>
  <xdr:twoCellAnchor>
    <xdr:from>
      <xdr:col>3</xdr:col>
      <xdr:colOff>0</xdr:colOff>
      <xdr:row>2719</xdr:row>
      <xdr:rowOff>0</xdr:rowOff>
    </xdr:from>
    <xdr:to>
      <xdr:col>6</xdr:col>
      <xdr:colOff>388620</xdr:colOff>
      <xdr:row>2722</xdr:row>
      <xdr:rowOff>147502</xdr:rowOff>
    </xdr:to>
    <xdr:sp macro="" textlink="">
      <xdr:nvSpPr>
        <xdr:cNvPr id="125" name="TextBox 124">
          <a:extLst>
            <a:ext uri="{FF2B5EF4-FFF2-40B4-BE49-F238E27FC236}">
              <a16:creationId xmlns:a16="http://schemas.microsoft.com/office/drawing/2014/main" id="{314E0A50-CE82-4D02-8137-A49C0AB63E17}"/>
            </a:ext>
          </a:extLst>
        </xdr:cNvPr>
        <xdr:cNvSpPr txBox="1"/>
      </xdr:nvSpPr>
      <xdr:spPr>
        <a:xfrm>
          <a:off x="3794760" y="515851140"/>
          <a:ext cx="2743200" cy="696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Initial statements to police: </a:t>
          </a:r>
        </a:p>
        <a:p>
          <a:endParaRPr lang="en-US" sz="1100"/>
        </a:p>
        <a:p>
          <a:endParaRPr lang="en-US" sz="1100" baseline="0"/>
        </a:p>
      </xdr:txBody>
    </xdr:sp>
    <xdr:clientData/>
  </xdr:twoCellAnchor>
  <xdr:twoCellAnchor>
    <xdr:from>
      <xdr:col>3</xdr:col>
      <xdr:colOff>87086</xdr:colOff>
      <xdr:row>2720</xdr:row>
      <xdr:rowOff>81640</xdr:rowOff>
    </xdr:from>
    <xdr:to>
      <xdr:col>8</xdr:col>
      <xdr:colOff>170906</xdr:colOff>
      <xdr:row>2735</xdr:row>
      <xdr:rowOff>161379</xdr:rowOff>
    </xdr:to>
    <xdr:sp macro="" textlink="">
      <xdr:nvSpPr>
        <xdr:cNvPr id="126" name="TextBox 125">
          <a:extLst>
            <a:ext uri="{FF2B5EF4-FFF2-40B4-BE49-F238E27FC236}">
              <a16:creationId xmlns:a16="http://schemas.microsoft.com/office/drawing/2014/main" id="{A8DF8828-C389-4AA8-B128-CB42FBC34D51}"/>
            </a:ext>
          </a:extLst>
        </xdr:cNvPr>
        <xdr:cNvSpPr txBox="1"/>
      </xdr:nvSpPr>
      <xdr:spPr>
        <a:xfrm>
          <a:off x="3881846" y="516115660"/>
          <a:ext cx="2877094" cy="2899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Your understanding of your statements to police: </a:t>
          </a:r>
        </a:p>
        <a:p>
          <a:r>
            <a:rPr lang="en-US" sz="1100">
              <a:solidFill>
                <a:srgbClr val="7030A0"/>
              </a:solidFill>
              <a:latin typeface="Arial Black" panose="020B0A04020102020204" pitchFamily="34" charset="0"/>
            </a:rPr>
            <a:t>[</a:t>
          </a:r>
          <a:r>
            <a:rPr lang="en-US" sz="1100" i="1">
              <a:solidFill>
                <a:srgbClr val="7030A0"/>
              </a:solidFill>
              <a:latin typeface="Arial Black" panose="020B0A04020102020204" pitchFamily="34" charset="0"/>
            </a:rPr>
            <a:t>in situ</a:t>
          </a:r>
          <a:r>
            <a:rPr lang="en-US" sz="1100" i="1" baseline="0">
              <a:solidFill>
                <a:srgbClr val="7030A0"/>
              </a:solidFill>
              <a:latin typeface="Arial Black" panose="020B0A04020102020204" pitchFamily="34" charset="0"/>
            </a:rPr>
            <a:t> </a:t>
          </a:r>
          <a:r>
            <a:rPr lang="en-US" sz="1100" baseline="0">
              <a:solidFill>
                <a:srgbClr val="7030A0"/>
              </a:solidFill>
              <a:latin typeface="Arial Black" panose="020B0A04020102020204" pitchFamily="34" charset="0"/>
            </a:rPr>
            <a:t>Impact Relating]</a:t>
          </a:r>
          <a:endParaRPr lang="en-US" sz="1100">
            <a:solidFill>
              <a:srgbClr val="7030A0"/>
            </a:solidFill>
            <a:latin typeface="Arial Black" panose="020B0A04020102020204" pitchFamily="34" charset="0"/>
          </a:endParaRPr>
        </a:p>
        <a:p>
          <a:r>
            <a:rPr lang="en-US" sz="1100" baseline="0"/>
            <a:t>asserting right to remain silent</a:t>
          </a:r>
        </a:p>
        <a:p>
          <a:r>
            <a:rPr lang="en-US" sz="1100" baseline="0"/>
            <a:t>not yet a suspect nor "person of interest"</a:t>
          </a:r>
        </a:p>
        <a:p>
          <a:r>
            <a:rPr lang="en-US" sz="1100" baseline="0"/>
            <a:t>feared arrest if wasn't openly cooperative</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providing helpful information to investigate alleged incident</a:t>
          </a:r>
          <a:endParaRPr lang="en-US">
            <a:effectLst/>
          </a:endParaRPr>
        </a:p>
        <a:p>
          <a:r>
            <a:rPr lang="en-US" sz="1100" baseline="0"/>
            <a:t>providing helpful information to investigate someone else</a:t>
          </a:r>
        </a:p>
        <a:p>
          <a:r>
            <a:rPr lang="en-US" sz="1100" baseline="0"/>
            <a:t>implicate actual perpetrator</a:t>
          </a:r>
        </a:p>
        <a:p>
          <a:r>
            <a:rPr lang="en-US" sz="1100" baseline="0"/>
            <a:t>inquire what police were investigating</a:t>
          </a:r>
        </a:p>
        <a:p>
          <a:r>
            <a:rPr lang="en-US" sz="1100" baseline="0"/>
            <a:t>inquire about a matter of law ostensibly being enforced</a:t>
          </a:r>
        </a:p>
        <a:p>
          <a:r>
            <a:rPr lang="en-US" sz="1100" baseline="0"/>
            <a:t>inquire about nature of accusation(s)</a:t>
          </a:r>
        </a:p>
        <a:p>
          <a:r>
            <a:rPr lang="en-US" sz="1100" baseline="0"/>
            <a:t>inquire who was making accusation(s)</a:t>
          </a:r>
        </a:p>
        <a:p>
          <a:r>
            <a:rPr lang="en-US" sz="1100" baseline="0"/>
            <a:t>admit being present but having no criminal role</a:t>
          </a:r>
        </a:p>
        <a:p>
          <a:r>
            <a:rPr lang="en-US" sz="1100" baseline="0"/>
            <a:t>deny being present with any criminal role</a:t>
          </a:r>
        </a:p>
        <a:p>
          <a:r>
            <a:rPr lang="en-US" sz="1100" baseline="0"/>
            <a:t>admit to involvement assumed not to be criminal</a:t>
          </a:r>
        </a:p>
        <a:p>
          <a:r>
            <a:rPr lang="en-US" sz="1100" baseline="0"/>
            <a:t>other (explain below)</a:t>
          </a:r>
        </a:p>
        <a:p>
          <a:endParaRPr lang="en-US" sz="1100" baseline="0"/>
        </a:p>
        <a:p>
          <a:endParaRPr lang="en-US" sz="1100" baseline="0"/>
        </a:p>
        <a:p>
          <a:endParaRPr lang="en-US" sz="1100" baseline="0"/>
        </a:p>
      </xdr:txBody>
    </xdr:sp>
    <xdr:clientData/>
  </xdr:twoCellAnchor>
  <xdr:twoCellAnchor>
    <xdr:from>
      <xdr:col>31</xdr:col>
      <xdr:colOff>76200</xdr:colOff>
      <xdr:row>2730</xdr:row>
      <xdr:rowOff>123008</xdr:rowOff>
    </xdr:from>
    <xdr:to>
      <xdr:col>37</xdr:col>
      <xdr:colOff>188360</xdr:colOff>
      <xdr:row>2732</xdr:row>
      <xdr:rowOff>108855</xdr:rowOff>
    </xdr:to>
    <xdr:sp macro="" textlink="">
      <xdr:nvSpPr>
        <xdr:cNvPr id="127" name="Rectangle: Rounded Corners 126">
          <a:extLst>
            <a:ext uri="{FF2B5EF4-FFF2-40B4-BE49-F238E27FC236}">
              <a16:creationId xmlns:a16="http://schemas.microsoft.com/office/drawing/2014/main" id="{4ABC044A-AE7F-4525-8657-92DE31E648E8}"/>
            </a:ext>
          </a:extLst>
        </xdr:cNvPr>
        <xdr:cNvSpPr/>
      </xdr:nvSpPr>
      <xdr:spPr>
        <a:xfrm>
          <a:off x="8130540" y="518023928"/>
          <a:ext cx="1666640" cy="389707"/>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solidFill>
                <a:srgbClr val="D088FC"/>
              </a:solidFill>
              <a:latin typeface="+mn-lt"/>
              <a:ea typeface="+mn-ea"/>
              <a:cs typeface="+mn-cs"/>
            </a:rPr>
            <a:t>race of victim</a:t>
          </a:r>
        </a:p>
      </xdr:txBody>
    </xdr:sp>
    <xdr:clientData/>
  </xdr:twoCellAnchor>
  <xdr:twoCellAnchor>
    <xdr:from>
      <xdr:col>28</xdr:col>
      <xdr:colOff>39223</xdr:colOff>
      <xdr:row>2721</xdr:row>
      <xdr:rowOff>152400</xdr:rowOff>
    </xdr:from>
    <xdr:to>
      <xdr:col>49</xdr:col>
      <xdr:colOff>182916</xdr:colOff>
      <xdr:row>2726</xdr:row>
      <xdr:rowOff>50074</xdr:rowOff>
    </xdr:to>
    <xdr:sp macro="" textlink="">
      <xdr:nvSpPr>
        <xdr:cNvPr id="128" name="Rectangle: Rounded Corners 127">
          <a:extLst>
            <a:ext uri="{FF2B5EF4-FFF2-40B4-BE49-F238E27FC236}">
              <a16:creationId xmlns:a16="http://schemas.microsoft.com/office/drawing/2014/main" id="{E18E5250-B94E-48D3-A179-4F5768147C5D}"/>
            </a:ext>
          </a:extLst>
        </xdr:cNvPr>
        <xdr:cNvSpPr/>
      </xdr:nvSpPr>
      <xdr:spPr>
        <a:xfrm>
          <a:off x="7316323" y="516369300"/>
          <a:ext cx="5515793"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27</xdr:col>
      <xdr:colOff>1155</xdr:colOff>
      <xdr:row>3037</xdr:row>
      <xdr:rowOff>0</xdr:rowOff>
    </xdr:from>
    <xdr:to>
      <xdr:col>42</xdr:col>
      <xdr:colOff>120536</xdr:colOff>
      <xdr:row>3044</xdr:row>
      <xdr:rowOff>726</xdr:rowOff>
    </xdr:to>
    <xdr:sp macro="" textlink="">
      <xdr:nvSpPr>
        <xdr:cNvPr id="129" name="TextBox 128">
          <a:extLst>
            <a:ext uri="{FF2B5EF4-FFF2-40B4-BE49-F238E27FC236}">
              <a16:creationId xmlns:a16="http://schemas.microsoft.com/office/drawing/2014/main" id="{4A7A6F19-BFE7-48BA-B42A-0FECAE1A80B0}"/>
            </a:ext>
          </a:extLst>
        </xdr:cNvPr>
        <xdr:cNvSpPr txBox="1"/>
      </xdr:nvSpPr>
      <xdr:spPr>
        <a:xfrm>
          <a:off x="7019175" y="573786000"/>
          <a:ext cx="4005581" cy="1273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Request</a:t>
          </a:r>
          <a:r>
            <a:rPr lang="en-US" sz="1100" b="1" i="0" u="none" strike="noStrike" baseline="0">
              <a:solidFill>
                <a:schemeClr val="dk1"/>
              </a:solidFill>
              <a:effectLst/>
              <a:latin typeface="+mn-lt"/>
              <a:ea typeface="+mn-ea"/>
              <a:cs typeface="+mn-cs"/>
            </a:rPr>
            <a:t> not honored:</a:t>
          </a:r>
        </a:p>
        <a:p>
          <a:r>
            <a:rPr lang="en-US" sz="1100" b="0" i="0" u="none" strike="noStrike" baseline="0">
              <a:solidFill>
                <a:schemeClr val="dk1"/>
              </a:solidFill>
              <a:effectLst/>
              <a:latin typeface="+mn-lt"/>
              <a:ea typeface="+mn-ea"/>
              <a:cs typeface="+mn-cs"/>
            </a:rPr>
            <a:t>Prioritizing assistance to claimants on death row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life sentance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long sentences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still in prison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27</xdr:col>
      <xdr:colOff>0</xdr:colOff>
      <xdr:row>3044</xdr:row>
      <xdr:rowOff>90747</xdr:rowOff>
    </xdr:from>
    <xdr:to>
      <xdr:col>42</xdr:col>
      <xdr:colOff>116610</xdr:colOff>
      <xdr:row>3055</xdr:row>
      <xdr:rowOff>35593</xdr:rowOff>
    </xdr:to>
    <xdr:sp macro="" textlink="">
      <xdr:nvSpPr>
        <xdr:cNvPr id="130" name="TextBox 129">
          <a:extLst>
            <a:ext uri="{FF2B5EF4-FFF2-40B4-BE49-F238E27FC236}">
              <a16:creationId xmlns:a16="http://schemas.microsoft.com/office/drawing/2014/main" id="{6FDF25BF-632E-4C00-AAB8-0BB484024E64}"/>
            </a:ext>
          </a:extLst>
        </xdr:cNvPr>
        <xdr:cNvSpPr txBox="1"/>
      </xdr:nvSpPr>
      <xdr:spPr>
        <a:xfrm>
          <a:off x="7018020" y="575149287"/>
          <a:ext cx="4002810" cy="1941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hestitancy</a:t>
          </a:r>
          <a:r>
            <a:rPr lang="en-US" sz="1100" b="1" i="0" u="none" strike="noStrike" baseline="0">
              <a:solidFill>
                <a:schemeClr val="dk1"/>
              </a:solidFill>
              <a:effectLst/>
              <a:latin typeface="+mn-lt"/>
              <a:ea typeface="+mn-ea"/>
              <a:cs typeface="+mn-cs"/>
            </a:rPr>
            <a:t> to trust or seek legal recourse:</a:t>
          </a:r>
        </a:p>
        <a:p>
          <a:r>
            <a:rPr lang="en-US" sz="1100" b="0" i="0" u="none" strike="noStrike" baseline="0">
              <a:solidFill>
                <a:schemeClr val="dk1"/>
              </a:solidFill>
              <a:effectLst/>
              <a:latin typeface="+mn-lt"/>
              <a:ea typeface="+mn-ea"/>
              <a:cs typeface="+mn-cs"/>
            </a:rPr>
            <a:t>fear of retraumatization</a:t>
          </a:r>
        </a:p>
        <a:p>
          <a:r>
            <a:rPr lang="en-US" sz="1100" b="0" i="0" u="none" strike="noStrike" baseline="0">
              <a:solidFill>
                <a:schemeClr val="dk1"/>
              </a:solidFill>
              <a:effectLst/>
              <a:latin typeface="+mn-lt"/>
              <a:ea typeface="+mn-ea"/>
              <a:cs typeface="+mn-cs"/>
            </a:rPr>
            <a:t>struggled with depression</a:t>
          </a:r>
        </a:p>
        <a:p>
          <a:r>
            <a:rPr lang="en-US" sz="1100" b="0" i="0" u="none" strike="noStrike" baseline="0">
              <a:solidFill>
                <a:schemeClr val="dk1"/>
              </a:solidFill>
              <a:effectLst/>
              <a:latin typeface="+mn-lt"/>
              <a:ea typeface="+mn-ea"/>
              <a:cs typeface="+mn-cs"/>
            </a:rPr>
            <a:t>fear of dismissiveness; low priority</a:t>
          </a:r>
        </a:p>
        <a:p>
          <a:r>
            <a:rPr lang="en-US" sz="1100" b="0" i="0" u="none" strike="noStrike" baseline="0">
              <a:solidFill>
                <a:schemeClr val="dk1"/>
              </a:solidFill>
              <a:effectLst/>
              <a:latin typeface="+mn-lt"/>
              <a:ea typeface="+mn-ea"/>
              <a:cs typeface="+mn-cs"/>
            </a:rPr>
            <a:t>anxiety  from trusting same process creating egregious error</a:t>
          </a:r>
        </a:p>
        <a:p>
          <a:r>
            <a:rPr lang="en-US" sz="1100" b="0" i="0" u="none" strike="noStrike" baseline="0">
              <a:solidFill>
                <a:schemeClr val="dk1"/>
              </a:solidFill>
              <a:effectLst/>
              <a:latin typeface="+mn-lt"/>
              <a:ea typeface="+mn-ea"/>
              <a:cs typeface="+mn-cs"/>
            </a:rPr>
            <a:t>anxiety from extremely slow process of court review</a:t>
          </a:r>
        </a:p>
        <a:p>
          <a:r>
            <a:rPr lang="en-US" sz="1100" b="0" i="0" u="none" strike="noStrike" baseline="0">
              <a:solidFill>
                <a:schemeClr val="dk1"/>
              </a:solidFill>
              <a:effectLst/>
              <a:latin typeface="+mn-lt"/>
              <a:ea typeface="+mn-ea"/>
              <a:cs typeface="+mn-cs"/>
            </a:rPr>
            <a:t>anxiety from prosecutor resisting admission of being wrong</a:t>
          </a:r>
        </a:p>
        <a:p>
          <a:r>
            <a:rPr lang="en-US" sz="1100" b="0" i="0" u="none" strike="noStrike" baseline="0">
              <a:solidFill>
                <a:schemeClr val="dk1"/>
              </a:solidFill>
              <a:effectLst/>
              <a:latin typeface="+mn-lt"/>
              <a:ea typeface="+mn-ea"/>
              <a:cs typeface="+mn-cs"/>
            </a:rPr>
            <a:t>anxiety from being denied review/reversal by technicality</a:t>
          </a:r>
        </a:p>
        <a:p>
          <a:r>
            <a:rPr lang="en-US" sz="1100" b="0" i="0" u="none" strike="noStrike" baseline="0">
              <a:solidFill>
                <a:schemeClr val="dk1"/>
              </a:solidFill>
              <a:effectLst/>
              <a:latin typeface="+mn-lt"/>
              <a:ea typeface="+mn-ea"/>
              <a:cs typeface="+mn-cs"/>
            </a:rPr>
            <a:t>disillusioned with process (no longer seeking exoneration)</a:t>
          </a:r>
        </a:p>
        <a:p>
          <a:r>
            <a:rPr lang="en-US" sz="1100" b="0" i="0" u="none" strike="noStrike" baseline="0">
              <a:solidFill>
                <a:schemeClr val="dk1"/>
              </a:solidFill>
              <a:effectLst/>
              <a:latin typeface="+mn-lt"/>
              <a:ea typeface="+mn-ea"/>
              <a:cs typeface="+mn-cs"/>
            </a:rPr>
            <a:t>conflict of interest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2</xdr:col>
      <xdr:colOff>114300</xdr:colOff>
      <xdr:row>2903</xdr:row>
      <xdr:rowOff>60960</xdr:rowOff>
    </xdr:from>
    <xdr:to>
      <xdr:col>7</xdr:col>
      <xdr:colOff>182880</xdr:colOff>
      <xdr:row>2908</xdr:row>
      <xdr:rowOff>34834</xdr:rowOff>
    </xdr:to>
    <xdr:sp macro="" textlink="">
      <xdr:nvSpPr>
        <xdr:cNvPr id="131" name="Rectangle: Rounded Corners 130">
          <a:extLst>
            <a:ext uri="{FF2B5EF4-FFF2-40B4-BE49-F238E27FC236}">
              <a16:creationId xmlns:a16="http://schemas.microsoft.com/office/drawing/2014/main" id="{2123787F-462F-4387-B43B-371A46037DA9}"/>
            </a:ext>
          </a:extLst>
        </xdr:cNvPr>
        <xdr:cNvSpPr/>
      </xdr:nvSpPr>
      <xdr:spPr>
        <a:xfrm>
          <a:off x="1455420" y="549562020"/>
          <a:ext cx="5303520"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65</xdr:col>
      <xdr:colOff>175260</xdr:colOff>
      <xdr:row>2452</xdr:row>
      <xdr:rowOff>106680</xdr:rowOff>
    </xdr:from>
    <xdr:to>
      <xdr:col>74</xdr:col>
      <xdr:colOff>129540</xdr:colOff>
      <xdr:row>2483</xdr:row>
      <xdr:rowOff>137160</xdr:rowOff>
    </xdr:to>
    <xdr:sp macro="" textlink="">
      <xdr:nvSpPr>
        <xdr:cNvPr id="132" name="Rectangle: Rounded Corners 131">
          <a:extLst>
            <a:ext uri="{FF2B5EF4-FFF2-40B4-BE49-F238E27FC236}">
              <a16:creationId xmlns:a16="http://schemas.microsoft.com/office/drawing/2014/main" id="{F6612748-0D67-41ED-A26F-D0F2CD51E893}"/>
            </a:ext>
          </a:extLst>
        </xdr:cNvPr>
        <xdr:cNvSpPr/>
      </xdr:nvSpPr>
      <xdr:spPr>
        <a:xfrm>
          <a:off x="18067020" y="469049100"/>
          <a:ext cx="2286000" cy="5455920"/>
        </a:xfrm>
        <a:prstGeom prst="roundRect">
          <a:avLst>
            <a:gd name="adj" fmla="val 5176"/>
          </a:avLst>
        </a:prstGeom>
        <a:solidFill>
          <a:srgbClr val="ED65AC">
            <a:alpha val="90980"/>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a:solidFill>
                <a:srgbClr val="00B050"/>
              </a:solidFill>
            </a:rPr>
            <a:t>A</a:t>
          </a:r>
          <a:r>
            <a:rPr lang="en-US" sz="1600" baseline="0">
              <a:solidFill>
                <a:srgbClr val="00B050"/>
              </a:solidFill>
            </a:rPr>
            <a:t> 	A149:F295</a:t>
          </a:r>
        </a:p>
        <a:p>
          <a:pPr algn="l"/>
          <a:r>
            <a:rPr lang="en-US" sz="1600" baseline="0">
              <a:solidFill>
                <a:srgbClr val="00B050"/>
              </a:solidFill>
            </a:rPr>
            <a:t>B 	A296:F461</a:t>
          </a:r>
        </a:p>
        <a:p>
          <a:pPr algn="l"/>
          <a:r>
            <a:rPr lang="en-US" sz="1600" baseline="0">
              <a:solidFill>
                <a:srgbClr val="00B050"/>
              </a:solidFill>
            </a:rPr>
            <a:t>C1	A462:F496</a:t>
          </a:r>
        </a:p>
        <a:p>
          <a:pPr algn="l"/>
          <a:r>
            <a:rPr lang="en-US" sz="1600" baseline="0">
              <a:solidFill>
                <a:srgbClr val="00B050"/>
              </a:solidFill>
            </a:rPr>
            <a:t>C2	A497:F530</a:t>
          </a:r>
        </a:p>
        <a:p>
          <a:pPr algn="l"/>
          <a:r>
            <a:rPr lang="en-US" sz="1600" baseline="0">
              <a:solidFill>
                <a:srgbClr val="00B050"/>
              </a:solidFill>
            </a:rPr>
            <a:t>C3	A531:F564</a:t>
          </a:r>
        </a:p>
        <a:p>
          <a:pPr algn="l"/>
          <a:r>
            <a:rPr lang="en-US" sz="1600" baseline="0">
              <a:solidFill>
                <a:srgbClr val="00B050"/>
              </a:solidFill>
            </a:rPr>
            <a:t>C4	A565:F598</a:t>
          </a:r>
        </a:p>
        <a:p>
          <a:pPr algn="l"/>
          <a:r>
            <a:rPr lang="en-US" sz="1600" baseline="0">
              <a:solidFill>
                <a:srgbClr val="00B050"/>
              </a:solidFill>
            </a:rPr>
            <a:t>C5	A599:F641</a:t>
          </a:r>
        </a:p>
        <a:p>
          <a:pPr algn="l"/>
          <a:r>
            <a:rPr lang="en-US" sz="1600" baseline="0">
              <a:solidFill>
                <a:srgbClr val="00B050"/>
              </a:solidFill>
            </a:rPr>
            <a:t>C6	A642:F680</a:t>
          </a:r>
        </a:p>
        <a:p>
          <a:pPr algn="l"/>
          <a:r>
            <a:rPr lang="en-US" sz="1600" baseline="0">
              <a:solidFill>
                <a:srgbClr val="00B050"/>
              </a:solidFill>
            </a:rPr>
            <a:t>C7	A681:F690</a:t>
          </a:r>
        </a:p>
        <a:p>
          <a:pPr algn="l"/>
          <a:r>
            <a:rPr lang="en-US" sz="1600" baseline="0">
              <a:solidFill>
                <a:srgbClr val="00B050"/>
              </a:solidFill>
            </a:rPr>
            <a:t>C8	A691:F718</a:t>
          </a:r>
        </a:p>
        <a:p>
          <a:pPr algn="l"/>
          <a:r>
            <a:rPr lang="en-US" sz="1600">
              <a:solidFill>
                <a:srgbClr val="00B050"/>
              </a:solidFill>
            </a:rPr>
            <a:t>D	A719:F747</a:t>
          </a:r>
        </a:p>
        <a:p>
          <a:pPr algn="l"/>
          <a:r>
            <a:rPr lang="en-US" sz="1600">
              <a:solidFill>
                <a:srgbClr val="00B050"/>
              </a:solidFill>
            </a:rPr>
            <a:t>E	A748:F824</a:t>
          </a:r>
        </a:p>
        <a:p>
          <a:pPr algn="l"/>
          <a:r>
            <a:rPr lang="en-US" sz="1600">
              <a:solidFill>
                <a:srgbClr val="00B050"/>
              </a:solidFill>
            </a:rPr>
            <a:t>F	A825:F867</a:t>
          </a:r>
        </a:p>
        <a:p>
          <a:pPr algn="l"/>
          <a:r>
            <a:rPr lang="en-US" sz="1600">
              <a:solidFill>
                <a:srgbClr val="00B050"/>
              </a:solidFill>
            </a:rPr>
            <a:t>G	A868:F1047</a:t>
          </a:r>
        </a:p>
        <a:p>
          <a:pPr algn="l"/>
          <a:r>
            <a:rPr lang="en-US" sz="1600">
              <a:solidFill>
                <a:srgbClr val="00B050"/>
              </a:solidFill>
            </a:rPr>
            <a:t>H	A1048:F1089</a:t>
          </a:r>
        </a:p>
        <a:p>
          <a:pPr algn="l"/>
          <a:r>
            <a:rPr lang="en-US" sz="1600">
              <a:solidFill>
                <a:srgbClr val="00B050"/>
              </a:solidFill>
            </a:rPr>
            <a:t>I	A1090:F1181</a:t>
          </a:r>
        </a:p>
        <a:p>
          <a:pPr algn="l"/>
          <a:r>
            <a:rPr lang="en-US" sz="1600">
              <a:solidFill>
                <a:srgbClr val="00B050"/>
              </a:solidFill>
            </a:rPr>
            <a:t>J	A1182:F1461</a:t>
          </a:r>
        </a:p>
        <a:p>
          <a:pPr algn="l"/>
          <a:r>
            <a:rPr lang="en-US" sz="1600">
              <a:solidFill>
                <a:srgbClr val="00B050"/>
              </a:solidFill>
            </a:rPr>
            <a:t>K	A1462:F1535</a:t>
          </a:r>
        </a:p>
        <a:p>
          <a:pPr algn="l"/>
          <a:r>
            <a:rPr lang="en-US" sz="1600">
              <a:solidFill>
                <a:srgbClr val="00B050"/>
              </a:solidFill>
            </a:rPr>
            <a:t>L	A1536:F1582</a:t>
          </a:r>
        </a:p>
        <a:p>
          <a:pPr algn="l"/>
          <a:r>
            <a:rPr lang="en-US" sz="1600">
              <a:solidFill>
                <a:srgbClr val="00B050"/>
              </a:solidFill>
            </a:rPr>
            <a:t>M	A1583:F1629</a:t>
          </a:r>
        </a:p>
      </xdr:txBody>
    </xdr:sp>
    <xdr:clientData/>
  </xdr:twoCellAnchor>
  <xdr:twoCellAnchor>
    <xdr:from>
      <xdr:col>1</xdr:col>
      <xdr:colOff>1</xdr:colOff>
      <xdr:row>2456</xdr:row>
      <xdr:rowOff>38100</xdr:rowOff>
    </xdr:from>
    <xdr:to>
      <xdr:col>2</xdr:col>
      <xdr:colOff>7620</xdr:colOff>
      <xdr:row>2458</xdr:row>
      <xdr:rowOff>53340</xdr:rowOff>
    </xdr:to>
    <xdr:sp macro="" textlink="">
      <xdr:nvSpPr>
        <xdr:cNvPr id="133" name="Rectangle: Rounded Corners 132">
          <a:extLst>
            <a:ext uri="{FF2B5EF4-FFF2-40B4-BE49-F238E27FC236}">
              <a16:creationId xmlns:a16="http://schemas.microsoft.com/office/drawing/2014/main" id="{D87DD52B-C73A-45EA-956E-0E6EBE6F1008}"/>
            </a:ext>
          </a:extLst>
        </xdr:cNvPr>
        <xdr:cNvSpPr/>
      </xdr:nvSpPr>
      <xdr:spPr>
        <a:xfrm>
          <a:off x="259081" y="46968156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investment to date</a:t>
          </a:r>
        </a:p>
      </xdr:txBody>
    </xdr:sp>
    <xdr:clientData/>
  </xdr:twoCellAnchor>
  <xdr:twoCellAnchor>
    <xdr:from>
      <xdr:col>128</xdr:col>
      <xdr:colOff>83820</xdr:colOff>
      <xdr:row>499</xdr:row>
      <xdr:rowOff>114300</xdr:rowOff>
    </xdr:from>
    <xdr:to>
      <xdr:col>130</xdr:col>
      <xdr:colOff>460466</xdr:colOff>
      <xdr:row>502</xdr:row>
      <xdr:rowOff>30480</xdr:rowOff>
    </xdr:to>
    <xdr:sp macro="" textlink="">
      <xdr:nvSpPr>
        <xdr:cNvPr id="134" name="Rectangle: Rounded Corners 133">
          <a:extLst>
            <a:ext uri="{FF2B5EF4-FFF2-40B4-BE49-F238E27FC236}">
              <a16:creationId xmlns:a16="http://schemas.microsoft.com/office/drawing/2014/main" id="{EAA8504C-5AAC-4CB0-84B9-AFE2572A0306}"/>
            </a:ext>
          </a:extLst>
        </xdr:cNvPr>
        <xdr:cNvSpPr/>
      </xdr:nvSpPr>
      <xdr:spPr>
        <a:xfrm>
          <a:off x="52585620" y="134332980"/>
          <a:ext cx="2754086" cy="464820"/>
        </a:xfrm>
        <a:prstGeom prst="roundRect">
          <a:avLst>
            <a:gd name="adj" fmla="val 14516"/>
          </a:avLst>
        </a:prstGeom>
        <a:gradFill flip="none" rotWithShape="1">
          <a:gsLst>
            <a:gs pos="0">
              <a:srgbClr val="007832"/>
            </a:gs>
            <a:gs pos="50000">
              <a:srgbClr val="00B050"/>
            </a:gs>
            <a:gs pos="100000">
              <a:srgbClr val="01FF80"/>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2000" b="1">
              <a:solidFill>
                <a:srgbClr val="9BFFC8"/>
              </a:solidFill>
              <a:latin typeface="+mn-lt"/>
              <a:ea typeface="+mn-ea"/>
              <a:cs typeface="+mn-cs"/>
            </a:rPr>
            <a:t>click here for support</a:t>
          </a:r>
        </a:p>
      </xdr:txBody>
    </xdr:sp>
    <xdr:clientData/>
  </xdr:twoCellAnchor>
  <xdr:twoCellAnchor>
    <xdr:from>
      <xdr:col>31</xdr:col>
      <xdr:colOff>247015</xdr:colOff>
      <xdr:row>1237</xdr:row>
      <xdr:rowOff>147207</xdr:rowOff>
    </xdr:from>
    <xdr:to>
      <xdr:col>40</xdr:col>
      <xdr:colOff>198437</xdr:colOff>
      <xdr:row>1239</xdr:row>
      <xdr:rowOff>40527</xdr:rowOff>
    </xdr:to>
    <xdr:sp macro="" textlink="">
      <xdr:nvSpPr>
        <xdr:cNvPr id="135" name="Rectangle: Rounded Corners 134">
          <a:hlinkClick xmlns:r="http://schemas.openxmlformats.org/officeDocument/2006/relationships" r:id="rId32" tooltip="Book a free UNPACK Your Innocence session with me"/>
          <a:extLst>
            <a:ext uri="{FF2B5EF4-FFF2-40B4-BE49-F238E27FC236}">
              <a16:creationId xmlns:a16="http://schemas.microsoft.com/office/drawing/2014/main" id="{42AC76B9-2424-4BAA-9B21-B7DD5BE96A3F}"/>
            </a:ext>
          </a:extLst>
        </xdr:cNvPr>
        <xdr:cNvSpPr/>
      </xdr:nvSpPr>
      <xdr:spPr>
        <a:xfrm>
          <a:off x="20282588" y="338516217"/>
          <a:ext cx="2332672" cy="329883"/>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a:solidFill>
                <a:srgbClr val="006E32"/>
              </a:solidFill>
              <a:latin typeface="Franklin Gothic Demi" panose="020B0703020102020204" pitchFamily="34" charset="0"/>
            </a:rPr>
            <a:t>Estimated Innocence</a:t>
          </a:r>
        </a:p>
      </xdr:txBody>
    </xdr:sp>
    <xdr:clientData/>
  </xdr:twoCellAnchor>
  <xdr:twoCellAnchor>
    <xdr:from>
      <xdr:col>2</xdr:col>
      <xdr:colOff>2004060</xdr:colOff>
      <xdr:row>1246</xdr:row>
      <xdr:rowOff>127363</xdr:rowOff>
    </xdr:from>
    <xdr:to>
      <xdr:col>3</xdr:col>
      <xdr:colOff>1836420</xdr:colOff>
      <xdr:row>1248</xdr:row>
      <xdr:rowOff>20683</xdr:rowOff>
    </xdr:to>
    <xdr:sp macro="" textlink="">
      <xdr:nvSpPr>
        <xdr:cNvPr id="136" name="Rectangle: Rounded Corners 135">
          <a:hlinkClick xmlns:r="http://schemas.openxmlformats.org/officeDocument/2006/relationships" r:id="rId33" tooltip="Book a 25-min. RELATE Your Innocence session with me"/>
          <a:extLst>
            <a:ext uri="{FF2B5EF4-FFF2-40B4-BE49-F238E27FC236}">
              <a16:creationId xmlns:a16="http://schemas.microsoft.com/office/drawing/2014/main" id="{44E84549-CE34-45F3-8DCE-B929C3CC2B82}"/>
            </a:ext>
          </a:extLst>
        </xdr:cNvPr>
        <xdr:cNvSpPr/>
      </xdr:nvSpPr>
      <xdr:spPr>
        <a:xfrm>
          <a:off x="3345180" y="338127703"/>
          <a:ext cx="2286000" cy="3200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a:solidFill>
                <a:srgbClr val="006E32"/>
              </a:solidFill>
              <a:latin typeface="Franklin Gothic Demi" panose="020B0703020102020204" pitchFamily="34" charset="0"/>
            </a:rPr>
            <a:t>Responsive Innocence</a:t>
          </a:r>
        </a:p>
      </xdr:txBody>
    </xdr:sp>
    <xdr:clientData/>
  </xdr:twoCellAnchor>
  <xdr:twoCellAnchor>
    <xdr:from>
      <xdr:col>2</xdr:col>
      <xdr:colOff>2042160</xdr:colOff>
      <xdr:row>1254</xdr:row>
      <xdr:rowOff>112123</xdr:rowOff>
    </xdr:from>
    <xdr:to>
      <xdr:col>3</xdr:col>
      <xdr:colOff>1874520</xdr:colOff>
      <xdr:row>1256</xdr:row>
      <xdr:rowOff>43543</xdr:rowOff>
    </xdr:to>
    <xdr:sp macro="" textlink="">
      <xdr:nvSpPr>
        <xdr:cNvPr id="137" name="Rectangle: Rounded Corners 136">
          <a:hlinkClick xmlns:r="http://schemas.openxmlformats.org/officeDocument/2006/relationships" r:id="rId34" tooltip="Book an hr-long ADVOCATE Your Innocence session with me"/>
          <a:extLst>
            <a:ext uri="{FF2B5EF4-FFF2-40B4-BE49-F238E27FC236}">
              <a16:creationId xmlns:a16="http://schemas.microsoft.com/office/drawing/2014/main" id="{E6417BAC-0D99-4636-A642-F02DA3AD315A}"/>
            </a:ext>
          </a:extLst>
        </xdr:cNvPr>
        <xdr:cNvSpPr/>
      </xdr:nvSpPr>
      <xdr:spPr>
        <a:xfrm>
          <a:off x="3383280" y="339758383"/>
          <a:ext cx="2286000" cy="3200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5715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400" spc="-50" baseline="0">
              <a:solidFill>
                <a:srgbClr val="006E32"/>
              </a:solidFill>
              <a:latin typeface="Franklin Gothic Demi" panose="020B0703020102020204" pitchFamily="34" charset="0"/>
            </a:rPr>
            <a:t>Honored Innocence</a:t>
          </a:r>
        </a:p>
      </xdr:txBody>
    </xdr:sp>
    <xdr:clientData/>
  </xdr:twoCellAnchor>
  <xdr:twoCellAnchor>
    <xdr:from>
      <xdr:col>32</xdr:col>
      <xdr:colOff>170906</xdr:colOff>
      <xdr:row>1798</xdr:row>
      <xdr:rowOff>290648</xdr:rowOff>
    </xdr:from>
    <xdr:to>
      <xdr:col>55</xdr:col>
      <xdr:colOff>154849</xdr:colOff>
      <xdr:row>1801</xdr:row>
      <xdr:rowOff>14441</xdr:rowOff>
    </xdr:to>
    <xdr:sp macro="" textlink="">
      <xdr:nvSpPr>
        <xdr:cNvPr id="138" name="Rectangle: Rounded Corners 137">
          <a:extLst>
            <a:ext uri="{FF2B5EF4-FFF2-40B4-BE49-F238E27FC236}">
              <a16:creationId xmlns:a16="http://schemas.microsoft.com/office/drawing/2014/main" id="{36331C0B-B4A7-429C-9C93-70BDACEBAA0F}"/>
            </a:ext>
          </a:extLst>
        </xdr:cNvPr>
        <xdr:cNvSpPr/>
      </xdr:nvSpPr>
      <xdr:spPr>
        <a:xfrm>
          <a:off x="8484326" y="357721988"/>
          <a:ext cx="5668463" cy="531513"/>
        </a:xfrm>
        <a:prstGeom prst="roundRect">
          <a:avLst>
            <a:gd name="adj" fmla="val 5176"/>
          </a:avLst>
        </a:prstGeom>
        <a:solidFill>
          <a:srgbClr val="FFFF00">
            <a:alpha val="74902"/>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3600" b="1">
              <a:solidFill>
                <a:srgbClr val="00B050"/>
              </a:solidFill>
              <a:effectLst>
                <a:outerShdw blurRad="50800" dist="38100" dir="2700000" algn="tl" rotWithShape="0">
                  <a:prstClr val="black">
                    <a:alpha val="40000"/>
                  </a:prstClr>
                </a:outerShdw>
              </a:effectLst>
            </a:rPr>
            <a:t>Estimated</a:t>
          </a:r>
          <a:r>
            <a:rPr lang="en-US" sz="3600" b="1" baseline="0">
              <a:solidFill>
                <a:srgbClr val="00B050"/>
              </a:solidFill>
              <a:effectLst>
                <a:outerShdw blurRad="50800" dist="38100" dir="2700000" algn="tl" rotWithShape="0">
                  <a:prstClr val="black">
                    <a:alpha val="40000"/>
                  </a:prstClr>
                </a:outerShdw>
              </a:effectLst>
            </a:rPr>
            <a:t> Innocence Form</a:t>
          </a:r>
          <a:endParaRPr lang="en-US" sz="3600" b="1">
            <a:solidFill>
              <a:srgbClr val="00B050"/>
            </a:solidFill>
            <a:effectLst>
              <a:outerShdw blurRad="50800" dist="38100" dir="2700000" algn="tl" rotWithShape="0">
                <a:prstClr val="black">
                  <a:alpha val="40000"/>
                </a:prstClr>
              </a:outerShdw>
            </a:effectLst>
          </a:endParaRPr>
        </a:p>
      </xdr:txBody>
    </xdr:sp>
    <xdr:clientData/>
  </xdr:twoCellAnchor>
  <xdr:twoCellAnchor>
    <xdr:from>
      <xdr:col>42</xdr:col>
      <xdr:colOff>88174</xdr:colOff>
      <xdr:row>196</xdr:row>
      <xdr:rowOff>13063</xdr:rowOff>
    </xdr:from>
    <xdr:to>
      <xdr:col>60</xdr:col>
      <xdr:colOff>458290</xdr:colOff>
      <xdr:row>198</xdr:row>
      <xdr:rowOff>371203</xdr:rowOff>
    </xdr:to>
    <xdr:sp macro="" textlink="">
      <xdr:nvSpPr>
        <xdr:cNvPr id="139" name="Rectangle: Rounded Corners 138">
          <a:extLst>
            <a:ext uri="{FF2B5EF4-FFF2-40B4-BE49-F238E27FC236}">
              <a16:creationId xmlns:a16="http://schemas.microsoft.com/office/drawing/2014/main" id="{1B75CF8B-79C8-4720-99D8-B9E6AE948D21}"/>
            </a:ext>
          </a:extLst>
        </xdr:cNvPr>
        <xdr:cNvSpPr/>
      </xdr:nvSpPr>
      <xdr:spPr>
        <a:xfrm>
          <a:off x="10992394" y="59281423"/>
          <a:ext cx="5513616" cy="632460"/>
        </a:xfrm>
        <a:prstGeom prst="roundRect">
          <a:avLst>
            <a:gd name="adj" fmla="val 5176"/>
          </a:avLst>
        </a:prstGeom>
        <a:solidFill>
          <a:srgbClr val="F19B61">
            <a:alpha val="89804"/>
          </a:srgbClr>
        </a:solidFill>
        <a:ln w="28575">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5A2D0A"/>
              </a:solidFill>
              <a:latin typeface="+mn-lt"/>
              <a:ea typeface="+mn-ea"/>
              <a:cs typeface="+mn-cs"/>
            </a:rPr>
            <a:t>IF non-white hispanic</a:t>
          </a:r>
          <a:r>
            <a:rPr lang="en-US" sz="1600" b="1" baseline="0">
              <a:solidFill>
                <a:srgbClr val="5A2D0A"/>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5A2D0A"/>
              </a:solidFill>
              <a:latin typeface="+mn-lt"/>
              <a:ea typeface="+mn-ea"/>
              <a:cs typeface="+mn-cs"/>
            </a:rPr>
            <a:t>IF non-white</a:t>
          </a:r>
          <a:r>
            <a:rPr lang="en-US" sz="1600" b="1" baseline="0">
              <a:solidFill>
                <a:srgbClr val="5A2D0A"/>
              </a:solidFill>
              <a:latin typeface="+mn-lt"/>
              <a:ea typeface="+mn-ea"/>
              <a:cs typeface="+mn-cs"/>
            </a:rPr>
            <a:t> (i.e., black)</a:t>
          </a:r>
          <a:r>
            <a:rPr lang="en-US" sz="1600" b="1">
              <a:solidFill>
                <a:srgbClr val="5A2D0A"/>
              </a:solidFill>
              <a:latin typeface="+mn-lt"/>
              <a:ea typeface="+mn-ea"/>
              <a:cs typeface="+mn-cs"/>
            </a:rPr>
            <a:t> with complementary factors = x4</a:t>
          </a:r>
        </a:p>
        <a:p>
          <a:pPr algn="l"/>
          <a:endParaRPr lang="en-US" sz="1600" b="1">
            <a:solidFill>
              <a:srgbClr val="5A2D0A"/>
            </a:solidFill>
            <a:latin typeface="+mn-lt"/>
            <a:ea typeface="+mn-ea"/>
            <a:cs typeface="+mn-cs"/>
          </a:endParaRPr>
        </a:p>
      </xdr:txBody>
    </xdr:sp>
    <xdr:clientData/>
  </xdr:twoCellAnchor>
  <xdr:twoCellAnchor>
    <xdr:from>
      <xdr:col>47</xdr:col>
      <xdr:colOff>1088</xdr:colOff>
      <xdr:row>1893</xdr:row>
      <xdr:rowOff>37011</xdr:rowOff>
    </xdr:from>
    <xdr:to>
      <xdr:col>63</xdr:col>
      <xdr:colOff>243839</xdr:colOff>
      <xdr:row>1898</xdr:row>
      <xdr:rowOff>29391</xdr:rowOff>
    </xdr:to>
    <xdr:sp macro="" textlink="">
      <xdr:nvSpPr>
        <xdr:cNvPr id="140" name="TextBox 139">
          <a:extLst>
            <a:ext uri="{FF2B5EF4-FFF2-40B4-BE49-F238E27FC236}">
              <a16:creationId xmlns:a16="http://schemas.microsoft.com/office/drawing/2014/main" id="{67B24757-1635-4205-8397-FEA759382490}"/>
            </a:ext>
          </a:extLst>
        </xdr:cNvPr>
        <xdr:cNvSpPr txBox="1"/>
      </xdr:nvSpPr>
      <xdr:spPr>
        <a:xfrm>
          <a:off x="12200708" y="375634431"/>
          <a:ext cx="5416731"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Tahoma" panose="020B0604030504040204" pitchFamily="34" charset="0"/>
              <a:ea typeface="Tahoma" panose="020B0604030504040204" pitchFamily="34" charset="0"/>
              <a:cs typeface="Tahoma" panose="020B0604030504040204" pitchFamily="34" charset="0"/>
            </a:rPr>
            <a:t>F</a:t>
          </a:r>
          <a:r>
            <a:rPr lang="en-US" sz="1100" b="1">
              <a:solidFill>
                <a:schemeClr val="dk1"/>
              </a:solidFill>
              <a:effectLst/>
              <a:latin typeface="+mn-lt"/>
              <a:ea typeface="+mn-ea"/>
              <a:cs typeface="+mn-cs"/>
            </a:rPr>
            <a:t> </a:t>
          </a:r>
          <a:r>
            <a:rPr lang="en-US" sz="1100"/>
            <a:t>[CLAIMANT]</a:t>
          </a:r>
          <a:r>
            <a:rPr lang="en-US" sz="1100" baseline="0"/>
            <a:t> shouldn't have to bear the costs of the state's egregious mistake. Your investment </a:t>
          </a:r>
        </a:p>
        <a:p>
          <a:r>
            <a:rPr lang="en-US" sz="1100" baseline="0"/>
            <a:t>either reimbursed or we assert greater legitimacy to serve this underappreciated need</a:t>
          </a:r>
          <a:endParaRPr lang="en-US" sz="1100"/>
        </a:p>
      </xdr:txBody>
    </xdr:sp>
    <xdr:clientData/>
  </xdr:twoCellAnchor>
  <xdr:twoCellAnchor>
    <xdr:from>
      <xdr:col>45</xdr:col>
      <xdr:colOff>130629</xdr:colOff>
      <xdr:row>2132</xdr:row>
      <xdr:rowOff>9795</xdr:rowOff>
    </xdr:from>
    <xdr:to>
      <xdr:col>64</xdr:col>
      <xdr:colOff>92529</xdr:colOff>
      <xdr:row>2155</xdr:row>
      <xdr:rowOff>30481</xdr:rowOff>
    </xdr:to>
    <xdr:sp macro="" textlink="">
      <xdr:nvSpPr>
        <xdr:cNvPr id="141" name="TextBox 140">
          <a:extLst>
            <a:ext uri="{FF2B5EF4-FFF2-40B4-BE49-F238E27FC236}">
              <a16:creationId xmlns:a16="http://schemas.microsoft.com/office/drawing/2014/main" id="{F132290A-5479-4EF4-9569-2437058241A9}"/>
            </a:ext>
          </a:extLst>
        </xdr:cNvPr>
        <xdr:cNvSpPr txBox="1"/>
      </xdr:nvSpPr>
      <xdr:spPr>
        <a:xfrm>
          <a:off x="11812089" y="418820235"/>
          <a:ext cx="5913120" cy="4074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We ran the numbers for the innocence movement and it doesn't look good. A handful of lawyers pour hours and hours through a choice number of innocence claims. With an estimated range of ### to ### of innocent prisoners in [STATE] alone, [Claimaint] wonders will you ever get to [ppp] compelling claim of innocence?</a:t>
          </a:r>
        </a:p>
        <a:p>
          <a:endParaRPr lang="en-US" sz="1100" baseline="0"/>
        </a:p>
        <a:p>
          <a:r>
            <a:rPr lang="en-US" sz="1100" baseline="0"/>
            <a:t>Don't get me wrong, we're thankful for what you do. But why must we rely exclusively on the same broken adversarial legal process that keeps making these egregious errors? [Claimant] now has an alternative that can either complement or compete with your noble yet limited efforts. Called the Estimated Innocence Form, [Claimant] can now demonstrate [ppp] innocence with ##% certainty.</a:t>
          </a:r>
        </a:p>
        <a:p>
          <a:endParaRPr lang="en-US" sz="1100" baseline="0"/>
        </a:p>
        <a:p>
          <a:r>
            <a:rPr lang="en-US" sz="1100" baseline="0"/>
            <a:t>This tool compares the details to [ppp] claim to those already exonerated. The more [ppp] his case mirrors those exonerated, the higher the score of estimated innocence. This "EIF" processes the nuance of [ppp] innocence claim more thoroughly than your typical questionairre for claimnants.</a:t>
          </a:r>
        </a:p>
        <a:p>
          <a:endParaRPr lang="en-US" sz="1100" baseline="0"/>
        </a:p>
        <a:p>
          <a:r>
            <a:rPr lang="en-US" sz="1100" baseline="0"/>
            <a:t>[Claimant]'s chief ally, [Proxy], is assembling a team of volunteers to go through [claimant]'s case documents. Together, they will try to link as much of [ppp] claim as possible to available documentation. After they lean on those who could provide those documents. </a:t>
          </a:r>
        </a:p>
        <a:p>
          <a:endParaRPr lang="en-US" sz="1100" baseline="0"/>
        </a:p>
        <a:p>
          <a:r>
            <a:rPr lang="en-US" sz="1100" baseline="0"/>
            <a:t>We invite you to engage us during this pioneering approach toward exoneration. During this populist era, we see it's time for us to take more matters in our own hands. If the legal-judicial process cannot be trusted to correct its own errors, we will step up.  See the enclosed Conviction Summary Report to see what we mean. Then let's talk about getting [claimant] the justice [ppp] is overdue. Thank you.</a:t>
          </a:r>
        </a:p>
      </xdr:txBody>
    </xdr:sp>
    <xdr:clientData/>
  </xdr:twoCellAnchor>
  <xdr:twoCellAnchor>
    <xdr:from>
      <xdr:col>55</xdr:col>
      <xdr:colOff>261258</xdr:colOff>
      <xdr:row>2113</xdr:row>
      <xdr:rowOff>65314</xdr:rowOff>
    </xdr:from>
    <xdr:to>
      <xdr:col>73</xdr:col>
      <xdr:colOff>195944</xdr:colOff>
      <xdr:row>2117</xdr:row>
      <xdr:rowOff>152400</xdr:rowOff>
    </xdr:to>
    <xdr:sp macro="" textlink="">
      <xdr:nvSpPr>
        <xdr:cNvPr id="142" name="TextBox 141">
          <a:extLst>
            <a:ext uri="{FF2B5EF4-FFF2-40B4-BE49-F238E27FC236}">
              <a16:creationId xmlns:a16="http://schemas.microsoft.com/office/drawing/2014/main" id="{B8F33DC8-D8DE-4D28-9AD2-54A3B985F4C6}"/>
            </a:ext>
          </a:extLst>
        </xdr:cNvPr>
        <xdr:cNvSpPr txBox="1"/>
      </xdr:nvSpPr>
      <xdr:spPr>
        <a:xfrm>
          <a:off x="14259198" y="415309594"/>
          <a:ext cx="5901146" cy="788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aseline="0"/>
        </a:p>
        <a:p>
          <a:r>
            <a:rPr lang="en-US" sz="1100" baseline="0"/>
            <a:t>It's now easier for the accused to admit their human imperfections than for many police and prosecutors to admit theirs. </a:t>
          </a:r>
        </a:p>
        <a:p>
          <a:endParaRPr lang="en-US" sz="1100" baseline="0"/>
        </a:p>
      </xdr:txBody>
    </xdr:sp>
    <xdr:clientData/>
  </xdr:twoCellAnchor>
  <xdr:twoCellAnchor>
    <xdr:from>
      <xdr:col>53</xdr:col>
      <xdr:colOff>326572</xdr:colOff>
      <xdr:row>2117</xdr:row>
      <xdr:rowOff>10885</xdr:rowOff>
    </xdr:from>
    <xdr:to>
      <xdr:col>71</xdr:col>
      <xdr:colOff>195944</xdr:colOff>
      <xdr:row>2123</xdr:row>
      <xdr:rowOff>141514</xdr:rowOff>
    </xdr:to>
    <xdr:sp macro="" textlink="">
      <xdr:nvSpPr>
        <xdr:cNvPr id="143" name="TextBox 142">
          <a:extLst>
            <a:ext uri="{FF2B5EF4-FFF2-40B4-BE49-F238E27FC236}">
              <a16:creationId xmlns:a16="http://schemas.microsoft.com/office/drawing/2014/main" id="{703E60BC-2302-444C-85A2-44AB45B30D4B}"/>
            </a:ext>
          </a:extLst>
        </xdr:cNvPr>
        <xdr:cNvSpPr txBox="1"/>
      </xdr:nvSpPr>
      <xdr:spPr>
        <a:xfrm>
          <a:off x="13737772" y="415956205"/>
          <a:ext cx="5904412" cy="14031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is supported by [##] emotional supporters and [##] financial supporters. You are invited to join their enthusiastic support. [fundraising URL]</a:t>
          </a:r>
        </a:p>
        <a:p>
          <a:r>
            <a:rPr lang="en-US" sz="1100" baseline="0"/>
            <a:t>From conviction integrity to co</a:t>
          </a:r>
          <a:r>
            <a:rPr lang="en-US" sz="1100" baseline="0">
              <a:solidFill>
                <a:schemeClr val="dk1"/>
              </a:solidFill>
              <a:effectLst/>
              <a:latin typeface="+mn-lt"/>
              <a:ea typeface="+mn-ea"/>
              <a:cs typeface="+mn-cs"/>
            </a:rPr>
            <a:t>nviction quality</a:t>
          </a:r>
          <a:endParaRPr lang="en-US" sz="1100" baseline="0"/>
        </a:p>
        <a:p>
          <a:endParaRPr lang="en-US" sz="1100" baseline="0"/>
        </a:p>
        <a:p>
          <a:r>
            <a:rPr lang="en-US" sz="1100" baseline="0"/>
            <a:t>If the only reason you cannot serve [CLAIMANT] is from lack of resoures, then let this help you convet the underserved need.</a:t>
          </a:r>
        </a:p>
      </xdr:txBody>
    </xdr:sp>
    <xdr:clientData/>
  </xdr:twoCellAnchor>
  <xdr:twoCellAnchor>
    <xdr:from>
      <xdr:col>66</xdr:col>
      <xdr:colOff>228600</xdr:colOff>
      <xdr:row>2462</xdr:row>
      <xdr:rowOff>106680</xdr:rowOff>
    </xdr:from>
    <xdr:to>
      <xdr:col>75</xdr:col>
      <xdr:colOff>149133</xdr:colOff>
      <xdr:row>2473</xdr:row>
      <xdr:rowOff>91439</xdr:rowOff>
    </xdr:to>
    <xdr:sp macro="" textlink="">
      <xdr:nvSpPr>
        <xdr:cNvPr id="144" name="Rectangle: Rounded Corners 143">
          <a:extLst>
            <a:ext uri="{FF2B5EF4-FFF2-40B4-BE49-F238E27FC236}">
              <a16:creationId xmlns:a16="http://schemas.microsoft.com/office/drawing/2014/main" id="{3E978FD2-4C5A-4A77-84C5-C7006E4D0925}"/>
            </a:ext>
          </a:extLst>
        </xdr:cNvPr>
        <xdr:cNvSpPr/>
      </xdr:nvSpPr>
      <xdr:spPr>
        <a:xfrm>
          <a:off x="18379440" y="470801700"/>
          <a:ext cx="2252253" cy="1904999"/>
        </a:xfrm>
        <a:prstGeom prst="roundRect">
          <a:avLst>
            <a:gd name="adj" fmla="val 5176"/>
          </a:avLst>
        </a:prstGeom>
        <a:solidFill>
          <a:srgbClr val="F19B61">
            <a:alpha val="12157"/>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create</a:t>
          </a:r>
          <a:r>
            <a:rPr lang="en-US" sz="1200" b="1"/>
            <a:t> </a:t>
          </a:r>
          <a:r>
            <a:rPr lang="en-US" sz="1800" b="1">
              <a:solidFill>
                <a:srgbClr val="00B050"/>
              </a:solidFill>
              <a:latin typeface="+mn-lt"/>
              <a:ea typeface="+mn-ea"/>
              <a:cs typeface="+mn-cs"/>
            </a:rPr>
            <a:t>new </a:t>
          </a:r>
        </a:p>
        <a:p>
          <a:pPr algn="r"/>
          <a:r>
            <a:rPr lang="en-US" sz="1800" b="1">
              <a:solidFill>
                <a:srgbClr val="00B050"/>
              </a:solidFill>
              <a:latin typeface="+mn-lt"/>
              <a:ea typeface="+mn-ea"/>
              <a:cs typeface="+mn-cs"/>
            </a:rPr>
            <a:t>section here for </a:t>
          </a:r>
        </a:p>
        <a:p>
          <a:pPr algn="r"/>
          <a:r>
            <a:rPr lang="en-US" sz="1800" b="1">
              <a:solidFill>
                <a:srgbClr val="00B050"/>
              </a:solidFill>
              <a:latin typeface="+mn-lt"/>
              <a:ea typeface="+mn-ea"/>
              <a:cs typeface="+mn-cs"/>
            </a:rPr>
            <a:t>INSTRUCTIONS </a:t>
          </a:r>
        </a:p>
        <a:p>
          <a:pPr algn="r"/>
          <a:r>
            <a:rPr lang="en-US" sz="1800" b="1">
              <a:solidFill>
                <a:srgbClr val="00B050"/>
              </a:solidFill>
              <a:latin typeface="+mn-lt"/>
              <a:ea typeface="+mn-ea"/>
              <a:cs typeface="+mn-cs"/>
            </a:rPr>
            <a:t>and AVAILABLE</a:t>
          </a:r>
        </a:p>
        <a:p>
          <a:pPr algn="r"/>
          <a:r>
            <a:rPr lang="en-US" sz="1800" b="1">
              <a:solidFill>
                <a:srgbClr val="00B050"/>
              </a:solidFill>
              <a:latin typeface="+mn-lt"/>
              <a:ea typeface="+mn-ea"/>
              <a:cs typeface="+mn-cs"/>
            </a:rPr>
            <a:t> SUPPORT</a:t>
          </a:r>
        </a:p>
      </xdr:txBody>
    </xdr:sp>
    <xdr:clientData/>
  </xdr:twoCellAnchor>
  <xdr:twoCellAnchor>
    <xdr:from>
      <xdr:col>0</xdr:col>
      <xdr:colOff>108857</xdr:colOff>
      <xdr:row>1261</xdr:row>
      <xdr:rowOff>92537</xdr:rowOff>
    </xdr:from>
    <xdr:to>
      <xdr:col>5</xdr:col>
      <xdr:colOff>64226</xdr:colOff>
      <xdr:row>1298</xdr:row>
      <xdr:rowOff>138257</xdr:rowOff>
    </xdr:to>
    <xdr:grpSp>
      <xdr:nvGrpSpPr>
        <xdr:cNvPr id="145" name="Group 144">
          <a:extLst>
            <a:ext uri="{FF2B5EF4-FFF2-40B4-BE49-F238E27FC236}">
              <a16:creationId xmlns:a16="http://schemas.microsoft.com/office/drawing/2014/main" id="{186A6F76-FAD6-4103-B34C-633FA49D05F9}"/>
            </a:ext>
          </a:extLst>
        </xdr:cNvPr>
        <xdr:cNvGrpSpPr/>
      </xdr:nvGrpSpPr>
      <xdr:grpSpPr>
        <a:xfrm>
          <a:off x="108857" y="342986187"/>
          <a:ext cx="6038669" cy="6586220"/>
          <a:chOff x="152400" y="402287015"/>
          <a:chExt cx="5909855" cy="6568149"/>
        </a:xfrm>
      </xdr:grpSpPr>
      <xdr:sp macro="" textlink="">
        <xdr:nvSpPr>
          <xdr:cNvPr id="146" name="TextBox 145">
            <a:hlinkClick xmlns:r="http://schemas.openxmlformats.org/officeDocument/2006/relationships" r:id="rId35"/>
            <a:extLst>
              <a:ext uri="{FF2B5EF4-FFF2-40B4-BE49-F238E27FC236}">
                <a16:creationId xmlns:a16="http://schemas.microsoft.com/office/drawing/2014/main" id="{E2947E95-AA4D-49AE-9BB8-998ABB1EC9B2}"/>
              </a:ext>
            </a:extLst>
          </xdr:cNvPr>
          <xdr:cNvSpPr txBox="1"/>
        </xdr:nvSpPr>
        <xdr:spPr>
          <a:xfrm>
            <a:off x="242752" y="402287015"/>
            <a:ext cx="5722620" cy="974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a:latin typeface="Times New Roman" panose="02020603050405020304" pitchFamily="18" charset="0"/>
                <a:cs typeface="Times New Roman" panose="02020603050405020304" pitchFamily="18" charset="0"/>
              </a:rPr>
              <a:t>Welcome to </a:t>
            </a:r>
            <a:r>
              <a:rPr lang="en-US" sz="1100" b="1">
                <a:latin typeface="Times New Roman" panose="02020603050405020304" pitchFamily="18" charset="0"/>
                <a:cs typeface="Times New Roman" panose="02020603050405020304" pitchFamily="18" charset="0"/>
              </a:rPr>
              <a:t>need-response</a:t>
            </a:r>
            <a:r>
              <a:rPr lang="en-US" sz="1100">
                <a:latin typeface="Times New Roman" panose="02020603050405020304" pitchFamily="18" charset="0"/>
                <a:cs typeface="Times New Roman" panose="02020603050405020304" pitchFamily="18" charset="0"/>
              </a:rPr>
              <a:t>. Laws exist to serve needs, and this new field goes straight to the needs. One of its tools is the </a:t>
            </a:r>
            <a:r>
              <a:rPr lang="en-US" sz="1100" b="1">
                <a:latin typeface="Times New Roman" panose="02020603050405020304" pitchFamily="18" charset="0"/>
                <a:cs typeface="Times New Roman" panose="02020603050405020304" pitchFamily="18" charset="0"/>
              </a:rPr>
              <a:t>impact parity model</a:t>
            </a:r>
            <a:r>
              <a:rPr lang="en-US" sz="1100">
                <a:latin typeface="Times New Roman" panose="02020603050405020304" pitchFamily="18" charset="0"/>
                <a:cs typeface="Times New Roman" panose="02020603050405020304" pitchFamily="18" charset="0"/>
              </a:rPr>
              <a:t>. It looks at how power relations impacts your needs.</a:t>
            </a:r>
          </a:p>
          <a:p>
            <a:endParaRPr lang="en-US" sz="1100">
              <a:latin typeface="Times New Roman" panose="02020603050405020304" pitchFamily="18" charset="0"/>
              <a:cs typeface="Times New Roman" panose="02020603050405020304" pitchFamily="18" charset="0"/>
            </a:endParaRPr>
          </a:p>
          <a:p>
            <a:r>
              <a:rPr lang="en-US" sz="1100">
                <a:latin typeface="Times New Roman" panose="02020603050405020304" pitchFamily="18" charset="0"/>
                <a:cs typeface="Times New Roman" panose="02020603050405020304" pitchFamily="18" charset="0"/>
              </a:rPr>
              <a:t>A power relation exists where one person holds more influence over the other person in the relation. The powerholder is called the 'ascribed impactor' or AI. The powerless is called the 'reporting impactee'</a:t>
            </a:r>
            <a:r>
              <a:rPr lang="en-US" sz="1100" baseline="0">
                <a:latin typeface="Times New Roman" panose="02020603050405020304" pitchFamily="18" charset="0"/>
                <a:cs typeface="Times New Roman" panose="02020603050405020304" pitchFamily="18" charset="0"/>
              </a:rPr>
              <a:t> or RI.</a:t>
            </a:r>
            <a:endParaRPr lang="en-US" sz="1100">
              <a:latin typeface="Times New Roman" panose="02020603050405020304" pitchFamily="18" charset="0"/>
              <a:cs typeface="Times New Roman" panose="02020603050405020304" pitchFamily="18" charset="0"/>
            </a:endParaRPr>
          </a:p>
        </xdr:txBody>
      </xdr:sp>
      <xdr:grpSp>
        <xdr:nvGrpSpPr>
          <xdr:cNvPr id="147" name="Group 146">
            <a:extLst>
              <a:ext uri="{FF2B5EF4-FFF2-40B4-BE49-F238E27FC236}">
                <a16:creationId xmlns:a16="http://schemas.microsoft.com/office/drawing/2014/main" id="{9901BC4E-AB4D-4F74-AF5B-0AC321D4B1F3}"/>
              </a:ext>
            </a:extLst>
          </xdr:cNvPr>
          <xdr:cNvGrpSpPr/>
        </xdr:nvGrpSpPr>
        <xdr:grpSpPr>
          <a:xfrm>
            <a:off x="152400" y="403326600"/>
            <a:ext cx="5909855" cy="5528564"/>
            <a:chOff x="152400" y="403326600"/>
            <a:chExt cx="5909855" cy="5528564"/>
          </a:xfrm>
        </xdr:grpSpPr>
        <xdr:grpSp>
          <xdr:nvGrpSpPr>
            <xdr:cNvPr id="148" name="Group 147">
              <a:extLst>
                <a:ext uri="{FF2B5EF4-FFF2-40B4-BE49-F238E27FC236}">
                  <a16:creationId xmlns:a16="http://schemas.microsoft.com/office/drawing/2014/main" id="{379F3EBF-2E8E-4DBD-BC83-27F122ABCD69}"/>
                </a:ext>
              </a:extLst>
            </xdr:cNvPr>
            <xdr:cNvGrpSpPr/>
          </xdr:nvGrpSpPr>
          <xdr:grpSpPr>
            <a:xfrm>
              <a:off x="696686" y="403326600"/>
              <a:ext cx="4831670" cy="2430216"/>
              <a:chOff x="308500" y="-253097"/>
              <a:chExt cx="4719869" cy="2333406"/>
            </a:xfrm>
          </xdr:grpSpPr>
          <xdr:sp macro="" textlink="">
            <xdr:nvSpPr>
              <xdr:cNvPr id="151" name="Oval 150">
                <a:extLst>
                  <a:ext uri="{FF2B5EF4-FFF2-40B4-BE49-F238E27FC236}">
                    <a16:creationId xmlns:a16="http://schemas.microsoft.com/office/drawing/2014/main" id="{E07C032B-478F-4F23-8C1B-BEE9E87D4CBB}"/>
                  </a:ext>
                </a:extLst>
              </xdr:cNvPr>
              <xdr:cNvSpPr>
                <a:spLocks noChangeAspect="1"/>
              </xdr:cNvSpPr>
            </xdr:nvSpPr>
            <xdr:spPr>
              <a:xfrm>
                <a:off x="3003958" y="-253097"/>
                <a:ext cx="2024411" cy="1995201"/>
              </a:xfrm>
              <a:prstGeom prst="ellipse">
                <a:avLst/>
              </a:prstGeom>
              <a:gradFill flip="none" rotWithShape="1">
                <a:gsLst>
                  <a:gs pos="67000">
                    <a:srgbClr val="CC66FF"/>
                  </a:gs>
                  <a:gs pos="45000">
                    <a:srgbClr val="CC99FF"/>
                  </a:gs>
                  <a:gs pos="0">
                    <a:srgbClr val="CC66FF"/>
                  </a:gs>
                </a:gsLst>
                <a:path path="circle">
                  <a:fillToRect l="50000" t="50000" r="50000" b="50000"/>
                </a:path>
                <a:tileRect/>
              </a:gradFill>
              <a:ln w="28575">
                <a:solidFill>
                  <a:srgbClr val="EBDCFF"/>
                </a:solidFill>
              </a:ln>
              <a:effectLst>
                <a:glow rad="63500">
                  <a:schemeClr val="accent6">
                    <a:satMod val="175000"/>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marL="0" marR="0" algn="ctr">
                  <a:spcBef>
                    <a:spcPts val="0"/>
                  </a:spcBef>
                  <a:spcAft>
                    <a:spcPts val="0"/>
                  </a:spcAft>
                </a:pPr>
                <a:r>
                  <a:rPr lang="en-US" sz="24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ASCRIBED</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lgn="ctr">
                  <a:spcBef>
                    <a:spcPts val="0"/>
                  </a:spcBef>
                  <a:spcAft>
                    <a:spcPts val="0"/>
                  </a:spcAft>
                </a:pPr>
                <a:r>
                  <a:rPr lang="en-US" sz="24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IMPACTOR</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sp macro="" textlink="">
            <xdr:nvSpPr>
              <xdr:cNvPr id="152" name="Oval 151">
                <a:extLst>
                  <a:ext uri="{FF2B5EF4-FFF2-40B4-BE49-F238E27FC236}">
                    <a16:creationId xmlns:a16="http://schemas.microsoft.com/office/drawing/2014/main" id="{2AD62372-99D4-4322-9B60-5161CB4EA942}"/>
                  </a:ext>
                </a:extLst>
              </xdr:cNvPr>
              <xdr:cNvSpPr>
                <a:spLocks noChangeAspect="1"/>
              </xdr:cNvSpPr>
            </xdr:nvSpPr>
            <xdr:spPr>
              <a:xfrm>
                <a:off x="308500" y="-117181"/>
                <a:ext cx="1430653" cy="1404607"/>
              </a:xfrm>
              <a:prstGeom prst="ellipse">
                <a:avLst/>
              </a:prstGeom>
              <a:gradFill flip="none" rotWithShape="1">
                <a:gsLst>
                  <a:gs pos="70000">
                    <a:srgbClr val="00B050"/>
                  </a:gs>
                  <a:gs pos="20000">
                    <a:srgbClr val="00F587"/>
                  </a:gs>
                  <a:gs pos="0">
                    <a:srgbClr val="E1FFEB"/>
                  </a:gs>
                </a:gsLst>
                <a:path path="circle">
                  <a:fillToRect l="50000" t="50000" r="50000" b="50000"/>
                </a:path>
                <a:tileRect/>
              </a:gradFill>
              <a:ln w="19050">
                <a:solidFill>
                  <a:srgbClr val="A0FFCD"/>
                </a:solidFill>
              </a:ln>
              <a:effectLst>
                <a:glow rad="63500">
                  <a:schemeClr val="accent6">
                    <a:satMod val="175000"/>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marL="0" marR="0" algn="ctr">
                  <a:spcBef>
                    <a:spcPts val="0"/>
                  </a:spcBef>
                  <a:spcAft>
                    <a:spcPts val="0"/>
                  </a:spcAft>
                </a:pPr>
                <a:r>
                  <a:rPr lang="en-US" sz="1600" spc="-5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REPORTING</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lgn="ctr">
                  <a:spcBef>
                    <a:spcPts val="0"/>
                  </a:spcBef>
                  <a:spcAft>
                    <a:spcPts val="0"/>
                  </a:spcAft>
                </a:pPr>
                <a:r>
                  <a:rPr lang="en-US" sz="1600">
                    <a:solidFill>
                      <a:srgbClr val="FFFFFF"/>
                    </a:solidFill>
                    <a:effectLst>
                      <a:outerShdw blurRad="63500" sx="102000" sy="102000" algn="ctr">
                        <a:srgbClr val="000000">
                          <a:alpha val="40000"/>
                        </a:srgbClr>
                      </a:outerShdw>
                    </a:effectLst>
                    <a:latin typeface="Impact" panose="020B0806030902050204" pitchFamily="34" charset="0"/>
                    <a:ea typeface="Calibri" panose="020F0502020204030204" pitchFamily="34" charset="0"/>
                    <a:cs typeface="Times New Roman" panose="02020603050405020304" pitchFamily="18" charset="0"/>
                  </a:rPr>
                  <a:t>IMPACTEE</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sp macro="" textlink="">
            <xdr:nvSpPr>
              <xdr:cNvPr id="153" name="Right Brace 152">
                <a:extLst>
                  <a:ext uri="{FF2B5EF4-FFF2-40B4-BE49-F238E27FC236}">
                    <a16:creationId xmlns:a16="http://schemas.microsoft.com/office/drawing/2014/main" id="{433F59B8-F53A-43C0-B265-F4286B13F47A}"/>
                  </a:ext>
                </a:extLst>
              </xdr:cNvPr>
              <xdr:cNvSpPr/>
            </xdr:nvSpPr>
            <xdr:spPr>
              <a:xfrm rot="16809231" flipH="1">
                <a:off x="2326064" y="214256"/>
                <a:ext cx="314158" cy="3041316"/>
              </a:xfrm>
              <a:prstGeom prst="rightBrace">
                <a:avLst>
                  <a:gd name="adj1" fmla="val 55142"/>
                  <a:gd name="adj2" fmla="val 49780"/>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154" name="Right Bracket 153">
                <a:extLst>
                  <a:ext uri="{FF2B5EF4-FFF2-40B4-BE49-F238E27FC236}">
                    <a16:creationId xmlns:a16="http://schemas.microsoft.com/office/drawing/2014/main" id="{D8B535B3-E56C-426C-A1AA-4CACDD85A564}"/>
                  </a:ext>
                </a:extLst>
              </xdr:cNvPr>
              <xdr:cNvSpPr/>
            </xdr:nvSpPr>
            <xdr:spPr>
              <a:xfrm rot="5400000">
                <a:off x="928681" y="788085"/>
                <a:ext cx="182880" cy="914400"/>
              </a:xfrm>
              <a:prstGeom prst="rightBracket">
                <a:avLst>
                  <a:gd name="adj" fmla="val 78333"/>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155" name="Right Bracket 154">
                <a:extLst>
                  <a:ext uri="{FF2B5EF4-FFF2-40B4-BE49-F238E27FC236}">
                    <a16:creationId xmlns:a16="http://schemas.microsoft.com/office/drawing/2014/main" id="{ABD23146-0D62-4BE8-B041-D85AE4B14EB5}"/>
                  </a:ext>
                </a:extLst>
              </xdr:cNvPr>
              <xdr:cNvSpPr/>
            </xdr:nvSpPr>
            <xdr:spPr>
              <a:xfrm rot="5400000">
                <a:off x="3912877" y="1282437"/>
                <a:ext cx="182880" cy="914400"/>
              </a:xfrm>
              <a:prstGeom prst="rightBracket">
                <a:avLst>
                  <a:gd name="adj" fmla="val 78333"/>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wrap="square" rtlCol="0" anchor="t"/>
              <a:lstStyle/>
              <a:p>
                <a:endParaRPr lang="en-US"/>
              </a:p>
            </xdr:txBody>
          </xdr:sp>
          <xdr:sp macro="" textlink="">
            <xdr:nvSpPr>
              <xdr:cNvPr id="156" name="Flowchart: Delay 155">
                <a:extLst>
                  <a:ext uri="{FF2B5EF4-FFF2-40B4-BE49-F238E27FC236}">
                    <a16:creationId xmlns:a16="http://schemas.microsoft.com/office/drawing/2014/main" id="{6E7A105C-8BBA-406B-A32C-71A6F2B07373}"/>
                  </a:ext>
                </a:extLst>
              </xdr:cNvPr>
              <xdr:cNvSpPr/>
            </xdr:nvSpPr>
            <xdr:spPr>
              <a:xfrm rot="16200000">
                <a:off x="2364141" y="1649177"/>
                <a:ext cx="173790" cy="688474"/>
              </a:xfrm>
              <a:prstGeom prst="flowChartDelay">
                <a:avLst/>
              </a:prstGeom>
              <a:solidFill>
                <a:srgbClr val="50236E"/>
              </a:solidFill>
              <a:ln>
                <a:solidFill>
                  <a:srgbClr val="50236E"/>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endParaRPr lang="en-US"/>
              </a:p>
            </xdr:txBody>
          </xdr:sp>
        </xdr:grpSp>
        <xdr:sp macro="" textlink="">
          <xdr:nvSpPr>
            <xdr:cNvPr id="149" name="TextBox 148">
              <a:extLst>
                <a:ext uri="{FF2B5EF4-FFF2-40B4-BE49-F238E27FC236}">
                  <a16:creationId xmlns:a16="http://schemas.microsoft.com/office/drawing/2014/main" id="{E70FEDCD-BAD2-47C7-AC83-F39CECAB269D}"/>
                </a:ext>
              </a:extLst>
            </xdr:cNvPr>
            <xdr:cNvSpPr txBox="1"/>
          </xdr:nvSpPr>
          <xdr:spPr>
            <a:xfrm>
              <a:off x="152400" y="406111964"/>
              <a:ext cx="2926080" cy="2743200"/>
            </a:xfrm>
            <a:prstGeom prst="rect">
              <a:avLst/>
            </a:prstGeom>
            <a:solidFill>
              <a:srgbClr val="A5FFC8">
                <a:alpha val="9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Reporting Impactee </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is impacted by the power relation more then impacting it.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As the RI, you humbly yet firmly "report" being impacted by legal-judicial power, as you're forced </a:t>
              </a:r>
              <a:r>
                <a:rPr lang="en-US" sz="1050" b="0" spc="-2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to fit into their binary categories, against your needs</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RI</a:t>
              </a: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typically endures the coercive impact of judicial power relation in a fearful </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2">
                        <a:lumMod val="50000"/>
                      </a:schemeClr>
                    </a:solidFill>
                  </a:ln>
                  <a:solidFill>
                    <a:srgbClr val="FFFF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AVOIDANCE PHASE</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Justice is not serve. When that pain gets unbearable, the RI may shift to a pain-relieving </a:t>
              </a:r>
              <a:b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rgbClr val="C00000"/>
                    </a:solidFill>
                  </a:ln>
                  <a:solidFill>
                    <a:srgbClr val="FF00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ADVERSARIAL PHASE</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chemeClr val="accent6">
                      <a:lumMod val="50000"/>
                    </a:schemeClr>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Peace resumes when boths sides identify and address each other's affected needs in this </a:t>
              </a:r>
              <a:b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6">
                        <a:lumMod val="50000"/>
                      </a:schemeClr>
                    </a:solidFill>
                  </a:ln>
                  <a:solidFill>
                    <a:srgbClr val="00B05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MUTUALITY TRANSITION</a:t>
              </a:r>
              <a:r>
                <a:rPr lang="en-US" sz="1050" b="0" baseline="0">
                  <a:ln>
                    <a:noFill/>
                  </a:ln>
                  <a:solidFill>
                    <a:schemeClr val="accent6">
                      <a:lumMod val="50000"/>
                    </a:schemeClr>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endPar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0" name="TextBox 149">
              <a:extLst>
                <a:ext uri="{FF2B5EF4-FFF2-40B4-BE49-F238E27FC236}">
                  <a16:creationId xmlns:a16="http://schemas.microsoft.com/office/drawing/2014/main" id="{1092E016-FB32-4A92-8347-F47A7438B6B5}"/>
                </a:ext>
              </a:extLst>
            </xdr:cNvPr>
            <xdr:cNvSpPr txBox="1"/>
          </xdr:nvSpPr>
          <xdr:spPr>
            <a:xfrm>
              <a:off x="3136175" y="406104344"/>
              <a:ext cx="2926080" cy="2743200"/>
            </a:xfrm>
            <a:prstGeom prst="rect">
              <a:avLst/>
            </a:prstGeom>
            <a:solidFill>
              <a:srgbClr val="FFCCFF">
                <a:alpha val="9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Ascribed Impactor </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impacts the power relation more than being impacted by it.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You "ascribe" who forcefully impacts you, giving them a chance to respond to your transcendence of their judicial binarism with "conviction quality".</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AI</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tends to steer clear of uncomfortable details of those they adjudicate in this</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2">
                        <a:lumMod val="50000"/>
                      </a:schemeClr>
                    </a:solidFill>
                  </a:ln>
                  <a:solidFill>
                    <a:srgbClr val="FFFF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AVOIDANCE PHASE</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Justice is not served. When the RI eventually reacts, the </a:t>
              </a:r>
              <a:r>
                <a:rPr lang="en-US" sz="1050" b="1"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AI</a:t>
              </a: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 often guards self from pain in this</a:t>
              </a:r>
              <a:b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br>
              <a:r>
                <a:rPr lang="en-US" sz="1200" b="1" baseline="0">
                  <a:ln>
                    <a:solidFill>
                      <a:srgbClr val="C00000"/>
                    </a:solidFill>
                  </a:ln>
                  <a:solidFill>
                    <a:srgbClr val="FF000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ADVERSARIAL PHASE</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spcBef>
                  <a:spcPts val="300"/>
                </a:spcBef>
                <a:spcAft>
                  <a:spcPts val="300"/>
                </a:spcAft>
              </a:pPr>
              <a:r>
                <a:rPr lang="en-US" sz="1050" b="0" baseline="0">
                  <a:ln>
                    <a:noFill/>
                  </a:ln>
                  <a:solidFill>
                    <a:srgbClr val="780091"/>
                  </a:solidFill>
                  <a:effectLst>
                    <a:innerShdw blurRad="63500" dist="50800" dir="16200000">
                      <a:prstClr val="black">
                        <a:alpha val="50000"/>
                      </a:prstClr>
                    </a:innerShdw>
                  </a:effectLst>
                  <a:latin typeface="Times New Roman" panose="02020603050405020304" pitchFamily="18" charset="0"/>
                  <a:ea typeface="Tahoma" panose="020B0604030504040204" pitchFamily="34" charset="0"/>
                  <a:cs typeface="Times New Roman" panose="02020603050405020304" pitchFamily="18" charset="0"/>
                </a:rPr>
                <a:t>Peace resumes when boths sides identify and address each other's affected needs in this </a:t>
              </a:r>
              <a:b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200" b="1" baseline="0">
                  <a:ln>
                    <a:solidFill>
                      <a:schemeClr val="accent6">
                        <a:lumMod val="50000"/>
                      </a:schemeClr>
                    </a:solidFill>
                  </a:ln>
                  <a:solidFill>
                    <a:srgbClr val="00B050"/>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MUTUALITY TRANSITION</a:t>
              </a:r>
              <a:r>
                <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a:p>
              <a:pPr marL="0" indent="0" algn="ctr"/>
              <a:endParaRPr lang="en-US" sz="1050" b="0" baseline="0">
                <a:ln>
                  <a:noFill/>
                </a:ln>
                <a:solidFill>
                  <a:srgbClr val="780091"/>
                </a:soli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endParaRPr>
            </a:p>
          </xdr:txBody>
        </xdr:sp>
      </xdr:grpSp>
    </xdr:grpSp>
    <xdr:clientData/>
  </xdr:twoCellAnchor>
  <xdr:twoCellAnchor>
    <xdr:from>
      <xdr:col>65</xdr:col>
      <xdr:colOff>239486</xdr:colOff>
      <xdr:row>2131</xdr:row>
      <xdr:rowOff>129536</xdr:rowOff>
    </xdr:from>
    <xdr:to>
      <xdr:col>81</xdr:col>
      <xdr:colOff>582386</xdr:colOff>
      <xdr:row>2155</xdr:row>
      <xdr:rowOff>60960</xdr:rowOff>
    </xdr:to>
    <xdr:sp macro="" textlink="">
      <xdr:nvSpPr>
        <xdr:cNvPr id="157" name="TextBox 156">
          <a:extLst>
            <a:ext uri="{FF2B5EF4-FFF2-40B4-BE49-F238E27FC236}">
              <a16:creationId xmlns:a16="http://schemas.microsoft.com/office/drawing/2014/main" id="{BE92DAA2-4403-4623-A2D7-DFF7D6203055}"/>
            </a:ext>
          </a:extLst>
        </xdr:cNvPr>
        <xdr:cNvSpPr txBox="1"/>
      </xdr:nvSpPr>
      <xdr:spPr>
        <a:xfrm>
          <a:off x="18131246" y="418764716"/>
          <a:ext cx="5890260" cy="4160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A</a:t>
          </a:r>
          <a:r>
            <a:rPr lang="en-US" sz="1100" baseline="0"/>
            <a:t> We ran the numbers for the innocence movement and it doesn't look good. A handful of lawyers pour hours and hours through a choice number of innocence claims. With an estimated range of ### to ### of innocent prisoners in [STATE] alone, [Claimaint] wonders will you ever get to [ppp] compelling claim of innocence?</a:t>
          </a:r>
        </a:p>
        <a:p>
          <a:endParaRPr lang="en-US" sz="1100" baseline="0"/>
        </a:p>
        <a:p>
          <a:r>
            <a:rPr lang="en-US" sz="1100" baseline="0"/>
            <a:t>Don't get me wrong, we're thankful for what you do. But why must we rely exclusively on the same broken adversarial legal process that keeps making these egregious errors? [Claimant] now has an alternative that can either complement or compete with your noble yet limited efforts. Called the Estimated Innocence Form, [Claimant] can now demonstrate [ppp] innocence with ##% certainty.</a:t>
          </a:r>
        </a:p>
        <a:p>
          <a:endParaRPr lang="en-US" sz="1100" baseline="0"/>
        </a:p>
        <a:p>
          <a:r>
            <a:rPr lang="en-US" sz="1100" baseline="0"/>
            <a:t>This tool compares the details to [ppp] claim to those already exonerated. The more [ppp] his case mirrors those exonerated, the higher the score of estimated innocence. This "EIF" processes the nuance of [ppp] innocence claim more thoroughly than your typical questionairre for claimnants.</a:t>
          </a:r>
        </a:p>
        <a:p>
          <a:endParaRPr lang="en-US" sz="1100" baseline="0"/>
        </a:p>
        <a:p>
          <a:r>
            <a:rPr lang="en-US" sz="1100" baseline="0"/>
            <a:t>[Claimant]'s chief ally, [Proxy], is assembling a team of volunteers to go through [claimant]'s case documents. Together, they will try to link as much of [ppp] claim as possible to available documentation. After they lean on those who could provide those documents. </a:t>
          </a:r>
        </a:p>
        <a:p>
          <a:endParaRPr lang="en-US" sz="1100" baseline="0"/>
        </a:p>
        <a:p>
          <a:r>
            <a:rPr lang="en-US" sz="1100" baseline="0"/>
            <a:t>We invite you to engage us during this pioneering approach toward exoneration. During this populist era, we see it's time for us to take more matters in our own hands. If the legal-judicial process cannot be trusted to correct its own errors, we will step up.  See the enclosed Conviction Summary Report to see what we mean. Then let's talk about getting [claimant] the justice [ppp] is overdue. Thank you.</a:t>
          </a:r>
        </a:p>
      </xdr:txBody>
    </xdr:sp>
    <xdr:clientData/>
  </xdr:twoCellAnchor>
  <xdr:twoCellAnchor>
    <xdr:from>
      <xdr:col>53</xdr:col>
      <xdr:colOff>108858</xdr:colOff>
      <xdr:row>2259</xdr:row>
      <xdr:rowOff>87086</xdr:rowOff>
    </xdr:from>
    <xdr:to>
      <xdr:col>70</xdr:col>
      <xdr:colOff>234044</xdr:colOff>
      <xdr:row>2265</xdr:row>
      <xdr:rowOff>54429</xdr:rowOff>
    </xdr:to>
    <xdr:sp macro="" textlink="">
      <xdr:nvSpPr>
        <xdr:cNvPr id="158" name="TextBox 157">
          <a:extLst>
            <a:ext uri="{FF2B5EF4-FFF2-40B4-BE49-F238E27FC236}">
              <a16:creationId xmlns:a16="http://schemas.microsoft.com/office/drawing/2014/main" id="{D86FF50E-4070-48A0-917E-1D901F695D16}"/>
            </a:ext>
          </a:extLst>
        </xdr:cNvPr>
        <xdr:cNvSpPr txBox="1"/>
      </xdr:nvSpPr>
      <xdr:spPr>
        <a:xfrm>
          <a:off x="13520058" y="440904086"/>
          <a:ext cx="5901146" cy="1034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a:t>
          </a:r>
        </a:p>
        <a:p>
          <a:endParaRPr lang="en-US" sz="1100" baseline="0"/>
        </a:p>
        <a:p>
          <a:r>
            <a:rPr lang="en-US" sz="1100" baseline="0"/>
            <a:t>If you have already helped [access case documents], we thank you </a:t>
          </a:r>
        </a:p>
      </xdr:txBody>
    </xdr:sp>
    <xdr:clientData/>
  </xdr:twoCellAnchor>
  <xdr:twoCellAnchor>
    <xdr:from>
      <xdr:col>55</xdr:col>
      <xdr:colOff>43543</xdr:colOff>
      <xdr:row>2258</xdr:row>
      <xdr:rowOff>76199</xdr:rowOff>
    </xdr:from>
    <xdr:to>
      <xdr:col>72</xdr:col>
      <xdr:colOff>234043</xdr:colOff>
      <xdr:row>2266</xdr:row>
      <xdr:rowOff>1</xdr:rowOff>
    </xdr:to>
    <xdr:sp macro="" textlink="">
      <xdr:nvSpPr>
        <xdr:cNvPr id="159" name="TextBox 158">
          <a:extLst>
            <a:ext uri="{FF2B5EF4-FFF2-40B4-BE49-F238E27FC236}">
              <a16:creationId xmlns:a16="http://schemas.microsoft.com/office/drawing/2014/main" id="{925DB818-1724-4F9E-B60A-D295C11D24F4}"/>
            </a:ext>
          </a:extLst>
        </xdr:cNvPr>
        <xdr:cNvSpPr txBox="1"/>
      </xdr:nvSpPr>
      <xdr:spPr>
        <a:xfrm>
          <a:off x="14041483" y="440717939"/>
          <a:ext cx="5897880" cy="1348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C</a:t>
          </a:r>
          <a:endParaRPr lang="en-US" sz="1100" baseline="0"/>
        </a:p>
        <a:p>
          <a:endParaRPr lang="en-US" sz="1100" baseline="0"/>
        </a:p>
        <a:p>
          <a:r>
            <a:rPr lang="en-US" sz="1100" baseline="0"/>
            <a:t>If you have already helped [access case documents], we thank you </a:t>
          </a:r>
        </a:p>
        <a:p>
          <a:endParaRPr lang="en-US" sz="1100" baseline="0"/>
        </a:p>
        <a:p>
          <a:r>
            <a:rPr lang="en-US" sz="1100" baseline="0"/>
            <a:t>Review the enclosed/attached "Exaction Invoice" </a:t>
          </a:r>
        </a:p>
      </xdr:txBody>
    </xdr:sp>
    <xdr:clientData/>
  </xdr:twoCellAnchor>
  <xdr:twoCellAnchor>
    <xdr:from>
      <xdr:col>59</xdr:col>
      <xdr:colOff>23949</xdr:colOff>
      <xdr:row>1766</xdr:row>
      <xdr:rowOff>11973</xdr:rowOff>
    </xdr:from>
    <xdr:to>
      <xdr:col>80</xdr:col>
      <xdr:colOff>495300</xdr:colOff>
      <xdr:row>1797</xdr:row>
      <xdr:rowOff>167640</xdr:rowOff>
    </xdr:to>
    <xdr:sp macro="" textlink="">
      <xdr:nvSpPr>
        <xdr:cNvPr id="160" name="TextBox 159">
          <a:extLst>
            <a:ext uri="{FF2B5EF4-FFF2-40B4-BE49-F238E27FC236}">
              <a16:creationId xmlns:a16="http://schemas.microsoft.com/office/drawing/2014/main" id="{E50C6F40-C40B-4BF1-8E4D-9898E6041B1E}"/>
            </a:ext>
          </a:extLst>
        </xdr:cNvPr>
        <xdr:cNvSpPr txBox="1"/>
      </xdr:nvSpPr>
      <xdr:spPr>
        <a:xfrm>
          <a:off x="15538269" y="351888333"/>
          <a:ext cx="7786551" cy="5535387"/>
        </a:xfrm>
        <a:prstGeom prst="rect">
          <a:avLst/>
        </a:prstGeom>
        <a:solidFill>
          <a:srgbClr val="FFFF99">
            <a:alpha val="89804"/>
          </a:srgbClr>
        </a:solid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Plan</a:t>
          </a:r>
          <a:r>
            <a:rPr lang="en-US" sz="1200" b="1">
              <a:ln>
                <a:noFill/>
              </a:ln>
              <a:noFill/>
              <a:effectLst/>
              <a:latin typeface="Tahoma" panose="020B0604030504040204" pitchFamily="34" charset="0"/>
              <a:ea typeface="Tahoma" panose="020B0604030504040204" pitchFamily="34" charset="0"/>
              <a:cs typeface="Tahoma" panose="020B0604030504040204" pitchFamily="34" charset="0"/>
            </a:rPr>
            <a:t> </a:t>
          </a:r>
          <a:r>
            <a:rPr lang="en-US" sz="12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rPr>
            <a:t>start for Free</a:t>
          </a:r>
          <a:endParaRPr lang="en-US" sz="10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Tragically, wrongful convictions destroy one’s credibility. Once accused, your protests of innocence sound self-serving as if avoiding responsibility. You know perfectly well that’s not the </a:t>
          </a:r>
          <a:r>
            <a:rPr lang="en-US" sz="1050" baseline="0">
              <a:solidFill>
                <a:schemeClr val="dk1"/>
              </a:solidFill>
              <a:effectLst/>
              <a:latin typeface="Times New Roman" panose="02020603050405020304" pitchFamily="18" charset="0"/>
              <a:ea typeface="+mn-ea"/>
              <a:cs typeface="Times New Roman" panose="02020603050405020304" pitchFamily="18" charset="0"/>
            </a:rPr>
            <a:t>case.</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Wrongful convictions also undermine earning capacity. An unearned felony robs one of earned income potential, to afford needed services. Talk about injustice!</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This service provides a way for overcoming both!</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The</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r>
            <a:rPr lang="en-US" sz="1050" b="1" baseline="0">
              <a:solidFill>
                <a:schemeClr val="dk1"/>
              </a:solidFill>
              <a:effectLst/>
              <a:latin typeface="Times New Roman" panose="02020603050405020304" pitchFamily="18" charset="0"/>
              <a:ea typeface="+mn-ea"/>
              <a:cs typeface="Times New Roman" panose="02020603050405020304" pitchFamily="18" charset="0"/>
            </a:rPr>
            <a:t>Plan</a:t>
          </a:r>
          <a:r>
            <a:rPr lang="en-US" sz="1050" baseline="0">
              <a:solidFill>
                <a:schemeClr val="dk1"/>
              </a:solidFill>
              <a:effectLst/>
              <a:latin typeface="Times New Roman" panose="02020603050405020304" pitchFamily="18" charset="0"/>
              <a:ea typeface="+mn-ea"/>
              <a:cs typeface="Times New Roman" panose="02020603050405020304" pitchFamily="18" charset="0"/>
            </a:rPr>
            <a:t> has you, t</a:t>
          </a:r>
          <a:r>
            <a:rPr lang="en-US" sz="1050">
              <a:solidFill>
                <a:schemeClr val="dk1"/>
              </a:solidFill>
              <a:effectLst/>
              <a:latin typeface="Times New Roman" panose="02020603050405020304" pitchFamily="18" charset="0"/>
              <a:ea typeface="+mn-ea"/>
              <a:cs typeface="Times New Roman" panose="02020603050405020304" pitchFamily="18" charset="0"/>
            </a:rPr>
            <a:t>he wrongly convicted, build up a support team for both the social capital to demonstrate your innocence </a:t>
          </a:r>
          <a:r>
            <a:rPr lang="en-US" sz="1050" i="1">
              <a:solidFill>
                <a:schemeClr val="dk1"/>
              </a:solidFill>
              <a:effectLst/>
              <a:latin typeface="Times New Roman" panose="02020603050405020304" pitchFamily="18" charset="0"/>
              <a:ea typeface="+mn-ea"/>
              <a:cs typeface="Times New Roman" panose="02020603050405020304" pitchFamily="18" charset="0"/>
            </a:rPr>
            <a:t>and</a:t>
          </a:r>
          <a:r>
            <a:rPr lang="en-US" sz="1050">
              <a:solidFill>
                <a:schemeClr val="dk1"/>
              </a:solidFill>
              <a:effectLst/>
              <a:latin typeface="Times New Roman" panose="02020603050405020304" pitchFamily="18" charset="0"/>
              <a:ea typeface="+mn-ea"/>
              <a:cs typeface="Times New Roman" panose="02020603050405020304" pitchFamily="18" charset="0"/>
            </a:rPr>
            <a:t> to help share in the costs and returns in needed services. Services like this one. At least that’s how it stands right now.</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Together, we'll:</a:t>
          </a:r>
        </a:p>
        <a:p>
          <a:r>
            <a:rPr lang="en-US" sz="1050">
              <a:solidFill>
                <a:schemeClr val="dk1"/>
              </a:solidFill>
              <a:effectLst/>
              <a:latin typeface="Times New Roman" panose="02020603050405020304" pitchFamily="18" charset="0"/>
              <a:ea typeface="+mn-ea"/>
              <a:cs typeface="Times New Roman" panose="02020603050405020304" pitchFamily="18" charset="0"/>
            </a:rPr>
            <a:t>1.  spot your most pressing needs, </a:t>
          </a:r>
        </a:p>
        <a:p>
          <a:r>
            <a:rPr lang="en-US" sz="1050">
              <a:solidFill>
                <a:schemeClr val="dk1"/>
              </a:solidFill>
              <a:effectLst/>
              <a:latin typeface="Times New Roman" panose="02020603050405020304" pitchFamily="18" charset="0"/>
              <a:ea typeface="+mn-ea"/>
              <a:cs typeface="Times New Roman" panose="02020603050405020304" pitchFamily="18" charset="0"/>
            </a:rPr>
            <a:t>2.  draft a plan to fit your situation, and to best serve your specific needs,</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3.  build the support necessary to meet</a:t>
          </a:r>
          <a:r>
            <a:rPr lang="en-US" sz="1050" baseline="0">
              <a:solidFill>
                <a:schemeClr val="dk1"/>
              </a:solidFill>
              <a:effectLst/>
              <a:latin typeface="Times New Roman" panose="02020603050405020304" pitchFamily="18" charset="0"/>
              <a:ea typeface="+mn-ea"/>
              <a:cs typeface="Times New Roman" panose="02020603050405020304" pitchFamily="18" charset="0"/>
            </a:rPr>
            <a:t> those needs,</a:t>
          </a:r>
          <a:r>
            <a:rPr lang="en-US" sz="1050">
              <a:solidFill>
                <a:schemeClr val="dk1"/>
              </a:solidFill>
              <a:effectLst/>
              <a:latin typeface="Times New Roman" panose="02020603050405020304" pitchFamily="18" charset="0"/>
              <a:ea typeface="+mn-ea"/>
              <a:cs typeface="Times New Roman" panose="02020603050405020304" pitchFamily="18" charset="0"/>
            </a:rPr>
            <a:t> to finally</a:t>
          </a:r>
          <a:r>
            <a:rPr lang="en-US" sz="1050" baseline="0">
              <a:solidFill>
                <a:schemeClr val="dk1"/>
              </a:solidFill>
              <a:effectLst/>
              <a:latin typeface="Times New Roman" panose="02020603050405020304" pitchFamily="18" charset="0"/>
              <a:ea typeface="+mn-ea"/>
              <a:cs typeface="Times New Roman" panose="02020603050405020304" pitchFamily="18" charset="0"/>
            </a:rPr>
            <a:t>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r>
            <a:rPr lang="en-US" sz="1050">
              <a:solidFill>
                <a:schemeClr val="dk1"/>
              </a:solidFill>
              <a:effectLst/>
              <a:latin typeface="Times New Roman" panose="02020603050405020304" pitchFamily="18" charset="0"/>
              <a:ea typeface="+mn-ea"/>
              <a:cs typeface="Times New Roman" panose="02020603050405020304" pitchFamily="18" charset="0"/>
            </a:rPr>
            <a:t>4.  compel others to respond to these neglected needs in mutually beneficial ways. </a:t>
          </a: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r>
            <a:rPr lang="en-US" sz="1100" b="1">
              <a:solidFill>
                <a:schemeClr val="dk1"/>
              </a:solidFill>
              <a:effectLst/>
              <a:latin typeface="+mn-lt"/>
              <a:ea typeface="+mn-ea"/>
              <a:cs typeface="Times New Roman" panose="02020603050405020304" pitchFamily="18" charset="0"/>
            </a:rPr>
            <a:t>Step 1</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Together,</a:t>
          </a:r>
          <a:r>
            <a:rPr lang="en-US" sz="1050" baseline="0">
              <a:solidFill>
                <a:schemeClr val="dk1"/>
              </a:solidFill>
              <a:effectLst/>
              <a:latin typeface="Times New Roman" panose="02020603050405020304" pitchFamily="18" charset="0"/>
              <a:ea typeface="+mn-ea"/>
              <a:cs typeface="Times New Roman" panose="02020603050405020304" pitchFamily="18" charset="0"/>
            </a:rPr>
            <a:t> we get our foot in the door. We compel notified employers, landlords and/or debt collectors to take notice of the unkind impact they are having on you. To avoid the risk of bad publicity, we expect them to respond.</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We start out by exchanging messages through email. Our first exchange is FREE. We invite you to name a "proxy" who can support you through this process. Someone you can trust as you risk reliving this painful past.</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The next email exchange only costs you and your proxy $5. If we agree this process is a good fit for you, you will start building a support team. You invite each one using the supporter tabs, much like the notification tabs. As the value of this service to you rises, they bear the increased costs--and share in some of its rewards.</a:t>
          </a:r>
        </a:p>
        <a:p>
          <a:pPr>
            <a:spcAft>
              <a:spcPts val="600"/>
            </a:spcAft>
          </a:pPr>
          <a:r>
            <a:rPr lang="en-US" sz="1050" baseline="0">
              <a:solidFill>
                <a:schemeClr val="dk1"/>
              </a:solidFill>
              <a:effectLst/>
              <a:latin typeface="Times New Roman" panose="02020603050405020304" pitchFamily="18" charset="0"/>
              <a:ea typeface="+mn-ea"/>
              <a:cs typeface="Times New Roman" panose="02020603050405020304" pitchFamily="18" charset="0"/>
            </a:rPr>
            <a:t>Eventually, we shift to group video-chat ($100 each). Each dollar invested gets tracked. If your support team finds it's worth it, why not others? We will use that to persuade others to invest in you as well.</a:t>
          </a:r>
        </a:p>
        <a:p>
          <a:r>
            <a:rPr lang="en-US" sz="1050" baseline="0">
              <a:solidFill>
                <a:schemeClr val="dk1"/>
              </a:solidFill>
              <a:effectLst/>
              <a:latin typeface="Times New Roman" panose="02020603050405020304" pitchFamily="18" charset="0"/>
              <a:ea typeface="+mn-ea"/>
              <a:cs typeface="Times New Roman" panose="02020603050405020304" pitchFamily="18" charset="0"/>
            </a:rPr>
            <a:t>Your rebuilt life will become an attractive investment. If an employer passes you over, we can make sure their competitors will see your re-emerging value. </a:t>
          </a:r>
          <a:endParaRPr lang="en-US" sz="1050">
            <a:solidFill>
              <a:schemeClr val="dk1"/>
            </a:solidFill>
            <a:effectLst/>
            <a:latin typeface="Times New Roman" panose="02020603050405020304" pitchFamily="18" charset="0"/>
            <a:ea typeface="+mn-ea"/>
            <a:cs typeface="Times New Roman" panose="02020603050405020304" pitchFamily="18"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100" b="1">
              <a:solidFill>
                <a:schemeClr val="dk1"/>
              </a:solidFill>
              <a:effectLst/>
              <a:latin typeface="+mn-lt"/>
              <a:ea typeface="+mn-ea"/>
              <a:cs typeface="Times New Roman" panose="02020603050405020304" pitchFamily="18" charset="0"/>
            </a:rPr>
            <a:t>Step 2</a:t>
          </a:r>
        </a:p>
        <a:p>
          <a:pPr>
            <a:spcAft>
              <a:spcPts val="600"/>
            </a:spcAft>
          </a:pPr>
          <a:r>
            <a:rPr lang="en-US" sz="1050">
              <a:solidFill>
                <a:schemeClr val="dk1"/>
              </a:solidFill>
              <a:effectLst/>
              <a:latin typeface="Times New Roman" panose="02020603050405020304" pitchFamily="18" charset="0"/>
              <a:ea typeface="+mn-ea"/>
              <a:cs typeface="Times New Roman" panose="02020603050405020304" pitchFamily="18" charset="0"/>
            </a:rPr>
            <a:t>If we reach step two, we convince</a:t>
          </a:r>
          <a:r>
            <a:rPr lang="en-US" sz="1050" baseline="0">
              <a:solidFill>
                <a:schemeClr val="dk1"/>
              </a:solidFill>
              <a:effectLst/>
              <a:latin typeface="Times New Roman" panose="02020603050405020304" pitchFamily="18" charset="0"/>
              <a:ea typeface="+mn-ea"/>
              <a:cs typeface="Times New Roman" panose="02020603050405020304" pitchFamily="18" charset="0"/>
            </a:rPr>
            <a:t> the notified parties to start investing in your rebuilt life. To not only hire you or rent to you or negotiate debt with you, but to actively see you do better. Why would they willingly invest in you? By then, we will make it hard for them to say 'no'. </a:t>
          </a:r>
        </a:p>
        <a:p>
          <a:endParaRPr lang="en-US" sz="1050">
            <a:solidFill>
              <a:schemeClr val="dk1"/>
            </a:solidFill>
            <a:effectLst/>
            <a:latin typeface="Times New Roman" panose="02020603050405020304" pitchFamily="18" charset="0"/>
            <a:ea typeface="+mn-ea"/>
            <a:cs typeface="Times New Roman" panose="02020603050405020304" pitchFamily="18" charset="0"/>
          </a:endParaRPr>
        </a:p>
        <a:p>
          <a:endParaRPr lang="en-US"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268876</xdr:colOff>
      <xdr:row>1300</xdr:row>
      <xdr:rowOff>75111</xdr:rowOff>
    </xdr:from>
    <xdr:to>
      <xdr:col>3</xdr:col>
      <xdr:colOff>558436</xdr:colOff>
      <xdr:row>1303</xdr:row>
      <xdr:rowOff>7620</xdr:rowOff>
    </xdr:to>
    <xdr:sp macro="" textlink="">
      <xdr:nvSpPr>
        <xdr:cNvPr id="161" name="Rectangle: Beveled 160">
          <a:hlinkClick xmlns:r="http://schemas.openxmlformats.org/officeDocument/2006/relationships" r:id="rId36" tooltip="Click to learn more about the Impact Parity Model online"/>
          <a:extLst>
            <a:ext uri="{FF2B5EF4-FFF2-40B4-BE49-F238E27FC236}">
              <a16:creationId xmlns:a16="http://schemas.microsoft.com/office/drawing/2014/main" id="{7ED58FC1-4E91-4A96-BD02-3FB9DC5C4C21}"/>
            </a:ext>
          </a:extLst>
        </xdr:cNvPr>
        <xdr:cNvSpPr/>
      </xdr:nvSpPr>
      <xdr:spPr>
        <a:xfrm>
          <a:off x="1609996" y="348278631"/>
          <a:ext cx="2743200" cy="458289"/>
        </a:xfrm>
        <a:prstGeom prst="bevel">
          <a:avLst/>
        </a:prstGeom>
        <a:gradFill>
          <a:gsLst>
            <a:gs pos="0">
              <a:srgbClr val="01FF80"/>
            </a:gs>
            <a:gs pos="50000">
              <a:srgbClr val="23B98C"/>
            </a:gs>
            <a:gs pos="100000">
              <a:srgbClr val="198264"/>
            </a:gs>
          </a:gsLst>
        </a:gradFill>
        <a:ln>
          <a:solidFill>
            <a:srgbClr val="01FF80"/>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a:t>
          </a:r>
        </a:p>
      </xdr:txBody>
    </xdr:sp>
    <xdr:clientData/>
  </xdr:twoCellAnchor>
  <xdr:twoCellAnchor>
    <xdr:from>
      <xdr:col>41</xdr:col>
      <xdr:colOff>229689</xdr:colOff>
      <xdr:row>2276</xdr:row>
      <xdr:rowOff>31569</xdr:rowOff>
    </xdr:from>
    <xdr:to>
      <xdr:col>61</xdr:col>
      <xdr:colOff>42455</xdr:colOff>
      <xdr:row>2295</xdr:row>
      <xdr:rowOff>26127</xdr:rowOff>
    </xdr:to>
    <xdr:grpSp>
      <xdr:nvGrpSpPr>
        <xdr:cNvPr id="162" name="Group 161">
          <a:extLst>
            <a:ext uri="{FF2B5EF4-FFF2-40B4-BE49-F238E27FC236}">
              <a16:creationId xmlns:a16="http://schemas.microsoft.com/office/drawing/2014/main" id="{3FFEEA93-DEE7-4057-A61A-5A5574E8C9BE}"/>
            </a:ext>
          </a:extLst>
        </xdr:cNvPr>
        <xdr:cNvGrpSpPr/>
      </xdr:nvGrpSpPr>
      <xdr:grpSpPr>
        <a:xfrm>
          <a:off x="18726150" y="446296869"/>
          <a:ext cx="0" cy="3518808"/>
          <a:chOff x="261257" y="413678915"/>
          <a:chExt cx="5750923" cy="3065419"/>
        </a:xfrm>
      </xdr:grpSpPr>
      <xdr:pic>
        <xdr:nvPicPr>
          <xdr:cNvPr id="163" name="Picture 162">
            <a:extLst>
              <a:ext uri="{FF2B5EF4-FFF2-40B4-BE49-F238E27FC236}">
                <a16:creationId xmlns:a16="http://schemas.microsoft.com/office/drawing/2014/main" id="{40EE527D-5DA7-428A-AC66-775B355FE24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61257" y="413678915"/>
            <a:ext cx="5750923" cy="3065419"/>
          </a:xfrm>
          <a:prstGeom prst="rect">
            <a:avLst/>
          </a:prstGeom>
        </xdr:spPr>
      </xdr:pic>
      <xdr:grpSp>
        <xdr:nvGrpSpPr>
          <xdr:cNvPr id="164" name="skewed toward error 1 - WC">
            <a:extLst>
              <a:ext uri="{FF2B5EF4-FFF2-40B4-BE49-F238E27FC236}">
                <a16:creationId xmlns:a16="http://schemas.microsoft.com/office/drawing/2014/main" id="{A75E2913-D50A-4306-915B-B48BEF996ECA}"/>
              </a:ext>
            </a:extLst>
          </xdr:cNvPr>
          <xdr:cNvGrpSpPr>
            <a:grpSpLocks noChangeAspect="1"/>
          </xdr:cNvGrpSpPr>
        </xdr:nvGrpSpPr>
        <xdr:grpSpPr>
          <a:xfrm>
            <a:off x="573145" y="414983137"/>
            <a:ext cx="5111932" cy="1278699"/>
            <a:chOff x="696686" y="2909506"/>
            <a:chExt cx="10847614" cy="2864558"/>
          </a:xfrm>
        </xdr:grpSpPr>
        <xdr:sp macro="" textlink="">
          <xdr:nvSpPr>
            <xdr:cNvPr id="165" name="left curve">
              <a:extLst>
                <a:ext uri="{FF2B5EF4-FFF2-40B4-BE49-F238E27FC236}">
                  <a16:creationId xmlns:a16="http://schemas.microsoft.com/office/drawing/2014/main" id="{DC123F36-200F-4847-9032-C652CF075380}"/>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166" name="right curve">
              <a:extLst>
                <a:ext uri="{FF2B5EF4-FFF2-40B4-BE49-F238E27FC236}">
                  <a16:creationId xmlns:a16="http://schemas.microsoft.com/office/drawing/2014/main" id="{F0B954FB-DB3E-4E72-A36E-016131F3429F}"/>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167" name="bottom">
              <a:extLst>
                <a:ext uri="{FF2B5EF4-FFF2-40B4-BE49-F238E27FC236}">
                  <a16:creationId xmlns:a16="http://schemas.microsoft.com/office/drawing/2014/main" id="{F0143930-5B97-468C-90BF-222C7889F915}"/>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168" name="dotted center">
              <a:extLst>
                <a:ext uri="{FF2B5EF4-FFF2-40B4-BE49-F238E27FC236}">
                  <a16:creationId xmlns:a16="http://schemas.microsoft.com/office/drawing/2014/main" id="{4E1CB75B-7C42-431B-9C14-B39318E4C816}"/>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77</xdr:col>
      <xdr:colOff>121920</xdr:colOff>
      <xdr:row>2261</xdr:row>
      <xdr:rowOff>125186</xdr:rowOff>
    </xdr:from>
    <xdr:to>
      <xdr:col>86</xdr:col>
      <xdr:colOff>371022</xdr:colOff>
      <xdr:row>2265</xdr:row>
      <xdr:rowOff>35470</xdr:rowOff>
    </xdr:to>
    <xdr:sp macro="" textlink="">
      <xdr:nvSpPr>
        <xdr:cNvPr id="170" name="Text Box 1">
          <a:extLst>
            <a:ext uri="{FF2B5EF4-FFF2-40B4-BE49-F238E27FC236}">
              <a16:creationId xmlns:a16="http://schemas.microsoft.com/office/drawing/2014/main" id="{33ECB0B6-D1A5-4D6B-91B7-225191C50239}"/>
            </a:ext>
          </a:extLst>
        </xdr:cNvPr>
        <xdr:cNvSpPr txBox="1"/>
      </xdr:nvSpPr>
      <xdr:spPr>
        <a:xfrm>
          <a:off x="21122640" y="441300326"/>
          <a:ext cx="5941242" cy="618944"/>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25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Green, Bruce A. (1999). Why Should Prosecutors "Seek Justice"? </a:t>
          </a:r>
          <a:r>
            <a:rPr lang="en-US" sz="1250" i="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Fordham Urban Law Journal, 26</a:t>
          </a:r>
          <a:r>
            <a:rPr lang="en-US" sz="125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:3:6</a:t>
          </a:r>
          <a:r>
            <a:rPr lang="en-US" sz="1250">
              <a:effectLst/>
              <a:latin typeface="Calibri" panose="020F0502020204030204" pitchFamily="34" charset="0"/>
              <a:ea typeface="Calibri" panose="020F0502020204030204" pitchFamily="34"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77</xdr:col>
      <xdr:colOff>121920</xdr:colOff>
      <xdr:row>2257</xdr:row>
      <xdr:rowOff>144780</xdr:rowOff>
    </xdr:from>
    <xdr:to>
      <xdr:col>86</xdr:col>
      <xdr:colOff>371022</xdr:colOff>
      <xdr:row>2261</xdr:row>
      <xdr:rowOff>57241</xdr:rowOff>
    </xdr:to>
    <xdr:sp macro="" textlink="">
      <xdr:nvSpPr>
        <xdr:cNvPr id="171" name="Text Box 2">
          <a:extLst>
            <a:ext uri="{FF2B5EF4-FFF2-40B4-BE49-F238E27FC236}">
              <a16:creationId xmlns:a16="http://schemas.microsoft.com/office/drawing/2014/main" id="{A4ABA01F-91CE-45A1-A66F-883FFFB58886}"/>
            </a:ext>
          </a:extLst>
        </xdr:cNvPr>
        <xdr:cNvSpPr txBox="1"/>
      </xdr:nvSpPr>
      <xdr:spPr>
        <a:xfrm>
          <a:off x="21122640" y="440611260"/>
          <a:ext cx="5941242" cy="621121"/>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250">
              <a:effectLst/>
              <a:latin typeface="Calibri" panose="020F0502020204030204" pitchFamily="34" charset="0"/>
              <a:ea typeface="Calibri" panose="020F0502020204030204" pitchFamily="34" charset="0"/>
              <a:cs typeface="Times New Roman" panose="02020603050405020304" pitchFamily="18" charset="0"/>
            </a:rPr>
            <a:t>Need-response checks the “gross imbalance of power between prosecutors and defense lawyers” (Green, 1999).</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235132</xdr:colOff>
      <xdr:row>1237</xdr:row>
      <xdr:rowOff>127365</xdr:rowOff>
    </xdr:from>
    <xdr:to>
      <xdr:col>2</xdr:col>
      <xdr:colOff>502096</xdr:colOff>
      <xdr:row>1239</xdr:row>
      <xdr:rowOff>66405</xdr:rowOff>
    </xdr:to>
    <xdr:sp macro="" textlink="">
      <xdr:nvSpPr>
        <xdr:cNvPr id="172" name="Rectangle: Beveled 171">
          <a:hlinkClick xmlns:r="http://schemas.openxmlformats.org/officeDocument/2006/relationships" r:id="rId21" tooltip="Join our Facebook group The Unexonerated"/>
          <a:extLst>
            <a:ext uri="{FF2B5EF4-FFF2-40B4-BE49-F238E27FC236}">
              <a16:creationId xmlns:a16="http://schemas.microsoft.com/office/drawing/2014/main" id="{0208D928-FD33-4D1A-81A7-7E8044080FDB}"/>
            </a:ext>
          </a:extLst>
        </xdr:cNvPr>
        <xdr:cNvSpPr/>
      </xdr:nvSpPr>
      <xdr:spPr>
        <a:xfrm>
          <a:off x="499715" y="338496375"/>
          <a:ext cx="1371600" cy="375603"/>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rIns="0"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EIF forum</a:t>
          </a:r>
        </a:p>
      </xdr:txBody>
    </xdr:sp>
    <xdr:clientData/>
  </xdr:twoCellAnchor>
  <xdr:twoCellAnchor>
    <xdr:from>
      <xdr:col>43</xdr:col>
      <xdr:colOff>76201</xdr:colOff>
      <xdr:row>2277</xdr:row>
      <xdr:rowOff>97973</xdr:rowOff>
    </xdr:from>
    <xdr:to>
      <xdr:col>60</xdr:col>
      <xdr:colOff>178042</xdr:colOff>
      <xdr:row>2286</xdr:row>
      <xdr:rowOff>106903</xdr:rowOff>
    </xdr:to>
    <xdr:sp macro="" textlink="">
      <xdr:nvSpPr>
        <xdr:cNvPr id="173" name="TextBox 172">
          <a:extLst>
            <a:ext uri="{FF2B5EF4-FFF2-40B4-BE49-F238E27FC236}">
              <a16:creationId xmlns:a16="http://schemas.microsoft.com/office/drawing/2014/main" id="{7DE15B34-938D-4D0E-A579-4DED9E76EC88}"/>
            </a:ext>
          </a:extLst>
        </xdr:cNvPr>
        <xdr:cNvSpPr txBox="1"/>
      </xdr:nvSpPr>
      <xdr:spPr>
        <a:xfrm rot="387988">
          <a:off x="11239501" y="444298253"/>
          <a:ext cx="4986261" cy="1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60000"/>
                  <a:lumOff val="40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46</xdr:col>
      <xdr:colOff>20687</xdr:colOff>
      <xdr:row>2282</xdr:row>
      <xdr:rowOff>6531</xdr:rowOff>
    </xdr:from>
    <xdr:to>
      <xdr:col>61</xdr:col>
      <xdr:colOff>372899</xdr:colOff>
      <xdr:row>2292</xdr:row>
      <xdr:rowOff>45942</xdr:rowOff>
    </xdr:to>
    <xdr:sp macro="" textlink="">
      <xdr:nvSpPr>
        <xdr:cNvPr id="174" name="TextBox 173">
          <a:extLst>
            <a:ext uri="{FF2B5EF4-FFF2-40B4-BE49-F238E27FC236}">
              <a16:creationId xmlns:a16="http://schemas.microsoft.com/office/drawing/2014/main" id="{2FE41772-C8A0-44B6-A403-3E8ED3CA0011}"/>
            </a:ext>
          </a:extLst>
        </xdr:cNvPr>
        <xdr:cNvSpPr txBox="1"/>
      </xdr:nvSpPr>
      <xdr:spPr>
        <a:xfrm rot="387988">
          <a:off x="11961227" y="445159311"/>
          <a:ext cx="4992792" cy="1868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57</xdr:col>
      <xdr:colOff>272142</xdr:colOff>
      <xdr:row>2251</xdr:row>
      <xdr:rowOff>87085</xdr:rowOff>
    </xdr:from>
    <xdr:to>
      <xdr:col>77</xdr:col>
      <xdr:colOff>76199</xdr:colOff>
      <xdr:row>2265</xdr:row>
      <xdr:rowOff>21771</xdr:rowOff>
    </xdr:to>
    <xdr:sp macro="" textlink="">
      <xdr:nvSpPr>
        <xdr:cNvPr id="175" name="TextBox 174">
          <a:extLst>
            <a:ext uri="{FF2B5EF4-FFF2-40B4-BE49-F238E27FC236}">
              <a16:creationId xmlns:a16="http://schemas.microsoft.com/office/drawing/2014/main" id="{175C6ED7-6A40-41A0-98EF-1A9F0C34E225}"/>
            </a:ext>
          </a:extLst>
        </xdr:cNvPr>
        <xdr:cNvSpPr txBox="1"/>
      </xdr:nvSpPr>
      <xdr:spPr>
        <a:xfrm>
          <a:off x="14856822" y="439502005"/>
          <a:ext cx="6220097" cy="24035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t>In the interest</a:t>
          </a:r>
          <a:r>
            <a:rPr lang="en-US" sz="1100" baseline="0"/>
            <a:t> of justice for all, we must hold you accountable for the power you hold over our lives. Not in anger, but as a service to you and to your office. </a:t>
          </a:r>
          <a:r>
            <a:rPr lang="en-US" sz="1100" baseline="0">
              <a:solidFill>
                <a:schemeClr val="dk1"/>
              </a:solidFill>
              <a:effectLst/>
              <a:latin typeface="+mn-lt"/>
              <a:ea typeface="+mn-ea"/>
              <a:cs typeface="+mn-cs"/>
            </a:rPr>
            <a:t>This new professional field of need-response prioritizes objective needs over arbitrary laws. While no one sits above the law, no law sits above the needs for which it exists to serve.</a:t>
          </a:r>
          <a:endParaRPr lang="en-US">
            <a:effectLst/>
          </a:endParaRPr>
        </a:p>
        <a:p>
          <a:endParaRPr lang="en-US" sz="1100" baseline="0"/>
        </a:p>
        <a:p>
          <a:r>
            <a:rPr lang="en-US" sz="1100" baseline="0"/>
            <a:t>If power corrupts, you risk losing sight of the purpose for law enforcement. Out of fear of your power, [claimant] and others like [pp] routinely acquiesce to the implicit or explicit demands of your power. Need-response calls it 'structural exaction' when your power "exacts" concessions against the interests of justice. It answers the problem with the "exaction invoice".</a:t>
          </a:r>
        </a:p>
        <a:p>
          <a:endParaRPr lang="en-US" sz="1100" baseline="0"/>
        </a:p>
        <a:p>
          <a:endParaRPr lang="en-US" sz="1100" baseline="0"/>
        </a:p>
        <a:p>
          <a:endParaRPr lang="en-US" sz="1100" baseline="0"/>
        </a:p>
      </xdr:txBody>
    </xdr:sp>
    <xdr:clientData/>
  </xdr:twoCellAnchor>
  <xdr:twoCellAnchor>
    <xdr:from>
      <xdr:col>0</xdr:col>
      <xdr:colOff>178531</xdr:colOff>
      <xdr:row>2301</xdr:row>
      <xdr:rowOff>26126</xdr:rowOff>
    </xdr:from>
    <xdr:to>
      <xdr:col>2</xdr:col>
      <xdr:colOff>2316485</xdr:colOff>
      <xdr:row>2311</xdr:row>
      <xdr:rowOff>136543</xdr:rowOff>
    </xdr:to>
    <xdr:grpSp>
      <xdr:nvGrpSpPr>
        <xdr:cNvPr id="176" name="Group 175">
          <a:extLst>
            <a:ext uri="{FF2B5EF4-FFF2-40B4-BE49-F238E27FC236}">
              <a16:creationId xmlns:a16="http://schemas.microsoft.com/office/drawing/2014/main" id="{C65AA818-AACF-4E86-80F5-1FC996963F03}"/>
            </a:ext>
          </a:extLst>
        </xdr:cNvPr>
        <xdr:cNvGrpSpPr>
          <a:grpSpLocks noChangeAspect="1"/>
        </xdr:cNvGrpSpPr>
      </xdr:nvGrpSpPr>
      <xdr:grpSpPr>
        <a:xfrm>
          <a:off x="178531" y="450876126"/>
          <a:ext cx="3509554" cy="1888417"/>
          <a:chOff x="234470" y="413681234"/>
          <a:chExt cx="5750923" cy="3065419"/>
        </a:xfrm>
      </xdr:grpSpPr>
      <xdr:pic>
        <xdr:nvPicPr>
          <xdr:cNvPr id="177" name="Picture 176">
            <a:extLst>
              <a:ext uri="{FF2B5EF4-FFF2-40B4-BE49-F238E27FC236}">
                <a16:creationId xmlns:a16="http://schemas.microsoft.com/office/drawing/2014/main" id="{9A5D611D-CBBD-41AC-85ED-BBB536569CC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34470" y="413681234"/>
            <a:ext cx="5750923" cy="3065419"/>
          </a:xfrm>
          <a:prstGeom prst="rect">
            <a:avLst/>
          </a:prstGeom>
        </xdr:spPr>
      </xdr:pic>
      <xdr:grpSp>
        <xdr:nvGrpSpPr>
          <xdr:cNvPr id="178" name="skewed toward error 1 - WC">
            <a:extLst>
              <a:ext uri="{FF2B5EF4-FFF2-40B4-BE49-F238E27FC236}">
                <a16:creationId xmlns:a16="http://schemas.microsoft.com/office/drawing/2014/main" id="{D3FE922B-B4B4-4441-B0C3-ABAEB03148AA}"/>
              </a:ext>
            </a:extLst>
          </xdr:cNvPr>
          <xdr:cNvGrpSpPr>
            <a:grpSpLocks noChangeAspect="1"/>
          </xdr:cNvGrpSpPr>
        </xdr:nvGrpSpPr>
        <xdr:grpSpPr>
          <a:xfrm>
            <a:off x="573145" y="414983137"/>
            <a:ext cx="5111932" cy="1278699"/>
            <a:chOff x="696686" y="2909506"/>
            <a:chExt cx="10847614" cy="2864558"/>
          </a:xfrm>
        </xdr:grpSpPr>
        <xdr:sp macro="" textlink="">
          <xdr:nvSpPr>
            <xdr:cNvPr id="179" name="left curve">
              <a:extLst>
                <a:ext uri="{FF2B5EF4-FFF2-40B4-BE49-F238E27FC236}">
                  <a16:creationId xmlns:a16="http://schemas.microsoft.com/office/drawing/2014/main" id="{7E65614A-DBE9-4BAE-B31C-040C3656B3C6}"/>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180" name="right curve">
              <a:extLst>
                <a:ext uri="{FF2B5EF4-FFF2-40B4-BE49-F238E27FC236}">
                  <a16:creationId xmlns:a16="http://schemas.microsoft.com/office/drawing/2014/main" id="{5F20DEC1-EFC4-40EB-B2B6-132387722FAE}"/>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181" name="bottom">
              <a:extLst>
                <a:ext uri="{FF2B5EF4-FFF2-40B4-BE49-F238E27FC236}">
                  <a16:creationId xmlns:a16="http://schemas.microsoft.com/office/drawing/2014/main" id="{78DCFB19-8759-4862-8EF4-13DA02BCA51D}"/>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182" name="dotted center">
              <a:extLst>
                <a:ext uri="{FF2B5EF4-FFF2-40B4-BE49-F238E27FC236}">
                  <a16:creationId xmlns:a16="http://schemas.microsoft.com/office/drawing/2014/main" id="{8BA2BFD2-BEA4-476D-B7C7-4874F2128959}"/>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91441</xdr:colOff>
      <xdr:row>2450</xdr:row>
      <xdr:rowOff>53340</xdr:rowOff>
    </xdr:from>
    <xdr:to>
      <xdr:col>2</xdr:col>
      <xdr:colOff>2446020</xdr:colOff>
      <xdr:row>2452</xdr:row>
      <xdr:rowOff>68580</xdr:rowOff>
    </xdr:to>
    <xdr:sp macro="" textlink="">
      <xdr:nvSpPr>
        <xdr:cNvPr id="183" name="Rectangle: Rounded Corners 182">
          <a:extLst>
            <a:ext uri="{FF2B5EF4-FFF2-40B4-BE49-F238E27FC236}">
              <a16:creationId xmlns:a16="http://schemas.microsoft.com/office/drawing/2014/main" id="{6C52C8F5-4C50-43BD-8CC4-5D7D9F14137D}"/>
            </a:ext>
          </a:extLst>
        </xdr:cNvPr>
        <xdr:cNvSpPr/>
      </xdr:nvSpPr>
      <xdr:spPr>
        <a:xfrm>
          <a:off x="1432561" y="46864524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 phase</a:t>
          </a:r>
        </a:p>
      </xdr:txBody>
    </xdr:sp>
    <xdr:clientData/>
  </xdr:twoCellAnchor>
  <xdr:twoCellAnchor>
    <xdr:from>
      <xdr:col>2</xdr:col>
      <xdr:colOff>83821</xdr:colOff>
      <xdr:row>2456</xdr:row>
      <xdr:rowOff>45720</xdr:rowOff>
    </xdr:from>
    <xdr:to>
      <xdr:col>2</xdr:col>
      <xdr:colOff>2438400</xdr:colOff>
      <xdr:row>2458</xdr:row>
      <xdr:rowOff>60960</xdr:rowOff>
    </xdr:to>
    <xdr:sp macro="" textlink="">
      <xdr:nvSpPr>
        <xdr:cNvPr id="184" name="Rectangle: Rounded Corners 183">
          <a:extLst>
            <a:ext uri="{FF2B5EF4-FFF2-40B4-BE49-F238E27FC236}">
              <a16:creationId xmlns:a16="http://schemas.microsoft.com/office/drawing/2014/main" id="{FBC2E36A-16A7-4537-AEB6-AF2884D751B1}"/>
            </a:ext>
          </a:extLst>
        </xdr:cNvPr>
        <xdr:cNvSpPr/>
      </xdr:nvSpPr>
      <xdr:spPr>
        <a:xfrm>
          <a:off x="1424941" y="46968918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 followers</a:t>
          </a:r>
        </a:p>
      </xdr:txBody>
    </xdr:sp>
    <xdr:clientData/>
  </xdr:twoCellAnchor>
  <xdr:twoCellAnchor>
    <xdr:from>
      <xdr:col>2</xdr:col>
      <xdr:colOff>91441</xdr:colOff>
      <xdr:row>2453</xdr:row>
      <xdr:rowOff>45720</xdr:rowOff>
    </xdr:from>
    <xdr:to>
      <xdr:col>2</xdr:col>
      <xdr:colOff>2446020</xdr:colOff>
      <xdr:row>2455</xdr:row>
      <xdr:rowOff>60960</xdr:rowOff>
    </xdr:to>
    <xdr:sp macro="" textlink="">
      <xdr:nvSpPr>
        <xdr:cNvPr id="185" name="Rectangle: Rounded Corners 184">
          <a:extLst>
            <a:ext uri="{FF2B5EF4-FFF2-40B4-BE49-F238E27FC236}">
              <a16:creationId xmlns:a16="http://schemas.microsoft.com/office/drawing/2014/main" id="{C0C22B3D-63AB-4A0E-A154-D41583B5A3FC}"/>
            </a:ext>
          </a:extLst>
        </xdr:cNvPr>
        <xdr:cNvSpPr/>
      </xdr:nvSpPr>
      <xdr:spPr>
        <a:xfrm>
          <a:off x="1432561" y="46916340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verifiction progress</a:t>
          </a:r>
        </a:p>
      </xdr:txBody>
    </xdr:sp>
    <xdr:clientData/>
  </xdr:twoCellAnchor>
  <xdr:twoCellAnchor>
    <xdr:from>
      <xdr:col>1</xdr:col>
      <xdr:colOff>1</xdr:colOff>
      <xdr:row>2450</xdr:row>
      <xdr:rowOff>53340</xdr:rowOff>
    </xdr:from>
    <xdr:to>
      <xdr:col>2</xdr:col>
      <xdr:colOff>7620</xdr:colOff>
      <xdr:row>2452</xdr:row>
      <xdr:rowOff>68580</xdr:rowOff>
    </xdr:to>
    <xdr:sp macro="" textlink="">
      <xdr:nvSpPr>
        <xdr:cNvPr id="186" name="Rectangle: Rounded Corners 185">
          <a:extLst>
            <a:ext uri="{FF2B5EF4-FFF2-40B4-BE49-F238E27FC236}">
              <a16:creationId xmlns:a16="http://schemas.microsoft.com/office/drawing/2014/main" id="{D88954B8-F13D-4651-8995-730E16737EDC}"/>
            </a:ext>
          </a:extLst>
        </xdr:cNvPr>
        <xdr:cNvSpPr/>
      </xdr:nvSpPr>
      <xdr:spPr>
        <a:xfrm>
          <a:off x="259081" y="46864524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Start</a:t>
          </a:r>
          <a:r>
            <a:rPr lang="en-US" sz="800" b="1" baseline="0">
              <a:solidFill>
                <a:srgbClr val="00B050"/>
              </a:solidFill>
              <a:latin typeface="+mn-lt"/>
              <a:ea typeface="+mn-ea"/>
              <a:cs typeface="+mn-cs"/>
            </a:rPr>
            <a:t> of service</a:t>
          </a:r>
          <a:endParaRPr lang="en-US" sz="800" b="1">
            <a:solidFill>
              <a:srgbClr val="00B050"/>
            </a:solidFill>
            <a:latin typeface="+mn-lt"/>
            <a:ea typeface="+mn-ea"/>
            <a:cs typeface="+mn-cs"/>
          </a:endParaRPr>
        </a:p>
      </xdr:txBody>
    </xdr:sp>
    <xdr:clientData/>
  </xdr:twoCellAnchor>
  <xdr:twoCellAnchor>
    <xdr:from>
      <xdr:col>3</xdr:col>
      <xdr:colOff>83821</xdr:colOff>
      <xdr:row>2450</xdr:row>
      <xdr:rowOff>53340</xdr:rowOff>
    </xdr:from>
    <xdr:to>
      <xdr:col>4</xdr:col>
      <xdr:colOff>167641</xdr:colOff>
      <xdr:row>2452</xdr:row>
      <xdr:rowOff>68580</xdr:rowOff>
    </xdr:to>
    <xdr:sp macro="" textlink="">
      <xdr:nvSpPr>
        <xdr:cNvPr id="187" name="Rectangle: Rounded Corners 186">
          <a:extLst>
            <a:ext uri="{FF2B5EF4-FFF2-40B4-BE49-F238E27FC236}">
              <a16:creationId xmlns:a16="http://schemas.microsoft.com/office/drawing/2014/main" id="{774FAFC1-202E-4FDA-A667-F8D21B0CA2D1}"/>
            </a:ext>
          </a:extLst>
        </xdr:cNvPr>
        <xdr:cNvSpPr/>
      </xdr:nvSpPr>
      <xdr:spPr>
        <a:xfrm>
          <a:off x="3878581" y="46864524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next milestone</a:t>
          </a:r>
        </a:p>
      </xdr:txBody>
    </xdr:sp>
    <xdr:clientData/>
  </xdr:twoCellAnchor>
  <xdr:twoCellAnchor>
    <xdr:from>
      <xdr:col>3</xdr:col>
      <xdr:colOff>83821</xdr:colOff>
      <xdr:row>2453</xdr:row>
      <xdr:rowOff>45720</xdr:rowOff>
    </xdr:from>
    <xdr:to>
      <xdr:col>4</xdr:col>
      <xdr:colOff>167641</xdr:colOff>
      <xdr:row>2455</xdr:row>
      <xdr:rowOff>60960</xdr:rowOff>
    </xdr:to>
    <xdr:sp macro="" textlink="">
      <xdr:nvSpPr>
        <xdr:cNvPr id="188" name="Rectangle: Rounded Corners 187">
          <a:extLst>
            <a:ext uri="{FF2B5EF4-FFF2-40B4-BE49-F238E27FC236}">
              <a16:creationId xmlns:a16="http://schemas.microsoft.com/office/drawing/2014/main" id="{A4C6A1F2-6C3B-4C5C-8F92-E3A3149FB082}"/>
            </a:ext>
          </a:extLst>
        </xdr:cNvPr>
        <xdr:cNvSpPr/>
      </xdr:nvSpPr>
      <xdr:spPr>
        <a:xfrm>
          <a:off x="3878581" y="46916340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Their responsiveness to your messages</a:t>
          </a:r>
        </a:p>
      </xdr:txBody>
    </xdr:sp>
    <xdr:clientData/>
  </xdr:twoCellAnchor>
  <xdr:twoCellAnchor>
    <xdr:from>
      <xdr:col>2</xdr:col>
      <xdr:colOff>83821</xdr:colOff>
      <xdr:row>2459</xdr:row>
      <xdr:rowOff>45720</xdr:rowOff>
    </xdr:from>
    <xdr:to>
      <xdr:col>2</xdr:col>
      <xdr:colOff>2438400</xdr:colOff>
      <xdr:row>2461</xdr:row>
      <xdr:rowOff>60960</xdr:rowOff>
    </xdr:to>
    <xdr:sp macro="" textlink="">
      <xdr:nvSpPr>
        <xdr:cNvPr id="189" name="Rectangle: Rounded Corners 188">
          <a:extLst>
            <a:ext uri="{FF2B5EF4-FFF2-40B4-BE49-F238E27FC236}">
              <a16:creationId xmlns:a16="http://schemas.microsoft.com/office/drawing/2014/main" id="{9D2E3EF9-0CF4-433A-928F-EBE66D9AD3D4}"/>
            </a:ext>
          </a:extLst>
        </xdr:cNvPr>
        <xdr:cNvSpPr/>
      </xdr:nvSpPr>
      <xdr:spPr>
        <a:xfrm>
          <a:off x="1424941" y="47021496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 investing supportors</a:t>
          </a:r>
        </a:p>
      </xdr:txBody>
    </xdr:sp>
    <xdr:clientData/>
  </xdr:twoCellAnchor>
  <xdr:twoCellAnchor>
    <xdr:from>
      <xdr:col>3</xdr:col>
      <xdr:colOff>91441</xdr:colOff>
      <xdr:row>2456</xdr:row>
      <xdr:rowOff>45720</xdr:rowOff>
    </xdr:from>
    <xdr:to>
      <xdr:col>4</xdr:col>
      <xdr:colOff>175261</xdr:colOff>
      <xdr:row>2458</xdr:row>
      <xdr:rowOff>60960</xdr:rowOff>
    </xdr:to>
    <xdr:sp macro="" textlink="">
      <xdr:nvSpPr>
        <xdr:cNvPr id="190" name="Rectangle: Rounded Corners 189">
          <a:extLst>
            <a:ext uri="{FF2B5EF4-FFF2-40B4-BE49-F238E27FC236}">
              <a16:creationId xmlns:a16="http://schemas.microsoft.com/office/drawing/2014/main" id="{0DB4245B-5AEC-4B1F-AB1A-7912611CAFD7}"/>
            </a:ext>
          </a:extLst>
        </xdr:cNvPr>
        <xdr:cNvSpPr/>
      </xdr:nvSpPr>
      <xdr:spPr>
        <a:xfrm>
          <a:off x="3886201" y="46968918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a:t>
          </a:r>
          <a:r>
            <a:rPr lang="en-US" sz="800" b="1" baseline="0">
              <a:solidFill>
                <a:srgbClr val="00B050"/>
              </a:solidFill>
              <a:latin typeface="+mn-lt"/>
              <a:ea typeface="+mn-ea"/>
              <a:cs typeface="+mn-cs"/>
            </a:rPr>
            <a:t> campaign sponsors</a:t>
          </a:r>
          <a:endParaRPr lang="en-US" sz="800" b="1">
            <a:solidFill>
              <a:srgbClr val="00B050"/>
            </a:solidFill>
            <a:latin typeface="+mn-lt"/>
            <a:ea typeface="+mn-ea"/>
            <a:cs typeface="+mn-cs"/>
          </a:endParaRPr>
        </a:p>
      </xdr:txBody>
    </xdr:sp>
    <xdr:clientData/>
  </xdr:twoCellAnchor>
  <xdr:twoCellAnchor>
    <xdr:from>
      <xdr:col>3</xdr:col>
      <xdr:colOff>99061</xdr:colOff>
      <xdr:row>2459</xdr:row>
      <xdr:rowOff>45720</xdr:rowOff>
    </xdr:from>
    <xdr:to>
      <xdr:col>4</xdr:col>
      <xdr:colOff>182881</xdr:colOff>
      <xdr:row>2461</xdr:row>
      <xdr:rowOff>60960</xdr:rowOff>
    </xdr:to>
    <xdr:sp macro="" textlink="">
      <xdr:nvSpPr>
        <xdr:cNvPr id="191" name="Rectangle: Rounded Corners 190">
          <a:extLst>
            <a:ext uri="{FF2B5EF4-FFF2-40B4-BE49-F238E27FC236}">
              <a16:creationId xmlns:a16="http://schemas.microsoft.com/office/drawing/2014/main" id="{284653A9-E94F-48FB-AF61-292BE7946BF5}"/>
            </a:ext>
          </a:extLst>
        </xdr:cNvPr>
        <xdr:cNvSpPr/>
      </xdr:nvSpPr>
      <xdr:spPr>
        <a:xfrm>
          <a:off x="3893821" y="47021496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current</a:t>
          </a:r>
          <a:r>
            <a:rPr lang="en-US" sz="800" b="1" baseline="0">
              <a:solidFill>
                <a:srgbClr val="00B050"/>
              </a:solidFill>
              <a:latin typeface="+mn-lt"/>
              <a:ea typeface="+mn-ea"/>
              <a:cs typeface="+mn-cs"/>
            </a:rPr>
            <a:t> campaign patrons</a:t>
          </a:r>
          <a:endParaRPr lang="en-US" sz="800" b="1">
            <a:solidFill>
              <a:srgbClr val="00B050"/>
            </a:solidFill>
            <a:latin typeface="+mn-lt"/>
            <a:ea typeface="+mn-ea"/>
            <a:cs typeface="+mn-cs"/>
          </a:endParaRPr>
        </a:p>
      </xdr:txBody>
    </xdr:sp>
    <xdr:clientData/>
  </xdr:twoCellAnchor>
  <xdr:twoCellAnchor>
    <xdr:from>
      <xdr:col>1</xdr:col>
      <xdr:colOff>1</xdr:colOff>
      <xdr:row>2453</xdr:row>
      <xdr:rowOff>53340</xdr:rowOff>
    </xdr:from>
    <xdr:to>
      <xdr:col>2</xdr:col>
      <xdr:colOff>7620</xdr:colOff>
      <xdr:row>2455</xdr:row>
      <xdr:rowOff>68580</xdr:rowOff>
    </xdr:to>
    <xdr:sp macro="" textlink="">
      <xdr:nvSpPr>
        <xdr:cNvPr id="192" name="Rectangle: Rounded Corners 191">
          <a:extLst>
            <a:ext uri="{FF2B5EF4-FFF2-40B4-BE49-F238E27FC236}">
              <a16:creationId xmlns:a16="http://schemas.microsoft.com/office/drawing/2014/main" id="{5C11996F-8C2D-4DAD-B401-62731F746904}"/>
            </a:ext>
          </a:extLst>
        </xdr:cNvPr>
        <xdr:cNvSpPr/>
      </xdr:nvSpPr>
      <xdr:spPr>
        <a:xfrm>
          <a:off x="259081" y="46917102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Campaign</a:t>
          </a:r>
          <a:r>
            <a:rPr lang="en-US" sz="800" b="1" baseline="0">
              <a:solidFill>
                <a:srgbClr val="00B050"/>
              </a:solidFill>
              <a:latin typeface="+mn-lt"/>
              <a:ea typeface="+mn-ea"/>
              <a:cs typeface="+mn-cs"/>
            </a:rPr>
            <a:t> launch date</a:t>
          </a:r>
          <a:endParaRPr lang="en-US" sz="800" b="1">
            <a:solidFill>
              <a:srgbClr val="00B050"/>
            </a:solidFill>
            <a:latin typeface="+mn-lt"/>
            <a:ea typeface="+mn-ea"/>
            <a:cs typeface="+mn-cs"/>
          </a:endParaRPr>
        </a:p>
      </xdr:txBody>
    </xdr:sp>
    <xdr:clientData/>
  </xdr:twoCellAnchor>
  <xdr:twoCellAnchor>
    <xdr:from>
      <xdr:col>2</xdr:col>
      <xdr:colOff>83821</xdr:colOff>
      <xdr:row>2465</xdr:row>
      <xdr:rowOff>60960</xdr:rowOff>
    </xdr:from>
    <xdr:to>
      <xdr:col>2</xdr:col>
      <xdr:colOff>2438400</xdr:colOff>
      <xdr:row>2467</xdr:row>
      <xdr:rowOff>76200</xdr:rowOff>
    </xdr:to>
    <xdr:sp macro="" textlink="">
      <xdr:nvSpPr>
        <xdr:cNvPr id="193" name="Rectangle: Rounded Corners 192">
          <a:extLst>
            <a:ext uri="{FF2B5EF4-FFF2-40B4-BE49-F238E27FC236}">
              <a16:creationId xmlns:a16="http://schemas.microsoft.com/office/drawing/2014/main" id="{D0DE4C77-01A8-45A6-9ACC-4342F229FDB3}"/>
            </a:ext>
          </a:extLst>
        </xdr:cNvPr>
        <xdr:cNvSpPr/>
      </xdr:nvSpPr>
      <xdr:spPr>
        <a:xfrm>
          <a:off x="1424941" y="47127414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Feedback critique to Value Relating </a:t>
          </a:r>
        </a:p>
      </xdr:txBody>
    </xdr:sp>
    <xdr:clientData/>
  </xdr:twoCellAnchor>
  <xdr:twoCellAnchor>
    <xdr:from>
      <xdr:col>3</xdr:col>
      <xdr:colOff>99061</xdr:colOff>
      <xdr:row>2465</xdr:row>
      <xdr:rowOff>60960</xdr:rowOff>
    </xdr:from>
    <xdr:to>
      <xdr:col>4</xdr:col>
      <xdr:colOff>182881</xdr:colOff>
      <xdr:row>2467</xdr:row>
      <xdr:rowOff>76200</xdr:rowOff>
    </xdr:to>
    <xdr:sp macro="" textlink="">
      <xdr:nvSpPr>
        <xdr:cNvPr id="194" name="Rectangle: Rounded Corners 193">
          <a:extLst>
            <a:ext uri="{FF2B5EF4-FFF2-40B4-BE49-F238E27FC236}">
              <a16:creationId xmlns:a16="http://schemas.microsoft.com/office/drawing/2014/main" id="{08D5DFC2-2DEB-468D-AD3E-5CB5ACBCF532}"/>
            </a:ext>
          </a:extLst>
        </xdr:cNvPr>
        <xdr:cNvSpPr/>
      </xdr:nvSpPr>
      <xdr:spPr>
        <a:xfrm>
          <a:off x="3893821" y="47127414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Claimant's latest satisfaction</a:t>
          </a:r>
          <a:r>
            <a:rPr lang="en-US" sz="800" b="1" baseline="0">
              <a:solidFill>
                <a:srgbClr val="00B050"/>
              </a:solidFill>
              <a:latin typeface="+mn-lt"/>
              <a:ea typeface="+mn-ea"/>
              <a:cs typeface="+mn-cs"/>
            </a:rPr>
            <a:t> level</a:t>
          </a:r>
          <a:r>
            <a:rPr lang="en-US" sz="800" b="1">
              <a:solidFill>
                <a:srgbClr val="00B050"/>
              </a:solidFill>
              <a:latin typeface="+mn-lt"/>
              <a:ea typeface="+mn-ea"/>
              <a:cs typeface="+mn-cs"/>
            </a:rPr>
            <a:t> </a:t>
          </a:r>
        </a:p>
      </xdr:txBody>
    </xdr:sp>
    <xdr:clientData/>
  </xdr:twoCellAnchor>
  <xdr:twoCellAnchor>
    <xdr:from>
      <xdr:col>1</xdr:col>
      <xdr:colOff>1</xdr:colOff>
      <xdr:row>2465</xdr:row>
      <xdr:rowOff>60960</xdr:rowOff>
    </xdr:from>
    <xdr:to>
      <xdr:col>2</xdr:col>
      <xdr:colOff>7620</xdr:colOff>
      <xdr:row>2467</xdr:row>
      <xdr:rowOff>76200</xdr:rowOff>
    </xdr:to>
    <xdr:sp macro="" textlink="">
      <xdr:nvSpPr>
        <xdr:cNvPr id="195" name="Rectangle: Rounded Corners 194">
          <a:extLst>
            <a:ext uri="{FF2B5EF4-FFF2-40B4-BE49-F238E27FC236}">
              <a16:creationId xmlns:a16="http://schemas.microsoft.com/office/drawing/2014/main" id="{5406730A-6246-49D9-9500-6B7E8892BC46}"/>
            </a:ext>
          </a:extLst>
        </xdr:cNvPr>
        <xdr:cNvSpPr/>
      </xdr:nvSpPr>
      <xdr:spPr>
        <a:xfrm>
          <a:off x="259081" y="47127414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Number of sessions</a:t>
          </a:r>
        </a:p>
      </xdr:txBody>
    </xdr:sp>
    <xdr:clientData/>
  </xdr:twoCellAnchor>
  <xdr:twoCellAnchor>
    <xdr:from>
      <xdr:col>1</xdr:col>
      <xdr:colOff>1</xdr:colOff>
      <xdr:row>2459</xdr:row>
      <xdr:rowOff>53340</xdr:rowOff>
    </xdr:from>
    <xdr:to>
      <xdr:col>2</xdr:col>
      <xdr:colOff>7620</xdr:colOff>
      <xdr:row>2461</xdr:row>
      <xdr:rowOff>68580</xdr:rowOff>
    </xdr:to>
    <xdr:sp macro="" textlink="">
      <xdr:nvSpPr>
        <xdr:cNvPr id="196" name="Rectangle: Rounded Corners 195">
          <a:extLst>
            <a:ext uri="{FF2B5EF4-FFF2-40B4-BE49-F238E27FC236}">
              <a16:creationId xmlns:a16="http://schemas.microsoft.com/office/drawing/2014/main" id="{9239B1F5-3335-46F8-8813-6C388A5309D2}"/>
            </a:ext>
          </a:extLst>
        </xdr:cNvPr>
        <xdr:cNvSpPr/>
      </xdr:nvSpPr>
      <xdr:spPr>
        <a:xfrm>
          <a:off x="259081" y="47022258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Your account balance</a:t>
          </a:r>
        </a:p>
      </xdr:txBody>
    </xdr:sp>
    <xdr:clientData/>
  </xdr:twoCellAnchor>
  <xdr:twoCellAnchor>
    <xdr:from>
      <xdr:col>2</xdr:col>
      <xdr:colOff>83821</xdr:colOff>
      <xdr:row>2462</xdr:row>
      <xdr:rowOff>53340</xdr:rowOff>
    </xdr:from>
    <xdr:to>
      <xdr:col>2</xdr:col>
      <xdr:colOff>2438400</xdr:colOff>
      <xdr:row>2464</xdr:row>
      <xdr:rowOff>68580</xdr:rowOff>
    </xdr:to>
    <xdr:sp macro="" textlink="">
      <xdr:nvSpPr>
        <xdr:cNvPr id="197" name="Rectangle: Rounded Corners 196">
          <a:extLst>
            <a:ext uri="{FF2B5EF4-FFF2-40B4-BE49-F238E27FC236}">
              <a16:creationId xmlns:a16="http://schemas.microsoft.com/office/drawing/2014/main" id="{FCB93D5B-9116-4D90-AA49-9DC2282FA44C}"/>
            </a:ext>
          </a:extLst>
        </xdr:cNvPr>
        <xdr:cNvSpPr/>
      </xdr:nvSpPr>
      <xdr:spPr>
        <a:xfrm>
          <a:off x="1424941" y="47074836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Campaign status </a:t>
          </a:r>
        </a:p>
      </xdr:txBody>
    </xdr:sp>
    <xdr:clientData/>
  </xdr:twoCellAnchor>
  <xdr:twoCellAnchor>
    <xdr:from>
      <xdr:col>3</xdr:col>
      <xdr:colOff>99061</xdr:colOff>
      <xdr:row>2462</xdr:row>
      <xdr:rowOff>53340</xdr:rowOff>
    </xdr:from>
    <xdr:to>
      <xdr:col>4</xdr:col>
      <xdr:colOff>182881</xdr:colOff>
      <xdr:row>2464</xdr:row>
      <xdr:rowOff>68580</xdr:rowOff>
    </xdr:to>
    <xdr:sp macro="" textlink="">
      <xdr:nvSpPr>
        <xdr:cNvPr id="198" name="Rectangle: Rounded Corners 197">
          <a:extLst>
            <a:ext uri="{FF2B5EF4-FFF2-40B4-BE49-F238E27FC236}">
              <a16:creationId xmlns:a16="http://schemas.microsoft.com/office/drawing/2014/main" id="{1672240C-4145-483A-B0D2-BF377FD22B39}"/>
            </a:ext>
          </a:extLst>
        </xdr:cNvPr>
        <xdr:cNvSpPr/>
      </xdr:nvSpPr>
      <xdr:spPr>
        <a:xfrm>
          <a:off x="3893821" y="47074836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Current</a:t>
          </a:r>
          <a:r>
            <a:rPr lang="en-US" sz="800" b="1" baseline="0">
              <a:solidFill>
                <a:srgbClr val="00B050"/>
              </a:solidFill>
              <a:latin typeface="+mn-lt"/>
              <a:ea typeface="+mn-ea"/>
              <a:cs typeface="+mn-cs"/>
            </a:rPr>
            <a:t> weekly revenue</a:t>
          </a:r>
          <a:endParaRPr lang="en-US" sz="800" b="1">
            <a:solidFill>
              <a:srgbClr val="00B050"/>
            </a:solidFill>
            <a:latin typeface="+mn-lt"/>
            <a:ea typeface="+mn-ea"/>
            <a:cs typeface="+mn-cs"/>
          </a:endParaRPr>
        </a:p>
      </xdr:txBody>
    </xdr:sp>
    <xdr:clientData/>
  </xdr:twoCellAnchor>
  <xdr:twoCellAnchor>
    <xdr:from>
      <xdr:col>1</xdr:col>
      <xdr:colOff>1</xdr:colOff>
      <xdr:row>2462</xdr:row>
      <xdr:rowOff>53340</xdr:rowOff>
    </xdr:from>
    <xdr:to>
      <xdr:col>2</xdr:col>
      <xdr:colOff>7620</xdr:colOff>
      <xdr:row>2464</xdr:row>
      <xdr:rowOff>68580</xdr:rowOff>
    </xdr:to>
    <xdr:sp macro="" textlink="">
      <xdr:nvSpPr>
        <xdr:cNvPr id="199" name="Rectangle: Rounded Corners 198">
          <a:extLst>
            <a:ext uri="{FF2B5EF4-FFF2-40B4-BE49-F238E27FC236}">
              <a16:creationId xmlns:a16="http://schemas.microsoft.com/office/drawing/2014/main" id="{08693FD5-F729-4B32-AD17-83FB3E728194}"/>
            </a:ext>
          </a:extLst>
        </xdr:cNvPr>
        <xdr:cNvSpPr/>
      </xdr:nvSpPr>
      <xdr:spPr>
        <a:xfrm>
          <a:off x="259081" y="47074836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No. of team members</a:t>
          </a:r>
        </a:p>
      </xdr:txBody>
    </xdr:sp>
    <xdr:clientData/>
  </xdr:twoCellAnchor>
  <xdr:twoCellAnchor>
    <xdr:from>
      <xdr:col>55</xdr:col>
      <xdr:colOff>134674</xdr:colOff>
      <xdr:row>2481</xdr:row>
      <xdr:rowOff>16753</xdr:rowOff>
    </xdr:from>
    <xdr:to>
      <xdr:col>67</xdr:col>
      <xdr:colOff>149311</xdr:colOff>
      <xdr:row>2491</xdr:row>
      <xdr:rowOff>92953</xdr:rowOff>
    </xdr:to>
    <xdr:sp macro="" textlink="">
      <xdr:nvSpPr>
        <xdr:cNvPr id="200" name="Text Box 8">
          <a:extLst>
            <a:ext uri="{FF2B5EF4-FFF2-40B4-BE49-F238E27FC236}">
              <a16:creationId xmlns:a16="http://schemas.microsoft.com/office/drawing/2014/main" id="{A25E57B1-C37D-472B-BB2C-DBC1716018E1}"/>
            </a:ext>
          </a:extLst>
        </xdr:cNvPr>
        <xdr:cNvSpPr txBox="1"/>
      </xdr:nvSpPr>
      <xdr:spPr>
        <a:xfrm rot="406479">
          <a:off x="14132614" y="474034093"/>
          <a:ext cx="4426617" cy="183642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Any injustice in the name</a:t>
          </a:r>
          <a:r>
            <a:rPr lang="en-US" sz="2000" b="1" baseline="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justice is no justice at all.</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1</xdr:col>
      <xdr:colOff>23947</xdr:colOff>
      <xdr:row>2471</xdr:row>
      <xdr:rowOff>144780</xdr:rowOff>
    </xdr:from>
    <xdr:to>
      <xdr:col>4</xdr:col>
      <xdr:colOff>183967</xdr:colOff>
      <xdr:row>2484</xdr:row>
      <xdr:rowOff>30480</xdr:rowOff>
    </xdr:to>
    <xdr:grpSp>
      <xdr:nvGrpSpPr>
        <xdr:cNvPr id="201" name="Group 200">
          <a:extLst>
            <a:ext uri="{FF2B5EF4-FFF2-40B4-BE49-F238E27FC236}">
              <a16:creationId xmlns:a16="http://schemas.microsoft.com/office/drawing/2014/main" id="{175421A6-EAAE-4249-8EC0-01148318F9FC}"/>
            </a:ext>
          </a:extLst>
        </xdr:cNvPr>
        <xdr:cNvGrpSpPr/>
      </xdr:nvGrpSpPr>
      <xdr:grpSpPr>
        <a:xfrm>
          <a:off x="290647" y="474851730"/>
          <a:ext cx="5779770" cy="2197100"/>
          <a:chOff x="283027" y="439003440"/>
          <a:chExt cx="5669280" cy="2667000"/>
        </a:xfrm>
      </xdr:grpSpPr>
      <xdr:sp macro="" textlink="">
        <xdr:nvSpPr>
          <xdr:cNvPr id="202" name="Rectangle: Rounded Corners 201">
            <a:extLst>
              <a:ext uri="{FF2B5EF4-FFF2-40B4-BE49-F238E27FC236}">
                <a16:creationId xmlns:a16="http://schemas.microsoft.com/office/drawing/2014/main" id="{89093948-B233-4FC4-87B3-59CF5D72E00F}"/>
              </a:ext>
            </a:extLst>
          </xdr:cNvPr>
          <xdr:cNvSpPr/>
        </xdr:nvSpPr>
        <xdr:spPr>
          <a:xfrm>
            <a:off x="283027" y="439003440"/>
            <a:ext cx="5669280" cy="2667000"/>
          </a:xfrm>
          <a:prstGeom prst="roundRect">
            <a:avLst>
              <a:gd name="adj" fmla="val 150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r"/>
            <a:r>
              <a:rPr lang="en-US" sz="1800" b="1" baseline="0">
                <a:solidFill>
                  <a:srgbClr val="00B050"/>
                </a:solidFill>
                <a:latin typeface="+mn-lt"/>
                <a:ea typeface="+mn-ea"/>
                <a:cs typeface="+mn-cs"/>
              </a:rPr>
              <a:t>This is only a demo.</a:t>
            </a:r>
          </a:p>
          <a:p>
            <a:pPr algn="r"/>
            <a:r>
              <a:rPr lang="en-US" sz="1800" b="1" baseline="0">
                <a:solidFill>
                  <a:srgbClr val="00B050"/>
                </a:solidFill>
                <a:latin typeface="+mn-lt"/>
                <a:ea typeface="+mn-ea"/>
                <a:cs typeface="+mn-cs"/>
              </a:rPr>
              <a:t>Your campaign</a:t>
            </a:r>
          </a:p>
          <a:p>
            <a:pPr algn="r"/>
            <a:r>
              <a:rPr lang="en-US" sz="1800" b="1" baseline="0">
                <a:solidFill>
                  <a:srgbClr val="00B050"/>
                </a:solidFill>
                <a:latin typeface="+mn-lt"/>
                <a:ea typeface="+mn-ea"/>
                <a:cs typeface="+mn-cs"/>
              </a:rPr>
              <a:t>dashboard will </a:t>
            </a:r>
          </a:p>
          <a:p>
            <a:pPr algn="r"/>
            <a:r>
              <a:rPr lang="en-US" sz="1800" b="1" baseline="0">
                <a:solidFill>
                  <a:srgbClr val="00B050"/>
                </a:solidFill>
                <a:latin typeface="+mn-lt"/>
                <a:ea typeface="+mn-ea"/>
                <a:cs typeface="+mn-cs"/>
              </a:rPr>
              <a:t>be in another</a:t>
            </a:r>
          </a:p>
          <a:p>
            <a:pPr algn="r"/>
            <a:r>
              <a:rPr lang="en-US" sz="1800" b="1" baseline="0">
                <a:solidFill>
                  <a:srgbClr val="00B050"/>
                </a:solidFill>
                <a:latin typeface="+mn-lt"/>
                <a:ea typeface="+mn-ea"/>
                <a:cs typeface="+mn-cs"/>
              </a:rPr>
              <a:t>spreadsheet until</a:t>
            </a:r>
          </a:p>
          <a:p>
            <a:pPr algn="r"/>
            <a:r>
              <a:rPr lang="en-US" sz="1800" b="1" baseline="0">
                <a:solidFill>
                  <a:srgbClr val="00B050"/>
                </a:solidFill>
                <a:latin typeface="+mn-lt"/>
                <a:ea typeface="+mn-ea"/>
                <a:cs typeface="+mn-cs"/>
              </a:rPr>
              <a:t>this can be built</a:t>
            </a:r>
          </a:p>
          <a:p>
            <a:pPr algn="r"/>
            <a:r>
              <a:rPr lang="en-US" sz="1800" b="1" baseline="0">
                <a:solidFill>
                  <a:srgbClr val="00B050"/>
                </a:solidFill>
                <a:latin typeface="+mn-lt"/>
                <a:ea typeface="+mn-ea"/>
                <a:cs typeface="+mn-cs"/>
              </a:rPr>
              <a:t>into the website.</a:t>
            </a:r>
          </a:p>
        </xdr:txBody>
      </xdr:sp>
      <xdr:grpSp>
        <xdr:nvGrpSpPr>
          <xdr:cNvPr id="203" name="Group 202">
            <a:extLst>
              <a:ext uri="{FF2B5EF4-FFF2-40B4-BE49-F238E27FC236}">
                <a16:creationId xmlns:a16="http://schemas.microsoft.com/office/drawing/2014/main" id="{61D37AC8-2FA4-47F4-A8DC-DBD4FC3697D7}"/>
              </a:ext>
            </a:extLst>
          </xdr:cNvPr>
          <xdr:cNvGrpSpPr/>
        </xdr:nvGrpSpPr>
        <xdr:grpSpPr>
          <a:xfrm>
            <a:off x="435427" y="439143866"/>
            <a:ext cx="3177540" cy="1524000"/>
            <a:chOff x="435427" y="438404726"/>
            <a:chExt cx="3177540" cy="1524000"/>
          </a:xfrm>
        </xdr:grpSpPr>
        <xdr:sp macro="" textlink="">
          <xdr:nvSpPr>
            <xdr:cNvPr id="204" name="Text Box 123">
              <a:extLst>
                <a:ext uri="{FF2B5EF4-FFF2-40B4-BE49-F238E27FC236}">
                  <a16:creationId xmlns:a16="http://schemas.microsoft.com/office/drawing/2014/main" id="{123EA846-544E-4C50-9680-6D22EC09D091}"/>
                </a:ext>
              </a:extLst>
            </xdr:cNvPr>
            <xdr:cNvSpPr txBox="1"/>
          </xdr:nvSpPr>
          <xdr:spPr>
            <a:xfrm>
              <a:off x="450667" y="439181966"/>
              <a:ext cx="1097280" cy="7467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Likely innocence:</a:t>
              </a:r>
            </a:p>
            <a:p>
              <a:pPr marL="0" marR="0">
                <a:spcBef>
                  <a:spcPts val="0"/>
                </a:spcBef>
                <a:spcAft>
                  <a:spcPts val="0"/>
                </a:spcAft>
              </a:pPr>
              <a:r>
                <a:rPr lang="en-US" sz="3200" b="1">
                  <a:effectLst/>
                  <a:latin typeface="Tahoma" panose="020B0604030504040204" pitchFamily="34" charset="0"/>
                  <a:ea typeface="Times New Roman" panose="02020603050405020304" pitchFamily="18" charset="0"/>
                  <a:cs typeface="Times New Roman" panose="02020603050405020304" pitchFamily="18" charset="0"/>
                </a:rPr>
                <a:t>87</a:t>
              </a:r>
              <a:r>
                <a:rPr lang="en-US" sz="2800">
                  <a:effectLst/>
                  <a:latin typeface="Tahoma" panose="020B0604030504040204" pitchFamily="34" charset="0"/>
                  <a:ea typeface="Times New Roman" panose="02020603050405020304" pitchFamily="18" charset="0"/>
                  <a:cs typeface="Times New Roman" panose="02020603050405020304" pitchFamily="18" charset="0"/>
                </a:rPr>
                <a:t>%</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p>
          </xdr:txBody>
        </xdr:sp>
        <xdr:sp macro="" textlink="">
          <xdr:nvSpPr>
            <xdr:cNvPr id="205" name="Text Box 124">
              <a:extLst>
                <a:ext uri="{FF2B5EF4-FFF2-40B4-BE49-F238E27FC236}">
                  <a16:creationId xmlns:a16="http://schemas.microsoft.com/office/drawing/2014/main" id="{C2953368-CAC6-47C0-9400-C40F10E4BDE1}"/>
                </a:ext>
              </a:extLst>
            </xdr:cNvPr>
            <xdr:cNvSpPr txBox="1"/>
          </xdr:nvSpPr>
          <xdr:spPr>
            <a:xfrm>
              <a:off x="435427" y="438404726"/>
              <a:ext cx="1371600" cy="4800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Verification progress:</a:t>
              </a:r>
            </a:p>
            <a:p>
              <a:pPr marL="0" marR="0">
                <a:spcBef>
                  <a:spcPts val="0"/>
                </a:spcBef>
                <a:spcAft>
                  <a:spcPts val="0"/>
                </a:spcAft>
              </a:pPr>
              <a:r>
                <a:rPr lang="en-US" sz="2400" b="1">
                  <a:effectLst/>
                  <a:latin typeface="Tahoma" panose="020B0604030504040204" pitchFamily="34" charset="0"/>
                  <a:ea typeface="Times New Roman" panose="02020603050405020304" pitchFamily="18" charset="0"/>
                  <a:cs typeface="Times New Roman" panose="02020603050405020304" pitchFamily="18" charset="0"/>
                </a:rPr>
                <a:t>13</a:t>
              </a:r>
              <a:r>
                <a:rPr lang="en-US" sz="2000">
                  <a:effectLst/>
                  <a:latin typeface="Tahoma" panose="020B0604030504040204" pitchFamily="34" charset="0"/>
                  <a:ea typeface="Times New Roman" panose="02020603050405020304" pitchFamily="18" charset="0"/>
                  <a:cs typeface="Times New Roman" panose="02020603050405020304" pitchFamily="18" charset="0"/>
                </a:rPr>
                <a:t>%</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p>
          </xdr:txBody>
        </xdr:sp>
        <xdr:sp macro="" textlink="">
          <xdr:nvSpPr>
            <xdr:cNvPr id="206" name="Rectangle: Rounded Corners 205">
              <a:extLst>
                <a:ext uri="{FF2B5EF4-FFF2-40B4-BE49-F238E27FC236}">
                  <a16:creationId xmlns:a16="http://schemas.microsoft.com/office/drawing/2014/main" id="{4D3A4750-0B0E-4A53-9D0F-225B5B4CB6BA}"/>
                </a:ext>
              </a:extLst>
            </xdr:cNvPr>
            <xdr:cNvSpPr/>
          </xdr:nvSpPr>
          <xdr:spPr>
            <a:xfrm>
              <a:off x="1967047" y="439357861"/>
              <a:ext cx="1554480" cy="426720"/>
            </a:xfrm>
            <a:prstGeom prst="roundRect">
              <a:avLst/>
            </a:prstGeom>
            <a:solidFill>
              <a:srgbClr val="CC66FF"/>
            </a:solidFill>
            <a:ln>
              <a:noFill/>
            </a:ln>
            <a:effectLst>
              <a:outerShdw blurRad="50800" dist="38100" dir="2700000" algn="tl" rotWithShape="0">
                <a:schemeClr val="tx1">
                  <a:lumMod val="50000"/>
                  <a:lumOff val="50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spcBef>
                  <a:spcPts val="0"/>
                </a:spcBef>
                <a:spcAft>
                  <a:spcPts val="0"/>
                </a:spcAft>
              </a:pPr>
              <a:r>
                <a:rPr lang="en-US" sz="1600">
                  <a:effectLst/>
                  <a:latin typeface="Arial" panose="020B0604020202020204" pitchFamily="34" charset="0"/>
                  <a:ea typeface="Times New Roman" panose="02020603050405020304" pitchFamily="18" charset="0"/>
                  <a:cs typeface="Times New Roman" panose="02020603050405020304" pitchFamily="18" charset="0"/>
                </a:rPr>
                <a:t>VIEW</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nvGrpSpPr>
            <xdr:cNvPr id="207" name="Group 206">
              <a:extLst>
                <a:ext uri="{FF2B5EF4-FFF2-40B4-BE49-F238E27FC236}">
                  <a16:creationId xmlns:a16="http://schemas.microsoft.com/office/drawing/2014/main" id="{FD0D8A72-9AB3-4846-A586-EDF2DF4CA2E9}"/>
                </a:ext>
              </a:extLst>
            </xdr:cNvPr>
            <xdr:cNvGrpSpPr/>
          </xdr:nvGrpSpPr>
          <xdr:grpSpPr>
            <a:xfrm>
              <a:off x="458287" y="439007341"/>
              <a:ext cx="3154680" cy="53340"/>
              <a:chOff x="0" y="541020"/>
              <a:chExt cx="3154680" cy="53340"/>
            </a:xfrm>
          </xdr:grpSpPr>
          <xdr:sp macro="" textlink="">
            <xdr:nvSpPr>
              <xdr:cNvPr id="209" name="Rectangle: Rounded Corners 208">
                <a:extLst>
                  <a:ext uri="{FF2B5EF4-FFF2-40B4-BE49-F238E27FC236}">
                    <a16:creationId xmlns:a16="http://schemas.microsoft.com/office/drawing/2014/main" id="{2A0A76FD-48B0-45BF-809F-E1FCF53605FF}"/>
                  </a:ext>
                </a:extLst>
              </xdr:cNvPr>
              <xdr:cNvSpPr/>
            </xdr:nvSpPr>
            <xdr:spPr>
              <a:xfrm>
                <a:off x="0" y="541020"/>
                <a:ext cx="3154680" cy="53340"/>
              </a:xfrm>
              <a:prstGeom prst="roundRect">
                <a:avLst/>
              </a:prstGeom>
              <a:solidFill>
                <a:schemeClr val="bg1"/>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10" name="Rectangle: Rounded Corners 209">
                <a:extLst>
                  <a:ext uri="{FF2B5EF4-FFF2-40B4-BE49-F238E27FC236}">
                    <a16:creationId xmlns:a16="http://schemas.microsoft.com/office/drawing/2014/main" id="{32AC240D-0DEA-47BA-8D53-9077C8AADE4A}"/>
                  </a:ext>
                </a:extLst>
              </xdr:cNvPr>
              <xdr:cNvSpPr/>
            </xdr:nvSpPr>
            <xdr:spPr>
              <a:xfrm>
                <a:off x="0" y="541020"/>
                <a:ext cx="457200" cy="53340"/>
              </a:xfrm>
              <a:prstGeom prst="round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208" name="Text Box 129">
              <a:extLst>
                <a:ext uri="{FF2B5EF4-FFF2-40B4-BE49-F238E27FC236}">
                  <a16:creationId xmlns:a16="http://schemas.microsoft.com/office/drawing/2014/main" id="{36D85307-D9C6-4901-A15B-931BF4510CBC}"/>
                </a:ext>
              </a:extLst>
            </xdr:cNvPr>
            <xdr:cNvSpPr txBox="1"/>
          </xdr:nvSpPr>
          <xdr:spPr>
            <a:xfrm>
              <a:off x="1982287" y="438511406"/>
              <a:ext cx="1554480" cy="37338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Need help to access trial transcripts from the court</a:t>
              </a:r>
            </a:p>
            <a:p>
              <a:pPr marL="0" marR="0">
                <a:spcBef>
                  <a:spcPts val="0"/>
                </a:spcBef>
                <a:spcAft>
                  <a:spcPts val="0"/>
                </a:spcAft>
              </a:pPr>
              <a:r>
                <a:rPr lang="en-US" sz="1100">
                  <a:effectLst/>
                  <a:latin typeface="Arial" panose="020B0604020202020204" pitchFamily="34" charset="0"/>
                  <a:ea typeface="Times New Roman" panose="02020603050405020304" pitchFamily="18" charset="0"/>
                  <a:cs typeface="Arial" panose="020B0604020202020204" pitchFamily="34" charset="0"/>
                </a:rPr>
                <a:t> </a:t>
              </a:r>
            </a:p>
          </xdr:txBody>
        </xdr:sp>
      </xdr:grpSp>
    </xdr:grpSp>
    <xdr:clientData/>
  </xdr:twoCellAnchor>
  <xdr:twoCellAnchor>
    <xdr:from>
      <xdr:col>47</xdr:col>
      <xdr:colOff>304800</xdr:colOff>
      <xdr:row>2190</xdr:row>
      <xdr:rowOff>0</xdr:rowOff>
    </xdr:from>
    <xdr:to>
      <xdr:col>67</xdr:col>
      <xdr:colOff>44450</xdr:colOff>
      <xdr:row>2221</xdr:row>
      <xdr:rowOff>103505</xdr:rowOff>
    </xdr:to>
    <xdr:sp macro="" textlink="">
      <xdr:nvSpPr>
        <xdr:cNvPr id="211" name="Text Box 1">
          <a:extLst>
            <a:ext uri="{FF2B5EF4-FFF2-40B4-BE49-F238E27FC236}">
              <a16:creationId xmlns:a16="http://schemas.microsoft.com/office/drawing/2014/main" id="{8FD92418-0C8E-49C7-9966-51DC8D2184C1}"/>
            </a:ext>
          </a:extLst>
        </xdr:cNvPr>
        <xdr:cNvSpPr txBox="1"/>
      </xdr:nvSpPr>
      <xdr:spPr>
        <a:xfrm>
          <a:off x="12504420" y="428945040"/>
          <a:ext cx="5949950" cy="5300345"/>
        </a:xfrm>
        <a:prstGeom prst="rect">
          <a:avLst/>
        </a:prstGeom>
        <a:solidFill>
          <a:srgbClr val="FFFF99"/>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DYI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Supported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have a petition signed by 113 supporters who all ask you to reopen my brother’s case. We trust you will recognize you have locked up the wrong person for this horrible crime. We want to help you find the actual person who did this.”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3200400" algn="r"/>
            </a:tabLst>
          </a:pPr>
          <a:r>
            <a:rPr lang="en-US" sz="1400">
              <a:effectLst/>
              <a:latin typeface="Franklin Gothic Demi Cond" panose="020B0706030402020204" pitchFamily="34" charset="0"/>
              <a:ea typeface="Calibri" panose="020F0502020204030204" pitchFamily="34" charset="0"/>
              <a:cs typeface="Times New Roman" panose="02020603050405020304" pitchFamily="18" charset="0"/>
            </a:rPr>
            <a:t>Advocated letter to the courts</a:t>
          </a: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“My name is Maria Juarez, writing to you on behalf of my brother Ricard Juarez. We have insisted for years he is actually innocent of the conviction he received seven years ago. Now we are backing up this claim with the enclosed document that estimates his likely innocence at 84%.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have a petition signed by 113 supporters who all ask you to reopen my brother’s case. We are ready to support the victim’s family adjust to the fact they helped convict the wrong man. We want to work with them and with you in identifying and convicting the guy who actually did this horrible crime.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libri" panose="020F0502020204030204" pitchFamily="34" charset="0"/>
              <a:ea typeface="Times New Roman" panose="02020603050405020304" pitchFamily="18" charset="0"/>
              <a:cs typeface="Times New Roman" panose="02020603050405020304" pitchFamily="18" charset="0"/>
            </a:rPr>
            <a:t>“We prefer the victim’s family know ahead of time before our exoneration campaign goes public. See the enclosed list of supporters of community leaders, state legislatures, media figures, and other public figures encouraging to you reexamine this case. We all trust you to do the right thing, and look forward to your response on this critical matter of justice.”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p>
      </xdr:txBody>
    </xdr:sp>
    <xdr:clientData/>
  </xdr:twoCellAnchor>
  <xdr:twoCellAnchor>
    <xdr:from>
      <xdr:col>2</xdr:col>
      <xdr:colOff>83821</xdr:colOff>
      <xdr:row>2468</xdr:row>
      <xdr:rowOff>53340</xdr:rowOff>
    </xdr:from>
    <xdr:to>
      <xdr:col>2</xdr:col>
      <xdr:colOff>2438400</xdr:colOff>
      <xdr:row>2470</xdr:row>
      <xdr:rowOff>68580</xdr:rowOff>
    </xdr:to>
    <xdr:sp macro="" textlink="">
      <xdr:nvSpPr>
        <xdr:cNvPr id="212" name="Rectangle: Rounded Corners 211">
          <a:extLst>
            <a:ext uri="{FF2B5EF4-FFF2-40B4-BE49-F238E27FC236}">
              <a16:creationId xmlns:a16="http://schemas.microsoft.com/office/drawing/2014/main" id="{3AD673A7-A77B-4D1B-B76A-DB8554C543CF}"/>
            </a:ext>
          </a:extLst>
        </xdr:cNvPr>
        <xdr:cNvSpPr/>
      </xdr:nvSpPr>
      <xdr:spPr>
        <a:xfrm>
          <a:off x="1424941" y="471792300"/>
          <a:ext cx="235457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Main GOAL</a:t>
          </a:r>
        </a:p>
      </xdr:txBody>
    </xdr:sp>
    <xdr:clientData/>
  </xdr:twoCellAnchor>
  <xdr:twoCellAnchor>
    <xdr:from>
      <xdr:col>3</xdr:col>
      <xdr:colOff>99061</xdr:colOff>
      <xdr:row>2468</xdr:row>
      <xdr:rowOff>53340</xdr:rowOff>
    </xdr:from>
    <xdr:to>
      <xdr:col>4</xdr:col>
      <xdr:colOff>182881</xdr:colOff>
      <xdr:row>2470</xdr:row>
      <xdr:rowOff>68580</xdr:rowOff>
    </xdr:to>
    <xdr:sp macro="" textlink="">
      <xdr:nvSpPr>
        <xdr:cNvPr id="213" name="Rectangle: Rounded Corners 212">
          <a:extLst>
            <a:ext uri="{FF2B5EF4-FFF2-40B4-BE49-F238E27FC236}">
              <a16:creationId xmlns:a16="http://schemas.microsoft.com/office/drawing/2014/main" id="{A5503C3A-9FC9-4678-9EC8-1ADAC065EA2E}"/>
            </a:ext>
          </a:extLst>
        </xdr:cNvPr>
        <xdr:cNvSpPr/>
      </xdr:nvSpPr>
      <xdr:spPr>
        <a:xfrm>
          <a:off x="3893821" y="471792300"/>
          <a:ext cx="2057400"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Stretch</a:t>
          </a:r>
          <a:r>
            <a:rPr lang="en-US" sz="800" b="1" baseline="0">
              <a:solidFill>
                <a:srgbClr val="00B050"/>
              </a:solidFill>
              <a:latin typeface="+mn-lt"/>
              <a:ea typeface="+mn-ea"/>
              <a:cs typeface="+mn-cs"/>
            </a:rPr>
            <a:t> GOAL</a:t>
          </a:r>
          <a:endParaRPr lang="en-US" sz="800" b="1">
            <a:solidFill>
              <a:srgbClr val="00B050"/>
            </a:solidFill>
            <a:latin typeface="+mn-lt"/>
            <a:ea typeface="+mn-ea"/>
            <a:cs typeface="+mn-cs"/>
          </a:endParaRPr>
        </a:p>
      </xdr:txBody>
    </xdr:sp>
    <xdr:clientData/>
  </xdr:twoCellAnchor>
  <xdr:twoCellAnchor>
    <xdr:from>
      <xdr:col>0</xdr:col>
      <xdr:colOff>251461</xdr:colOff>
      <xdr:row>2468</xdr:row>
      <xdr:rowOff>45720</xdr:rowOff>
    </xdr:from>
    <xdr:to>
      <xdr:col>2</xdr:col>
      <xdr:colOff>0</xdr:colOff>
      <xdr:row>2470</xdr:row>
      <xdr:rowOff>60960</xdr:rowOff>
    </xdr:to>
    <xdr:sp macro="" textlink="">
      <xdr:nvSpPr>
        <xdr:cNvPr id="214" name="Rectangle: Rounded Corners 213">
          <a:extLst>
            <a:ext uri="{FF2B5EF4-FFF2-40B4-BE49-F238E27FC236}">
              <a16:creationId xmlns:a16="http://schemas.microsoft.com/office/drawing/2014/main" id="{AADAB952-0981-403F-8D1B-179A9E4BFE8A}"/>
            </a:ext>
          </a:extLst>
        </xdr:cNvPr>
        <xdr:cNvSpPr/>
      </xdr:nvSpPr>
      <xdr:spPr>
        <a:xfrm>
          <a:off x="251461" y="471784680"/>
          <a:ext cx="1089659" cy="365760"/>
        </a:xfrm>
        <a:prstGeom prst="roundRect">
          <a:avLst>
            <a:gd name="adj" fmla="val 5176"/>
          </a:avLst>
        </a:prstGeom>
        <a:solidFill>
          <a:srgbClr val="CCFFCC">
            <a:alpha val="12157"/>
          </a:srgbClr>
        </a:solidFill>
        <a:ln w="12700">
          <a:solidFill>
            <a:srgbClr val="01FF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18288" tIns="0" rIns="0" bIns="0" rtlCol="0" anchor="t"/>
        <a:lstStyle/>
        <a:p>
          <a:pPr algn="l"/>
          <a:r>
            <a:rPr lang="en-US" sz="800" b="1">
              <a:solidFill>
                <a:srgbClr val="00B050"/>
              </a:solidFill>
              <a:latin typeface="+mn-lt"/>
              <a:ea typeface="+mn-ea"/>
              <a:cs typeface="+mn-cs"/>
            </a:rPr>
            <a:t>Week #</a:t>
          </a:r>
        </a:p>
      </xdr:txBody>
    </xdr:sp>
    <xdr:clientData/>
  </xdr:twoCellAnchor>
  <xdr:twoCellAnchor>
    <xdr:from>
      <xdr:col>92</xdr:col>
      <xdr:colOff>73149</xdr:colOff>
      <xdr:row>1913</xdr:row>
      <xdr:rowOff>175259</xdr:rowOff>
    </xdr:from>
    <xdr:to>
      <xdr:col>101</xdr:col>
      <xdr:colOff>458323</xdr:colOff>
      <xdr:row>1926</xdr:row>
      <xdr:rowOff>45803</xdr:rowOff>
    </xdr:to>
    <xdr:sp macro="" textlink="">
      <xdr:nvSpPr>
        <xdr:cNvPr id="215" name="Text Box 12">
          <a:extLst>
            <a:ext uri="{FF2B5EF4-FFF2-40B4-BE49-F238E27FC236}">
              <a16:creationId xmlns:a16="http://schemas.microsoft.com/office/drawing/2014/main" id="{62AAD1B6-3EA4-446B-8470-F13719B71D95}"/>
            </a:ext>
          </a:extLst>
        </xdr:cNvPr>
        <xdr:cNvSpPr txBox="1"/>
      </xdr:nvSpPr>
      <xdr:spPr>
        <a:xfrm rot="21221143">
          <a:off x="30629349" y="379285499"/>
          <a:ext cx="5871574" cy="2148924"/>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 this present</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crisis, to paraphrase Ronald Reagan, the criminal justice system is not the solution to the problem. The criminal justice system is the problem.</a:t>
          </a:r>
          <a:endParaRPr lang="en-US" sz="16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90</xdr:col>
      <xdr:colOff>23648</xdr:colOff>
      <xdr:row>1914</xdr:row>
      <xdr:rowOff>68209</xdr:rowOff>
    </xdr:from>
    <xdr:to>
      <xdr:col>99</xdr:col>
      <xdr:colOff>408822</xdr:colOff>
      <xdr:row>1927</xdr:row>
      <xdr:rowOff>95166</xdr:rowOff>
    </xdr:to>
    <xdr:sp macro="" textlink="">
      <xdr:nvSpPr>
        <xdr:cNvPr id="216" name="Text Box 12">
          <a:extLst>
            <a:ext uri="{FF2B5EF4-FFF2-40B4-BE49-F238E27FC236}">
              <a16:creationId xmlns:a16="http://schemas.microsoft.com/office/drawing/2014/main" id="{D96E42C5-29A3-494F-84FA-ED1537D23140}"/>
            </a:ext>
          </a:extLst>
        </xdr:cNvPr>
        <xdr:cNvSpPr txBox="1"/>
      </xdr:nvSpPr>
      <xdr:spPr>
        <a:xfrm rot="328490">
          <a:off x="29360648" y="379353709"/>
          <a:ext cx="5871574" cy="2305337"/>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difficult to get either side to see the adversarial system’s conflict of interest, to paraphrase Sinclair Lewis, when their power depends on them not seeing it.</a:t>
          </a:r>
        </a:p>
      </xdr:txBody>
    </xdr:sp>
    <xdr:clientData/>
  </xdr:twoCellAnchor>
  <xdr:twoCellAnchor>
    <xdr:from>
      <xdr:col>89</xdr:col>
      <xdr:colOff>477246</xdr:colOff>
      <xdr:row>1928</xdr:row>
      <xdr:rowOff>82546</xdr:rowOff>
    </xdr:from>
    <xdr:to>
      <xdr:col>99</xdr:col>
      <xdr:colOff>252820</xdr:colOff>
      <xdr:row>1939</xdr:row>
      <xdr:rowOff>136904</xdr:rowOff>
    </xdr:to>
    <xdr:sp macro="" textlink="">
      <xdr:nvSpPr>
        <xdr:cNvPr id="217" name="Text Box 12">
          <a:extLst>
            <a:ext uri="{FF2B5EF4-FFF2-40B4-BE49-F238E27FC236}">
              <a16:creationId xmlns:a16="http://schemas.microsoft.com/office/drawing/2014/main" id="{6087B942-1649-44E2-AC05-2F8B1152E730}"/>
            </a:ext>
          </a:extLst>
        </xdr:cNvPr>
        <xdr:cNvSpPr txBox="1"/>
      </xdr:nvSpPr>
      <xdr:spPr>
        <a:xfrm rot="21221143">
          <a:off x="29204646" y="381821686"/>
          <a:ext cx="5871574" cy="2233678"/>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The adversarial system</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divides human beings into winners and losers of a court battle. It anchors objectified human beings to untested beliefs. Meanwwhile, the many lives it impacts remains anchored to painful reality.</a:t>
          </a:r>
          <a:endPar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88</xdr:col>
      <xdr:colOff>266700</xdr:colOff>
      <xdr:row>1928</xdr:row>
      <xdr:rowOff>19286</xdr:rowOff>
    </xdr:from>
    <xdr:to>
      <xdr:col>98</xdr:col>
      <xdr:colOff>10886</xdr:colOff>
      <xdr:row>1938</xdr:row>
      <xdr:rowOff>25818</xdr:rowOff>
    </xdr:to>
    <xdr:sp macro="" textlink="">
      <xdr:nvSpPr>
        <xdr:cNvPr id="218" name="TextBox 217">
          <a:extLst>
            <a:ext uri="{FF2B5EF4-FFF2-40B4-BE49-F238E27FC236}">
              <a16:creationId xmlns:a16="http://schemas.microsoft.com/office/drawing/2014/main" id="{6E198983-C733-4084-86EA-677D31DF1D15}"/>
            </a:ext>
          </a:extLst>
        </xdr:cNvPr>
        <xdr:cNvSpPr txBox="1"/>
      </xdr:nvSpPr>
      <xdr:spPr>
        <a:xfrm>
          <a:off x="28384500" y="381758426"/>
          <a:ext cx="5840186" cy="2002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You are invited, RECIPIENT, to </a:t>
          </a:r>
        </a:p>
        <a:p>
          <a:r>
            <a:rPr lang="en-US" sz="1100" baseline="0"/>
            <a:t>"Deeper justice" addresses such needs overlooked by the adversarial criminal judicial system. </a:t>
          </a:r>
        </a:p>
        <a:p>
          <a:endParaRPr lang="en-US" sz="1100" baseline="0"/>
        </a:p>
        <a:p>
          <a:r>
            <a:rPr lang="en-US" sz="1100" baseline="0"/>
            <a:t>compel - incentivize - earn legitimacy from our critique </a:t>
          </a:r>
        </a:p>
        <a:p>
          <a:endParaRPr lang="en-US" sz="1100" baseline="0"/>
        </a:p>
        <a:p>
          <a:r>
            <a:rPr lang="en-US" sz="1100" baseline="0"/>
            <a:t>help innocence projects establish the need for more resources to process claims like these </a:t>
          </a:r>
        </a:p>
        <a:p>
          <a:endParaRPr lang="en-US" sz="1100" baseline="0"/>
        </a:p>
        <a:p>
          <a:r>
            <a:rPr lang="en-US" sz="1100" baseline="0"/>
            <a:t>Learn what you can do at [claimant]'s innocence profile: https://www.valuerelating.com/YEAR-FNAME-LNAME. I will follow up soon to keep momentum going. [FNAME] deserves no less from us.</a:t>
          </a:r>
        </a:p>
        <a:p>
          <a:endParaRPr lang="en-US" sz="1100"/>
        </a:p>
      </xdr:txBody>
    </xdr:sp>
    <xdr:clientData/>
  </xdr:twoCellAnchor>
  <xdr:twoCellAnchor>
    <xdr:from>
      <xdr:col>88</xdr:col>
      <xdr:colOff>269966</xdr:colOff>
      <xdr:row>1919</xdr:row>
      <xdr:rowOff>37791</xdr:rowOff>
    </xdr:from>
    <xdr:to>
      <xdr:col>98</xdr:col>
      <xdr:colOff>17418</xdr:colOff>
      <xdr:row>1927</xdr:row>
      <xdr:rowOff>158623</xdr:rowOff>
    </xdr:to>
    <xdr:sp macro="" textlink="">
      <xdr:nvSpPr>
        <xdr:cNvPr id="219" name="TextBox 218">
          <a:extLst>
            <a:ext uri="{FF2B5EF4-FFF2-40B4-BE49-F238E27FC236}">
              <a16:creationId xmlns:a16="http://schemas.microsoft.com/office/drawing/2014/main" id="{4EE1966D-0D72-44E5-BD89-E6C0CF0491CE}"/>
            </a:ext>
          </a:extLst>
        </xdr:cNvPr>
        <xdr:cNvSpPr txBox="1"/>
      </xdr:nvSpPr>
      <xdr:spPr>
        <a:xfrm>
          <a:off x="28387766" y="380199591"/>
          <a:ext cx="5843452" cy="1522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[CLAIMANT] </a:t>
          </a:r>
        </a:p>
        <a:p>
          <a:endParaRPr lang="en-US" sz="1100" baseline="0"/>
        </a:p>
        <a:p>
          <a:r>
            <a:rPr lang="en-US" sz="1100" baseline="0"/>
            <a:t>Innocence Projects receive far more requests for help than they can serve. The legal process runs painfully too slow. </a:t>
          </a:r>
        </a:p>
        <a:p>
          <a:r>
            <a:rPr lang="en-US" sz="1100" baseline="0"/>
            <a:t>Together with your help, we </a:t>
          </a:r>
        </a:p>
        <a:p>
          <a:r>
            <a:rPr lang="en-US" sz="1100" baseline="0"/>
            <a:t>conviction quality by </a:t>
          </a:r>
        </a:p>
        <a:p>
          <a:r>
            <a:rPr lang="en-US" sz="1100" baseline="0"/>
            <a:t>passed judicial divisivism that forces [CLAIMANT] and you to fit into their oppositional categories. We are addressing specifics those categories patently ignore. </a:t>
          </a:r>
          <a:endParaRPr lang="en-US" sz="1100"/>
        </a:p>
      </xdr:txBody>
    </xdr:sp>
    <xdr:clientData/>
  </xdr:twoCellAnchor>
  <xdr:twoCellAnchor>
    <xdr:from>
      <xdr:col>83</xdr:col>
      <xdr:colOff>100152</xdr:colOff>
      <xdr:row>1943</xdr:row>
      <xdr:rowOff>41366</xdr:rowOff>
    </xdr:from>
    <xdr:to>
      <xdr:col>84</xdr:col>
      <xdr:colOff>562793</xdr:colOff>
      <xdr:row>1950</xdr:row>
      <xdr:rowOff>18506</xdr:rowOff>
    </xdr:to>
    <xdr:sp macro="" textlink="">
      <xdr:nvSpPr>
        <xdr:cNvPr id="220" name="TextBox 219">
          <a:extLst>
            <a:ext uri="{FF2B5EF4-FFF2-40B4-BE49-F238E27FC236}">
              <a16:creationId xmlns:a16="http://schemas.microsoft.com/office/drawing/2014/main" id="{3FC5026A-7C3F-4B32-B464-DEB15A92AD95}"/>
            </a:ext>
          </a:extLst>
        </xdr:cNvPr>
        <xdr:cNvSpPr txBox="1"/>
      </xdr:nvSpPr>
      <xdr:spPr>
        <a:xfrm>
          <a:off x="24758472" y="384676106"/>
          <a:ext cx="1072241" cy="1203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B</a:t>
          </a:r>
          <a:r>
            <a:rPr lang="en-US" sz="1100" baseline="0"/>
            <a:t> The criminal justice system continues to resist admitting these errors. </a:t>
          </a:r>
        </a:p>
        <a:p>
          <a:r>
            <a:rPr lang="en-US" sz="1100" baseline="0"/>
            <a:t>Innocence projects lack sufficient resources to process [CLAIMANT]'s claim. We are now taking matters in our hand. We are dissecting his innocence claim and </a:t>
          </a:r>
        </a:p>
        <a:p>
          <a:r>
            <a:rPr lang="en-US" sz="1100" baseline="0"/>
            <a:t>We are doing the state's work, and will compete with their inadequate performance. Together, we will create value, produce results, meet needs, remove pain, serve justice on all sides</a:t>
          </a:r>
        </a:p>
        <a:p>
          <a:r>
            <a:rPr lang="en-US" sz="1100" baseline="0"/>
            <a:t>invest in "conviction quality" as a pioneering approach the slow legal process desperately needs</a:t>
          </a:r>
          <a:endParaRPr lang="en-US" sz="1100"/>
        </a:p>
      </xdr:txBody>
    </xdr:sp>
    <xdr:clientData/>
  </xdr:twoCellAnchor>
  <xdr:twoCellAnchor>
    <xdr:from>
      <xdr:col>82</xdr:col>
      <xdr:colOff>312420</xdr:colOff>
      <xdr:row>1924</xdr:row>
      <xdr:rowOff>121920</xdr:rowOff>
    </xdr:from>
    <xdr:to>
      <xdr:col>86</xdr:col>
      <xdr:colOff>407126</xdr:colOff>
      <xdr:row>1929</xdr:row>
      <xdr:rowOff>116477</xdr:rowOff>
    </xdr:to>
    <xdr:sp macro="" textlink="">
      <xdr:nvSpPr>
        <xdr:cNvPr id="221" name="TextBox 220">
          <a:extLst>
            <a:ext uri="{FF2B5EF4-FFF2-40B4-BE49-F238E27FC236}">
              <a16:creationId xmlns:a16="http://schemas.microsoft.com/office/drawing/2014/main" id="{B263FB76-899E-41F7-8E5D-7B11C25DD3F0}"/>
            </a:ext>
          </a:extLst>
        </xdr:cNvPr>
        <xdr:cNvSpPr txBox="1"/>
      </xdr:nvSpPr>
      <xdr:spPr>
        <a:xfrm>
          <a:off x="24361140" y="381160020"/>
          <a:ext cx="2738846" cy="870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1A</a:t>
          </a:r>
          <a:r>
            <a:rPr lang="en-US" sz="1100" baseline="0"/>
            <a:t> grab recipient's attention with painful need: claimant still linguishing behind bars. Introduce remedy: % estimated innocence.</a:t>
          </a:r>
          <a:endParaRPr lang="en-US" sz="1100"/>
        </a:p>
      </xdr:txBody>
    </xdr:sp>
    <xdr:clientData/>
  </xdr:twoCellAnchor>
  <xdr:twoCellAnchor>
    <xdr:from>
      <xdr:col>82</xdr:col>
      <xdr:colOff>312420</xdr:colOff>
      <xdr:row>1931</xdr:row>
      <xdr:rowOff>140425</xdr:rowOff>
    </xdr:from>
    <xdr:to>
      <xdr:col>86</xdr:col>
      <xdr:colOff>407126</xdr:colOff>
      <xdr:row>1935</xdr:row>
      <xdr:rowOff>96883</xdr:rowOff>
    </xdr:to>
    <xdr:sp macro="" textlink="">
      <xdr:nvSpPr>
        <xdr:cNvPr id="222" name="TextBox 221">
          <a:extLst>
            <a:ext uri="{FF2B5EF4-FFF2-40B4-BE49-F238E27FC236}">
              <a16:creationId xmlns:a16="http://schemas.microsoft.com/office/drawing/2014/main" id="{051DFD4C-5574-435D-A934-82D7E22C2479}"/>
            </a:ext>
          </a:extLst>
        </xdr:cNvPr>
        <xdr:cNvSpPr txBox="1"/>
      </xdr:nvSpPr>
      <xdr:spPr>
        <a:xfrm>
          <a:off x="24361140" y="382420585"/>
          <a:ext cx="2738846" cy="8708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0"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1B</a:t>
          </a:r>
          <a:r>
            <a:rPr lang="en-US" sz="1100" baseline="0"/>
            <a:t> mention factors corraborating innocence.</a:t>
          </a:r>
          <a:endParaRPr lang="en-US" sz="1100"/>
        </a:p>
      </xdr:txBody>
    </xdr:sp>
    <xdr:clientData/>
  </xdr:twoCellAnchor>
  <xdr:twoCellAnchor>
    <xdr:from>
      <xdr:col>75</xdr:col>
      <xdr:colOff>10890</xdr:colOff>
      <xdr:row>1951</xdr:row>
      <xdr:rowOff>100148</xdr:rowOff>
    </xdr:from>
    <xdr:to>
      <xdr:col>84</xdr:col>
      <xdr:colOff>558439</xdr:colOff>
      <xdr:row>1955</xdr:row>
      <xdr:rowOff>120832</xdr:rowOff>
    </xdr:to>
    <xdr:sp macro="" textlink="">
      <xdr:nvSpPr>
        <xdr:cNvPr id="223" name="TextBox 222">
          <a:extLst>
            <a:ext uri="{FF2B5EF4-FFF2-40B4-BE49-F238E27FC236}">
              <a16:creationId xmlns:a16="http://schemas.microsoft.com/office/drawing/2014/main" id="{329707EF-9034-4471-BCE3-1E9D4C7B24D6}"/>
            </a:ext>
          </a:extLst>
        </xdr:cNvPr>
        <xdr:cNvSpPr txBox="1"/>
      </xdr:nvSpPr>
      <xdr:spPr>
        <a:xfrm>
          <a:off x="20493450" y="386136968"/>
          <a:ext cx="5332909" cy="721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Tahoma" panose="020B0604030504040204" pitchFamily="34" charset="0"/>
              <a:ea typeface="Tahoma" panose="020B0604030504040204" pitchFamily="34" charset="0"/>
              <a:cs typeface="Tahoma" panose="020B0604030504040204" pitchFamily="34" charset="0"/>
            </a:rPr>
            <a:t>TO</a:t>
          </a:r>
          <a:r>
            <a:rPr lang="en-US" sz="1100" baseline="0"/>
            <a:t> IP; DA; friendly media; local media; legacy media; podcaster </a:t>
          </a:r>
        </a:p>
        <a:p>
          <a:endParaRPr lang="en-US" sz="1100"/>
        </a:p>
      </xdr:txBody>
    </xdr:sp>
    <xdr:clientData/>
  </xdr:twoCellAnchor>
  <xdr:twoCellAnchor>
    <xdr:from>
      <xdr:col>69</xdr:col>
      <xdr:colOff>0</xdr:colOff>
      <xdr:row>2212</xdr:row>
      <xdr:rowOff>99060</xdr:rowOff>
    </xdr:from>
    <xdr:to>
      <xdr:col>83</xdr:col>
      <xdr:colOff>129540</xdr:colOff>
      <xdr:row>2217</xdr:row>
      <xdr:rowOff>68580</xdr:rowOff>
    </xdr:to>
    <xdr:sp macro="" textlink="">
      <xdr:nvSpPr>
        <xdr:cNvPr id="224" name="TextBox 223">
          <a:extLst>
            <a:ext uri="{FF2B5EF4-FFF2-40B4-BE49-F238E27FC236}">
              <a16:creationId xmlns:a16="http://schemas.microsoft.com/office/drawing/2014/main" id="{580F1078-8A0F-4D36-A04B-7D109CA96B00}"/>
            </a:ext>
          </a:extLst>
        </xdr:cNvPr>
        <xdr:cNvSpPr txBox="1"/>
      </xdr:nvSpPr>
      <xdr:spPr>
        <a:xfrm>
          <a:off x="18928080" y="432564540"/>
          <a:ext cx="5859780" cy="76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anose="020B0606020202030204" pitchFamily="34" charset="0"/>
            </a:rPr>
            <a:t>This report</a:t>
          </a:r>
          <a:r>
            <a:rPr lang="en-US" sz="1100" baseline="0">
              <a:latin typeface="Arial Narrow" panose="020B0606020202030204" pitchFamily="34" charset="0"/>
            </a:rPr>
            <a:t> gives an initial quality rating of 00%. Quality may improve with further documentation availability and with independent verification of all available documents. Justice is less served by the more arbitrary conviction binary of guilt or innocence. This report offers greater resolution into the nuance of this innocence claim.</a:t>
          </a:r>
          <a:endParaRPr lang="en-US" sz="1100">
            <a:latin typeface="Arial Narrow" panose="020B0606020202030204" pitchFamily="34" charset="0"/>
          </a:endParaRPr>
        </a:p>
      </xdr:txBody>
    </xdr:sp>
    <xdr:clientData/>
  </xdr:twoCellAnchor>
  <xdr:twoCellAnchor>
    <xdr:from>
      <xdr:col>69</xdr:col>
      <xdr:colOff>83820</xdr:colOff>
      <xdr:row>2199</xdr:row>
      <xdr:rowOff>0</xdr:rowOff>
    </xdr:from>
    <xdr:to>
      <xdr:col>83</xdr:col>
      <xdr:colOff>601980</xdr:colOff>
      <xdr:row>2204</xdr:row>
      <xdr:rowOff>22860</xdr:rowOff>
    </xdr:to>
    <xdr:sp macro="" textlink="">
      <xdr:nvSpPr>
        <xdr:cNvPr id="225" name="TextBox 224">
          <a:extLst>
            <a:ext uri="{FF2B5EF4-FFF2-40B4-BE49-F238E27FC236}">
              <a16:creationId xmlns:a16="http://schemas.microsoft.com/office/drawing/2014/main" id="{8C15D170-D2BA-4E1C-8A72-53B007DE9DC8}"/>
            </a:ext>
          </a:extLst>
        </xdr:cNvPr>
        <xdr:cNvSpPr txBox="1"/>
      </xdr:nvSpPr>
      <xdr:spPr>
        <a:xfrm>
          <a:off x="19011900" y="430385220"/>
          <a:ext cx="6248400"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anose="020B0606020202030204" pitchFamily="34" charset="0"/>
            </a:rPr>
            <a:t>This confidence range provides a higher resolution of information than the standard guilt-acquittal binary. Where it can result in more needs resolving, need-response asserts higher authority than adversrial judicial norms prioritizing its own needs at the expense of the public's justice needs. According to anankelogy, there is no greater authority than resolved needs since all authorities exist to serve needs. Authority is less necessary where needs can freely and fully resolve. </a:t>
          </a:r>
          <a:endParaRPr lang="en-US" sz="1100">
            <a:latin typeface="Arial Narrow" panose="020B0606020202030204" pitchFamily="34" charset="0"/>
          </a:endParaRPr>
        </a:p>
      </xdr:txBody>
    </xdr:sp>
    <xdr:clientData/>
  </xdr:twoCellAnchor>
  <xdr:twoCellAnchor>
    <xdr:from>
      <xdr:col>69</xdr:col>
      <xdr:colOff>190500</xdr:colOff>
      <xdr:row>2202</xdr:row>
      <xdr:rowOff>144780</xdr:rowOff>
    </xdr:from>
    <xdr:to>
      <xdr:col>83</xdr:col>
      <xdr:colOff>137160</xdr:colOff>
      <xdr:row>2208</xdr:row>
      <xdr:rowOff>7620</xdr:rowOff>
    </xdr:to>
    <xdr:sp macro="" textlink="">
      <xdr:nvSpPr>
        <xdr:cNvPr id="226" name="TextBox 225">
          <a:extLst>
            <a:ext uri="{FF2B5EF4-FFF2-40B4-BE49-F238E27FC236}">
              <a16:creationId xmlns:a16="http://schemas.microsoft.com/office/drawing/2014/main" id="{E964572F-AF6C-4860-8EF2-CFFD716B4B12}"/>
            </a:ext>
          </a:extLst>
        </xdr:cNvPr>
        <xdr:cNvSpPr txBox="1"/>
      </xdr:nvSpPr>
      <xdr:spPr>
        <a:xfrm>
          <a:off x="19118580" y="431010060"/>
          <a:ext cx="5676900"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anose="020B0606020202030204" pitchFamily="34" charset="0"/>
            </a:rPr>
            <a:t>This confidence range provides a higher resolution of information than the standard guilt-acquittal binary. Where it can result in more needs resolving, need-response asserts higher authority than adversrial judicial norms prioritizing its own needs at the expense of the public's justice needs. According to anankelogy, there is no greater authority than resolved needs since all authorities exist to serve needs. </a:t>
          </a:r>
          <a:endParaRPr lang="en-US" sz="1100">
            <a:latin typeface="Arial Narrow" panose="020B0606020202030204" pitchFamily="34" charset="0"/>
          </a:endParaRPr>
        </a:p>
      </xdr:txBody>
    </xdr:sp>
    <xdr:clientData/>
  </xdr:twoCellAnchor>
  <xdr:twoCellAnchor>
    <xdr:from>
      <xdr:col>70</xdr:col>
      <xdr:colOff>76200</xdr:colOff>
      <xdr:row>2209</xdr:row>
      <xdr:rowOff>83820</xdr:rowOff>
    </xdr:from>
    <xdr:to>
      <xdr:col>83</xdr:col>
      <xdr:colOff>464820</xdr:colOff>
      <xdr:row>2212</xdr:row>
      <xdr:rowOff>137160</xdr:rowOff>
    </xdr:to>
    <xdr:sp macro="" textlink="">
      <xdr:nvSpPr>
        <xdr:cNvPr id="227" name="TextBox 226">
          <a:extLst>
            <a:ext uri="{FF2B5EF4-FFF2-40B4-BE49-F238E27FC236}">
              <a16:creationId xmlns:a16="http://schemas.microsoft.com/office/drawing/2014/main" id="{715128C9-CF43-463B-9D95-0C2DA8064260}"/>
            </a:ext>
          </a:extLst>
        </xdr:cNvPr>
        <xdr:cNvSpPr txBox="1"/>
      </xdr:nvSpPr>
      <xdr:spPr>
        <a:xfrm>
          <a:off x="19263360" y="432069240"/>
          <a:ext cx="585978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anose="020B0606020202030204" pitchFamily="34" charset="0"/>
            </a:rPr>
            <a:t>This report</a:t>
          </a:r>
          <a:r>
            <a:rPr lang="en-US" sz="1100" baseline="0">
              <a:latin typeface="Arial Narrow" panose="020B0606020202030204" pitchFamily="34" charset="0"/>
            </a:rPr>
            <a:t> gives an initial quality rating of 00%. Confidence may improve with further documentation availability and with independent verification of all available documents. Justice is less served by </a:t>
          </a:r>
          <a:endParaRPr lang="en-US" sz="1100">
            <a:latin typeface="Arial Narrow" panose="020B0606020202030204" pitchFamily="34" charset="0"/>
          </a:endParaRPr>
        </a:p>
      </xdr:txBody>
    </xdr:sp>
    <xdr:clientData/>
  </xdr:twoCellAnchor>
  <xdr:twoCellAnchor>
    <xdr:from>
      <xdr:col>67</xdr:col>
      <xdr:colOff>39712</xdr:colOff>
      <xdr:row>2266</xdr:row>
      <xdr:rowOff>164495</xdr:rowOff>
    </xdr:from>
    <xdr:to>
      <xdr:col>82</xdr:col>
      <xdr:colOff>272486</xdr:colOff>
      <xdr:row>2276</xdr:row>
      <xdr:rowOff>57158</xdr:rowOff>
    </xdr:to>
    <xdr:sp macro="" textlink="">
      <xdr:nvSpPr>
        <xdr:cNvPr id="228" name="Text Box 12">
          <a:extLst>
            <a:ext uri="{FF2B5EF4-FFF2-40B4-BE49-F238E27FC236}">
              <a16:creationId xmlns:a16="http://schemas.microsoft.com/office/drawing/2014/main" id="{7CD06C10-5C5D-4D7C-865E-ED73A6CD6715}"/>
            </a:ext>
          </a:extLst>
        </xdr:cNvPr>
        <xdr:cNvSpPr txBox="1"/>
      </xdr:nvSpPr>
      <xdr:spPr>
        <a:xfrm rot="21221143">
          <a:off x="18449632" y="442231175"/>
          <a:ext cx="5871574" cy="185100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20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Whether law</a:t>
          </a:r>
          <a:r>
            <a:rPr lang="en-US" sz="20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breaker or law enforcer</a:t>
          </a:r>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indulging your need at another's expense lets you become the evil you fear in others.</a:t>
          </a:r>
        </a:p>
      </xdr:txBody>
    </xdr:sp>
    <xdr:clientData/>
  </xdr:twoCellAnchor>
  <xdr:twoCellAnchor>
    <xdr:from>
      <xdr:col>69</xdr:col>
      <xdr:colOff>206767</xdr:colOff>
      <xdr:row>2293</xdr:row>
      <xdr:rowOff>111804</xdr:rowOff>
    </xdr:from>
    <xdr:to>
      <xdr:col>82</xdr:col>
      <xdr:colOff>343927</xdr:colOff>
      <xdr:row>2307</xdr:row>
      <xdr:rowOff>125187</xdr:rowOff>
    </xdr:to>
    <xdr:sp macro="" textlink="">
      <xdr:nvSpPr>
        <xdr:cNvPr id="229" name="Text Box 7">
          <a:extLst>
            <a:ext uri="{FF2B5EF4-FFF2-40B4-BE49-F238E27FC236}">
              <a16:creationId xmlns:a16="http://schemas.microsoft.com/office/drawing/2014/main" id="{091FBDAF-7D9B-40B8-AB7D-47858D1856F9}"/>
            </a:ext>
          </a:extLst>
        </xdr:cNvPr>
        <xdr:cNvSpPr txBox="1"/>
      </xdr:nvSpPr>
      <xdr:spPr>
        <a:xfrm>
          <a:off x="19134847" y="447268644"/>
          <a:ext cx="5257800" cy="246702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nSpc>
              <a:spcPct val="100000"/>
            </a:lnSpc>
            <a:spcBef>
              <a:spcPts val="0"/>
            </a:spcBef>
            <a:spcAft>
              <a:spcPts val="600"/>
            </a:spcAft>
            <a:tabLst>
              <a:tab pos="3200400" algn="r"/>
            </a:tabLst>
          </a:pPr>
          <a:r>
            <a:rPr lang="en-US" sz="18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DISINGENUOUS LABELLING</a:t>
          </a:r>
        </a:p>
        <a:p>
          <a:pPr marL="0" marR="0">
            <a:lnSpc>
              <a:spcPct val="100000"/>
            </a:lnSpc>
            <a:spcBef>
              <a:spcPts val="300"/>
            </a:spcBef>
            <a:spcAft>
              <a:spcPts val="300"/>
            </a:spcAft>
            <a:tabLst>
              <a:tab pos="3200400" algn="r"/>
            </a:tabLst>
          </a:pPr>
          <a:r>
            <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Why call it justice if the process is actually for violently managing </a:t>
          </a:r>
          <a:r>
            <a:rPr lang="en-US" sz="1400" b="1" baseline="0">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human bodies associated with acts of violence? </a:t>
          </a:r>
          <a:endPar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a:p>
          <a:pPr marL="0" marR="0">
            <a:lnSpc>
              <a:spcPct val="100000"/>
            </a:lnSpc>
            <a:spcBef>
              <a:spcPts val="300"/>
            </a:spcBef>
            <a:spcAft>
              <a:spcPts val="300"/>
            </a:spcAft>
            <a:tabLst>
              <a:tab pos="3200400" algn="r"/>
            </a:tabLst>
          </a:pPr>
          <a:r>
            <a:rPr lang="en-US" sz="1400" b="1">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Any unfairness in the process for justice rarely results in the fairness of justice</a:t>
          </a:r>
          <a:r>
            <a:rPr lang="en-US" sz="1400" b="1"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t>
          </a:r>
        </a:p>
        <a:p>
          <a:pPr marL="0" marR="0">
            <a:lnSpc>
              <a:spcPct val="100000"/>
            </a:lnSpc>
            <a:spcBef>
              <a:spcPts val="300"/>
            </a:spcBef>
            <a:spcAft>
              <a:spcPts val="300"/>
            </a:spcAft>
            <a:tabLst>
              <a:tab pos="3200400" algn="r"/>
            </a:tabLst>
          </a:pPr>
          <a:r>
            <a:rPr lang="en-US" sz="1400" b="1"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Any injustice in the name</a:t>
          </a:r>
          <a:r>
            <a:rPr lang="en-US" sz="1400" b="1" u="none" baseline="0">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rPr>
            <a:t> of justice is no justice at all. We will be less disingenuous by labeling it as 'state reaction to interersonal violence' or "violence reaction" for short.</a:t>
          </a:r>
          <a:endParaRPr lang="en-US" sz="1100" u="none">
            <a:ln w="9525" cap="rnd" cmpd="sng" algn="ctr">
              <a:noFill/>
              <a:prstDash val="solid"/>
              <a:bevel/>
            </a:ln>
            <a:solidFill>
              <a:sysClr val="windowText" lastClr="000000"/>
            </a:solidFill>
            <a:effectLst/>
            <a:latin typeface="Arial" panose="020B0604020202020204" pitchFamily="34" charset="0"/>
            <a:ea typeface="Calibri" panose="020F0502020204030204" pitchFamily="34" charset="0"/>
            <a:cs typeface="Arial" panose="020B0604020202020204" pitchFamily="34" charset="0"/>
          </a:endParaRPr>
        </a:p>
      </xdr:txBody>
    </xdr:sp>
    <xdr:clientData/>
  </xdr:twoCellAnchor>
  <xdr:twoCellAnchor>
    <xdr:from>
      <xdr:col>67</xdr:col>
      <xdr:colOff>38100</xdr:colOff>
      <xdr:row>2281</xdr:row>
      <xdr:rowOff>96343</xdr:rowOff>
    </xdr:from>
    <xdr:to>
      <xdr:col>81</xdr:col>
      <xdr:colOff>471352</xdr:colOff>
      <xdr:row>2289</xdr:row>
      <xdr:rowOff>149113</xdr:rowOff>
    </xdr:to>
    <xdr:sp macro="" textlink="">
      <xdr:nvSpPr>
        <xdr:cNvPr id="230" name="Text Box 8">
          <a:extLst>
            <a:ext uri="{FF2B5EF4-FFF2-40B4-BE49-F238E27FC236}">
              <a16:creationId xmlns:a16="http://schemas.microsoft.com/office/drawing/2014/main" id="{36E5186B-F467-4B6E-946C-C0565C6577B7}"/>
            </a:ext>
          </a:extLst>
        </xdr:cNvPr>
        <xdr:cNvSpPr txBox="1"/>
      </xdr:nvSpPr>
      <xdr:spPr>
        <a:xfrm rot="565750">
          <a:off x="18448020" y="444997663"/>
          <a:ext cx="5462452" cy="160725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better that ten guilty persons </a:t>
          </a:r>
          <a:r>
            <a:rPr lang="en-US" sz="2000" b="1" spc="-2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escape than that one innocent suffer</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68</xdr:col>
      <xdr:colOff>118817</xdr:colOff>
      <xdr:row>2266</xdr:row>
      <xdr:rowOff>297180</xdr:rowOff>
    </xdr:from>
    <xdr:to>
      <xdr:col>75</xdr:col>
      <xdr:colOff>129703</xdr:colOff>
      <xdr:row>2276</xdr:row>
      <xdr:rowOff>167641</xdr:rowOff>
    </xdr:to>
    <xdr:sp macro="" textlink="">
      <xdr:nvSpPr>
        <xdr:cNvPr id="231" name="Rectangle: Rounded Corners 230">
          <a:extLst>
            <a:ext uri="{FF2B5EF4-FFF2-40B4-BE49-F238E27FC236}">
              <a16:creationId xmlns:a16="http://schemas.microsoft.com/office/drawing/2014/main" id="{B5620122-EED9-4A70-912F-259B77FE3ADD}"/>
            </a:ext>
          </a:extLst>
        </xdr:cNvPr>
        <xdr:cNvSpPr/>
      </xdr:nvSpPr>
      <xdr:spPr>
        <a:xfrm>
          <a:off x="18787817" y="442363860"/>
          <a:ext cx="1824446" cy="1828801"/>
        </a:xfrm>
        <a:prstGeom prst="roundRect">
          <a:avLst>
            <a:gd name="adj" fmla="val 50000"/>
          </a:avLst>
        </a:prstGeom>
        <a:gradFill>
          <a:gsLst>
            <a:gs pos="0">
              <a:schemeClr val="accent1">
                <a:lumMod val="5000"/>
                <a:lumOff val="95000"/>
              </a:schemeClr>
            </a:gs>
            <a:gs pos="40000">
              <a:srgbClr val="FFCCFF"/>
            </a:gs>
            <a:gs pos="70000">
              <a:srgbClr val="FF99FF"/>
            </a:gs>
            <a:gs pos="100000">
              <a:srgbClr val="CC99FF"/>
            </a:gs>
          </a:gsLst>
          <a:lin ang="5400000" scaled="1"/>
        </a:gradFill>
        <a:ln>
          <a:solidFill>
            <a:srgbClr val="CC99FF"/>
          </a:solidFill>
        </a:ln>
        <a:effectLst>
          <a:glow rad="63500">
            <a:srgbClr val="CC99FF">
              <a:alpha val="80000"/>
            </a:srgbClr>
          </a:glow>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2400">
              <a:ln>
                <a:solidFill>
                  <a:srgbClr val="7030A0"/>
                </a:solidFill>
              </a:ln>
              <a:effectLst>
                <a:innerShdw blurRad="63500" dist="50800" dir="5400000">
                  <a:prstClr val="black">
                    <a:alpha val="50000"/>
                  </a:prstClr>
                </a:innerShdw>
              </a:effectLst>
              <a:latin typeface="Impact" panose="020B0806030902050204" pitchFamily="34" charset="0"/>
            </a:rPr>
            <a:t>ASCRIBED</a:t>
          </a:r>
          <a:r>
            <a:rPr lang="en-US" sz="2400" baseline="0">
              <a:ln>
                <a:solidFill>
                  <a:srgbClr val="7030A0"/>
                </a:solidFill>
              </a:ln>
              <a:effectLst>
                <a:innerShdw blurRad="63500" dist="50800" dir="5400000">
                  <a:prstClr val="black">
                    <a:alpha val="50000"/>
                  </a:prstClr>
                </a:innerShdw>
              </a:effectLst>
              <a:latin typeface="Impact" panose="020B0806030902050204" pitchFamily="34" charset="0"/>
            </a:rPr>
            <a:t> IMPACTOR</a:t>
          </a:r>
          <a:endParaRPr lang="en-US" sz="2400">
            <a:ln>
              <a:solidFill>
                <a:srgbClr val="7030A0"/>
              </a:solidFill>
            </a:ln>
            <a:effectLst>
              <a:innerShdw blurRad="63500" dist="50800" dir="5400000">
                <a:prstClr val="black">
                  <a:alpha val="50000"/>
                </a:prstClr>
              </a:innerShdw>
            </a:effectLst>
            <a:latin typeface="Impact" panose="020B0806030902050204" pitchFamily="34" charset="0"/>
          </a:endParaRPr>
        </a:p>
      </xdr:txBody>
    </xdr:sp>
    <xdr:clientData/>
  </xdr:twoCellAnchor>
  <xdr:twoCellAnchor>
    <xdr:from>
      <xdr:col>78</xdr:col>
      <xdr:colOff>112286</xdr:colOff>
      <xdr:row>2266</xdr:row>
      <xdr:rowOff>297180</xdr:rowOff>
    </xdr:from>
    <xdr:to>
      <xdr:col>81</xdr:col>
      <xdr:colOff>107932</xdr:colOff>
      <xdr:row>2276</xdr:row>
      <xdr:rowOff>167641</xdr:rowOff>
    </xdr:to>
    <xdr:sp macro="" textlink="">
      <xdr:nvSpPr>
        <xdr:cNvPr id="232" name="Rectangle: Rounded Corners 231">
          <a:extLst>
            <a:ext uri="{FF2B5EF4-FFF2-40B4-BE49-F238E27FC236}">
              <a16:creationId xmlns:a16="http://schemas.microsoft.com/office/drawing/2014/main" id="{7D209482-72B9-41A9-861A-349C6D9E333F}"/>
            </a:ext>
          </a:extLst>
        </xdr:cNvPr>
        <xdr:cNvSpPr/>
      </xdr:nvSpPr>
      <xdr:spPr>
        <a:xfrm>
          <a:off x="21722606" y="442363860"/>
          <a:ext cx="1824446" cy="1828801"/>
        </a:xfrm>
        <a:prstGeom prst="roundRect">
          <a:avLst>
            <a:gd name="adj" fmla="val 50000"/>
          </a:avLst>
        </a:prstGeom>
        <a:gradFill>
          <a:gsLst>
            <a:gs pos="0">
              <a:schemeClr val="accent1">
                <a:lumMod val="5000"/>
                <a:lumOff val="95000"/>
              </a:schemeClr>
            </a:gs>
            <a:gs pos="40000">
              <a:srgbClr val="CCFFCC"/>
            </a:gs>
            <a:gs pos="70000">
              <a:srgbClr val="99FF99"/>
            </a:gs>
            <a:gs pos="100000">
              <a:srgbClr val="01FF80"/>
            </a:gs>
          </a:gsLst>
          <a:lin ang="5400000" scaled="1"/>
        </a:gradFill>
        <a:ln>
          <a:solidFill>
            <a:srgbClr val="01FF80"/>
          </a:solidFill>
        </a:ln>
        <a:effectLst>
          <a:glow rad="63500">
            <a:srgbClr val="01FF80">
              <a:alpha val="80000"/>
            </a:srgbClr>
          </a:glow>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2400" spc="-50" baseline="0">
              <a:ln>
                <a:solidFill>
                  <a:srgbClr val="00B050"/>
                </a:solidFill>
              </a:ln>
              <a:effectLst>
                <a:innerShdw blurRad="63500" dist="50800" dir="5400000">
                  <a:prstClr val="black">
                    <a:alpha val="50000"/>
                  </a:prstClr>
                </a:innerShdw>
              </a:effectLst>
              <a:latin typeface="Impact" panose="020B0806030902050204" pitchFamily="34" charset="0"/>
            </a:rPr>
            <a:t>REPORTING</a:t>
          </a:r>
          <a:r>
            <a:rPr lang="en-US" sz="2400" spc="-100" baseline="0">
              <a:ln>
                <a:solidFill>
                  <a:srgbClr val="00B050"/>
                </a:solidFill>
              </a:ln>
              <a:effectLst>
                <a:innerShdw blurRad="63500" dist="50800" dir="5400000">
                  <a:prstClr val="black">
                    <a:alpha val="50000"/>
                  </a:prstClr>
                </a:innerShdw>
              </a:effectLst>
              <a:latin typeface="Impact" panose="020B0806030902050204" pitchFamily="34" charset="0"/>
            </a:rPr>
            <a:t> </a:t>
          </a:r>
          <a:r>
            <a:rPr lang="en-US" sz="2400" baseline="0">
              <a:ln>
                <a:solidFill>
                  <a:srgbClr val="00B050"/>
                </a:solidFill>
              </a:ln>
              <a:effectLst>
                <a:innerShdw blurRad="63500" dist="50800" dir="5400000">
                  <a:prstClr val="black">
                    <a:alpha val="50000"/>
                  </a:prstClr>
                </a:innerShdw>
              </a:effectLst>
              <a:latin typeface="Impact" panose="020B0806030902050204" pitchFamily="34" charset="0"/>
            </a:rPr>
            <a:t>IMPACTEE</a:t>
          </a:r>
          <a:endParaRPr lang="en-US" sz="2400">
            <a:ln>
              <a:solidFill>
                <a:srgbClr val="00B050"/>
              </a:solidFill>
            </a:ln>
            <a:effectLst>
              <a:innerShdw blurRad="63500" dist="50800" dir="5400000">
                <a:prstClr val="black">
                  <a:alpha val="50000"/>
                </a:prstClr>
              </a:innerShdw>
            </a:effectLst>
            <a:latin typeface="Impact" panose="020B0806030902050204" pitchFamily="34" charset="0"/>
          </a:endParaRPr>
        </a:p>
      </xdr:txBody>
    </xdr:sp>
    <xdr:clientData/>
  </xdr:twoCellAnchor>
  <xdr:twoCellAnchor>
    <xdr:from>
      <xdr:col>62</xdr:col>
      <xdr:colOff>121920</xdr:colOff>
      <xdr:row>2458</xdr:row>
      <xdr:rowOff>22860</xdr:rowOff>
    </xdr:from>
    <xdr:to>
      <xdr:col>76</xdr:col>
      <xdr:colOff>225208</xdr:colOff>
      <xdr:row>2471</xdr:row>
      <xdr:rowOff>141053</xdr:rowOff>
    </xdr:to>
    <xdr:sp macro="" textlink="">
      <xdr:nvSpPr>
        <xdr:cNvPr id="233" name="Text Box 8">
          <a:extLst>
            <a:ext uri="{FF2B5EF4-FFF2-40B4-BE49-F238E27FC236}">
              <a16:creationId xmlns:a16="http://schemas.microsoft.com/office/drawing/2014/main" id="{3A488B75-636C-437F-ADA0-07612B51058E}"/>
            </a:ext>
          </a:extLst>
        </xdr:cNvPr>
        <xdr:cNvSpPr txBox="1"/>
      </xdr:nvSpPr>
      <xdr:spPr>
        <a:xfrm rot="343004">
          <a:off x="17236440" y="470016840"/>
          <a:ext cx="3730408" cy="238895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Guilty</a:t>
          </a:r>
          <a:r>
            <a:rPr lang="en-US" sz="1100">
              <a:effectLst/>
              <a:latin typeface="+mn-lt"/>
              <a:ea typeface="+mn-ea"/>
              <a:cs typeface="+mn-cs"/>
            </a:rPr>
            <a:t> </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or innocent? I’m not talking about you,</a:t>
          </a:r>
          <a:r>
            <a:rPr lang="en-US" sz="2000" b="1" baseline="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but about them</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Who shall exonerate those who remain slow to exonerate others they falsely condemn?</a:t>
          </a:r>
        </a:p>
      </xdr:txBody>
    </xdr:sp>
    <xdr:clientData/>
  </xdr:twoCellAnchor>
  <xdr:twoCellAnchor>
    <xdr:from>
      <xdr:col>28</xdr:col>
      <xdr:colOff>198120</xdr:colOff>
      <xdr:row>2495</xdr:row>
      <xdr:rowOff>45720</xdr:rowOff>
    </xdr:from>
    <xdr:to>
      <xdr:col>53</xdr:col>
      <xdr:colOff>13970</xdr:colOff>
      <xdr:row>2560</xdr:row>
      <xdr:rowOff>90170</xdr:rowOff>
    </xdr:to>
    <xdr:sp macro="" textlink="">
      <xdr:nvSpPr>
        <xdr:cNvPr id="234" name="Text Box 1">
          <a:extLst>
            <a:ext uri="{FF2B5EF4-FFF2-40B4-BE49-F238E27FC236}">
              <a16:creationId xmlns:a16="http://schemas.microsoft.com/office/drawing/2014/main" id="{51961788-4212-4E6E-9575-E8CF00E88FAB}"/>
            </a:ext>
          </a:extLst>
        </xdr:cNvPr>
        <xdr:cNvSpPr txBox="1"/>
      </xdr:nvSpPr>
      <xdr:spPr>
        <a:xfrm>
          <a:off x="7475220" y="476524320"/>
          <a:ext cx="5949950" cy="11436350"/>
        </a:xfrm>
        <a:prstGeom prst="rect">
          <a:avLst/>
        </a:prstGeom>
        <a:solidFill>
          <a:schemeClr val="bg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https://en.wikipedia.org/wiki/Prosecutorial_misconduct</a:t>
          </a:r>
        </a:p>
        <a:p>
          <a:pPr marL="0" marR="0"/>
          <a:r>
            <a:rPr lang="en-US" sz="1800" b="1">
              <a:effectLst/>
              <a:latin typeface="Times New Roman" panose="02020603050405020304" pitchFamily="18" charset="0"/>
              <a:ea typeface="Times New Roman" panose="02020603050405020304" pitchFamily="18" charset="0"/>
            </a:rPr>
            <a:t>Types of misconduct</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Burden Shifting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Failure to disclose exculpatory evidence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False confession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False arrest</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Falsified evidence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Intimidation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Malicious prosecution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Police brutality</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Prosecutorial corruption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Political repression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Racial profiling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Sexual abuse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Surveillance abuse</a:t>
          </a:r>
          <a:r>
            <a:rPr lang="en-US" sz="1100">
              <a:effectLst/>
              <a:latin typeface="Calibri" panose="020F0502020204030204" pitchFamily="34" charset="0"/>
              <a:ea typeface="Calibri" panose="020F0502020204030204" pitchFamily="34" charset="0"/>
              <a:cs typeface="Times New Roman" panose="02020603050405020304" pitchFamily="18" charset="0"/>
            </a:rPr>
            <a:t> – abetting</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Testifying</a:t>
          </a:r>
          <a:r>
            <a:rPr lang="en-US" sz="1100">
              <a:effectLst/>
              <a:latin typeface="Calibri" panose="020F0502020204030204" pitchFamily="34" charset="0"/>
              <a:ea typeface="Calibri" panose="020F0502020204030204" pitchFamily="34" charset="0"/>
              <a:cs typeface="Times New Roman" panose="02020603050405020304" pitchFamily="18" charset="0"/>
            </a:rPr>
            <a:t> --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Subornation of perjury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r>
            <a:rPr lang="en-US" sz="1800" b="1">
              <a:effectLst/>
              <a:latin typeface="Times New Roman" panose="02020603050405020304" pitchFamily="18" charset="0"/>
              <a:ea typeface="Times New Roman" panose="02020603050405020304" pitchFamily="18" charset="0"/>
            </a:rPr>
            <a:t>Abuses of discretion</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This section </a:t>
          </a:r>
          <a:r>
            <a:rPr lang="en-US" sz="1100" b="1">
              <a:effectLst/>
              <a:latin typeface="Calibri" panose="020F0502020204030204" pitchFamily="34" charset="0"/>
              <a:ea typeface="Calibri" panose="020F0502020204030204" pitchFamily="34" charset="0"/>
              <a:cs typeface="Times New Roman" panose="02020603050405020304" pitchFamily="18" charset="0"/>
            </a:rPr>
            <a:t>does not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cite</a:t>
          </a:r>
          <a:r>
            <a:rPr lang="en-US" sz="1100" b="1">
              <a:effectLst/>
              <a:latin typeface="Calibri" panose="020F0502020204030204" pitchFamily="34" charset="0"/>
              <a:ea typeface="Calibri" panose="020F0502020204030204" pitchFamily="34" charset="0"/>
              <a:cs typeface="Times New Roman" panose="02020603050405020304" pitchFamily="18" charset="0"/>
            </a:rPr>
            <a:t> any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sources</a:t>
          </a:r>
          <a:r>
            <a:rPr lang="en-US" sz="1100">
              <a:effectLst/>
              <a:latin typeface="Calibri" panose="020F0502020204030204" pitchFamily="34" charset="0"/>
              <a:ea typeface="Calibri" panose="020F0502020204030204" pitchFamily="34" charset="0"/>
              <a:cs typeface="Times New Roman" panose="02020603050405020304" pitchFamily="18" charset="0"/>
            </a:rPr>
            <a:t>. Please help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improve this section</a:t>
          </a:r>
          <a:r>
            <a:rPr lang="en-US" sz="1100">
              <a:effectLst/>
              <a:latin typeface="Calibri" panose="020F0502020204030204" pitchFamily="34" charset="0"/>
              <a:ea typeface="Calibri" panose="020F0502020204030204" pitchFamily="34" charset="0"/>
              <a:cs typeface="Times New Roman" panose="02020603050405020304" pitchFamily="18" charset="0"/>
            </a:rPr>
            <a:t> by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adding citations to reliable sources</a:t>
          </a:r>
          <a:r>
            <a:rPr lang="en-US" sz="1100">
              <a:effectLst/>
              <a:latin typeface="Calibri" panose="020F0502020204030204" pitchFamily="34" charset="0"/>
              <a:ea typeface="Calibri" panose="020F0502020204030204" pitchFamily="34" charset="0"/>
              <a:cs typeface="Times New Roman" panose="02020603050405020304" pitchFamily="18" charset="0"/>
            </a:rPr>
            <a:t>. Unsourced material may be challenged and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removed</a:t>
          </a:r>
          <a:r>
            <a:rPr lang="en-US" sz="1100">
              <a:effectLst/>
              <a:latin typeface="Calibri" panose="020F0502020204030204" pitchFamily="34" charset="0"/>
              <a:ea typeface="Calibri" panose="020F0502020204030204" pitchFamily="34" charset="0"/>
              <a:cs typeface="Times New Roman" panose="02020603050405020304" pitchFamily="18" charset="0"/>
            </a:rPr>
            <a:t>. </a:t>
          </a:r>
          <a:r>
            <a:rPr lang="en-US" sz="1100" i="1">
              <a:effectLst/>
              <a:latin typeface="Calibri" panose="020F0502020204030204" pitchFamily="34" charset="0"/>
              <a:ea typeface="Calibri" panose="020F0502020204030204" pitchFamily="34" charset="0"/>
              <a:cs typeface="Times New Roman" panose="02020603050405020304" pitchFamily="18" charset="0"/>
            </a:rPr>
            <a:t>(March 2013) (</a:t>
          </a:r>
          <a:r>
            <a:rPr lang="en-US" sz="1100" i="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Learn how and when to remove this template message</a:t>
          </a:r>
          <a:r>
            <a:rPr lang="en-US" sz="1100" i="1">
              <a:effectLst/>
              <a:latin typeface="Calibri" panose="020F050202020403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r>
            <a:rPr lang="en-US" sz="1200">
              <a:effectLst/>
              <a:latin typeface="Times New Roman" panose="02020603050405020304" pitchFamily="18" charset="0"/>
              <a:ea typeface="Times New Roman" panose="02020603050405020304" pitchFamily="18" charset="0"/>
            </a:rPr>
            <a:t>Prosecutors are given discretion about how they conduct their business. However, while some practices are not illegal, they may be seen as unethical and/or abusive and in need of reform, particularly by defendants and criminal defense attorneys: </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Selective prosecution by race, income, political affiliation, etc.</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Capture of the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grand jury</a:t>
          </a:r>
          <a:r>
            <a:rPr lang="en-US" sz="1100">
              <a:effectLst/>
              <a:latin typeface="Calibri" panose="020F0502020204030204" pitchFamily="34" charset="0"/>
              <a:ea typeface="Calibri" panose="020F0502020204030204" pitchFamily="34" charset="0"/>
              <a:cs typeface="Times New Roman" panose="02020603050405020304" pitchFamily="18" charset="0"/>
            </a:rPr>
            <a:t>, misusing it as a tool for inquisitorial abuse, or excluding citizen complaints from being heard.</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Plea bargaining</a:t>
          </a:r>
          <a:r>
            <a:rPr lang="en-US" sz="1100">
              <a:effectLst/>
              <a:latin typeface="Calibri" panose="020F0502020204030204" pitchFamily="34" charset="0"/>
              <a:ea typeface="Calibri" panose="020F0502020204030204" pitchFamily="34" charset="0"/>
              <a:cs typeface="Times New Roman" panose="02020603050405020304" pitchFamily="18" charset="0"/>
            </a:rPr>
            <a:t> abuses, such as seeking testimony in exchange for leniency. This may solicit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perjury</a:t>
          </a:r>
          <a:r>
            <a:rPr lang="en-US" sz="1100">
              <a:effectLst/>
              <a:latin typeface="Calibri" panose="020F0502020204030204" pitchFamily="34" charset="0"/>
              <a:ea typeface="Calibri" panose="020F0502020204030204" pitchFamily="34" charset="0"/>
              <a:cs typeface="Times New Roman" panose="02020603050405020304" pitchFamily="18" charset="0"/>
            </a:rPr>
            <a:t> or falsified evidence.</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“Horsetrading”, the practice of colluding with defense attorneys to agree to get some of their clients to plead guilty in exchange for letting others off.</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Threatening public officials, especially judges, with prosecution if they don't unduly support their cases.</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Tainting of jury pools with public statements by prosecutors that are either inaccurate, exaggerated, unsupported by evidence or that could be inadmissible at trial, and such statements become widely promulgated by the media.</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causing depositions in a related civil trial which were likely to yield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exculpatory evidence</a:t>
          </a:r>
          <a:r>
            <a:rPr lang="en-US" sz="1100">
              <a:effectLst/>
              <a:latin typeface="Calibri" panose="020F0502020204030204" pitchFamily="34" charset="0"/>
              <a:ea typeface="Calibri" panose="020F0502020204030204" pitchFamily="34" charset="0"/>
              <a:cs typeface="Times New Roman" panose="02020603050405020304" pitchFamily="18" charset="0"/>
            </a:rPr>
            <a:t>, and then "staying" those statements so they cannot be used in a criminal trial.</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naming a host of “un-indicted co-conspirators” in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conspiracy</a:t>
          </a:r>
          <a:r>
            <a:rPr lang="en-US" sz="1100">
              <a:effectLst/>
              <a:latin typeface="Calibri" panose="020F0502020204030204" pitchFamily="34" charset="0"/>
              <a:ea typeface="Calibri" panose="020F0502020204030204" pitchFamily="34" charset="0"/>
              <a:cs typeface="Times New Roman" panose="02020603050405020304" pitchFamily="18" charset="0"/>
            </a:rPr>
            <a:t> cases to intimidate potential defense witnesses with threats of retaliatory prosecution.</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using their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Peremptory Challenges</a:t>
          </a:r>
          <a:r>
            <a:rPr lang="en-US" sz="1100">
              <a:effectLst/>
              <a:latin typeface="Calibri" panose="020F0502020204030204" pitchFamily="34" charset="0"/>
              <a:ea typeface="Calibri" panose="020F0502020204030204" pitchFamily="34" charset="0"/>
              <a:cs typeface="Times New Roman" panose="02020603050405020304" pitchFamily="18" charset="0"/>
            </a:rPr>
            <a:t> to remove from the jury anyone with relevant experience in the complex subjects of a trial. Defense attorneys often use similar tactics. Both attempt to prevent a juror's technical knowledge from interfering with the credibility of their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expert witnesses</a:t>
          </a:r>
          <a:r>
            <a:rPr lang="en-US" sz="1100">
              <a:effectLst/>
              <a:latin typeface="Calibri" panose="020F0502020204030204" pitchFamily="34" charset="0"/>
              <a:ea typeface="Calibri" panose="020F0502020204030204" pitchFamily="34" charset="0"/>
              <a:cs typeface="Times New Roman" panose="02020603050405020304" pitchFamily="18" charset="0"/>
            </a:rPr>
            <a:t>.</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pursuing criminal penalties for selected industry practices in Corporate America when regulatory intervention would be more appropriate. For example, prosecuting a mechanic for minor violations of the </a:t>
          </a:r>
          <a:r>
            <a:rPr lang="en-US" sz="110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Clean Water Act</a:t>
          </a:r>
          <a:r>
            <a:rPr lang="en-US" sz="1100">
              <a:effectLst/>
              <a:latin typeface="Calibri" panose="020F0502020204030204" pitchFamily="34" charset="0"/>
              <a:ea typeface="Calibri" panose="020F0502020204030204" pitchFamily="34" charset="0"/>
              <a:cs typeface="Times New Roman" panose="02020603050405020304" pitchFamily="18" charset="0"/>
            </a:rPr>
            <a:t> rather than affording the opportunity for the mechanic to correct their error and pay the appropriate fines.</a:t>
          </a:r>
        </a:p>
        <a:p>
          <a:pPr marL="342900" marR="0" lvl="0" indent="-342900">
            <a:lnSpc>
              <a:spcPct val="107000"/>
            </a:lnSpc>
            <a:spcBef>
              <a:spcPts val="0"/>
            </a:spcBef>
            <a:spcAft>
              <a:spcPts val="800"/>
            </a:spcAft>
            <a:buSzPts val="1000"/>
            <a:buFont typeface="Symbol" panose="05050102010706020507" pitchFamily="18" charset="2"/>
            <a:buChar char=""/>
            <a:tabLst>
              <a:tab pos="457200" algn="l"/>
            </a:tabLst>
          </a:pPr>
          <a:r>
            <a:rPr lang="en-US" sz="1100">
              <a:effectLst/>
              <a:latin typeface="Calibri" panose="020F0502020204030204" pitchFamily="34" charset="0"/>
              <a:ea typeface="Calibri" panose="020F0502020204030204" pitchFamily="34" charset="0"/>
              <a:cs typeface="Times New Roman" panose="02020603050405020304" pitchFamily="18" charset="0"/>
            </a:rPr>
            <a:t>Prosecutors using multidefendant trials to get defendants to turn on one another in the courtroom, as judges may be reluctant to allow separate trials in multi-defendant cases.</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https://en.wikipedia.org/wiki/Malicious_prosecution</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US" sz="1100">
              <a:effectLst/>
              <a:latin typeface="Calibri" panose="020F0502020204030204" pitchFamily="34" charset="0"/>
              <a:ea typeface="Calibri" panose="020F0502020204030204" pitchFamily="34" charset="0"/>
              <a:cs typeface="Times New Roman" panose="02020603050405020304" pitchFamily="18" charset="0"/>
            </a:rPr>
            <a:t>https://digitalcommons.tourolaw.edu/cgi/viewcontent.cgi?referer=https://www.google.com/&amp;httpsredir=1&amp;article=1712&amp;context=scholarlyworks</a:t>
          </a:r>
        </a:p>
      </xdr:txBody>
    </xdr:sp>
    <xdr:clientData/>
  </xdr:twoCellAnchor>
  <xdr:twoCellAnchor>
    <xdr:from>
      <xdr:col>2</xdr:col>
      <xdr:colOff>1850571</xdr:colOff>
      <xdr:row>43</xdr:row>
      <xdr:rowOff>171061</xdr:rowOff>
    </xdr:from>
    <xdr:to>
      <xdr:col>2</xdr:col>
      <xdr:colOff>1850571</xdr:colOff>
      <xdr:row>45</xdr:row>
      <xdr:rowOff>3607836</xdr:rowOff>
    </xdr:to>
    <xdr:cxnSp macro="">
      <xdr:nvCxnSpPr>
        <xdr:cNvPr id="235" name="Straight Connector 234">
          <a:extLst>
            <a:ext uri="{FF2B5EF4-FFF2-40B4-BE49-F238E27FC236}">
              <a16:creationId xmlns:a16="http://schemas.microsoft.com/office/drawing/2014/main" id="{EF0A0392-BD86-43D0-AD8C-12D6595E2151}"/>
            </a:ext>
          </a:extLst>
        </xdr:cNvPr>
        <xdr:cNvCxnSpPr/>
      </xdr:nvCxnSpPr>
      <xdr:spPr>
        <a:xfrm>
          <a:off x="3191691" y="8934061"/>
          <a:ext cx="0" cy="7688735"/>
        </a:xfrm>
        <a:prstGeom prst="line">
          <a:avLst/>
        </a:prstGeom>
        <a:ln w="2857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41</xdr:row>
      <xdr:rowOff>228600</xdr:rowOff>
    </xdr:from>
    <xdr:to>
      <xdr:col>6</xdr:col>
      <xdr:colOff>50829</xdr:colOff>
      <xdr:row>50</xdr:row>
      <xdr:rowOff>46393</xdr:rowOff>
    </xdr:to>
    <xdr:pic>
      <xdr:nvPicPr>
        <xdr:cNvPr id="236" name="COVI frame">
          <a:extLst>
            <a:ext uri="{FF2B5EF4-FFF2-40B4-BE49-F238E27FC236}">
              <a16:creationId xmlns:a16="http://schemas.microsoft.com/office/drawing/2014/main" id="{A87A414D-0AF6-4738-A36A-5F5544458663}"/>
            </a:ext>
          </a:extLst>
        </xdr:cNvPr>
        <xdr:cNvPicPr>
          <a:picLocks noChangeAspect="1"/>
        </xdr:cNvPicPr>
      </xdr:nvPicPr>
      <xdr:blipFill>
        <a:blip xmlns:r="http://schemas.openxmlformats.org/officeDocument/2006/relationships" r:embed="rId38"/>
        <a:stretch>
          <a:fillRect/>
        </a:stretch>
      </xdr:blipFill>
      <xdr:spPr>
        <a:xfrm>
          <a:off x="0" y="8503920"/>
          <a:ext cx="6200169" cy="8618893"/>
        </a:xfrm>
        <a:prstGeom prst="rect">
          <a:avLst/>
        </a:prstGeom>
      </xdr:spPr>
    </xdr:pic>
    <xdr:clientData/>
  </xdr:twoCellAnchor>
  <xdr:oneCellAnchor>
    <xdr:from>
      <xdr:col>1</xdr:col>
      <xdr:colOff>218165</xdr:colOff>
      <xdr:row>43</xdr:row>
      <xdr:rowOff>134254</xdr:rowOff>
    </xdr:from>
    <xdr:ext cx="1821754" cy="7523959"/>
    <xdr:sp macro="" textlink="">
      <xdr:nvSpPr>
        <xdr:cNvPr id="237" name="Rectangle 236">
          <a:extLst>
            <a:ext uri="{FF2B5EF4-FFF2-40B4-BE49-F238E27FC236}">
              <a16:creationId xmlns:a16="http://schemas.microsoft.com/office/drawing/2014/main" id="{FE58DB01-6AA6-4AF1-8ABF-21A5426A1E08}"/>
            </a:ext>
          </a:extLst>
        </xdr:cNvPr>
        <xdr:cNvSpPr/>
      </xdr:nvSpPr>
      <xdr:spPr>
        <a:xfrm rot="16200000">
          <a:off x="-2373858" y="11748357"/>
          <a:ext cx="7523959" cy="1821754"/>
        </a:xfrm>
        <a:prstGeom prst="rect">
          <a:avLst/>
        </a:prstGeom>
        <a:noFill/>
      </xdr:spPr>
      <xdr:txBody>
        <a:bodyPr wrap="none" lIns="91440" tIns="45720" rIns="91440" bIns="45720">
          <a:prstTxWarp prst="textArchUp">
            <a:avLst/>
          </a:prstTxWarp>
          <a:spAutoFit/>
        </a:bodyPr>
        <a:lstStyle/>
        <a:p>
          <a:pPr algn="ctr"/>
          <a:r>
            <a:rPr lang="en-US" sz="2500" b="0" cap="none" spc="0">
              <a:ln w="0"/>
              <a:solidFill>
                <a:schemeClr val="accent6">
                  <a:lumMod val="50000"/>
                </a:schemeClr>
              </a:solidFill>
              <a:effectLst>
                <a:outerShdw blurRad="38100" dist="19050" dir="2700000" algn="tl" rotWithShape="0">
                  <a:schemeClr val="dk1">
                    <a:alpha val="40000"/>
                  </a:schemeClr>
                </a:outerShdw>
              </a:effectLst>
              <a:latin typeface="Arial Black" panose="020B0A04020102020204" pitchFamily="34" charset="0"/>
            </a:rPr>
            <a:t>CERTIFICATE OF VERIFIABLE INNOCENCE</a:t>
          </a:r>
        </a:p>
      </xdr:txBody>
    </xdr:sp>
    <xdr:clientData/>
  </xdr:oneCellAnchor>
  <xdr:twoCellAnchor>
    <xdr:from>
      <xdr:col>53</xdr:col>
      <xdr:colOff>278947</xdr:colOff>
      <xdr:row>1125</xdr:row>
      <xdr:rowOff>375285</xdr:rowOff>
    </xdr:from>
    <xdr:to>
      <xdr:col>70</xdr:col>
      <xdr:colOff>179887</xdr:colOff>
      <xdr:row>1127</xdr:row>
      <xdr:rowOff>89264</xdr:rowOff>
    </xdr:to>
    <xdr:sp macro="" textlink="">
      <xdr:nvSpPr>
        <xdr:cNvPr id="238" name="Rectangle: Rounded Corners 237">
          <a:extLst>
            <a:ext uri="{FF2B5EF4-FFF2-40B4-BE49-F238E27FC236}">
              <a16:creationId xmlns:a16="http://schemas.microsoft.com/office/drawing/2014/main" id="{84A61B55-73DF-4D58-B154-336D668AC559}"/>
            </a:ext>
          </a:extLst>
        </xdr:cNvPr>
        <xdr:cNvSpPr/>
      </xdr:nvSpPr>
      <xdr:spPr>
        <a:xfrm>
          <a:off x="13690147" y="315195585"/>
          <a:ext cx="5676900" cy="315959"/>
        </a:xfrm>
        <a:prstGeom prst="roundRect">
          <a:avLst>
            <a:gd name="adj" fmla="val 5176"/>
          </a:avLst>
        </a:prstGeom>
        <a:solidFill>
          <a:srgbClr val="FFCCFF">
            <a:alpha val="12157"/>
          </a:srgbClr>
        </a:solidFill>
        <a:ln w="1905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7030A0"/>
              </a:solidFill>
            </a:rPr>
            <a:t>COUNTS</a:t>
          </a:r>
          <a:r>
            <a:rPr lang="en-US" sz="1600" baseline="0">
              <a:solidFill>
                <a:srgbClr val="7030A0"/>
              </a:solidFill>
            </a:rPr>
            <a:t> VERIFICATION POINTS</a:t>
          </a:r>
          <a:endParaRPr lang="en-US" sz="1600">
            <a:solidFill>
              <a:srgbClr val="7030A0"/>
            </a:solidFill>
          </a:endParaRPr>
        </a:p>
      </xdr:txBody>
    </xdr:sp>
    <xdr:clientData/>
  </xdr:twoCellAnchor>
  <xdr:twoCellAnchor>
    <xdr:from>
      <xdr:col>27</xdr:col>
      <xdr:colOff>7620</xdr:colOff>
      <xdr:row>1217</xdr:row>
      <xdr:rowOff>0</xdr:rowOff>
    </xdr:from>
    <xdr:to>
      <xdr:col>50</xdr:col>
      <xdr:colOff>0</xdr:colOff>
      <xdr:row>1218</xdr:row>
      <xdr:rowOff>0</xdr:rowOff>
    </xdr:to>
    <xdr:sp macro="" textlink="">
      <xdr:nvSpPr>
        <xdr:cNvPr id="239" name="TextBox 238">
          <a:extLst>
            <a:ext uri="{FF2B5EF4-FFF2-40B4-BE49-F238E27FC236}">
              <a16:creationId xmlns:a16="http://schemas.microsoft.com/office/drawing/2014/main" id="{576A7F99-B691-4E2C-8A8D-B1F60CACC2F7}"/>
            </a:ext>
          </a:extLst>
        </xdr:cNvPr>
        <xdr:cNvSpPr txBox="1"/>
      </xdr:nvSpPr>
      <xdr:spPr>
        <a:xfrm>
          <a:off x="7025640" y="331957680"/>
          <a:ext cx="5882640" cy="571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Before you go any further, now is a good time to return to the top and review each page. Check for any spelling errors, or missing fields,</a:t>
          </a:r>
          <a:r>
            <a:rPr lang="en-US" sz="1100" baseline="0">
              <a:latin typeface="Times New Roman" panose="02020603050405020304" pitchFamily="18" charset="0"/>
              <a:cs typeface="Times New Roman" panose="02020603050405020304" pitchFamily="18" charset="0"/>
            </a:rPr>
            <a:t> or where you can improve the wording. After making any final edits, save this document once more.</a:t>
          </a:r>
        </a:p>
        <a:p>
          <a:endParaRPr lang="en-US" sz="1100" baseline="0">
            <a:latin typeface="Times New Roman" panose="02020603050405020304" pitchFamily="18" charset="0"/>
            <a:cs typeface="Times New Roman" panose="02020603050405020304" pitchFamily="18" charset="0"/>
          </a:endParaRPr>
        </a:p>
        <a:p>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27</xdr:col>
      <xdr:colOff>15240</xdr:colOff>
      <xdr:row>1212</xdr:row>
      <xdr:rowOff>175260</xdr:rowOff>
    </xdr:from>
    <xdr:to>
      <xdr:col>50</xdr:col>
      <xdr:colOff>7620</xdr:colOff>
      <xdr:row>1217</xdr:row>
      <xdr:rowOff>624840</xdr:rowOff>
    </xdr:to>
    <xdr:sp macro="" textlink="">
      <xdr:nvSpPr>
        <xdr:cNvPr id="240" name="TextBox 13">
          <a:extLst>
            <a:ext uri="{FF2B5EF4-FFF2-40B4-BE49-F238E27FC236}">
              <a16:creationId xmlns:a16="http://schemas.microsoft.com/office/drawing/2014/main" id="{DA901D04-2B52-4CFC-841E-B7A93D2D68A1}"/>
            </a:ext>
          </a:extLst>
        </xdr:cNvPr>
        <xdr:cNvSpPr txBox="1"/>
      </xdr:nvSpPr>
      <xdr:spPr>
        <a:xfrm>
          <a:off x="7033260" y="331012800"/>
          <a:ext cx="5882640" cy="151638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If you need help making the most of this </a:t>
          </a:r>
          <a:r>
            <a:rPr lang="en-US" sz="1400" b="1">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Estimated Innocence</a:t>
          </a: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 we can help.</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1.	Ask for free guidance at our Facebook group: The Unexonerated.</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2.	Get one-on-one support to </a:t>
          </a: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a:p>
          <a:pPr marL="228600" marR="0" indent="-228600" fontAlgn="base">
            <a:lnSpc>
              <a:spcPct val="107000"/>
            </a:lnSpc>
            <a:spcBef>
              <a:spcPts val="0"/>
            </a:spcBef>
            <a:spcAft>
              <a:spcPts val="800"/>
            </a:spcAft>
          </a:pPr>
          <a:r>
            <a:rPr lang="en-US" sz="1400">
              <a:solidFill>
                <a:srgbClr val="000000"/>
              </a:solidFill>
              <a:effectLst/>
              <a:latin typeface="Times New Roman" panose="02020603050405020304" pitchFamily="18" charset="0"/>
              <a:ea typeface="Calibri" panose="020F0502020204030204" pitchFamily="34" charset="0"/>
              <a:cs typeface="Times New Roman" panose="02020603050405020304" pitchFamily="18" charset="0"/>
            </a:rPr>
            <a:t>3.	Let us help you build support for your innocence with an "advocacy campaign".</a:t>
          </a:r>
        </a:p>
        <a:p>
          <a:pPr marL="228600" marR="0" indent="-228600" fontAlgn="base">
            <a:lnSpc>
              <a:spcPct val="107000"/>
            </a:lnSpc>
            <a:spcBef>
              <a:spcPts val="0"/>
            </a:spcBef>
            <a:spcAft>
              <a:spcPts val="800"/>
            </a:spcAft>
          </a:pPr>
          <a:endParaRPr lang="en-US" sz="1100">
            <a:effectLst/>
            <a:latin typeface="Times New Roman" panose="02020603050405020304" pitchFamily="18" charset="0"/>
            <a:ea typeface="Calibri" panose="020F0502020204030204" pitchFamily="34" charset="0"/>
            <a:cs typeface="Times New Roman" panose="02020603050405020304" pitchFamily="18" charset="0"/>
          </a:endParaRPr>
        </a:p>
      </xdr:txBody>
    </xdr:sp>
    <xdr:clientData/>
  </xdr:twoCellAnchor>
  <xdr:oneCellAnchor>
    <xdr:from>
      <xdr:col>3</xdr:col>
      <xdr:colOff>68580</xdr:colOff>
      <xdr:row>52</xdr:row>
      <xdr:rowOff>76200</xdr:rowOff>
    </xdr:from>
    <xdr:ext cx="1828800" cy="1828800"/>
    <xdr:pic>
      <xdr:nvPicPr>
        <xdr:cNvPr id="242" name="Picture 241">
          <a:extLst>
            <a:ext uri="{FF2B5EF4-FFF2-40B4-BE49-F238E27FC236}">
              <a16:creationId xmlns:a16="http://schemas.microsoft.com/office/drawing/2014/main" id="{BB438140-E7A8-45C2-A2E7-97FBF7350ADF}"/>
            </a:ext>
          </a:extLst>
        </xdr:cNvPr>
        <xdr:cNvPicPr>
          <a:picLocks noChangeAspect="1"/>
        </xdr:cNvPicPr>
      </xdr:nvPicPr>
      <xdr:blipFill rotWithShape="1">
        <a:blip xmlns:r="http://schemas.openxmlformats.org/officeDocument/2006/relationships" r:embed="rId39" cstate="hqprint">
          <a:extLst>
            <a:ext uri="{28A0092B-C50C-407E-A947-70E740481C1C}">
              <a14:useLocalDpi xmlns:a14="http://schemas.microsoft.com/office/drawing/2010/main"/>
            </a:ext>
          </a:extLst>
        </a:blip>
        <a:srcRect/>
        <a:stretch/>
      </xdr:blipFill>
      <xdr:spPr>
        <a:xfrm>
          <a:off x="3863340" y="17907000"/>
          <a:ext cx="1828800" cy="1828800"/>
        </a:xfrm>
        <a:prstGeom prst="rect">
          <a:avLst/>
        </a:prstGeom>
        <a:ln>
          <a:solidFill>
            <a:srgbClr val="B9FFD9"/>
          </a:solidFill>
        </a:ln>
      </xdr:spPr>
    </xdr:pic>
    <xdr:clientData/>
  </xdr:oneCellAnchor>
  <xdr:twoCellAnchor>
    <xdr:from>
      <xdr:col>6</xdr:col>
      <xdr:colOff>0</xdr:colOff>
      <xdr:row>2311</xdr:row>
      <xdr:rowOff>0</xdr:rowOff>
    </xdr:from>
    <xdr:to>
      <xdr:col>7</xdr:col>
      <xdr:colOff>76200</xdr:colOff>
      <xdr:row>2313</xdr:row>
      <xdr:rowOff>228600</xdr:rowOff>
    </xdr:to>
    <xdr:sp macro="" textlink="">
      <xdr:nvSpPr>
        <xdr:cNvPr id="13363" name="Text Box 51">
          <a:hlinkClick xmlns:r="http://schemas.openxmlformats.org/officeDocument/2006/relationships" r:id="rId40"/>
          <a:extLst>
            <a:ext uri="{FF2B5EF4-FFF2-40B4-BE49-F238E27FC236}">
              <a16:creationId xmlns:a16="http://schemas.microsoft.com/office/drawing/2014/main" id="{2CC0A8ED-914A-9E3B-7145-EC00CFFD2223}"/>
            </a:ext>
          </a:extLst>
        </xdr:cNvPr>
        <xdr:cNvSpPr txBox="1">
          <a:spLocks noChangeArrowheads="1"/>
        </xdr:cNvSpPr>
      </xdr:nvSpPr>
      <xdr:spPr bwMode="auto">
        <a:xfrm>
          <a:off x="6280150" y="452564500"/>
          <a:ext cx="698500" cy="53340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100" b="0" i="0" u="none" strike="noStrike" baseline="0">
              <a:solidFill>
                <a:srgbClr val="000000"/>
              </a:solidFill>
              <a:latin typeface="Calibri"/>
              <a:ea typeface="Calibri"/>
              <a:cs typeface="Calibri"/>
            </a:rPr>
            <a:t>https://www.anankelogyfoundation.org/exoneration-services</a:t>
          </a:r>
        </a:p>
      </xdr:txBody>
    </xdr:sp>
    <xdr:clientData/>
  </xdr:twoCellAnchor>
  <xdr:twoCellAnchor>
    <xdr:from>
      <xdr:col>2</xdr:col>
      <xdr:colOff>546017</xdr:colOff>
      <xdr:row>1237</xdr:row>
      <xdr:rowOff>127365</xdr:rowOff>
    </xdr:from>
    <xdr:to>
      <xdr:col>2</xdr:col>
      <xdr:colOff>1917617</xdr:colOff>
      <xdr:row>1239</xdr:row>
      <xdr:rowOff>66405</xdr:rowOff>
    </xdr:to>
    <xdr:sp macro="" textlink="">
      <xdr:nvSpPr>
        <xdr:cNvPr id="243" name="Rectangle: Beveled 242">
          <a:hlinkClick xmlns:r="http://schemas.openxmlformats.org/officeDocument/2006/relationships" r:id="rId21" tooltip="Join our Facebook group The Unexonerated"/>
          <a:extLst>
            <a:ext uri="{FF2B5EF4-FFF2-40B4-BE49-F238E27FC236}">
              <a16:creationId xmlns:a16="http://schemas.microsoft.com/office/drawing/2014/main" id="{80F51418-89E6-DCC3-01EB-7F8175E4CBF3}"/>
            </a:ext>
          </a:extLst>
        </xdr:cNvPr>
        <xdr:cNvSpPr/>
      </xdr:nvSpPr>
      <xdr:spPr>
        <a:xfrm>
          <a:off x="1915236" y="338496375"/>
          <a:ext cx="1371600" cy="375603"/>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rIns="0"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NR podcast</a:t>
          </a:r>
        </a:p>
      </xdr:txBody>
    </xdr:sp>
    <xdr:clientData/>
  </xdr:twoCellAnchor>
  <xdr:twoCellAnchor>
    <xdr:from>
      <xdr:col>2</xdr:col>
      <xdr:colOff>1954923</xdr:colOff>
      <xdr:row>1237</xdr:row>
      <xdr:rowOff>127365</xdr:rowOff>
    </xdr:from>
    <xdr:to>
      <xdr:col>3</xdr:col>
      <xdr:colOff>826211</xdr:colOff>
      <xdr:row>1239</xdr:row>
      <xdr:rowOff>66405</xdr:rowOff>
    </xdr:to>
    <xdr:sp macro="" textlink="">
      <xdr:nvSpPr>
        <xdr:cNvPr id="244" name="Rectangle: Beveled 243">
          <a:hlinkClick xmlns:r="http://schemas.openxmlformats.org/officeDocument/2006/relationships" r:id="rId21" tooltip="Join our Facebook group The Unexonerated"/>
          <a:extLst>
            <a:ext uri="{FF2B5EF4-FFF2-40B4-BE49-F238E27FC236}">
              <a16:creationId xmlns:a16="http://schemas.microsoft.com/office/drawing/2014/main" id="{AA6E7D8A-4340-B41C-F8F4-467D260FC558}"/>
            </a:ext>
          </a:extLst>
        </xdr:cNvPr>
        <xdr:cNvSpPr/>
      </xdr:nvSpPr>
      <xdr:spPr>
        <a:xfrm>
          <a:off x="3324142" y="338496375"/>
          <a:ext cx="1371600" cy="375603"/>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lIns="0" rIns="0"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EIF support</a:t>
          </a:r>
        </a:p>
      </xdr:txBody>
    </xdr:sp>
    <xdr:clientData/>
  </xdr:twoCellAnchor>
  <xdr:twoCellAnchor>
    <xdr:from>
      <xdr:col>0</xdr:col>
      <xdr:colOff>117923</xdr:colOff>
      <xdr:row>1753</xdr:row>
      <xdr:rowOff>18142</xdr:rowOff>
    </xdr:from>
    <xdr:to>
      <xdr:col>6</xdr:col>
      <xdr:colOff>18497</xdr:colOff>
      <xdr:row>1798</xdr:row>
      <xdr:rowOff>3446</xdr:rowOff>
    </xdr:to>
    <xdr:grpSp>
      <xdr:nvGrpSpPr>
        <xdr:cNvPr id="247" name="Compelling Innocence Claims">
          <a:extLst>
            <a:ext uri="{FF2B5EF4-FFF2-40B4-BE49-F238E27FC236}">
              <a16:creationId xmlns:a16="http://schemas.microsoft.com/office/drawing/2014/main" id="{6BFA69A4-E747-415C-9582-F00BC0864333}"/>
            </a:ext>
          </a:extLst>
        </xdr:cNvPr>
        <xdr:cNvGrpSpPr/>
      </xdr:nvGrpSpPr>
      <xdr:grpSpPr>
        <a:xfrm>
          <a:off x="117923" y="350900092"/>
          <a:ext cx="6180724" cy="7992654"/>
          <a:chOff x="87313" y="350345375"/>
          <a:chExt cx="6187074" cy="8022589"/>
        </a:xfrm>
      </xdr:grpSpPr>
      <xdr:pic>
        <xdr:nvPicPr>
          <xdr:cNvPr id="248" name="Picture 247">
            <a:hlinkClick xmlns:r="http://schemas.openxmlformats.org/officeDocument/2006/relationships" r:id="rId41"/>
            <a:extLst>
              <a:ext uri="{FF2B5EF4-FFF2-40B4-BE49-F238E27FC236}">
                <a16:creationId xmlns:a16="http://schemas.microsoft.com/office/drawing/2014/main" id="{97F270BD-E402-B605-CDAF-CB9BBEFE0797}"/>
              </a:ext>
            </a:extLst>
          </xdr:cNvPr>
          <xdr:cNvPicPr>
            <a:picLocks noChangeAspect="1"/>
          </xdr:cNvPicPr>
        </xdr:nvPicPr>
        <xdr:blipFill>
          <a:blip xmlns:r="http://schemas.openxmlformats.org/officeDocument/2006/relationships" r:embed="rId42" cstate="screen">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667000" y="350588604"/>
            <a:ext cx="3607387" cy="7779360"/>
          </a:xfrm>
          <a:prstGeom prst="rect">
            <a:avLst/>
          </a:prstGeom>
        </xdr:spPr>
      </xdr:pic>
      <xdr:sp macro="" textlink="">
        <xdr:nvSpPr>
          <xdr:cNvPr id="249" name="TextBox 248">
            <a:extLst>
              <a:ext uri="{FF2B5EF4-FFF2-40B4-BE49-F238E27FC236}">
                <a16:creationId xmlns:a16="http://schemas.microsoft.com/office/drawing/2014/main" id="{4DA2D97B-05EF-19D6-D1B8-FA1ED540345C}"/>
              </a:ext>
            </a:extLst>
          </xdr:cNvPr>
          <xdr:cNvSpPr txBox="1"/>
        </xdr:nvSpPr>
        <xdr:spPr>
          <a:xfrm>
            <a:off x="95250" y="351075625"/>
            <a:ext cx="2468880" cy="7223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100" b="1">
                <a:latin typeface="Times New Roman" panose="02020603050405020304" pitchFamily="18" charset="0"/>
                <a:cs typeface="Times New Roman" panose="02020603050405020304" pitchFamily="18" charset="0"/>
              </a:rPr>
              <a:t>We could publicize</a:t>
            </a:r>
            <a:r>
              <a:rPr lang="en-US" sz="1100" b="1" baseline="0">
                <a:latin typeface="Times New Roman" panose="02020603050405020304" pitchFamily="18" charset="0"/>
                <a:cs typeface="Times New Roman" panose="02020603050405020304" pitchFamily="18" charset="0"/>
              </a:rPr>
              <a:t> your innocence claim with your resulting claim's viable score.</a:t>
            </a:r>
          </a:p>
          <a:p>
            <a:endParaRPr lang="en-US" sz="1100" baseline="0">
              <a:latin typeface="Times New Roman" panose="02020603050405020304" pitchFamily="18" charset="0"/>
              <a:cs typeface="Times New Roman" panose="02020603050405020304" pitchFamily="18" charset="0"/>
            </a:endParaRPr>
          </a:p>
          <a:p>
            <a:pPr>
              <a:lnSpc>
                <a:spcPts val="1200"/>
              </a:lnSpc>
            </a:pPr>
            <a:r>
              <a:rPr lang="en-US" sz="1100" baseline="0">
                <a:latin typeface="Times New Roman" panose="02020603050405020304" pitchFamily="18" charset="0"/>
                <a:cs typeface="Times New Roman" panose="02020603050405020304" pitchFamily="18" charset="0"/>
              </a:rPr>
              <a:t>This demo at the right offers one way we could pubicize your viable claim. It gives your name (or pseudonym), your tagline that summarizes your claim in a sentence, how DNA testing relates to your claim, your current status of state custody (i.e., your liberty at stake), your state and the year of the wrongful conviction. After your raw "likely score" of viable innocence, visitors can click on a button to VIEW your claim further. With helpful feedback, such summary info could be much different.</a:t>
            </a:r>
          </a:p>
          <a:p>
            <a:pPr>
              <a:lnSpc>
                <a:spcPts val="1200"/>
              </a:lnSpc>
            </a:pPr>
            <a:endParaRPr lang="en-US" sz="1100" baseline="0">
              <a:latin typeface="Times New Roman" panose="02020603050405020304" pitchFamily="18" charset="0"/>
              <a:cs typeface="Times New Roman" panose="02020603050405020304" pitchFamily="18" charset="0"/>
            </a:endParaRPr>
          </a:p>
          <a:p>
            <a:pPr>
              <a:lnSpc>
                <a:spcPts val="1200"/>
              </a:lnSpc>
            </a:pPr>
            <a:r>
              <a:rPr lang="en-US" sz="1100" baseline="0">
                <a:latin typeface="Times New Roman" panose="02020603050405020304" pitchFamily="18" charset="0"/>
                <a:cs typeface="Times New Roman" panose="02020603050405020304" pitchFamily="18" charset="0"/>
              </a:rPr>
              <a:t>Visitors must register to the site to receive permission to view your details. This has visitors agreeing to respect your rights and grants us permission to hold accountable anyone who abuses access to your details.</a:t>
            </a:r>
          </a:p>
          <a:p>
            <a:pPr>
              <a:lnSpc>
                <a:spcPts val="1200"/>
              </a:lnSpc>
            </a:pPr>
            <a:endParaRPr lang="en-US" sz="1100" baseline="0">
              <a:latin typeface="Times New Roman" panose="02020603050405020304" pitchFamily="18" charset="0"/>
              <a:cs typeface="Times New Roman" panose="02020603050405020304" pitchFamily="18" charset="0"/>
            </a:endParaRPr>
          </a:p>
          <a:p>
            <a:r>
              <a:rPr lang="en-US" sz="1150" b="1" baseline="0">
                <a:latin typeface="Times New Roman" panose="02020603050405020304" pitchFamily="18" charset="0"/>
                <a:cs typeface="Times New Roman" panose="02020603050405020304" pitchFamily="18" charset="0"/>
              </a:rPr>
              <a:t>Let users sort the list as needed</a:t>
            </a:r>
          </a:p>
          <a:p>
            <a:pPr>
              <a:lnSpc>
                <a:spcPts val="1200"/>
              </a:lnSpc>
            </a:pPr>
            <a:r>
              <a:rPr lang="en-US" sz="1100" baseline="0">
                <a:latin typeface="Times New Roman" panose="02020603050405020304" pitchFamily="18" charset="0"/>
                <a:cs typeface="Times New Roman" panose="02020603050405020304" pitchFamily="18" charset="0"/>
              </a:rPr>
              <a:t>The default order would be newest claim to olde claims. But users could change the order as needed. They could list them by score, so that those with the highest raw score appears at the top. There could also be the option to list by adjusted score. Which some innocence litigators may favor, knowing how this can significantly reduce their time to process such claims. Other ways could also be offered, such alphabetical order by last name, by state, or any other way helpful input helps decide.</a:t>
            </a:r>
            <a:endParaRPr lang="en-US" sz="1100">
              <a:latin typeface="Times New Roman" panose="02020603050405020304" pitchFamily="18" charset="0"/>
              <a:cs typeface="Times New Roman" panose="02020603050405020304" pitchFamily="18" charset="0"/>
            </a:endParaRPr>
          </a:p>
          <a:p>
            <a:pPr>
              <a:lnSpc>
                <a:spcPts val="1200"/>
              </a:lnSpc>
            </a:pPr>
            <a:endParaRPr lang="en-US" sz="1100">
              <a:latin typeface="Times New Roman" panose="02020603050405020304" pitchFamily="18" charset="0"/>
              <a:cs typeface="Times New Roman" panose="02020603050405020304" pitchFamily="18" charset="0"/>
            </a:endParaRPr>
          </a:p>
          <a:p>
            <a:r>
              <a:rPr lang="en-US" sz="1150" b="1" spc="-40">
                <a:latin typeface="Times New Roman" panose="02020603050405020304" pitchFamily="18" charset="0"/>
                <a:cs typeface="Times New Roman" panose="02020603050405020304" pitchFamily="18" charset="0"/>
              </a:rPr>
              <a:t>Invite podcasters</a:t>
            </a:r>
            <a:r>
              <a:rPr lang="en-US" sz="1150" b="1" spc="-40" baseline="0">
                <a:latin typeface="Times New Roman" panose="02020603050405020304" pitchFamily="18" charset="0"/>
                <a:cs typeface="Times New Roman" panose="02020603050405020304" pitchFamily="18" charset="0"/>
              </a:rPr>
              <a:t> to publicize your case</a:t>
            </a:r>
            <a:endParaRPr lang="en-US" sz="1150" b="1" spc="-40">
              <a:latin typeface="Times New Roman" panose="02020603050405020304" pitchFamily="18" charset="0"/>
              <a:cs typeface="Times New Roman" panose="02020603050405020304" pitchFamily="18" charset="0"/>
            </a:endParaRPr>
          </a:p>
          <a:p>
            <a:pPr>
              <a:lnSpc>
                <a:spcPts val="1200"/>
              </a:lnSpc>
            </a:pPr>
            <a:r>
              <a:rPr lang="en-US" sz="1100">
                <a:latin typeface="Times New Roman" panose="02020603050405020304" pitchFamily="18" charset="0"/>
                <a:cs typeface="Times New Roman" panose="02020603050405020304" pitchFamily="18" charset="0"/>
              </a:rPr>
              <a:t>With your permission,</a:t>
            </a:r>
            <a:r>
              <a:rPr lang="en-US" sz="1100" baseline="0">
                <a:latin typeface="Times New Roman" panose="02020603050405020304" pitchFamily="18" charset="0"/>
                <a:cs typeface="Times New Roman" panose="02020603050405020304" pitchFamily="18" charset="0"/>
              </a:rPr>
              <a:t> we may showcase your viable claim on our Need-Response  podcast. You could grant permission to podcasters who show interest. Or you could grant blanket permission, which is quicker.</a:t>
            </a:r>
          </a:p>
          <a:p>
            <a:endParaRPr lang="en-US" sz="1100" baseline="0">
              <a:latin typeface="Times New Roman" panose="02020603050405020304" pitchFamily="18" charset="0"/>
              <a:cs typeface="Times New Roman" panose="02020603050405020304" pitchFamily="18" charset="0"/>
            </a:endParaRPr>
          </a:p>
          <a:p>
            <a:r>
              <a:rPr lang="en-US" sz="1100" baseline="0">
                <a:latin typeface="Times New Roman" panose="02020603050405020304" pitchFamily="18" charset="0"/>
                <a:cs typeface="Times New Roman" panose="02020603050405020304" pitchFamily="18" charset="0"/>
              </a:rPr>
              <a:t>We can ask you if you're interested in this option to publicize your claim. </a:t>
            </a:r>
            <a:r>
              <a:rPr lang="en-US" sz="1100">
                <a:latin typeface="Times New Roman" panose="02020603050405020304" pitchFamily="18" charset="0"/>
                <a:cs typeface="Times New Roman" panose="02020603050405020304" pitchFamily="18" charset="0"/>
              </a:rPr>
              <a:t>Click on the image at</a:t>
            </a:r>
            <a:r>
              <a:rPr lang="en-US" sz="1100" baseline="0">
                <a:latin typeface="Times New Roman" panose="02020603050405020304" pitchFamily="18" charset="0"/>
                <a:cs typeface="Times New Roman" panose="02020603050405020304" pitchFamily="18" charset="0"/>
              </a:rPr>
              <a:t> the right to see a sample online.</a:t>
            </a:r>
            <a:endParaRPr lang="en-US" sz="1100">
              <a:latin typeface="Times New Roman" panose="02020603050405020304" pitchFamily="18" charset="0"/>
              <a:cs typeface="Times New Roman" panose="02020603050405020304" pitchFamily="18" charset="0"/>
            </a:endParaRPr>
          </a:p>
        </xdr:txBody>
      </xdr:sp>
      <xdr:sp macro="" textlink="">
        <xdr:nvSpPr>
          <xdr:cNvPr id="250" name="Rectangle: Rounded Corners 249">
            <a:extLst>
              <a:ext uri="{FF2B5EF4-FFF2-40B4-BE49-F238E27FC236}">
                <a16:creationId xmlns:a16="http://schemas.microsoft.com/office/drawing/2014/main" id="{9536E75E-D812-F1DB-CD00-36995F9C34AC}"/>
              </a:ext>
            </a:extLst>
          </xdr:cNvPr>
          <xdr:cNvSpPr/>
        </xdr:nvSpPr>
        <xdr:spPr>
          <a:xfrm>
            <a:off x="87313" y="350345375"/>
            <a:ext cx="5976938" cy="548640"/>
          </a:xfrm>
          <a:prstGeom prst="roundRect">
            <a:avLst>
              <a:gd name="adj" fmla="val 50000"/>
            </a:avLst>
          </a:prstGeom>
          <a:gradFill>
            <a:gsLst>
              <a:gs pos="0">
                <a:schemeClr val="bg1"/>
              </a:gs>
              <a:gs pos="74000">
                <a:srgbClr val="00EB65"/>
              </a:gs>
              <a:gs pos="100000">
                <a:srgbClr val="CCFFCC"/>
              </a:gs>
            </a:gsLst>
            <a:lin ang="5400000" scaled="1"/>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45720" rtlCol="0" anchor="ctr"/>
          <a:lstStyle/>
          <a:p>
            <a:pPr algn="ctr"/>
            <a:r>
              <a:rPr lang="en-US" sz="2800" spc="-100" baseline="0">
                <a:ln>
                  <a:noFill/>
                </a:ln>
                <a:solidFill>
                  <a:srgbClr val="461E64"/>
                </a:solidFill>
                <a:effectLst>
                  <a:glow rad="25400">
                    <a:schemeClr val="bg1"/>
                  </a:glow>
                </a:effectLst>
                <a:latin typeface="Arial Black" panose="020B0A04020102020204" pitchFamily="34" charset="0"/>
              </a:rPr>
              <a:t>Compelling Innocence Claims</a:t>
            </a:r>
          </a:p>
        </xdr:txBody>
      </xdr:sp>
    </xdr:grpSp>
    <xdr:clientData/>
  </xdr:twoCellAnchor>
  <xdr:twoCellAnchor>
    <xdr:from>
      <xdr:col>3</xdr:col>
      <xdr:colOff>719665</xdr:colOff>
      <xdr:row>782</xdr:row>
      <xdr:rowOff>52916</xdr:rowOff>
    </xdr:from>
    <xdr:to>
      <xdr:col>4</xdr:col>
      <xdr:colOff>171872</xdr:colOff>
      <xdr:row>782</xdr:row>
      <xdr:rowOff>327236</xdr:rowOff>
    </xdr:to>
    <xdr:sp macro="" textlink="">
      <xdr:nvSpPr>
        <xdr:cNvPr id="252" name="Rectangle: Diagonal Corners Rounded 251">
          <a:extLst>
            <a:ext uri="{FF2B5EF4-FFF2-40B4-BE49-F238E27FC236}">
              <a16:creationId xmlns:a16="http://schemas.microsoft.com/office/drawing/2014/main" id="{341149EB-80A9-594B-6787-F1C64F5E4581}"/>
            </a:ext>
          </a:extLst>
        </xdr:cNvPr>
        <xdr:cNvSpPr/>
      </xdr:nvSpPr>
      <xdr:spPr>
        <a:xfrm>
          <a:off x="4582582" y="273420416"/>
          <a:ext cx="1463040" cy="274320"/>
        </a:xfrm>
        <a:prstGeom prst="round2DiagRect">
          <a:avLst/>
        </a:prstGeom>
        <a:solidFill>
          <a:srgbClr val="002060"/>
        </a:solidFill>
        <a:ln>
          <a:solidFill>
            <a:srgbClr val="00EB65"/>
          </a:solidFill>
        </a:ln>
        <a:effectLst>
          <a:glow rad="38100">
            <a:srgbClr val="D7FFF0"/>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000" b="1">
              <a:solidFill>
                <a:srgbClr val="FFFF99"/>
              </a:solidFill>
              <a:latin typeface="Arial Narrow" panose="020B0606020202030204" pitchFamily="34" charset="0"/>
              <a:cs typeface="Arial" panose="020B0604020202020204" pitchFamily="34" charset="0"/>
            </a:rPr>
            <a:t>Items</a:t>
          </a:r>
          <a:r>
            <a:rPr lang="en-US" sz="1000" b="1" baseline="0">
              <a:solidFill>
                <a:srgbClr val="FFFF99"/>
              </a:solidFill>
              <a:latin typeface="Arial Narrow" panose="020B0606020202030204" pitchFamily="34" charset="0"/>
              <a:cs typeface="Arial" panose="020B0604020202020204" pitchFamily="34" charset="0"/>
            </a:rPr>
            <a:t> 59 to 66 are optional.</a:t>
          </a:r>
          <a:endParaRPr lang="en-US" sz="1000" b="1">
            <a:solidFill>
              <a:srgbClr val="FFFF99"/>
            </a:solidFill>
            <a:latin typeface="Arial Narrow" panose="020B060602020203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91213</xdr:colOff>
      <xdr:row>1</xdr:row>
      <xdr:rowOff>317453</xdr:rowOff>
    </xdr:from>
    <xdr:ext cx="7523959" cy="1821754"/>
    <xdr:sp macro="" textlink="">
      <xdr:nvSpPr>
        <xdr:cNvPr id="3" name="Rectangle 2">
          <a:extLst>
            <a:ext uri="{FF2B5EF4-FFF2-40B4-BE49-F238E27FC236}">
              <a16:creationId xmlns:a16="http://schemas.microsoft.com/office/drawing/2014/main" id="{A7D571C9-74D4-4A3B-8FFB-623F3C408BD9}"/>
            </a:ext>
          </a:extLst>
        </xdr:cNvPr>
        <xdr:cNvSpPr/>
      </xdr:nvSpPr>
      <xdr:spPr>
        <a:xfrm>
          <a:off x="415063" y="565103"/>
          <a:ext cx="7523959" cy="1821754"/>
        </a:xfrm>
        <a:prstGeom prst="rect">
          <a:avLst/>
        </a:prstGeom>
        <a:noFill/>
      </xdr:spPr>
      <xdr:txBody>
        <a:bodyPr wrap="none" lIns="91440" tIns="45720" rIns="91440" bIns="45720">
          <a:prstTxWarp prst="textArchUp">
            <a:avLst/>
          </a:prstTxWarp>
          <a:spAutoFit/>
        </a:bodyPr>
        <a:lstStyle/>
        <a:p>
          <a:pPr algn="ctr"/>
          <a:r>
            <a:rPr lang="en-US" sz="2500" b="0" cap="none" spc="0">
              <a:ln w="0"/>
              <a:solidFill>
                <a:schemeClr val="accent6">
                  <a:lumMod val="50000"/>
                </a:schemeClr>
              </a:solidFill>
              <a:effectLst>
                <a:outerShdw blurRad="38100" dist="19050" dir="2700000" algn="tl" rotWithShape="0">
                  <a:schemeClr val="dk1">
                    <a:alpha val="40000"/>
                  </a:schemeClr>
                </a:outerShdw>
              </a:effectLst>
              <a:latin typeface="Arial Black" panose="020B0A04020102020204" pitchFamily="34" charset="0"/>
            </a:rPr>
            <a:t>CERTIFICATE OF VERIFIABLE INNOCENCE</a:t>
          </a:r>
        </a:p>
      </xdr:txBody>
    </xdr:sp>
    <xdr:clientData/>
  </xdr:oneCellAnchor>
  <xdr:twoCellAnchor editAs="oneCell">
    <xdr:from>
      <xdr:col>0</xdr:col>
      <xdr:colOff>0</xdr:colOff>
      <xdr:row>0</xdr:row>
      <xdr:rowOff>19051</xdr:rowOff>
    </xdr:from>
    <xdr:to>
      <xdr:col>5</xdr:col>
      <xdr:colOff>38100</xdr:colOff>
      <xdr:row>14</xdr:row>
      <xdr:rowOff>28576</xdr:rowOff>
    </xdr:to>
    <xdr:pic>
      <xdr:nvPicPr>
        <xdr:cNvPr id="5" name="COVI frame">
          <a:extLst>
            <a:ext uri="{FF2B5EF4-FFF2-40B4-BE49-F238E27FC236}">
              <a16:creationId xmlns:a16="http://schemas.microsoft.com/office/drawing/2014/main" id="{7377BD99-2886-40F8-826F-D014D0845F60}"/>
            </a:ext>
          </a:extLst>
        </xdr:cNvPr>
        <xdr:cNvPicPr>
          <a:picLocks noChangeAspect="1"/>
        </xdr:cNvPicPr>
      </xdr:nvPicPr>
      <xdr:blipFill>
        <a:blip xmlns:r="http://schemas.openxmlformats.org/officeDocument/2006/relationships" r:embed="rId1"/>
        <a:stretch>
          <a:fillRect/>
        </a:stretch>
      </xdr:blipFill>
      <xdr:spPr>
        <a:xfrm rot="5400000">
          <a:off x="1062038" y="-1042987"/>
          <a:ext cx="6267450" cy="839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1945640</xdr:colOff>
      <xdr:row>105</xdr:row>
      <xdr:rowOff>53340</xdr:rowOff>
    </xdr:from>
    <xdr:to>
      <xdr:col>2</xdr:col>
      <xdr:colOff>2264981</xdr:colOff>
      <xdr:row>105</xdr:row>
      <xdr:rowOff>259080</xdr:rowOff>
    </xdr:to>
    <xdr:sp macro="" textlink="">
      <xdr:nvSpPr>
        <xdr:cNvPr id="2" name="Rectangle 1">
          <a:hlinkClick xmlns:r="http://schemas.openxmlformats.org/officeDocument/2006/relationships" r:id="rId1" tooltip="Case information"/>
          <a:extLst>
            <a:ext uri="{FF2B5EF4-FFF2-40B4-BE49-F238E27FC236}">
              <a16:creationId xmlns:a16="http://schemas.microsoft.com/office/drawing/2014/main" id="{C8386ED8-7AE2-4C10-AB9F-50C3D1842B41}"/>
            </a:ext>
          </a:extLst>
        </xdr:cNvPr>
        <xdr:cNvSpPr/>
      </xdr:nvSpPr>
      <xdr:spPr>
        <a:xfrm>
          <a:off x="3317240" y="51367690"/>
          <a:ext cx="319341" cy="205740"/>
        </a:xfrm>
        <a:prstGeom prst="rect">
          <a:avLst/>
        </a:prstGeom>
        <a:solidFill>
          <a:srgbClr val="EAE3D2"/>
        </a:solidFill>
        <a:ln w="19050">
          <a:noFill/>
        </a:ln>
        <a:effectLst>
          <a:outerShdw blurRad="63500" sx="102000" sy="102000" algn="ctr"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indent="0" algn="ctr"/>
          <a:r>
            <a:rPr lang="en-US" sz="1400">
              <a:solidFill>
                <a:sysClr val="windowText" lastClr="000000"/>
              </a:solidFill>
              <a:latin typeface="Arial Black" panose="020B0A04020102020204" pitchFamily="34" charset="0"/>
              <a:ea typeface="+mn-ea"/>
              <a:cs typeface="+mn-cs"/>
            </a:rPr>
            <a:t>A</a:t>
          </a:r>
        </a:p>
      </xdr:txBody>
    </xdr:sp>
    <xdr:clientData/>
  </xdr:twoCellAnchor>
  <xdr:twoCellAnchor>
    <xdr:from>
      <xdr:col>2</xdr:col>
      <xdr:colOff>2269700</xdr:colOff>
      <xdr:row>105</xdr:row>
      <xdr:rowOff>53340</xdr:rowOff>
    </xdr:from>
    <xdr:to>
      <xdr:col>3</xdr:col>
      <xdr:colOff>137941</xdr:colOff>
      <xdr:row>105</xdr:row>
      <xdr:rowOff>259080</xdr:rowOff>
    </xdr:to>
    <xdr:sp macro="" textlink="">
      <xdr:nvSpPr>
        <xdr:cNvPr id="3" name="Rectangle 2">
          <a:hlinkClick xmlns:r="http://schemas.openxmlformats.org/officeDocument/2006/relationships" r:id="rId2" tooltip="Documentation for verfication"/>
          <a:extLst>
            <a:ext uri="{FF2B5EF4-FFF2-40B4-BE49-F238E27FC236}">
              <a16:creationId xmlns:a16="http://schemas.microsoft.com/office/drawing/2014/main" id="{C200B4D7-A969-4722-AEBC-080763D5B1FD}"/>
            </a:ext>
          </a:extLst>
        </xdr:cNvPr>
        <xdr:cNvSpPr/>
      </xdr:nvSpPr>
      <xdr:spPr>
        <a:xfrm>
          <a:off x="3641300" y="51367690"/>
          <a:ext cx="370141" cy="205740"/>
        </a:xfrm>
        <a:prstGeom prst="rect">
          <a:avLst/>
        </a:prstGeom>
        <a:solidFill>
          <a:schemeClr val="accent1">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B</a:t>
          </a:r>
        </a:p>
      </xdr:txBody>
    </xdr:sp>
    <xdr:clientData/>
  </xdr:twoCellAnchor>
  <xdr:twoCellAnchor>
    <xdr:from>
      <xdr:col>3</xdr:col>
      <xdr:colOff>150279</xdr:colOff>
      <xdr:row>105</xdr:row>
      <xdr:rowOff>53340</xdr:rowOff>
    </xdr:from>
    <xdr:to>
      <xdr:col>3</xdr:col>
      <xdr:colOff>469620</xdr:colOff>
      <xdr:row>105</xdr:row>
      <xdr:rowOff>259080</xdr:rowOff>
    </xdr:to>
    <xdr:sp macro="" textlink="">
      <xdr:nvSpPr>
        <xdr:cNvPr id="4" name="Rectangle 3">
          <a:hlinkClick xmlns:r="http://schemas.openxmlformats.org/officeDocument/2006/relationships" r:id="rId3" tooltip="Factors in your wrongful conviction"/>
          <a:extLst>
            <a:ext uri="{FF2B5EF4-FFF2-40B4-BE49-F238E27FC236}">
              <a16:creationId xmlns:a16="http://schemas.microsoft.com/office/drawing/2014/main" id="{F0EB20C4-A2B2-4F7B-A963-4F74806CADD9}"/>
            </a:ext>
          </a:extLst>
        </xdr:cNvPr>
        <xdr:cNvSpPr/>
      </xdr:nvSpPr>
      <xdr:spPr>
        <a:xfrm>
          <a:off x="4023779" y="51367690"/>
          <a:ext cx="319341" cy="205740"/>
        </a:xfrm>
        <a:prstGeom prst="rect">
          <a:avLst/>
        </a:prstGeom>
        <a:solidFill>
          <a:srgbClr val="FFC0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C</a:t>
          </a:r>
        </a:p>
      </xdr:txBody>
    </xdr:sp>
    <xdr:clientData/>
  </xdr:twoCellAnchor>
  <xdr:twoCellAnchor>
    <xdr:from>
      <xdr:col>3</xdr:col>
      <xdr:colOff>474339</xdr:colOff>
      <xdr:row>105</xdr:row>
      <xdr:rowOff>53340</xdr:rowOff>
    </xdr:from>
    <xdr:to>
      <xdr:col>3</xdr:col>
      <xdr:colOff>793680</xdr:colOff>
      <xdr:row>105</xdr:row>
      <xdr:rowOff>259080</xdr:rowOff>
    </xdr:to>
    <xdr:sp macro="" textlink="">
      <xdr:nvSpPr>
        <xdr:cNvPr id="5" name="Rectangle 4">
          <a:hlinkClick xmlns:r="http://schemas.openxmlformats.org/officeDocument/2006/relationships" r:id="rId4" tooltip="Requests &amp; responses for exoneration help"/>
          <a:extLst>
            <a:ext uri="{FF2B5EF4-FFF2-40B4-BE49-F238E27FC236}">
              <a16:creationId xmlns:a16="http://schemas.microsoft.com/office/drawing/2014/main" id="{AD80F109-E19C-459D-B027-93CD55AD562F}"/>
            </a:ext>
          </a:extLst>
        </xdr:cNvPr>
        <xdr:cNvSpPr/>
      </xdr:nvSpPr>
      <xdr:spPr>
        <a:xfrm>
          <a:off x="4347839" y="51367690"/>
          <a:ext cx="319341" cy="205740"/>
        </a:xfrm>
        <a:prstGeom prst="rect">
          <a:avLst/>
        </a:prstGeom>
        <a:solidFill>
          <a:schemeClr val="accent4">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D</a:t>
          </a:r>
        </a:p>
      </xdr:txBody>
    </xdr:sp>
    <xdr:clientData/>
  </xdr:twoCellAnchor>
  <xdr:twoCellAnchor>
    <xdr:from>
      <xdr:col>3</xdr:col>
      <xdr:colOff>798399</xdr:colOff>
      <xdr:row>105</xdr:row>
      <xdr:rowOff>53340</xdr:rowOff>
    </xdr:from>
    <xdr:to>
      <xdr:col>3</xdr:col>
      <xdr:colOff>1117740</xdr:colOff>
      <xdr:row>105</xdr:row>
      <xdr:rowOff>259080</xdr:rowOff>
    </xdr:to>
    <xdr:sp macro="" textlink="">
      <xdr:nvSpPr>
        <xdr:cNvPr id="6" name="Rectangle 5">
          <a:hlinkClick xmlns:r="http://schemas.openxmlformats.org/officeDocument/2006/relationships" r:id="rId5" tooltip="Collateral consequences of conviction"/>
          <a:extLst>
            <a:ext uri="{FF2B5EF4-FFF2-40B4-BE49-F238E27FC236}">
              <a16:creationId xmlns:a16="http://schemas.microsoft.com/office/drawing/2014/main" id="{97345404-65CF-4B2F-85DC-7EF6100AFF69}"/>
            </a:ext>
          </a:extLst>
        </xdr:cNvPr>
        <xdr:cNvSpPr/>
      </xdr:nvSpPr>
      <xdr:spPr>
        <a:xfrm>
          <a:off x="4671899" y="51367690"/>
          <a:ext cx="319341" cy="205740"/>
        </a:xfrm>
        <a:prstGeom prst="rect">
          <a:avLst/>
        </a:prstGeom>
        <a:solidFill>
          <a:srgbClr val="FFFF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E</a:t>
          </a:r>
        </a:p>
      </xdr:txBody>
    </xdr:sp>
    <xdr:clientData/>
  </xdr:twoCellAnchor>
  <xdr:twoCellAnchor>
    <xdr:from>
      <xdr:col>3</xdr:col>
      <xdr:colOff>1131046</xdr:colOff>
      <xdr:row>105</xdr:row>
      <xdr:rowOff>53340</xdr:rowOff>
    </xdr:from>
    <xdr:to>
      <xdr:col>3</xdr:col>
      <xdr:colOff>1450387</xdr:colOff>
      <xdr:row>105</xdr:row>
      <xdr:rowOff>259080</xdr:rowOff>
    </xdr:to>
    <xdr:sp macro="" textlink="">
      <xdr:nvSpPr>
        <xdr:cNvPr id="7" name="Rectangle 6">
          <a:hlinkClick xmlns:r="http://schemas.openxmlformats.org/officeDocument/2006/relationships" r:id="rId6" tooltip="Claimant narrative"/>
          <a:extLst>
            <a:ext uri="{FF2B5EF4-FFF2-40B4-BE49-F238E27FC236}">
              <a16:creationId xmlns:a16="http://schemas.microsoft.com/office/drawing/2014/main" id="{EC073D4C-0BBC-455E-A990-7999E514E3AE}"/>
            </a:ext>
          </a:extLst>
        </xdr:cNvPr>
        <xdr:cNvSpPr/>
      </xdr:nvSpPr>
      <xdr:spPr>
        <a:xfrm>
          <a:off x="5004546" y="51367690"/>
          <a:ext cx="319341" cy="205740"/>
        </a:xfrm>
        <a:prstGeom prst="rect">
          <a:avLst/>
        </a:prstGeom>
        <a:solidFill>
          <a:srgbClr val="B9FFD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F</a:t>
          </a:r>
        </a:p>
      </xdr:txBody>
    </xdr:sp>
    <xdr:clientData/>
  </xdr:twoCellAnchor>
  <xdr:twoCellAnchor>
    <xdr:from>
      <xdr:col>3</xdr:col>
      <xdr:colOff>1455105</xdr:colOff>
      <xdr:row>105</xdr:row>
      <xdr:rowOff>53340</xdr:rowOff>
    </xdr:from>
    <xdr:to>
      <xdr:col>3</xdr:col>
      <xdr:colOff>1776260</xdr:colOff>
      <xdr:row>105</xdr:row>
      <xdr:rowOff>259080</xdr:rowOff>
    </xdr:to>
    <xdr:sp macro="" textlink="">
      <xdr:nvSpPr>
        <xdr:cNvPr id="8" name="Rectangle 7">
          <a:hlinkClick xmlns:r="http://schemas.openxmlformats.org/officeDocument/2006/relationships" r:id="rId7" tooltip="Compensation"/>
          <a:extLst>
            <a:ext uri="{FF2B5EF4-FFF2-40B4-BE49-F238E27FC236}">
              <a16:creationId xmlns:a16="http://schemas.microsoft.com/office/drawing/2014/main" id="{369CB266-88AE-4562-B320-9E431C4FDBBB}"/>
            </a:ext>
          </a:extLst>
        </xdr:cNvPr>
        <xdr:cNvSpPr/>
      </xdr:nvSpPr>
      <xdr:spPr>
        <a:xfrm>
          <a:off x="5328605" y="51367690"/>
          <a:ext cx="321155" cy="205740"/>
        </a:xfrm>
        <a:prstGeom prst="rect">
          <a:avLst/>
        </a:prstGeom>
        <a:solidFill>
          <a:srgbClr val="FFE1FF"/>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G</a:t>
          </a:r>
        </a:p>
      </xdr:txBody>
    </xdr:sp>
    <xdr:clientData/>
  </xdr:twoCellAnchor>
  <xdr:twoCellAnchor>
    <xdr:from>
      <xdr:col>3</xdr:col>
      <xdr:colOff>1781946</xdr:colOff>
      <xdr:row>105</xdr:row>
      <xdr:rowOff>53340</xdr:rowOff>
    </xdr:from>
    <xdr:to>
      <xdr:col>4</xdr:col>
      <xdr:colOff>132787</xdr:colOff>
      <xdr:row>105</xdr:row>
      <xdr:rowOff>259080</xdr:rowOff>
    </xdr:to>
    <xdr:sp macro="" textlink="">
      <xdr:nvSpPr>
        <xdr:cNvPr id="9" name="Rectangle 8">
          <a:hlinkClick xmlns:r="http://schemas.openxmlformats.org/officeDocument/2006/relationships" r:id="rId8" tooltip="You're not alone"/>
          <a:extLst>
            <a:ext uri="{FF2B5EF4-FFF2-40B4-BE49-F238E27FC236}">
              <a16:creationId xmlns:a16="http://schemas.microsoft.com/office/drawing/2014/main" id="{3291FEEC-B04D-4628-983F-46DF92FA8598}"/>
            </a:ext>
          </a:extLst>
        </xdr:cNvPr>
        <xdr:cNvSpPr/>
      </xdr:nvSpPr>
      <xdr:spPr>
        <a:xfrm>
          <a:off x="5655446" y="51367690"/>
          <a:ext cx="363791" cy="205740"/>
        </a:xfrm>
        <a:prstGeom prst="rect">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H</a:t>
          </a:r>
        </a:p>
      </xdr:txBody>
    </xdr:sp>
    <xdr:clientData/>
  </xdr:twoCellAnchor>
  <xdr:twoCellAnchor>
    <xdr:from>
      <xdr:col>0</xdr:col>
      <xdr:colOff>7620</xdr:colOff>
      <xdr:row>13</xdr:row>
      <xdr:rowOff>137160</xdr:rowOff>
    </xdr:from>
    <xdr:to>
      <xdr:col>1</xdr:col>
      <xdr:colOff>15240</xdr:colOff>
      <xdr:row>13</xdr:row>
      <xdr:rowOff>434340</xdr:rowOff>
    </xdr:to>
    <xdr:sp macro="" textlink="">
      <xdr:nvSpPr>
        <xdr:cNvPr id="10" name="Arrow: Down 9">
          <a:hlinkClick xmlns:r="http://schemas.openxmlformats.org/officeDocument/2006/relationships" r:id="rId9" tooltip="SYNOPSIS entry"/>
          <a:extLst>
            <a:ext uri="{FF2B5EF4-FFF2-40B4-BE49-F238E27FC236}">
              <a16:creationId xmlns:a16="http://schemas.microsoft.com/office/drawing/2014/main" id="{D7D4491B-ED9E-4860-B2E0-5F30B6826F36}"/>
            </a:ext>
          </a:extLst>
        </xdr:cNvPr>
        <xdr:cNvSpPr/>
      </xdr:nvSpPr>
      <xdr:spPr>
        <a:xfrm>
          <a:off x="7620" y="20368260"/>
          <a:ext cx="27432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7620</xdr:colOff>
      <xdr:row>32</xdr:row>
      <xdr:rowOff>144780</xdr:rowOff>
    </xdr:from>
    <xdr:to>
      <xdr:col>1</xdr:col>
      <xdr:colOff>15240</xdr:colOff>
      <xdr:row>32</xdr:row>
      <xdr:rowOff>441960</xdr:rowOff>
    </xdr:to>
    <xdr:sp macro="" textlink="">
      <xdr:nvSpPr>
        <xdr:cNvPr id="11" name="Arrow: Down 10">
          <a:hlinkClick xmlns:r="http://schemas.openxmlformats.org/officeDocument/2006/relationships" r:id="rId10" tooltip="SUMMARY entry"/>
          <a:extLst>
            <a:ext uri="{FF2B5EF4-FFF2-40B4-BE49-F238E27FC236}">
              <a16:creationId xmlns:a16="http://schemas.microsoft.com/office/drawing/2014/main" id="{C16DC65E-7EEA-4B15-9053-2589C15BAEC3}"/>
            </a:ext>
          </a:extLst>
        </xdr:cNvPr>
        <xdr:cNvSpPr/>
      </xdr:nvSpPr>
      <xdr:spPr>
        <a:xfrm>
          <a:off x="7620" y="26109930"/>
          <a:ext cx="27432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125334</xdr:colOff>
      <xdr:row>55</xdr:row>
      <xdr:rowOff>152976</xdr:rowOff>
    </xdr:from>
    <xdr:to>
      <xdr:col>58</xdr:col>
      <xdr:colOff>227667</xdr:colOff>
      <xdr:row>58</xdr:row>
      <xdr:rowOff>454479</xdr:rowOff>
    </xdr:to>
    <xdr:sp macro="" textlink="">
      <xdr:nvSpPr>
        <xdr:cNvPr id="14" name="Text Box 4">
          <a:extLst>
            <a:ext uri="{FF2B5EF4-FFF2-40B4-BE49-F238E27FC236}">
              <a16:creationId xmlns:a16="http://schemas.microsoft.com/office/drawing/2014/main" id="{E75E109B-281E-4102-8115-D7D91EB53667}"/>
            </a:ext>
          </a:extLst>
        </xdr:cNvPr>
        <xdr:cNvSpPr txBox="1"/>
      </xdr:nvSpPr>
      <xdr:spPr>
        <a:xfrm>
          <a:off x="20364450" y="38513326"/>
          <a:ext cx="0" cy="1508003"/>
        </a:xfrm>
        <a:prstGeom prst="rect">
          <a:avLst/>
        </a:prstGeom>
        <a:solidFill>
          <a:srgbClr val="FFE1FF">
            <a:alpha val="85098"/>
          </a:srgbClr>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8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that the vast majority of </a:t>
          </a:r>
          <a:r>
            <a:rPr lang="en-US" sz="1600" b="1" u="none" strike="noStrike">
              <a:ln w="3175" cap="rnd" cmpd="sng" algn="ctr">
                <a:solidFill>
                  <a:srgbClr val="7030A0"/>
                </a:solidFill>
                <a:prstDash val="solid"/>
                <a:bevel/>
              </a:ln>
              <a:solidFill>
                <a:srgbClr val="FFFF0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1600" b="1" u="none" strike="noStrike">
              <a:ln w="3175" cap="rnd" cmpd="sng" algn="ctr">
                <a:solidFill>
                  <a:srgbClr val="7030A0"/>
                </a:solidFill>
                <a:prstDash val="solid"/>
                <a:bevel/>
              </a:ln>
              <a:solidFill>
                <a:srgbClr val="70AD47"/>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99059</xdr:colOff>
      <xdr:row>137</xdr:row>
      <xdr:rowOff>155664</xdr:rowOff>
    </xdr:from>
    <xdr:to>
      <xdr:col>5</xdr:col>
      <xdr:colOff>83819</xdr:colOff>
      <xdr:row>145</xdr:row>
      <xdr:rowOff>186144</xdr:rowOff>
    </xdr:to>
    <xdr:sp macro="" textlink="">
      <xdr:nvSpPr>
        <xdr:cNvPr id="28" name="Rectangle: Rounded Corners 27">
          <a:extLst>
            <a:ext uri="{FF2B5EF4-FFF2-40B4-BE49-F238E27FC236}">
              <a16:creationId xmlns:a16="http://schemas.microsoft.com/office/drawing/2014/main" id="{416269F9-F136-4356-9196-21BBAFA35C34}"/>
            </a:ext>
          </a:extLst>
        </xdr:cNvPr>
        <xdr:cNvSpPr/>
      </xdr:nvSpPr>
      <xdr:spPr>
        <a:xfrm>
          <a:off x="99059" y="57947014"/>
          <a:ext cx="6068060" cy="1656080"/>
        </a:xfrm>
        <a:prstGeom prst="roundRect">
          <a:avLst>
            <a:gd name="adj" fmla="val 5176"/>
          </a:avLst>
        </a:prstGeom>
        <a:solidFill>
          <a:srgbClr val="007832">
            <a:alpha val="80000"/>
          </a:srgbClr>
        </a:solidFill>
        <a:ln w="50800">
          <a:solidFill>
            <a:srgbClr val="00CC5C">
              <a:alpha val="40000"/>
            </a:srgb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2000">
              <a:latin typeface="Tahoma" panose="020B0604030504040204" pitchFamily="34" charset="0"/>
              <a:ea typeface="Tahoma" panose="020B0604030504040204" pitchFamily="34" charset="0"/>
              <a:cs typeface="Tahoma" panose="020B0604030504040204" pitchFamily="34" charset="0"/>
            </a:rPr>
            <a:t>This tool is in pilot</a:t>
          </a:r>
          <a:r>
            <a:rPr lang="en-US" sz="2000" baseline="0">
              <a:latin typeface="Tahoma" panose="020B0604030504040204" pitchFamily="34" charset="0"/>
              <a:ea typeface="Tahoma" panose="020B0604030504040204" pitchFamily="34" charset="0"/>
              <a:cs typeface="Tahoma" panose="020B0604030504040204" pitchFamily="34" charset="0"/>
            </a:rPr>
            <a:t> mode. It aims to calculate a likelihood of innocence compared to known cases of exoneration. It can be improved by feedback from each person utilizing it and receiving it. </a:t>
          </a:r>
          <a:endParaRPr lang="en-US" sz="20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79</xdr:col>
      <xdr:colOff>1084</xdr:colOff>
      <xdr:row>87</xdr:row>
      <xdr:rowOff>152400</xdr:rowOff>
    </xdr:from>
    <xdr:to>
      <xdr:col>88</xdr:col>
      <xdr:colOff>13058</xdr:colOff>
      <xdr:row>97</xdr:row>
      <xdr:rowOff>38100</xdr:rowOff>
    </xdr:to>
    <xdr:sp macro="" textlink="">
      <xdr:nvSpPr>
        <xdr:cNvPr id="30" name="Arrow: Right 29">
          <a:hlinkClick xmlns:r="http://schemas.openxmlformats.org/officeDocument/2006/relationships" r:id="rId11" tooltip="&gt;&gt; click here if you could use some help with this &lt;&lt;"/>
          <a:extLst>
            <a:ext uri="{FF2B5EF4-FFF2-40B4-BE49-F238E27FC236}">
              <a16:creationId xmlns:a16="http://schemas.microsoft.com/office/drawing/2014/main" id="{60CCCE7F-1871-4D71-A9FD-C935439DD18A}"/>
            </a:ext>
          </a:extLst>
        </xdr:cNvPr>
        <xdr:cNvSpPr/>
      </xdr:nvSpPr>
      <xdr:spPr>
        <a:xfrm>
          <a:off x="20364450" y="47656750"/>
          <a:ext cx="0" cy="1790700"/>
        </a:xfrm>
        <a:prstGeom prst="rightArrow">
          <a:avLst>
            <a:gd name="adj1" fmla="val 100000"/>
            <a:gd name="adj2" fmla="val 10822"/>
          </a:avLst>
        </a:prstGeom>
        <a:scene3d>
          <a:camera prst="orthographicFront"/>
          <a:lightRig rig="threePt" dir="t"/>
        </a:scene3d>
        <a:sp3d>
          <a:bevelT prst="angle"/>
        </a:sp3d>
      </xdr:spPr>
      <xdr:style>
        <a:lnRef idx="0">
          <a:schemeClr val="accent2"/>
        </a:lnRef>
        <a:fillRef idx="3">
          <a:schemeClr val="accent2"/>
        </a:fillRef>
        <a:effectRef idx="3">
          <a:schemeClr val="accent2"/>
        </a:effectRef>
        <a:fontRef idx="minor">
          <a:schemeClr val="lt1"/>
        </a:fontRef>
      </xdr:style>
      <xdr:txBody>
        <a:bodyPr vertOverflow="clip" horzOverflow="clip" lIns="137160" rtlCol="0" anchor="ctr"/>
        <a:lstStyle/>
        <a:p>
          <a:pPr>
            <a:lnSpc>
              <a:spcPts val="1400"/>
            </a:lnSpc>
            <a:spcAft>
              <a:spcPts val="600"/>
            </a:spcAft>
          </a:pPr>
          <a:r>
            <a:rPr lang="en-US" sz="140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Recounting this information risks</a:t>
          </a: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 re-traumatizing those most deeply affected by it. The proxy is there for support, and we support the proxy. </a:t>
          </a:r>
          <a:endParaRPr lang="en-US" sz="1400">
            <a:effectLst>
              <a:outerShdw blurRad="50800" dist="38100" dir="2700000" algn="tl" rotWithShape="0">
                <a:prstClr val="black">
                  <a:alpha val="40000"/>
                </a:prstClr>
              </a:outerShdw>
            </a:effectLst>
            <a:latin typeface="Arial Black" panose="020B0A04020102020204" pitchFamily="34" charset="0"/>
          </a:endParaRPr>
        </a:p>
        <a:p>
          <a:pPr>
            <a:lnSpc>
              <a:spcPts val="1400"/>
            </a:lnSpc>
          </a:pP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If needing direct support to get through this, please contact us. Don't let any temporary pain stop you from receiving overdue justice. </a:t>
          </a:r>
        </a:p>
        <a:p>
          <a:pPr algn="ctr">
            <a:lnSpc>
              <a:spcPts val="1400"/>
            </a:lnSpc>
          </a:pPr>
          <a:endPar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endParaRPr>
        </a:p>
        <a:p>
          <a:pPr algn="ctr">
            <a:lnSpc>
              <a:spcPts val="1400"/>
            </a:lnSpc>
          </a:pPr>
          <a:r>
            <a:rPr lang="en-US" sz="2000" baseline="0">
              <a:ln w="3175">
                <a:solidFill>
                  <a:schemeClr val="bg1"/>
                </a:solidFill>
              </a:ln>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CLICK HERE</a:t>
          </a:r>
          <a:r>
            <a:rPr lang="en-US" sz="2000" baseline="0">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a:t>
          </a:r>
          <a:endParaRPr lang="en-US" sz="1400">
            <a:solidFill>
              <a:srgbClr val="FFABAD"/>
            </a:solidFill>
            <a:effectLst>
              <a:outerShdw blurRad="50800" dist="38100" dir="2700000" algn="tl" rotWithShape="0">
                <a:prstClr val="black">
                  <a:alpha val="40000"/>
                </a:prstClr>
              </a:outerShdw>
            </a:effectLst>
            <a:latin typeface="Arial Black" panose="020B0A04020102020204" pitchFamily="34" charset="0"/>
          </a:endParaRPr>
        </a:p>
      </xdr:txBody>
    </xdr:sp>
    <xdr:clientData/>
  </xdr:twoCellAnchor>
  <xdr:twoCellAnchor>
    <xdr:from>
      <xdr:col>1</xdr:col>
      <xdr:colOff>385354</xdr:colOff>
      <xdr:row>144</xdr:row>
      <xdr:rowOff>152402</xdr:rowOff>
    </xdr:from>
    <xdr:to>
      <xdr:col>3</xdr:col>
      <xdr:colOff>1695994</xdr:colOff>
      <xdr:row>146</xdr:row>
      <xdr:rowOff>114302</xdr:rowOff>
    </xdr:to>
    <xdr:sp macro="" textlink="">
      <xdr:nvSpPr>
        <xdr:cNvPr id="63" name="Rectangle: Rounded Corners 62">
          <a:hlinkClick xmlns:r="http://schemas.openxmlformats.org/officeDocument/2006/relationships" r:id="rId12" tooltip="click to contact this tool creator online"/>
          <a:extLst>
            <a:ext uri="{FF2B5EF4-FFF2-40B4-BE49-F238E27FC236}">
              <a16:creationId xmlns:a16="http://schemas.microsoft.com/office/drawing/2014/main" id="{1D5E2E65-00DD-43C8-ADB8-09EBE155CD87}"/>
            </a:ext>
          </a:extLst>
        </xdr:cNvPr>
        <xdr:cNvSpPr/>
      </xdr:nvSpPr>
      <xdr:spPr>
        <a:xfrm>
          <a:off x="652054" y="59391552"/>
          <a:ext cx="4917440" cy="36830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click here to contact me with your feedback to </a:t>
          </a:r>
          <a:r>
            <a:rPr lang="en-US" sz="1600" baseline="0">
              <a:solidFill>
                <a:srgbClr val="501E6E"/>
              </a:solidFill>
            </a:rPr>
            <a:t>this tool</a:t>
          </a:r>
          <a:endParaRPr lang="en-US" sz="1600">
            <a:solidFill>
              <a:srgbClr val="501E6E"/>
            </a:solidFill>
          </a:endParaRPr>
        </a:p>
      </xdr:txBody>
    </xdr:sp>
    <xdr:clientData/>
  </xdr:twoCellAnchor>
  <xdr:twoCellAnchor>
    <xdr:from>
      <xdr:col>0</xdr:col>
      <xdr:colOff>7620</xdr:colOff>
      <xdr:row>27</xdr:row>
      <xdr:rowOff>144780</xdr:rowOff>
    </xdr:from>
    <xdr:to>
      <xdr:col>1</xdr:col>
      <xdr:colOff>15240</xdr:colOff>
      <xdr:row>27</xdr:row>
      <xdr:rowOff>441960</xdr:rowOff>
    </xdr:to>
    <xdr:sp macro="" textlink="">
      <xdr:nvSpPr>
        <xdr:cNvPr id="72" name="Arrow: Down 71">
          <a:hlinkClick xmlns:r="http://schemas.openxmlformats.org/officeDocument/2006/relationships" r:id="rId13" tooltip="FLIPSIDE entry"/>
          <a:extLst>
            <a:ext uri="{FF2B5EF4-FFF2-40B4-BE49-F238E27FC236}">
              <a16:creationId xmlns:a16="http://schemas.microsoft.com/office/drawing/2014/main" id="{054563CF-023C-4FED-A229-2F37525AF3E2}"/>
            </a:ext>
          </a:extLst>
        </xdr:cNvPr>
        <xdr:cNvSpPr/>
      </xdr:nvSpPr>
      <xdr:spPr>
        <a:xfrm>
          <a:off x="7620" y="24484330"/>
          <a:ext cx="27432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247650</xdr:colOff>
      <xdr:row>35</xdr:row>
      <xdr:rowOff>85725</xdr:rowOff>
    </xdr:from>
    <xdr:to>
      <xdr:col>3</xdr:col>
      <xdr:colOff>1933575</xdr:colOff>
      <xdr:row>41</xdr:row>
      <xdr:rowOff>206253</xdr:rowOff>
    </xdr:to>
    <xdr:sp macro="" textlink="">
      <xdr:nvSpPr>
        <xdr:cNvPr id="73" name="Text Box 4">
          <a:extLst>
            <a:ext uri="{FF2B5EF4-FFF2-40B4-BE49-F238E27FC236}">
              <a16:creationId xmlns:a16="http://schemas.microsoft.com/office/drawing/2014/main" id="{9A62907A-CAF6-4654-BFA4-A93E776517B1}"/>
            </a:ext>
          </a:extLst>
        </xdr:cNvPr>
        <xdr:cNvSpPr txBox="1"/>
      </xdr:nvSpPr>
      <xdr:spPr>
        <a:xfrm rot="21480000">
          <a:off x="247650" y="31575375"/>
          <a:ext cx="5559425" cy="2203328"/>
        </a:xfrm>
        <a:prstGeom prst="rect">
          <a:avLst/>
        </a:prstGeom>
        <a:solidFill>
          <a:srgbClr val="FF85FF"/>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4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that the vast majority of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2000" b="1" u="none" strike="noStrike">
              <a:ln w="3175" cap="rnd" cmpd="sng" algn="ctr">
                <a:solidFill>
                  <a:srgbClr val="7030A0"/>
                </a:solidFill>
                <a:prstDash val="solid"/>
                <a:bevel/>
              </a:ln>
              <a:solidFill>
                <a:srgbClr val="FFFF0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20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38100" dir="2700000" algn="tl" rotWithShape="0">
                <a:prstClr val="black">
                  <a:alpha val="40000"/>
                </a:prst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7620</xdr:colOff>
      <xdr:row>15</xdr:row>
      <xdr:rowOff>30480</xdr:rowOff>
    </xdr:from>
    <xdr:to>
      <xdr:col>1</xdr:col>
      <xdr:colOff>15240</xdr:colOff>
      <xdr:row>16</xdr:row>
      <xdr:rowOff>121920</xdr:rowOff>
    </xdr:to>
    <xdr:sp macro="" textlink="">
      <xdr:nvSpPr>
        <xdr:cNvPr id="76" name="Arrow: Down 75">
          <a:hlinkClick xmlns:r="http://schemas.openxmlformats.org/officeDocument/2006/relationships" r:id="rId14" tooltip="HIGHLIGHTS entry"/>
          <a:extLst>
            <a:ext uri="{FF2B5EF4-FFF2-40B4-BE49-F238E27FC236}">
              <a16:creationId xmlns:a16="http://schemas.microsoft.com/office/drawing/2014/main" id="{EAEDD9C7-CC2B-4F98-8C93-72E35A900929}"/>
            </a:ext>
          </a:extLst>
        </xdr:cNvPr>
        <xdr:cNvSpPr/>
      </xdr:nvSpPr>
      <xdr:spPr>
        <a:xfrm>
          <a:off x="7620" y="21531580"/>
          <a:ext cx="274320" cy="29464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1139150</xdr:colOff>
      <xdr:row>127</xdr:row>
      <xdr:rowOff>217323</xdr:rowOff>
    </xdr:from>
    <xdr:to>
      <xdr:col>4</xdr:col>
      <xdr:colOff>180839</xdr:colOff>
      <xdr:row>134</xdr:row>
      <xdr:rowOff>136147</xdr:rowOff>
    </xdr:to>
    <xdr:pic>
      <xdr:nvPicPr>
        <xdr:cNvPr id="78" name="Picture 77">
          <a:hlinkClick xmlns:r="http://schemas.openxmlformats.org/officeDocument/2006/relationships" r:id="rId15" tooltip="PDF online about collateral consequences of criminal convictions"/>
          <a:extLst>
            <a:ext uri="{FF2B5EF4-FFF2-40B4-BE49-F238E27FC236}">
              <a16:creationId xmlns:a16="http://schemas.microsoft.com/office/drawing/2014/main" id="{73A3272D-6F6F-4F64-8DA3-F1171D2D865C}"/>
            </a:ext>
          </a:extLst>
        </xdr:cNvPr>
        <xdr:cNvPicPr>
          <a:picLocks noChangeAspect="1"/>
        </xdr:cNvPicPr>
      </xdr:nvPicPr>
      <xdr:blipFill rotWithShape="1">
        <a:blip xmlns:r="http://schemas.openxmlformats.org/officeDocument/2006/relationships" r:embed="rId16"/>
        <a:srcRect l="25795" t="14594" r="38951" b="4655"/>
        <a:stretch/>
      </xdr:blipFill>
      <xdr:spPr>
        <a:xfrm rot="330951">
          <a:off x="5012650" y="55976673"/>
          <a:ext cx="1054639" cy="136662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77</xdr:col>
      <xdr:colOff>65162</xdr:colOff>
      <xdr:row>66</xdr:row>
      <xdr:rowOff>74748</xdr:rowOff>
    </xdr:from>
    <xdr:to>
      <xdr:col>82</xdr:col>
      <xdr:colOff>454870</xdr:colOff>
      <xdr:row>71</xdr:row>
      <xdr:rowOff>22497</xdr:rowOff>
    </xdr:to>
    <xdr:sp macro="" textlink="">
      <xdr:nvSpPr>
        <xdr:cNvPr id="83" name="Rectangle: Rounded Corners 82">
          <a:hlinkClick xmlns:r="http://schemas.openxmlformats.org/officeDocument/2006/relationships" r:id="rId17"/>
          <a:extLst>
            <a:ext uri="{FF2B5EF4-FFF2-40B4-BE49-F238E27FC236}">
              <a16:creationId xmlns:a16="http://schemas.microsoft.com/office/drawing/2014/main" id="{095326DD-119E-4A3E-AA79-A52EE68D59BF}"/>
            </a:ext>
          </a:extLst>
        </xdr:cNvPr>
        <xdr:cNvSpPr/>
      </xdr:nvSpPr>
      <xdr:spPr>
        <a:xfrm>
          <a:off x="20364450" y="43388098"/>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Do</a:t>
          </a:r>
          <a:r>
            <a:rPr lang="en-US" sz="1400" b="1" baseline="0">
              <a:solidFill>
                <a:srgbClr val="B9FFD9"/>
              </a:solidFill>
            </a:rPr>
            <a:t> It Yourself </a:t>
          </a:r>
          <a:r>
            <a:rPr lang="en-US" sz="1400" baseline="0">
              <a:solidFill>
                <a:srgbClr val="B9FFD9"/>
              </a:solidFill>
            </a:rPr>
            <a:t>for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With a high estimate of innocence, you may not need our help.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start your DIY option.</a:t>
          </a:r>
          <a:endParaRPr lang="en-US" sz="1400">
            <a:solidFill>
              <a:srgbClr val="B9FFD9"/>
            </a:solidFill>
          </a:endParaRPr>
        </a:p>
      </xdr:txBody>
    </xdr:sp>
    <xdr:clientData/>
  </xdr:twoCellAnchor>
  <xdr:twoCellAnchor>
    <xdr:from>
      <xdr:col>77</xdr:col>
      <xdr:colOff>65162</xdr:colOff>
      <xdr:row>73</xdr:row>
      <xdr:rowOff>85634</xdr:rowOff>
    </xdr:from>
    <xdr:to>
      <xdr:col>82</xdr:col>
      <xdr:colOff>454870</xdr:colOff>
      <xdr:row>78</xdr:row>
      <xdr:rowOff>33383</xdr:rowOff>
    </xdr:to>
    <xdr:sp macro="" textlink="">
      <xdr:nvSpPr>
        <xdr:cNvPr id="84" name="Rectangle: Rounded Corners 83">
          <a:extLst>
            <a:ext uri="{FF2B5EF4-FFF2-40B4-BE49-F238E27FC236}">
              <a16:creationId xmlns:a16="http://schemas.microsoft.com/office/drawing/2014/main" id="{5A8413CD-28EF-4D73-8F0E-3CDEE5054291}"/>
            </a:ext>
          </a:extLst>
        </xdr:cNvPr>
        <xdr:cNvSpPr/>
      </xdr:nvSpPr>
      <xdr:spPr>
        <a:xfrm>
          <a:off x="20364450" y="44922984"/>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Receive Support </a:t>
          </a:r>
          <a:r>
            <a:rPr lang="en-US" sz="1400" b="0" baseline="0">
              <a:solidFill>
                <a:srgbClr val="B9FFD9"/>
              </a:solidFill>
            </a:rPr>
            <a:t>starting for</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$5</a:t>
          </a:r>
          <a:r>
            <a:rPr lang="en-US" sz="1400" baseline="0">
              <a:solidFill>
                <a:srgbClr val="B9FFD9"/>
              </a:solidFill>
            </a:rPr>
            <a:t>. You've already been through hell. Let us take you to heaven.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more.</a:t>
          </a:r>
          <a:endParaRPr lang="en-US" sz="1400">
            <a:solidFill>
              <a:srgbClr val="B9FFD9"/>
            </a:solidFill>
          </a:endParaRPr>
        </a:p>
      </xdr:txBody>
    </xdr:sp>
    <xdr:clientData/>
  </xdr:twoCellAnchor>
  <xdr:twoCellAnchor>
    <xdr:from>
      <xdr:col>77</xdr:col>
      <xdr:colOff>65162</xdr:colOff>
      <xdr:row>81</xdr:row>
      <xdr:rowOff>85635</xdr:rowOff>
    </xdr:from>
    <xdr:to>
      <xdr:col>82</xdr:col>
      <xdr:colOff>454870</xdr:colOff>
      <xdr:row>86</xdr:row>
      <xdr:rowOff>33383</xdr:rowOff>
    </xdr:to>
    <xdr:sp macro="" textlink="">
      <xdr:nvSpPr>
        <xdr:cNvPr id="85" name="Rectangle: Rounded Corners 84">
          <a:extLst>
            <a:ext uri="{FF2B5EF4-FFF2-40B4-BE49-F238E27FC236}">
              <a16:creationId xmlns:a16="http://schemas.microsoft.com/office/drawing/2014/main" id="{531E728B-447E-444D-9336-70007AC94651}"/>
            </a:ext>
          </a:extLst>
        </xdr:cNvPr>
        <xdr:cNvSpPr/>
      </xdr:nvSpPr>
      <xdr:spPr>
        <a:xfrm>
          <a:off x="20364450" y="46446985"/>
          <a:ext cx="0" cy="900248"/>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If you find the</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route frustrating, give this support route a try.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how.</a:t>
          </a:r>
          <a:endParaRPr lang="en-US" sz="1400">
            <a:solidFill>
              <a:srgbClr val="B9FFD9"/>
            </a:solidFill>
          </a:endParaRPr>
        </a:p>
      </xdr:txBody>
    </xdr:sp>
    <xdr:clientData/>
  </xdr:twoCellAnchor>
  <xdr:twoCellAnchor>
    <xdr:from>
      <xdr:col>83</xdr:col>
      <xdr:colOff>364518</xdr:colOff>
      <xdr:row>82</xdr:row>
      <xdr:rowOff>2906</xdr:rowOff>
    </xdr:from>
    <xdr:to>
      <xdr:col>89</xdr:col>
      <xdr:colOff>318798</xdr:colOff>
      <xdr:row>85</xdr:row>
      <xdr:rowOff>41004</xdr:rowOff>
    </xdr:to>
    <xdr:sp macro="" textlink="">
      <xdr:nvSpPr>
        <xdr:cNvPr id="86" name="Rectangle: Rounded Corners 85">
          <a:extLst>
            <a:ext uri="{FF2B5EF4-FFF2-40B4-BE49-F238E27FC236}">
              <a16:creationId xmlns:a16="http://schemas.microsoft.com/office/drawing/2014/main" id="{49340B72-6B5D-4BCF-96BD-32B1E577A4BA}"/>
            </a:ext>
          </a:extLst>
        </xdr:cNvPr>
        <xdr:cNvSpPr/>
      </xdr:nvSpPr>
      <xdr:spPr>
        <a:xfrm>
          <a:off x="20364450" y="46554756"/>
          <a:ext cx="0" cy="609598"/>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dropdown</a:t>
          </a:r>
          <a:r>
            <a:rPr lang="en-US" sz="1600" baseline="0">
              <a:solidFill>
                <a:srgbClr val="501E6E"/>
              </a:solidFill>
            </a:rPr>
            <a:t> list of main crime</a:t>
          </a:r>
          <a:endParaRPr lang="en-US" sz="1600">
            <a:solidFill>
              <a:srgbClr val="501E6E"/>
            </a:solidFill>
          </a:endParaRPr>
        </a:p>
      </xdr:txBody>
    </xdr:sp>
    <xdr:clientData/>
  </xdr:twoCellAnchor>
  <xdr:twoCellAnchor>
    <xdr:from>
      <xdr:col>0</xdr:col>
      <xdr:colOff>121920</xdr:colOff>
      <xdr:row>65</xdr:row>
      <xdr:rowOff>144780</xdr:rowOff>
    </xdr:from>
    <xdr:to>
      <xdr:col>5</xdr:col>
      <xdr:colOff>106680</xdr:colOff>
      <xdr:row>82</xdr:row>
      <xdr:rowOff>29845</xdr:rowOff>
    </xdr:to>
    <xdr:sp macro="" textlink="">
      <xdr:nvSpPr>
        <xdr:cNvPr id="87" name="Text Box 1">
          <a:extLst>
            <a:ext uri="{FF2B5EF4-FFF2-40B4-BE49-F238E27FC236}">
              <a16:creationId xmlns:a16="http://schemas.microsoft.com/office/drawing/2014/main" id="{896C2884-2124-4026-8220-A565391FCCE8}"/>
            </a:ext>
          </a:extLst>
        </xdr:cNvPr>
        <xdr:cNvSpPr txBox="1"/>
      </xdr:nvSpPr>
      <xdr:spPr>
        <a:xfrm>
          <a:off x="121920" y="43267630"/>
          <a:ext cx="6068060" cy="331406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Wrongful convictions run the gamut from totally innocent to complicated involvement. From convicted of a heinous sex crime that never occurred to complex situations where a child dies and the grieving mother is implicated by discredited forensic science of burn patterns ostensibly</a:t>
          </a:r>
          <a:r>
            <a:rPr lang="en-US" sz="1200" baseline="0">
              <a:effectLst/>
              <a:latin typeface="Cambria Math" panose="02040503050406030204" pitchFamily="18" charset="0"/>
              <a:ea typeface="Calibri" panose="020F0502020204030204" pitchFamily="34" charset="0"/>
              <a:cs typeface="Times New Roman" panose="02020603050405020304" pitchFamily="18" charset="0"/>
            </a:rPr>
            <a:t> set by accerlants</a:t>
          </a: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The business of addressing damages from interpersonal violence is serious business. The sledgehammer approach to many crime investigations suggest “criminal justice” is more criminal than justice. Tunnel vision, confirmation bias, emotionally charged investigations, tainted interviewing and other routines practices ensures wrongful convictions likely occur at a faster pace than currently being cleared by the same process committing these egregious errors.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Can the same conflicted process repeatedly creating damaging mistakes continue to be trusted as the exclusive means to correct such egregious errors? This alternative puts that question to the test. Which would you prefer? Keep pitting human beings against each other from the untested faith as a way to find truth and justice? Or address all the needs involved in each conflict. This “need-response” alternative dares to serve as a better option than the disappointing legal process.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114300</xdr:colOff>
      <xdr:row>101</xdr:row>
      <xdr:rowOff>114300</xdr:rowOff>
    </xdr:from>
    <xdr:to>
      <xdr:col>5</xdr:col>
      <xdr:colOff>99060</xdr:colOff>
      <xdr:row>104</xdr:row>
      <xdr:rowOff>15240</xdr:rowOff>
    </xdr:to>
    <xdr:sp macro="" textlink="">
      <xdr:nvSpPr>
        <xdr:cNvPr id="88" name="Text Box 1">
          <a:extLst>
            <a:ext uri="{FF2B5EF4-FFF2-40B4-BE49-F238E27FC236}">
              <a16:creationId xmlns:a16="http://schemas.microsoft.com/office/drawing/2014/main" id="{CB86BFEE-8A6F-47D9-865D-E256BF568086}"/>
            </a:ext>
          </a:extLst>
        </xdr:cNvPr>
        <xdr:cNvSpPr txBox="1"/>
      </xdr:nvSpPr>
      <xdr:spPr>
        <a:xfrm>
          <a:off x="114300" y="50285650"/>
          <a:ext cx="6068060" cy="91694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Welcome to </a:t>
          </a:r>
          <a:r>
            <a:rPr lang="en-US" sz="1200" b="1">
              <a:effectLst/>
              <a:latin typeface="Cambria Math" panose="02040503050406030204" pitchFamily="18" charset="0"/>
              <a:ea typeface="Calibri" panose="020F0502020204030204" pitchFamily="34" charset="0"/>
              <a:cs typeface="Times New Roman" panose="02020603050405020304" pitchFamily="18" charset="0"/>
            </a:rPr>
            <a:t>competitive legitimacy</a:t>
          </a:r>
          <a:r>
            <a:rPr lang="en-US" sz="1200">
              <a:effectLst/>
              <a:latin typeface="Cambria Math" panose="02040503050406030204" pitchFamily="18" charset="0"/>
              <a:ea typeface="Calibri" panose="020F0502020204030204" pitchFamily="34" charset="0"/>
              <a:cs typeface="Times New Roman" panose="02020603050405020304" pitchFamily="18" charset="0"/>
            </a:rPr>
            <a:t>, which incentivizes alternatives to addressing a common need and awards those most effective in resolving such needs. Competitive legitimacy is a tool of need-response, which applies anankelogy, the new social science for the study and better understanding of many needs. Welcome to this experiment to resolve needs using a fresh understanding of affected justice needs.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42</xdr:col>
      <xdr:colOff>88174</xdr:colOff>
      <xdr:row>146</xdr:row>
      <xdr:rowOff>13063</xdr:rowOff>
    </xdr:from>
    <xdr:to>
      <xdr:col>60</xdr:col>
      <xdr:colOff>458290</xdr:colOff>
      <xdr:row>148</xdr:row>
      <xdr:rowOff>0</xdr:rowOff>
    </xdr:to>
    <xdr:sp macro="" textlink="">
      <xdr:nvSpPr>
        <xdr:cNvPr id="137" name="Rectangle: Rounded Corners 136">
          <a:extLst>
            <a:ext uri="{FF2B5EF4-FFF2-40B4-BE49-F238E27FC236}">
              <a16:creationId xmlns:a16="http://schemas.microsoft.com/office/drawing/2014/main" id="{FF4D295F-52A2-4E36-9D24-0F2AC92FB682}"/>
            </a:ext>
          </a:extLst>
        </xdr:cNvPr>
        <xdr:cNvSpPr/>
      </xdr:nvSpPr>
      <xdr:spPr>
        <a:xfrm>
          <a:off x="20364450" y="59658613"/>
          <a:ext cx="0" cy="637540"/>
        </a:xfrm>
        <a:prstGeom prst="roundRect">
          <a:avLst>
            <a:gd name="adj" fmla="val 5176"/>
          </a:avLst>
        </a:prstGeom>
        <a:solidFill>
          <a:srgbClr val="F19B61">
            <a:alpha val="89804"/>
          </a:srgbClr>
        </a:solidFill>
        <a:ln w="28575">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5A2D0A"/>
              </a:solidFill>
              <a:latin typeface="+mn-lt"/>
              <a:ea typeface="+mn-ea"/>
              <a:cs typeface="+mn-cs"/>
            </a:rPr>
            <a:t>IF non-white hispanic</a:t>
          </a:r>
          <a:r>
            <a:rPr lang="en-US" sz="1600" b="1" baseline="0">
              <a:solidFill>
                <a:srgbClr val="5A2D0A"/>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5A2D0A"/>
              </a:solidFill>
              <a:latin typeface="+mn-lt"/>
              <a:ea typeface="+mn-ea"/>
              <a:cs typeface="+mn-cs"/>
            </a:rPr>
            <a:t>IF non-white</a:t>
          </a:r>
          <a:r>
            <a:rPr lang="en-US" sz="1600" b="1" baseline="0">
              <a:solidFill>
                <a:srgbClr val="5A2D0A"/>
              </a:solidFill>
              <a:latin typeface="+mn-lt"/>
              <a:ea typeface="+mn-ea"/>
              <a:cs typeface="+mn-cs"/>
            </a:rPr>
            <a:t> (i.e., black)</a:t>
          </a:r>
          <a:r>
            <a:rPr lang="en-US" sz="1600" b="1">
              <a:solidFill>
                <a:srgbClr val="5A2D0A"/>
              </a:solidFill>
              <a:latin typeface="+mn-lt"/>
              <a:ea typeface="+mn-ea"/>
              <a:cs typeface="+mn-cs"/>
            </a:rPr>
            <a:t> with complementary factors = x4</a:t>
          </a:r>
        </a:p>
        <a:p>
          <a:pPr algn="l"/>
          <a:endParaRPr lang="en-US" sz="1600" b="1">
            <a:solidFill>
              <a:srgbClr val="5A2D0A"/>
            </a:solidFill>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holarship.kentlaw.iit.edu/cgi/viewcontent.cgi?article=3595&amp;context=cklawreview" TargetMode="External"/><Relationship Id="rId18" Type="http://schemas.openxmlformats.org/officeDocument/2006/relationships/hyperlink" Target="https://www.researchgate.net/profile/James_Frank4/publication/249718672_Wrongful_ConvictionPerceptions_of_Criminal_Justice_Professionals_Regarding_the_Frequency_of_Wrongful_Conviction_and_the_Extent_of_System_Errors/links/55ca102408aea2d9bdcbf557.pdf" TargetMode="External"/><Relationship Id="rId26" Type="http://schemas.openxmlformats.org/officeDocument/2006/relationships/hyperlink" Target="https://exonerationregistry.org/" TargetMode="External"/><Relationship Id="rId21" Type="http://schemas.openxmlformats.org/officeDocument/2006/relationships/hyperlink" Target="https://www.pnas.org/content/pnas/111/20/7230.full.pdf" TargetMode="External"/><Relationship Id="rId34" Type="http://schemas.openxmlformats.org/officeDocument/2006/relationships/drawing" Target="../drawings/drawing1.xml"/><Relationship Id="rId7" Type="http://schemas.openxmlformats.org/officeDocument/2006/relationships/hyperlink" Target="https://en.wikipedia.org/wiki/Noble_cause_corruption" TargetMode="External"/><Relationship Id="rId12" Type="http://schemas.openxmlformats.org/officeDocument/2006/relationships/hyperlink" Target="https://www.law.cornell.edu/uscode/text/28/2513" TargetMode="External"/><Relationship Id="rId17" Type="http://schemas.openxmlformats.org/officeDocument/2006/relationships/hyperlink" Target="https://globalwrong.files.wordpress.com/2012/04/qual-estimate-zal-clb-2012.pdf" TargetMode="External"/><Relationship Id="rId25" Type="http://schemas.openxmlformats.org/officeDocument/2006/relationships/hyperlink" Target="https://www.tandfonline.com/doi/abs/10.1080/07418820100095061" TargetMode="External"/><Relationship Id="rId33" Type="http://schemas.openxmlformats.org/officeDocument/2006/relationships/printerSettings" Target="../printerSettings/printerSettings1.bin"/><Relationship Id="rId2" Type="http://schemas.openxmlformats.org/officeDocument/2006/relationships/hyperlink" Target="https://www.judgesforjustice.org/" TargetMode="External"/><Relationship Id="rId16" Type="http://schemas.openxmlformats.org/officeDocument/2006/relationships/hyperlink" Target="https://www.supremecourt.gov/opinions/05pdf/04-1170.pdf" TargetMode="External"/><Relationship Id="rId20" Type="http://schemas.openxmlformats.org/officeDocument/2006/relationships/hyperlink" Target="https://scholarlycommons.law.northwestern.edu/cgi/viewcontent.cgi?article=7269&amp;context=jclc" TargetMode="External"/><Relationship Id="rId29" Type="http://schemas.openxmlformats.org/officeDocument/2006/relationships/hyperlink" Target="https://law.vanderbilt.edu/files/publications/King-CH13.pdf" TargetMode="External"/><Relationship Id="rId1" Type="http://schemas.openxmlformats.org/officeDocument/2006/relationships/hyperlink" Target="http://www.innocenceproject.org/causes-wrongful-conviction/eyewitness-misidentification" TargetMode="External"/><Relationship Id="rId6" Type="http://schemas.openxmlformats.org/officeDocument/2006/relationships/hyperlink" Target="https://www.law.umich.edu/special/exoneration/Documents/CompensationByState_InnocenceProject.pdf" TargetMode="External"/><Relationship Id="rId11" Type="http://schemas.openxmlformats.org/officeDocument/2006/relationships/hyperlink" Target="http://www.kslegislature.org/li_2018/b2017_18/measures/hb2579/" TargetMode="External"/><Relationship Id="rId24" Type="http://schemas.openxmlformats.org/officeDocument/2006/relationships/hyperlink" Target="https://www.ojp.gov/pdffiles1/nij/grants/251115.pdf" TargetMode="External"/><Relationship Id="rId32" Type="http://schemas.openxmlformats.org/officeDocument/2006/relationships/hyperlink" Target="https://en.wikipedia.org/wiki/Institutional_betrayal" TargetMode="External"/><Relationship Id="rId37" Type="http://schemas.openxmlformats.org/officeDocument/2006/relationships/comments" Target="../comments1.xml"/><Relationship Id="rId5" Type="http://schemas.openxmlformats.org/officeDocument/2006/relationships/hyperlink" Target="https://www.ncsc.org/~/media/Files/PDF/Publications/Justice%20System%20Journal/Collateral%20Consequences.ashx" TargetMode="External"/><Relationship Id="rId15" Type="http://schemas.openxmlformats.org/officeDocument/2006/relationships/hyperlink" Target="https://arizonalawreview.org/pdf/60-4/60arizlrev815.pdf" TargetMode="External"/><Relationship Id="rId23" Type="http://schemas.openxmlformats.org/officeDocument/2006/relationships/hyperlink" Target="https://link.springer.com/article/10.1007/s10940-018-9381-1" TargetMode="External"/><Relationship Id="rId28" Type="http://schemas.openxmlformats.org/officeDocument/2006/relationships/hyperlink" Target="https://www.law.umich.edu/special/exoneration/Pages/Conviction-Integrity-Units.aspx" TargetMode="External"/><Relationship Id="rId36" Type="http://schemas.openxmlformats.org/officeDocument/2006/relationships/vmlDrawing" Target="../drawings/vmlDrawing2.vml"/><Relationship Id="rId10" Type="http://schemas.openxmlformats.org/officeDocument/2006/relationships/hyperlink" Target="https://www.southbendtribune.com/news/indiana/new-indiana-law-allows-exonerated-prisoners-to-be-compensated/article_4bb47ea8-0716-5c17-9778-9ae0fda90f43.html" TargetMode="External"/><Relationship Id="rId19" Type="http://schemas.openxmlformats.org/officeDocument/2006/relationships/hyperlink" Target="https://repository.law.umich.edu/cgi/viewcontent.cgi?article=2591&amp;context=articles" TargetMode="External"/><Relationship Id="rId31" Type="http://schemas.openxmlformats.org/officeDocument/2006/relationships/hyperlink" Target="https://core.ac.uk/download/pdf/144229415.pdf" TargetMode="External"/><Relationship Id="rId4" Type="http://schemas.openxmlformats.org/officeDocument/2006/relationships/hyperlink" Target="http://www.legislature.mi.gov/(S(4fmhducin04b0mgzzufco1nw))/mileg.aspx?page=getObject&amp;objectName=mcl-691-1751" TargetMode="External"/><Relationship Id="rId9" Type="http://schemas.openxmlformats.org/officeDocument/2006/relationships/hyperlink" Target="http://www.wrongfulconvictionlawyers.com/state-statutes/" TargetMode="External"/><Relationship Id="rId14" Type="http://schemas.openxmlformats.org/officeDocument/2006/relationships/hyperlink" Target="https://leg.mt.gov/content/Committees/Interim/2019-2020/Law-and-Justice/Meetings/Nov-2019/sj19-doj-map-sex-offenders-per-capita-november-2019.pdf" TargetMode="External"/><Relationship Id="rId22" Type="http://schemas.openxmlformats.org/officeDocument/2006/relationships/hyperlink" Target="https://www.urban.org/sites/default/files/publication/25506/412589-Post-Conviction-DNA-Testing-and-Wrongful-Conviction.PDF" TargetMode="External"/><Relationship Id="rId27" Type="http://schemas.openxmlformats.org/officeDocument/2006/relationships/hyperlink" Target="https://worldpopulationreview.com/state-rankings/prison-population-by-state" TargetMode="External"/><Relationship Id="rId30" Type="http://schemas.openxmlformats.org/officeDocument/2006/relationships/hyperlink" Target="https://pceinc.org/wp-content/uploads/2020/12/20201209-Conviction-Review-Final.pdf" TargetMode="External"/><Relationship Id="rId35" Type="http://schemas.openxmlformats.org/officeDocument/2006/relationships/vmlDrawing" Target="../drawings/vmlDrawing1.vml"/><Relationship Id="rId8" Type="http://schemas.openxmlformats.org/officeDocument/2006/relationships/hyperlink" Target="https://www.attorneygeneral.jus.gov.on.ca/inquiries/goudge/policy_research/pdf/Macfarlane_Wrongful-Convictions.pdf" TargetMode="External"/><Relationship Id="rId3" Type="http://schemas.openxmlformats.org/officeDocument/2006/relationships/hyperlink" Target="https://www.law.umich.edu/special/exoneration/Documents/CompensationByState_InnocenceProject.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cholarship.kentlaw.iit.edu/cgi/viewcontent.cgi?article=3595&amp;context=cklawreview" TargetMode="External"/><Relationship Id="rId18" Type="http://schemas.openxmlformats.org/officeDocument/2006/relationships/hyperlink" Target="https://www.researchgate.net/profile/James_Frank4/publication/249718672_Wrongful_ConvictionPerceptions_of_Criminal_Justice_Professionals_Regarding_the_Frequency_of_Wrongful_Conviction_and_the_Extent_of_System_Errors/links/55ca102408aea2d9bdcbf557.pdf" TargetMode="External"/><Relationship Id="rId26" Type="http://schemas.openxmlformats.org/officeDocument/2006/relationships/hyperlink" Target="https://exonerationregistry.org/" TargetMode="External"/><Relationship Id="rId39" Type="http://schemas.openxmlformats.org/officeDocument/2006/relationships/hyperlink" Target="https://docs.wixstatic.com/ugd/5d10a8_167f3b812ae54126b666ed99d2dac3e8.pdf" TargetMode="External"/><Relationship Id="rId21" Type="http://schemas.openxmlformats.org/officeDocument/2006/relationships/hyperlink" Target="https://www.pnas.org/content/pnas/111/20/7230.full.pdf" TargetMode="External"/><Relationship Id="rId34" Type="http://schemas.openxmlformats.org/officeDocument/2006/relationships/hyperlink" Target="https://www.valuerelating.com/documentation" TargetMode="External"/><Relationship Id="rId42" Type="http://schemas.openxmlformats.org/officeDocument/2006/relationships/vmlDrawing" Target="../drawings/vmlDrawing3.vml"/><Relationship Id="rId7" Type="http://schemas.openxmlformats.org/officeDocument/2006/relationships/hyperlink" Target="https://en.wikipedia.org/wiki/Noble_cause_corruption" TargetMode="External"/><Relationship Id="rId2" Type="http://schemas.openxmlformats.org/officeDocument/2006/relationships/hyperlink" Target="https://www.judgesforjustice.org/" TargetMode="External"/><Relationship Id="rId16" Type="http://schemas.openxmlformats.org/officeDocument/2006/relationships/hyperlink" Target="https://www.supremecourt.gov/opinions/05pdf/04-1170.pdf" TargetMode="External"/><Relationship Id="rId20" Type="http://schemas.openxmlformats.org/officeDocument/2006/relationships/hyperlink" Target="https://scholarlycommons.law.northwestern.edu/cgi/viewcontent.cgi?article=7269&amp;context=jclc" TargetMode="External"/><Relationship Id="rId29" Type="http://schemas.openxmlformats.org/officeDocument/2006/relationships/hyperlink" Target="https://law.vanderbilt.edu/files/publications/King-CH13.pdf" TargetMode="External"/><Relationship Id="rId41" Type="http://schemas.openxmlformats.org/officeDocument/2006/relationships/drawing" Target="../drawings/drawing2.xml"/><Relationship Id="rId1" Type="http://schemas.openxmlformats.org/officeDocument/2006/relationships/hyperlink" Target="http://www.innocenceproject.org/causes-wrongful-conviction/eyewitness-misidentification" TargetMode="External"/><Relationship Id="rId6" Type="http://schemas.openxmlformats.org/officeDocument/2006/relationships/hyperlink" Target="https://www.law.umich.edu/special/exoneration/Documents/CompensationByState_InnocenceProject.pdf" TargetMode="External"/><Relationship Id="rId11" Type="http://schemas.openxmlformats.org/officeDocument/2006/relationships/hyperlink" Target="http://www.kslegislature.org/li_2018/b2017_18/measures/hb2579/" TargetMode="External"/><Relationship Id="rId24" Type="http://schemas.openxmlformats.org/officeDocument/2006/relationships/hyperlink" Target="https://www.ojp.gov/pdffiles1/nij/grants/251115.pdf" TargetMode="External"/><Relationship Id="rId32" Type="http://schemas.openxmlformats.org/officeDocument/2006/relationships/hyperlink" Target="https://en.wikipedia.org/wiki/Institutional_betrayal" TargetMode="External"/><Relationship Id="rId37" Type="http://schemas.openxmlformats.org/officeDocument/2006/relationships/hyperlink" Target="https://docs.wixstatic.com/ugd/5d10a8_2918f23037b74ed3bd95e1c8aeec4a77.pdf" TargetMode="External"/><Relationship Id="rId40" Type="http://schemas.openxmlformats.org/officeDocument/2006/relationships/printerSettings" Target="../printerSettings/printerSettings2.bin"/><Relationship Id="rId5" Type="http://schemas.openxmlformats.org/officeDocument/2006/relationships/hyperlink" Target="https://www.ncsc.org/~/media/Files/PDF/Publications/Justice%20System%20Journal/Collateral%20Consequences.ashx" TargetMode="External"/><Relationship Id="rId15" Type="http://schemas.openxmlformats.org/officeDocument/2006/relationships/hyperlink" Target="https://arizonalawreview.org/pdf/60-4/60arizlrev815.pdf" TargetMode="External"/><Relationship Id="rId23" Type="http://schemas.openxmlformats.org/officeDocument/2006/relationships/hyperlink" Target="https://link.springer.com/article/10.1007/s10940-018-9381-1" TargetMode="External"/><Relationship Id="rId28" Type="http://schemas.openxmlformats.org/officeDocument/2006/relationships/hyperlink" Target="https://www.law.umich.edu/special/exoneration/Pages/Conviction-Integrity-Units.aspx" TargetMode="External"/><Relationship Id="rId36" Type="http://schemas.openxmlformats.org/officeDocument/2006/relationships/hyperlink" Target="https://docs.wixstatic.com/ugd/5d10a8_61a75e8b8358462e898a7a4a41cb9a6b.pdf" TargetMode="External"/><Relationship Id="rId10" Type="http://schemas.openxmlformats.org/officeDocument/2006/relationships/hyperlink" Target="https://www.southbendtribune.com/news/indiana/new-indiana-law-allows-exonerated-prisoners-to-be-compensated/article_4bb47ea8-0716-5c17-9778-9ae0fda90f43.html" TargetMode="External"/><Relationship Id="rId19" Type="http://schemas.openxmlformats.org/officeDocument/2006/relationships/hyperlink" Target="https://repository.law.umich.edu/cgi/viewcontent.cgi?article=2591&amp;context=articles" TargetMode="External"/><Relationship Id="rId31" Type="http://schemas.openxmlformats.org/officeDocument/2006/relationships/hyperlink" Target="https://core.ac.uk/download/pdf/144229415.pdf" TargetMode="External"/><Relationship Id="rId44" Type="http://schemas.openxmlformats.org/officeDocument/2006/relationships/comments" Target="../comments2.xml"/><Relationship Id="rId4" Type="http://schemas.openxmlformats.org/officeDocument/2006/relationships/hyperlink" Target="http://www.legislature.mi.gov/(S(4fmhducin04b0mgzzufco1nw))/mileg.aspx?page=getObject&amp;objectName=mcl-691-1751" TargetMode="External"/><Relationship Id="rId9" Type="http://schemas.openxmlformats.org/officeDocument/2006/relationships/hyperlink" Target="http://www.wrongfulconvictionlawyers.com/state-statutes/" TargetMode="External"/><Relationship Id="rId14" Type="http://schemas.openxmlformats.org/officeDocument/2006/relationships/hyperlink" Target="https://leg.mt.gov/content/Committees/Interim/2019-2020/Law-and-Justice/Meetings/Nov-2019/sj19-doj-map-sex-offenders-per-capita-november-2019.pdf" TargetMode="External"/><Relationship Id="rId22" Type="http://schemas.openxmlformats.org/officeDocument/2006/relationships/hyperlink" Target="https://www.urban.org/sites/default/files/publication/25506/412589-Post-Conviction-DNA-Testing-and-Wrongful-Conviction.PDF" TargetMode="External"/><Relationship Id="rId27" Type="http://schemas.openxmlformats.org/officeDocument/2006/relationships/hyperlink" Target="https://worldpopulationreview.com/state-rankings/prison-population-by-state" TargetMode="External"/><Relationship Id="rId30" Type="http://schemas.openxmlformats.org/officeDocument/2006/relationships/hyperlink" Target="https://pceinc.org/wp-content/uploads/2020/12/20201209-Conviction-Review-Final.pdf" TargetMode="External"/><Relationship Id="rId35" Type="http://schemas.openxmlformats.org/officeDocument/2006/relationships/hyperlink" Target="https://www.valuerelating.com/documentation" TargetMode="External"/><Relationship Id="rId43" Type="http://schemas.openxmlformats.org/officeDocument/2006/relationships/vmlDrawing" Target="../drawings/vmlDrawing4.vml"/><Relationship Id="rId8" Type="http://schemas.openxmlformats.org/officeDocument/2006/relationships/hyperlink" Target="https://www.attorneygeneral.jus.gov.on.ca/inquiries/goudge/policy_research/pdf/Macfarlane_Wrongful-Convictions.pdf" TargetMode="External"/><Relationship Id="rId3" Type="http://schemas.openxmlformats.org/officeDocument/2006/relationships/hyperlink" Target="https://www.law.umich.edu/special/exoneration/Documents/CompensationByState_InnocenceProject.pdf" TargetMode="External"/><Relationship Id="rId12" Type="http://schemas.openxmlformats.org/officeDocument/2006/relationships/hyperlink" Target="https://www.law.cornell.edu/uscode/text/28/2513" TargetMode="External"/><Relationship Id="rId17" Type="http://schemas.openxmlformats.org/officeDocument/2006/relationships/hyperlink" Target="https://globalwrong.files.wordpress.com/2012/04/qual-estimate-zal-clb-2012.pdf" TargetMode="External"/><Relationship Id="rId25" Type="http://schemas.openxmlformats.org/officeDocument/2006/relationships/hyperlink" Target="https://www.tandfonline.com/doi/abs/10.1080/07418820100095061" TargetMode="External"/><Relationship Id="rId33" Type="http://schemas.openxmlformats.org/officeDocument/2006/relationships/hyperlink" Target="https://www.valuerelating.com/documentation" TargetMode="External"/><Relationship Id="rId38" Type="http://schemas.openxmlformats.org/officeDocument/2006/relationships/hyperlink" Target="https://docs.wixstatic.com/ugd/5d10a8_c49cc7d8aaa94618945310b43b136760.pdf"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0D17E-9FC9-4D94-9E27-4416EE482E69}">
  <dimension ref="A1:LV4072"/>
  <sheetViews>
    <sheetView tabSelected="1" zoomScale="90" zoomScaleNormal="90" workbookViewId="0"/>
  </sheetViews>
  <sheetFormatPr defaultColWidth="8.90625" defaultRowHeight="14" x14ac:dyDescent="0.3"/>
  <cols>
    <col min="1" max="1" width="3.81640625" style="48" customWidth="1"/>
    <col min="2" max="2" width="15.81640625" style="48" customWidth="1"/>
    <col min="3" max="3" width="35.81640625" style="48" customWidth="1"/>
    <col min="4" max="4" width="28.81640625" style="48" customWidth="1"/>
    <col min="5" max="6" width="2.81640625" style="48" customWidth="1"/>
    <col min="7" max="8" width="8.90625" style="4" customWidth="1"/>
    <col min="9" max="9" width="32.36328125" style="4" customWidth="1"/>
    <col min="10" max="26" width="8.90625" style="4" customWidth="1"/>
    <col min="27" max="47" width="3.81640625" style="48" hidden="1" customWidth="1"/>
    <col min="48" max="48" width="4.81640625" style="48" hidden="1" customWidth="1"/>
    <col min="49" max="49" width="1.81640625" style="48" hidden="1" customWidth="1"/>
    <col min="50" max="50" width="3.81640625" style="48" hidden="1" customWidth="1"/>
    <col min="51" max="51" width="1.81640625" style="48" hidden="1" customWidth="1"/>
    <col min="52" max="52" width="3.81640625" style="48" hidden="1" customWidth="1"/>
    <col min="53" max="53" width="1.81640625" style="48" hidden="1" customWidth="1"/>
    <col min="54" max="54" width="6.81640625" style="14" hidden="1" customWidth="1"/>
    <col min="55" max="55" width="1.81640625" style="48" hidden="1" customWidth="1"/>
    <col min="56" max="56" width="6.81640625" style="48" hidden="1" customWidth="1"/>
    <col min="57" max="57" width="1.81640625" style="48" hidden="1" customWidth="1"/>
    <col min="58" max="58" width="5.81640625" style="48" hidden="1" customWidth="1"/>
    <col min="59" max="62" width="7.81640625" style="48" hidden="1" customWidth="1"/>
    <col min="63" max="77" width="3.81640625" style="48" hidden="1" customWidth="1"/>
    <col min="78" max="85" width="8.90625" style="48" hidden="1" customWidth="1"/>
    <col min="86" max="87" width="11.90625" style="48" hidden="1" customWidth="1"/>
    <col min="88" max="104" width="8.90625" style="48" hidden="1" customWidth="1"/>
    <col min="105" max="128" width="8.90625" style="48" customWidth="1"/>
    <col min="129" max="129" width="8.90625" style="48"/>
    <col min="130" max="130" width="25.81640625" style="48" customWidth="1"/>
    <col min="131" max="16384" width="8.90625" style="48"/>
  </cols>
  <sheetData>
    <row r="1" spans="1:70" ht="30" customHeight="1" x14ac:dyDescent="0.3">
      <c r="A1" s="40"/>
      <c r="B1" s="1127" t="str">
        <f>AD1</f>
        <v>GENERAL INSTRUCTIONS</v>
      </c>
      <c r="C1" s="1127"/>
      <c r="D1" s="1127"/>
      <c r="E1" s="1127"/>
      <c r="F1" s="436"/>
      <c r="AD1" s="642" t="str">
        <f>IF(BK1&lt;BK2,AI1,IF(AND(BK1=BK2,BM1&gt;0),AQ1,IF(AND(BK1=BK2,BQ1&gt;=BM1),BB1,"")))</f>
        <v>GENERAL INSTRUCTIONS</v>
      </c>
      <c r="AI1" s="52" t="s">
        <v>5425</v>
      </c>
      <c r="AQ1" s="52" t="s">
        <v>5420</v>
      </c>
      <c r="BA1" s="52" t="s">
        <v>5424</v>
      </c>
      <c r="BK1" s="1159">
        <f>AB944</f>
        <v>0</v>
      </c>
      <c r="BL1" s="1159"/>
      <c r="BM1" s="1159">
        <f>AC944</f>
        <v>0</v>
      </c>
      <c r="BN1" s="1159"/>
      <c r="BO1" s="1160"/>
      <c r="BP1" s="1160"/>
      <c r="BQ1" s="1158">
        <f>AE944</f>
        <v>0</v>
      </c>
      <c r="BR1" s="1158"/>
    </row>
    <row r="2" spans="1:70" ht="19" customHeight="1" x14ac:dyDescent="0.3">
      <c r="A2" s="839"/>
      <c r="B2" s="839"/>
      <c r="C2" s="839"/>
      <c r="D2" s="839"/>
      <c r="E2" s="839"/>
      <c r="F2" s="230"/>
      <c r="BK2" s="48">
        <f>AA779+1</f>
        <v>45</v>
      </c>
      <c r="BL2" s="48">
        <f>AA944</f>
        <v>56</v>
      </c>
    </row>
    <row r="3" spans="1:70" ht="15" customHeight="1" x14ac:dyDescent="0.3">
      <c r="A3" s="839"/>
      <c r="B3" s="842"/>
      <c r="C3" s="840"/>
      <c r="D3" s="840"/>
      <c r="E3" s="840"/>
      <c r="F3" s="230"/>
    </row>
    <row r="4" spans="1:70" ht="20" customHeight="1" x14ac:dyDescent="0.3">
      <c r="A4" s="839"/>
      <c r="B4" s="1169" t="str">
        <f>AD4</f>
        <v>First, to use this form, click on ENABLE EDITING. Then save a copy of this form on your computer, using the Save As option in the File menu of Excel.</v>
      </c>
      <c r="C4" s="1169"/>
      <c r="D4" s="1169"/>
      <c r="E4" s="840"/>
      <c r="F4" s="230"/>
      <c r="AD4" s="642" t="str">
        <f>IF(AD$1=AI$1,AF4,IF(AD$1=AQ$1,AH4,IF(AD$1=BA$1,AX4,"")))</f>
        <v>First, to use this form, click on ENABLE EDITING. Then save a copy of this form on your computer, using the Save As option in the File menu of Excel.</v>
      </c>
      <c r="AE4" s="245" t="s">
        <v>885</v>
      </c>
      <c r="AF4" s="230" t="s">
        <v>5426</v>
      </c>
      <c r="AG4" s="245" t="s">
        <v>885</v>
      </c>
      <c r="AH4" s="813" t="str">
        <f>CONCATENATE(AI4,AJ4,AK4,AL4,AM4,AN4,AO4,AP4,AQ4,AR4,AS4,AT4)</f>
        <v xml:space="preserve">PLEASE BE INFORMED that Claimant faithfully asserts that claimant was wrongly convicted in 0. Since then, claimant consistently maintains claimant's innocence. </v>
      </c>
      <c r="AI4" s="48" t="s">
        <v>5371</v>
      </c>
      <c r="AJ4" s="48" t="str">
        <f>BG202</f>
        <v>Claimant</v>
      </c>
      <c r="AK4" s="48" t="s">
        <v>5372</v>
      </c>
      <c r="AL4" s="48" t="str">
        <f>BH206</f>
        <v>claimant</v>
      </c>
      <c r="AM4" s="48" t="str">
        <f>IF(AL4="they"," were"," was")</f>
        <v xml:space="preserve"> was</v>
      </c>
      <c r="AN4" s="245" t="s">
        <v>5430</v>
      </c>
      <c r="AO4" s="48">
        <f>AG259</f>
        <v>0</v>
      </c>
      <c r="AP4" s="48" t="s">
        <v>5373</v>
      </c>
      <c r="AQ4" s="48" t="str">
        <f>BH206</f>
        <v>claimant</v>
      </c>
      <c r="AR4" s="48" t="s">
        <v>5374</v>
      </c>
      <c r="AS4" s="48" t="str">
        <f>BJ206</f>
        <v>claimant's</v>
      </c>
      <c r="AT4" s="48" t="s">
        <v>5375</v>
      </c>
      <c r="AX4" s="854"/>
    </row>
    <row r="5" spans="1:70" ht="19.75" customHeight="1" x14ac:dyDescent="0.3">
      <c r="A5" s="839"/>
      <c r="B5" s="1169"/>
      <c r="C5" s="1169"/>
      <c r="D5" s="1169"/>
      <c r="E5" s="840"/>
      <c r="F5" s="230"/>
      <c r="AN5" s="245"/>
    </row>
    <row r="6" spans="1:70" ht="20" customHeight="1" x14ac:dyDescent="0.3">
      <c r="A6" s="839"/>
      <c r="B6" s="1169" t="str">
        <f>AD6</f>
        <v>Next, fill out the form below. After filling in every field, these instructions turn into a notification of verifiable innocence. Once verified, it changes again to a notification of verified innocence. First, we check if "verifiable innocence" is enough.</v>
      </c>
      <c r="C6" s="1169"/>
      <c r="D6" s="1169"/>
      <c r="E6" s="840"/>
      <c r="F6" s="230"/>
      <c r="AD6" s="642" t="str">
        <f>IF(AD$1=AI$1,AF6,IF(AD$1=AQ$1,AH6,IF(AD$1=BA$1,AO6,"")))</f>
        <v>Next, fill out the form below. After filling in every field, these instructions turn into a notification of verifiable innocence. Once verified, it changes again to a notification of verified innocence. First, we check if "verifiable innocence" is enough.</v>
      </c>
      <c r="AE6" s="245" t="s">
        <v>885</v>
      </c>
      <c r="AF6" s="230" t="s">
        <v>5554</v>
      </c>
      <c r="AG6" s="245" t="s">
        <v>885</v>
      </c>
      <c r="AH6" s="813" t="str">
        <f>CONCATENATE(AI6,AJ6,AK6,AL6,AM6)</f>
        <v xml:space="preserve">PLEASE BE INFORMED that Claimant asserts no of six known factors common in wrongful convictions. Claimant identifies no other important factors known to wrongly convict the innocent. </v>
      </c>
      <c r="AI6" s="48" t="s">
        <v>5371</v>
      </c>
      <c r="AJ6" s="48" t="str">
        <f>BP521</f>
        <v xml:space="preserve">Claimant asserts no of six known factors common in wrongful convictions. </v>
      </c>
      <c r="AK6" s="48" t="str">
        <f>BP556</f>
        <v xml:space="preserve">Claimant identifies no other important factors known to wrongly convict the innocent. </v>
      </c>
      <c r="AN6" s="245" t="s">
        <v>885</v>
      </c>
      <c r="AO6" s="854"/>
    </row>
    <row r="7" spans="1:70" ht="20" customHeight="1" x14ac:dyDescent="0.3">
      <c r="A7" s="839"/>
      <c r="B7" s="1169"/>
      <c r="C7" s="1169"/>
      <c r="D7" s="1169"/>
      <c r="E7" s="840"/>
      <c r="F7" s="230"/>
      <c r="AD7" s="642">
        <f>IF(AD$1=AI$1,AF7,IF(AD$1=AQ$1,AH7,IF(AD$1=BA$1,AO7,"")))</f>
        <v>0</v>
      </c>
      <c r="AE7" s="245" t="s">
        <v>885</v>
      </c>
      <c r="AF7" s="230"/>
      <c r="AG7" s="245" t="s">
        <v>885</v>
      </c>
      <c r="AH7" s="813" t="str">
        <f>CONCATENATE(AI7,AJ7,AK7,AL7,AM7)</f>
        <v>― Most admit to the crime while, at least initially, denying the harm they caused.</v>
      </c>
      <c r="AI7" s="48" t="s">
        <v>5376</v>
      </c>
      <c r="AN7" s="245" t="s">
        <v>885</v>
      </c>
      <c r="AO7" s="854"/>
      <c r="BK7" s="245" t="s">
        <v>5415</v>
      </c>
    </row>
    <row r="8" spans="1:70" ht="13.75" customHeight="1" x14ac:dyDescent="0.3">
      <c r="A8" s="839"/>
      <c r="B8" s="1169"/>
      <c r="C8" s="1169"/>
      <c r="D8" s="1169"/>
      <c r="E8" s="840"/>
      <c r="F8" s="230"/>
      <c r="AN8" s="245"/>
    </row>
    <row r="9" spans="1:70" ht="15" customHeight="1" x14ac:dyDescent="0.3">
      <c r="A9" s="839"/>
      <c r="B9" s="841" t="str">
        <f>AD9</f>
        <v>Basic instructions:</v>
      </c>
      <c r="C9" s="840"/>
      <c r="D9" s="840"/>
      <c r="E9" s="840"/>
      <c r="F9" s="230"/>
      <c r="AD9" s="642" t="str">
        <f>IF(AD$1=AI$1,AF9,IF(AD$1=AQ$1,AH9,IF(AD$1=BA$1,AO9,"")))</f>
        <v>Basic instructions:</v>
      </c>
      <c r="AE9" s="245" t="s">
        <v>885</v>
      </c>
      <c r="AF9" s="230" t="s">
        <v>5427</v>
      </c>
      <c r="AG9" s="245" t="s">
        <v>885</v>
      </c>
      <c r="AH9" s="813" t="str">
        <f>CONCATENATE(AI9,AJ9,AK9,AL9,AM9)</f>
        <v>PLEASE BE INFORMED that felons or prisoners rarely claim full or actual innocence.</v>
      </c>
      <c r="AI9" s="48" t="s">
        <v>5378</v>
      </c>
      <c r="AN9" s="245" t="s">
        <v>885</v>
      </c>
      <c r="AO9" s="854"/>
      <c r="BK9" s="642" t="str">
        <f>IF(BN9="","",CONCATENATE(BM9,BN9,BO9))</f>
        <v/>
      </c>
      <c r="BL9" s="844" t="str">
        <f>AU243</f>
        <v>1)</v>
      </c>
      <c r="BM9" s="48" t="s">
        <v>5383</v>
      </c>
      <c r="BN9" s="642" t="str">
        <f>AV243</f>
        <v/>
      </c>
    </row>
    <row r="10" spans="1:70" ht="15" customHeight="1" x14ac:dyDescent="0.3">
      <c r="A10" s="839"/>
      <c r="B10" s="842" t="str">
        <f>AD10</f>
        <v>1. Fill in each white field with your best answer. Most fields use dropdown menus.</v>
      </c>
      <c r="C10" s="840"/>
      <c r="D10" s="840"/>
      <c r="E10" s="840"/>
      <c r="F10" s="230"/>
      <c r="AD10" s="642" t="str">
        <f t="shared" ref="AD10:AD36" si="0">IF(AD$1=AI$1,AF10,IF(AD$1=AQ$1,AH10,IF(AD$1=BA$1,AO10,"")))</f>
        <v>1. Fill in each white field with your best answer. Most fields use dropdown menus.</v>
      </c>
      <c r="AE10" s="245" t="s">
        <v>885</v>
      </c>
      <c r="AF10" s="230" t="s">
        <v>5428</v>
      </c>
      <c r="AG10" s="245" t="s">
        <v>885</v>
      </c>
      <c r="AH10" s="813" t="str">
        <f>CONCATENATE(AI10,AJ10,AK10,AL10,AM10)</f>
        <v>― Most admit to the charged criminal activity while denying it caused harm.</v>
      </c>
      <c r="AI10" s="48" t="s">
        <v>5433</v>
      </c>
      <c r="AN10" s="245" t="s">
        <v>885</v>
      </c>
      <c r="AO10" s="854"/>
      <c r="BK10" s="642" t="str">
        <f t="shared" ref="BK10:BK19" si="1">IF(BN10="","",CONCATENATE(BM10,BN10,BO10))</f>
        <v/>
      </c>
      <c r="BL10" s="844" t="str">
        <f>AU250</f>
        <v>2)</v>
      </c>
      <c r="BM10" s="48" t="s">
        <v>5383</v>
      </c>
      <c r="BN10" s="642" t="str">
        <f>AV250</f>
        <v/>
      </c>
    </row>
    <row r="11" spans="1:70" ht="15" customHeight="1" x14ac:dyDescent="0.3">
      <c r="A11" s="839"/>
      <c r="B11" s="842" t="str">
        <f t="shared" ref="B11:B14" si="2">AD11</f>
        <v xml:space="preserve">2. After filling in item #70, the last item to answer, save this document. </v>
      </c>
      <c r="C11" s="840"/>
      <c r="D11" s="840"/>
      <c r="E11" s="840"/>
      <c r="F11" s="230"/>
      <c r="AD11" s="642" t="str">
        <f t="shared" si="0"/>
        <v xml:space="preserve">2. After filling in item #70, the last item to answer, save this document. </v>
      </c>
      <c r="AE11" s="245" t="s">
        <v>885</v>
      </c>
      <c r="AF11" s="230" t="s">
        <v>5429</v>
      </c>
      <c r="AG11" s="245" t="s">
        <v>885</v>
      </c>
      <c r="AH11" s="813" t="str">
        <f t="shared" ref="AH11:AH36" si="3">CONCATENATE(AI11,AJ11,AK11,AL11,AM11)</f>
        <v>― Most complain about the harsh punishment for their admitted offenses.</v>
      </c>
      <c r="AI11" s="48" t="s">
        <v>5434</v>
      </c>
      <c r="AN11" s="245" t="s">
        <v>885</v>
      </c>
      <c r="AO11" s="854"/>
      <c r="BK11" s="642" t="str">
        <f t="shared" si="1"/>
        <v/>
      </c>
      <c r="BL11" s="844" t="str">
        <f>AU324</f>
        <v>3)</v>
      </c>
      <c r="BM11" s="48" t="s">
        <v>5383</v>
      </c>
      <c r="BN11" s="642" t="str">
        <f>AV324</f>
        <v/>
      </c>
    </row>
    <row r="12" spans="1:70" ht="15" customHeight="1" x14ac:dyDescent="0.3">
      <c r="A12" s="839"/>
      <c r="B12" s="842" t="str">
        <f t="shared" si="2"/>
        <v>3. Scroll back to the top and review this Notification of Verifiable Innocence.</v>
      </c>
      <c r="C12" s="840"/>
      <c r="D12" s="840"/>
      <c r="E12" s="840"/>
      <c r="F12" s="230"/>
      <c r="AD12" s="642" t="str">
        <f t="shared" si="0"/>
        <v>3. Scroll back to the top and review this Notification of Verifiable Innocence.</v>
      </c>
      <c r="AE12" s="245" t="s">
        <v>885</v>
      </c>
      <c r="AF12" s="230" t="s">
        <v>5432</v>
      </c>
      <c r="AG12" s="245" t="s">
        <v>885</v>
      </c>
      <c r="AH12" s="813" t="str">
        <f t="shared" si="3"/>
        <v>― Only about 15% claim actual innocence, asserting they played no role in any crime.</v>
      </c>
      <c r="AI12" s="48" t="s">
        <v>5377</v>
      </c>
      <c r="AN12" s="245" t="s">
        <v>885</v>
      </c>
      <c r="AO12" s="854"/>
      <c r="BK12" s="642" t="str">
        <f t="shared" si="1"/>
        <v xml:space="preserve">― Claimant had no disciplinary issues while incarcerated. </v>
      </c>
      <c r="BL12" s="844" t="str">
        <f>AU325</f>
        <v>4)</v>
      </c>
      <c r="BM12" s="48" t="s">
        <v>5383</v>
      </c>
      <c r="BN12" s="642" t="str">
        <f>AV325</f>
        <v xml:space="preserve">Claimant had no disciplinary issues while incarcerated. </v>
      </c>
    </row>
    <row r="13" spans="1:70" ht="15" customHeight="1" x14ac:dyDescent="0.3">
      <c r="A13" s="839"/>
      <c r="B13" s="842"/>
      <c r="C13" s="840"/>
      <c r="D13" s="840"/>
      <c r="E13" s="840"/>
      <c r="F13" s="230"/>
      <c r="AN13" s="245"/>
      <c r="BK13" s="642" t="str">
        <f t="shared" si="1"/>
        <v/>
      </c>
      <c r="BL13" s="844" t="str">
        <f>AU326</f>
        <v>5)</v>
      </c>
      <c r="BM13" s="48" t="s">
        <v>5383</v>
      </c>
      <c r="BN13" s="642" t="str">
        <f>AV326</f>
        <v/>
      </c>
    </row>
    <row r="14" spans="1:70" ht="15" customHeight="1" thickBot="1" x14ac:dyDescent="0.35">
      <c r="A14" s="839"/>
      <c r="B14" s="841" t="str">
        <f t="shared" si="2"/>
        <v>Save each tab as a PDF that you can send online or print out:</v>
      </c>
      <c r="C14" s="840"/>
      <c r="D14" s="840"/>
      <c r="E14" s="840"/>
      <c r="F14" s="230"/>
      <c r="AD14" s="642" t="str">
        <f t="shared" si="0"/>
        <v>Save each tab as a PDF that you can send online or print out:</v>
      </c>
      <c r="AE14" s="245" t="s">
        <v>885</v>
      </c>
      <c r="AF14" s="230" t="s">
        <v>5558</v>
      </c>
      <c r="AG14" s="245" t="s">
        <v>885</v>
      </c>
      <c r="AH14" s="813" t="str">
        <f t="shared" si="3"/>
        <v>PLEASE BE INFORMED of the factors correlating Claimant's likely innocence.</v>
      </c>
      <c r="AI14" s="48" t="s">
        <v>5394</v>
      </c>
      <c r="AJ14" s="48" t="str">
        <f>AN202</f>
        <v>Claimant</v>
      </c>
      <c r="AK14" s="245" t="s">
        <v>5395</v>
      </c>
      <c r="AN14" s="245" t="s">
        <v>885</v>
      </c>
      <c r="AO14" s="854"/>
      <c r="BK14" s="642" t="str">
        <f t="shared" si="1"/>
        <v/>
      </c>
      <c r="BL14" s="844" t="str">
        <f>AU327</f>
        <v>6)</v>
      </c>
      <c r="BM14" s="48" t="s">
        <v>5383</v>
      </c>
      <c r="BN14" s="642" t="str">
        <f>AV327</f>
        <v/>
      </c>
    </row>
    <row r="15" spans="1:70" ht="15" customHeight="1" thickBot="1" x14ac:dyDescent="0.35">
      <c r="A15" s="839"/>
      <c r="B15" s="1166" t="str">
        <f t="shared" ref="B15:B22" si="4">AD15</f>
        <v>1. Start with the NOVI tab. Select the NOVI tab below. Review to spot any mistakes.</v>
      </c>
      <c r="C15" s="1167"/>
      <c r="D15" s="1168"/>
      <c r="E15" s="840"/>
      <c r="F15" s="230"/>
      <c r="AD15" s="642" t="str">
        <f t="shared" si="0"/>
        <v>1. Start with the NOVI tab. Select the NOVI tab below. Review to spot any mistakes.</v>
      </c>
      <c r="AE15" s="245" t="s">
        <v>885</v>
      </c>
      <c r="AF15" s="230" t="s">
        <v>5559</v>
      </c>
      <c r="AG15" s="245" t="s">
        <v>885</v>
      </c>
      <c r="AH15" s="813" t="s">
        <v>5458</v>
      </c>
      <c r="AI15" s="855" t="s">
        <v>5383</v>
      </c>
      <c r="AJ15" s="855" t="s">
        <v>5389</v>
      </c>
      <c r="AK15" s="855"/>
      <c r="AL15" s="855"/>
      <c r="AM15" s="855"/>
      <c r="AN15" s="245" t="s">
        <v>885</v>
      </c>
      <c r="AO15" s="813" t="str">
        <f>AH15</f>
        <v>SELECT FROM DROPDOWN LIST</v>
      </c>
      <c r="BK15" s="642" t="str">
        <f t="shared" si="1"/>
        <v/>
      </c>
      <c r="BL15" s="844" t="str">
        <f>AU328</f>
        <v>7)</v>
      </c>
      <c r="BM15" s="48" t="s">
        <v>5383</v>
      </c>
      <c r="BN15" s="642" t="str">
        <f>AV328</f>
        <v/>
      </c>
    </row>
    <row r="16" spans="1:70" ht="15" customHeight="1" thickBot="1" x14ac:dyDescent="0.35">
      <c r="A16" s="839"/>
      <c r="B16" s="1166" t="str">
        <f t="shared" si="4"/>
        <v>2. Come back here to correct any mistakes you find. Then click Save.</v>
      </c>
      <c r="C16" s="1167"/>
      <c r="D16" s="1168"/>
      <c r="E16" s="840"/>
      <c r="F16" s="230"/>
      <c r="AD16" s="642" t="str">
        <f t="shared" si="0"/>
        <v>2. Come back here to correct any mistakes you find. Then click Save.</v>
      </c>
      <c r="AE16" s="245" t="s">
        <v>885</v>
      </c>
      <c r="AF16" s="230" t="s">
        <v>5557</v>
      </c>
      <c r="AG16" s="245" t="s">
        <v>885</v>
      </c>
      <c r="AH16" s="813" t="s">
        <v>5458</v>
      </c>
      <c r="AI16" s="855" t="s">
        <v>5383</v>
      </c>
      <c r="AJ16" s="855" t="s">
        <v>5390</v>
      </c>
      <c r="AK16" s="855"/>
      <c r="AL16" s="855"/>
      <c r="AM16" s="855"/>
      <c r="AN16" s="245" t="s">
        <v>885</v>
      </c>
      <c r="AO16" s="813" t="str">
        <f t="shared" ref="AO16:AO21" si="5">AH16</f>
        <v>SELECT FROM DROPDOWN LIST</v>
      </c>
      <c r="BK16" s="642" t="str">
        <f t="shared" si="1"/>
        <v/>
      </c>
      <c r="BL16" s="844" t="str">
        <f>AU343</f>
        <v>8)</v>
      </c>
      <c r="BM16" s="48" t="s">
        <v>5383</v>
      </c>
      <c r="BN16" s="642" t="str">
        <f>AV343</f>
        <v/>
      </c>
    </row>
    <row r="17" spans="1:66" ht="15" customHeight="1" thickBot="1" x14ac:dyDescent="0.35">
      <c r="A17" s="839"/>
      <c r="B17" s="1166" t="str">
        <f t="shared" si="4"/>
        <v>3. Select the File menu. Click on Save As. Choose a location on your device.</v>
      </c>
      <c r="C17" s="1167"/>
      <c r="D17" s="1168"/>
      <c r="E17" s="840"/>
      <c r="F17" s="230"/>
      <c r="AD17" s="642" t="str">
        <f t="shared" si="0"/>
        <v>3. Select the File menu. Click on Save As. Choose a location on your device.</v>
      </c>
      <c r="AE17" s="245" t="s">
        <v>885</v>
      </c>
      <c r="AF17" s="230" t="s">
        <v>5556</v>
      </c>
      <c r="AG17" s="245" t="s">
        <v>885</v>
      </c>
      <c r="AH17" s="813" t="s">
        <v>5458</v>
      </c>
      <c r="AI17" s="855" t="s">
        <v>5383</v>
      </c>
      <c r="AJ17" s="855" t="s">
        <v>5391</v>
      </c>
      <c r="AK17" s="855"/>
      <c r="AL17" s="855"/>
      <c r="AM17" s="855"/>
      <c r="AN17" s="245" t="s">
        <v>885</v>
      </c>
      <c r="AO17" s="813" t="str">
        <f t="shared" si="5"/>
        <v>SELECT FROM DROPDOWN LIST</v>
      </c>
      <c r="BK17" s="642" t="str">
        <f t="shared" si="1"/>
        <v>― No criminal history</v>
      </c>
      <c r="BM17" s="48" t="s">
        <v>5383</v>
      </c>
      <c r="BN17" s="813" t="str">
        <f t="shared" ref="BN17:BN24" si="6">C913</f>
        <v>No criminal history</v>
      </c>
    </row>
    <row r="18" spans="1:66" ht="15" customHeight="1" thickBot="1" x14ac:dyDescent="0.35">
      <c r="A18" s="839"/>
      <c r="B18" s="1166" t="str">
        <f t="shared" si="4"/>
        <v>4. Below File name, click Save as type dropdown list and select “PDF (*.pdf)”.</v>
      </c>
      <c r="C18" s="1167"/>
      <c r="D18" s="1168"/>
      <c r="E18" s="840"/>
      <c r="F18" s="230"/>
      <c r="AD18" s="642" t="str">
        <f t="shared" si="0"/>
        <v>4. Below File name, click Save as type dropdown list and select “PDF (*.pdf)”.</v>
      </c>
      <c r="AE18" s="245" t="s">
        <v>885</v>
      </c>
      <c r="AF18" s="230" t="s">
        <v>5439</v>
      </c>
      <c r="AG18" s="245" t="s">
        <v>885</v>
      </c>
      <c r="AH18" s="813" t="s">
        <v>5458</v>
      </c>
      <c r="AN18" s="245" t="s">
        <v>885</v>
      </c>
      <c r="AO18" s="813" t="str">
        <f t="shared" si="5"/>
        <v>SELECT FROM DROPDOWN LIST</v>
      </c>
      <c r="BK18" s="642" t="str">
        <f t="shared" si="1"/>
        <v>― Consistently maintained innocence, took no plea deals</v>
      </c>
      <c r="BM18" s="48" t="s">
        <v>5383</v>
      </c>
      <c r="BN18" s="813" t="str">
        <f t="shared" si="6"/>
        <v>Consistently maintained innocence, took no plea deals</v>
      </c>
    </row>
    <row r="19" spans="1:66" ht="15" customHeight="1" thickBot="1" x14ac:dyDescent="0.35">
      <c r="A19" s="839"/>
      <c r="B19" s="1166" t="str">
        <f t="shared" si="4"/>
        <v>5. Click the Save button at the lower right of the dialog box.</v>
      </c>
      <c r="C19" s="1167"/>
      <c r="D19" s="1168"/>
      <c r="E19" s="840"/>
      <c r="F19" s="230"/>
      <c r="AD19" s="642" t="str">
        <f t="shared" si="0"/>
        <v>5. Click the Save button at the lower right of the dialog box.</v>
      </c>
      <c r="AE19" s="245" t="s">
        <v>885</v>
      </c>
      <c r="AF19" s="230" t="s">
        <v>5440</v>
      </c>
      <c r="AG19" s="245" t="s">
        <v>885</v>
      </c>
      <c r="AH19" s="813" t="s">
        <v>5458</v>
      </c>
      <c r="AN19" s="245" t="s">
        <v>885</v>
      </c>
      <c r="AO19" s="813" t="str">
        <f t="shared" si="5"/>
        <v>SELECT FROM DROPDOWN LIST</v>
      </c>
      <c r="BK19" s="642" t="str">
        <f t="shared" si="1"/>
        <v>― Transphobic investigation and prosecution</v>
      </c>
      <c r="BM19" s="48" t="s">
        <v>5383</v>
      </c>
      <c r="BN19" s="813" t="str">
        <f t="shared" si="6"/>
        <v>Transphobic investigation and prosecution</v>
      </c>
    </row>
    <row r="20" spans="1:66" ht="15" customHeight="1" thickBot="1" x14ac:dyDescent="0.35">
      <c r="A20" s="839"/>
      <c r="B20" s="1166" t="str">
        <f t="shared" si="4"/>
        <v xml:space="preserve">6. Review your saved version in your Acrobat PDF Reader. </v>
      </c>
      <c r="C20" s="1167"/>
      <c r="D20" s="1168"/>
      <c r="E20" s="840"/>
      <c r="F20" s="230"/>
      <c r="AD20" s="642" t="str">
        <f t="shared" si="0"/>
        <v xml:space="preserve">6. Review your saved version in your Acrobat PDF Reader. </v>
      </c>
      <c r="AE20" s="245" t="s">
        <v>885</v>
      </c>
      <c r="AF20" s="230" t="s">
        <v>5441</v>
      </c>
      <c r="AG20" s="245" t="s">
        <v>885</v>
      </c>
      <c r="AH20" s="813" t="s">
        <v>5458</v>
      </c>
      <c r="AN20" s="245" t="s">
        <v>885</v>
      </c>
      <c r="AO20" s="813" t="str">
        <f t="shared" si="5"/>
        <v>SELECT FROM DROPDOWN LIST</v>
      </c>
      <c r="BK20" s="642" t="str">
        <f>IF(BN20="","",CONCATENATE(BM20,BN20,BO20))</f>
        <v>― Convicted without corroborating evidence</v>
      </c>
      <c r="BM20" s="48" t="s">
        <v>5383</v>
      </c>
      <c r="BN20" s="813" t="str">
        <f t="shared" si="6"/>
        <v>Convicted without corroborating evidence</v>
      </c>
    </row>
    <row r="21" spans="1:66" ht="15" customHeight="1" thickBot="1" x14ac:dyDescent="0.35">
      <c r="A21" s="839"/>
      <c r="B21" s="1166" t="str">
        <f t="shared" si="4"/>
        <v>Repeat these step to save the other tabs as a PDF: COVI, EIR, &amp; CQR.</v>
      </c>
      <c r="C21" s="1167"/>
      <c r="D21" s="1168"/>
      <c r="E21" s="840"/>
      <c r="F21" s="230"/>
      <c r="AD21" s="642" t="str">
        <f t="shared" si="0"/>
        <v>Repeat these step to save the other tabs as a PDF: COVI, EIR, &amp; CQR.</v>
      </c>
      <c r="AE21" s="245" t="s">
        <v>885</v>
      </c>
      <c r="AF21" s="230" t="s">
        <v>5560</v>
      </c>
      <c r="AG21" s="245" t="s">
        <v>885</v>
      </c>
      <c r="AH21" s="813" t="s">
        <v>5458</v>
      </c>
      <c r="AN21" s="245" t="s">
        <v>885</v>
      </c>
      <c r="AO21" s="813" t="str">
        <f t="shared" si="5"/>
        <v>SELECT FROM DROPDOWN LIST</v>
      </c>
      <c r="BK21" s="642" t="str">
        <f>IF(BN21="","",CONCATENATE(BM21,BN21,BO21))</f>
        <v>― Climate of sex abuse hysteria</v>
      </c>
      <c r="BM21" s="48" t="s">
        <v>5383</v>
      </c>
      <c r="BN21" s="813" t="str">
        <f t="shared" si="6"/>
        <v>Climate of sex abuse hysteria</v>
      </c>
    </row>
    <row r="22" spans="1:66" ht="15" customHeight="1" x14ac:dyDescent="0.3">
      <c r="A22" s="839"/>
      <c r="B22" s="841" t="str">
        <f t="shared" si="4"/>
        <v>The default setting here lets you print this whole spreadsheet through the last page.</v>
      </c>
      <c r="C22" s="840"/>
      <c r="D22" s="840"/>
      <c r="E22" s="840"/>
      <c r="F22" s="230"/>
      <c r="AD22" s="642" t="str">
        <f t="shared" si="0"/>
        <v>The default setting here lets you print this whole spreadsheet through the last page.</v>
      </c>
      <c r="AE22" s="245" t="s">
        <v>885</v>
      </c>
      <c r="AF22" s="230" t="s">
        <v>5561</v>
      </c>
      <c r="AG22" s="245" t="s">
        <v>885</v>
      </c>
      <c r="AH22" s="813" t="str">
        <f t="shared" si="3"/>
        <v>Do you suppose Claimant accomplished all this to "game" the system?</v>
      </c>
      <c r="AI22" s="48" t="s">
        <v>5404</v>
      </c>
      <c r="AJ22" s="48" t="str">
        <f>AN202</f>
        <v>Claimant</v>
      </c>
      <c r="AK22" s="48" t="s">
        <v>5405</v>
      </c>
      <c r="AN22" s="245" t="s">
        <v>885</v>
      </c>
      <c r="AO22" s="854"/>
      <c r="BK22" s="642" t="str">
        <f>IF(BN22="","",CONCATENATE(BM22,BN22,BO22))</f>
        <v>― Media sensationalized coverage</v>
      </c>
      <c r="BM22" s="48" t="s">
        <v>5383</v>
      </c>
      <c r="BN22" s="813" t="str">
        <f t="shared" si="6"/>
        <v>Media sensationalized coverage</v>
      </c>
    </row>
    <row r="23" spans="1:66" ht="15" customHeight="1" x14ac:dyDescent="0.3">
      <c r="A23" s="839"/>
      <c r="B23" s="841"/>
      <c r="C23" s="840"/>
      <c r="D23" s="840"/>
      <c r="E23" s="840"/>
      <c r="F23" s="230"/>
      <c r="AN23" s="245"/>
      <c r="BK23" s="642" t="str">
        <f>IF(BN23="","",CONCATENATE(BM23,BN23,BO23))</f>
        <v>― Exculpatory evidence overlooked with untested DNA</v>
      </c>
      <c r="BM23" s="48" t="s">
        <v>5383</v>
      </c>
      <c r="BN23" s="813" t="str">
        <f t="shared" si="6"/>
        <v>Exculpatory evidence overlooked with untested DNA</v>
      </c>
    </row>
    <row r="24" spans="1:66" ht="15" customHeight="1" x14ac:dyDescent="0.3">
      <c r="A24" s="839"/>
      <c r="B24" s="841" t="str">
        <f>AD24</f>
        <v>Potential uses for your Notification and Certificate of Innocence.</v>
      </c>
      <c r="C24" s="840"/>
      <c r="D24" s="840"/>
      <c r="E24" s="840"/>
      <c r="F24" s="230"/>
      <c r="AD24" s="642" t="str">
        <f t="shared" si="0"/>
        <v>Potential uses for your Notification and Certificate of Innocence.</v>
      </c>
      <c r="AE24" s="245" t="s">
        <v>885</v>
      </c>
      <c r="AF24" s="230" t="s">
        <v>5443</v>
      </c>
      <c r="AG24" s="245" t="s">
        <v>885</v>
      </c>
      <c r="AH24" s="813" t="str">
        <f t="shared" si="3"/>
        <v>PLEASE BE INFORMED of the scope of the problem of wrongful convictions in the U.S.</v>
      </c>
      <c r="AI24" s="48" t="s">
        <v>5381</v>
      </c>
      <c r="AN24" s="245" t="s">
        <v>885</v>
      </c>
      <c r="AO24" s="854"/>
      <c r="BK24" s="642" t="str">
        <f>IF(BN24="","",CONCATENATE(BM24,BN24,BO24))</f>
        <v>― Asexual transperson must register for life as "sex offender"</v>
      </c>
      <c r="BM24" s="48" t="s">
        <v>5383</v>
      </c>
      <c r="BN24" s="813" t="str">
        <f t="shared" si="6"/>
        <v>Asexual transperson must register for life as "sex offender"</v>
      </c>
    </row>
    <row r="25" spans="1:66" ht="15" customHeight="1" x14ac:dyDescent="0.3">
      <c r="A25" s="839"/>
      <c r="B25" s="842" t="str">
        <f t="shared" ref="B25:B34" si="7">AD25</f>
        <v>1. If still incarcerated, send to an innocence project when asking for their help.</v>
      </c>
      <c r="C25" s="840"/>
      <c r="D25" s="840"/>
      <c r="E25" s="840"/>
      <c r="F25" s="230"/>
      <c r="AD25" s="642" t="str">
        <f t="shared" si="0"/>
        <v>1. If still incarcerated, send to an innocence project when asking for their help.</v>
      </c>
      <c r="AE25" s="245" t="s">
        <v>885</v>
      </c>
      <c r="AF25" s="230" t="s">
        <v>5444</v>
      </c>
      <c r="AG25" s="245" t="s">
        <v>885</v>
      </c>
      <c r="AH25" s="813" t="str">
        <f t="shared" si="3"/>
        <v>― The volume of criminal cases police and prosecutors process often tempt costly shortcuts.</v>
      </c>
      <c r="AI25" s="48" t="s">
        <v>5388</v>
      </c>
      <c r="AN25" s="245" t="s">
        <v>885</v>
      </c>
      <c r="AO25" s="854"/>
    </row>
    <row r="26" spans="1:66" ht="15" customHeight="1" x14ac:dyDescent="0.3">
      <c r="A26" s="839"/>
      <c r="B26" s="842" t="str">
        <f t="shared" si="7"/>
        <v>2. If still incarcerated, send to the CIU or DA to demonstrate grounds for review.</v>
      </c>
      <c r="C26" s="840"/>
      <c r="D26" s="840"/>
      <c r="E26" s="840"/>
      <c r="F26" s="230"/>
      <c r="AD26" s="642" t="str">
        <f t="shared" si="0"/>
        <v>2. If still incarcerated, send to the CIU or DA to demonstrate grounds for review.</v>
      </c>
      <c r="AE26" s="245" t="s">
        <v>885</v>
      </c>
      <c r="AF26" s="230" t="s">
        <v>5445</v>
      </c>
      <c r="AG26" s="245" t="s">
        <v>885</v>
      </c>
      <c r="AH26" s="813" t="str">
        <f t="shared" si="3"/>
        <v xml:space="preserve">― Our judicial system seeks a fair process more than measurably just outcomes or impacts. </v>
      </c>
      <c r="AI26" s="48" t="s">
        <v>5386</v>
      </c>
      <c r="AN26" s="245" t="s">
        <v>885</v>
      </c>
      <c r="AO26" s="854"/>
    </row>
    <row r="27" spans="1:66" ht="15" customHeight="1" x14ac:dyDescent="0.3">
      <c r="A27" s="839"/>
      <c r="B27" s="842" t="str">
        <f t="shared" si="7"/>
        <v>3. If post-incarcerated, send to prospect employer when they conduct a background check.</v>
      </c>
      <c r="C27" s="840"/>
      <c r="D27" s="840"/>
      <c r="E27" s="840"/>
      <c r="F27" s="230"/>
      <c r="AD27" s="642" t="str">
        <f t="shared" si="0"/>
        <v>3. If post-incarcerated, send to prospect employer when they conduct a background check.</v>
      </c>
      <c r="AE27" s="245" t="s">
        <v>885</v>
      </c>
      <c r="AF27" s="230" t="s">
        <v>5446</v>
      </c>
      <c r="AG27" s="245" t="s">
        <v>885</v>
      </c>
      <c r="AH27" s="813" t="str">
        <f t="shared" si="3"/>
        <v>― The appellate process routinely misses innocence later discovered by DNA or other means.</v>
      </c>
      <c r="AI27" s="48" t="s">
        <v>5380</v>
      </c>
      <c r="AN27" s="245" t="s">
        <v>885</v>
      </c>
      <c r="AO27" s="854"/>
    </row>
    <row r="28" spans="1:66" ht="15" customHeight="1" x14ac:dyDescent="0.3">
      <c r="A28" s="839"/>
      <c r="B28" s="842" t="str">
        <f t="shared" si="7"/>
        <v>4. If post-incarcerated, accompany a lease application for housing.</v>
      </c>
      <c r="C28" s="840"/>
      <c r="D28" s="840"/>
      <c r="E28" s="840"/>
      <c r="F28" s="230"/>
      <c r="AD28" s="642" t="str">
        <f t="shared" si="0"/>
        <v>4. If post-incarcerated, accompany a lease application for housing.</v>
      </c>
      <c r="AE28" s="245" t="s">
        <v>885</v>
      </c>
      <c r="AF28" s="230" t="s">
        <v>5447</v>
      </c>
      <c r="AG28" s="245" t="s">
        <v>885</v>
      </c>
      <c r="AH28" s="813" t="str">
        <f t="shared" si="3"/>
        <v>― Research finds up to 15% are wrongly convicted, while only about 15% claim full innocence.</v>
      </c>
      <c r="AI28" s="48" t="s">
        <v>5379</v>
      </c>
      <c r="AN28" s="245" t="s">
        <v>885</v>
      </c>
      <c r="AO28" s="854"/>
    </row>
    <row r="29" spans="1:66" ht="15" customHeight="1" x14ac:dyDescent="0.3">
      <c r="A29" s="839"/>
      <c r="B29" s="842" t="str">
        <f t="shared" si="7"/>
        <v>5. Any other way you can think to notify those who would wrongly discriminate against you.</v>
      </c>
      <c r="C29" s="840"/>
      <c r="D29" s="840"/>
      <c r="E29" s="840"/>
      <c r="F29" s="230"/>
      <c r="AD29" s="642" t="str">
        <f t="shared" si="0"/>
        <v>5. Any other way you can think to notify those who would wrongly discriminate against you.</v>
      </c>
      <c r="AE29" s="245" t="s">
        <v>885</v>
      </c>
      <c r="AF29" s="230" t="s">
        <v>5448</v>
      </c>
      <c r="AG29" s="245" t="s">
        <v>885</v>
      </c>
      <c r="AH29" s="813" t="str">
        <f t="shared" si="3"/>
        <v>― Innocence projects and conviction review units receive more requests than they can serve.</v>
      </c>
      <c r="AI29" s="48" t="s">
        <v>5387</v>
      </c>
      <c r="AN29" s="245" t="s">
        <v>885</v>
      </c>
      <c r="AO29" s="854"/>
    </row>
    <row r="30" spans="1:66" ht="15" customHeight="1" x14ac:dyDescent="0.3">
      <c r="A30" s="839"/>
      <c r="B30" s="840"/>
      <c r="C30" s="840"/>
      <c r="D30" s="840"/>
      <c r="E30" s="840"/>
      <c r="F30" s="230"/>
      <c r="AN30" s="245"/>
    </row>
    <row r="31" spans="1:66" ht="15" customHeight="1" x14ac:dyDescent="0.3">
      <c r="A31" s="839"/>
      <c r="B31" s="841" t="str">
        <f t="shared" si="7"/>
        <v>Receive support how to best use this tool. Explore our support and advocacy options.</v>
      </c>
      <c r="C31" s="840"/>
      <c r="D31" s="840"/>
      <c r="E31" s="840"/>
      <c r="F31" s="230"/>
      <c r="AD31" s="642" t="str">
        <f t="shared" si="0"/>
        <v>Receive support how to best use this tool. Explore our support and advocacy options.</v>
      </c>
      <c r="AE31" s="245" t="s">
        <v>885</v>
      </c>
      <c r="AF31" s="230" t="s">
        <v>5449</v>
      </c>
      <c r="AG31" s="245" t="s">
        <v>885</v>
      </c>
      <c r="AH31" s="813" t="str">
        <f t="shared" si="3"/>
        <v>PLEASE BE AWARE of the wrongful conviction's impact on Claimant's capacity to contest it.</v>
      </c>
      <c r="AI31" s="48" t="s">
        <v>5421</v>
      </c>
      <c r="AJ31" s="48" t="str">
        <f>AN202</f>
        <v>Claimant</v>
      </c>
      <c r="AK31" s="245" t="s">
        <v>5382</v>
      </c>
      <c r="AN31" s="245" t="s">
        <v>885</v>
      </c>
      <c r="AO31" s="854"/>
    </row>
    <row r="32" spans="1:66" ht="15" customHeight="1" x14ac:dyDescent="0.3">
      <c r="A32" s="839"/>
      <c r="B32" s="842" t="str">
        <f t="shared" si="7"/>
        <v>1. Join our online forum “Estimated Innocence” to engage others interested in this tool.</v>
      </c>
      <c r="C32" s="840"/>
      <c r="D32" s="840"/>
      <c r="E32" s="840"/>
      <c r="F32" s="230"/>
      <c r="AD32" s="642" t="str">
        <f t="shared" si="0"/>
        <v>1. Join our online forum “Estimated Innocence” to engage others interested in this tool.</v>
      </c>
      <c r="AE32" s="245" t="s">
        <v>885</v>
      </c>
      <c r="AF32" s="230" t="s">
        <v>5550</v>
      </c>
      <c r="AG32" s="245" t="s">
        <v>885</v>
      </c>
      <c r="AH32" s="813" t="str">
        <f t="shared" si="3"/>
        <v>― Claimant's economic capacity has been damaged, so claimant cannot afford most costs.</v>
      </c>
      <c r="AI32" s="245" t="s">
        <v>5383</v>
      </c>
      <c r="AJ32" s="245" t="str">
        <f>AN202</f>
        <v>Claimant</v>
      </c>
      <c r="AK32" s="245" t="s">
        <v>5423</v>
      </c>
      <c r="AL32" s="48" t="str">
        <f>BH206</f>
        <v>claimant</v>
      </c>
      <c r="AM32" s="48" t="s">
        <v>5384</v>
      </c>
      <c r="AN32" s="245" t="s">
        <v>885</v>
      </c>
      <c r="AO32" s="854"/>
    </row>
    <row r="33" spans="1:86" ht="15" customHeight="1" x14ac:dyDescent="0.3">
      <c r="A33" s="839"/>
      <c r="B33" s="842" t="str">
        <f t="shared" si="7"/>
        <v>2. Listen to the Need-Response podcast for insights from the creator of this tool.</v>
      </c>
      <c r="C33" s="840"/>
      <c r="D33" s="840"/>
      <c r="E33" s="840"/>
      <c r="F33" s="230"/>
      <c r="AD33" s="642" t="str">
        <f t="shared" si="0"/>
        <v>2. Listen to the Need-Response podcast for insights from the creator of this tool.</v>
      </c>
      <c r="AE33" s="245" t="s">
        <v>885</v>
      </c>
      <c r="AF33" s="230" t="s">
        <v>5551</v>
      </c>
      <c r="AG33" s="245" t="s">
        <v>885</v>
      </c>
      <c r="AH33" s="813" t="str">
        <f t="shared" si="3"/>
        <v>― This claim is not yet verified, due largely to economic and familial damage.</v>
      </c>
      <c r="AI33" s="48" t="s">
        <v>5383</v>
      </c>
      <c r="AJ33" s="48" t="s">
        <v>5422</v>
      </c>
      <c r="AN33" s="245" t="s">
        <v>885</v>
      </c>
      <c r="AO33" s="854"/>
    </row>
    <row r="34" spans="1:86" ht="15" customHeight="1" x14ac:dyDescent="0.3">
      <c r="A34" s="839"/>
      <c r="B34" s="842" t="str">
        <f t="shared" si="7"/>
        <v>3. Book a free online session with this tool's creator; donate afterwards.</v>
      </c>
      <c r="C34" s="840"/>
      <c r="D34" s="840"/>
      <c r="E34" s="840"/>
      <c r="F34" s="230"/>
      <c r="AD34" s="642" t="str">
        <f t="shared" si="0"/>
        <v>3. Book a free online session with this tool's creator; donate afterwards.</v>
      </c>
      <c r="AE34" s="245" t="s">
        <v>885</v>
      </c>
      <c r="AF34" s="230" t="s">
        <v>5553</v>
      </c>
      <c r="AG34" s="245" t="s">
        <v>885</v>
      </c>
      <c r="AH34" s="813" t="str">
        <f t="shared" si="3"/>
        <v>― Claimant is now vulnerable to widespread discrimination, under color of law.</v>
      </c>
      <c r="AI34" s="245" t="s">
        <v>5383</v>
      </c>
      <c r="AJ34" s="245" t="str">
        <f>AN202</f>
        <v>Claimant</v>
      </c>
      <c r="AK34" s="245" t="s">
        <v>5385</v>
      </c>
      <c r="AN34" s="245" t="s">
        <v>885</v>
      </c>
      <c r="AO34" s="854"/>
    </row>
    <row r="35" spans="1:86" ht="15" customHeight="1" x14ac:dyDescent="0.3">
      <c r="A35" s="839"/>
      <c r="B35" s="840"/>
      <c r="C35" s="840"/>
      <c r="D35" s="840"/>
      <c r="E35" s="840"/>
      <c r="F35" s="230"/>
      <c r="AE35" s="245" t="s">
        <v>885</v>
      </c>
      <c r="AG35" s="245" t="s">
        <v>885</v>
      </c>
      <c r="AI35" s="245" t="s">
        <v>885</v>
      </c>
      <c r="AN35" s="245"/>
    </row>
    <row r="36" spans="1:86" ht="15" customHeight="1" x14ac:dyDescent="0.3">
      <c r="A36" s="839"/>
      <c r="B36" s="1169" t="str">
        <f>AD36</f>
        <v>This is a pioneering tool. You could be among the first to utilize this radical approach. You could help make history. But it comes without any promises. By using this tool, you agree to our terms of use and privacy policy. As a new approach to address the problem of wrongful convictions, you agree we cannot guarantee it will result in exoneration. But it may improve your chances.</v>
      </c>
      <c r="C36" s="1169"/>
      <c r="D36" s="1169"/>
      <c r="E36" s="840"/>
      <c r="F36" s="230"/>
      <c r="AD36" s="642" t="str">
        <f t="shared" si="0"/>
        <v>This is a pioneering tool. You could be among the first to utilize this radical approach. You could help make history. But it comes without any promises. By using this tool, you agree to our terms of use and privacy policy. As a new approach to address the problem of wrongful convictions, you agree we cannot guarantee it will result in exoneration. But it may improve your chances.</v>
      </c>
      <c r="AE36" s="245" t="s">
        <v>885</v>
      </c>
      <c r="AF36" s="230" t="s">
        <v>5453</v>
      </c>
      <c r="AG36" s="245" t="s">
        <v>885</v>
      </c>
      <c r="AH36" s="813" t="str">
        <f t="shared" si="3"/>
        <v>PLEASE BE AWARE you are in a position that could risk harm to the innocent. From this point forward, your actions toward Claimant are to be documented. Harmful actions may be used against you in the court of public opinion. Supportive actions shall be appreciated. Any injustice in the name of justice can no longer be tolerated. Thank you for your sympathetic understanding.</v>
      </c>
      <c r="AI36" s="48" t="s">
        <v>5392</v>
      </c>
      <c r="AJ36" s="48" t="str">
        <f>AN202</f>
        <v>Claimant</v>
      </c>
      <c r="AK36" s="48" t="s">
        <v>5393</v>
      </c>
      <c r="AN36" s="245" t="s">
        <v>885</v>
      </c>
      <c r="AO36" s="854"/>
    </row>
    <row r="37" spans="1:86" ht="15" customHeight="1" x14ac:dyDescent="0.3">
      <c r="A37" s="839"/>
      <c r="B37" s="1169"/>
      <c r="C37" s="1169"/>
      <c r="D37" s="1169"/>
      <c r="E37" s="840"/>
      <c r="F37" s="230"/>
    </row>
    <row r="38" spans="1:86" ht="15" customHeight="1" x14ac:dyDescent="0.3">
      <c r="A38" s="839"/>
      <c r="B38" s="1169"/>
      <c r="C38" s="1169"/>
      <c r="D38" s="1169"/>
      <c r="E38" s="840"/>
      <c r="F38" s="230"/>
    </row>
    <row r="39" spans="1:86" ht="15" customHeight="1" x14ac:dyDescent="0.3">
      <c r="A39" s="839"/>
      <c r="B39" s="1169"/>
      <c r="C39" s="1169"/>
      <c r="D39" s="1169"/>
      <c r="E39" s="840"/>
      <c r="F39" s="230"/>
    </row>
    <row r="40" spans="1:86" ht="15" customHeight="1" x14ac:dyDescent="0.3">
      <c r="A40" s="839"/>
      <c r="B40" s="1169"/>
      <c r="C40" s="1169"/>
      <c r="D40" s="1169"/>
      <c r="E40" s="840"/>
      <c r="F40" s="230"/>
    </row>
    <row r="41" spans="1:86" ht="15" customHeight="1" x14ac:dyDescent="0.3">
      <c r="A41" s="839"/>
      <c r="B41" s="1169"/>
      <c r="C41" s="1169"/>
      <c r="D41" s="1169"/>
      <c r="E41" s="840"/>
      <c r="F41" s="230"/>
    </row>
    <row r="42" spans="1:86" ht="19" customHeight="1" x14ac:dyDescent="0.3">
      <c r="A42" s="839"/>
      <c r="B42" s="839"/>
      <c r="C42" s="839"/>
      <c r="D42" s="839"/>
      <c r="E42" s="839"/>
      <c r="F42" s="230"/>
    </row>
    <row r="43" spans="1:86" ht="20" customHeight="1" x14ac:dyDescent="0.3">
      <c r="A43" s="845"/>
      <c r="B43" s="845"/>
      <c r="C43" s="845"/>
      <c r="D43" s="845"/>
      <c r="E43" s="845"/>
      <c r="F43" s="806"/>
      <c r="AP43" s="48" t="str">
        <f>AP45</f>
        <v>Provided as a free service of need-response.</v>
      </c>
    </row>
    <row r="44" spans="1:86" ht="300" customHeight="1" x14ac:dyDescent="0.3">
      <c r="A44" s="845"/>
      <c r="B44" s="1162" t="str">
        <f>AI44</f>
        <v>THIS CERTIFIES THAT</v>
      </c>
      <c r="C44" s="1161" t="str">
        <f>AI45</f>
        <v>Claimant</v>
      </c>
      <c r="D44" s="1163" t="str">
        <f>AI46</f>
        <v>FILL IN EACH FIELD OF THE QUESTIONNAIRE, THEN THIS TURNS INTO A CAREFULLY WORDED CERTIFICATE FOR YOUR USE.</v>
      </c>
      <c r="E44" s="846" t="str">
        <f>AO44</f>
        <v>By using this certificate, you agree to our terms and privacy policy.</v>
      </c>
      <c r="F44" s="806"/>
      <c r="AI44" s="48" t="str">
        <f>IF(C1770=AG1770,"WE CERTIFY THAT","THIS CERTIFIES THAT")</f>
        <v>THIS CERTIFIES THAT</v>
      </c>
      <c r="AO44" s="48" t="str">
        <f>IF(AD1=AI1,BI44,AP44)</f>
        <v>By using this certificate, you agree to our terms and privacy policy.</v>
      </c>
      <c r="AP44" s="48" t="str">
        <f>IF(C1770=AG1770,"Vouched for by neeed-response",BB44)</f>
        <v>Vouched by many of Claimant's supporters</v>
      </c>
      <c r="BB44" s="14" t="str">
        <f>CONCATENATE(BD44,BE44,BF44,BG44)</f>
        <v>Vouched by many of Claimant's supporters</v>
      </c>
      <c r="BD44" s="48" t="s">
        <v>5418</v>
      </c>
      <c r="BE44" s="48" t="str">
        <f>IF(AX1845&gt;19,CONCATENATE(AX1845," "),"many of ")</f>
        <v xml:space="preserve">many of </v>
      </c>
      <c r="BF44" s="48" t="str">
        <f>AN202</f>
        <v>Claimant</v>
      </c>
      <c r="BG44" s="245" t="s">
        <v>5419</v>
      </c>
      <c r="BI44" s="48" t="s">
        <v>5457</v>
      </c>
      <c r="BT44" s="642" t="str">
        <f>CONCATENATE(BV44,BW44,BX44,BY44,BZ44)</f>
        <v xml:space="preserve">has a 0% likelihood of being actually innocent </v>
      </c>
      <c r="BU44" s="245" t="s">
        <v>885</v>
      </c>
      <c r="BV44" s="48" t="s">
        <v>5368</v>
      </c>
      <c r="BW44" s="386" t="str">
        <f>IF(OR(BX44=8,BX44=18,AND(BX44&gt;=80,BX44&lt;=89)),"an ","a ")</f>
        <v xml:space="preserve">a </v>
      </c>
      <c r="BX44" s="386">
        <f>AI1984</f>
        <v>0</v>
      </c>
      <c r="BY44" s="245" t="s">
        <v>5417</v>
      </c>
      <c r="CD44" s="441" t="s">
        <v>5491</v>
      </c>
    </row>
    <row r="45" spans="1:86" ht="35" customHeight="1" x14ac:dyDescent="0.3">
      <c r="A45" s="845"/>
      <c r="B45" s="1162"/>
      <c r="C45" s="1161"/>
      <c r="D45" s="1163"/>
      <c r="E45" s="847"/>
      <c r="F45" s="806"/>
      <c r="AI45" s="48" t="str">
        <f>BG202</f>
        <v>Claimant</v>
      </c>
      <c r="AP45" s="48" t="str">
        <f>IF(AD1=AI1,AX45,CONCATENATE(AQ45,AR45,AS45))</f>
        <v>Provided as a free service of need-response.</v>
      </c>
      <c r="AQ45" s="48" t="s">
        <v>5416</v>
      </c>
      <c r="AR45" s="1164" t="str">
        <f ca="1">TEXT(BM45,"MMMM DD, YYYY")</f>
        <v>April 27, 2025</v>
      </c>
      <c r="AS45" s="1165"/>
      <c r="AT45" s="1165"/>
      <c r="AU45" s="1165"/>
      <c r="AV45" s="1165"/>
      <c r="AX45" s="48" t="s">
        <v>5579</v>
      </c>
      <c r="BM45" s="1165">
        <f ca="1">TODAY()</f>
        <v>45774</v>
      </c>
      <c r="BN45" s="1165"/>
      <c r="BO45" s="1165"/>
      <c r="BP45" s="1165"/>
      <c r="BQ45" s="1165"/>
      <c r="BT45" s="642" t="str">
        <f t="shared" ref="BT45" si="8">CONCATENATE(BV45,BW45,BX45,BY45,BZ45)</f>
        <v xml:space="preserve">of a wrongful conviction, when compared to </v>
      </c>
      <c r="BU45" s="245" t="s">
        <v>885</v>
      </c>
      <c r="BV45" s="48" t="s">
        <v>5369</v>
      </c>
      <c r="CH45" s="855" t="s">
        <v>5455</v>
      </c>
    </row>
    <row r="46" spans="1:86" ht="300" customHeight="1" x14ac:dyDescent="0.3">
      <c r="A46" s="845"/>
      <c r="B46" s="1162"/>
      <c r="C46" s="1161"/>
      <c r="D46" s="1163"/>
      <c r="E46" s="848" t="str">
        <f>AP45</f>
        <v>Provided as a free service of need-response.</v>
      </c>
      <c r="F46" s="806"/>
      <c r="AI46" s="48" t="str">
        <f>IF(AD1=AI1,CD44,CONCATENATE(BT44,BT45,BT46))</f>
        <v>FILL IN EACH FIELD OF THE QUESTIONNAIRE, THEN THIS TURNS INTO A CAREFULLY WORDED CERTIFICATE FOR YOUR USE.</v>
      </c>
      <c r="BT46" s="642" t="str">
        <f>CONCATENATE(BV46,BW46,BX46,BY46,BZ46)</f>
        <v>exonerations of similar circumstances.</v>
      </c>
      <c r="BU46" s="245" t="s">
        <v>885</v>
      </c>
      <c r="BV46" s="48" t="s">
        <v>5370</v>
      </c>
    </row>
    <row r="47" spans="1:86" ht="20" customHeight="1" thickBot="1" x14ac:dyDescent="0.35">
      <c r="A47" s="845"/>
      <c r="B47" s="845"/>
      <c r="C47" s="845"/>
      <c r="D47" s="845"/>
      <c r="E47" s="845"/>
      <c r="F47" s="806"/>
    </row>
    <row r="48" spans="1:86" hidden="1" x14ac:dyDescent="0.3"/>
    <row r="49" spans="1:69" hidden="1" x14ac:dyDescent="0.3"/>
    <row r="50" spans="1:69" ht="14.5" hidden="1" thickBot="1" x14ac:dyDescent="0.35"/>
    <row r="51" spans="1:69" ht="40" customHeight="1" thickTop="1" thickBot="1" x14ac:dyDescent="0.6">
      <c r="A51" s="1"/>
      <c r="B51" s="2">
        <f>E780</f>
        <v>0</v>
      </c>
      <c r="C51" s="592" t="str">
        <f>IF(B52&lt;1,BJ51,BQ51)</f>
        <v>Likely innocence</v>
      </c>
      <c r="D51" s="3" t="str">
        <f>IF(B52&gt;B51,BG52,BG51)</f>
        <v/>
      </c>
      <c r="E51" s="1"/>
      <c r="F51" s="1"/>
      <c r="AC51" s="528">
        <f>IF(AND($B51&gt;0,$B51&lt;=0.2),AQ51,0)</f>
        <v>0</v>
      </c>
      <c r="AD51" s="5">
        <f>IF(AND($B51&gt;0.2,$B51&lt;=0.4),AR51,0)</f>
        <v>0</v>
      </c>
      <c r="AE51" s="5">
        <f>IF(AND($B51&gt;0.4,$B51&lt;=0.6),AS51,0)</f>
        <v>0</v>
      </c>
      <c r="AF51" s="5">
        <f>IF(AND($B51&gt;0.6,$B51&lt;=0.8),AT51,0)</f>
        <v>0</v>
      </c>
      <c r="AG51" s="5">
        <f>IF(AND($B51&gt;0.8,$B51&lt;=1),AU51,0)</f>
        <v>0</v>
      </c>
      <c r="AI51" s="48" t="s">
        <v>0</v>
      </c>
      <c r="AJ51" s="48" t="s">
        <v>1</v>
      </c>
      <c r="AK51" s="48" t="s">
        <v>2</v>
      </c>
      <c r="AL51" s="48" t="s">
        <v>3</v>
      </c>
      <c r="AM51" s="48" t="s">
        <v>4</v>
      </c>
      <c r="AO51" s="6" t="s">
        <v>5</v>
      </c>
      <c r="AQ51" s="7" t="str">
        <f>CONCATENATE(AI51,$AO51)</f>
        <v>weak claim</v>
      </c>
      <c r="AR51" s="8" t="str">
        <f>CONCATENATE(AJ51,$AO51)</f>
        <v>poor claim</v>
      </c>
      <c r="AS51" s="9" t="str">
        <f>CONCATENATE(AK51,$AO51)</f>
        <v>fair claim</v>
      </c>
      <c r="AT51" s="10" t="str">
        <f>CONCATENATE(AL51,$AO51)</f>
        <v>good claim</v>
      </c>
      <c r="AU51" s="11" t="str">
        <f>CONCATENATE(AM51,$AO51)</f>
        <v>strong claim</v>
      </c>
      <c r="AX51" s="529">
        <f>IF(AND($B$51&gt;0,$B$51&lt;=0.2),AQ51,IF(AND($B$51&gt;0.2,$B$51&lt;=0.4),AR51,IF(AND($B$51&gt;0.4,$B$51&lt;=0.6),AS51,IF(AND($B$51&gt;0.6,$B$51&lt;=0.8),AT51,IF(AND($B$51&gt;0.8,$B$51&lt;=1),AU51,0)))))</f>
        <v>0</v>
      </c>
      <c r="BB51" s="12" t="s">
        <v>6</v>
      </c>
      <c r="BG51" s="13" t="str">
        <f>IF(AND(B51&gt;0,B51&lt;=0.2),AQ51,IF(AND(B51&gt;0.2,B51&lt;=0.4),AR51,IF(AND(B51&gt;0.4,B51&lt;=0.6),AS51,IF(AND(B51&gt;0.6,B51&lt;=0.8),AT51,IF(AND(B51&gt;0.8,B51&lt;=1),AU51,"")))))</f>
        <v/>
      </c>
      <c r="BJ51" s="598" t="s">
        <v>3931</v>
      </c>
      <c r="BQ51" s="598" t="s">
        <v>3983</v>
      </c>
    </row>
    <row r="52" spans="1:69" ht="20" customHeight="1" thickTop="1" x14ac:dyDescent="0.3">
      <c r="A52" s="1"/>
      <c r="B52" s="989">
        <f>E781</f>
        <v>0</v>
      </c>
      <c r="C52" s="991" t="str">
        <f>IF(B52=1,BQ52,BJ52)</f>
        <v>Verification progress</v>
      </c>
      <c r="D52" s="13"/>
      <c r="E52" s="1"/>
      <c r="F52" s="1"/>
      <c r="AQ52" s="7" t="str">
        <f>AQ51</f>
        <v>weak claim</v>
      </c>
      <c r="AR52" s="8" t="str">
        <f>AR51</f>
        <v>poor claim</v>
      </c>
      <c r="AS52" s="9" t="str">
        <f>AS51</f>
        <v>fair claim</v>
      </c>
      <c r="AT52" s="10" t="str">
        <f>AT51</f>
        <v>good claim</v>
      </c>
      <c r="AU52" s="11" t="str">
        <f>AU51</f>
        <v>strong claim</v>
      </c>
      <c r="AX52" s="529">
        <f>IF(AND($B$52&gt;0,$B$52&lt;=0.2),AQ52,IF(AND($B$52&gt;0.2,$B$52&lt;=0.4),AR52,IF(AND($B$52&gt;0.4,$B$52&lt;=0.6),AS52,IF(AND($B$52&gt;0.6,$B$52&lt;=0.8),AT71,IF(AND($B$52&gt;0.8,$B$52&lt;=1),AU52,0)))))</f>
        <v>0</v>
      </c>
      <c r="BG52" s="13" t="str">
        <f>IF(AND(B52&gt;0.4,B52&lt;=0.6),AS52,IF(AND(B52&gt;0.6,B52&lt;=0.8),AT52,""))</f>
        <v/>
      </c>
      <c r="BJ52" s="591" t="str">
        <f>IF(C498="","Verification progress",C498)</f>
        <v>Verification progress</v>
      </c>
      <c r="BQ52" s="591" t="s">
        <v>3984</v>
      </c>
    </row>
    <row r="53" spans="1:69" ht="20" customHeight="1" thickBot="1" x14ac:dyDescent="0.4">
      <c r="A53" s="1"/>
      <c r="B53" s="990"/>
      <c r="C53" s="992"/>
      <c r="D53" s="993" t="s">
        <v>7</v>
      </c>
      <c r="E53" s="1"/>
      <c r="F53" s="1"/>
      <c r="AE53"/>
      <c r="AQ53" s="7"/>
      <c r="AR53" s="8"/>
      <c r="AS53" s="9"/>
      <c r="AT53" s="10"/>
      <c r="AU53" s="11"/>
      <c r="BG53" s="13"/>
      <c r="BL53" s="245"/>
    </row>
    <row r="54" spans="1:69" ht="5" customHeight="1" thickTop="1" x14ac:dyDescent="0.3">
      <c r="A54" s="1"/>
      <c r="B54" s="1"/>
      <c r="C54" s="1"/>
      <c r="D54" s="993"/>
      <c r="E54" s="1"/>
      <c r="F54" s="1"/>
    </row>
    <row r="55" spans="1:69" ht="45" customHeight="1" x14ac:dyDescent="0.45">
      <c r="A55" s="1194" t="s">
        <v>5575</v>
      </c>
      <c r="B55" s="1193" t="s">
        <v>5576</v>
      </c>
      <c r="C55" s="16"/>
      <c r="D55" s="993"/>
      <c r="E55" s="1"/>
      <c r="F55" s="1"/>
      <c r="G55" s="440"/>
      <c r="AE55"/>
      <c r="BF55" s="17"/>
      <c r="BG55" s="18" t="s">
        <v>9</v>
      </c>
      <c r="BH55" s="18"/>
    </row>
    <row r="56" spans="1:69" ht="10" customHeight="1" thickBot="1" x14ac:dyDescent="0.35">
      <c r="A56" s="1"/>
      <c r="B56" s="1"/>
      <c r="C56" s="1"/>
      <c r="D56" s="993"/>
      <c r="E56" s="1"/>
      <c r="F56" s="1"/>
    </row>
    <row r="57" spans="1:69" ht="21" thickBot="1" x14ac:dyDescent="0.5">
      <c r="A57" s="1"/>
      <c r="B57" s="599" t="s">
        <v>3940</v>
      </c>
      <c r="C57" s="600" t="str">
        <f>IF(OR(C202=AD202,D202=AH202),AD202,CONCATENATE(C202," ",D202))</f>
        <v>FIRST NAME</v>
      </c>
      <c r="D57" s="993"/>
      <c r="E57" s="1"/>
      <c r="F57" s="1"/>
    </row>
    <row r="58" spans="1:69" ht="15" customHeight="1" thickBot="1" x14ac:dyDescent="0.35">
      <c r="A58" s="1"/>
      <c r="B58" s="19"/>
      <c r="C58" s="20"/>
      <c r="D58" s="993"/>
      <c r="E58" s="1"/>
      <c r="F58" s="1"/>
    </row>
    <row r="59" spans="1:69" ht="5" customHeight="1" thickBot="1" x14ac:dyDescent="0.35">
      <c r="A59" s="1"/>
      <c r="B59" s="19"/>
      <c r="C59" s="1"/>
      <c r="D59" s="993"/>
      <c r="E59" s="1"/>
      <c r="F59" s="1"/>
    </row>
    <row r="60" spans="1:69" ht="21" thickBot="1" x14ac:dyDescent="0.5">
      <c r="A60" s="1"/>
      <c r="B60" s="599" t="s">
        <v>3941</v>
      </c>
      <c r="C60" s="600" t="str">
        <f>IF(OR(C212=AD212,D212=AH212),AD212,CONCATENATE(C212," ",D212))</f>
        <v>FIRST NAME</v>
      </c>
      <c r="D60" s="993"/>
      <c r="E60" s="1"/>
      <c r="F60" s="1"/>
    </row>
    <row r="61" spans="1:69" ht="15" customHeight="1" thickBot="1" x14ac:dyDescent="0.35">
      <c r="A61" s="1"/>
      <c r="B61" s="19"/>
      <c r="C61" s="20"/>
      <c r="D61" s="994"/>
      <c r="E61" s="1"/>
      <c r="F61" s="1"/>
    </row>
    <row r="62" spans="1:69" ht="10" customHeight="1" x14ac:dyDescent="0.3">
      <c r="A62" s="1"/>
      <c r="B62" s="1"/>
      <c r="C62" s="1"/>
      <c r="D62" s="1"/>
      <c r="E62" s="1"/>
      <c r="F62" s="1"/>
    </row>
    <row r="63" spans="1:69" ht="20.399999999999999" customHeight="1" thickBot="1" x14ac:dyDescent="0.4">
      <c r="A63" s="1"/>
      <c r="B63" s="21" t="s">
        <v>10</v>
      </c>
      <c r="C63" s="1"/>
      <c r="D63" s="1"/>
      <c r="E63" s="1"/>
      <c r="F63" s="1"/>
    </row>
    <row r="64" spans="1:69" ht="90" customHeight="1" thickTop="1" thickBot="1" x14ac:dyDescent="0.35">
      <c r="A64" s="1"/>
      <c r="B64" s="995" t="str">
        <f>IF(B909="",AG64,B909)</f>
        <v>Enter text below in section F, then SYNOPSIS will automatically display here.</v>
      </c>
      <c r="C64" s="996"/>
      <c r="D64" s="997"/>
      <c r="E64" s="22"/>
      <c r="F64" s="1"/>
      <c r="AG64" s="23" t="s">
        <v>11</v>
      </c>
    </row>
    <row r="65" spans="1:33" ht="10" customHeight="1" thickTop="1" thickBot="1" x14ac:dyDescent="0.35">
      <c r="A65" s="1"/>
      <c r="B65" s="1"/>
      <c r="C65" s="1"/>
      <c r="D65" s="1"/>
      <c r="E65" s="1"/>
      <c r="F65" s="1"/>
    </row>
    <row r="66" spans="1:33" ht="16.25" customHeight="1" thickTop="1" thickBot="1" x14ac:dyDescent="0.4">
      <c r="A66" s="1"/>
      <c r="B66" s="24" t="str">
        <f t="shared" ref="B66:B73" si="9">IF(C66=C913,B913,"")</f>
        <v/>
      </c>
      <c r="C66" s="998" t="str">
        <f>IF(OR(C913="",C913=AG913),AR913,C913)</f>
        <v>Highlight 1 will display here</v>
      </c>
      <c r="D66" s="998"/>
      <c r="E66" s="1"/>
      <c r="F66" s="1"/>
    </row>
    <row r="67" spans="1:33" ht="19" thickTop="1" thickBot="1" x14ac:dyDescent="0.4">
      <c r="A67" s="1"/>
      <c r="B67" s="24" t="str">
        <f t="shared" si="9"/>
        <v/>
      </c>
      <c r="C67" s="998" t="str">
        <f>IF(OR(C914="",C914=AG914),AR914,C914)</f>
        <v>Highlight 2 will display here</v>
      </c>
      <c r="D67" s="998"/>
      <c r="E67" s="1"/>
      <c r="F67" s="1"/>
    </row>
    <row r="68" spans="1:33" ht="19" thickTop="1" thickBot="1" x14ac:dyDescent="0.4">
      <c r="A68" s="1"/>
      <c r="B68" s="24" t="str">
        <f t="shared" si="9"/>
        <v/>
      </c>
      <c r="C68" s="998" t="str">
        <f t="shared" ref="C68:C73" si="10">IF(OR(C915="",C915=AG915),AR915,C915)</f>
        <v>Highlight 3 will display here</v>
      </c>
      <c r="D68" s="998"/>
      <c r="E68" s="1"/>
      <c r="F68" s="1"/>
    </row>
    <row r="69" spans="1:33" ht="19" thickTop="1" thickBot="1" x14ac:dyDescent="0.4">
      <c r="A69" s="1"/>
      <c r="B69" s="24" t="str">
        <f t="shared" si="9"/>
        <v/>
      </c>
      <c r="C69" s="998" t="str">
        <f t="shared" si="10"/>
        <v>Highlight 4 will display here</v>
      </c>
      <c r="D69" s="998"/>
      <c r="E69" s="1"/>
      <c r="F69" s="1"/>
    </row>
    <row r="70" spans="1:33" ht="19" thickTop="1" thickBot="1" x14ac:dyDescent="0.4">
      <c r="A70" s="1"/>
      <c r="B70" s="24" t="str">
        <f t="shared" si="9"/>
        <v/>
      </c>
      <c r="C70" s="998" t="str">
        <f t="shared" si="10"/>
        <v>Highlight 5 will display here</v>
      </c>
      <c r="D70" s="998"/>
      <c r="E70" s="1"/>
      <c r="F70" s="1"/>
    </row>
    <row r="71" spans="1:33" ht="19" thickTop="1" thickBot="1" x14ac:dyDescent="0.4">
      <c r="A71" s="1"/>
      <c r="B71" s="24" t="str">
        <f t="shared" si="9"/>
        <v/>
      </c>
      <c r="C71" s="998" t="str">
        <f t="shared" si="10"/>
        <v>Highlight 6 will display here</v>
      </c>
      <c r="D71" s="998"/>
      <c r="E71" s="1"/>
      <c r="F71" s="1"/>
    </row>
    <row r="72" spans="1:33" ht="19" thickTop="1" thickBot="1" x14ac:dyDescent="0.4">
      <c r="A72" s="1"/>
      <c r="B72" s="24" t="str">
        <f t="shared" si="9"/>
        <v/>
      </c>
      <c r="C72" s="998" t="str">
        <f t="shared" si="10"/>
        <v>Highlight 7 will display here</v>
      </c>
      <c r="D72" s="998"/>
      <c r="E72" s="1"/>
      <c r="F72" s="1"/>
    </row>
    <row r="73" spans="1:33" ht="19" thickTop="1" thickBot="1" x14ac:dyDescent="0.4">
      <c r="A73" s="1"/>
      <c r="B73" s="24" t="str">
        <f t="shared" si="9"/>
        <v/>
      </c>
      <c r="C73" s="998" t="str">
        <f t="shared" si="10"/>
        <v>Highlight 8 will display here</v>
      </c>
      <c r="D73" s="998"/>
      <c r="E73" s="1"/>
      <c r="F73" s="1"/>
    </row>
    <row r="74" spans="1:33" ht="19" thickTop="1" thickBot="1" x14ac:dyDescent="0.35">
      <c r="A74" s="1"/>
      <c r="B74" s="24"/>
      <c r="C74" s="24"/>
      <c r="D74" s="24"/>
      <c r="E74" s="1"/>
      <c r="F74" s="1"/>
    </row>
    <row r="75" spans="1:33" ht="18.5" thickTop="1" thickBot="1" x14ac:dyDescent="0.4">
      <c r="A75" s="1"/>
      <c r="B75" s="616" t="str">
        <f>CONCATENATE(B922,":")</f>
        <v>Tagline:</v>
      </c>
      <c r="C75" s="998" t="str">
        <f>IF(C922=AG921,AR922,C922)</f>
        <v>Tagline will display here</v>
      </c>
      <c r="D75" s="998"/>
      <c r="E75" s="1"/>
      <c r="F75" s="1"/>
    </row>
    <row r="76" spans="1:33" ht="18.5" thickTop="1" x14ac:dyDescent="0.3">
      <c r="A76" s="1"/>
      <c r="B76" s="24"/>
      <c r="C76" s="1"/>
      <c r="D76" s="24"/>
      <c r="E76" s="1"/>
      <c r="F76" s="1"/>
    </row>
    <row r="77" spans="1:33" ht="18.5" thickBot="1" x14ac:dyDescent="0.4">
      <c r="A77" s="1"/>
      <c r="B77" s="21" t="s">
        <v>12</v>
      </c>
      <c r="C77" s="1"/>
      <c r="D77" s="24"/>
      <c r="E77" s="1"/>
      <c r="F77" s="1"/>
    </row>
    <row r="78" spans="1:33" ht="85" customHeight="1" thickTop="1" thickBot="1" x14ac:dyDescent="0.35">
      <c r="A78" s="1"/>
      <c r="B78" s="999" t="str">
        <f>IF(B926="",AG78,B926)</f>
        <v>Enter text below in section F, then FLIPSIDE will automatically display here.</v>
      </c>
      <c r="C78" s="1000"/>
      <c r="D78" s="1001"/>
      <c r="E78" s="1"/>
      <c r="F78" s="1"/>
      <c r="AG78" s="23" t="s">
        <v>13</v>
      </c>
    </row>
    <row r="79" spans="1:33" ht="10" customHeight="1" thickTop="1" x14ac:dyDescent="0.3">
      <c r="A79" s="1"/>
      <c r="B79" s="24"/>
      <c r="C79" s="1"/>
      <c r="D79" s="24"/>
      <c r="E79" s="1"/>
      <c r="F79" s="1"/>
    </row>
    <row r="80" spans="1:33" ht="10" customHeight="1" x14ac:dyDescent="0.3">
      <c r="A80" s="1"/>
      <c r="B80" s="1"/>
      <c r="C80" s="1"/>
      <c r="D80" s="24"/>
      <c r="E80" s="1"/>
      <c r="F80" s="1"/>
    </row>
    <row r="81" spans="1:62" ht="18" x14ac:dyDescent="0.35">
      <c r="A81" s="1"/>
      <c r="B81" s="21" t="s">
        <v>14</v>
      </c>
      <c r="C81" s="1"/>
      <c r="D81" s="24"/>
      <c r="E81" s="1"/>
      <c r="F81" s="1"/>
    </row>
    <row r="82" spans="1:62" ht="5" customHeight="1" thickBot="1" x14ac:dyDescent="0.35">
      <c r="A82" s="1"/>
      <c r="B82" s="1"/>
      <c r="C82" s="1"/>
      <c r="D82" s="1"/>
      <c r="E82" s="1"/>
      <c r="F82" s="1"/>
    </row>
    <row r="83" spans="1:62" ht="400" customHeight="1" thickTop="1" thickBot="1" x14ac:dyDescent="0.35">
      <c r="A83" s="1"/>
      <c r="B83" s="999" t="str">
        <f>IF(B935="",AG83,B935)</f>
        <v>Enter text below in section F, then SUMMARY will automatically display here.</v>
      </c>
      <c r="C83" s="1000"/>
      <c r="D83" s="1001"/>
      <c r="E83" s="1"/>
      <c r="F83" s="1"/>
      <c r="AG83" s="23" t="s">
        <v>15</v>
      </c>
    </row>
    <row r="84" spans="1:62" ht="30" customHeight="1" thickTop="1" x14ac:dyDescent="0.3">
      <c r="A84" s="1"/>
      <c r="B84" s="25">
        <f>IF(AD265=0,0,AD265)</f>
        <v>0</v>
      </c>
      <c r="C84" s="26" t="str">
        <f>IF(B84="","","estimated eligible compensation under state law")</f>
        <v>estimated eligible compensation under state law</v>
      </c>
      <c r="D84" s="1"/>
      <c r="E84" s="1"/>
      <c r="F84" s="1"/>
    </row>
    <row r="85" spans="1:62" ht="5" customHeight="1" x14ac:dyDescent="0.3">
      <c r="A85" s="1"/>
      <c r="B85" s="25"/>
      <c r="C85" s="26"/>
      <c r="D85" s="1"/>
      <c r="E85" s="1"/>
      <c r="F85" s="1"/>
    </row>
    <row r="86" spans="1:62" x14ac:dyDescent="0.3">
      <c r="A86" s="1"/>
      <c r="B86" s="1"/>
      <c r="C86" s="1"/>
      <c r="D86" s="1"/>
      <c r="E86" s="1"/>
      <c r="F86" s="1"/>
    </row>
    <row r="87" spans="1:62" ht="30" customHeight="1" x14ac:dyDescent="0.3">
      <c r="A87" s="1"/>
      <c r="B87" s="27"/>
      <c r="C87" s="27"/>
      <c r="D87" s="27"/>
      <c r="E87" s="1"/>
      <c r="F87" s="1"/>
    </row>
    <row r="88" spans="1:62" ht="30" customHeight="1" x14ac:dyDescent="0.3">
      <c r="A88" s="1"/>
      <c r="B88" s="27"/>
      <c r="C88" s="27"/>
      <c r="D88" s="27"/>
      <c r="E88" s="1"/>
      <c r="F88" s="1"/>
    </row>
    <row r="89" spans="1:62" ht="30" customHeight="1" x14ac:dyDescent="0.3">
      <c r="A89" s="1"/>
      <c r="B89" s="27"/>
      <c r="C89" s="27"/>
      <c r="D89" s="27"/>
      <c r="E89" s="1"/>
      <c r="F89" s="1"/>
    </row>
    <row r="90" spans="1:62" ht="30" customHeight="1" x14ac:dyDescent="0.3">
      <c r="A90" s="1"/>
      <c r="B90" s="27"/>
      <c r="C90" s="27"/>
      <c r="D90" s="27"/>
      <c r="E90" s="1"/>
      <c r="F90" s="1"/>
    </row>
    <row r="91" spans="1:62" ht="30" customHeight="1" x14ac:dyDescent="0.3">
      <c r="A91" s="1"/>
      <c r="B91" s="27"/>
      <c r="C91" s="27"/>
      <c r="D91" s="27"/>
      <c r="E91" s="1"/>
      <c r="F91" s="1"/>
    </row>
    <row r="92" spans="1:62" ht="30" customHeight="1" x14ac:dyDescent="0.3">
      <c r="A92" s="1"/>
      <c r="B92" s="27"/>
      <c r="C92" s="27"/>
      <c r="D92" s="27"/>
      <c r="E92" s="1"/>
      <c r="F92" s="1"/>
    </row>
    <row r="93" spans="1:62" ht="30" customHeight="1" x14ac:dyDescent="0.3">
      <c r="A93" s="1"/>
      <c r="B93" s="1002" t="s">
        <v>16</v>
      </c>
      <c r="C93" s="1002"/>
      <c r="D93" s="1002"/>
      <c r="E93" s="1"/>
      <c r="F93" s="1"/>
    </row>
    <row r="94" spans="1:62" ht="15" customHeight="1" x14ac:dyDescent="0.3">
      <c r="A94" s="1"/>
      <c r="B94" s="25"/>
      <c r="C94" s="26"/>
      <c r="D94" s="1"/>
      <c r="E94" s="1"/>
      <c r="F94" s="1"/>
    </row>
    <row r="95" spans="1:62" ht="20" customHeight="1" x14ac:dyDescent="0.3">
      <c r="A95" s="1"/>
      <c r="B95" s="986" t="s">
        <v>17</v>
      </c>
      <c r="C95" s="986"/>
      <c r="D95" s="986"/>
      <c r="E95" s="1"/>
      <c r="F95" s="1"/>
    </row>
    <row r="96" spans="1:62" ht="72" customHeight="1" x14ac:dyDescent="0.3">
      <c r="A96" s="1"/>
      <c r="B96" s="988" t="str">
        <f>AC856</f>
        <v>Collateral consequences create second-class citizens, often without measurable outcomes to test if meeting their intended purpose. Consequently, they can have the opposite effect, like enabling recidivism--even among the wrongly convicted.  You can help change this.</v>
      </c>
      <c r="C96" s="988"/>
      <c r="D96" s="988"/>
      <c r="E96" s="1"/>
      <c r="F96" s="1"/>
      <c r="BH96" s="25" t="s">
        <v>18</v>
      </c>
      <c r="BJ96" s="28" t="s">
        <v>19</v>
      </c>
    </row>
    <row r="97" spans="1:62" ht="5" customHeight="1" x14ac:dyDescent="0.3">
      <c r="A97" s="1"/>
      <c r="B97" s="25"/>
      <c r="C97" s="26"/>
      <c r="D97" s="1"/>
      <c r="E97" s="1"/>
      <c r="F97" s="1"/>
      <c r="BH97" s="25"/>
      <c r="BJ97" s="28"/>
    </row>
    <row r="98" spans="1:62" ht="20" customHeight="1" x14ac:dyDescent="0.3">
      <c r="A98" s="1"/>
      <c r="B98" s="986" t="s">
        <v>20</v>
      </c>
      <c r="C98" s="986"/>
      <c r="D98" s="986"/>
      <c r="E98" s="1"/>
      <c r="F98" s="1"/>
      <c r="BH98" s="25" t="s">
        <v>21</v>
      </c>
    </row>
    <row r="99" spans="1:62" ht="60" customHeight="1" x14ac:dyDescent="0.3">
      <c r="A99" s="1"/>
      <c r="B99" s="988" t="str">
        <f>AC875</f>
        <v>Collateral consequences also impact others in this claimant's life.  This claimant shares how others have suffered. You can help improve their lives too!</v>
      </c>
      <c r="C99" s="988"/>
      <c r="D99" s="988"/>
      <c r="E99" s="1"/>
      <c r="F99" s="1"/>
      <c r="BH99" s="25"/>
    </row>
    <row r="100" spans="1:62" ht="5" customHeight="1" x14ac:dyDescent="0.3">
      <c r="A100" s="1"/>
      <c r="B100" s="25"/>
      <c r="C100" s="26"/>
      <c r="D100" s="1"/>
      <c r="E100" s="1"/>
      <c r="F100" s="1"/>
      <c r="BH100" s="25"/>
    </row>
    <row r="101" spans="1:62" ht="20" customHeight="1" x14ac:dyDescent="0.3">
      <c r="A101" s="1"/>
      <c r="B101" s="986" t="s">
        <v>22</v>
      </c>
      <c r="C101" s="986"/>
      <c r="D101" s="986"/>
      <c r="E101" s="1"/>
      <c r="F101" s="1"/>
      <c r="BH101" s="25" t="s">
        <v>23</v>
      </c>
    </row>
    <row r="102" spans="1:62" ht="60" customHeight="1" x14ac:dyDescent="0.3">
      <c r="A102" s="1"/>
      <c r="B102" s="988" t="str">
        <f>AC900</f>
        <v xml:space="preserve">Despite challenging needs, this claimant aspires toward life improvements. Removing illicit discrimination will go a long way toward improving this claimant's life. </v>
      </c>
      <c r="C102" s="988"/>
      <c r="D102" s="988"/>
      <c r="E102" s="1"/>
      <c r="F102" s="1"/>
      <c r="BH102" s="25"/>
    </row>
    <row r="103" spans="1:62" ht="5" customHeight="1" x14ac:dyDescent="0.3">
      <c r="A103" s="1"/>
      <c r="B103" s="25"/>
      <c r="C103" s="26"/>
      <c r="D103" s="1"/>
      <c r="E103" s="1"/>
      <c r="F103" s="1"/>
      <c r="BH103" s="25"/>
    </row>
    <row r="104" spans="1:62" ht="15" customHeight="1" x14ac:dyDescent="0.3">
      <c r="A104" s="1"/>
      <c r="B104" s="25"/>
      <c r="C104" s="26"/>
      <c r="D104" s="1"/>
      <c r="E104" s="1"/>
      <c r="F104" s="1"/>
      <c r="AD104" s="807" t="str">
        <f>IF(B265="","",B265)</f>
        <v/>
      </c>
      <c r="AE104" s="30"/>
      <c r="AF104" s="30"/>
      <c r="AG104" s="30"/>
      <c r="AH104" s="31"/>
      <c r="AI104" s="806" t="str">
        <f>IF(D331=0,"",D331)</f>
        <v/>
      </c>
      <c r="BH104" s="25"/>
    </row>
    <row r="105" spans="1:62" ht="20" customHeight="1" x14ac:dyDescent="0.3">
      <c r="A105" s="1"/>
      <c r="B105" s="986" t="s">
        <v>24</v>
      </c>
      <c r="C105" s="986"/>
      <c r="D105" s="986"/>
      <c r="E105" s="1"/>
      <c r="F105" s="1"/>
      <c r="AD105" s="48" t="s">
        <v>25</v>
      </c>
      <c r="BH105" s="25" t="s">
        <v>26</v>
      </c>
    </row>
    <row r="106" spans="1:62" ht="60" customHeight="1" x14ac:dyDescent="0.3">
      <c r="A106" s="1"/>
      <c r="B106" s="988" t="str">
        <f>IF(AD104=0,AD105,AC3203)</f>
        <v>Most states allow employers to check criminal backgrounds stretching far into the past. These records provide no distinction between sound evidence-based convictions and non-exonerated wrongful convictions, permitting otherwise illicit disrimination.</v>
      </c>
      <c r="C106" s="988"/>
      <c r="D106" s="988"/>
      <c r="E106" s="1"/>
      <c r="F106" s="1"/>
      <c r="AD106" s="48" t="str">
        <f>IF(AND($AD$104=$B3213,$AI$104=$B$3209),AC3213,"")</f>
        <v/>
      </c>
    </row>
    <row r="107" spans="1:62" ht="15" customHeight="1" x14ac:dyDescent="0.3">
      <c r="A107" s="1"/>
      <c r="B107" s="25"/>
      <c r="C107" s="26"/>
      <c r="D107" s="1"/>
      <c r="E107" s="1"/>
      <c r="F107" s="1"/>
    </row>
    <row r="108" spans="1:62" ht="20" customHeight="1" x14ac:dyDescent="0.3">
      <c r="A108" s="1"/>
      <c r="B108" s="986" t="s">
        <v>27</v>
      </c>
      <c r="C108" s="986"/>
      <c r="D108" s="986"/>
      <c r="E108" s="1"/>
      <c r="F108" s="1"/>
    </row>
    <row r="109" spans="1:62" ht="50" customHeight="1" x14ac:dyDescent="0.3">
      <c r="A109" s="1"/>
      <c r="B109" s="987" t="str">
        <f>AD984</f>
        <v>Claimant understandably experiences some anxiety from the wrongful conviction. Once hired, much of that should clear up. If not, Value Relating can help.</v>
      </c>
      <c r="C109" s="987"/>
      <c r="D109" s="987"/>
      <c r="E109" s="1"/>
      <c r="F109" s="1"/>
    </row>
    <row r="110" spans="1:62" ht="50" customHeight="1" x14ac:dyDescent="0.3">
      <c r="A110" s="1"/>
      <c r="B110" s="987" t="str">
        <f>AD1107</f>
        <v>Claimant understandably experiences some depression from the wrongful conviction. The wrongful conviction produces plenty of depressing economic conditions. Once hired, much of that should clear up. If not, Value Relating can help.</v>
      </c>
      <c r="C110" s="987"/>
      <c r="D110" s="987"/>
      <c r="E110" s="1"/>
      <c r="F110" s="1"/>
      <c r="AD110" s="48" t="str">
        <f>CONCATENATE(AG111,AO112,AG113)</f>
        <v>You need those you trust to be trustworthy. Right? You need them to make informed decisions about you, so they don’t waste your precious time. Likewise, claimant needs those they trust, like you, to be trustworthy. They need those like you to be better informed in their decisions regarding them. Acknowledging the widespread problem of wrongful convictions is a start. Using this estimate of innocence can help you make better decisions.</v>
      </c>
    </row>
    <row r="111" spans="1:62" ht="15" customHeight="1" x14ac:dyDescent="0.3">
      <c r="A111" s="1"/>
      <c r="B111" s="25"/>
      <c r="C111" s="26"/>
      <c r="D111" s="1"/>
      <c r="E111" s="1"/>
      <c r="F111" s="1"/>
      <c r="AG111" s="48" t="s">
        <v>28</v>
      </c>
    </row>
    <row r="112" spans="1:62" ht="15" customHeight="1" x14ac:dyDescent="0.3">
      <c r="A112" s="1"/>
      <c r="B112" s="986" t="s">
        <v>29</v>
      </c>
      <c r="C112" s="986"/>
      <c r="D112" s="986"/>
      <c r="E112" s="1"/>
      <c r="F112" s="1"/>
      <c r="AG112" s="48" t="s">
        <v>30</v>
      </c>
      <c r="AI112" s="48" t="str">
        <f>IF(C202="","You",C202)</f>
        <v>FIRST NAME</v>
      </c>
      <c r="AO112" s="48" t="str">
        <f>IF(OR(AI112=AD202,AI112=""),AG112,AI112)</f>
        <v>claimant</v>
      </c>
    </row>
    <row r="113" spans="1:33" ht="85" customHeight="1" x14ac:dyDescent="0.3">
      <c r="A113" s="1"/>
      <c r="B113" s="988" t="str">
        <f>AD110</f>
        <v>You need those you trust to be trustworthy. Right? You need them to make informed decisions about you, so they don’t waste your precious time. Likewise, claimant needs those they trust, like you, to be trustworthy. They need those like you to be better informed in their decisions regarding them. Acknowledging the widespread problem of wrongful convictions is a start. Using this estimate of innocence can help you make better decisions.</v>
      </c>
      <c r="C113" s="988"/>
      <c r="D113" s="988"/>
      <c r="E113" s="1"/>
      <c r="F113" s="1"/>
      <c r="AG113" s="48" t="s">
        <v>31</v>
      </c>
    </row>
    <row r="114" spans="1:33" ht="35" customHeight="1" x14ac:dyDescent="0.3">
      <c r="A114" s="1"/>
      <c r="B114" s="25"/>
      <c r="C114" s="26"/>
      <c r="D114" s="1"/>
      <c r="E114" s="1"/>
      <c r="F114" s="1"/>
    </row>
    <row r="115" spans="1:33" ht="30" customHeight="1" x14ac:dyDescent="0.4">
      <c r="A115" s="32" t="s">
        <v>32</v>
      </c>
      <c r="B115" s="1"/>
      <c r="C115" s="1"/>
      <c r="D115" s="1"/>
      <c r="E115" s="1"/>
      <c r="F115" s="1"/>
      <c r="AG115" s="48" t="str">
        <f>AD984</f>
        <v>Claimant understandably experiences some anxiety from the wrongful conviction. Once hired, much of that should clear up. If not, Value Relating can help.</v>
      </c>
    </row>
    <row r="116" spans="1:33" ht="15" customHeight="1" x14ac:dyDescent="0.3">
      <c r="A116" s="1"/>
      <c r="B116" s="25"/>
      <c r="C116" s="26"/>
      <c r="D116" s="1"/>
      <c r="E116" s="1"/>
      <c r="F116" s="1"/>
    </row>
    <row r="117" spans="1:33" ht="15" customHeight="1" x14ac:dyDescent="0.3">
      <c r="A117" s="1"/>
      <c r="B117" s="25"/>
      <c r="C117" s="26"/>
      <c r="D117" s="1"/>
      <c r="E117" s="1"/>
      <c r="F117" s="1"/>
    </row>
    <row r="118" spans="1:33" ht="15" customHeight="1" x14ac:dyDescent="0.3">
      <c r="A118" s="1"/>
      <c r="B118" s="25"/>
      <c r="C118" s="26"/>
      <c r="D118" s="1"/>
      <c r="E118" s="1"/>
      <c r="F118" s="1"/>
    </row>
    <row r="119" spans="1:33" ht="15" customHeight="1" x14ac:dyDescent="0.3">
      <c r="A119" s="1"/>
      <c r="B119" s="25"/>
      <c r="C119" s="26"/>
      <c r="D119" s="1"/>
      <c r="E119" s="1"/>
      <c r="F119" s="1"/>
    </row>
    <row r="120" spans="1:33" ht="15" customHeight="1" x14ac:dyDescent="0.3">
      <c r="A120" s="1"/>
      <c r="B120" s="25"/>
      <c r="C120" s="26"/>
      <c r="D120" s="1"/>
      <c r="E120" s="1"/>
      <c r="F120" s="1"/>
    </row>
    <row r="121" spans="1:33" ht="15" customHeight="1" x14ac:dyDescent="0.3">
      <c r="A121" s="1"/>
      <c r="B121" s="1"/>
      <c r="C121" s="26"/>
      <c r="D121" s="1"/>
      <c r="E121" s="1"/>
      <c r="F121" s="1"/>
    </row>
    <row r="122" spans="1:33" ht="30" customHeight="1" x14ac:dyDescent="0.3">
      <c r="A122" s="1"/>
      <c r="B122" s="1"/>
      <c r="C122" s="26"/>
      <c r="D122" s="1"/>
      <c r="E122" s="1"/>
      <c r="F122" s="1"/>
    </row>
    <row r="123" spans="1:33" ht="15" customHeight="1" x14ac:dyDescent="0.3">
      <c r="A123" s="1"/>
      <c r="B123" s="1"/>
      <c r="C123" s="26"/>
      <c r="D123" s="1"/>
      <c r="E123" s="1"/>
      <c r="F123" s="1"/>
    </row>
    <row r="124" spans="1:33" ht="15" customHeight="1" x14ac:dyDescent="0.3">
      <c r="A124" s="1"/>
      <c r="B124" s="1"/>
      <c r="C124" s="26"/>
      <c r="D124" s="1"/>
      <c r="E124" s="1"/>
      <c r="F124" s="1"/>
    </row>
    <row r="125" spans="1:33" ht="15" customHeight="1" x14ac:dyDescent="0.3">
      <c r="A125" s="1"/>
      <c r="B125" s="25"/>
      <c r="C125" s="26"/>
      <c r="D125" s="1"/>
      <c r="E125" s="1"/>
      <c r="F125" s="1"/>
    </row>
    <row r="126" spans="1:33" ht="15" customHeight="1" x14ac:dyDescent="0.3">
      <c r="A126" s="1"/>
      <c r="B126" s="25"/>
      <c r="C126" s="26"/>
      <c r="D126" s="1"/>
      <c r="E126" s="1"/>
      <c r="F126" s="1"/>
    </row>
    <row r="127" spans="1:33" ht="15" customHeight="1" x14ac:dyDescent="0.3">
      <c r="A127" s="1"/>
      <c r="B127" s="25"/>
      <c r="C127" s="26"/>
      <c r="D127" s="1"/>
      <c r="E127" s="1"/>
      <c r="F127" s="1"/>
    </row>
    <row r="128" spans="1:33" ht="15" customHeight="1" x14ac:dyDescent="0.3">
      <c r="A128" s="1"/>
      <c r="B128" s="25"/>
      <c r="C128" s="26"/>
      <c r="D128" s="1"/>
      <c r="E128" s="1"/>
      <c r="F128" s="1"/>
    </row>
    <row r="129" spans="1:6" ht="15" customHeight="1" x14ac:dyDescent="0.3">
      <c r="A129" s="1"/>
      <c r="B129" s="25"/>
      <c r="C129" s="26"/>
      <c r="D129" s="1"/>
      <c r="E129" s="1"/>
      <c r="F129" s="1"/>
    </row>
    <row r="130" spans="1:6" ht="15" customHeight="1" x14ac:dyDescent="0.3">
      <c r="A130" s="1"/>
      <c r="B130" s="25"/>
      <c r="C130" s="26"/>
      <c r="D130" s="1"/>
      <c r="E130" s="1"/>
      <c r="F130" s="1"/>
    </row>
    <row r="131" spans="1:6" ht="15" customHeight="1" x14ac:dyDescent="0.3">
      <c r="A131" s="1"/>
      <c r="B131" s="25"/>
      <c r="C131" s="26"/>
      <c r="D131" s="1"/>
      <c r="E131" s="1"/>
      <c r="F131" s="1"/>
    </row>
    <row r="132" spans="1:6" ht="15" customHeight="1" x14ac:dyDescent="0.3">
      <c r="A132" s="1"/>
      <c r="B132" s="25"/>
      <c r="C132" s="26"/>
      <c r="D132" s="1"/>
      <c r="E132" s="1"/>
      <c r="F132" s="1"/>
    </row>
    <row r="133" spans="1:6" ht="15" customHeight="1" x14ac:dyDescent="0.3">
      <c r="A133" s="1"/>
      <c r="B133" s="25"/>
      <c r="C133" s="26"/>
      <c r="D133" s="1"/>
      <c r="E133" s="1"/>
      <c r="F133" s="1"/>
    </row>
    <row r="134" spans="1:6" ht="15" customHeight="1" x14ac:dyDescent="0.3">
      <c r="A134" s="1"/>
      <c r="B134" s="25"/>
      <c r="C134" s="1003" t="s">
        <v>33</v>
      </c>
      <c r="D134" s="1004" t="s">
        <v>34</v>
      </c>
      <c r="E134" s="1004"/>
      <c r="F134" s="1"/>
    </row>
    <row r="135" spans="1:6" ht="15" customHeight="1" thickBot="1" x14ac:dyDescent="0.35">
      <c r="A135" s="1"/>
      <c r="B135" s="25"/>
      <c r="C135" s="1003"/>
      <c r="D135" s="1004"/>
      <c r="E135" s="1004"/>
      <c r="F135" s="1"/>
    </row>
    <row r="136" spans="1:6" ht="15" customHeight="1" x14ac:dyDescent="0.3">
      <c r="A136" s="1"/>
      <c r="B136" s="979" t="s">
        <v>35</v>
      </c>
      <c r="C136" s="980" t="s">
        <v>36</v>
      </c>
      <c r="D136" s="982" t="s">
        <v>3924</v>
      </c>
      <c r="E136" s="983"/>
      <c r="F136" s="1"/>
    </row>
    <row r="137" spans="1:6" ht="15" customHeight="1" x14ac:dyDescent="0.3">
      <c r="A137" s="1"/>
      <c r="B137" s="979"/>
      <c r="C137" s="981"/>
      <c r="D137" s="984"/>
      <c r="E137" s="985"/>
      <c r="F137" s="1"/>
    </row>
    <row r="138" spans="1:6" ht="15" customHeight="1" x14ac:dyDescent="0.3">
      <c r="A138" s="1"/>
      <c r="B138" s="979" t="s">
        <v>37</v>
      </c>
      <c r="C138" s="981" t="s">
        <v>38</v>
      </c>
      <c r="D138" s="984" t="s">
        <v>39</v>
      </c>
      <c r="E138" s="985"/>
      <c r="F138" s="1"/>
    </row>
    <row r="139" spans="1:6" ht="15" customHeight="1" x14ac:dyDescent="0.3">
      <c r="A139" s="1"/>
      <c r="B139" s="979"/>
      <c r="C139" s="981"/>
      <c r="D139" s="984"/>
      <c r="E139" s="985"/>
      <c r="F139" s="1"/>
    </row>
    <row r="140" spans="1:6" ht="15" customHeight="1" x14ac:dyDescent="0.3">
      <c r="A140" s="1"/>
      <c r="B140" s="979" t="s">
        <v>40</v>
      </c>
      <c r="C140" s="981" t="s">
        <v>41</v>
      </c>
      <c r="D140" s="984" t="s">
        <v>42</v>
      </c>
      <c r="E140" s="985"/>
      <c r="F140" s="1"/>
    </row>
    <row r="141" spans="1:6" ht="15" customHeight="1" x14ac:dyDescent="0.3">
      <c r="A141" s="1"/>
      <c r="B141" s="979"/>
      <c r="C141" s="981"/>
      <c r="D141" s="984"/>
      <c r="E141" s="985"/>
      <c r="F141" s="1"/>
    </row>
    <row r="142" spans="1:6" ht="15" customHeight="1" x14ac:dyDescent="0.3">
      <c r="A142" s="1"/>
      <c r="B142" s="979" t="s">
        <v>43</v>
      </c>
      <c r="C142" s="981" t="s">
        <v>44</v>
      </c>
      <c r="D142" s="984" t="s">
        <v>5578</v>
      </c>
      <c r="E142" s="985"/>
      <c r="F142" s="1"/>
    </row>
    <row r="143" spans="1:6" ht="15" customHeight="1" x14ac:dyDescent="0.3">
      <c r="A143" s="1"/>
      <c r="B143" s="979"/>
      <c r="C143" s="981"/>
      <c r="D143" s="984"/>
      <c r="E143" s="985"/>
      <c r="F143" s="1"/>
    </row>
    <row r="144" spans="1:6" ht="15" customHeight="1" x14ac:dyDescent="0.3">
      <c r="A144" s="1"/>
      <c r="B144" s="979" t="s">
        <v>46</v>
      </c>
      <c r="C144" s="981" t="s">
        <v>47</v>
      </c>
      <c r="D144" s="984" t="s">
        <v>48</v>
      </c>
      <c r="E144" s="985"/>
      <c r="F144" s="1"/>
    </row>
    <row r="145" spans="1:77" ht="15" customHeight="1" x14ac:dyDescent="0.3">
      <c r="A145" s="1"/>
      <c r="B145" s="979"/>
      <c r="C145" s="981"/>
      <c r="D145" s="984"/>
      <c r="E145" s="985"/>
      <c r="F145" s="1"/>
    </row>
    <row r="146" spans="1:77" ht="15" customHeight="1" x14ac:dyDescent="0.3">
      <c r="A146" s="1"/>
      <c r="B146" s="979" t="s">
        <v>49</v>
      </c>
      <c r="C146" s="981" t="s">
        <v>50</v>
      </c>
      <c r="D146" s="984" t="s">
        <v>51</v>
      </c>
      <c r="E146" s="985"/>
      <c r="F146" s="1"/>
      <c r="BY146" s="28" t="s">
        <v>19</v>
      </c>
    </row>
    <row r="147" spans="1:77" ht="15" customHeight="1" x14ac:dyDescent="0.3">
      <c r="A147" s="1"/>
      <c r="B147" s="979"/>
      <c r="C147" s="981"/>
      <c r="D147" s="984"/>
      <c r="E147" s="985"/>
      <c r="F147" s="1"/>
      <c r="BY147" s="28" t="s">
        <v>52</v>
      </c>
    </row>
    <row r="148" spans="1:77" ht="15" customHeight="1" x14ac:dyDescent="0.3">
      <c r="A148" s="1"/>
      <c r="B148" s="979" t="s">
        <v>53</v>
      </c>
      <c r="C148" s="981" t="s">
        <v>54</v>
      </c>
      <c r="D148" s="984" t="s">
        <v>55</v>
      </c>
      <c r="E148" s="985"/>
      <c r="F148" s="1"/>
      <c r="BY148" s="28" t="s">
        <v>56</v>
      </c>
    </row>
    <row r="149" spans="1:77" ht="15" customHeight="1" x14ac:dyDescent="0.3">
      <c r="A149" s="1"/>
      <c r="B149" s="979"/>
      <c r="C149" s="981"/>
      <c r="D149" s="984"/>
      <c r="E149" s="985"/>
      <c r="F149" s="1"/>
      <c r="BY149" s="28" t="s">
        <v>57</v>
      </c>
    </row>
    <row r="150" spans="1:77" ht="15" customHeight="1" x14ac:dyDescent="0.3">
      <c r="A150" s="1"/>
      <c r="B150" s="979" t="s">
        <v>58</v>
      </c>
      <c r="C150" s="981" t="s">
        <v>59</v>
      </c>
      <c r="D150" s="984" t="s">
        <v>60</v>
      </c>
      <c r="E150" s="985"/>
      <c r="F150" s="1"/>
    </row>
    <row r="151" spans="1:77" ht="15" customHeight="1" thickBot="1" x14ac:dyDescent="0.35">
      <c r="A151" s="1"/>
      <c r="B151" s="979"/>
      <c r="C151" s="1011"/>
      <c r="D151" s="1012"/>
      <c r="E151" s="1013"/>
      <c r="F151" s="1"/>
    </row>
    <row r="152" spans="1:77" ht="15" customHeight="1" x14ac:dyDescent="0.35">
      <c r="A152" s="1"/>
      <c r="B152" s="25"/>
      <c r="C152" s="26"/>
      <c r="D152" s="1"/>
      <c r="E152" s="1"/>
      <c r="F152" s="1"/>
      <c r="AL152"/>
    </row>
    <row r="153" spans="1:77" ht="15" customHeight="1" x14ac:dyDescent="0.3">
      <c r="A153" s="1"/>
      <c r="B153" s="25"/>
      <c r="C153" s="26"/>
      <c r="D153" s="1"/>
      <c r="E153" s="1"/>
      <c r="F153" s="1"/>
    </row>
    <row r="154" spans="1:77" ht="50" customHeight="1" x14ac:dyDescent="0.3">
      <c r="A154" s="1"/>
      <c r="B154" s="25"/>
      <c r="C154" s="26"/>
      <c r="D154" s="1"/>
      <c r="E154" s="1"/>
      <c r="F154" s="1"/>
    </row>
    <row r="155" spans="1:77" ht="10" customHeight="1" x14ac:dyDescent="0.3">
      <c r="A155" s="1"/>
      <c r="B155" s="25"/>
      <c r="C155" s="26"/>
      <c r="D155" s="1"/>
      <c r="E155" s="1"/>
      <c r="F155" s="1"/>
    </row>
    <row r="156" spans="1:77" ht="25" customHeight="1" x14ac:dyDescent="0.45">
      <c r="A156" s="1198" t="s">
        <v>5577</v>
      </c>
      <c r="B156" s="1"/>
      <c r="C156" s="1"/>
      <c r="D156" s="1"/>
      <c r="E156" s="1"/>
      <c r="F156" s="1"/>
    </row>
    <row r="157" spans="1:77" ht="5" customHeight="1" x14ac:dyDescent="0.4">
      <c r="A157" s="33"/>
      <c r="B157" s="1"/>
      <c r="C157" s="1"/>
      <c r="D157" s="1"/>
      <c r="E157" s="1"/>
      <c r="F157" s="1"/>
    </row>
    <row r="158" spans="1:77" ht="18" customHeight="1" x14ac:dyDescent="0.65">
      <c r="A158" s="1196" t="s">
        <v>94</v>
      </c>
      <c r="B158" s="34" t="str">
        <f>B199</f>
        <v>Case information</v>
      </c>
      <c r="C158" s="1"/>
      <c r="D158" s="1"/>
      <c r="E158" s="1"/>
      <c r="F158" s="1"/>
    </row>
    <row r="159" spans="1:77" ht="14" customHeight="1" x14ac:dyDescent="0.3">
      <c r="A159" s="35"/>
      <c r="B159" s="38" t="s">
        <v>63</v>
      </c>
      <c r="C159" s="35"/>
      <c r="D159" s="35"/>
      <c r="E159" s="1"/>
      <c r="F159" s="1"/>
    </row>
    <row r="160" spans="1:77" ht="18" customHeight="1" x14ac:dyDescent="0.65">
      <c r="A160" s="1196" t="s">
        <v>228</v>
      </c>
      <c r="B160" s="34" t="str">
        <f>B355</f>
        <v>Documentation for verification</v>
      </c>
      <c r="C160" s="1195"/>
      <c r="D160" s="1195"/>
      <c r="E160" s="1"/>
      <c r="F160" s="1"/>
    </row>
    <row r="161" spans="1:6" ht="14" customHeight="1" x14ac:dyDescent="0.3">
      <c r="A161" s="35"/>
      <c r="B161" s="38" t="s">
        <v>65</v>
      </c>
      <c r="C161" s="35"/>
      <c r="D161" s="35"/>
      <c r="E161" s="1"/>
      <c r="F161" s="1"/>
    </row>
    <row r="162" spans="1:6" ht="18" customHeight="1" x14ac:dyDescent="0.65">
      <c r="A162" s="36" t="s">
        <v>66</v>
      </c>
      <c r="B162" s="37" t="str">
        <f>B521</f>
        <v>Common factors in wrongful convictions</v>
      </c>
      <c r="C162" s="1"/>
      <c r="D162" s="1"/>
      <c r="E162" s="1"/>
      <c r="F162" s="1"/>
    </row>
    <row r="163" spans="1:6" ht="14" customHeight="1" x14ac:dyDescent="0.35">
      <c r="A163" s="1197"/>
      <c r="B163" s="445" t="s">
        <v>67</v>
      </c>
      <c r="C163" s="35"/>
      <c r="D163" s="35"/>
      <c r="E163" s="1"/>
      <c r="F163" s="1"/>
    </row>
    <row r="164" spans="1:6" ht="18" customHeight="1" x14ac:dyDescent="0.65">
      <c r="A164" s="36" t="s">
        <v>68</v>
      </c>
      <c r="B164" s="37" t="str">
        <f>B556</f>
        <v>Evidentiary factors</v>
      </c>
      <c r="C164" s="1"/>
      <c r="D164" s="1"/>
      <c r="E164" s="1"/>
      <c r="F164" s="1"/>
    </row>
    <row r="165" spans="1:6" ht="14" customHeight="1" x14ac:dyDescent="0.45">
      <c r="A165" s="36"/>
      <c r="B165" s="445" t="s">
        <v>69</v>
      </c>
      <c r="C165" s="35"/>
      <c r="D165" s="35"/>
      <c r="E165" s="1"/>
      <c r="F165" s="1"/>
    </row>
    <row r="166" spans="1:6" ht="18" customHeight="1" x14ac:dyDescent="0.65">
      <c r="A166" s="36" t="s">
        <v>70</v>
      </c>
      <c r="B166" s="37" t="str">
        <f>B590</f>
        <v>Investigative factors</v>
      </c>
      <c r="C166" s="1"/>
      <c r="D166" s="1"/>
      <c r="E166" s="1"/>
      <c r="F166" s="1"/>
    </row>
    <row r="167" spans="1:6" ht="14" customHeight="1" x14ac:dyDescent="0.45">
      <c r="A167" s="36"/>
      <c r="B167" s="445" t="s">
        <v>71</v>
      </c>
      <c r="C167" s="35"/>
      <c r="D167" s="35"/>
      <c r="E167" s="1"/>
      <c r="F167" s="1"/>
    </row>
    <row r="168" spans="1:6" ht="18" customHeight="1" x14ac:dyDescent="0.65">
      <c r="A168" s="36" t="s">
        <v>72</v>
      </c>
      <c r="B168" s="37" t="str">
        <f>B624</f>
        <v>Complicating factors</v>
      </c>
      <c r="C168" s="1"/>
      <c r="D168" s="1"/>
      <c r="E168" s="1"/>
      <c r="F168" s="1"/>
    </row>
    <row r="169" spans="1:6" ht="14" customHeight="1" x14ac:dyDescent="0.45">
      <c r="A169" s="36"/>
      <c r="B169" s="445" t="s">
        <v>73</v>
      </c>
      <c r="C169" s="35"/>
      <c r="D169" s="35"/>
      <c r="E169" s="1"/>
      <c r="F169" s="1"/>
    </row>
    <row r="170" spans="1:6" ht="18" customHeight="1" x14ac:dyDescent="0.65">
      <c r="A170" s="36" t="s">
        <v>74</v>
      </c>
      <c r="B170" s="37" t="str">
        <f>B658</f>
        <v>Claimant’s demonstratable innocence</v>
      </c>
      <c r="C170" s="1"/>
      <c r="D170" s="1"/>
      <c r="E170" s="1"/>
      <c r="F170" s="1"/>
    </row>
    <row r="171" spans="1:6" ht="14" customHeight="1" x14ac:dyDescent="0.45">
      <c r="A171" s="36"/>
      <c r="B171" s="445" t="s">
        <v>75</v>
      </c>
      <c r="C171" s="35"/>
      <c r="D171" s="35"/>
      <c r="E171" s="1"/>
      <c r="F171" s="1"/>
    </row>
    <row r="172" spans="1:6" ht="18" customHeight="1" x14ac:dyDescent="0.65">
      <c r="A172" s="36" t="s">
        <v>76</v>
      </c>
      <c r="B172" s="37" t="str">
        <f>B706</f>
        <v>Claimant’s innocence recognized by others</v>
      </c>
      <c r="C172" s="1"/>
      <c r="D172" s="1"/>
      <c r="E172" s="1"/>
      <c r="F172" s="1"/>
    </row>
    <row r="173" spans="1:6" ht="14" customHeight="1" x14ac:dyDescent="0.45">
      <c r="A173" s="36"/>
      <c r="B173" s="445" t="s">
        <v>77</v>
      </c>
      <c r="C173" s="35"/>
      <c r="D173" s="35"/>
      <c r="E173" s="1"/>
      <c r="F173" s="1"/>
    </row>
    <row r="174" spans="1:6" ht="18" customHeight="1" x14ac:dyDescent="0.65">
      <c r="A174" s="36" t="s">
        <v>78</v>
      </c>
      <c r="B174" s="37" t="str">
        <f>B745</f>
        <v>Other</v>
      </c>
      <c r="C174" s="1"/>
      <c r="D174" s="1"/>
      <c r="E174" s="1"/>
      <c r="F174" s="1"/>
    </row>
    <row r="175" spans="1:6" ht="14" customHeight="1" x14ac:dyDescent="0.45">
      <c r="A175" s="36"/>
      <c r="B175" s="445" t="s">
        <v>79</v>
      </c>
      <c r="C175" s="35"/>
      <c r="D175" s="35"/>
      <c r="E175" s="1"/>
      <c r="F175" s="1"/>
    </row>
    <row r="176" spans="1:6" ht="18" customHeight="1" x14ac:dyDescent="0.65">
      <c r="A176" s="36" t="s">
        <v>80</v>
      </c>
      <c r="B176" s="37" t="str">
        <f>B755</f>
        <v>Process</v>
      </c>
      <c r="C176" s="1"/>
      <c r="D176" s="1"/>
      <c r="E176" s="1"/>
      <c r="F176" s="1"/>
    </row>
    <row r="177" spans="1:47" ht="14" customHeight="1" x14ac:dyDescent="0.45">
      <c r="A177" s="36"/>
      <c r="B177" s="445" t="s">
        <v>81</v>
      </c>
      <c r="C177" s="35"/>
      <c r="D177" s="35"/>
      <c r="E177" s="1"/>
      <c r="F177" s="1"/>
    </row>
    <row r="178" spans="1:47" ht="18" customHeight="1" x14ac:dyDescent="0.65">
      <c r="A178" s="34" t="s">
        <v>82</v>
      </c>
      <c r="B178" s="34" t="str">
        <f>B783</f>
        <v>Requests and responses for exoneration help</v>
      </c>
      <c r="C178" s="1"/>
      <c r="D178" s="1"/>
      <c r="E178" s="1"/>
      <c r="F178" s="1"/>
      <c r="AU178"/>
    </row>
    <row r="179" spans="1:47" ht="14" customHeight="1" x14ac:dyDescent="0.65">
      <c r="A179" s="34"/>
      <c r="B179" s="38" t="s">
        <v>83</v>
      </c>
      <c r="C179" s="35"/>
      <c r="D179" s="35"/>
      <c r="E179" s="1"/>
      <c r="F179" s="1"/>
    </row>
    <row r="180" spans="1:47" ht="18" customHeight="1" x14ac:dyDescent="0.65">
      <c r="A180" s="34" t="s">
        <v>84</v>
      </c>
      <c r="B180" s="34" t="str">
        <f>B826</f>
        <v>Collateral consequences of wrongful conviction</v>
      </c>
      <c r="C180" s="1"/>
      <c r="D180" s="1"/>
      <c r="E180" s="1"/>
      <c r="F180" s="1"/>
      <c r="AB180"/>
    </row>
    <row r="181" spans="1:47" ht="14" customHeight="1" x14ac:dyDescent="0.3">
      <c r="A181" s="35"/>
      <c r="B181" s="38" t="s">
        <v>85</v>
      </c>
      <c r="C181" s="35"/>
      <c r="D181" s="35"/>
      <c r="E181" s="1"/>
      <c r="F181" s="1"/>
    </row>
    <row r="182" spans="1:47" ht="18" customHeight="1" x14ac:dyDescent="0.65">
      <c r="A182" s="34" t="s">
        <v>86</v>
      </c>
      <c r="B182" s="34" t="str">
        <f>B903</f>
        <v>Claimant narrative</v>
      </c>
      <c r="C182" s="1"/>
      <c r="D182" s="1"/>
      <c r="E182" s="1"/>
      <c r="F182" s="1"/>
    </row>
    <row r="183" spans="1:47" ht="14" customHeight="1" x14ac:dyDescent="0.3">
      <c r="A183" s="35"/>
      <c r="B183" s="38" t="s">
        <v>87</v>
      </c>
      <c r="C183" s="35"/>
      <c r="D183" s="35"/>
      <c r="E183" s="1"/>
      <c r="F183" s="1"/>
    </row>
    <row r="184" spans="1:47" ht="18" customHeight="1" x14ac:dyDescent="0.65">
      <c r="A184" s="34" t="str">
        <f>A1126</f>
        <v>G.</v>
      </c>
      <c r="B184" s="34" t="str">
        <f>B1126</f>
        <v>Compensation</v>
      </c>
      <c r="C184" s="1"/>
      <c r="D184" s="1"/>
      <c r="E184" s="1"/>
      <c r="F184" s="1"/>
    </row>
    <row r="185" spans="1:47" ht="14" customHeight="1" x14ac:dyDescent="0.3">
      <c r="A185" s="1"/>
      <c r="B185" s="38" t="s">
        <v>90</v>
      </c>
      <c r="C185" s="1"/>
      <c r="D185" s="1"/>
      <c r="E185" s="1"/>
      <c r="F185" s="1"/>
    </row>
    <row r="186" spans="1:47" ht="18" customHeight="1" x14ac:dyDescent="0.65">
      <c r="A186" s="34" t="str">
        <f>A1168</f>
        <v>H.</v>
      </c>
      <c r="B186" s="34" t="str">
        <f>B1168</f>
        <v>You're not alone</v>
      </c>
      <c r="C186" s="1"/>
      <c r="D186" s="1"/>
      <c r="E186" s="1"/>
      <c r="F186" s="1"/>
    </row>
    <row r="187" spans="1:47" ht="14" customHeight="1" x14ac:dyDescent="0.3">
      <c r="A187" s="1"/>
      <c r="B187" s="38" t="s">
        <v>93</v>
      </c>
      <c r="C187" s="1"/>
      <c r="D187" s="1"/>
      <c r="E187" s="1"/>
      <c r="F187" s="1"/>
    </row>
    <row r="188" spans="1:47" ht="18" customHeight="1" x14ac:dyDescent="0.65">
      <c r="A188" s="437"/>
      <c r="B188" s="437"/>
      <c r="C188" s="1"/>
      <c r="D188" s="1"/>
      <c r="E188" s="1"/>
      <c r="F188" s="1"/>
    </row>
    <row r="189" spans="1:47" ht="14" customHeight="1" x14ac:dyDescent="0.3">
      <c r="A189" s="438"/>
      <c r="B189" s="439"/>
      <c r="C189" s="1"/>
      <c r="D189" s="1"/>
      <c r="E189" s="1"/>
      <c r="F189" s="1"/>
    </row>
    <row r="190" spans="1:47" ht="18" customHeight="1" x14ac:dyDescent="0.65">
      <c r="A190" s="437"/>
      <c r="B190" s="437"/>
      <c r="C190" s="1"/>
      <c r="D190" s="1"/>
      <c r="E190" s="1"/>
      <c r="F190" s="1"/>
      <c r="AB190"/>
    </row>
    <row r="191" spans="1:47" ht="14" customHeight="1" x14ac:dyDescent="0.3">
      <c r="A191" s="438"/>
      <c r="B191" s="439"/>
      <c r="C191" s="1"/>
      <c r="D191" s="1"/>
      <c r="E191" s="1"/>
      <c r="F191" s="1"/>
    </row>
    <row r="192" spans="1:47" ht="18" customHeight="1" x14ac:dyDescent="0.65">
      <c r="A192" s="437"/>
      <c r="B192" s="437"/>
      <c r="C192" s="1"/>
      <c r="D192" s="1"/>
      <c r="E192" s="1"/>
      <c r="F192" s="1"/>
    </row>
    <row r="193" spans="1:63" ht="14" customHeight="1" x14ac:dyDescent="0.3">
      <c r="A193" s="438"/>
      <c r="B193" s="439"/>
      <c r="C193" s="1"/>
      <c r="D193" s="1"/>
      <c r="E193" s="1"/>
      <c r="F193" s="1"/>
    </row>
    <row r="194" spans="1:63" ht="18" customHeight="1" x14ac:dyDescent="0.65">
      <c r="A194" s="437"/>
      <c r="B194" s="437"/>
      <c r="C194" s="1"/>
      <c r="D194" s="1"/>
      <c r="E194" s="1"/>
      <c r="F194" s="1"/>
    </row>
    <row r="195" spans="1:63" ht="14" customHeight="1" x14ac:dyDescent="0.3">
      <c r="A195" s="438"/>
      <c r="B195" s="439"/>
      <c r="C195" s="1"/>
      <c r="D195" s="1"/>
      <c r="E195" s="1"/>
      <c r="F195" s="1"/>
    </row>
    <row r="196" spans="1:63" ht="18" customHeight="1" x14ac:dyDescent="0.3">
      <c r="A196" s="1"/>
      <c r="B196" s="1"/>
      <c r="C196" s="1"/>
      <c r="D196" s="1"/>
      <c r="E196" s="1"/>
      <c r="F196" s="1"/>
    </row>
    <row r="197" spans="1:63" ht="14" customHeight="1" x14ac:dyDescent="0.3">
      <c r="A197" s="1"/>
      <c r="B197" s="1"/>
      <c r="C197" s="1"/>
      <c r="D197" s="1"/>
      <c r="E197" s="1"/>
      <c r="F197" s="1"/>
    </row>
    <row r="198" spans="1:63" ht="8" customHeight="1" x14ac:dyDescent="0.3">
      <c r="A198" s="1"/>
      <c r="B198" s="1"/>
      <c r="C198" s="1"/>
      <c r="D198" s="1"/>
      <c r="E198" s="1"/>
      <c r="F198" s="1"/>
    </row>
    <row r="199" spans="1:63" ht="30" customHeight="1" x14ac:dyDescent="0.3">
      <c r="A199" s="40" t="s">
        <v>94</v>
      </c>
      <c r="B199" s="1200" t="s">
        <v>95</v>
      </c>
      <c r="C199" s="1200"/>
      <c r="D199" s="1200"/>
      <c r="E199" s="436"/>
      <c r="F199" s="436" t="s">
        <v>869</v>
      </c>
      <c r="AA199" s="605" t="s">
        <v>3945</v>
      </c>
      <c r="AB199" s="597"/>
      <c r="AC199" s="597"/>
      <c r="AD199" s="597"/>
      <c r="AE199" s="597"/>
      <c r="AF199" s="597"/>
      <c r="AG199" s="597"/>
    </row>
    <row r="200" spans="1:63" ht="17.5" x14ac:dyDescent="0.35">
      <c r="A200" s="41"/>
      <c r="B200" s="1016" t="s">
        <v>96</v>
      </c>
      <c r="C200" s="1016"/>
      <c r="D200" s="1016"/>
      <c r="E200" s="42"/>
      <c r="F200" s="42"/>
      <c r="AD200" s="643" t="s">
        <v>102</v>
      </c>
      <c r="AE200" s="642"/>
      <c r="AF200" s="642"/>
      <c r="AG200" s="642"/>
      <c r="AH200" s="642"/>
      <c r="AI200" s="642"/>
      <c r="AK200" s="641" t="s">
        <v>4169</v>
      </c>
      <c r="AL200" s="642"/>
      <c r="AM200" s="642"/>
      <c r="AP200"/>
    </row>
    <row r="201" spans="1:63" ht="10" customHeight="1" thickBot="1" x14ac:dyDescent="0.35">
      <c r="A201" s="94"/>
      <c r="B201" s="94"/>
      <c r="C201" s="94"/>
      <c r="D201" s="94"/>
      <c r="E201" s="94"/>
      <c r="F201" s="1"/>
    </row>
    <row r="202" spans="1:63" ht="25" customHeight="1" thickTop="1" thickBot="1" x14ac:dyDescent="0.5">
      <c r="A202" s="94"/>
      <c r="B202" s="43" t="s">
        <v>97</v>
      </c>
      <c r="C202" s="44" t="str">
        <f>AD202</f>
        <v>FIRST NAME</v>
      </c>
      <c r="D202" s="44" t="str">
        <f>AH202</f>
        <v>LAST NAME</v>
      </c>
      <c r="E202" s="94"/>
      <c r="F202" s="1"/>
      <c r="AD202" s="48" t="str">
        <f>"FIRST NAME"</f>
        <v>FIRST NAME</v>
      </c>
      <c r="AH202" s="48" t="s">
        <v>100</v>
      </c>
      <c r="AN202" s="29" t="str">
        <f>IF(NOT(C202=AD202),C202,"Claimant")</f>
        <v>Claimant</v>
      </c>
      <c r="AO202" s="670"/>
      <c r="AP202" s="30"/>
      <c r="AQ202" s="30"/>
      <c r="AR202" s="30"/>
      <c r="AS202" s="30"/>
      <c r="AT202" s="31"/>
      <c r="AX202" s="1145">
        <f>(AX203*0.15)/2</f>
        <v>165000</v>
      </c>
      <c r="AY202" s="1145"/>
      <c r="AZ202" s="1145"/>
      <c r="BA202" s="1145"/>
      <c r="BB202" s="1145"/>
      <c r="BG202" s="619" t="str">
        <f>IF(OR(C202=AD202,C202=""),"Claimant",CONCATENATE(C202," ",D202))</f>
        <v>Claimant</v>
      </c>
      <c r="BJ202" s="48" t="str">
        <f>LOWER(C202)</f>
        <v>first name</v>
      </c>
      <c r="BK202" s="48" t="str">
        <f>LOWER(D202)</f>
        <v>last name</v>
      </c>
    </row>
    <row r="203" spans="1:63" ht="15" thickTop="1" thickBot="1" x14ac:dyDescent="0.35">
      <c r="A203" s="94"/>
      <c r="B203" s="94"/>
      <c r="C203" s="45" t="s">
        <v>3606</v>
      </c>
      <c r="D203" s="45" t="s">
        <v>101</v>
      </c>
      <c r="E203" s="94"/>
      <c r="F203" s="1"/>
      <c r="AX203" s="1145">
        <v>2200000</v>
      </c>
      <c r="AY203" s="1145"/>
      <c r="AZ203" s="1145"/>
      <c r="BA203" s="1145"/>
      <c r="BB203" s="1145"/>
    </row>
    <row r="204" spans="1:63" ht="15" thickTop="1" thickBot="1" x14ac:dyDescent="0.35">
      <c r="A204" s="94"/>
      <c r="B204" s="94"/>
      <c r="C204" s="46"/>
      <c r="D204" s="47"/>
      <c r="E204" s="94"/>
      <c r="F204" s="1"/>
      <c r="AD204" s="48" t="str">
        <f>IF(C204="",CONCATENATE(AN202,"'s email address"),C204)</f>
        <v>Claimant's email address</v>
      </c>
      <c r="AN204" s="48" t="str">
        <f>IF(D204="",CONCATENATE(AN202,"'s phone number"),D204)</f>
        <v>Claimant's phone number</v>
      </c>
    </row>
    <row r="205" spans="1:63" ht="15" thickTop="1" thickBot="1" x14ac:dyDescent="0.35">
      <c r="A205" s="94"/>
      <c r="B205" s="45" t="s">
        <v>3823</v>
      </c>
      <c r="C205" s="45" t="s">
        <v>103</v>
      </c>
      <c r="D205" s="45" t="s">
        <v>3825</v>
      </c>
      <c r="E205" s="94"/>
      <c r="F205" s="1"/>
      <c r="AJ205" s="1015">
        <v>37798</v>
      </c>
      <c r="AK205" s="1015"/>
      <c r="AL205" s="1015"/>
      <c r="AM205" s="48" t="s">
        <v>104</v>
      </c>
      <c r="AQ205" s="1005"/>
      <c r="AR205" s="1005"/>
    </row>
    <row r="206" spans="1:63" ht="15" thickTop="1" thickBot="1" x14ac:dyDescent="0.35">
      <c r="A206" s="94"/>
      <c r="B206" s="46" t="s">
        <v>3824</v>
      </c>
      <c r="C206" s="46"/>
      <c r="D206" s="46"/>
      <c r="E206" s="94"/>
      <c r="F206" s="1"/>
      <c r="AA206" s="597">
        <v>1</v>
      </c>
      <c r="AB206" s="49" t="s">
        <v>3937</v>
      </c>
      <c r="AC206" s="49"/>
      <c r="AD206" s="49"/>
      <c r="AE206" s="49"/>
      <c r="AF206" s="49"/>
      <c r="AJ206" s="50">
        <f>IF(AND(D259&lt;AJ205,C206=AQ206),2,1)</f>
        <v>1</v>
      </c>
      <c r="AK206" s="50" t="s">
        <v>106</v>
      </c>
      <c r="AM206" s="50">
        <f>IF($AF$646&gt;2,1.12,1)</f>
        <v>1</v>
      </c>
      <c r="AO206" s="50">
        <f>IF($AF$651&gt;2,1.12,1)</f>
        <v>1</v>
      </c>
      <c r="AQ206" s="48" t="str">
        <f>B2719</f>
        <v>other (explain in box)</v>
      </c>
      <c r="BB206" s="51">
        <f>ROUND(AJ206*AM206*AO206,1)</f>
        <v>1</v>
      </c>
      <c r="BG206" s="48" t="str">
        <f>IF($D$206=$C$2717,"He",IF($D$206=$C$2718,"She",IF($D$206=$C$2719,"They",IF($D$206=$C$2720,$AN$202,"Claimant"))))</f>
        <v>Claimant</v>
      </c>
      <c r="BH206" s="48" t="str">
        <f>IF($D$206=$C$2717,"he",IF($D$206=$C$2718,"she",IF($D$206=$C$2719,"they",IF($D$206=$C$2720,$AN$202,"claimant"))))</f>
        <v>claimant</v>
      </c>
      <c r="BI206" s="48" t="str">
        <f>IF($D$206=$C$2717,"him",IF($D$206=$C$2718,"her",IF($D$206=$C$2719,"them",IF($D$206=$C$2720,$AN$202,"claimant"))))</f>
        <v>claimant</v>
      </c>
      <c r="BJ206" s="48" t="str">
        <f>IF($D$206=$C$2717,"his",IF($D$206=$C$2718,"hers",IF($D$206=$C$2719,"their",IF($D$206=$C$2720,CONCATENATE($AN$202,"'s"),"claimant's"))))</f>
        <v>claimant's</v>
      </c>
      <c r="BK206" s="48" t="str">
        <f>IF($D$206=$C$2717,"His",IF($D$206=$C$2718,"Her",IF($D$206=$C$2719,"Their",IF($D$206=$C$2720,CONCATENATE($AN$202,"'s"),"claimant's"))))</f>
        <v>claimant's</v>
      </c>
    </row>
    <row r="207" spans="1:63" ht="15" thickTop="1" thickBot="1" x14ac:dyDescent="0.35">
      <c r="A207" s="94"/>
      <c r="B207" s="94"/>
      <c r="C207" s="45" t="s">
        <v>107</v>
      </c>
      <c r="D207" s="45" t="s">
        <v>108</v>
      </c>
      <c r="E207" s="94"/>
      <c r="F207" s="1"/>
    </row>
    <row r="208" spans="1:63" ht="15" thickTop="1" thickBot="1" x14ac:dyDescent="0.35">
      <c r="A208" s="94"/>
      <c r="B208" s="94"/>
      <c r="C208" s="46"/>
      <c r="D208" s="46"/>
      <c r="E208" s="94"/>
      <c r="F208" s="1"/>
      <c r="AA208" s="597">
        <f>AA206+1</f>
        <v>2</v>
      </c>
      <c r="AB208" s="49" t="s">
        <v>3938</v>
      </c>
      <c r="AC208" s="49"/>
      <c r="AD208" s="49"/>
      <c r="AE208" s="49"/>
      <c r="AF208" s="49"/>
      <c r="AH208" s="48" t="str">
        <f>B2724</f>
        <v>primarily white</v>
      </c>
      <c r="AL208" s="48" t="str">
        <f>B2725</f>
        <v>primarily black</v>
      </c>
      <c r="AP208" s="48" t="str">
        <f>B2726</f>
        <v>nonwhite hispanic</v>
      </c>
      <c r="AU208" s="48" t="str">
        <f>B2727</f>
        <v>other (explain in box)</v>
      </c>
    </row>
    <row r="209" spans="1:59" ht="15" thickTop="1" thickBot="1" x14ac:dyDescent="0.35">
      <c r="A209" s="94"/>
      <c r="B209" s="94"/>
      <c r="C209" s="45" t="s">
        <v>111</v>
      </c>
      <c r="D209" s="94"/>
      <c r="E209" s="94"/>
      <c r="F209" s="1"/>
      <c r="AH209" s="48">
        <f>IF($C208=AH208,1,0)</f>
        <v>0</v>
      </c>
      <c r="AI209" s="48">
        <f>IF($AF$646&gt;2,1.5,1)</f>
        <v>1</v>
      </c>
      <c r="AJ209" s="48">
        <f>IF($AF$651&gt;2,1.5,1)</f>
        <v>1</v>
      </c>
      <c r="AK209" s="50">
        <f>AH209*AI209*AJ209</f>
        <v>0</v>
      </c>
      <c r="AL209" s="48">
        <f>IF($C208=AL208,3,0)</f>
        <v>0</v>
      </c>
      <c r="AM209" s="48">
        <f>IF($AF$646&gt;2,1.5,0)</f>
        <v>0</v>
      </c>
      <c r="AN209" s="48">
        <f>IF($AF$651&gt;2,1.5,0)</f>
        <v>0</v>
      </c>
      <c r="AO209" s="50">
        <f>AL209*AM209*AN209</f>
        <v>0</v>
      </c>
      <c r="AP209" s="48">
        <f>IF($C208=AP208,2,0)</f>
        <v>0</v>
      </c>
      <c r="AQ209" s="48">
        <f>IF($AF$646&gt;2,1.5,1)</f>
        <v>1</v>
      </c>
      <c r="AR209" s="48">
        <f>IF($AF$651&gt;2,1.5,1)</f>
        <v>1</v>
      </c>
      <c r="AS209" s="50">
        <f>AP209*AQ209*AR209</f>
        <v>0</v>
      </c>
      <c r="AU209" s="48">
        <f>IF($C208=AU208,1.5,0)</f>
        <v>0</v>
      </c>
      <c r="AV209" s="48">
        <f>IF($AF$646&gt;2,1.5,1)</f>
        <v>1</v>
      </c>
      <c r="AW209" s="48">
        <f>IF($AF$651&gt;2,1.5,1)</f>
        <v>1</v>
      </c>
      <c r="AX209" s="50">
        <f>AU209*AV209*AW209</f>
        <v>0</v>
      </c>
      <c r="AZ209" s="52">
        <f>(MAX(AK209,AO209,AS209,AX209))-2.25</f>
        <v>-2.25</v>
      </c>
      <c r="BB209" s="53">
        <f>IF(AZ209=-2.25,0,AZ209)</f>
        <v>0</v>
      </c>
    </row>
    <row r="210" spans="1:59" ht="45" customHeight="1" thickTop="1" thickBot="1" x14ac:dyDescent="0.35">
      <c r="A210" s="94"/>
      <c r="B210" s="94"/>
      <c r="C210" s="1006"/>
      <c r="D210" s="1007"/>
      <c r="E210" s="94"/>
      <c r="F210" s="1"/>
      <c r="AV210" s="48" t="str">
        <f>C212</f>
        <v>FIRST NAME</v>
      </c>
    </row>
    <row r="211" spans="1:59" ht="5" customHeight="1" thickTop="1" thickBot="1" x14ac:dyDescent="0.35">
      <c r="A211" s="94"/>
      <c r="B211" s="94"/>
      <c r="C211" s="94"/>
      <c r="D211" s="94"/>
      <c r="E211" s="94"/>
      <c r="F211" s="1"/>
    </row>
    <row r="212" spans="1:59" ht="25" customHeight="1" thickTop="1" thickBot="1" x14ac:dyDescent="0.5">
      <c r="A212" s="94"/>
      <c r="B212" s="43" t="s">
        <v>112</v>
      </c>
      <c r="C212" s="44" t="str">
        <f>AD212</f>
        <v>FIRST NAME</v>
      </c>
      <c r="D212" s="44" t="str">
        <f>AH212</f>
        <v>LAST NAME</v>
      </c>
      <c r="E212" s="94"/>
      <c r="F212" s="1"/>
      <c r="AD212" s="48" t="s">
        <v>773</v>
      </c>
      <c r="AH212" s="48" t="s">
        <v>100</v>
      </c>
      <c r="AN212" s="29" t="str">
        <f>IF(NOT(C212=AD212),C212,"Proxy")</f>
        <v>Proxy</v>
      </c>
      <c r="AO212" s="30"/>
      <c r="AP212" s="30"/>
      <c r="AQ212" s="30"/>
      <c r="AR212" s="30"/>
      <c r="AS212" s="30"/>
      <c r="AT212" s="31"/>
      <c r="AV212" s="48" t="str">
        <f>CONCATENATE(AD212," ",AH212)</f>
        <v>FIRST NAME LAST NAME</v>
      </c>
      <c r="BG212" s="619" t="str">
        <f>IF(OR(C212=AD212,C212=""),"Proxy",CONCATENATE(C212," ",D212))</f>
        <v>Proxy</v>
      </c>
    </row>
    <row r="213" spans="1:59" ht="15" thickTop="1" thickBot="1" x14ac:dyDescent="0.35">
      <c r="A213" s="94"/>
      <c r="B213" s="94"/>
      <c r="C213" s="45" t="s">
        <v>113</v>
      </c>
      <c r="D213" s="45" t="s">
        <v>101</v>
      </c>
      <c r="E213" s="94"/>
      <c r="F213" s="1"/>
    </row>
    <row r="214" spans="1:59" ht="15" thickTop="1" thickBot="1" x14ac:dyDescent="0.35">
      <c r="A214" s="94"/>
      <c r="B214" s="94"/>
      <c r="C214" s="46"/>
      <c r="D214" s="47"/>
      <c r="E214" s="94"/>
      <c r="F214" s="1"/>
      <c r="AD214" s="48" t="str">
        <f>IF(C214="",CONCATENATE(AN212,"'s email address"),C214)</f>
        <v>Proxy's email address</v>
      </c>
      <c r="AN214" s="48" t="str">
        <f>IF(D214="",CONCATENATE(AN212,"'s phone number"),M214)</f>
        <v>Proxy's phone number</v>
      </c>
    </row>
    <row r="215" spans="1:59" ht="15" thickTop="1" thickBot="1" x14ac:dyDescent="0.35">
      <c r="A215" s="94"/>
      <c r="B215" s="94"/>
      <c r="C215" s="45" t="s">
        <v>114</v>
      </c>
      <c r="D215" s="45" t="s">
        <v>115</v>
      </c>
      <c r="E215" s="94"/>
      <c r="F215" s="1"/>
    </row>
    <row r="216" spans="1:59" ht="15" thickTop="1" thickBot="1" x14ac:dyDescent="0.35">
      <c r="A216" s="94"/>
      <c r="B216" s="94"/>
      <c r="C216" s="54"/>
      <c r="D216" s="47"/>
      <c r="E216" s="94"/>
      <c r="F216" s="1"/>
    </row>
    <row r="217" spans="1:59" ht="10" customHeight="1" thickTop="1" thickBot="1" x14ac:dyDescent="0.35">
      <c r="A217" s="94"/>
      <c r="B217" s="94"/>
      <c r="C217" s="94"/>
      <c r="D217" s="94"/>
      <c r="E217" s="94"/>
      <c r="F217" s="1"/>
    </row>
    <row r="218" spans="1:59" ht="15" customHeight="1" thickTop="1" thickBot="1" x14ac:dyDescent="0.35">
      <c r="A218" s="538" t="s">
        <v>3970</v>
      </c>
      <c r="B218" s="94"/>
      <c r="C218" s="94"/>
      <c r="D218" s="94"/>
      <c r="E218" s="94"/>
      <c r="F218" s="1"/>
    </row>
    <row r="219" spans="1:59" ht="15" customHeight="1" thickTop="1" thickBot="1" x14ac:dyDescent="0.35">
      <c r="A219" s="809" t="s">
        <v>5145</v>
      </c>
      <c r="B219" s="57" t="s">
        <v>3971</v>
      </c>
      <c r="C219" s="94"/>
      <c r="D219" s="94"/>
      <c r="E219" s="94"/>
      <c r="F219" s="1"/>
    </row>
    <row r="220" spans="1:59" ht="15" customHeight="1" thickBot="1" x14ac:dyDescent="0.35">
      <c r="A220" s="94"/>
      <c r="B220" s="1014"/>
      <c r="C220" s="1014"/>
      <c r="D220" s="1014"/>
      <c r="E220" s="94"/>
      <c r="F220" s="1"/>
      <c r="AA220" s="607"/>
      <c r="AB220" s="608"/>
      <c r="AC220" s="608"/>
      <c r="AD220" s="608"/>
      <c r="AE220" s="608"/>
      <c r="AF220" s="608"/>
      <c r="AO220" s="52">
        <f>IF(B220=B2745,E2745,IF(B220=B2746,E2746,IF(B220=B2747,E2747,IF(B220=B2748,E2748,IF(B220=B2749,E2749,IF(B220=B2750,E2750,IF(B220=B2751,E2751,0)))))))</f>
        <v>0</v>
      </c>
      <c r="AQ220" s="953">
        <f>AO220</f>
        <v>0</v>
      </c>
      <c r="AR220" s="952"/>
    </row>
    <row r="221" spans="1:59" ht="15" customHeight="1" thickBot="1" x14ac:dyDescent="0.35">
      <c r="A221" s="809" t="s">
        <v>5145</v>
      </c>
      <c r="B221" s="57" t="s">
        <v>3815</v>
      </c>
      <c r="C221" s="94"/>
      <c r="D221" s="94"/>
      <c r="E221" s="94"/>
      <c r="F221" s="1"/>
    </row>
    <row r="222" spans="1:59" ht="15" customHeight="1" thickBot="1" x14ac:dyDescent="0.35">
      <c r="A222" s="94"/>
      <c r="B222" s="1014"/>
      <c r="C222" s="1014"/>
      <c r="D222" s="1014"/>
      <c r="E222" s="94"/>
      <c r="F222" s="1"/>
      <c r="AA222" s="607"/>
      <c r="AB222" s="608"/>
      <c r="AC222" s="608"/>
      <c r="AD222" s="608"/>
      <c r="AE222" s="608"/>
      <c r="AF222" s="608"/>
      <c r="AO222" s="52">
        <f>IF(B222=B2754,E2754,IF(B222=B2755,E2755,0))</f>
        <v>0</v>
      </c>
      <c r="AQ222" s="953">
        <f>AQ220+AO222</f>
        <v>0</v>
      </c>
      <c r="AR222" s="952"/>
    </row>
    <row r="223" spans="1:59" ht="13" customHeight="1" thickBot="1" x14ac:dyDescent="0.35">
      <c r="A223" s="94"/>
      <c r="B223" s="94"/>
      <c r="C223" s="94"/>
      <c r="D223" s="94"/>
      <c r="E223" s="94"/>
      <c r="F223" s="1"/>
    </row>
    <row r="224" spans="1:59" ht="16.5" thickTop="1" thickBot="1" x14ac:dyDescent="0.35">
      <c r="A224" s="538" t="s">
        <v>118</v>
      </c>
      <c r="B224" s="56"/>
      <c r="C224" s="94"/>
      <c r="D224" s="94"/>
      <c r="E224" s="94"/>
      <c r="F224" s="1"/>
    </row>
    <row r="225" spans="1:54" ht="20" customHeight="1" thickTop="1" thickBot="1" x14ac:dyDescent="0.35">
      <c r="A225" s="94"/>
      <c r="B225" s="57" t="s">
        <v>119</v>
      </c>
      <c r="C225" s="57" t="s">
        <v>120</v>
      </c>
      <c r="D225" s="57" t="s">
        <v>121</v>
      </c>
      <c r="E225" s="94"/>
      <c r="F225" s="1"/>
      <c r="AK225" s="48">
        <f>SUM(AK226:AK235)</f>
        <v>0</v>
      </c>
      <c r="AM225" s="48">
        <f>SUM(AM226:AM235)</f>
        <v>0</v>
      </c>
      <c r="AO225" s="52">
        <f>IF(AND(AK225=0,AM225=0),0.0000001,AK225/AM225)</f>
        <v>9.9999999999999995E-8</v>
      </c>
      <c r="AQ225" s="953">
        <f>ROUND(AQ222+AO225,0)</f>
        <v>0</v>
      </c>
      <c r="AR225" s="952"/>
    </row>
    <row r="226" spans="1:54" s="63" customFormat="1" ht="30" customHeight="1" thickTop="1" thickBot="1" x14ac:dyDescent="0.35">
      <c r="A226" s="58" t="str">
        <f>IF(B226="","",1)</f>
        <v/>
      </c>
      <c r="B226" s="59"/>
      <c r="C226" s="59"/>
      <c r="D226" s="60"/>
      <c r="E226" s="58"/>
      <c r="F226" s="61"/>
      <c r="G226" s="62"/>
      <c r="H226" s="62"/>
      <c r="I226" s="62"/>
      <c r="J226" s="62"/>
      <c r="K226" s="62"/>
      <c r="L226" s="62"/>
      <c r="M226" s="62"/>
      <c r="N226" s="62"/>
      <c r="O226" s="62"/>
      <c r="P226" s="62"/>
      <c r="Q226" s="62"/>
      <c r="R226" s="62"/>
      <c r="S226" s="62"/>
      <c r="T226" s="62"/>
      <c r="U226" s="62"/>
      <c r="V226" s="62"/>
      <c r="W226" s="62"/>
      <c r="X226" s="62"/>
      <c r="Y226" s="62"/>
      <c r="Z226" s="62"/>
      <c r="AA226" s="597">
        <f>AA208+1</f>
        <v>3</v>
      </c>
      <c r="AB226" s="49" t="s">
        <v>3942</v>
      </c>
      <c r="AC226" s="49"/>
      <c r="AD226" s="49"/>
      <c r="AE226" s="49"/>
      <c r="AF226" s="49"/>
      <c r="AK226" s="609">
        <f>IF(D226=D$2759,E$2759,IF(D226=D$2760,E$2760,IF(D226=D$2761,E$2761,IF(D226=D$2762,E$2762,IF(D226=D$2763,E$2763,IF(D226=D$2764,E$2764,IF(D226=D$2765,E$2765,IF(D226=D$2766,E$2766,IF(D226=D$2767,E$2767,IF(D226=D$2768,E$2768,IF(D226=D$2769,E$2769,0)))))))))))</f>
        <v>0</v>
      </c>
      <c r="AM226" s="63">
        <f>IF(AK226=0,0,1)</f>
        <v>0</v>
      </c>
      <c r="BB226" s="64"/>
    </row>
    <row r="227" spans="1:54" s="63" customFormat="1" ht="30" customHeight="1" thickTop="1" thickBot="1" x14ac:dyDescent="0.35">
      <c r="A227" s="58" t="str">
        <f>IF(B227="","",1+A226)</f>
        <v/>
      </c>
      <c r="B227" s="59"/>
      <c r="C227" s="59"/>
      <c r="D227" s="60"/>
      <c r="E227" s="58"/>
      <c r="F227" s="61"/>
      <c r="G227" s="62"/>
      <c r="H227" s="62"/>
      <c r="I227" s="62"/>
      <c r="J227" s="62"/>
      <c r="K227" s="62"/>
      <c r="L227" s="62"/>
      <c r="M227" s="62"/>
      <c r="N227" s="62"/>
      <c r="O227" s="62"/>
      <c r="P227" s="62"/>
      <c r="Q227" s="62"/>
      <c r="R227" s="62"/>
      <c r="S227" s="62"/>
      <c r="T227" s="62"/>
      <c r="U227" s="62"/>
      <c r="V227" s="62"/>
      <c r="W227" s="62"/>
      <c r="X227" s="62"/>
      <c r="Y227" s="62"/>
      <c r="Z227" s="62"/>
      <c r="AA227" s="597"/>
      <c r="AB227" s="49" t="s">
        <v>3942</v>
      </c>
      <c r="AC227" s="49"/>
      <c r="AD227" s="49"/>
      <c r="AE227" s="49"/>
      <c r="AF227" s="49"/>
      <c r="AK227" s="609">
        <f>IF(D227=D$2759,E$2759,IF(D227=D$2760,E$2760,IF(D227=D$2761,E$2761,IF(D227=D$2762,E$2762,IF(D227=D$2763,E$2763,IF(D227=D$2764,E$2764,IF(D227=D$2765,E$2765,IF(D227=D$2766,E$2766,IF(D227=D$2767,E$2767,IF(D227=D$2768,E$2768,IF(D227=D$2769,E$2769,0)))))))))))</f>
        <v>0</v>
      </c>
      <c r="AM227" s="63">
        <f t="shared" ref="AM227:AM235" si="11">IF(AK227=0,0,1)</f>
        <v>0</v>
      </c>
      <c r="BB227" s="64"/>
    </row>
    <row r="228" spans="1:54" s="63" customFormat="1" ht="30" customHeight="1" thickTop="1" thickBot="1" x14ac:dyDescent="0.35">
      <c r="A228" s="58" t="str">
        <f t="shared" ref="A228:A235" si="12">IF(B228="","",1+A227)</f>
        <v/>
      </c>
      <c r="B228" s="59"/>
      <c r="C228" s="59"/>
      <c r="D228" s="60"/>
      <c r="E228" s="58"/>
      <c r="F228" s="61"/>
      <c r="G228" s="62"/>
      <c r="H228" s="62"/>
      <c r="I228" s="62"/>
      <c r="J228" s="62"/>
      <c r="K228" s="62"/>
      <c r="L228" s="62"/>
      <c r="M228" s="62"/>
      <c r="N228" s="62"/>
      <c r="O228" s="62"/>
      <c r="P228" s="62"/>
      <c r="Q228" s="62"/>
      <c r="R228" s="62"/>
      <c r="S228" s="62"/>
      <c r="T228" s="62"/>
      <c r="U228" s="62"/>
      <c r="V228" s="62"/>
      <c r="W228" s="62"/>
      <c r="X228" s="62"/>
      <c r="Y228" s="62"/>
      <c r="Z228" s="62"/>
      <c r="AA228" s="597"/>
      <c r="AB228" s="49" t="s">
        <v>3942</v>
      </c>
      <c r="AC228" s="49"/>
      <c r="AD228" s="49"/>
      <c r="AE228" s="49"/>
      <c r="AF228" s="49"/>
      <c r="AK228" s="609">
        <f>IF(D228=D$2759,E$2759,IF(D228=D$2760,E$2760,IF(D228=D$2761,E$2761,IF(D228=D$2762,E$2762,IF(D228=D$2763,E$2763,IF(D228=D$2764,E$2764,IF(D228=D$2765,E$2765,IF(D228=D$2766,E$2766,IF(D228=D$2767,E$2767,IF(D228=D$2768,E$2768,IF(D228=D$2769,E$2769,0)))))))))))</f>
        <v>0</v>
      </c>
      <c r="AM228" s="63">
        <f t="shared" si="11"/>
        <v>0</v>
      </c>
      <c r="BB228" s="64"/>
    </row>
    <row r="229" spans="1:54" s="63" customFormat="1" ht="30" customHeight="1" thickTop="1" thickBot="1" x14ac:dyDescent="0.35">
      <c r="A229" s="58" t="str">
        <f t="shared" si="12"/>
        <v/>
      </c>
      <c r="B229" s="59"/>
      <c r="C229" s="59"/>
      <c r="D229" s="60"/>
      <c r="E229" s="58"/>
      <c r="F229" s="61"/>
      <c r="G229" s="62"/>
      <c r="H229" s="62"/>
      <c r="I229" s="62"/>
      <c r="J229" s="62"/>
      <c r="K229" s="62"/>
      <c r="L229" s="62"/>
      <c r="M229" s="62"/>
      <c r="N229" s="62"/>
      <c r="O229" s="62"/>
      <c r="P229" s="62"/>
      <c r="Q229" s="62"/>
      <c r="R229" s="62"/>
      <c r="S229" s="62"/>
      <c r="T229" s="62"/>
      <c r="U229" s="62"/>
      <c r="V229" s="62"/>
      <c r="W229" s="62"/>
      <c r="X229" s="62"/>
      <c r="Y229" s="62"/>
      <c r="Z229" s="62"/>
      <c r="AA229" s="597"/>
      <c r="AB229" s="49" t="s">
        <v>3942</v>
      </c>
      <c r="AC229" s="49"/>
      <c r="AD229" s="49"/>
      <c r="AE229" s="49"/>
      <c r="AF229" s="49"/>
      <c r="AK229" s="609">
        <f>IF(D229=D$2759,E$2759,IF(D229=D$2760,E$2760,IF(D229=D$2761,E$2761,IF(D229=D$2762,E$2762,IF(D229=D$2763,E$2763,IF(D229=D$2764,E$2764,IF(D229=D$2765,E$2765,IF(D229=D$2766,E$2766,IF(D229=D$2767,E$2767,IF(D229=D$2768,E$2768,IF(D229=D$2769,E$2769,0)))))))))))</f>
        <v>0</v>
      </c>
      <c r="AM229" s="63">
        <f t="shared" si="11"/>
        <v>0</v>
      </c>
      <c r="BB229" s="64"/>
    </row>
    <row r="230" spans="1:54" s="63" customFormat="1" ht="30" customHeight="1" thickTop="1" thickBot="1" x14ac:dyDescent="0.35">
      <c r="A230" s="58" t="str">
        <f t="shared" si="12"/>
        <v/>
      </c>
      <c r="B230" s="59"/>
      <c r="C230" s="59"/>
      <c r="D230" s="60"/>
      <c r="E230" s="58"/>
      <c r="F230" s="61"/>
      <c r="G230" s="62"/>
      <c r="H230" s="62"/>
      <c r="I230" s="62"/>
      <c r="J230" s="62"/>
      <c r="K230" s="62"/>
      <c r="L230" s="62"/>
      <c r="M230" s="62"/>
      <c r="N230" s="62"/>
      <c r="O230" s="62"/>
      <c r="P230" s="62"/>
      <c r="Q230" s="62"/>
      <c r="R230" s="62"/>
      <c r="S230" s="62"/>
      <c r="T230" s="62"/>
      <c r="U230" s="62"/>
      <c r="V230" s="62"/>
      <c r="W230" s="62"/>
      <c r="X230" s="62"/>
      <c r="Y230" s="62"/>
      <c r="Z230" s="62"/>
      <c r="AA230" s="597"/>
      <c r="AB230" s="49" t="s">
        <v>3942</v>
      </c>
      <c r="AC230" s="49"/>
      <c r="AD230" s="49"/>
      <c r="AE230" s="49"/>
      <c r="AF230" s="49"/>
      <c r="AK230" s="609">
        <f>IF(D230=D$2759,E$2759,IF(D230=D$2760,E$2760,IF(D230=D$2761,E$2761,IF(D230=D$2762,E$2762,IF(D230=D$2763,E$2763,IF(D230=D$2764,E$2764,IF(D230=D$2765,E$2765,IF(D230=D$2766,E$2766,IF(D230=D$2767,E$2767,IF(D230=D$2768,E$2768,IF(D230=D$2769,E$2769,0)))))))))))</f>
        <v>0</v>
      </c>
      <c r="AM230" s="63">
        <f t="shared" si="11"/>
        <v>0</v>
      </c>
      <c r="BB230" s="64"/>
    </row>
    <row r="231" spans="1:54" s="63" customFormat="1" ht="30" customHeight="1" thickTop="1" thickBot="1" x14ac:dyDescent="0.35">
      <c r="A231" s="58" t="str">
        <f t="shared" si="12"/>
        <v/>
      </c>
      <c r="B231" s="59"/>
      <c r="C231" s="59"/>
      <c r="D231" s="60"/>
      <c r="E231" s="58"/>
      <c r="F231" s="61"/>
      <c r="G231" s="62"/>
      <c r="H231" s="62"/>
      <c r="I231" s="62"/>
      <c r="J231" s="62"/>
      <c r="K231" s="62"/>
      <c r="L231" s="62"/>
      <c r="M231" s="62"/>
      <c r="N231" s="62"/>
      <c r="O231" s="62"/>
      <c r="P231" s="62"/>
      <c r="Q231" s="62"/>
      <c r="R231" s="62"/>
      <c r="S231" s="62"/>
      <c r="T231" s="62"/>
      <c r="U231" s="62"/>
      <c r="V231" s="62"/>
      <c r="W231" s="62"/>
      <c r="X231" s="62"/>
      <c r="Y231" s="62"/>
      <c r="Z231" s="62"/>
      <c r="AA231" s="597"/>
      <c r="AB231" s="49" t="s">
        <v>3942</v>
      </c>
      <c r="AC231" s="49"/>
      <c r="AD231" s="49"/>
      <c r="AE231" s="49"/>
      <c r="AF231" s="49"/>
      <c r="AK231" s="609">
        <f>IF(D231=D$2759,E$2759,IF(D231=D$2760,E$2760,IF(D231=D$2761,E$2761,IF(D231=D$2762,E$2762,IF(D231=D$2763,E$2763,IF(D231=D$2764,E$2764,IF(D231=D$2765,E$2765,IF(D231=D$2766,E$2766,IF(D231=D$2767,E$2767,IF(D231=D$2768,E$2768,IF(D231=D$2769,E$2769,0)))))))))))</f>
        <v>0</v>
      </c>
      <c r="AM231" s="63">
        <f t="shared" si="11"/>
        <v>0</v>
      </c>
      <c r="BB231" s="64"/>
    </row>
    <row r="232" spans="1:54" s="63" customFormat="1" ht="30" customHeight="1" thickTop="1" thickBot="1" x14ac:dyDescent="0.35">
      <c r="A232" s="58" t="str">
        <f t="shared" si="12"/>
        <v/>
      </c>
      <c r="B232" s="59"/>
      <c r="C232" s="59"/>
      <c r="D232" s="60"/>
      <c r="E232" s="58"/>
      <c r="F232" s="61"/>
      <c r="G232" s="62"/>
      <c r="H232" s="62"/>
      <c r="I232" s="62"/>
      <c r="J232" s="62"/>
      <c r="K232" s="62"/>
      <c r="L232" s="62"/>
      <c r="M232" s="62"/>
      <c r="N232" s="62"/>
      <c r="O232" s="62"/>
      <c r="P232" s="62"/>
      <c r="Q232" s="62"/>
      <c r="R232" s="62"/>
      <c r="S232" s="62"/>
      <c r="T232" s="62"/>
      <c r="U232" s="62"/>
      <c r="V232" s="62"/>
      <c r="W232" s="62"/>
      <c r="X232" s="62"/>
      <c r="Y232" s="62"/>
      <c r="Z232" s="62"/>
      <c r="AA232" s="597"/>
      <c r="AB232" s="49" t="s">
        <v>3942</v>
      </c>
      <c r="AC232" s="49"/>
      <c r="AD232" s="49"/>
      <c r="AE232" s="49"/>
      <c r="AF232" s="49"/>
      <c r="AK232" s="609">
        <f>IF(D232=D$2759,E$2759,IF(D232=D$2760,E$2760,IF(D232=D$2761,E$2761,IF(D232=D$2762,E$2762,IF(D232=D$2763,E$2763,IF(D232=D$2764,E$2764,IF(D232=D$2765,E$2765,IF(D232=D$2766,E$2766,IF(D232=D$2767,E$2767,IF(D232=D$2768,E$2768,IF(D232=D$2769,E$2769,0)))))))))))</f>
        <v>0</v>
      </c>
      <c r="AM232" s="63">
        <f t="shared" si="11"/>
        <v>0</v>
      </c>
      <c r="BB232" s="64"/>
    </row>
    <row r="233" spans="1:54" s="63" customFormat="1" ht="30" hidden="1" customHeight="1" thickTop="1" thickBot="1" x14ac:dyDescent="0.35">
      <c r="A233" s="58" t="str">
        <f t="shared" si="12"/>
        <v/>
      </c>
      <c r="B233" s="59"/>
      <c r="C233" s="59"/>
      <c r="D233" s="60"/>
      <c r="E233" s="58"/>
      <c r="F233" s="61"/>
      <c r="G233" s="62"/>
      <c r="H233" s="62"/>
      <c r="I233" s="62"/>
      <c r="J233" s="62"/>
      <c r="K233" s="62"/>
      <c r="L233" s="62"/>
      <c r="M233" s="62"/>
      <c r="N233" s="62"/>
      <c r="O233" s="62"/>
      <c r="P233" s="62"/>
      <c r="Q233" s="62"/>
      <c r="R233" s="62"/>
      <c r="S233" s="62"/>
      <c r="T233" s="62"/>
      <c r="U233" s="62"/>
      <c r="V233" s="62"/>
      <c r="W233" s="62"/>
      <c r="X233" s="62"/>
      <c r="Y233" s="62"/>
      <c r="Z233" s="62"/>
      <c r="AA233" s="597"/>
      <c r="AB233" s="49" t="s">
        <v>3942</v>
      </c>
      <c r="AC233" s="49"/>
      <c r="AD233" s="49"/>
      <c r="AE233" s="49"/>
      <c r="AF233" s="49"/>
      <c r="AK233" s="63">
        <f>IF(D233=D$2759,E$2759,IF(D233=D$2760,E$2760,IF(D233=D$2761,E$2761,IF(D233=D$2762,E$2762,IF(D233=D$2763,E$2763,IF(D233=D$2764,E$2764,IF(D233=D$2765,E$2765,IF(D233=D$2766,E$2766,IF(D233=D$2767,E$2767,IF(D233=D$2768,E$2768,IF(D233=D$2769,E$2769,0)))))))))))</f>
        <v>0</v>
      </c>
      <c r="AM233" s="63">
        <f t="shared" si="11"/>
        <v>0</v>
      </c>
      <c r="BB233" s="64"/>
    </row>
    <row r="234" spans="1:54" s="63" customFormat="1" ht="30" hidden="1" customHeight="1" thickTop="1" thickBot="1" x14ac:dyDescent="0.35">
      <c r="A234" s="58" t="str">
        <f t="shared" si="12"/>
        <v/>
      </c>
      <c r="B234" s="59"/>
      <c r="C234" s="59"/>
      <c r="D234" s="60"/>
      <c r="E234" s="58"/>
      <c r="F234" s="61"/>
      <c r="G234" s="62"/>
      <c r="H234" s="62"/>
      <c r="I234" s="62"/>
      <c r="J234" s="62"/>
      <c r="K234" s="62"/>
      <c r="L234" s="62"/>
      <c r="M234" s="62"/>
      <c r="N234" s="62"/>
      <c r="O234" s="62"/>
      <c r="P234" s="62"/>
      <c r="Q234" s="62"/>
      <c r="R234" s="62"/>
      <c r="S234" s="62"/>
      <c r="T234" s="62"/>
      <c r="U234" s="62"/>
      <c r="V234" s="62"/>
      <c r="W234" s="62"/>
      <c r="X234" s="62"/>
      <c r="Y234" s="62"/>
      <c r="Z234" s="62"/>
      <c r="AA234" s="597"/>
      <c r="AB234" s="49" t="s">
        <v>3942</v>
      </c>
      <c r="AC234" s="49"/>
      <c r="AD234" s="49"/>
      <c r="AE234" s="49"/>
      <c r="AF234" s="49"/>
      <c r="AK234" s="63">
        <f>IF(D234=D$2759,E$2759,IF(D234=D$2760,E$2760,IF(D234=D$2761,E$2761,IF(D234=D$2762,E$2762,IF(D234=D$2763,E$2763,IF(D234=D$2764,E$2764,IF(D234=D$2765,E$2765,IF(D234=D$2766,E$2766,IF(D234=D$2767,E$2767,IF(D234=D$2768,E$2768,IF(D234=D$2769,E$2769,0)))))))))))</f>
        <v>0</v>
      </c>
      <c r="AM234" s="63">
        <f t="shared" si="11"/>
        <v>0</v>
      </c>
      <c r="BB234" s="64"/>
    </row>
    <row r="235" spans="1:54" s="63" customFormat="1" ht="30" hidden="1" customHeight="1" thickTop="1" thickBot="1" x14ac:dyDescent="0.35">
      <c r="A235" s="58" t="str">
        <f t="shared" si="12"/>
        <v/>
      </c>
      <c r="B235" s="59"/>
      <c r="C235" s="59"/>
      <c r="D235" s="60"/>
      <c r="E235" s="58"/>
      <c r="F235" s="61"/>
      <c r="G235" s="62"/>
      <c r="H235" s="62"/>
      <c r="I235" s="62"/>
      <c r="J235" s="62"/>
      <c r="K235" s="62"/>
      <c r="L235" s="62"/>
      <c r="M235" s="62"/>
      <c r="N235" s="62"/>
      <c r="O235" s="62"/>
      <c r="P235" s="62"/>
      <c r="Q235" s="62"/>
      <c r="R235" s="62"/>
      <c r="S235" s="62"/>
      <c r="T235" s="62"/>
      <c r="U235" s="62"/>
      <c r="V235" s="62"/>
      <c r="W235" s="62"/>
      <c r="X235" s="62"/>
      <c r="Y235" s="62"/>
      <c r="Z235" s="62"/>
      <c r="AA235" s="597"/>
      <c r="AB235" s="49" t="s">
        <v>3942</v>
      </c>
      <c r="AC235" s="49"/>
      <c r="AD235" s="49"/>
      <c r="AE235" s="49"/>
      <c r="AF235" s="49"/>
      <c r="AK235" s="63">
        <f>IF(D235=D$2759,E$2759,IF(D235=D$2760,E$2760,IF(D235=D$2761,E$2761,IF(D235=D$2762,E$2762,IF(D235=D$2763,E$2763,IF(D235=D$2764,E$2764,IF(D235=D$2765,E$2765,IF(D235=D$2766,E$2766,IF(D235=D$2767,E$2767,IF(D235=D$2768,E$2768,IF(D235=D$2769,E$2769,0)))))))))))</f>
        <v>0</v>
      </c>
      <c r="AM235" s="63">
        <f t="shared" si="11"/>
        <v>0</v>
      </c>
      <c r="BB235" s="64"/>
    </row>
    <row r="236" spans="1:54" ht="10" customHeight="1" thickTop="1" x14ac:dyDescent="0.3">
      <c r="A236" s="94"/>
      <c r="B236" s="65"/>
      <c r="C236" s="45"/>
      <c r="D236" s="45"/>
      <c r="E236" s="94"/>
      <c r="F236" s="1"/>
    </row>
    <row r="237" spans="1:54" ht="15" customHeight="1" thickBot="1" x14ac:dyDescent="0.35">
      <c r="A237" s="94"/>
      <c r="B237" s="45" t="s">
        <v>3617</v>
      </c>
      <c r="C237" s="45"/>
      <c r="D237" s="45"/>
      <c r="E237" s="94"/>
      <c r="F237" s="1"/>
    </row>
    <row r="238" spans="1:54" ht="35" customHeight="1" thickTop="1" thickBot="1" x14ac:dyDescent="0.35">
      <c r="A238" s="94"/>
      <c r="B238" s="1006"/>
      <c r="C238" s="1008"/>
      <c r="D238" s="1007"/>
      <c r="E238" s="94"/>
      <c r="F238" s="1"/>
    </row>
    <row r="239" spans="1:54" ht="15" customHeight="1" thickTop="1" thickBot="1" x14ac:dyDescent="0.35">
      <c r="A239" s="94"/>
      <c r="B239" s="45" t="s">
        <v>3616</v>
      </c>
      <c r="C239" s="45"/>
      <c r="D239" s="45"/>
      <c r="E239" s="94"/>
      <c r="F239" s="1"/>
    </row>
    <row r="240" spans="1:54" ht="35" customHeight="1" thickTop="1" thickBot="1" x14ac:dyDescent="0.35">
      <c r="A240" s="94"/>
      <c r="B240" s="1006"/>
      <c r="C240" s="1008"/>
      <c r="D240" s="1007"/>
      <c r="E240" s="94"/>
      <c r="F240" s="1"/>
    </row>
    <row r="241" spans="1:58" ht="5" customHeight="1" thickTop="1" thickBot="1" x14ac:dyDescent="0.35">
      <c r="A241" s="55"/>
      <c r="B241" s="45"/>
      <c r="C241" s="45"/>
      <c r="D241" s="45"/>
      <c r="E241" s="94"/>
      <c r="F241" s="1"/>
    </row>
    <row r="242" spans="1:58" ht="16.5" thickTop="1" thickBot="1" x14ac:dyDescent="0.35">
      <c r="A242" s="538" t="s">
        <v>124</v>
      </c>
      <c r="B242" s="56"/>
      <c r="C242" s="45"/>
      <c r="D242" s="45"/>
      <c r="E242" s="94"/>
      <c r="F242" s="1"/>
      <c r="AI242" s="66">
        <f>SUM(AD243:AD256)</f>
        <v>0</v>
      </c>
    </row>
    <row r="243" spans="1:58" ht="15" thickTop="1" thickBot="1" x14ac:dyDescent="0.35">
      <c r="A243" s="94"/>
      <c r="B243" s="45" t="s">
        <v>125</v>
      </c>
      <c r="C243" s="45"/>
      <c r="D243" s="54"/>
      <c r="E243" s="94"/>
      <c r="F243" s="1"/>
      <c r="AA243" s="601">
        <f>AA226+1</f>
        <v>4</v>
      </c>
      <c r="AB243" s="522" t="s">
        <v>3965</v>
      </c>
      <c r="AC243" s="522"/>
      <c r="AD243" s="522"/>
      <c r="AE243" s="522"/>
      <c r="AF243" s="522"/>
      <c r="AI243" s="48">
        <f>IF(D243="no, I pled not guilty",1,0)</f>
        <v>0</v>
      </c>
      <c r="AO243" s="610"/>
      <c r="AQ243" s="953">
        <f>AQ225+AO243</f>
        <v>0</v>
      </c>
      <c r="AR243" s="952"/>
      <c r="AU243" s="48" t="s">
        <v>5407</v>
      </c>
      <c r="AV243" s="642" t="str">
        <f>IF(AND(D243=B2773,C244&lt;&gt;"",D246=B2777,D250=D2775),AZ243,"")</f>
        <v/>
      </c>
      <c r="AW243" s="245" t="s">
        <v>885</v>
      </c>
      <c r="AZ243" s="48" t="s">
        <v>5406</v>
      </c>
    </row>
    <row r="244" spans="1:58" ht="15.65" customHeight="1" thickTop="1" thickBot="1" x14ac:dyDescent="0.35">
      <c r="A244" s="809" t="s">
        <v>5145</v>
      </c>
      <c r="B244" s="45" t="str">
        <f>IF(D243=B2773,AG244,"")</f>
        <v/>
      </c>
      <c r="C244" s="1009"/>
      <c r="D244" s="1010"/>
      <c r="E244" s="94"/>
      <c r="F244" s="1"/>
      <c r="AD244" s="246" t="str">
        <f>IF(B244="","N/A","")</f>
        <v>N/A</v>
      </c>
      <c r="AG244" s="48" t="s">
        <v>3923</v>
      </c>
    </row>
    <row r="245" spans="1:58" ht="40" customHeight="1" thickTop="1" thickBot="1" x14ac:dyDescent="0.35">
      <c r="A245" s="94"/>
      <c r="B245" s="1006"/>
      <c r="C245" s="1008"/>
      <c r="D245" s="1007"/>
      <c r="E245" s="94"/>
      <c r="F245" s="1"/>
    </row>
    <row r="246" spans="1:58" ht="15" thickTop="1" thickBot="1" x14ac:dyDescent="0.35">
      <c r="A246" s="94"/>
      <c r="B246" s="45" t="str">
        <f>IF(NOT(D243=B2774),"Did you try withdrawing your plea? (If not, why not?)","")</f>
        <v>Did you try withdrawing your plea? (If not, why not?)</v>
      </c>
      <c r="C246" s="45"/>
      <c r="D246" s="54"/>
      <c r="E246" s="94"/>
      <c r="F246" s="94"/>
      <c r="AA246" s="601">
        <f>AA243+1</f>
        <v>5</v>
      </c>
      <c r="AB246" s="522" t="s">
        <v>3966</v>
      </c>
      <c r="AC246" s="522"/>
      <c r="AD246" s="522"/>
      <c r="AE246" s="522"/>
      <c r="AF246" s="522"/>
      <c r="AO246" s="610"/>
      <c r="AQ246" s="953">
        <f>AQ243+AO246</f>
        <v>0</v>
      </c>
      <c r="AR246" s="952"/>
    </row>
    <row r="247" spans="1:58" ht="40" customHeight="1" thickTop="1" thickBot="1" x14ac:dyDescent="0.35">
      <c r="A247" s="94"/>
      <c r="B247" s="1006"/>
      <c r="C247" s="1008"/>
      <c r="D247" s="1007"/>
      <c r="E247" s="94"/>
      <c r="F247" s="1"/>
    </row>
    <row r="248" spans="1:58" ht="15" customHeight="1" thickTop="1" thickBot="1" x14ac:dyDescent="0.35">
      <c r="A248" s="94"/>
      <c r="B248" s="45" t="str">
        <f>IF(D243&lt;&gt;"","Offered a plea deal?","")</f>
        <v/>
      </c>
      <c r="C248" s="45"/>
      <c r="D248" s="67"/>
      <c r="E248" s="94"/>
      <c r="F248" s="1"/>
      <c r="AA248" s="597">
        <f>AA246+1</f>
        <v>6</v>
      </c>
      <c r="AB248" s="49" t="s">
        <v>3939</v>
      </c>
      <c r="AC248" s="49"/>
      <c r="AD248" s="49"/>
      <c r="AE248" s="49"/>
      <c r="AF248" s="49"/>
      <c r="AI248" s="48">
        <f>IF(D248="never open to any plea deal",1,0)</f>
        <v>0</v>
      </c>
    </row>
    <row r="249" spans="1:58" ht="40" customHeight="1" thickTop="1" thickBot="1" x14ac:dyDescent="0.35">
      <c r="A249" s="94"/>
      <c r="B249" s="1006"/>
      <c r="C249" s="1008"/>
      <c r="D249" s="1007"/>
      <c r="E249" s="94"/>
      <c r="F249" s="1"/>
      <c r="AC249" s="23"/>
    </row>
    <row r="250" spans="1:58" ht="15" customHeight="1" thickTop="1" thickBot="1" x14ac:dyDescent="0.35">
      <c r="A250" s="94"/>
      <c r="B250" s="45" t="s">
        <v>128</v>
      </c>
      <c r="C250" s="94"/>
      <c r="D250" s="67"/>
      <c r="E250" s="94"/>
      <c r="F250" s="1"/>
      <c r="AA250" s="597">
        <f>AA248+1</f>
        <v>7</v>
      </c>
      <c r="AB250" s="49" t="s">
        <v>3943</v>
      </c>
      <c r="AC250" s="49"/>
      <c r="AD250" s="49"/>
      <c r="AE250" s="49"/>
      <c r="AF250" s="49"/>
      <c r="AI250" s="48">
        <f>MAX(AJ250:AL250)</f>
        <v>0</v>
      </c>
      <c r="AJ250" s="48">
        <f>IF($D$250=D2772,1,0)</f>
        <v>0</v>
      </c>
      <c r="AK250" s="48">
        <f>IF($D$250=D2773,1,0)</f>
        <v>0</v>
      </c>
      <c r="AL250" s="48">
        <f>IF($D$250=D2774,1,0)</f>
        <v>0</v>
      </c>
      <c r="AO250" s="52">
        <f>IF(D250=D2772,E2772,IF(D250=D2773,E2773,IF(D250=D2774,E2774,IF(D250=D2775,E2775,IF(D250=D2776,E2776,IF(D250=D2777,E2777,0))))))</f>
        <v>0</v>
      </c>
      <c r="AQ250" s="953">
        <f>AQ246+AO250</f>
        <v>0</v>
      </c>
      <c r="AR250" s="952"/>
      <c r="AU250" s="48" t="s">
        <v>5408</v>
      </c>
      <c r="AV250" s="642" t="str">
        <f>IF(OR(D250=D2772,D250=D2773,D250=D2774),AZ250,"")</f>
        <v/>
      </c>
      <c r="AZ250" s="843" t="str">
        <f>CONCATENATE(BB250,BD250,BE250,BF250)</f>
        <v xml:space="preserve">Claimant has always maintained claimant's innocence. </v>
      </c>
      <c r="BB250" s="14" t="str">
        <f>AN202</f>
        <v>Claimant</v>
      </c>
      <c r="BD250" s="48" t="s">
        <v>5396</v>
      </c>
      <c r="BE250" s="48" t="str">
        <f>BJ206</f>
        <v>claimant's</v>
      </c>
      <c r="BF250" s="48" t="s">
        <v>5375</v>
      </c>
    </row>
    <row r="251" spans="1:58" ht="10" customHeight="1" thickTop="1" x14ac:dyDescent="0.3">
      <c r="A251" s="94"/>
      <c r="B251" s="94"/>
      <c r="C251" s="94"/>
      <c r="D251" s="94"/>
      <c r="E251" s="94"/>
      <c r="F251" s="1"/>
      <c r="AC251" s="23"/>
    </row>
    <row r="252" spans="1:58" ht="15" customHeight="1" thickBot="1" x14ac:dyDescent="0.35">
      <c r="A252" s="94"/>
      <c r="B252" s="70" t="s">
        <v>132</v>
      </c>
      <c r="C252" s="70" t="s">
        <v>133</v>
      </c>
      <c r="D252" s="70" t="s">
        <v>134</v>
      </c>
      <c r="E252" s="94"/>
      <c r="F252" s="1"/>
      <c r="AC252" s="23"/>
    </row>
    <row r="253" spans="1:58" ht="15" customHeight="1" thickTop="1" thickBot="1" x14ac:dyDescent="0.4">
      <c r="A253" s="94"/>
      <c r="B253" s="71"/>
      <c r="C253" s="71"/>
      <c r="D253" s="71"/>
      <c r="E253" s="94"/>
      <c r="F253" s="1"/>
      <c r="AC253" s="23"/>
      <c r="AI253" s="1015">
        <f>C253+3</f>
        <v>3</v>
      </c>
      <c r="AJ253" s="968"/>
      <c r="AK253" s="968"/>
    </row>
    <row r="254" spans="1:58" ht="5" customHeight="1" thickTop="1" thickBot="1" x14ac:dyDescent="0.35">
      <c r="A254" s="94"/>
      <c r="B254" s="45"/>
      <c r="C254" s="45"/>
      <c r="D254" s="45"/>
      <c r="E254" s="94"/>
      <c r="F254" s="1"/>
      <c r="AC254" s="23"/>
    </row>
    <row r="255" spans="1:58" ht="16.5" thickTop="1" thickBot="1" x14ac:dyDescent="0.35">
      <c r="A255" s="538" t="s">
        <v>138</v>
      </c>
      <c r="B255" s="45"/>
      <c r="C255" s="45"/>
      <c r="D255" s="45"/>
      <c r="E255" s="94"/>
      <c r="F255" s="1"/>
    </row>
    <row r="256" spans="1:58" ht="15.65" customHeight="1" thickTop="1" thickBot="1" x14ac:dyDescent="0.35">
      <c r="A256" s="94"/>
      <c r="B256" s="45" t="s">
        <v>140</v>
      </c>
      <c r="C256" s="45"/>
      <c r="D256" s="67"/>
      <c r="E256" s="94"/>
      <c r="F256" s="1"/>
      <c r="AA256" s="597">
        <f>AA250+1</f>
        <v>8</v>
      </c>
      <c r="AB256" s="49" t="s">
        <v>3944</v>
      </c>
      <c r="AC256" s="49"/>
      <c r="AD256" s="49"/>
      <c r="AE256" s="49"/>
      <c r="AF256" s="49"/>
      <c r="AO256" s="52">
        <f>IF(D256=B2802,C2802,IF(D256=B2803,C2803,IF(D256=B2804,C2804,IF(D256=B2805,C2805,IF(D256=B2806,C2806,IF(D256=B2807,C2807,0))))))</f>
        <v>0</v>
      </c>
      <c r="AQ256" s="953">
        <f>AQ250+AO256</f>
        <v>0</v>
      </c>
      <c r="AR256" s="952"/>
    </row>
    <row r="257" spans="1:44" ht="40" customHeight="1" thickTop="1" thickBot="1" x14ac:dyDescent="0.35">
      <c r="A257" s="94"/>
      <c r="B257" s="1006"/>
      <c r="C257" s="1008"/>
      <c r="D257" s="1007"/>
      <c r="E257" s="94"/>
      <c r="F257" s="1"/>
    </row>
    <row r="258" spans="1:44" ht="15" thickTop="1" thickBot="1" x14ac:dyDescent="0.35">
      <c r="A258" s="94"/>
      <c r="B258" s="70" t="s">
        <v>141</v>
      </c>
      <c r="C258" s="70" t="str">
        <f>IF(A2801=1,C2800,"")</f>
        <v/>
      </c>
      <c r="D258" s="70" t="s">
        <v>142</v>
      </c>
      <c r="E258" s="94"/>
      <c r="F258" s="1"/>
    </row>
    <row r="259" spans="1:44" ht="15" thickTop="1" thickBot="1" x14ac:dyDescent="0.35">
      <c r="A259" s="94"/>
      <c r="B259" s="71"/>
      <c r="C259" s="71"/>
      <c r="D259" s="71"/>
      <c r="E259" s="94"/>
      <c r="F259" s="1"/>
      <c r="AA259" s="597">
        <f>AA256+1</f>
        <v>9</v>
      </c>
      <c r="AB259" s="49" t="s">
        <v>3968</v>
      </c>
      <c r="AC259" s="49"/>
      <c r="AD259" s="49"/>
      <c r="AE259" s="49"/>
      <c r="AF259" s="49"/>
      <c r="AG259" s="918">
        <f>IF(D259="",0,YEAR(D259))</f>
        <v>0</v>
      </c>
      <c r="AH259" s="918"/>
      <c r="AJ259" s="918">
        <v>1989</v>
      </c>
      <c r="AK259" s="918"/>
      <c r="AO259" s="52">
        <f>IF(AND(AG259&lt;&gt;0,AG259&lt;=AJ259),1,0)</f>
        <v>0</v>
      </c>
      <c r="AQ259" s="953">
        <f>AQ256+AO259</f>
        <v>0</v>
      </c>
      <c r="AR259" s="952"/>
    </row>
    <row r="260" spans="1:44" ht="15" thickTop="1" thickBot="1" x14ac:dyDescent="0.35">
      <c r="A260" s="94"/>
      <c r="B260" s="72" t="str">
        <f>IF(D256&lt;&gt;"","Anything else about the conviction you can add?","")</f>
        <v/>
      </c>
      <c r="C260" s="45"/>
      <c r="D260" s="45"/>
      <c r="E260" s="94"/>
      <c r="F260" s="1"/>
    </row>
    <row r="261" spans="1:44" ht="40" customHeight="1" thickTop="1" thickBot="1" x14ac:dyDescent="0.35">
      <c r="A261" s="94"/>
      <c r="B261" s="1006"/>
      <c r="C261" s="1008"/>
      <c r="D261" s="1007"/>
      <c r="E261" s="94"/>
      <c r="F261" s="1"/>
    </row>
    <row r="262" spans="1:44" ht="5" customHeight="1" thickTop="1" thickBot="1" x14ac:dyDescent="0.35">
      <c r="A262" s="94"/>
      <c r="B262" s="94"/>
      <c r="C262" s="94"/>
      <c r="D262" s="94"/>
      <c r="E262" s="94"/>
      <c r="F262" s="1"/>
    </row>
    <row r="263" spans="1:44" ht="25" customHeight="1" thickTop="1" thickBot="1" x14ac:dyDescent="0.35">
      <c r="A263" s="94"/>
      <c r="B263" s="537" t="s">
        <v>144</v>
      </c>
      <c r="C263" s="94"/>
      <c r="D263" s="94"/>
      <c r="E263" s="94"/>
      <c r="F263" s="1"/>
    </row>
    <row r="264" spans="1:44" ht="15" thickTop="1" x14ac:dyDescent="0.35">
      <c r="A264" s="94"/>
      <c r="B264" s="73" t="s">
        <v>145</v>
      </c>
      <c r="C264" s="73" t="str">
        <f>IF(B265="Alaska","Borough:",IF(B265="Louisiana","Parish:","County:"))</f>
        <v>County:</v>
      </c>
      <c r="D264" s="73" t="s">
        <v>146</v>
      </c>
      <c r="E264" s="94"/>
      <c r="F264" s="1"/>
      <c r="AC264" s="74"/>
      <c r="AD264" s="74"/>
      <c r="AE264" s="74"/>
      <c r="AF264" s="74"/>
      <c r="AG264" s="74"/>
      <c r="AI264"/>
      <c r="AJ264"/>
      <c r="AK264"/>
    </row>
    <row r="265" spans="1:44" ht="14.5" x14ac:dyDescent="0.35">
      <c r="A265" s="94"/>
      <c r="B265" s="810"/>
      <c r="C265" s="811"/>
      <c r="D265" s="812"/>
      <c r="E265" s="94"/>
      <c r="F265" s="1"/>
      <c r="AD265" s="1018">
        <f>IF(AND($B$265=B3278,$D$331="yes"),BB3278,IF(AND($B$265=B3279,$D$331="yes"),BB3279,IF(AND($B$265=B3280,$D$331="yes"),BB3280,IF(AND($B$265=B3281,$D$331="yes"),BB3281,IF(AND($B$265=B3282,$D$331="yes"),BB3282,IF(AND($B$265=B3283,$D$331="yes"),BB3283,IF(AND($B$265=B3284,$D$331="yes"),BB3284,IF(AND($B$265=B3285,$D$331="yes"),BB3285,IF(AND($B$265=B3286,$D$331="yes"),BB3286,IF(AND($B$265=B3287,$D$331="yes"),BB3287,IF(AND($B$265=B3288,$D$331="yes"),BB3288,IF(AND($B$265=B3289,$D$331="yes"),BB3289,IF(AND($B$265=B3290,$D$331="yes"),BB3290,IF(AND($B$265=B3291,$D$331="yes"),BB3291,IF(AND($B$265=B3292,$D$331="yes"),BB3292,IF(AND($B$265=B3293,$D$331="yes"),BB3293,IF(AND($B$265=B3294,$D$331="yes"),BB3294,IF(AND($B$265=B3295,$D$331="yes"),BB3295,IF(AND($B$265=B3296,$D$331="yes"),BB3296,IF(AND($B$265=B3297,$D$331="yes"),BB3297,IF(AND($B$265=B3298,$D$331="yes"),BB3298,IF(AND($B$265=B3299,$D$331="yes"),BB3299,IF(AND($B$265=B3300,$D$331="yes"),BB3300,IF(AND($B$265=B3301,$D$331="yes"),BB3301,IF(AND($B$265=B3302,$D$331="yes"),BB3302,IF(AND($B$265=B3303,$D$331="yes"),BB3303,IF(AND($B$265=B3304,$D$331="yes"),BB3304,IF(AND($B$265=B3305,$D$331="yes"),BB3305,IF(AND($B$265=B3306,$D$331="yes"),BB3306,IF(AND($B$265=B3307,$D$331="yes"),BB3307,IF(AND($B$265=B3308,$D$331="yes"),BB3308,IF(AND($B$265=B3309,$D$331="yes"),BB3309,IF(AND($B$265=B3310,$D$331="yes"),BB3310,IF(AND($B$265=B3311,$D$331="yes"),BB3311,IF(AND($B$265=B3312,$D$331="yes"),BB3312,IF(AND($B$265=B3313,$D$331="yes"),BB3313,IF(AND($B$265=B3314,$D$331="yes"),BB3314,IF(AND($B$265=B3315,$D$331="yes"),BB3315,IF(AND($B$265=B3316,$D$331="yes"),BB3316,IF(AND($B$265=B3317,$D$331="yes"),BB3317,IF(AND($B$265=B3318,$D$331="yes"),BB3318,IF(AND($B$265=B3319,$D$331="yes"),BB3319,IF(AND($B$265=B3320,$D$331="yes"),BB3320,IF(AND($B$265=B3321,$D$331="yes"),BB3321,IF(AND($B$265=B3322,$D$331="yes"),BB3322,IF(AND($B$265=B3323,$D$331="yes"),BB3323,IF(AND($B$265=B3324,$D$331="yes"),BB3324,IF(AND($B$265=B3325,$D$331="yes"),BB3325,IF(AND($B$265=B3326,$D$331="yes"),BB3326,IF(AND($B$265=B3327,$D$331="yes"),BB3327,IF(AND($B$265=B3328,$D$331="yes"),BB3328,IF(AND($B$265=B3329,$D$331="yes"),BB3329,0))))))))))))))))))))))))))))))))))))))))))))))))))))</f>
        <v>0</v>
      </c>
      <c r="AE265" s="1018"/>
      <c r="AF265" s="1018"/>
      <c r="AG265" s="1018"/>
      <c r="AH265" s="1018"/>
      <c r="AJ265"/>
      <c r="AK265"/>
    </row>
    <row r="266" spans="1:44" ht="10" customHeight="1" x14ac:dyDescent="0.35">
      <c r="A266" s="94"/>
      <c r="B266" s="94"/>
      <c r="C266" s="94"/>
      <c r="D266" s="94"/>
      <c r="E266" s="94"/>
      <c r="F266" s="1"/>
      <c r="AC266" s="74"/>
      <c r="AD266" s="74"/>
      <c r="AE266" s="74"/>
      <c r="AF266" s="74"/>
      <c r="AG266" s="74"/>
      <c r="AI266"/>
      <c r="AJ266"/>
      <c r="AK266"/>
    </row>
    <row r="267" spans="1:44" x14ac:dyDescent="0.3">
      <c r="A267" s="94"/>
      <c r="B267" s="87" t="s">
        <v>150</v>
      </c>
      <c r="C267" s="94"/>
      <c r="D267" s="94"/>
      <c r="E267" s="94"/>
      <c r="F267" s="1"/>
    </row>
    <row r="268" spans="1:44" ht="14.5" thickBot="1" x14ac:dyDescent="0.35">
      <c r="A268" s="94"/>
      <c r="B268" s="45" t="s">
        <v>153</v>
      </c>
      <c r="C268" s="76" t="s">
        <v>154</v>
      </c>
      <c r="D268" s="76" t="s">
        <v>155</v>
      </c>
      <c r="E268" s="94"/>
      <c r="F268" s="1"/>
    </row>
    <row r="269" spans="1:44" ht="15" thickTop="1" thickBot="1" x14ac:dyDescent="0.35">
      <c r="A269" s="94"/>
      <c r="B269" s="47"/>
      <c r="C269" s="47"/>
      <c r="D269" s="47"/>
      <c r="E269" s="94"/>
      <c r="F269" s="1"/>
    </row>
    <row r="270" spans="1:44" ht="14.5" thickTop="1" x14ac:dyDescent="0.3">
      <c r="A270" s="94"/>
      <c r="B270" s="87" t="s">
        <v>159</v>
      </c>
      <c r="C270" s="45"/>
      <c r="D270" s="45"/>
      <c r="E270" s="94"/>
      <c r="F270" s="1"/>
    </row>
    <row r="271" spans="1:44" ht="14.5" thickBot="1" x14ac:dyDescent="0.35">
      <c r="A271" s="94"/>
      <c r="B271" s="45" t="s">
        <v>153</v>
      </c>
      <c r="C271" s="76" t="s">
        <v>1400</v>
      </c>
      <c r="D271" s="76" t="s">
        <v>160</v>
      </c>
      <c r="E271" s="94"/>
      <c r="F271" s="1"/>
    </row>
    <row r="272" spans="1:44" ht="15" customHeight="1" thickTop="1" thickBot="1" x14ac:dyDescent="0.35">
      <c r="A272" s="94"/>
      <c r="B272" s="47"/>
      <c r="C272" s="47"/>
      <c r="D272" s="47"/>
      <c r="E272" s="94"/>
      <c r="F272" s="1"/>
    </row>
    <row r="273" spans="1:61" ht="5" customHeight="1" thickTop="1" thickBot="1" x14ac:dyDescent="0.35">
      <c r="A273" s="94"/>
      <c r="B273" s="94"/>
      <c r="C273" s="94"/>
      <c r="D273" s="94"/>
      <c r="E273" s="94"/>
      <c r="F273" s="1"/>
    </row>
    <row r="274" spans="1:61" ht="15.65" customHeight="1" thickTop="1" thickBot="1" x14ac:dyDescent="0.35">
      <c r="A274" s="94"/>
      <c r="B274" s="45" t="s">
        <v>162</v>
      </c>
      <c r="C274" s="54"/>
      <c r="D274" s="47"/>
      <c r="E274" s="94"/>
      <c r="F274" s="1"/>
    </row>
    <row r="275" spans="1:61" ht="15" thickTop="1" thickBot="1" x14ac:dyDescent="0.35">
      <c r="A275" s="94"/>
      <c r="B275" s="45" t="s">
        <v>163</v>
      </c>
      <c r="C275" s="54"/>
      <c r="D275" s="47"/>
      <c r="E275" s="94"/>
      <c r="F275" s="1"/>
      <c r="BI275" s="386">
        <f>AX1902</f>
        <v>0</v>
      </c>
    </row>
    <row r="276" spans="1:61" ht="15" thickTop="1" thickBot="1" x14ac:dyDescent="0.35">
      <c r="A276" s="94"/>
      <c r="B276" s="94"/>
      <c r="C276" s="94"/>
      <c r="D276" s="94"/>
      <c r="E276" s="94"/>
      <c r="F276" s="1"/>
    </row>
    <row r="277" spans="1:61" ht="15" thickTop="1" thickBot="1" x14ac:dyDescent="0.35">
      <c r="A277" s="94"/>
      <c r="B277" s="45" t="s">
        <v>171</v>
      </c>
      <c r="C277" s="94"/>
      <c r="D277" s="77"/>
      <c r="E277" s="94"/>
      <c r="F277" s="1"/>
    </row>
    <row r="278" spans="1:61" ht="15" thickTop="1" thickBot="1" x14ac:dyDescent="0.35">
      <c r="A278" s="94"/>
      <c r="B278" s="1019" t="str">
        <f>IF(D277&gt;0,"Codefendant(s) information","")</f>
        <v/>
      </c>
      <c r="C278" s="1019"/>
      <c r="D278" s="1019"/>
      <c r="E278" s="94"/>
      <c r="F278" s="1"/>
    </row>
    <row r="279" spans="1:61" ht="15" thickTop="1" thickBot="1" x14ac:dyDescent="0.35">
      <c r="A279" s="94" t="str">
        <f>IF(D$277&gt;0,1,"")</f>
        <v/>
      </c>
      <c r="B279" s="78" t="str">
        <f>IF(D$277&gt;0,"NAME ","")</f>
        <v/>
      </c>
      <c r="C279" s="78" t="str">
        <f>IF($D$277&gt;0,"charged as?","")</f>
        <v/>
      </c>
      <c r="D279" s="78" t="str">
        <f>IF($D$277&gt;0,"how adjudicated?","")</f>
        <v/>
      </c>
      <c r="E279" s="94"/>
      <c r="F279" s="1"/>
    </row>
    <row r="280" spans="1:61" ht="15" thickTop="1" thickBot="1" x14ac:dyDescent="0.35">
      <c r="A280" s="94"/>
      <c r="B280" s="78" t="str">
        <f>IF($D$277&gt;0,"relation?","")</f>
        <v/>
      </c>
      <c r="C280" s="78" t="str">
        <f>IF($D$277&gt;0,"convicted as?","")</f>
        <v/>
      </c>
      <c r="D280" s="78" t="str">
        <f>IF($D$277&gt;0,"verdict?","")</f>
        <v/>
      </c>
      <c r="E280" s="94"/>
      <c r="F280" s="1"/>
    </row>
    <row r="281" spans="1:61" ht="15" thickTop="1" thickBot="1" x14ac:dyDescent="0.35">
      <c r="A281" s="94"/>
      <c r="B281" s="78" t="str">
        <f>IF($D$277&gt;0,"know location?","")</f>
        <v/>
      </c>
      <c r="C281" s="78" t="str">
        <f>IF($D$277&gt;0,"claims to know real culprit?","")</f>
        <v/>
      </c>
      <c r="D281" s="78" t="str">
        <f>IF($D$277&gt;0,"also claims innocence?","")</f>
        <v/>
      </c>
      <c r="E281" s="94"/>
      <c r="F281" s="1"/>
    </row>
    <row r="282" spans="1:61" ht="5" customHeight="1" thickTop="1" thickBot="1" x14ac:dyDescent="0.35">
      <c r="A282" s="94"/>
      <c r="B282" s="94"/>
      <c r="C282" s="94"/>
      <c r="D282" s="94"/>
      <c r="E282" s="94"/>
      <c r="F282" s="1"/>
    </row>
    <row r="283" spans="1:61" ht="15" thickTop="1" thickBot="1" x14ac:dyDescent="0.35">
      <c r="A283" s="94" t="str">
        <f>IF(D$277&gt;1,2,"")</f>
        <v/>
      </c>
      <c r="B283" s="78" t="str">
        <f>IF(D$277&gt;1,"NAME ","")</f>
        <v/>
      </c>
      <c r="C283" s="78" t="str">
        <f>IF($D$277&gt;1,"charged as?","")</f>
        <v/>
      </c>
      <c r="D283" s="78" t="str">
        <f>IF($D$277&gt;1,"how adjudicated?","")</f>
        <v/>
      </c>
      <c r="E283" s="94"/>
      <c r="F283" s="1"/>
    </row>
    <row r="284" spans="1:61" ht="15" thickTop="1" thickBot="1" x14ac:dyDescent="0.35">
      <c r="A284" s="94"/>
      <c r="B284" s="78" t="str">
        <f>IF($D$277&gt;1,"relation?","")</f>
        <v/>
      </c>
      <c r="C284" s="78" t="str">
        <f>IF($D$277&gt;1,"convicted as?","")</f>
        <v/>
      </c>
      <c r="D284" s="78" t="str">
        <f>IF($D$277&gt;1,"verdict?","")</f>
        <v/>
      </c>
      <c r="E284" s="94"/>
      <c r="F284" s="1"/>
    </row>
    <row r="285" spans="1:61" ht="15" thickTop="1" thickBot="1" x14ac:dyDescent="0.35">
      <c r="A285" s="94"/>
      <c r="B285" s="78" t="str">
        <f>IF($D$277&gt;1,"know location?","")</f>
        <v/>
      </c>
      <c r="C285" s="78" t="str">
        <f>IF($D$277&gt;1,"claims to know real culprit?","")</f>
        <v/>
      </c>
      <c r="D285" s="78" t="str">
        <f>IF($D$277&gt;1,"also claims innocence?","")</f>
        <v/>
      </c>
      <c r="E285" s="94"/>
      <c r="F285" s="1"/>
    </row>
    <row r="286" spans="1:61" ht="5" customHeight="1" thickTop="1" thickBot="1" x14ac:dyDescent="0.35">
      <c r="A286" s="94"/>
      <c r="B286" s="94"/>
      <c r="C286" s="94"/>
      <c r="D286" s="94"/>
      <c r="E286" s="94"/>
      <c r="F286" s="1"/>
    </row>
    <row r="287" spans="1:61" ht="15" thickTop="1" thickBot="1" x14ac:dyDescent="0.35">
      <c r="A287" s="94" t="str">
        <f>IF(D$277&gt;2,3,"")</f>
        <v/>
      </c>
      <c r="B287" s="78" t="str">
        <f>IF(D$277&gt;2,"NAME ","")</f>
        <v/>
      </c>
      <c r="C287" s="78" t="str">
        <f>IF($D$277&gt;2,"charged as?","")</f>
        <v/>
      </c>
      <c r="D287" s="78" t="str">
        <f>IF($D$277&gt;2,"how adjudicated?","")</f>
        <v/>
      </c>
      <c r="E287" s="94"/>
      <c r="F287" s="1"/>
    </row>
    <row r="288" spans="1:61" ht="15" thickTop="1" thickBot="1" x14ac:dyDescent="0.35">
      <c r="A288" s="94"/>
      <c r="B288" s="78" t="str">
        <f>IF($D$277&gt;2,"relation?","")</f>
        <v/>
      </c>
      <c r="C288" s="78" t="str">
        <f>IF($D$277&gt;2,"convicted as?","")</f>
        <v/>
      </c>
      <c r="D288" s="78" t="str">
        <f>IF($D$277&gt;2,"verdict?","")</f>
        <v/>
      </c>
      <c r="E288" s="94"/>
      <c r="F288" s="1"/>
    </row>
    <row r="289" spans="1:6" ht="15" thickTop="1" thickBot="1" x14ac:dyDescent="0.35">
      <c r="A289" s="94"/>
      <c r="B289" s="78" t="str">
        <f>IF($D$277&gt;2,"know location?","")</f>
        <v/>
      </c>
      <c r="C289" s="78" t="str">
        <f>IF($D$277&gt;2,"claims to know real culprit?","")</f>
        <v/>
      </c>
      <c r="D289" s="78" t="str">
        <f>IF($D$277&gt;2,"also claims innocence?","")</f>
        <v/>
      </c>
      <c r="E289" s="94"/>
      <c r="F289" s="1"/>
    </row>
    <row r="290" spans="1:6" ht="5" customHeight="1" thickTop="1" thickBot="1" x14ac:dyDescent="0.35">
      <c r="A290" s="94"/>
      <c r="B290" s="94"/>
      <c r="C290" s="94"/>
      <c r="D290" s="94"/>
      <c r="E290" s="94"/>
      <c r="F290" s="1"/>
    </row>
    <row r="291" spans="1:6" ht="15" thickTop="1" thickBot="1" x14ac:dyDescent="0.35">
      <c r="A291" s="94" t="str">
        <f>IF(D$277&gt;3,4,"")</f>
        <v/>
      </c>
      <c r="B291" s="78" t="str">
        <f>IF(D$277&gt;3,"NAME ","")</f>
        <v/>
      </c>
      <c r="C291" s="78" t="str">
        <f>IF($D$277&gt;3,"charged as?","")</f>
        <v/>
      </c>
      <c r="D291" s="78" t="str">
        <f>IF($D$277&gt;3,"how adjudicated?","")</f>
        <v/>
      </c>
      <c r="E291" s="94"/>
      <c r="F291" s="1"/>
    </row>
    <row r="292" spans="1:6" ht="15" thickTop="1" thickBot="1" x14ac:dyDescent="0.35">
      <c r="A292" s="94"/>
      <c r="B292" s="78" t="str">
        <f>IF($D$277&gt;3,"relation?","")</f>
        <v/>
      </c>
      <c r="C292" s="78" t="str">
        <f>IF($D$277&gt;3,"convicted as?","")</f>
        <v/>
      </c>
      <c r="D292" s="78" t="str">
        <f>IF($D$277&gt;3,"verdict?","")</f>
        <v/>
      </c>
      <c r="E292" s="94"/>
      <c r="F292" s="1"/>
    </row>
    <row r="293" spans="1:6" ht="15" thickTop="1" thickBot="1" x14ac:dyDescent="0.35">
      <c r="A293" s="94"/>
      <c r="B293" s="78" t="str">
        <f>IF($D$277&gt;3,"know location?","")</f>
        <v/>
      </c>
      <c r="C293" s="78" t="str">
        <f>IF($D$277&gt;3,"claims to know real culprit?","")</f>
        <v/>
      </c>
      <c r="D293" s="78" t="str">
        <f>IF($D$277&gt;3,"also claims innocence?","")</f>
        <v/>
      </c>
      <c r="E293" s="94"/>
      <c r="F293" s="1"/>
    </row>
    <row r="294" spans="1:6" ht="5" customHeight="1" thickTop="1" thickBot="1" x14ac:dyDescent="0.35">
      <c r="A294" s="94"/>
      <c r="B294" s="94"/>
      <c r="C294" s="94"/>
      <c r="D294" s="94"/>
      <c r="E294" s="94"/>
      <c r="F294" s="1"/>
    </row>
    <row r="295" spans="1:6" ht="15" thickTop="1" thickBot="1" x14ac:dyDescent="0.35">
      <c r="A295" s="94" t="str">
        <f>IF(D$277&gt;4,5,"")</f>
        <v/>
      </c>
      <c r="B295" s="78" t="str">
        <f>IF(D$277&gt;4,"NAME ","")</f>
        <v/>
      </c>
      <c r="C295" s="78" t="str">
        <f>IF($D$277&gt;4,"charged as?","")</f>
        <v/>
      </c>
      <c r="D295" s="78" t="str">
        <f>IF($D$277&gt;4,"how adjudicated?","")</f>
        <v/>
      </c>
      <c r="E295" s="94"/>
      <c r="F295" s="1"/>
    </row>
    <row r="296" spans="1:6" ht="15" thickTop="1" thickBot="1" x14ac:dyDescent="0.35">
      <c r="A296" s="94"/>
      <c r="B296" s="78" t="str">
        <f>IF($D$277&gt;4,"relation?","")</f>
        <v/>
      </c>
      <c r="C296" s="78" t="str">
        <f>IF($D$277&gt;4,"convicted as?","")</f>
        <v/>
      </c>
      <c r="D296" s="78" t="str">
        <f>IF($D$277&gt;4,"verdict?","")</f>
        <v/>
      </c>
      <c r="E296" s="94"/>
      <c r="F296" s="1"/>
    </row>
    <row r="297" spans="1:6" ht="15" thickTop="1" thickBot="1" x14ac:dyDescent="0.35">
      <c r="A297" s="94"/>
      <c r="B297" s="78" t="str">
        <f>IF($D$277&gt;4,"know location?","")</f>
        <v/>
      </c>
      <c r="C297" s="78" t="str">
        <f>IF($D$277&gt;4,"claims to know real culprit?","")</f>
        <v/>
      </c>
      <c r="D297" s="78" t="str">
        <f>IF($D$277&gt;4,"also claims innocence?","")</f>
        <v/>
      </c>
      <c r="E297" s="94"/>
      <c r="F297" s="1"/>
    </row>
    <row r="298" spans="1:6" ht="5" customHeight="1" thickTop="1" thickBot="1" x14ac:dyDescent="0.35">
      <c r="A298" s="94"/>
      <c r="B298" s="94"/>
      <c r="C298" s="94"/>
      <c r="D298" s="94"/>
      <c r="E298" s="94"/>
      <c r="F298" s="1"/>
    </row>
    <row r="299" spans="1:6" ht="15" thickTop="1" thickBot="1" x14ac:dyDescent="0.35">
      <c r="A299" s="94" t="str">
        <f>IF(D$277&gt;5,6,"")</f>
        <v/>
      </c>
      <c r="B299" s="78" t="str">
        <f>IF(D$277&gt;5,"NAME ","")</f>
        <v/>
      </c>
      <c r="C299" s="78" t="str">
        <f>IF($D$277&gt;5,"charged as?","")</f>
        <v/>
      </c>
      <c r="D299" s="78" t="str">
        <f>IF($D$277&gt;5,"how adjudicated?","")</f>
        <v/>
      </c>
      <c r="E299" s="94"/>
      <c r="F299" s="1"/>
    </row>
    <row r="300" spans="1:6" ht="15" thickTop="1" thickBot="1" x14ac:dyDescent="0.35">
      <c r="A300" s="94"/>
      <c r="B300" s="78" t="str">
        <f>IF($D$277&gt;5,"relation?","")</f>
        <v/>
      </c>
      <c r="C300" s="78" t="str">
        <f>IF($D$277&gt;5,"convicted as?","")</f>
        <v/>
      </c>
      <c r="D300" s="78" t="str">
        <f>IF($D$277&gt;5,"verdict?","")</f>
        <v/>
      </c>
      <c r="E300" s="94"/>
      <c r="F300" s="1"/>
    </row>
    <row r="301" spans="1:6" ht="15" thickTop="1" thickBot="1" x14ac:dyDescent="0.35">
      <c r="A301" s="94"/>
      <c r="B301" s="78" t="str">
        <f>IF($D$277&gt;5,"know location?","")</f>
        <v/>
      </c>
      <c r="C301" s="78" t="str">
        <f>IF($D$277&gt;5,"claims to know real culprit?","")</f>
        <v/>
      </c>
      <c r="D301" s="78" t="str">
        <f>IF($D$277&gt;5,"also claims innocence?","")</f>
        <v/>
      </c>
      <c r="E301" s="94"/>
      <c r="F301" s="1"/>
    </row>
    <row r="302" spans="1:6" ht="5" customHeight="1" thickTop="1" x14ac:dyDescent="0.3">
      <c r="A302" s="94"/>
      <c r="B302" s="94"/>
      <c r="C302" s="94"/>
      <c r="D302" s="94"/>
      <c r="E302" s="94"/>
      <c r="F302" s="1"/>
    </row>
    <row r="303" spans="1:6" ht="15" customHeight="1" thickBot="1" x14ac:dyDescent="0.35">
      <c r="A303" s="94"/>
      <c r="B303" s="45" t="s">
        <v>183</v>
      </c>
      <c r="C303" s="94"/>
      <c r="D303" s="45"/>
      <c r="E303" s="94"/>
      <c r="F303" s="1"/>
    </row>
    <row r="304" spans="1:6" ht="60" customHeight="1" thickTop="1" thickBot="1" x14ac:dyDescent="0.35">
      <c r="A304" s="94"/>
      <c r="B304" s="957"/>
      <c r="C304" s="958"/>
      <c r="D304" s="959"/>
      <c r="E304" s="94"/>
      <c r="F304" s="1"/>
    </row>
    <row r="305" spans="1:60" ht="14.5" thickTop="1" x14ac:dyDescent="0.3">
      <c r="A305" s="94"/>
      <c r="B305" s="45"/>
      <c r="C305" s="45"/>
      <c r="D305" s="45"/>
      <c r="E305" s="45"/>
      <c r="F305" s="1"/>
    </row>
    <row r="306" spans="1:60" ht="15" thickBot="1" x14ac:dyDescent="0.4">
      <c r="A306" s="94"/>
      <c r="B306" s="70" t="s">
        <v>187</v>
      </c>
      <c r="C306" s="70" t="s">
        <v>188</v>
      </c>
      <c r="D306" s="70" t="s">
        <v>189</v>
      </c>
      <c r="E306" s="94"/>
      <c r="F306" s="1"/>
      <c r="AC306" s="69"/>
    </row>
    <row r="307" spans="1:60" ht="15.5" thickTop="1" thickBot="1" x14ac:dyDescent="0.4">
      <c r="A307" s="94"/>
      <c r="B307" s="71"/>
      <c r="C307" s="71"/>
      <c r="D307" s="77"/>
      <c r="E307" s="94"/>
      <c r="F307" s="1"/>
      <c r="AC307" s="69"/>
    </row>
    <row r="308" spans="1:60" ht="14.5" thickTop="1" x14ac:dyDescent="0.3">
      <c r="A308" s="94"/>
      <c r="B308" s="45"/>
      <c r="C308" s="45"/>
      <c r="D308" s="45"/>
      <c r="E308" s="94"/>
      <c r="F308" s="1"/>
    </row>
    <row r="309" spans="1:60" ht="14.5" thickBot="1" x14ac:dyDescent="0.35">
      <c r="A309" s="94"/>
      <c r="B309" s="70" t="s">
        <v>194</v>
      </c>
      <c r="C309" s="70" t="s">
        <v>195</v>
      </c>
      <c r="D309" s="70" t="s">
        <v>196</v>
      </c>
      <c r="E309" s="94"/>
      <c r="F309" s="1"/>
    </row>
    <row r="310" spans="1:60" ht="15" thickTop="1" thickBot="1" x14ac:dyDescent="0.35">
      <c r="A310" s="94"/>
      <c r="B310" s="71"/>
      <c r="C310" s="71"/>
      <c r="D310" s="80"/>
      <c r="E310" s="94"/>
      <c r="F310" s="1"/>
      <c r="AA310" s="597">
        <f>AA259+1</f>
        <v>10</v>
      </c>
      <c r="AB310" s="49" t="s">
        <v>3969</v>
      </c>
      <c r="AC310" s="49"/>
      <c r="AD310" s="49"/>
      <c r="AE310" s="49"/>
      <c r="AF310" s="49"/>
      <c r="AO310" s="52">
        <f>IF(D310=D2736,E2736,IF(D310=D2737,E2737,IF(D310=D2738,E2738,IF(D310=D2739,E2739,IF(D310=D2740,E2740,0)))))</f>
        <v>0</v>
      </c>
      <c r="AQ310" s="953">
        <f>AQ259+AO310</f>
        <v>0</v>
      </c>
      <c r="AR310" s="952"/>
    </row>
    <row r="311" spans="1:60" ht="15" thickTop="1" thickBot="1" x14ac:dyDescent="0.35">
      <c r="A311" s="94"/>
      <c r="B311" s="45" t="s">
        <v>198</v>
      </c>
      <c r="C311" s="94"/>
      <c r="D311" s="94"/>
      <c r="E311" s="94"/>
      <c r="F311" s="1"/>
      <c r="AV311" s="52" t="str">
        <f>IF(D$314=C2913,AZ311,IF(D$314=C2914,AZ311,IF(D$314=C2915,AZ311,IF(D$314=C2916,AZ311,IF(D$314=C2917,AZ311,IF(D$314=C2918,AZ311,IF(D$314=C2919,AZ311,IF(D$314=C2920,AZ311,IF(D$314=C2921,AZ311,IF(D$314=C2922,BD311,IF(D$314=C2923,BD311,IF(D$314=C2924,BD311,IF(D$314=C2925,BD311,IF(D$314=C2926,BD311,IF(D$314=C2927,BD311,IF(D$314=C2928,BB311,IF(D$314=C2929,AZ311,IF(D$314=C2930,BD311,IF(D$314=C2931,BD311,IF(D$314=C2932,BD311,IF(D$314=C2933,BD311,"damaged reputation")))))))))))))))))))))</f>
        <v xml:space="preserve"> is currently serving time for a crime claimant didn't do. </v>
      </c>
      <c r="AZ311" s="48" t="str">
        <f>CONCATENATE(" is currently serving time for a crime ",$BH$206," didn't do. ")</f>
        <v xml:space="preserve"> is currently serving time for a crime claimant didn't do. </v>
      </c>
      <c r="BB311" s="48" t="str">
        <f>CONCATENATE(" must register for a sex crime ",$BH$206," didn't do. ")</f>
        <v xml:space="preserve"> must register for a sex crime claimant didn't do. </v>
      </c>
      <c r="BD311" s="48" t="str">
        <f>CONCATENATE(" currently underemployed because of a crime ",$BH$206," didn't do. ")</f>
        <v xml:space="preserve"> currently underemployed because of a crime claimant didn't do. </v>
      </c>
      <c r="BE311" s="245" t="s">
        <v>885</v>
      </c>
    </row>
    <row r="312" spans="1:60" ht="45" customHeight="1" thickTop="1" thickBot="1" x14ac:dyDescent="0.35">
      <c r="A312" s="94"/>
      <c r="B312" s="957"/>
      <c r="C312" s="958"/>
      <c r="D312" s="959"/>
      <c r="E312" s="94"/>
      <c r="F312" s="1"/>
      <c r="AV312" s="52" t="str">
        <f>IF(D$314=C2914,AZ312,IF(D$314=C2915,AZ312,IF(D$314=C2916,AZ312,IF(D$314=C2917,AZ312,IF(D$314=C2918,AZ312,IF(D$314=C2919,AZ312,IF(D$314=C2920,AZ312,IF(D$314=C2921,AZ312,IF(D$314=C2922,AZ312,IF(D$314=C2923,BD312,IF(D$314=C2924,BD312,IF(D$314=C2925,BD312,IF(D$314=C2926,BD312,IF(D$314=C2927,BD312,IF(D$314=C2928,BD312,IF(D$314=C2929,BB312,IF(D$314=C2930,AZ312,IF(D$314=C2931,BD312,IF(D$314=C2932,BD312,IF(D$314=C2933,BD312,IF(D$314=C2934,BD312,"damaged reputation")))))))))))))))))))))</f>
        <v>damaged reputation</v>
      </c>
      <c r="AZ312" s="48" t="s">
        <v>4191</v>
      </c>
      <c r="BB312" s="14" t="s">
        <v>4192</v>
      </c>
      <c r="BD312" s="48" t="s">
        <v>4193</v>
      </c>
      <c r="BE312" s="245" t="s">
        <v>885</v>
      </c>
    </row>
    <row r="313" spans="1:60" ht="7" customHeight="1" thickTop="1" thickBot="1" x14ac:dyDescent="0.35">
      <c r="A313" s="94"/>
      <c r="B313" s="94"/>
      <c r="C313" s="94"/>
      <c r="D313" s="94"/>
      <c r="E313" s="94"/>
      <c r="F313" s="1"/>
      <c r="BE313" s="245" t="s">
        <v>885</v>
      </c>
    </row>
    <row r="314" spans="1:60" ht="15" thickTop="1" thickBot="1" x14ac:dyDescent="0.35">
      <c r="A314" s="94"/>
      <c r="B314" s="45" t="s">
        <v>199</v>
      </c>
      <c r="C314" s="94"/>
      <c r="D314" s="81"/>
      <c r="E314" s="94"/>
      <c r="F314" s="1"/>
      <c r="AA314" s="601">
        <f>AA310+1</f>
        <v>11</v>
      </c>
      <c r="AB314" s="522" t="s">
        <v>3967</v>
      </c>
      <c r="AC314" s="522"/>
      <c r="AD314" s="522"/>
      <c r="AE314" s="522"/>
      <c r="AF314" s="522"/>
      <c r="AO314" s="611" t="b">
        <f>IF(D314=C2915,B2915,IF(D314=C2916,B2916,IF(D314=C2917,B2917,IF(D314=C2918,B2918,IF(D314=C2919,B2919,IF(D314=C2920,B2920,IF(D314=C2921,B2921,IF(D314=C2922,B2922,IF(D314=C2923,B2923,IF(D314=C2924,B2924,IF(D314=C2925,B2925,IF(D314=C2926,B2926,IF(D314=C2927,B2927,IF(D314=C2928,B2928,IF(D314=C2929,B2929,IF(D314=C2930,B2930,IF(D314=C2931,B2931,IF(D314=C2932,B2932,IF(D314=C2933,B2933,IF(D314=C2934,B2934,IF(D314=C2935,B2935,IF(D314=C2936,B25949))))))))))))))))))))))</f>
        <v>0</v>
      </c>
      <c r="AQ314" s="953">
        <f>AQ310+AO314</f>
        <v>0</v>
      </c>
      <c r="AR314" s="952"/>
      <c r="AV314" s="52" t="str">
        <f>IF(D$314=C2916,AZ314,IF(D$314=C2917,AZ314,IF(D$314=C2918,AZ314,IF(D$314=C2919,AZ314,IF(D$314=C2920,AZ314,IF(D$314=C2921,AZ314,IF(D$314=C2922,AZ314,IF(D$314=C2923,AZ314,IF(D$314=C2924,AZ314,IF(D$314=C2925,BD314,IF(D$314=C2926,BD314,IF(D$314=C2927,BD314,IF(D$314=C2928,BD314,IF(D$314=C2929,BD314,IF(D$314=C2930,BD314,IF(D$314=C2931,BB314,IF(D$314=C2932,AZ314,IF(D$314=C2933,BD314,IF(D$314=C2934,BD314,IF(D$314=C2935,BD314,IF(D$314=C2936,BD314,"damaged reputation")))))))))))))))))))))</f>
        <v>damaged reputation</v>
      </c>
      <c r="AZ314" s="48" t="s">
        <v>4065</v>
      </c>
      <c r="BB314" s="48" t="s">
        <v>4072</v>
      </c>
      <c r="BD314" s="48" t="s">
        <v>4073</v>
      </c>
      <c r="BE314" s="245" t="s">
        <v>885</v>
      </c>
    </row>
    <row r="315" spans="1:60" ht="15" thickTop="1" x14ac:dyDescent="0.35">
      <c r="A315" s="94"/>
      <c r="B315" s="85" t="str">
        <f>IF($AK$315=1,"Inmate #","")</f>
        <v/>
      </c>
      <c r="C315" s="85" t="str">
        <f>IF($AK$315=1,"Current correctional facility","")</f>
        <v/>
      </c>
      <c r="D315" s="85" t="str">
        <f>IF($AK$315=1,"City, ST zip code","")</f>
        <v/>
      </c>
      <c r="E315" s="94"/>
      <c r="F315" s="1"/>
      <c r="AK315" s="280">
        <f>SUM(AL315:AS315)</f>
        <v>0</v>
      </c>
      <c r="AL315" s="82">
        <f>IF(D314=C2916,1,0)</f>
        <v>0</v>
      </c>
      <c r="AM315" s="82">
        <f>IF(D314=C2917,1,0)</f>
        <v>0</v>
      </c>
      <c r="AN315" s="82">
        <f>IF(D314=C2918,1,0)</f>
        <v>0</v>
      </c>
      <c r="AO315" s="82">
        <f>IF(D314=C2919,1,0)</f>
        <v>0</v>
      </c>
      <c r="AP315" s="82">
        <f>IF(D314=C2920,1,0)</f>
        <v>0</v>
      </c>
      <c r="AQ315" s="82">
        <f>IF(D314=C2921,1,0)</f>
        <v>0</v>
      </c>
      <c r="AR315" s="82">
        <f>IF(D314=C2922,1,0)</f>
        <v>0</v>
      </c>
      <c r="AS315" s="82">
        <f>IF(D314=C2924,1,0)</f>
        <v>0</v>
      </c>
      <c r="AT315" s="82"/>
      <c r="AU315" s="82">
        <f>IF(AK315=1,0,1)</f>
        <v>1</v>
      </c>
      <c r="AV315" s="82">
        <f>IF(D$314=C2933,1,0)</f>
        <v>0</v>
      </c>
      <c r="AW315" s="82">
        <f>IF(D$314=C2934,1,0)</f>
        <v>0</v>
      </c>
      <c r="AX315" s="82">
        <f>IF(D$314=C2935,1,0)</f>
        <v>0</v>
      </c>
      <c r="AY315" s="83">
        <f>MAX(AV315:AX315)</f>
        <v>0</v>
      </c>
      <c r="AZ315" s="82"/>
      <c r="BA315" s="82"/>
      <c r="BB315" s="82"/>
      <c r="BC315" s="82"/>
      <c r="BD315" s="82"/>
      <c r="BE315" s="82"/>
      <c r="BF315" s="82"/>
      <c r="BG315" s="82"/>
      <c r="BH315" s="84" t="s">
        <v>201</v>
      </c>
    </row>
    <row r="316" spans="1:60" x14ac:dyDescent="0.3">
      <c r="A316" s="94"/>
      <c r="B316" s="539"/>
      <c r="C316" s="540"/>
      <c r="D316" s="541"/>
      <c r="E316" s="94"/>
      <c r="F316" s="1"/>
      <c r="AU316" s="82"/>
      <c r="AV316" s="82" t="str">
        <f>IF(AY315&gt;0,BD316,BG316)</f>
        <v>no new charges</v>
      </c>
      <c r="AW316" s="82"/>
      <c r="AX316" s="82"/>
      <c r="AY316" s="82"/>
      <c r="AZ316" s="82"/>
      <c r="BA316" s="82" t="str">
        <f>IF(OR(AK315&gt;0,AY315&gt;0),BD316,BG316)</f>
        <v>no new charges</v>
      </c>
      <c r="BB316" s="82"/>
      <c r="BC316" s="82"/>
      <c r="BD316" s="82" t="s">
        <v>202</v>
      </c>
      <c r="BE316" s="82"/>
      <c r="BF316" s="82"/>
      <c r="BG316" s="82" t="s">
        <v>203</v>
      </c>
      <c r="BH316" s="82"/>
    </row>
    <row r="317" spans="1:60" ht="30" customHeight="1" x14ac:dyDescent="0.3">
      <c r="A317" s="94"/>
      <c r="B317" s="86"/>
      <c r="C317" s="86"/>
      <c r="D317" s="86"/>
      <c r="E317" s="94"/>
      <c r="F317" s="1"/>
      <c r="BB317" s="48"/>
    </row>
    <row r="318" spans="1:60" ht="5" customHeight="1" x14ac:dyDescent="0.3">
      <c r="A318" s="94"/>
      <c r="B318" s="86"/>
      <c r="C318" s="86"/>
      <c r="D318" s="86"/>
      <c r="E318" s="94"/>
      <c r="F318" s="1"/>
    </row>
    <row r="319" spans="1:60" ht="14.5" thickBot="1" x14ac:dyDescent="0.35">
      <c r="A319" s="94"/>
      <c r="B319" s="87" t="s">
        <v>204</v>
      </c>
      <c r="C319" s="45"/>
      <c r="D319" s="45"/>
      <c r="E319" s="94"/>
      <c r="F319" s="1"/>
    </row>
    <row r="320" spans="1:60" ht="15" thickTop="1" thickBot="1" x14ac:dyDescent="0.35">
      <c r="A320" s="94"/>
      <c r="B320" s="45" t="s">
        <v>205</v>
      </c>
      <c r="C320" s="94"/>
      <c r="D320" s="79"/>
      <c r="E320" s="45"/>
      <c r="F320" s="1"/>
    </row>
    <row r="321" spans="1:60" ht="15" thickTop="1" thickBot="1" x14ac:dyDescent="0.35">
      <c r="A321" s="94"/>
      <c r="B321" s="45" t="str">
        <f>IF($AK$315=0,"Date released from prison:","Earliest release date (if applicable):")</f>
        <v>Date released from prison:</v>
      </c>
      <c r="C321" s="94"/>
      <c r="D321" s="79"/>
      <c r="E321" s="94"/>
      <c r="F321" s="1"/>
      <c r="AB321" s="1017">
        <f ca="1">IF(D321="",AG321-C307,D321-C307)</f>
        <v>45774</v>
      </c>
      <c r="AC321" s="1017"/>
      <c r="AE321" s="612">
        <f ca="1">ROUNDDOWN((AB321/365.25),0)</f>
        <v>125</v>
      </c>
      <c r="AG321" s="889">
        <f ca="1">TODAY()</f>
        <v>45774</v>
      </c>
      <c r="AH321" s="889"/>
      <c r="AI321" s="1020">
        <f ca="1">AG321-C307</f>
        <v>45774</v>
      </c>
      <c r="AJ321" s="1020"/>
      <c r="AL321" s="612">
        <f ca="1">ROUNDDOWN((AI321/365.25),0)</f>
        <v>125</v>
      </c>
    </row>
    <row r="322" spans="1:60" ht="15" thickTop="1" thickBot="1" x14ac:dyDescent="0.35">
      <c r="A322" s="94"/>
      <c r="B322" s="45" t="str">
        <f>IF($D$314="on parole","Date expected to end parole:","Date released from parole (if applicable):")</f>
        <v>Date released from parole (if applicable):</v>
      </c>
      <c r="C322" s="94"/>
      <c r="D322" s="79"/>
      <c r="E322" s="94"/>
      <c r="F322" s="1"/>
      <c r="AB322" s="1017">
        <f>IF(D322="",0,D322-D321)</f>
        <v>0</v>
      </c>
      <c r="AC322" s="1017">
        <f>D321-D321</f>
        <v>0</v>
      </c>
      <c r="AE322" s="613">
        <f>ROUND((AB322/365.25),1)</f>
        <v>0</v>
      </c>
    </row>
    <row r="323" spans="1:60" ht="15" thickTop="1" thickBot="1" x14ac:dyDescent="0.35">
      <c r="A323" s="94"/>
      <c r="B323" s="45" t="str">
        <f>IF($D$314="on probation","Date expected to end probation:","Date released from probation (if applicable):")</f>
        <v>Date released from probation (if applicable):</v>
      </c>
      <c r="C323" s="94"/>
      <c r="D323" s="47"/>
      <c r="E323" s="94"/>
      <c r="F323" s="1"/>
      <c r="AO323" s="52"/>
    </row>
    <row r="324" spans="1:60" ht="15" thickTop="1" thickBot="1" x14ac:dyDescent="0.35">
      <c r="A324" s="94"/>
      <c r="B324" s="962" t="s">
        <v>206</v>
      </c>
      <c r="C324" s="963"/>
      <c r="D324" s="89"/>
      <c r="E324" s="94"/>
      <c r="F324" s="1"/>
      <c r="AA324" s="597">
        <f>AA314+1</f>
        <v>12</v>
      </c>
      <c r="AB324" s="49" t="s">
        <v>3947</v>
      </c>
      <c r="AC324" s="49"/>
      <c r="AD324" s="49"/>
      <c r="AE324" s="49"/>
      <c r="AF324" s="49"/>
      <c r="AO324" s="52">
        <f>IF(D324=D2918,1,0)</f>
        <v>0</v>
      </c>
      <c r="AQ324" s="953">
        <f>AQ314+AO324</f>
        <v>0</v>
      </c>
      <c r="AR324" s="952"/>
      <c r="AU324" s="48" t="s">
        <v>5409</v>
      </c>
      <c r="AV324" s="642" t="str">
        <f>IF(D324=D2918,AZ324,"")</f>
        <v/>
      </c>
      <c r="AZ324" s="843" t="str">
        <f>CONCATENATE(BB324,BC324,BC224,BD324,BE324,BF324)</f>
        <v>Claimant faced a lengthy "trial penalty" sentence.</v>
      </c>
      <c r="BB324" s="14" t="str">
        <f>AN202</f>
        <v>Claimant</v>
      </c>
      <c r="BC324" s="48" t="s">
        <v>5398</v>
      </c>
    </row>
    <row r="325" spans="1:60" ht="15" thickTop="1" thickBot="1" x14ac:dyDescent="0.35">
      <c r="A325" s="809" t="s">
        <v>5145</v>
      </c>
      <c r="B325" s="72" t="s">
        <v>3932</v>
      </c>
      <c r="C325" s="593"/>
      <c r="D325" s="89"/>
      <c r="E325" s="94"/>
      <c r="F325" s="1"/>
      <c r="AA325" s="597">
        <f>AA324+1</f>
        <v>13</v>
      </c>
      <c r="AB325" s="49" t="s">
        <v>3981</v>
      </c>
      <c r="AC325" s="49"/>
      <c r="AD325" s="49"/>
      <c r="AE325" s="49"/>
      <c r="AF325" s="49"/>
      <c r="AK325" s="48">
        <f>IF(D325=E$2947,F$2947,IF(D325=E$2948,F$2948,IF(D325=E$2949,F$2949,IF(D325=E$2950,F$2950,IF(D325=E$2951,F$2951,IF(D325=E$2952,F$2952,IF(D325=E$2953,F$2953,IF(D325=E$2954,F$2954,IF(D325=E$2955,F$2955,IF(D325=E$2956,F$2956,IF(D325=E$2957,F$2957,IF(D325=E$2958,F$2958,0))))))))))))</f>
        <v>0</v>
      </c>
      <c r="AM325" s="614">
        <f>IF(D321="",0,AK325/AE$321)</f>
        <v>0</v>
      </c>
      <c r="AN325" s="52">
        <f>IF(AND(AM325&gt;=0,AM325&lt;0.1),1,IF(AND(AM325&gt;=0.1,AM325&lt;0.2),0.75,IF(AND(AM325&gt;=0.2,AM325&lt;0.3),0.5,IF(AND(AM325&gt;=0.3,AM325&lt;0.4),0.25,IF(AND(AM325&gt;=0.4,AM325&lt;0.5),0.1,0)))))</f>
        <v>1</v>
      </c>
      <c r="AO325" s="52">
        <f>IF(D325="",0,AN325)</f>
        <v>0</v>
      </c>
      <c r="AQ325" s="951">
        <f>AQ324+AO325</f>
        <v>0</v>
      </c>
      <c r="AR325" s="952"/>
      <c r="AU325" s="48" t="s">
        <v>5410</v>
      </c>
      <c r="AV325" s="642" t="str">
        <f>IF(D325=0,AZ325,"")</f>
        <v xml:space="preserve">Claimant had no disciplinary issues while incarcerated. </v>
      </c>
      <c r="AZ325" s="843" t="str">
        <f t="shared" ref="AZ325:AZ328" si="13">CONCATENATE(BB325,BC325,BC225,BD325,BE325,BF325)</f>
        <v xml:space="preserve">Claimant had no disciplinary issues while incarcerated. </v>
      </c>
      <c r="BB325" s="14" t="str">
        <f>BB324</f>
        <v>Claimant</v>
      </c>
      <c r="BC325" s="48" t="s">
        <v>5399</v>
      </c>
    </row>
    <row r="326" spans="1:60" ht="15" thickTop="1" thickBot="1" x14ac:dyDescent="0.35">
      <c r="A326" s="809" t="s">
        <v>5145</v>
      </c>
      <c r="B326" s="72" t="s">
        <v>3949</v>
      </c>
      <c r="C326" s="593"/>
      <c r="D326" s="89"/>
      <c r="E326" s="94"/>
      <c r="F326" s="1"/>
      <c r="AA326" s="597">
        <f>AA325+1</f>
        <v>14</v>
      </c>
      <c r="AB326" s="49" t="s">
        <v>3958</v>
      </c>
      <c r="AC326" s="49"/>
      <c r="AD326" s="49"/>
      <c r="AE326" s="49"/>
      <c r="AF326" s="49"/>
      <c r="AO326" s="52">
        <f>IF(D326=D2926,E2926,IF(D326=D2927,E2927,IF(D326=D2928,E2928,IF(D326=D2929,E2929,IF(D326=D2930,E2930,IF(D326=D2931,E2931,IF(D326=D2932,E2932,IF(D326=D2933,E2933,0))))))))</f>
        <v>0</v>
      </c>
      <c r="AQ326" s="951">
        <f>AQ325+AO326</f>
        <v>0</v>
      </c>
      <c r="AR326" s="952"/>
      <c r="AU326" s="48" t="s">
        <v>5411</v>
      </c>
      <c r="AV326" s="642" t="str">
        <f>IF(D326=D2926,AZ326,"")</f>
        <v/>
      </c>
      <c r="AZ326" s="843" t="str">
        <f t="shared" si="13"/>
        <v xml:space="preserve">Claimant refused required rehab at risk of retributions. </v>
      </c>
      <c r="BB326" s="14" t="str">
        <f t="shared" ref="BB326:BB328" si="14">BB325</f>
        <v>Claimant</v>
      </c>
      <c r="BC326" s="48" t="s">
        <v>5400</v>
      </c>
    </row>
    <row r="327" spans="1:60" ht="15" thickTop="1" thickBot="1" x14ac:dyDescent="0.35">
      <c r="A327" s="94"/>
      <c r="B327" s="45" t="s">
        <v>208</v>
      </c>
      <c r="C327" s="94"/>
      <c r="D327" s="47"/>
      <c r="E327" s="94"/>
      <c r="F327" s="1"/>
      <c r="AA327" s="597">
        <f>AA326+1</f>
        <v>15</v>
      </c>
      <c r="AB327" s="49" t="s">
        <v>3960</v>
      </c>
      <c r="AC327" s="49"/>
      <c r="AD327" s="49"/>
      <c r="AE327" s="49"/>
      <c r="AF327" s="49"/>
      <c r="AK327" s="48">
        <f>IF(D327=E$2947,F$2947,IF(D327=E$2948,F$2948,IF(D327=E$2949,F$2949,IF(D327=E$2950,F$2950,IF(D327=E$2951,F$2951,IF(D327=E$2952,F$2952,IF(D327=E$2953,F$2953,IF(D327=E$2954,F$2954,IF(D327=E$2955,F$2955,IF(D327=E$2956,F$2956,IF(D327=E$2957,F$2957,IF(D327=E$2958,F$2958,0))))))))))))</f>
        <v>0</v>
      </c>
      <c r="AM327" s="614">
        <f>IF(D321="",0,(AK327/AE$321)*2)</f>
        <v>0</v>
      </c>
      <c r="AO327" s="52">
        <f>IF(AM327&lt;1,AM327,1)</f>
        <v>0</v>
      </c>
      <c r="AQ327" s="951">
        <f>AQ326+AO327</f>
        <v>0</v>
      </c>
      <c r="AR327" s="952"/>
      <c r="AU327" s="48" t="s">
        <v>5412</v>
      </c>
      <c r="AV327" s="642" t="str">
        <f>IF(D327&gt;2,AZ327,"")</f>
        <v/>
      </c>
      <c r="AZ327" s="843" t="str">
        <f t="shared" si="13"/>
        <v xml:space="preserve">Claimant maintained innocence to parole board, costing parole eligibility. </v>
      </c>
      <c r="BB327" s="14" t="str">
        <f t="shared" si="14"/>
        <v>Claimant</v>
      </c>
      <c r="BC327" s="48" t="s">
        <v>5403</v>
      </c>
      <c r="BH327" s="48" t="s">
        <v>5401</v>
      </c>
    </row>
    <row r="328" spans="1:60" ht="15" thickTop="1" thickBot="1" x14ac:dyDescent="0.35">
      <c r="A328" s="94"/>
      <c r="B328" s="962" t="str">
        <f>IF(AK315=0,"Discharged from max sentence due to innocence claim?","Expect to serve full sentence due to innocence claim?")</f>
        <v>Discharged from max sentence due to innocence claim?</v>
      </c>
      <c r="C328" s="963"/>
      <c r="D328" s="90"/>
      <c r="E328" s="94"/>
      <c r="F328" s="1"/>
      <c r="AA328" s="597">
        <f>AA327+1</f>
        <v>16</v>
      </c>
      <c r="AB328" s="49" t="s">
        <v>3959</v>
      </c>
      <c r="AC328" s="49"/>
      <c r="AD328" s="49"/>
      <c r="AE328" s="49"/>
      <c r="AF328" s="49"/>
      <c r="AO328" s="52">
        <f>IF(D328=B2952,1,0)</f>
        <v>0</v>
      </c>
      <c r="AQ328" s="951">
        <f>AQ327+AO328</f>
        <v>0</v>
      </c>
      <c r="AR328" s="952"/>
      <c r="AU328" s="48" t="s">
        <v>5413</v>
      </c>
      <c r="AV328" s="642" t="str">
        <f>IF(D328="yes",AZ328,"")</f>
        <v/>
      </c>
      <c r="AZ328" s="843" t="str">
        <f t="shared" si="13"/>
        <v xml:space="preserve">Claimant served the full sentence because of maintaining claimant's innocence. </v>
      </c>
      <c r="BB328" s="14" t="str">
        <f t="shared" si="14"/>
        <v>Claimant</v>
      </c>
      <c r="BC328" s="48" t="s">
        <v>5431</v>
      </c>
      <c r="BD328" s="48" t="str">
        <f>BJ206</f>
        <v>claimant's</v>
      </c>
      <c r="BE328" s="48" t="s">
        <v>5375</v>
      </c>
    </row>
    <row r="329" spans="1:60" ht="15" thickTop="1" thickBot="1" x14ac:dyDescent="0.35">
      <c r="A329" s="94"/>
      <c r="B329" s="962" t="s">
        <v>209</v>
      </c>
      <c r="C329" s="963"/>
      <c r="D329" s="90"/>
      <c r="E329" s="94"/>
      <c r="F329" s="1"/>
      <c r="AM329" s="91" t="str">
        <f>IF(AND(AO329&gt;0,AO329&lt;3),"Sex offender registry end date:",IF(AND(AO329&gt;2,AO329&lt;4),"Sex offender registry as of today:",""))</f>
        <v/>
      </c>
      <c r="AO329" s="52">
        <f>MAX(AP329:AS329)</f>
        <v>-1</v>
      </c>
      <c r="AP329" s="48">
        <f>IF($D$329=C2939,E2939,-1)</f>
        <v>-1</v>
      </c>
      <c r="AQ329" s="48">
        <f>IF($D$329=C2940,E2940,-1)</f>
        <v>-1</v>
      </c>
      <c r="AR329" s="48">
        <f>IF($D$329=C2941,E2941,-1)</f>
        <v>-1</v>
      </c>
      <c r="AS329" s="48">
        <f>IF($D$329=C2942,E2942,-1)</f>
        <v>-1</v>
      </c>
    </row>
    <row r="330" spans="1:60" ht="15.65" customHeight="1" thickTop="1" thickBot="1" x14ac:dyDescent="0.35">
      <c r="A330" s="94"/>
      <c r="B330" s="962" t="str">
        <f>AM329</f>
        <v/>
      </c>
      <c r="C330" s="963"/>
      <c r="D330" s="79"/>
      <c r="E330" s="94"/>
      <c r="F330" s="1"/>
      <c r="AB330" s="1005">
        <f>D330-D321</f>
        <v>0</v>
      </c>
      <c r="AC330" s="1005"/>
      <c r="AD330" s="88">
        <f>ROUND((AB330/365.25),0)</f>
        <v>0</v>
      </c>
      <c r="AE330" s="88">
        <f>MAX(AE322,AD330)</f>
        <v>0</v>
      </c>
      <c r="AF330" s="889">
        <f ca="1">TODAY()</f>
        <v>45774</v>
      </c>
      <c r="AG330" s="889"/>
      <c r="AV330" s="642" t="str">
        <f>IF(OR(D329=C2941,D329=C2942),"a","")</f>
        <v/>
      </c>
    </row>
    <row r="331" spans="1:60" ht="15" thickTop="1" thickBot="1" x14ac:dyDescent="0.35">
      <c r="A331" s="94"/>
      <c r="B331" s="962" t="s">
        <v>211</v>
      </c>
      <c r="C331" s="963"/>
      <c r="D331" s="89"/>
      <c r="E331" s="94"/>
      <c r="F331" s="1"/>
    </row>
    <row r="332" spans="1:60" ht="15" thickTop="1" thickBot="1" x14ac:dyDescent="0.35">
      <c r="A332" s="94"/>
      <c r="B332" s="45" t="s">
        <v>3624</v>
      </c>
      <c r="C332" s="94"/>
      <c r="D332" s="89"/>
      <c r="E332" s="94"/>
      <c r="F332" s="1"/>
    </row>
    <row r="333" spans="1:60" ht="21" customHeight="1" thickTop="1" x14ac:dyDescent="0.3">
      <c r="A333" s="94"/>
      <c r="B333" s="45" t="s">
        <v>212</v>
      </c>
      <c r="C333" s="94"/>
      <c r="D333" s="94"/>
      <c r="E333" s="94"/>
      <c r="F333" s="1"/>
    </row>
    <row r="334" spans="1:60" ht="14.5" thickBot="1" x14ac:dyDescent="0.35">
      <c r="A334" s="94"/>
      <c r="B334" s="94" t="s">
        <v>213</v>
      </c>
      <c r="C334" s="94" t="s">
        <v>214</v>
      </c>
      <c r="D334" s="94" t="s">
        <v>215</v>
      </c>
      <c r="E334" s="94"/>
      <c r="F334" s="1"/>
    </row>
    <row r="335" spans="1:60" ht="15" thickTop="1" thickBot="1" x14ac:dyDescent="0.35">
      <c r="A335" s="94"/>
      <c r="B335" s="92"/>
      <c r="C335" s="77"/>
      <c r="D335" s="77"/>
      <c r="E335" s="94"/>
      <c r="F335" s="1"/>
    </row>
    <row r="336" spans="1:60" ht="8" customHeight="1" thickTop="1" thickBot="1" x14ac:dyDescent="0.35">
      <c r="A336" s="94"/>
      <c r="B336" s="45"/>
      <c r="C336" s="94"/>
      <c r="D336" s="94"/>
      <c r="E336" s="94"/>
      <c r="F336" s="1"/>
    </row>
    <row r="337" spans="1:61" ht="15" thickTop="1" thickBot="1" x14ac:dyDescent="0.35">
      <c r="A337" s="94"/>
      <c r="B337" s="45" t="s">
        <v>3630</v>
      </c>
      <c r="C337" s="45"/>
      <c r="D337" s="77"/>
      <c r="E337" s="94"/>
      <c r="F337" s="1"/>
      <c r="AA337" s="597">
        <f>AA328+1</f>
        <v>17</v>
      </c>
      <c r="AB337" s="49" t="s">
        <v>3961</v>
      </c>
      <c r="AC337" s="49"/>
      <c r="AD337" s="49"/>
      <c r="AE337" s="49"/>
      <c r="AF337" s="49"/>
      <c r="AL337" s="48" t="str">
        <f>IF($D337=E2939,"none",IF($D337=$E$2940,"one",IF($D337=$E$2941,"two",IF($D337=$E$2942,"three",IF($D337=$E$2943,"four",IF($D337=$E$2944,"five or more",""))))))</f>
        <v>none</v>
      </c>
      <c r="AO337" s="52">
        <f>IF(D337=E2939,F2939,IF(D337=E2940,F2940,IF(D337=E2941,F2941,IF(D337=E2942,F2942,IF(D337=E2943,F2943,IF(D337=E2944,F2944,0))))))</f>
        <v>0</v>
      </c>
      <c r="AQ337" s="951">
        <f>AQ328+AO337</f>
        <v>0</v>
      </c>
      <c r="AR337" s="952"/>
      <c r="AV337" s="48" t="str">
        <f>IF(AN202=0,"Claimant",AN202)</f>
        <v>Claimant</v>
      </c>
      <c r="AX337" s="48" t="s">
        <v>4048</v>
      </c>
      <c r="AZ337" s="48" t="str">
        <f>IF($D337=K2939,"none",IF($D337=$E$2940,"one",IF($D337=$E$2941,"two",IF($D337=$E$2942,"three",IF($D337=$E$2943,"four",IF($D337=$E$2944,"over four",""))))))</f>
        <v>none</v>
      </c>
      <c r="BB337" s="14" t="s">
        <v>4049</v>
      </c>
      <c r="BI337" s="52" t="str">
        <f>IF(D337=0,CONCATENATE(AV337," has yet to ask for help from an innocence project. "),IF(D337=1,CONCATENATE(AV337," once asked for help from an innocence project. "),CONCATENATE(AV337,AX337,AZ337,BB337)))</f>
        <v xml:space="preserve">Claimant has yet to ask for help from an innocence project. </v>
      </c>
    </row>
    <row r="338" spans="1:61" ht="15" thickTop="1" thickBot="1" x14ac:dyDescent="0.35">
      <c r="A338" s="94"/>
      <c r="B338" s="45" t="str">
        <f>IF(D337&gt;E2939,"What was the response? Explain further below.","Please explain why not in box below.")</f>
        <v>Please explain why not in box below.</v>
      </c>
      <c r="C338" s="94"/>
      <c r="D338" s="93"/>
      <c r="E338" s="94"/>
      <c r="F338" s="1"/>
      <c r="AA338" s="597">
        <f>AA337+1</f>
        <v>18</v>
      </c>
      <c r="AB338" s="49" t="s">
        <v>3962</v>
      </c>
      <c r="AC338" s="49"/>
      <c r="AD338" s="49"/>
      <c r="AE338" s="49"/>
      <c r="AF338" s="49"/>
      <c r="AO338" s="52">
        <f>IF(D338=B2961,1,0)</f>
        <v>0</v>
      </c>
      <c r="AQ338" s="951">
        <f>AQ337+AO338</f>
        <v>0</v>
      </c>
      <c r="AR338" s="952"/>
      <c r="AV338" s="48" t="str">
        <f>BG206</f>
        <v>Claimant</v>
      </c>
      <c r="AX338" s="48" t="str">
        <f>IF($D338=$B$2958," never received a reply to ",IF($D338=$B$2959," was told ",IF($D338=$B$2960," was told ",IF($D338=$B$2961," was told ",IF($D338=$B$2962," was denied ","")))))</f>
        <v/>
      </c>
      <c r="AZ338" s="48" t="str">
        <f>IF(D338=B2961,"they",IF(D338=B2962,"their",BJ206))</f>
        <v>claimant's</v>
      </c>
      <c r="BB338" s="48" t="str">
        <f>IF($D338=$B$2958,"  inquery. ",IF($D338=$B$2959," case did not merit review. ",IF($D338=$B$2960," case did not fit their criteria. ",IF($D338=$B$2961," had to priortize their service to others. ",IF($D338=$B$2962," help for some reason. ","")))))</f>
        <v/>
      </c>
      <c r="BI338" s="52" t="str">
        <f>IF(D337=0,"",CONCATENATE(AV338,AX338,AZ338,BB338))</f>
        <v/>
      </c>
    </row>
    <row r="339" spans="1:61" ht="15" thickTop="1" thickBot="1" x14ac:dyDescent="0.35">
      <c r="A339" s="94"/>
      <c r="B339" s="964" t="str">
        <f>IF(D338=B2961,C2961,"")</f>
        <v/>
      </c>
      <c r="C339" s="964"/>
      <c r="D339" s="964"/>
      <c r="E339" s="94"/>
      <c r="F339" s="1"/>
    </row>
    <row r="340" spans="1:61" ht="45" customHeight="1" thickTop="1" thickBot="1" x14ac:dyDescent="0.35">
      <c r="A340" s="94"/>
      <c r="B340" s="957"/>
      <c r="C340" s="958"/>
      <c r="D340" s="959"/>
      <c r="E340" s="94"/>
      <c r="F340" s="1"/>
    </row>
    <row r="341" spans="1:61" ht="8" customHeight="1" thickTop="1" x14ac:dyDescent="0.3">
      <c r="A341" s="94"/>
      <c r="B341" s="45"/>
      <c r="C341" s="94"/>
      <c r="D341" s="94"/>
      <c r="E341" s="94"/>
      <c r="F341" s="1"/>
    </row>
    <row r="342" spans="1:61" ht="14.5" thickBot="1" x14ac:dyDescent="0.35">
      <c r="A342" s="94"/>
      <c r="B342" s="45" t="s">
        <v>221</v>
      </c>
      <c r="C342" s="94"/>
      <c r="D342" s="45" t="s">
        <v>222</v>
      </c>
      <c r="E342" s="94"/>
      <c r="F342" s="1"/>
    </row>
    <row r="343" spans="1:61" ht="15" thickTop="1" thickBot="1" x14ac:dyDescent="0.35">
      <c r="A343" s="94"/>
      <c r="B343" s="955"/>
      <c r="C343" s="956"/>
      <c r="D343" s="79"/>
      <c r="E343" s="94"/>
      <c r="F343" s="1"/>
      <c r="AA343" s="597">
        <f>AA338+1</f>
        <v>19</v>
      </c>
      <c r="AB343" s="49" t="s">
        <v>3948</v>
      </c>
      <c r="AC343" s="49"/>
      <c r="AD343" s="49"/>
      <c r="AE343" s="49"/>
      <c r="AF343" s="49"/>
      <c r="AH343" s="95" t="str">
        <f>IF(B343=B2965,"No other criminal history","")</f>
        <v/>
      </c>
      <c r="AI343" s="96"/>
      <c r="AJ343" s="96"/>
      <c r="AK343" s="96"/>
      <c r="AL343" s="96"/>
      <c r="AM343" s="96"/>
      <c r="AO343" s="603">
        <f>IF(B343=B2965,C2965,IF(B343=B2966,C2966,IF(B343=B2967,C2967,IF(B343=B2968,C2968,IF(B343=B2969,C2969,IF(B343=B2970,C2970,IF(B343=B2971,C2971,IF(B343=B2972,C2972,IF(B343=B2973,C2973,IF(B343=B2974,C2974,0))))))))))</f>
        <v>0</v>
      </c>
      <c r="AP343" s="14"/>
      <c r="AQ343" s="951">
        <f>AQ338+AO343</f>
        <v>0</v>
      </c>
      <c r="AR343" s="952"/>
      <c r="AU343" s="48" t="s">
        <v>5414</v>
      </c>
      <c r="AV343" s="642" t="str">
        <f>IF(B343=B2965,AZ343,"")</f>
        <v/>
      </c>
      <c r="AZ343" s="843" t="str">
        <f>CONCATENATE(BB343,BC343,BD343)</f>
        <v xml:space="preserve">Claimant has no other criminal history. </v>
      </c>
      <c r="BB343" s="14" t="str">
        <f>AN202</f>
        <v>Claimant</v>
      </c>
      <c r="BC343" s="48" t="s">
        <v>5397</v>
      </c>
    </row>
    <row r="344" spans="1:61" ht="15" thickTop="1" thickBot="1" x14ac:dyDescent="0.35">
      <c r="A344" s="94"/>
      <c r="B344" s="45" t="s">
        <v>224</v>
      </c>
      <c r="C344" s="45"/>
      <c r="D344" s="45"/>
      <c r="E344" s="94"/>
      <c r="F344" s="1"/>
      <c r="AA344" s="597">
        <f>AA343+1</f>
        <v>20</v>
      </c>
      <c r="AB344" s="49" t="s">
        <v>3982</v>
      </c>
      <c r="AC344" s="49"/>
      <c r="AD344" s="49"/>
      <c r="AE344" s="49"/>
      <c r="AF344" s="49"/>
      <c r="AO344" s="603">
        <f>IF(D343=D2965,1,IF(D343=D2966,0.5,0))</f>
        <v>0</v>
      </c>
      <c r="AQ344" s="951">
        <f>AQ343+AO344</f>
        <v>0</v>
      </c>
      <c r="AR344" s="952"/>
    </row>
    <row r="345" spans="1:61" ht="45" customHeight="1" thickTop="1" thickBot="1" x14ac:dyDescent="0.35">
      <c r="A345" s="94"/>
      <c r="B345" s="957"/>
      <c r="C345" s="958"/>
      <c r="D345" s="959"/>
      <c r="E345" s="94"/>
      <c r="F345" s="1"/>
    </row>
    <row r="346" spans="1:61" ht="8" customHeight="1" thickTop="1" x14ac:dyDescent="0.3">
      <c r="A346" s="94"/>
      <c r="B346" s="94"/>
      <c r="C346" s="94"/>
      <c r="D346" s="94"/>
      <c r="E346" s="94"/>
      <c r="F346" s="1"/>
    </row>
    <row r="347" spans="1:61" ht="14.5" thickBot="1" x14ac:dyDescent="0.35">
      <c r="A347" s="94"/>
      <c r="B347" s="45" t="s">
        <v>225</v>
      </c>
      <c r="C347" s="94"/>
      <c r="D347" s="94"/>
      <c r="E347" s="94"/>
      <c r="F347" s="1"/>
    </row>
    <row r="348" spans="1:61" ht="45" customHeight="1" thickTop="1" thickBot="1" x14ac:dyDescent="0.35">
      <c r="A348" s="94"/>
      <c r="B348" s="957"/>
      <c r="C348" s="958"/>
      <c r="D348" s="959"/>
      <c r="E348" s="94"/>
      <c r="F348" s="1"/>
      <c r="AE348" s="23" t="s">
        <v>226</v>
      </c>
    </row>
    <row r="349" spans="1:61" ht="8" customHeight="1" thickTop="1" x14ac:dyDescent="0.3">
      <c r="A349" s="94"/>
      <c r="B349" s="45"/>
      <c r="C349" s="94"/>
      <c r="D349" s="94"/>
      <c r="E349" s="94"/>
      <c r="F349" s="1"/>
    </row>
    <row r="350" spans="1:61" ht="30" customHeight="1" thickBot="1" x14ac:dyDescent="0.35">
      <c r="A350" s="94"/>
      <c r="B350" s="960" t="s">
        <v>227</v>
      </c>
      <c r="C350" s="960"/>
      <c r="D350" s="960"/>
      <c r="E350" s="94"/>
      <c r="F350" s="1"/>
    </row>
    <row r="351" spans="1:61" ht="45" customHeight="1" thickTop="1" thickBot="1" x14ac:dyDescent="0.35">
      <c r="A351" s="94"/>
      <c r="B351" s="957"/>
      <c r="C351" s="958"/>
      <c r="D351" s="959"/>
      <c r="E351" s="94"/>
      <c r="F351" s="1"/>
      <c r="AE351" s="23" t="s">
        <v>5402</v>
      </c>
    </row>
    <row r="352" spans="1:61" ht="8" customHeight="1" thickTop="1" x14ac:dyDescent="0.3">
      <c r="A352" s="94"/>
      <c r="B352" s="94"/>
      <c r="C352" s="94"/>
      <c r="D352" s="94"/>
      <c r="E352" s="94"/>
      <c r="F352" s="1"/>
    </row>
    <row r="353" spans="1:63" ht="45" customHeight="1" x14ac:dyDescent="0.3">
      <c r="A353" s="94"/>
      <c r="B353" s="961" t="str">
        <f>IF(AB353&lt;&gt;"","Thanks for answering all those questions. They understandably bring up a lot of painful stuff. Together, let's give your pain some purpose by bringing this injustice to an end. And next provide documentation to help verify your innocence claim.","Please review your answers and fill any unfinished items. You've come this far, and we trust you can do it. You deserve to bring this injustice to an end.")</f>
        <v>Please review your answers and fill any unfinished items. You've come this far, and we trust you can do it. You deserve to bring this injustice to an end.</v>
      </c>
      <c r="C353" s="961"/>
      <c r="D353" s="961"/>
      <c r="E353" s="94"/>
      <c r="F353" s="1"/>
    </row>
    <row r="354" spans="1:63" ht="5" customHeight="1" x14ac:dyDescent="0.3">
      <c r="A354" s="94"/>
      <c r="B354" s="45"/>
      <c r="C354" s="94"/>
      <c r="D354" s="94"/>
      <c r="E354" s="94"/>
      <c r="F354" s="1"/>
    </row>
    <row r="355" spans="1:63" ht="30" customHeight="1" x14ac:dyDescent="0.35">
      <c r="A355" s="40" t="s">
        <v>228</v>
      </c>
      <c r="B355" s="1200" t="s">
        <v>229</v>
      </c>
      <c r="C355" s="1200"/>
      <c r="D355" s="1200"/>
      <c r="E355" s="436"/>
      <c r="F355" s="436" t="s">
        <v>869</v>
      </c>
      <c r="AC355" s="954">
        <f>D2988</f>
        <v>0</v>
      </c>
      <c r="AD355" s="954"/>
    </row>
    <row r="356" spans="1:63" ht="17.5" x14ac:dyDescent="0.35">
      <c r="A356" s="97" t="s">
        <v>230</v>
      </c>
      <c r="B356" s="98"/>
      <c r="C356" s="98"/>
      <c r="D356" s="98"/>
      <c r="E356" s="99"/>
      <c r="F356" s="97"/>
      <c r="AC356" s="48" t="s">
        <v>231</v>
      </c>
      <c r="AK356" s="48">
        <v>9.9999999999999998E-13</v>
      </c>
      <c r="AL356" s="5">
        <f>COUNT(AK359,AK369,AK379,AK389,AK399,AK409,AK419,AK429,AK439,AK449,AK459,AK469,AK479,AK489)</f>
        <v>0</v>
      </c>
      <c r="AN356" s="100">
        <f>MAX(AK356:AL356)</f>
        <v>9.9999999999999998E-13</v>
      </c>
      <c r="AP356" s="101">
        <f>AQ356-0.25</f>
        <v>0</v>
      </c>
      <c r="AQ356" s="101">
        <f>AR356-0.25</f>
        <v>0.25</v>
      </c>
      <c r="AR356" s="101">
        <f>AS356-0.25</f>
        <v>0.5</v>
      </c>
      <c r="AS356" s="101">
        <f>AT356-0.25</f>
        <v>0.75</v>
      </c>
      <c r="AT356" s="101">
        <v>1</v>
      </c>
      <c r="BF356" s="102">
        <v>0.05</v>
      </c>
      <c r="BH356" s="102">
        <v>0.1</v>
      </c>
    </row>
    <row r="357" spans="1:63" ht="20" customHeight="1" x14ac:dyDescent="0.35">
      <c r="A357" s="103">
        <v>1</v>
      </c>
      <c r="B357" s="103" t="s">
        <v>232</v>
      </c>
      <c r="C357" s="103"/>
      <c r="D357" s="104">
        <f>IF(AN359&gt;0,AN359,0)</f>
        <v>0</v>
      </c>
      <c r="E357" s="105"/>
      <c r="F357" s="1"/>
    </row>
    <row r="358" spans="1:63" s="109" customFormat="1" ht="18" customHeight="1" thickBot="1" x14ac:dyDescent="0.35">
      <c r="A358" s="106"/>
      <c r="B358" s="975" t="s">
        <v>233</v>
      </c>
      <c r="C358" s="975"/>
      <c r="D358" s="975"/>
      <c r="E358" s="107"/>
      <c r="F358" s="1"/>
      <c r="G358" s="108"/>
      <c r="H358" s="108"/>
      <c r="I358" s="108"/>
      <c r="J358" s="108"/>
      <c r="K358" s="108"/>
      <c r="L358" s="108"/>
      <c r="M358" s="108"/>
      <c r="N358" s="108"/>
      <c r="O358" s="108"/>
      <c r="P358" s="108"/>
      <c r="Q358" s="108"/>
      <c r="R358" s="108"/>
      <c r="S358" s="108"/>
      <c r="T358" s="108"/>
      <c r="U358" s="108"/>
      <c r="V358" s="108"/>
      <c r="W358" s="108"/>
      <c r="X358" s="108"/>
      <c r="Y358" s="108"/>
      <c r="Z358" s="108"/>
      <c r="AC358" s="110">
        <v>1</v>
      </c>
      <c r="AD358" s="111">
        <f>AC358-($AC358/5)</f>
        <v>0.8</v>
      </c>
      <c r="AE358" s="112">
        <f>AD358-($AC358/5)</f>
        <v>0.60000000000000009</v>
      </c>
      <c r="AF358" s="113">
        <f>AE358-($AC358/5)</f>
        <v>0.40000000000000008</v>
      </c>
      <c r="AG358" s="114">
        <f>AF358-($AC358/5)</f>
        <v>0.20000000000000007</v>
      </c>
      <c r="AH358" s="115">
        <f>AG358-($AC358/5)</f>
        <v>0</v>
      </c>
      <c r="BB358" s="116" t="s">
        <v>234</v>
      </c>
      <c r="BC358" s="48"/>
      <c r="BD358" s="116" t="s">
        <v>235</v>
      </c>
      <c r="BG358" s="117" t="s">
        <v>236</v>
      </c>
      <c r="BH358" s="118"/>
      <c r="BI358" s="119" t="s">
        <v>237</v>
      </c>
      <c r="BJ358" s="120"/>
    </row>
    <row r="359" spans="1:63" ht="15.5" thickTop="1" thickBot="1" x14ac:dyDescent="0.4">
      <c r="A359" s="106"/>
      <c r="B359" s="976"/>
      <c r="C359" s="977"/>
      <c r="D359" s="978"/>
      <c r="E359" s="121"/>
      <c r="F359" s="1"/>
      <c r="AC359" s="101">
        <f>IF($B359=AC$2981,AC358,0)</f>
        <v>0</v>
      </c>
      <c r="AD359" s="101">
        <f>IF($B359=AD$2981,AD358,0)</f>
        <v>0</v>
      </c>
      <c r="AE359" s="101">
        <f>IF($B359=AE$2981,AE358,0)</f>
        <v>0</v>
      </c>
      <c r="AF359" s="101">
        <f>IF($B359=AF$2981,AF358,0)</f>
        <v>0</v>
      </c>
      <c r="AG359" s="101">
        <f>IF($B359=AG$2981,AG358,0)</f>
        <v>0</v>
      </c>
      <c r="AH359" s="101">
        <f>IF($B359=AH$2981,AH358,0)</f>
        <v>0</v>
      </c>
      <c r="AI359" s="122">
        <f>SUM(AC359:AH359)</f>
        <v>0</v>
      </c>
      <c r="AK359" s="967" t="str">
        <f>IF(AI359&gt;0,AI359,"")</f>
        <v/>
      </c>
      <c r="AL359" s="968"/>
      <c r="AN359" s="969">
        <f>(AI359/$AN$356)/2</f>
        <v>0</v>
      </c>
      <c r="AO359" s="970"/>
      <c r="BB359" s="116" t="s">
        <v>239</v>
      </c>
      <c r="BD359" s="116" t="s">
        <v>239</v>
      </c>
      <c r="BG359" s="117" t="s">
        <v>240</v>
      </c>
      <c r="BH359" s="123">
        <f>BH356</f>
        <v>0.1</v>
      </c>
      <c r="BI359" s="119" t="s">
        <v>240</v>
      </c>
      <c r="BJ359" s="124">
        <f>1-BH359</f>
        <v>0.9</v>
      </c>
    </row>
    <row r="360" spans="1:63" ht="15.5" thickTop="1" thickBot="1" x14ac:dyDescent="0.35">
      <c r="A360" s="106"/>
      <c r="B360" s="1021"/>
      <c r="C360" s="1022"/>
      <c r="D360" s="1023"/>
      <c r="E360" s="121"/>
      <c r="F360" s="1"/>
      <c r="AC360" s="109"/>
      <c r="BB360" s="157">
        <f>$AC$1712</f>
        <v>10</v>
      </c>
      <c r="BD360" s="157">
        <f>$AC$1713</f>
        <v>25</v>
      </c>
      <c r="BG360" s="125" t="str">
        <f>BB358</f>
        <v>low</v>
      </c>
      <c r="BH360" s="125" t="str">
        <f>BD358</f>
        <v>high</v>
      </c>
      <c r="BI360" s="125" t="str">
        <f>BB358</f>
        <v>low</v>
      </c>
      <c r="BJ360" s="125" t="str">
        <f>BD358</f>
        <v>high</v>
      </c>
    </row>
    <row r="361" spans="1:63" ht="15" thickTop="1" thickBot="1" x14ac:dyDescent="0.35">
      <c r="A361" s="106"/>
      <c r="B361" s="107" t="str">
        <f>IF(B359="","","Add any relevant info in box below to help us help you with your trial transcripts.")</f>
        <v/>
      </c>
      <c r="C361" s="106"/>
      <c r="D361" s="106"/>
      <c r="E361" s="121"/>
      <c r="F361" s="1"/>
      <c r="AC361" s="109"/>
      <c r="BB361" s="157">
        <f>IF(AK365=$AC$356,0,(BB360*AK365))</f>
        <v>0</v>
      </c>
      <c r="BD361" s="157">
        <f>IF(AK365=$AC$356,0,(BD360*AK365))</f>
        <v>0</v>
      </c>
      <c r="BG361" s="157">
        <f>BB361*BH359</f>
        <v>0</v>
      </c>
      <c r="BH361" s="157">
        <f>BD361*BH359</f>
        <v>0</v>
      </c>
      <c r="BI361" s="157">
        <f>BB361*BJ359</f>
        <v>0</v>
      </c>
      <c r="BJ361" s="157">
        <f>BD361*BJ359</f>
        <v>0</v>
      </c>
    </row>
    <row r="362" spans="1:63" ht="67" customHeight="1" thickTop="1" thickBot="1" x14ac:dyDescent="0.35">
      <c r="A362" s="106"/>
      <c r="B362" s="972"/>
      <c r="C362" s="973"/>
      <c r="D362" s="974"/>
      <c r="E362" s="121"/>
      <c r="F362" s="1"/>
      <c r="AC362" s="109"/>
      <c r="BJ362" s="126">
        <f>MIN(BJ361,($D$1486*10))</f>
        <v>0</v>
      </c>
    </row>
    <row r="363" spans="1:63" ht="20" customHeight="1" thickTop="1" thickBot="1" x14ac:dyDescent="0.35">
      <c r="A363" s="106"/>
      <c r="B363" s="127" t="str">
        <f>IF(B359="","","SUPPORTER REVIEW: Prepare for Independent Verifier")</f>
        <v/>
      </c>
      <c r="C363" s="106"/>
      <c r="D363" s="106"/>
      <c r="E363" s="121"/>
      <c r="F363" s="1"/>
      <c r="AC363" s="109"/>
      <c r="BJ363" s="128"/>
    </row>
    <row r="364" spans="1:63" ht="14.5" thickTop="1" x14ac:dyDescent="0.3">
      <c r="A364" s="106"/>
      <c r="B364" s="129" t="str">
        <f>IF(B359="","","How many pages?")</f>
        <v/>
      </c>
      <c r="C364" s="130" t="str">
        <f>IF(AJ365&gt;30,"check if URL works, report from list below","")</f>
        <v/>
      </c>
      <c r="D364" s="131" t="str">
        <f>IF(B359="","","Estimated time to verify")</f>
        <v/>
      </c>
      <c r="E364" s="121"/>
      <c r="F364" s="1"/>
      <c r="AP364" s="48" t="s">
        <v>242</v>
      </c>
      <c r="AT364" s="132" t="str">
        <f>IF(AND(AJ365&gt;30,B365&gt;0),"ready","not ready")</f>
        <v>not ready</v>
      </c>
      <c r="AU364" s="132"/>
      <c r="AV364" s="132"/>
      <c r="BB364" s="48"/>
      <c r="BF364" s="102">
        <f>BF356</f>
        <v>0.05</v>
      </c>
      <c r="BG364" s="157">
        <f>BG361*$BF364</f>
        <v>0</v>
      </c>
      <c r="BH364" s="157">
        <f>BH361*$BF364</f>
        <v>0</v>
      </c>
      <c r="BI364" s="157">
        <f>BI361*$BF364</f>
        <v>0</v>
      </c>
      <c r="BJ364" s="157">
        <f>BJ361*$BF364</f>
        <v>0</v>
      </c>
    </row>
    <row r="365" spans="1:63" ht="14.5" thickBot="1" x14ac:dyDescent="0.35">
      <c r="A365" s="106"/>
      <c r="B365" s="133"/>
      <c r="C365" s="134"/>
      <c r="D365" s="135" t="str">
        <f>IF(B364="","",CONCATENATE(AK365,AL365))</f>
        <v/>
      </c>
      <c r="E365" s="136"/>
      <c r="F365" s="1"/>
      <c r="AD365" s="137">
        <f>IF(B359=B$2981,G$2981,AC364)</f>
        <v>0</v>
      </c>
      <c r="AE365" s="138">
        <f>IF(B359=B$2982,G$2982,AD364)</f>
        <v>0</v>
      </c>
      <c r="AF365" s="139">
        <f>IF(B359=B$2983,G$2983,AE364)</f>
        <v>0</v>
      </c>
      <c r="AG365" s="140">
        <f>IF(B359=B$2984,G$2984,AF364)</f>
        <v>0</v>
      </c>
      <c r="AH365" s="7"/>
      <c r="AI365" s="141">
        <f>MAX(AD365:AG365)</f>
        <v>0</v>
      </c>
      <c r="AJ365" s="48">
        <f>LEN(B359)</f>
        <v>0</v>
      </c>
      <c r="AK365" s="142" t="str">
        <f>IF(B365="",$AC$356,B365*AI365)</f>
        <v>in estimated</v>
      </c>
      <c r="AL365" s="48" t="s">
        <v>244</v>
      </c>
      <c r="AN365" s="48">
        <f>B365*AI365</f>
        <v>0</v>
      </c>
      <c r="AP365" s="143" t="str">
        <f>IF($C365=$D$2981,AP$356,"")</f>
        <v/>
      </c>
      <c r="AQ365" s="144" t="str">
        <f>IF($C365=$D$2982,AQ$356,"")</f>
        <v/>
      </c>
      <c r="AR365" s="145" t="str">
        <f>IF($C365=$D$2983,AR$356,"")</f>
        <v/>
      </c>
      <c r="AS365" s="146" t="str">
        <f>IF($C365=$D$2984,AS$356,"")</f>
        <v/>
      </c>
      <c r="AT365" s="147" t="str">
        <f>IF($C365=$D$2985,AT$356,"")</f>
        <v/>
      </c>
      <c r="AU365" s="148">
        <f>MAX(AP365:AS365)</f>
        <v>0</v>
      </c>
      <c r="AV365" s="142"/>
      <c r="AX365" s="48">
        <f>IF(AK365=$AC$356,0,AK365)</f>
        <v>0</v>
      </c>
      <c r="BB365" s="48"/>
      <c r="BG365" s="149">
        <f>BG361*0.95</f>
        <v>0</v>
      </c>
      <c r="BH365" s="149">
        <f>BH361*0.95</f>
        <v>0</v>
      </c>
      <c r="BI365" s="149">
        <f>BI361*0.95</f>
        <v>0</v>
      </c>
      <c r="BJ365" s="149">
        <f>BJ361*0.95</f>
        <v>0</v>
      </c>
    </row>
    <row r="366" spans="1:63" ht="14.5" thickTop="1" x14ac:dyDescent="0.3">
      <c r="A366" s="106"/>
      <c r="B366" s="106"/>
      <c r="C366" s="106"/>
      <c r="D366" s="106"/>
      <c r="E366" s="121"/>
      <c r="F366" s="1"/>
      <c r="BK366" s="365"/>
    </row>
    <row r="367" spans="1:63" ht="20" customHeight="1" x14ac:dyDescent="0.3">
      <c r="A367" s="103">
        <f>A357+1</f>
        <v>2</v>
      </c>
      <c r="B367" s="103" t="s">
        <v>245</v>
      </c>
      <c r="C367" s="103"/>
      <c r="D367" s="104">
        <f>IF(AN369&gt;0,AN369,0)</f>
        <v>0</v>
      </c>
      <c r="E367" s="121"/>
      <c r="F367" s="1"/>
      <c r="BK367" s="365"/>
    </row>
    <row r="368" spans="1:63" ht="18" customHeight="1" x14ac:dyDescent="0.3">
      <c r="A368" s="103"/>
      <c r="B368" s="965" t="s">
        <v>3804</v>
      </c>
      <c r="C368" s="965"/>
      <c r="D368" s="965"/>
      <c r="E368" s="121"/>
      <c r="F368" s="1"/>
      <c r="AC368" s="110">
        <v>1</v>
      </c>
      <c r="AD368" s="111">
        <f>AC368-($AC368/5)</f>
        <v>0.8</v>
      </c>
      <c r="AE368" s="112">
        <f>AD368-($AC368/5)</f>
        <v>0.60000000000000009</v>
      </c>
      <c r="AF368" s="113">
        <f>AE368-($AC368/5)</f>
        <v>0.40000000000000008</v>
      </c>
      <c r="AG368" s="114">
        <f>AF368-($AC368/5)</f>
        <v>0.20000000000000007</v>
      </c>
      <c r="AH368" s="115">
        <f>AG368-($AC368/5)</f>
        <v>0</v>
      </c>
      <c r="AI368" s="109"/>
      <c r="AP368" s="109"/>
      <c r="AQ368" s="109"/>
      <c r="AR368" s="109"/>
      <c r="AS368" s="109"/>
      <c r="AT368" s="109"/>
      <c r="AU368" s="109"/>
      <c r="AV368" s="109"/>
      <c r="AW368" s="109"/>
      <c r="AX368" s="109"/>
      <c r="AY368" s="109"/>
      <c r="AZ368" s="109"/>
      <c r="BA368" s="109"/>
      <c r="BB368" s="116" t="s">
        <v>234</v>
      </c>
      <c r="BD368" s="116" t="s">
        <v>235</v>
      </c>
      <c r="BE368" s="109"/>
      <c r="BF368" s="109"/>
      <c r="BG368" s="117" t="s">
        <v>236</v>
      </c>
      <c r="BH368" s="118"/>
      <c r="BI368" s="119" t="s">
        <v>237</v>
      </c>
      <c r="BJ368" s="120"/>
    </row>
    <row r="369" spans="1:62" ht="14.5" x14ac:dyDescent="0.35">
      <c r="A369" s="106"/>
      <c r="B369" s="966"/>
      <c r="C369" s="966"/>
      <c r="D369" s="966"/>
      <c r="E369" s="121"/>
      <c r="F369" s="1"/>
      <c r="AC369" s="101">
        <f>IF($B369=AC$2981,AC368,0)</f>
        <v>0</v>
      </c>
      <c r="AD369" s="101">
        <f>IF($B369=AD$2981,AD368,0)</f>
        <v>0</v>
      </c>
      <c r="AE369" s="101">
        <f>IF($B369=AE$2981,AE368,0)</f>
        <v>0</v>
      </c>
      <c r="AF369" s="101">
        <f>IF($B369=AF$2981,AF368,0)</f>
        <v>0</v>
      </c>
      <c r="AG369" s="101">
        <f>IF($B369=AG$2981,AG368,0)</f>
        <v>0</v>
      </c>
      <c r="AH369" s="101">
        <f>IF($B369=AH$2981,AH368,0)</f>
        <v>0</v>
      </c>
      <c r="AI369" s="122">
        <f>SUM(AC369:AH369)</f>
        <v>0</v>
      </c>
      <c r="AK369" s="967" t="str">
        <f>IF(AI369&gt;0,AI369,"")</f>
        <v/>
      </c>
      <c r="AL369" s="968"/>
      <c r="AN369" s="969">
        <f>(AI369/$AN$356)/2</f>
        <v>0</v>
      </c>
      <c r="AO369" s="970"/>
      <c r="BB369" s="116" t="s">
        <v>239</v>
      </c>
      <c r="BD369" s="116" t="s">
        <v>239</v>
      </c>
      <c r="BG369" s="117" t="s">
        <v>240</v>
      </c>
      <c r="BH369" s="123">
        <f>BH359</f>
        <v>0.1</v>
      </c>
      <c r="BI369" s="119" t="s">
        <v>240</v>
      </c>
      <c r="BJ369" s="124">
        <f>1-BH369</f>
        <v>0.9</v>
      </c>
    </row>
    <row r="370" spans="1:62" ht="14.5" x14ac:dyDescent="0.3">
      <c r="A370" s="106"/>
      <c r="B370" s="971"/>
      <c r="C370" s="971"/>
      <c r="D370" s="971"/>
      <c r="E370" s="121"/>
      <c r="F370" s="1"/>
      <c r="BB370" s="157">
        <f>$AC$1712</f>
        <v>10</v>
      </c>
      <c r="BD370" s="157">
        <f>$AC$1713</f>
        <v>25</v>
      </c>
      <c r="BG370" s="125" t="str">
        <f>BB368</f>
        <v>low</v>
      </c>
      <c r="BH370" s="125" t="str">
        <f>BD368</f>
        <v>high</v>
      </c>
      <c r="BI370" s="125" t="str">
        <f>BB368</f>
        <v>low</v>
      </c>
      <c r="BJ370" s="125" t="str">
        <f>BD368</f>
        <v>high</v>
      </c>
    </row>
    <row r="371" spans="1:62" ht="14.5" thickBot="1" x14ac:dyDescent="0.35">
      <c r="A371" s="106"/>
      <c r="B371" s="107" t="str">
        <f>IF(B369="","","Add any relevant info in box below to help us help you with your discovery documents.")</f>
        <v/>
      </c>
      <c r="C371" s="106"/>
      <c r="D371" s="106"/>
      <c r="E371" s="121"/>
      <c r="F371" s="1"/>
      <c r="BB371" s="157">
        <f>IF(AK375=$AC$356,0,(BB370*AK375))</f>
        <v>0</v>
      </c>
      <c r="BD371" s="157">
        <f>IF(AK375=$AC$356,0,(BD370*AK375))</f>
        <v>0</v>
      </c>
      <c r="BG371" s="157">
        <f>BB371*BH369</f>
        <v>0</v>
      </c>
      <c r="BH371" s="157">
        <f>BD371*BH369</f>
        <v>0</v>
      </c>
      <c r="BI371" s="157">
        <f>BB371*BJ369</f>
        <v>0</v>
      </c>
      <c r="BJ371" s="157">
        <f>BD371*BJ369</f>
        <v>0</v>
      </c>
    </row>
    <row r="372" spans="1:62" ht="67" customHeight="1" thickTop="1" thickBot="1" x14ac:dyDescent="0.35">
      <c r="A372" s="106"/>
      <c r="B372" s="972"/>
      <c r="C372" s="973"/>
      <c r="D372" s="974"/>
      <c r="E372" s="121"/>
      <c r="F372" s="1"/>
      <c r="BJ372" s="126">
        <f>MIN(BJ371,($D$1486*10))</f>
        <v>0</v>
      </c>
    </row>
    <row r="373" spans="1:62" ht="16.5" thickTop="1" thickBot="1" x14ac:dyDescent="0.35">
      <c r="A373" s="106"/>
      <c r="B373" s="127" t="str">
        <f>IF(B369="","","SUPPORTER REVIEW: Prepare for Independent Verifier")</f>
        <v/>
      </c>
      <c r="C373" s="106"/>
      <c r="D373" s="106"/>
      <c r="E373" s="121"/>
      <c r="F373" s="1"/>
      <c r="BJ373" s="128"/>
    </row>
    <row r="374" spans="1:62" ht="14.5" thickTop="1" x14ac:dyDescent="0.3">
      <c r="A374" s="106"/>
      <c r="B374" s="129" t="str">
        <f>IF(B369="","","How many pages?")</f>
        <v/>
      </c>
      <c r="C374" s="130" t="str">
        <f>IF(AJ375&gt;30,"check if URL works, report from list below","")</f>
        <v/>
      </c>
      <c r="D374" s="131" t="str">
        <f>IF(B369="","","Estimated time to verify")</f>
        <v/>
      </c>
      <c r="E374" s="121"/>
      <c r="F374" s="1"/>
      <c r="AP374" s="48" t="s">
        <v>242</v>
      </c>
      <c r="AT374" s="132" t="str">
        <f>IF(AND(AJ375&gt;30,B375&gt;0),"ready","not ready")</f>
        <v>not ready</v>
      </c>
      <c r="AU374" s="132"/>
      <c r="AV374" s="132"/>
      <c r="BB374" s="48"/>
      <c r="BF374" s="102">
        <f>BF364</f>
        <v>0.05</v>
      </c>
      <c r="BG374" s="157">
        <f>BG371*$BF374</f>
        <v>0</v>
      </c>
      <c r="BH374" s="157">
        <f>BH371*$BF374</f>
        <v>0</v>
      </c>
      <c r="BI374" s="157">
        <f>BI371*$BF374</f>
        <v>0</v>
      </c>
      <c r="BJ374" s="157">
        <f>BJ371*$BF374</f>
        <v>0</v>
      </c>
    </row>
    <row r="375" spans="1:62" ht="14.5" thickBot="1" x14ac:dyDescent="0.35">
      <c r="A375" s="106"/>
      <c r="B375" s="150"/>
      <c r="C375" s="134"/>
      <c r="D375" s="135" t="str">
        <f>IF(B374="","",CONCATENATE(AK375,AL375))</f>
        <v/>
      </c>
      <c r="E375" s="121"/>
      <c r="F375" s="1"/>
      <c r="AD375" s="137">
        <f>IF(B369=B$2981,G$2981,AC374)</f>
        <v>0</v>
      </c>
      <c r="AE375" s="138">
        <f>IF(B369=B$2982,G$2982,AD374)</f>
        <v>0</v>
      </c>
      <c r="AF375" s="139">
        <f>IF(B369=B$2983,G$2983,AE374)</f>
        <v>0</v>
      </c>
      <c r="AG375" s="140">
        <f>IF(B369=B$2984,G$2984,AF374)</f>
        <v>0</v>
      </c>
      <c r="AH375" s="7"/>
      <c r="AI375" s="141">
        <f>MAX(AD375:AG375)</f>
        <v>0</v>
      </c>
      <c r="AJ375" s="48">
        <f>LEN(B369)</f>
        <v>0</v>
      </c>
      <c r="AK375" s="142" t="str">
        <f>IF(B375="",$AC$356,B375*AI375)</f>
        <v>in estimated</v>
      </c>
      <c r="AL375" s="48" t="s">
        <v>244</v>
      </c>
      <c r="AN375" s="48">
        <f>B375*AI375</f>
        <v>0</v>
      </c>
      <c r="AP375" s="143" t="str">
        <f>IF($C375=$D$2981,AP$356,"")</f>
        <v/>
      </c>
      <c r="AQ375" s="144" t="str">
        <f>IF($C375=$D$2982,AQ$356,"")</f>
        <v/>
      </c>
      <c r="AR375" s="145" t="str">
        <f>IF($C375=$D$2983,AR$356,"")</f>
        <v/>
      </c>
      <c r="AS375" s="146" t="str">
        <f>IF($C375=$D$2984,AS$356,"")</f>
        <v/>
      </c>
      <c r="AT375" s="147" t="str">
        <f>IF($C375=$D$2985,AT$356,"")</f>
        <v/>
      </c>
      <c r="AU375" s="148">
        <f>MAX(AP375:AS375)</f>
        <v>0</v>
      </c>
      <c r="AV375" s="142"/>
      <c r="AX375" s="101">
        <f>IF(AK375=$AC$356,0,AK375)</f>
        <v>0</v>
      </c>
      <c r="BB375" s="48"/>
      <c r="BG375" s="149">
        <f>BG371*0.95</f>
        <v>0</v>
      </c>
      <c r="BH375" s="149">
        <f>BH371*0.95</f>
        <v>0</v>
      </c>
      <c r="BI375" s="149">
        <f>BI371*0.95</f>
        <v>0</v>
      </c>
      <c r="BJ375" s="149">
        <f>BJ371*0.95</f>
        <v>0</v>
      </c>
    </row>
    <row r="376" spans="1:62" ht="14.5" thickTop="1" x14ac:dyDescent="0.3">
      <c r="A376" s="106"/>
      <c r="B376" s="106"/>
      <c r="C376" s="106"/>
      <c r="D376" s="106"/>
      <c r="E376" s="121"/>
      <c r="F376" s="1"/>
    </row>
    <row r="377" spans="1:62" ht="20" customHeight="1" x14ac:dyDescent="0.3">
      <c r="A377" s="103">
        <f>A367+1</f>
        <v>3</v>
      </c>
      <c r="B377" s="103" t="s">
        <v>246</v>
      </c>
      <c r="C377" s="103"/>
      <c r="D377" s="104">
        <f>IF(AN379&gt;0,AN379,0)</f>
        <v>0</v>
      </c>
      <c r="E377" s="121"/>
      <c r="F377" s="1"/>
    </row>
    <row r="378" spans="1:62" ht="18" customHeight="1" x14ac:dyDescent="0.3">
      <c r="A378" s="103"/>
      <c r="B378" s="965" t="s">
        <v>3803</v>
      </c>
      <c r="C378" s="965"/>
      <c r="D378" s="965"/>
      <c r="E378" s="121"/>
      <c r="F378" s="1"/>
      <c r="AC378" s="110">
        <v>1</v>
      </c>
      <c r="AD378" s="111">
        <f>AC378-($AC378/5)</f>
        <v>0.8</v>
      </c>
      <c r="AE378" s="112">
        <f>AD378-($AC378/5)</f>
        <v>0.60000000000000009</v>
      </c>
      <c r="AF378" s="113">
        <f>AE378-($AC378/5)</f>
        <v>0.40000000000000008</v>
      </c>
      <c r="AG378" s="114">
        <f>AF378-($AC378/5)</f>
        <v>0.20000000000000007</v>
      </c>
      <c r="AH378" s="115">
        <f>AG378-($AC378/5)</f>
        <v>0</v>
      </c>
      <c r="AI378" s="109"/>
      <c r="AP378" s="109"/>
      <c r="AQ378" s="109"/>
      <c r="AR378" s="109"/>
      <c r="AS378" s="109"/>
      <c r="AT378" s="109"/>
      <c r="AU378" s="109"/>
      <c r="AV378" s="109"/>
      <c r="AW378" s="109"/>
      <c r="AX378" s="109"/>
      <c r="AY378" s="109"/>
      <c r="AZ378" s="109"/>
      <c r="BA378" s="109"/>
      <c r="BB378" s="116" t="s">
        <v>234</v>
      </c>
      <c r="BD378" s="116" t="s">
        <v>235</v>
      </c>
      <c r="BE378" s="109"/>
      <c r="BF378" s="109"/>
      <c r="BG378" s="117" t="s">
        <v>236</v>
      </c>
      <c r="BH378" s="118"/>
      <c r="BI378" s="119" t="s">
        <v>237</v>
      </c>
      <c r="BJ378" s="120"/>
    </row>
    <row r="379" spans="1:62" ht="14.5" x14ac:dyDescent="0.35">
      <c r="A379" s="106"/>
      <c r="B379" s="966"/>
      <c r="C379" s="966"/>
      <c r="D379" s="966"/>
      <c r="E379" s="121"/>
      <c r="F379" s="1"/>
      <c r="AC379" s="101">
        <f>IF($B379=AC$2981,AC378,0)</f>
        <v>0</v>
      </c>
      <c r="AD379" s="101">
        <f>IF($B379=AD$2981,AD378,0)</f>
        <v>0</v>
      </c>
      <c r="AE379" s="101">
        <f>IF($B379=AE$2981,AE378,0)</f>
        <v>0</v>
      </c>
      <c r="AF379" s="101">
        <f>IF($B379=AF$2981,AF378,0)</f>
        <v>0</v>
      </c>
      <c r="AG379" s="101">
        <f>IF($B379=AG$2981,AG378,0)</f>
        <v>0</v>
      </c>
      <c r="AH379" s="101">
        <f>IF($B379=AH$2981,AH378,0)</f>
        <v>0</v>
      </c>
      <c r="AI379" s="122">
        <f>SUM(AC379:AH379)</f>
        <v>0</v>
      </c>
      <c r="AK379" s="967" t="str">
        <f>IF(AI379&gt;0,AI379,"")</f>
        <v/>
      </c>
      <c r="AL379" s="968"/>
      <c r="AN379" s="969">
        <f>(AI379/$AN$356)/2</f>
        <v>0</v>
      </c>
      <c r="AO379" s="970"/>
      <c r="BB379" s="116" t="s">
        <v>239</v>
      </c>
      <c r="BD379" s="116" t="s">
        <v>239</v>
      </c>
      <c r="BG379" s="117" t="s">
        <v>240</v>
      </c>
      <c r="BH379" s="123">
        <f>BH369</f>
        <v>0.1</v>
      </c>
      <c r="BI379" s="119" t="s">
        <v>240</v>
      </c>
      <c r="BJ379" s="124">
        <f>1-BH379</f>
        <v>0.9</v>
      </c>
    </row>
    <row r="380" spans="1:62" ht="14.5" x14ac:dyDescent="0.3">
      <c r="A380" s="106"/>
      <c r="B380" s="971"/>
      <c r="C380" s="971"/>
      <c r="D380" s="971"/>
      <c r="E380" s="121"/>
      <c r="F380" s="1"/>
      <c r="BB380" s="157">
        <f>$AC$1712</f>
        <v>10</v>
      </c>
      <c r="BD380" s="157">
        <f>$AC$1713</f>
        <v>25</v>
      </c>
      <c r="BG380" s="125" t="str">
        <f>BB378</f>
        <v>low</v>
      </c>
      <c r="BH380" s="125" t="str">
        <f>BD378</f>
        <v>high</v>
      </c>
      <c r="BI380" s="125" t="str">
        <f>BB378</f>
        <v>low</v>
      </c>
      <c r="BJ380" s="125" t="str">
        <f>BD378</f>
        <v>high</v>
      </c>
    </row>
    <row r="381" spans="1:62" ht="14.5" thickBot="1" x14ac:dyDescent="0.35">
      <c r="A381" s="106"/>
      <c r="B381" s="107" t="str">
        <f>IF(B379="","","Add any relevant info in box below to help us help you with your other trial documents.")</f>
        <v/>
      </c>
      <c r="C381" s="106"/>
      <c r="D381" s="106"/>
      <c r="E381" s="121"/>
      <c r="F381" s="1"/>
      <c r="BB381" s="157">
        <f>IF(AK385=$AC$356,0,(BB380*AK385))</f>
        <v>0</v>
      </c>
      <c r="BD381" s="157">
        <f>IF(AK385=$AC$356,0,(BD380*AK385))</f>
        <v>0</v>
      </c>
      <c r="BG381" s="157">
        <f>BB381*BH379</f>
        <v>0</v>
      </c>
      <c r="BH381" s="157">
        <f>BD381*BH379</f>
        <v>0</v>
      </c>
      <c r="BI381" s="157">
        <f>BB381*BJ379</f>
        <v>0</v>
      </c>
      <c r="BJ381" s="157">
        <f>BD381*BJ379</f>
        <v>0</v>
      </c>
    </row>
    <row r="382" spans="1:62" ht="67" customHeight="1" thickTop="1" thickBot="1" x14ac:dyDescent="0.35">
      <c r="A382" s="106"/>
      <c r="B382" s="972"/>
      <c r="C382" s="973"/>
      <c r="D382" s="974"/>
      <c r="E382" s="121"/>
      <c r="F382" s="1"/>
      <c r="BJ382" s="126">
        <f>MIN(BJ381,($D$1486*10))</f>
        <v>0</v>
      </c>
    </row>
    <row r="383" spans="1:62" ht="16.5" thickTop="1" thickBot="1" x14ac:dyDescent="0.35">
      <c r="A383" s="106"/>
      <c r="B383" s="127" t="str">
        <f>IF(B379="","","SUPPORTER REVIEW: Prepare for Independent Verifier")</f>
        <v/>
      </c>
      <c r="C383" s="106"/>
      <c r="D383" s="106"/>
      <c r="E383" s="121"/>
      <c r="F383" s="1"/>
      <c r="BJ383" s="128"/>
    </row>
    <row r="384" spans="1:62" ht="14.5" thickTop="1" x14ac:dyDescent="0.3">
      <c r="A384" s="106"/>
      <c r="B384" s="129" t="str">
        <f>IF(B379="","","How many pages?")</f>
        <v/>
      </c>
      <c r="C384" s="130" t="str">
        <f>IF(AJ385&gt;30,"check if URL works, report from list below","")</f>
        <v/>
      </c>
      <c r="D384" s="131" t="str">
        <f>IF(B379="","","Estimated time to verify")</f>
        <v/>
      </c>
      <c r="E384" s="121"/>
      <c r="F384" s="1"/>
      <c r="AP384" s="48" t="s">
        <v>242</v>
      </c>
      <c r="AT384" s="132" t="str">
        <f>IF(AND(AJ385&gt;30,B385&gt;0),"ready","not ready")</f>
        <v>not ready</v>
      </c>
      <c r="AU384" s="132"/>
      <c r="AV384" s="132"/>
      <c r="BB384" s="48"/>
      <c r="BF384" s="102">
        <f>BF374</f>
        <v>0.05</v>
      </c>
      <c r="BG384" s="157">
        <f>BG381*$BF384</f>
        <v>0</v>
      </c>
      <c r="BH384" s="157">
        <f>BH381*$BF384</f>
        <v>0</v>
      </c>
      <c r="BI384" s="157">
        <f>BI381*$BF384</f>
        <v>0</v>
      </c>
      <c r="BJ384" s="157">
        <f>BJ381*$BF384</f>
        <v>0</v>
      </c>
    </row>
    <row r="385" spans="1:62" ht="14.5" thickBot="1" x14ac:dyDescent="0.35">
      <c r="A385" s="106"/>
      <c r="B385" s="150"/>
      <c r="C385" s="134"/>
      <c r="D385" s="135" t="str">
        <f>IF(B384="","",CONCATENATE(AK385,AL385))</f>
        <v/>
      </c>
      <c r="E385" s="121"/>
      <c r="F385" s="1"/>
      <c r="AD385" s="137">
        <f>IF(B379=B$2981,G$2981,AC384)</f>
        <v>0</v>
      </c>
      <c r="AE385" s="138">
        <f>IF(B379=B$2982,G$2982,AD384)</f>
        <v>0</v>
      </c>
      <c r="AF385" s="139">
        <f>IF(B379=B$2983,G$2983,AE384)</f>
        <v>0</v>
      </c>
      <c r="AG385" s="140">
        <f>IF(B379=B$2984,G$2984,AF384)</f>
        <v>0</v>
      </c>
      <c r="AH385" s="7"/>
      <c r="AI385" s="141">
        <f>MAX(AD385:AG385)</f>
        <v>0</v>
      </c>
      <c r="AJ385" s="48">
        <f>LEN(B379)</f>
        <v>0</v>
      </c>
      <c r="AK385" s="142" t="str">
        <f>IF(B385="",$AC$356,B385*AI385)</f>
        <v>in estimated</v>
      </c>
      <c r="AL385" s="48" t="s">
        <v>244</v>
      </c>
      <c r="AN385" s="48">
        <f>B385*AI385</f>
        <v>0</v>
      </c>
      <c r="AP385" s="143" t="str">
        <f>IF($C385=$D$2981,AP$356,"")</f>
        <v/>
      </c>
      <c r="AQ385" s="144" t="str">
        <f>IF($C385=$D$2982,AQ$356,"")</f>
        <v/>
      </c>
      <c r="AR385" s="145" t="str">
        <f>IF($C385=$D$2983,AR$356,"")</f>
        <v/>
      </c>
      <c r="AS385" s="146" t="str">
        <f>IF($C385=$D$2984,AS$356,"")</f>
        <v/>
      </c>
      <c r="AT385" s="147" t="str">
        <f>IF($C385=$D$2985,AT$356,"")</f>
        <v/>
      </c>
      <c r="AU385" s="148">
        <f>MAX(AP385:AS385)</f>
        <v>0</v>
      </c>
      <c r="AV385" s="142"/>
      <c r="AX385" s="101">
        <f>IF(AK385=$AC$356,0,AK385)</f>
        <v>0</v>
      </c>
      <c r="BB385" s="48"/>
      <c r="BG385" s="149">
        <f>BG381*0.95</f>
        <v>0</v>
      </c>
      <c r="BH385" s="149">
        <f>BH381*0.95</f>
        <v>0</v>
      </c>
      <c r="BI385" s="149">
        <f>BI381*0.95</f>
        <v>0</v>
      </c>
      <c r="BJ385" s="149">
        <f>BJ381*0.95</f>
        <v>0</v>
      </c>
    </row>
    <row r="386" spans="1:62" ht="13" customHeight="1" thickTop="1" x14ac:dyDescent="0.3">
      <c r="A386" s="106"/>
      <c r="B386" s="106"/>
      <c r="C386" s="106"/>
      <c r="D386" s="106"/>
      <c r="E386" s="121"/>
      <c r="F386" s="1"/>
    </row>
    <row r="387" spans="1:62" ht="20" customHeight="1" x14ac:dyDescent="0.3">
      <c r="A387" s="103">
        <f>A377+1</f>
        <v>4</v>
      </c>
      <c r="B387" s="103" t="s">
        <v>248</v>
      </c>
      <c r="C387" s="103"/>
      <c r="D387" s="104">
        <f>IF(AN389&gt;0,AN389,0)</f>
        <v>0</v>
      </c>
      <c r="E387" s="121"/>
      <c r="F387" s="1"/>
    </row>
    <row r="388" spans="1:62" ht="18" customHeight="1" x14ac:dyDescent="0.3">
      <c r="A388" s="103"/>
      <c r="B388" s="965" t="s">
        <v>249</v>
      </c>
      <c r="C388" s="965"/>
      <c r="D388" s="965"/>
      <c r="E388" s="121"/>
      <c r="F388" s="1"/>
      <c r="AC388" s="110">
        <v>1</v>
      </c>
      <c r="AD388" s="111">
        <f>AC388-($AC388/5)</f>
        <v>0.8</v>
      </c>
      <c r="AE388" s="112">
        <f>AD388-($AC388/5)</f>
        <v>0.60000000000000009</v>
      </c>
      <c r="AF388" s="113">
        <f>AE388-($AC388/5)</f>
        <v>0.40000000000000008</v>
      </c>
      <c r="AG388" s="114">
        <f>AF388-($AC388/5)</f>
        <v>0.20000000000000007</v>
      </c>
      <c r="AP388" s="109"/>
      <c r="AQ388" s="109"/>
      <c r="AR388" s="109"/>
      <c r="AS388" s="109"/>
      <c r="AT388" s="109"/>
      <c r="AU388" s="109"/>
      <c r="AV388" s="109"/>
      <c r="AW388" s="109"/>
      <c r="AX388" s="109"/>
      <c r="AY388" s="109"/>
      <c r="AZ388" s="109"/>
      <c r="BA388" s="109"/>
      <c r="BB388" s="116" t="s">
        <v>234</v>
      </c>
      <c r="BD388" s="116" t="s">
        <v>235</v>
      </c>
      <c r="BE388" s="109"/>
      <c r="BF388" s="109"/>
      <c r="BG388" s="117" t="s">
        <v>236</v>
      </c>
      <c r="BH388" s="118"/>
      <c r="BI388" s="119" t="s">
        <v>237</v>
      </c>
      <c r="BJ388" s="120"/>
    </row>
    <row r="389" spans="1:62" ht="14.5" x14ac:dyDescent="0.35">
      <c r="A389" s="106"/>
      <c r="B389" s="966"/>
      <c r="C389" s="966"/>
      <c r="D389" s="966"/>
      <c r="E389" s="121"/>
      <c r="F389" s="1"/>
      <c r="AC389" s="101">
        <f>IF($B389=AC$2981,AC388,0)</f>
        <v>0</v>
      </c>
      <c r="AD389" s="101">
        <f>IF($B389=AD$2981,AD388,0)</f>
        <v>0</v>
      </c>
      <c r="AE389" s="101">
        <f>IF($B389=AE$2981,AE388,0)</f>
        <v>0</v>
      </c>
      <c r="AF389" s="101">
        <f>IF($B389=AF$2981,AF388,0)</f>
        <v>0</v>
      </c>
      <c r="AG389" s="101">
        <f>IF($B389=AG$2981,AG388,0)</f>
        <v>0</v>
      </c>
      <c r="AH389" s="101">
        <f>IF($B389=AH$2981,AH388,0)</f>
        <v>0</v>
      </c>
      <c r="AI389" s="151">
        <f>SUM(AC389:AH389)</f>
        <v>0</v>
      </c>
      <c r="AK389" s="967" t="str">
        <f>IF(AI389&gt;0,AI389,"")</f>
        <v/>
      </c>
      <c r="AL389" s="968"/>
      <c r="AN389" s="969">
        <f>(AI389/$AN$356)/2</f>
        <v>0</v>
      </c>
      <c r="AO389" s="970"/>
      <c r="BB389" s="116" t="s">
        <v>239</v>
      </c>
      <c r="BD389" s="116" t="s">
        <v>239</v>
      </c>
      <c r="BG389" s="117" t="s">
        <v>240</v>
      </c>
      <c r="BH389" s="123">
        <f>BH379</f>
        <v>0.1</v>
      </c>
      <c r="BI389" s="119" t="s">
        <v>240</v>
      </c>
      <c r="BJ389" s="124">
        <f>1-BH389</f>
        <v>0.9</v>
      </c>
    </row>
    <row r="390" spans="1:62" ht="14.5" x14ac:dyDescent="0.3">
      <c r="A390" s="106"/>
      <c r="B390" s="971"/>
      <c r="C390" s="971"/>
      <c r="D390" s="971"/>
      <c r="E390" s="121"/>
      <c r="F390" s="1"/>
      <c r="BB390" s="157">
        <f>$AC$1712</f>
        <v>10</v>
      </c>
      <c r="BD390" s="157">
        <f>$AC$1713</f>
        <v>25</v>
      </c>
      <c r="BG390" s="125" t="str">
        <f>BB388</f>
        <v>low</v>
      </c>
      <c r="BH390" s="125" t="str">
        <f>BD388</f>
        <v>high</v>
      </c>
      <c r="BI390" s="125" t="str">
        <f>BB388</f>
        <v>low</v>
      </c>
      <c r="BJ390" s="125" t="str">
        <f>BD388</f>
        <v>high</v>
      </c>
    </row>
    <row r="391" spans="1:62" ht="14.5" thickBot="1" x14ac:dyDescent="0.35">
      <c r="A391" s="106"/>
      <c r="B391" s="107" t="str">
        <f>IF(B389="","","Add any relevant info in box below to help us help you with your interrogation transcripts.")</f>
        <v/>
      </c>
      <c r="C391" s="152"/>
      <c r="D391" s="152"/>
      <c r="E391" s="121"/>
      <c r="F391" s="1"/>
      <c r="BB391" s="157">
        <f>IF(AK395=$AC$356,0,(BB390*AK395))</f>
        <v>0</v>
      </c>
      <c r="BD391" s="157">
        <f>IF(AK395=$AC$356,0,(BD390*AK395))</f>
        <v>0</v>
      </c>
      <c r="BG391" s="157">
        <f>BB391*BH389</f>
        <v>0</v>
      </c>
      <c r="BH391" s="157">
        <f>BD391*BH389</f>
        <v>0</v>
      </c>
      <c r="BI391" s="157">
        <f>BB391*BJ389</f>
        <v>0</v>
      </c>
      <c r="BJ391" s="157">
        <f>BD391*BJ389</f>
        <v>0</v>
      </c>
    </row>
    <row r="392" spans="1:62" ht="85" customHeight="1" thickTop="1" thickBot="1" x14ac:dyDescent="0.35">
      <c r="A392" s="106"/>
      <c r="B392" s="972"/>
      <c r="C392" s="973"/>
      <c r="D392" s="974"/>
      <c r="E392" s="136"/>
      <c r="F392" s="1"/>
      <c r="BJ392" s="126">
        <f>MIN(BJ391,($D$1486*10))</f>
        <v>0</v>
      </c>
    </row>
    <row r="393" spans="1:62" ht="16.5" thickTop="1" thickBot="1" x14ac:dyDescent="0.35">
      <c r="A393" s="106"/>
      <c r="B393" s="127" t="str">
        <f>IF(B389="","","SUPPORTER REVIEW: Prepare for Independent Verifier")</f>
        <v/>
      </c>
      <c r="C393" s="106"/>
      <c r="D393" s="106"/>
      <c r="E393" s="136"/>
      <c r="F393" s="1"/>
      <c r="BJ393" s="128"/>
    </row>
    <row r="394" spans="1:62" ht="14.5" thickTop="1" x14ac:dyDescent="0.3">
      <c r="A394" s="106"/>
      <c r="B394" s="129" t="str">
        <f>IF(B389="","","How many pages?")</f>
        <v/>
      </c>
      <c r="C394" s="130" t="str">
        <f>IF(AJ395&gt;30,"check if URL works, report from list below","")</f>
        <v/>
      </c>
      <c r="D394" s="131" t="str">
        <f>IF(B389="","","Estimated time to verify")</f>
        <v/>
      </c>
      <c r="E394" s="106"/>
      <c r="F394" s="1"/>
      <c r="AP394" s="48" t="s">
        <v>242</v>
      </c>
      <c r="AT394" s="132" t="str">
        <f>IF(AND(AJ395&gt;30,B395&gt;0),"ready","not ready")</f>
        <v>not ready</v>
      </c>
      <c r="AU394" s="132"/>
      <c r="AV394" s="132"/>
      <c r="BB394" s="48"/>
      <c r="BF394" s="102">
        <f>BF384</f>
        <v>0.05</v>
      </c>
      <c r="BG394" s="157">
        <f>BG391*$BF394</f>
        <v>0</v>
      </c>
      <c r="BH394" s="157">
        <f>BH391*$BF394</f>
        <v>0</v>
      </c>
      <c r="BI394" s="157">
        <f>BI391*$BF394</f>
        <v>0</v>
      </c>
      <c r="BJ394" s="157">
        <f>BJ391*$BF394</f>
        <v>0</v>
      </c>
    </row>
    <row r="395" spans="1:62" ht="14.5" thickBot="1" x14ac:dyDescent="0.35">
      <c r="A395" s="106"/>
      <c r="B395" s="150"/>
      <c r="C395" s="134"/>
      <c r="D395" s="135" t="str">
        <f>IF(B394="","",CONCATENATE(AK395,AL395))</f>
        <v/>
      </c>
      <c r="E395" s="106"/>
      <c r="F395" s="1"/>
      <c r="AD395" s="137">
        <f>IF(B389=B$2981,G$2981,AC394)</f>
        <v>0</v>
      </c>
      <c r="AE395" s="138">
        <f>IF(B389=B$2982,G$2982,AD394)</f>
        <v>0</v>
      </c>
      <c r="AF395" s="139">
        <f>IF(B389=B$2983,G$2983,AE394)</f>
        <v>0</v>
      </c>
      <c r="AG395" s="140">
        <f>IF(B389=B$2984,G$2984,AF394)</f>
        <v>0</v>
      </c>
      <c r="AH395" s="7"/>
      <c r="AI395" s="141">
        <f>MAX(AD395:AG395)</f>
        <v>0</v>
      </c>
      <c r="AJ395" s="48">
        <f>LEN(B389)</f>
        <v>0</v>
      </c>
      <c r="AK395" s="142" t="str">
        <f>IF(B395="",$AC$356,B395*AI395)</f>
        <v>in estimated</v>
      </c>
      <c r="AL395" s="48" t="s">
        <v>244</v>
      </c>
      <c r="AN395" s="48">
        <f>B395*AI395</f>
        <v>0</v>
      </c>
      <c r="AP395" s="143" t="str">
        <f>IF($C395=$D$2981,AP$356,"")</f>
        <v/>
      </c>
      <c r="AQ395" s="144" t="str">
        <f>IF($C395=$D$2982,AQ$356,"")</f>
        <v/>
      </c>
      <c r="AR395" s="145" t="str">
        <f>IF($C395=$D$2983,AR$356,"")</f>
        <v/>
      </c>
      <c r="AS395" s="146" t="str">
        <f>IF($C395=$D$2984,AS$356,"")</f>
        <v/>
      </c>
      <c r="AT395" s="147" t="str">
        <f>IF($C395=$D$2985,AT$356,"")</f>
        <v/>
      </c>
      <c r="AU395" s="148">
        <f>MAX(AP395:AS395)</f>
        <v>0</v>
      </c>
      <c r="AV395" s="142"/>
      <c r="AX395" s="101">
        <f>IF(AK395=$AC$356,0,AK395)</f>
        <v>0</v>
      </c>
      <c r="BB395" s="48"/>
      <c r="BG395" s="149">
        <f>BG391*0.95</f>
        <v>0</v>
      </c>
      <c r="BH395" s="149">
        <f>BH391*0.95</f>
        <v>0</v>
      </c>
      <c r="BI395" s="149">
        <f>BI391*0.95</f>
        <v>0</v>
      </c>
      <c r="BJ395" s="149">
        <f>BJ391*0.95</f>
        <v>0</v>
      </c>
    </row>
    <row r="396" spans="1:62" ht="14.5" thickTop="1" x14ac:dyDescent="0.3">
      <c r="A396" s="106"/>
      <c r="B396" s="106"/>
      <c r="C396" s="106"/>
      <c r="D396" s="106"/>
      <c r="E396" s="106"/>
      <c r="F396" s="1"/>
    </row>
    <row r="397" spans="1:62" ht="20" customHeight="1" x14ac:dyDescent="0.3">
      <c r="A397" s="103">
        <f>A387+1</f>
        <v>5</v>
      </c>
      <c r="B397" s="103" t="s">
        <v>250</v>
      </c>
      <c r="C397" s="103"/>
      <c r="D397" s="104">
        <f>IF(AN399&gt;0,AN399,0)</f>
        <v>0</v>
      </c>
      <c r="E397" s="121"/>
      <c r="F397" s="1"/>
    </row>
    <row r="398" spans="1:62" ht="18" customHeight="1" x14ac:dyDescent="0.3">
      <c r="A398" s="103"/>
      <c r="B398" s="153" t="s">
        <v>3802</v>
      </c>
      <c r="C398" s="153"/>
      <c r="D398" s="153"/>
      <c r="E398" s="121"/>
      <c r="F398" s="1"/>
      <c r="AC398" s="110">
        <v>1</v>
      </c>
      <c r="AD398" s="111">
        <f>AC398-($AC398/5)</f>
        <v>0.8</v>
      </c>
      <c r="AE398" s="112">
        <f>AD398-($AC398/5)</f>
        <v>0.60000000000000009</v>
      </c>
      <c r="AF398" s="113">
        <f>AE398-($AC398/5)</f>
        <v>0.40000000000000008</v>
      </c>
      <c r="AG398" s="114">
        <f>AF398-($AC398/5)</f>
        <v>0.20000000000000007</v>
      </c>
      <c r="AH398" s="115">
        <f>AG398-($AC398/5)</f>
        <v>0</v>
      </c>
      <c r="AI398" s="109"/>
      <c r="AP398" s="109"/>
      <c r="AQ398" s="109"/>
      <c r="AR398" s="109"/>
      <c r="AS398" s="109"/>
      <c r="AT398" s="109"/>
      <c r="AU398" s="109"/>
      <c r="AV398" s="109"/>
      <c r="AW398" s="109"/>
      <c r="AX398" s="109"/>
      <c r="AY398" s="109"/>
      <c r="AZ398" s="109"/>
      <c r="BA398" s="109"/>
      <c r="BB398" s="116" t="s">
        <v>234</v>
      </c>
      <c r="BD398" s="116" t="s">
        <v>235</v>
      </c>
      <c r="BE398" s="109"/>
      <c r="BF398" s="109"/>
      <c r="BG398" s="117" t="s">
        <v>236</v>
      </c>
      <c r="BH398" s="118"/>
      <c r="BI398" s="119" t="s">
        <v>237</v>
      </c>
      <c r="BJ398" s="120"/>
    </row>
    <row r="399" spans="1:62" ht="14.5" x14ac:dyDescent="0.35">
      <c r="A399" s="106"/>
      <c r="B399" s="966"/>
      <c r="C399" s="966"/>
      <c r="D399" s="966"/>
      <c r="E399" s="121"/>
      <c r="F399" s="1"/>
      <c r="AC399" s="101">
        <f>IF($B399=AC$2981,AC398,0)</f>
        <v>0</v>
      </c>
      <c r="AD399" s="101">
        <f>IF($B399=AD$2981,AD398,0)</f>
        <v>0</v>
      </c>
      <c r="AE399" s="101">
        <f>IF($B399=AE$2981,AE398,0)</f>
        <v>0</v>
      </c>
      <c r="AF399" s="101">
        <f>IF($B399=AF$2981,AF398,0)</f>
        <v>0</v>
      </c>
      <c r="AG399" s="101">
        <f>IF($B399=AG$2981,AG398,0)</f>
        <v>0</v>
      </c>
      <c r="AH399" s="101">
        <f>IF($B399=AH$2981,AH398,0)</f>
        <v>0</v>
      </c>
      <c r="AI399" s="151">
        <f>SUM(AC399:AH399)</f>
        <v>0</v>
      </c>
      <c r="AK399" s="967" t="str">
        <f>IF(AI399&gt;0,AI399,"")</f>
        <v/>
      </c>
      <c r="AL399" s="968"/>
      <c r="AN399" s="969">
        <f>(AI399/$AN$356)/2</f>
        <v>0</v>
      </c>
      <c r="AO399" s="970"/>
      <c r="BB399" s="116" t="s">
        <v>239</v>
      </c>
      <c r="BD399" s="116" t="s">
        <v>239</v>
      </c>
      <c r="BG399" s="117" t="s">
        <v>240</v>
      </c>
      <c r="BH399" s="123">
        <f>BH389</f>
        <v>0.1</v>
      </c>
      <c r="BI399" s="119" t="s">
        <v>240</v>
      </c>
      <c r="BJ399" s="124">
        <f>1-BH399</f>
        <v>0.9</v>
      </c>
    </row>
    <row r="400" spans="1:62" ht="14.5" x14ac:dyDescent="0.3">
      <c r="A400" s="106"/>
      <c r="B400" s="971"/>
      <c r="C400" s="971"/>
      <c r="D400" s="971"/>
      <c r="E400" s="121"/>
      <c r="F400" s="1"/>
      <c r="BB400" s="157">
        <f>$AC$1712</f>
        <v>10</v>
      </c>
      <c r="BD400" s="157">
        <f>$AC$1713</f>
        <v>25</v>
      </c>
      <c r="BG400" s="125" t="str">
        <f>BB398</f>
        <v>low</v>
      </c>
      <c r="BH400" s="125" t="str">
        <f>BD398</f>
        <v>high</v>
      </c>
      <c r="BI400" s="125" t="str">
        <f>BB398</f>
        <v>low</v>
      </c>
      <c r="BJ400" s="125" t="str">
        <f>BD398</f>
        <v>high</v>
      </c>
    </row>
    <row r="401" spans="1:62" ht="14.5" thickBot="1" x14ac:dyDescent="0.35">
      <c r="A401" s="106"/>
      <c r="B401" s="107" t="str">
        <f>IF(B399="","","Add any relevant info in box below to help us help you with your new trial motion documents.")</f>
        <v/>
      </c>
      <c r="C401" s="152"/>
      <c r="D401" s="152"/>
      <c r="E401" s="121"/>
      <c r="F401" s="1"/>
      <c r="BB401" s="157">
        <f>IF(AK405=$AC$356,0,(BB400*AK405))</f>
        <v>0</v>
      </c>
      <c r="BD401" s="157">
        <f>IF(AK405=$AC$356,0,(BD400*AK405))</f>
        <v>0</v>
      </c>
      <c r="BG401" s="157">
        <f>BB401*BH399</f>
        <v>0</v>
      </c>
      <c r="BH401" s="157">
        <f>BD401*BH399</f>
        <v>0</v>
      </c>
      <c r="BI401" s="157">
        <f>BB401*BJ399</f>
        <v>0</v>
      </c>
      <c r="BJ401" s="157">
        <f>BD401*BJ399</f>
        <v>0</v>
      </c>
    </row>
    <row r="402" spans="1:62" ht="85" customHeight="1" thickTop="1" thickBot="1" x14ac:dyDescent="0.35">
      <c r="A402" s="106"/>
      <c r="B402" s="972"/>
      <c r="C402" s="973"/>
      <c r="D402" s="974"/>
      <c r="E402" s="121"/>
      <c r="F402" s="1"/>
      <c r="BJ402" s="126">
        <f>MIN(BJ401,($D$1486*10))</f>
        <v>0</v>
      </c>
    </row>
    <row r="403" spans="1:62" ht="16.5" thickTop="1" thickBot="1" x14ac:dyDescent="0.35">
      <c r="A403" s="106"/>
      <c r="B403" s="127" t="str">
        <f>IF(B399="","","SUPPORTER REVIEW: Prepare for Independent Verifier")</f>
        <v/>
      </c>
      <c r="C403" s="106"/>
      <c r="D403" s="106"/>
      <c r="E403" s="121"/>
      <c r="F403" s="1"/>
      <c r="BJ403" s="128"/>
    </row>
    <row r="404" spans="1:62" ht="14.5" thickTop="1" x14ac:dyDescent="0.3">
      <c r="A404" s="106"/>
      <c r="B404" s="129" t="str">
        <f>IF(B399="","","How many pages?")</f>
        <v/>
      </c>
      <c r="C404" s="130" t="str">
        <f>IF(AJ405&gt;30,"check if URL works, report from list below","")</f>
        <v/>
      </c>
      <c r="D404" s="131" t="str">
        <f>IF(B399="","","Estimated time to verify")</f>
        <v/>
      </c>
      <c r="E404" s="121"/>
      <c r="F404" s="1"/>
      <c r="AP404" s="48" t="s">
        <v>242</v>
      </c>
      <c r="AT404" s="132" t="str">
        <f>IF(AND(AJ405&gt;30,B405&gt;0),"ready","not ready")</f>
        <v>not ready</v>
      </c>
      <c r="AU404" s="132"/>
      <c r="AV404" s="132"/>
      <c r="BB404" s="48"/>
      <c r="BF404" s="102">
        <f>BF394</f>
        <v>0.05</v>
      </c>
      <c r="BG404" s="157">
        <f>BG401*$BF404</f>
        <v>0</v>
      </c>
      <c r="BH404" s="157">
        <f>BH401*$BF404</f>
        <v>0</v>
      </c>
      <c r="BI404" s="157">
        <f>BI401*$BF404</f>
        <v>0</v>
      </c>
      <c r="BJ404" s="157">
        <f>BJ401*$BF404</f>
        <v>0</v>
      </c>
    </row>
    <row r="405" spans="1:62" ht="14.5" thickBot="1" x14ac:dyDescent="0.35">
      <c r="A405" s="106"/>
      <c r="B405" s="150"/>
      <c r="C405" s="134"/>
      <c r="D405" s="135" t="str">
        <f>IF(B404="","",CONCATENATE(AK405,AL405))</f>
        <v/>
      </c>
      <c r="E405" s="121"/>
      <c r="F405" s="1"/>
      <c r="AD405" s="137">
        <f>IF(B399=B$2981,G$2981,AC404)</f>
        <v>0</v>
      </c>
      <c r="AE405" s="138">
        <f>IF(B399=B$2982,G$2982,AD404)</f>
        <v>0</v>
      </c>
      <c r="AF405" s="139">
        <f>IF(B399=B$2983,G$2983,AE404)</f>
        <v>0</v>
      </c>
      <c r="AG405" s="140">
        <f>IF(B399=B$2984,G$2984,AF404)</f>
        <v>0</v>
      </c>
      <c r="AH405" s="7"/>
      <c r="AI405" s="141">
        <f>MAX(AD405:AG405)</f>
        <v>0</v>
      </c>
      <c r="AJ405" s="48">
        <f>LEN(B399)</f>
        <v>0</v>
      </c>
      <c r="AK405" s="142" t="str">
        <f>IF(B405="",$AC$356,B405*AI405)</f>
        <v>in estimated</v>
      </c>
      <c r="AL405" s="48" t="s">
        <v>244</v>
      </c>
      <c r="AN405" s="48">
        <f>B405*AI405</f>
        <v>0</v>
      </c>
      <c r="AP405" s="143" t="str">
        <f>IF($C405=$D$2981,AP$356,"")</f>
        <v/>
      </c>
      <c r="AQ405" s="144" t="str">
        <f>IF($C405=$D$2982,AQ$356,"")</f>
        <v/>
      </c>
      <c r="AR405" s="145" t="str">
        <f>IF($C405=$D$2983,AR$356,"")</f>
        <v/>
      </c>
      <c r="AS405" s="146" t="str">
        <f>IF($C405=$D$2984,AS$356,"")</f>
        <v/>
      </c>
      <c r="AT405" s="147" t="str">
        <f>IF($C405=$D$2985,AT$356,"")</f>
        <v/>
      </c>
      <c r="AU405" s="148">
        <f>MAX(AP405:AS405)</f>
        <v>0</v>
      </c>
      <c r="AV405" s="142"/>
      <c r="AX405" s="101">
        <f>IF(AK405=$AC$356,0,AK405)</f>
        <v>0</v>
      </c>
      <c r="BB405" s="48"/>
      <c r="BG405" s="149">
        <f>BG401*0.95</f>
        <v>0</v>
      </c>
      <c r="BH405" s="149">
        <f>BH401*0.95</f>
        <v>0</v>
      </c>
      <c r="BI405" s="149">
        <f>BI401*0.95</f>
        <v>0</v>
      </c>
      <c r="BJ405" s="149">
        <f>BJ401*0.95</f>
        <v>0</v>
      </c>
    </row>
    <row r="406" spans="1:62" ht="14.5" thickTop="1" x14ac:dyDescent="0.3">
      <c r="A406" s="106"/>
      <c r="B406" s="106"/>
      <c r="C406" s="106"/>
      <c r="D406" s="106"/>
      <c r="E406" s="121"/>
      <c r="F406" s="1"/>
    </row>
    <row r="407" spans="1:62" ht="20" customHeight="1" x14ac:dyDescent="0.3">
      <c r="A407" s="103">
        <f>A397+1</f>
        <v>6</v>
      </c>
      <c r="B407" s="103" t="s">
        <v>252</v>
      </c>
      <c r="C407" s="103"/>
      <c r="D407" s="104">
        <f>IF(AN409&gt;0,AN409,0)</f>
        <v>0</v>
      </c>
      <c r="E407" s="121"/>
      <c r="F407" s="1"/>
    </row>
    <row r="408" spans="1:62" ht="18" customHeight="1" x14ac:dyDescent="0.3">
      <c r="A408" s="103"/>
      <c r="B408" s="965" t="s">
        <v>3808</v>
      </c>
      <c r="C408" s="965"/>
      <c r="D408" s="965"/>
      <c r="E408" s="121"/>
      <c r="F408" s="1"/>
      <c r="AC408" s="110">
        <v>1</v>
      </c>
      <c r="AD408" s="111">
        <f>AC408-($AC408/5)</f>
        <v>0.8</v>
      </c>
      <c r="AE408" s="112">
        <f>AD408-($AC408/5)</f>
        <v>0.60000000000000009</v>
      </c>
      <c r="AF408" s="113">
        <f>AE408-($AC408/5)</f>
        <v>0.40000000000000008</v>
      </c>
      <c r="AG408" s="114">
        <f>AF408-($AC408/5)</f>
        <v>0.20000000000000007</v>
      </c>
      <c r="AH408" s="115">
        <f>AG408-($AC408/5)</f>
        <v>0</v>
      </c>
      <c r="AI408" s="109"/>
      <c r="AP408" s="109"/>
      <c r="AQ408" s="109"/>
      <c r="AR408" s="109"/>
      <c r="AS408" s="109"/>
      <c r="AT408" s="109"/>
      <c r="AU408" s="109"/>
      <c r="AV408" s="109"/>
      <c r="AW408" s="109"/>
      <c r="AX408" s="109"/>
      <c r="AY408" s="109"/>
      <c r="AZ408" s="109"/>
      <c r="BA408" s="109"/>
      <c r="BB408" s="116" t="s">
        <v>234</v>
      </c>
      <c r="BD408" s="116" t="s">
        <v>235</v>
      </c>
      <c r="BE408" s="109"/>
      <c r="BF408" s="109"/>
      <c r="BG408" s="117" t="s">
        <v>236</v>
      </c>
      <c r="BH408" s="118"/>
      <c r="BI408" s="119" t="s">
        <v>237</v>
      </c>
      <c r="BJ408" s="120"/>
    </row>
    <row r="409" spans="1:62" ht="14.5" x14ac:dyDescent="0.35">
      <c r="A409" s="106"/>
      <c r="B409" s="966"/>
      <c r="C409" s="966"/>
      <c r="D409" s="966"/>
      <c r="E409" s="121"/>
      <c r="F409" s="1"/>
      <c r="AC409" s="101">
        <f>IF($B409=AC$2981,AC408,0)</f>
        <v>0</v>
      </c>
      <c r="AD409" s="101">
        <f>IF($B409=AD$2981,AD408,0)</f>
        <v>0</v>
      </c>
      <c r="AE409" s="101">
        <f>IF($B409=AE$2981,AE408,0)</f>
        <v>0</v>
      </c>
      <c r="AF409" s="101">
        <f>IF($B409=AF$2981,AF408,0)</f>
        <v>0</v>
      </c>
      <c r="AG409" s="101">
        <f>IF($B409=AG$2981,AG408,0)</f>
        <v>0</v>
      </c>
      <c r="AH409" s="101">
        <f>IF($B409=AH$2981,AH408,0)</f>
        <v>0</v>
      </c>
      <c r="AI409" s="151">
        <f>SUM(AC409:AH409)</f>
        <v>0</v>
      </c>
      <c r="AK409" s="967" t="str">
        <f>IF(AI409&gt;0,AI409,"")</f>
        <v/>
      </c>
      <c r="AL409" s="968"/>
      <c r="AN409" s="969">
        <f>(AI409/$AN$356)/2</f>
        <v>0</v>
      </c>
      <c r="AO409" s="970"/>
      <c r="BB409" s="116" t="s">
        <v>239</v>
      </c>
      <c r="BD409" s="116" t="s">
        <v>239</v>
      </c>
      <c r="BG409" s="117" t="s">
        <v>240</v>
      </c>
      <c r="BH409" s="123">
        <f>BH399</f>
        <v>0.1</v>
      </c>
      <c r="BI409" s="119" t="s">
        <v>240</v>
      </c>
      <c r="BJ409" s="124">
        <f>1-BH409</f>
        <v>0.9</v>
      </c>
    </row>
    <row r="410" spans="1:62" ht="14.5" x14ac:dyDescent="0.3">
      <c r="A410" s="106"/>
      <c r="B410" s="971"/>
      <c r="C410" s="971"/>
      <c r="D410" s="971"/>
      <c r="E410" s="121"/>
      <c r="F410" s="1"/>
      <c r="BB410" s="157">
        <f>$AC$1712</f>
        <v>10</v>
      </c>
      <c r="BD410" s="157">
        <f>$AC$1713</f>
        <v>25</v>
      </c>
      <c r="BG410" s="125" t="str">
        <f>BB408</f>
        <v>low</v>
      </c>
      <c r="BH410" s="125" t="str">
        <f>BD408</f>
        <v>high</v>
      </c>
      <c r="BI410" s="125" t="str">
        <f>BB408</f>
        <v>low</v>
      </c>
      <c r="BJ410" s="125" t="str">
        <f>BD408</f>
        <v>high</v>
      </c>
    </row>
    <row r="411" spans="1:62" ht="14.5" thickBot="1" x14ac:dyDescent="0.35">
      <c r="A411" s="106"/>
      <c r="B411" s="152" t="str">
        <f>IF(B389="","","Add any relevant info in box below to help us help you with your PIR.")</f>
        <v/>
      </c>
      <c r="C411" s="152"/>
      <c r="D411" s="152"/>
      <c r="E411" s="121"/>
      <c r="F411" s="1"/>
      <c r="BB411" s="157">
        <f>IF(AK415=$AC$356,0,(BB410*AK415))</f>
        <v>0</v>
      </c>
      <c r="BD411" s="157">
        <f>IF(AK415=$AC$356,0,(BD410*AK415))</f>
        <v>0</v>
      </c>
      <c r="BG411" s="157">
        <f>BB411*BH409</f>
        <v>0</v>
      </c>
      <c r="BH411" s="157">
        <f>BD411*BH409</f>
        <v>0</v>
      </c>
      <c r="BI411" s="157">
        <f>BB411*BJ409</f>
        <v>0</v>
      </c>
      <c r="BJ411" s="157">
        <f>BD411*BJ409</f>
        <v>0</v>
      </c>
    </row>
    <row r="412" spans="1:62" ht="85" customHeight="1" thickTop="1" thickBot="1" x14ac:dyDescent="0.35">
      <c r="A412" s="106"/>
      <c r="B412" s="972"/>
      <c r="C412" s="973"/>
      <c r="D412" s="974"/>
      <c r="E412" s="121"/>
      <c r="F412" s="1"/>
      <c r="BJ412" s="126">
        <f>MIN(BJ411,($D$1486*10))</f>
        <v>0</v>
      </c>
    </row>
    <row r="413" spans="1:62" ht="16.5" thickTop="1" thickBot="1" x14ac:dyDescent="0.35">
      <c r="A413" s="106"/>
      <c r="B413" s="127" t="str">
        <f>IF(B409="","","SUPPORTER REVIEW: Prepare for Independent Verifier")</f>
        <v/>
      </c>
      <c r="C413" s="106"/>
      <c r="D413" s="106"/>
      <c r="E413" s="121"/>
      <c r="F413" s="1"/>
      <c r="BJ413" s="128"/>
    </row>
    <row r="414" spans="1:62" ht="14.5" thickTop="1" x14ac:dyDescent="0.3">
      <c r="A414" s="106"/>
      <c r="B414" s="129" t="str">
        <f>IF(B409="","","How many pages?")</f>
        <v/>
      </c>
      <c r="C414" s="130" t="str">
        <f>IF(AJ415&gt;30,"check if URL works, report from list below","")</f>
        <v/>
      </c>
      <c r="D414" s="131" t="str">
        <f>IF(B409="","","Estimated time to verify")</f>
        <v/>
      </c>
      <c r="E414" s="121"/>
      <c r="F414" s="1"/>
      <c r="AP414" s="48" t="s">
        <v>242</v>
      </c>
      <c r="AT414" s="132" t="str">
        <f>IF(AND(AJ415&gt;30,B415&gt;0),"ready","not ready")</f>
        <v>not ready</v>
      </c>
      <c r="AU414" s="132"/>
      <c r="AV414" s="132"/>
      <c r="BB414" s="48"/>
      <c r="BF414" s="102">
        <f>BF404</f>
        <v>0.05</v>
      </c>
      <c r="BG414" s="157">
        <f>BG411*$BF414</f>
        <v>0</v>
      </c>
      <c r="BH414" s="157">
        <f>BH411*$BF414</f>
        <v>0</v>
      </c>
      <c r="BI414" s="157">
        <f>BI411*$BF414</f>
        <v>0</v>
      </c>
      <c r="BJ414" s="157">
        <f>BJ411*$BF414</f>
        <v>0</v>
      </c>
    </row>
    <row r="415" spans="1:62" ht="14.5" thickBot="1" x14ac:dyDescent="0.35">
      <c r="A415" s="106"/>
      <c r="B415" s="150"/>
      <c r="C415" s="134"/>
      <c r="D415" s="135" t="str">
        <f>IF(B414="","",CONCATENATE(AK415,AL415))</f>
        <v/>
      </c>
      <c r="E415" s="121"/>
      <c r="F415" s="1"/>
      <c r="AD415" s="137">
        <f>IF(B409=B$2981,G$2981,AC414)</f>
        <v>0</v>
      </c>
      <c r="AE415" s="138">
        <f>IF(B409=B$2982,G$2982,AD414)</f>
        <v>0</v>
      </c>
      <c r="AF415" s="139">
        <f>IF(B409=B$2983,G$2983,AE414)</f>
        <v>0</v>
      </c>
      <c r="AG415" s="140">
        <f>IF(B409=B$2984,G$2984,AF414)</f>
        <v>0</v>
      </c>
      <c r="AH415" s="7"/>
      <c r="AI415" s="141">
        <f>MAX(AD415:AG415)</f>
        <v>0</v>
      </c>
      <c r="AJ415" s="48">
        <f>LEN(B409)</f>
        <v>0</v>
      </c>
      <c r="AK415" s="142" t="str">
        <f>IF(B415="",$AC$356,B415*AI415)</f>
        <v>in estimated</v>
      </c>
      <c r="AL415" s="48" t="s">
        <v>244</v>
      </c>
      <c r="AN415" s="48">
        <f>B415*AI415</f>
        <v>0</v>
      </c>
      <c r="AP415" s="143" t="str">
        <f>IF($C415=$D$2981,AP$356,"")</f>
        <v/>
      </c>
      <c r="AQ415" s="144" t="str">
        <f>IF($C415=$D$2982,AQ$356,"")</f>
        <v/>
      </c>
      <c r="AR415" s="145" t="str">
        <f>IF($C415=$D$2983,AR$356,"")</f>
        <v/>
      </c>
      <c r="AS415" s="146" t="str">
        <f>IF($C415=$D$2984,AS$356,"")</f>
        <v/>
      </c>
      <c r="AT415" s="147" t="str">
        <f>IF($C415=$D$2985,AT$356,"")</f>
        <v/>
      </c>
      <c r="AU415" s="148">
        <f>MAX(AP415:AS415)</f>
        <v>0</v>
      </c>
      <c r="AV415" s="142"/>
      <c r="AX415" s="101">
        <f>IF(AK415=$AC$356,0,AK415)</f>
        <v>0</v>
      </c>
      <c r="BB415" s="48"/>
      <c r="BG415" s="149">
        <f>BG411*0.95</f>
        <v>0</v>
      </c>
      <c r="BH415" s="149">
        <f>BH411*0.95</f>
        <v>0</v>
      </c>
      <c r="BI415" s="149">
        <f>BI411*0.95</f>
        <v>0</v>
      </c>
      <c r="BJ415" s="149">
        <f>BJ411*0.95</f>
        <v>0</v>
      </c>
    </row>
    <row r="416" spans="1:62" ht="13" customHeight="1" thickTop="1" x14ac:dyDescent="0.3">
      <c r="A416" s="106"/>
      <c r="B416" s="106"/>
      <c r="C416" s="106"/>
      <c r="D416" s="106"/>
      <c r="E416" s="121"/>
      <c r="F416" s="1"/>
    </row>
    <row r="417" spans="1:62" ht="20" customHeight="1" x14ac:dyDescent="0.3">
      <c r="A417" s="103">
        <f>A407+1</f>
        <v>7</v>
      </c>
      <c r="B417" s="103" t="s">
        <v>254</v>
      </c>
      <c r="C417" s="103"/>
      <c r="D417" s="104">
        <f>IF(AN419&gt;0,AN419,0)</f>
        <v>0</v>
      </c>
      <c r="E417" s="121"/>
      <c r="F417" s="1"/>
    </row>
    <row r="418" spans="1:62" ht="18" customHeight="1" x14ac:dyDescent="0.3">
      <c r="A418" s="103"/>
      <c r="B418" s="965" t="s">
        <v>3809</v>
      </c>
      <c r="C418" s="965"/>
      <c r="D418" s="965"/>
      <c r="E418" s="121"/>
      <c r="F418" s="1"/>
      <c r="AC418" s="110">
        <v>1</v>
      </c>
      <c r="AD418" s="111">
        <f>AC418-($AC418/5)</f>
        <v>0.8</v>
      </c>
      <c r="AE418" s="112">
        <f>AD418-($AC418/5)</f>
        <v>0.60000000000000009</v>
      </c>
      <c r="AF418" s="113">
        <f>AE418-($AC418/5)</f>
        <v>0.40000000000000008</v>
      </c>
      <c r="AG418" s="114">
        <f>AF418-($AC418/5)</f>
        <v>0.20000000000000007</v>
      </c>
      <c r="AH418" s="115">
        <f>AG418-($AC418/5)</f>
        <v>0</v>
      </c>
      <c r="AI418" s="109"/>
      <c r="AP418" s="109"/>
      <c r="AQ418" s="109"/>
      <c r="AR418" s="109"/>
      <c r="AS418" s="109"/>
      <c r="AT418" s="109"/>
      <c r="AU418" s="109"/>
      <c r="AV418" s="109"/>
      <c r="AW418" s="109"/>
      <c r="AX418" s="109"/>
      <c r="AY418" s="109"/>
      <c r="AZ418" s="109"/>
      <c r="BA418" s="109"/>
      <c r="BB418" s="116" t="s">
        <v>234</v>
      </c>
      <c r="BD418" s="116" t="s">
        <v>235</v>
      </c>
      <c r="BE418" s="109"/>
      <c r="BF418" s="109"/>
      <c r="BG418" s="117" t="s">
        <v>236</v>
      </c>
      <c r="BH418" s="118"/>
      <c r="BI418" s="119" t="s">
        <v>237</v>
      </c>
      <c r="BJ418" s="120"/>
    </row>
    <row r="419" spans="1:62" ht="14.5" x14ac:dyDescent="0.35">
      <c r="A419" s="106"/>
      <c r="B419" s="966"/>
      <c r="C419" s="966"/>
      <c r="D419" s="966"/>
      <c r="E419" s="121"/>
      <c r="F419" s="1"/>
      <c r="AC419" s="101">
        <f>IF($B419=AC$2981,AC418,0)</f>
        <v>0</v>
      </c>
      <c r="AD419" s="101">
        <f>IF($B419=AD$2981,AD418,0)</f>
        <v>0</v>
      </c>
      <c r="AE419" s="101">
        <f>IF($B419=AE$2981,AE418,0)</f>
        <v>0</v>
      </c>
      <c r="AF419" s="101">
        <f>IF($B419=AF$2981,AF418,0)</f>
        <v>0</v>
      </c>
      <c r="AG419" s="101">
        <f>IF($B419=AG$2981,AG418,0)</f>
        <v>0</v>
      </c>
      <c r="AH419" s="101">
        <f>IF($B419=AH$2981,AH418,0)</f>
        <v>0</v>
      </c>
      <c r="AI419" s="151">
        <f>SUM(AC419:AH419)</f>
        <v>0</v>
      </c>
      <c r="AK419" s="967" t="str">
        <f>IF(AI419&gt;0,AI419,"")</f>
        <v/>
      </c>
      <c r="AL419" s="968"/>
      <c r="AN419" s="969">
        <f>(AI419/$AN$356)/2</f>
        <v>0</v>
      </c>
      <c r="AO419" s="970"/>
      <c r="BB419" s="116" t="s">
        <v>239</v>
      </c>
      <c r="BD419" s="116" t="s">
        <v>239</v>
      </c>
      <c r="BG419" s="117" t="s">
        <v>240</v>
      </c>
      <c r="BH419" s="123">
        <f>BH409</f>
        <v>0.1</v>
      </c>
      <c r="BI419" s="119" t="s">
        <v>240</v>
      </c>
      <c r="BJ419" s="124">
        <f>1-BH419</f>
        <v>0.9</v>
      </c>
    </row>
    <row r="420" spans="1:62" ht="14.5" x14ac:dyDescent="0.3">
      <c r="A420" s="106"/>
      <c r="B420" s="971"/>
      <c r="C420" s="971"/>
      <c r="D420" s="971"/>
      <c r="E420" s="121"/>
      <c r="F420" s="1"/>
      <c r="BB420" s="157">
        <f>$AC$1712</f>
        <v>10</v>
      </c>
      <c r="BD420" s="157">
        <f>$AC$1713</f>
        <v>25</v>
      </c>
      <c r="BG420" s="125" t="str">
        <f>BB418</f>
        <v>low</v>
      </c>
      <c r="BH420" s="125" t="str">
        <f>BD418</f>
        <v>high</v>
      </c>
      <c r="BI420" s="125" t="str">
        <f>BB418</f>
        <v>low</v>
      </c>
      <c r="BJ420" s="125" t="str">
        <f>BD418</f>
        <v>high</v>
      </c>
    </row>
    <row r="421" spans="1:62" ht="14.5" thickBot="1" x14ac:dyDescent="0.35">
      <c r="A421" s="106"/>
      <c r="B421" s="152" t="str">
        <f>IF(B399="","","Add any relevant info in box below to help us help you with your appeal documents.")</f>
        <v/>
      </c>
      <c r="C421" s="152"/>
      <c r="D421" s="152"/>
      <c r="E421" s="121"/>
      <c r="F421" s="1"/>
      <c r="BB421" s="157">
        <f>IF(AK425=$AC$356,0,(BB420*AK425))</f>
        <v>0</v>
      </c>
      <c r="BD421" s="157">
        <f>IF(AK425=$AC$356,0,(BD420*AK425))</f>
        <v>0</v>
      </c>
      <c r="BG421" s="157">
        <f>BB421*BH419</f>
        <v>0</v>
      </c>
      <c r="BH421" s="157">
        <f>BD421*BH419</f>
        <v>0</v>
      </c>
      <c r="BI421" s="157">
        <f>BB421*BJ419</f>
        <v>0</v>
      </c>
      <c r="BJ421" s="157">
        <f>BD421*BJ419</f>
        <v>0</v>
      </c>
    </row>
    <row r="422" spans="1:62" ht="85" customHeight="1" thickTop="1" thickBot="1" x14ac:dyDescent="0.35">
      <c r="A422" s="106"/>
      <c r="B422" s="972"/>
      <c r="C422" s="973"/>
      <c r="D422" s="974"/>
      <c r="E422" s="121"/>
      <c r="F422" s="1"/>
      <c r="BJ422" s="126">
        <f>MIN(BJ421,($D$1486*10))</f>
        <v>0</v>
      </c>
    </row>
    <row r="423" spans="1:62" ht="16.5" thickTop="1" thickBot="1" x14ac:dyDescent="0.35">
      <c r="A423" s="106"/>
      <c r="B423" s="127" t="str">
        <f>IF(B419="","","SUPPORTER REVIEW: Prepare for Independent Verifier")</f>
        <v/>
      </c>
      <c r="C423" s="106"/>
      <c r="D423" s="106"/>
      <c r="E423" s="121"/>
      <c r="F423" s="1"/>
      <c r="BJ423" s="128"/>
    </row>
    <row r="424" spans="1:62" ht="14.5" thickTop="1" x14ac:dyDescent="0.3">
      <c r="A424" s="106"/>
      <c r="B424" s="129" t="str">
        <f>IF(B419="","","How many pages?")</f>
        <v/>
      </c>
      <c r="C424" s="130" t="str">
        <f>IF(AJ425&gt;30,"check if URL works, report from list below","")</f>
        <v/>
      </c>
      <c r="D424" s="131" t="str">
        <f>IF(B419="","","Estimated time to verify")</f>
        <v/>
      </c>
      <c r="E424" s="121"/>
      <c r="F424" s="1"/>
      <c r="AP424" s="48" t="s">
        <v>242</v>
      </c>
      <c r="AT424" s="132" t="str">
        <f>IF(AND(AJ425&gt;30,B425&gt;0),"ready","not ready")</f>
        <v>not ready</v>
      </c>
      <c r="AU424" s="132"/>
      <c r="AV424" s="132"/>
      <c r="BB424" s="48"/>
      <c r="BF424" s="102">
        <f>BF414</f>
        <v>0.05</v>
      </c>
      <c r="BG424" s="157">
        <f>BG421*$BF424</f>
        <v>0</v>
      </c>
      <c r="BH424" s="157">
        <f>BH421*$BF424</f>
        <v>0</v>
      </c>
      <c r="BI424" s="157">
        <f>BI421*$BF424</f>
        <v>0</v>
      </c>
      <c r="BJ424" s="157">
        <f>BJ421*$BF424</f>
        <v>0</v>
      </c>
    </row>
    <row r="425" spans="1:62" ht="14.5" thickBot="1" x14ac:dyDescent="0.35">
      <c r="A425" s="106"/>
      <c r="B425" s="150"/>
      <c r="C425" s="134"/>
      <c r="D425" s="135" t="str">
        <f>IF(B424="","",CONCATENATE(AK425,AL425))</f>
        <v/>
      </c>
      <c r="E425" s="121"/>
      <c r="F425" s="1"/>
      <c r="AD425" s="137">
        <f>IF(B419=B$2981,G$2981,AC424)</f>
        <v>0</v>
      </c>
      <c r="AE425" s="138">
        <f>IF(B419=B$2982,G$2982,AD424)</f>
        <v>0</v>
      </c>
      <c r="AF425" s="139">
        <f>IF(B419=B$2983,G$2983,AE424)</f>
        <v>0</v>
      </c>
      <c r="AG425" s="140">
        <f>IF(B419=B$2984,G$2984,AF424)</f>
        <v>0</v>
      </c>
      <c r="AH425" s="7"/>
      <c r="AI425" s="141">
        <f>MAX(AD425:AG425)</f>
        <v>0</v>
      </c>
      <c r="AJ425" s="48">
        <f>LEN(B419)</f>
        <v>0</v>
      </c>
      <c r="AK425" s="142" t="str">
        <f>IF(B425="",$AC$356,B425*AI425)</f>
        <v>in estimated</v>
      </c>
      <c r="AL425" s="48" t="s">
        <v>244</v>
      </c>
      <c r="AN425" s="48">
        <f>B425*AI425</f>
        <v>0</v>
      </c>
      <c r="AP425" s="143" t="str">
        <f>IF($C425=$D$2981,AP$356,"")</f>
        <v/>
      </c>
      <c r="AQ425" s="144" t="str">
        <f>IF($C425=$D$2982,AQ$356,"")</f>
        <v/>
      </c>
      <c r="AR425" s="145" t="str">
        <f>IF($C425=$D$2983,AR$356,"")</f>
        <v/>
      </c>
      <c r="AS425" s="146" t="str">
        <f>IF($C425=$D$2984,AS$356,"")</f>
        <v/>
      </c>
      <c r="AT425" s="147" t="str">
        <f>IF($C425=$D$2985,AT$356,"")</f>
        <v/>
      </c>
      <c r="AU425" s="148">
        <f>MAX(AP425:AS425)</f>
        <v>0</v>
      </c>
      <c r="AV425" s="142"/>
      <c r="AX425" s="101">
        <f>IF(AK425=$AC$356,0,AK425)</f>
        <v>0</v>
      </c>
      <c r="BB425" s="48"/>
      <c r="BG425" s="149">
        <f>BG421*0.95</f>
        <v>0</v>
      </c>
      <c r="BH425" s="149">
        <f>BH421*0.95</f>
        <v>0</v>
      </c>
      <c r="BI425" s="149">
        <f>BI421*0.95</f>
        <v>0</v>
      </c>
      <c r="BJ425" s="149">
        <f>BJ421*0.95</f>
        <v>0</v>
      </c>
    </row>
    <row r="426" spans="1:62" ht="14.5" thickTop="1" x14ac:dyDescent="0.3">
      <c r="A426" s="106"/>
      <c r="B426" s="106"/>
      <c r="C426" s="106"/>
      <c r="D426" s="106"/>
      <c r="E426" s="121"/>
      <c r="F426" s="1"/>
    </row>
    <row r="427" spans="1:62" ht="20" customHeight="1" x14ac:dyDescent="0.3">
      <c r="A427" s="103">
        <f>A417+1</f>
        <v>8</v>
      </c>
      <c r="B427" s="103" t="s">
        <v>256</v>
      </c>
      <c r="C427" s="103"/>
      <c r="D427" s="104">
        <f>IF(AN429&gt;0,AN429,0)</f>
        <v>0</v>
      </c>
      <c r="E427" s="121"/>
      <c r="F427" s="1"/>
    </row>
    <row r="428" spans="1:62" ht="18" customHeight="1" x14ac:dyDescent="0.3">
      <c r="A428" s="103"/>
      <c r="B428" s="965" t="s">
        <v>3810</v>
      </c>
      <c r="C428" s="965"/>
      <c r="D428" s="965"/>
      <c r="E428" s="121"/>
      <c r="F428" s="1"/>
      <c r="AC428" s="110">
        <v>1</v>
      </c>
      <c r="AD428" s="111">
        <f>AC428-($AC428/5)</f>
        <v>0.8</v>
      </c>
      <c r="AE428" s="112">
        <f>AD428-($AC428/5)</f>
        <v>0.60000000000000009</v>
      </c>
      <c r="AF428" s="113">
        <f>AE428-($AC428/5)</f>
        <v>0.40000000000000008</v>
      </c>
      <c r="AG428" s="114">
        <f>AF428-($AC428/5)</f>
        <v>0.20000000000000007</v>
      </c>
      <c r="AH428" s="115">
        <f>AG428-($AC428/5)</f>
        <v>0</v>
      </c>
      <c r="AI428" s="109"/>
      <c r="AP428" s="109"/>
      <c r="AQ428" s="109"/>
      <c r="AR428" s="109"/>
      <c r="AS428" s="109"/>
      <c r="AT428" s="109"/>
      <c r="AU428" s="109"/>
      <c r="AV428" s="109"/>
      <c r="AW428" s="109"/>
      <c r="AX428" s="109"/>
      <c r="AY428" s="109"/>
      <c r="AZ428" s="109"/>
      <c r="BA428" s="109"/>
      <c r="BB428" s="116" t="s">
        <v>234</v>
      </c>
      <c r="BD428" s="116" t="s">
        <v>235</v>
      </c>
      <c r="BE428" s="109"/>
      <c r="BF428" s="109"/>
      <c r="BG428" s="117" t="s">
        <v>236</v>
      </c>
      <c r="BH428" s="118"/>
      <c r="BI428" s="119" t="s">
        <v>237</v>
      </c>
      <c r="BJ428" s="120"/>
    </row>
    <row r="429" spans="1:62" ht="14.5" x14ac:dyDescent="0.35">
      <c r="A429" s="106"/>
      <c r="B429" s="966"/>
      <c r="C429" s="966"/>
      <c r="D429" s="966"/>
      <c r="E429" s="121"/>
      <c r="F429" s="1"/>
      <c r="AC429" s="101">
        <f>IF($B429=AC$2981,AC428,0)</f>
        <v>0</v>
      </c>
      <c r="AD429" s="101">
        <f>IF($B429=AD$2981,AD428,0)</f>
        <v>0</v>
      </c>
      <c r="AE429" s="101">
        <f>IF($B429=AE$2981,AE428,0)</f>
        <v>0</v>
      </c>
      <c r="AF429" s="101">
        <f>IF($B429=AF$2981,AF428,0)</f>
        <v>0</v>
      </c>
      <c r="AG429" s="101">
        <f>IF($B429=AG$2981,AG428,0)</f>
        <v>0</v>
      </c>
      <c r="AH429" s="101">
        <f>IF($B429=AH$2981,AH428,0)</f>
        <v>0</v>
      </c>
      <c r="AI429" s="151">
        <f>SUM(AC429:AH429)</f>
        <v>0</v>
      </c>
      <c r="AK429" s="967" t="str">
        <f>IF(AI429&gt;0,AI429,"")</f>
        <v/>
      </c>
      <c r="AL429" s="968"/>
      <c r="AN429" s="969">
        <f>(AI429/$AN$356)/2</f>
        <v>0</v>
      </c>
      <c r="AO429" s="970"/>
      <c r="BB429" s="116" t="s">
        <v>239</v>
      </c>
      <c r="BD429" s="116" t="s">
        <v>239</v>
      </c>
      <c r="BG429" s="117" t="s">
        <v>240</v>
      </c>
      <c r="BH429" s="123">
        <f>BH419</f>
        <v>0.1</v>
      </c>
      <c r="BI429" s="119" t="s">
        <v>240</v>
      </c>
      <c r="BJ429" s="124">
        <f>1-BH429</f>
        <v>0.9</v>
      </c>
    </row>
    <row r="430" spans="1:62" ht="14.5" x14ac:dyDescent="0.3">
      <c r="A430" s="106"/>
      <c r="B430" s="971"/>
      <c r="C430" s="971"/>
      <c r="D430" s="971"/>
      <c r="E430" s="121"/>
      <c r="F430" s="1"/>
      <c r="BB430" s="157">
        <f>$AC$1712</f>
        <v>10</v>
      </c>
      <c r="BD430" s="157">
        <f>$AC$1713</f>
        <v>25</v>
      </c>
      <c r="BG430" s="125" t="str">
        <f>BB428</f>
        <v>low</v>
      </c>
      <c r="BH430" s="125" t="str">
        <f>BD428</f>
        <v>high</v>
      </c>
      <c r="BI430" s="125" t="str">
        <f>BB428</f>
        <v>low</v>
      </c>
      <c r="BJ430" s="125" t="str">
        <f>BD428</f>
        <v>high</v>
      </c>
    </row>
    <row r="431" spans="1:62" ht="14.5" thickBot="1" x14ac:dyDescent="0.35">
      <c r="A431" s="106"/>
      <c r="B431" s="152" t="str">
        <f>IF(B399="","","Add any relevant info in box below to help us help you with the appellate opinion document.")</f>
        <v/>
      </c>
      <c r="C431" s="152"/>
      <c r="D431" s="152"/>
      <c r="E431" s="121"/>
      <c r="F431" s="1"/>
      <c r="BB431" s="157">
        <f>IF(AK435=$AC$356,0,(BB430*AK435))</f>
        <v>0</v>
      </c>
      <c r="BD431" s="157">
        <f>IF(AK435=$AC$356,0,(BD430*AK435))</f>
        <v>0</v>
      </c>
      <c r="BG431" s="157">
        <f>BB431*BH429</f>
        <v>0</v>
      </c>
      <c r="BH431" s="157">
        <f>BD431*BH429</f>
        <v>0</v>
      </c>
      <c r="BI431" s="157">
        <f>BB431*BJ429</f>
        <v>0</v>
      </c>
      <c r="BJ431" s="157">
        <f>BD431*BJ429</f>
        <v>0</v>
      </c>
    </row>
    <row r="432" spans="1:62" ht="85" customHeight="1" thickTop="1" thickBot="1" x14ac:dyDescent="0.35">
      <c r="A432" s="106"/>
      <c r="B432" s="972"/>
      <c r="C432" s="973"/>
      <c r="D432" s="974"/>
      <c r="E432" s="121"/>
      <c r="F432" s="1"/>
      <c r="BJ432" s="126">
        <f>MIN(BJ431,($D$1486*10))</f>
        <v>0</v>
      </c>
    </row>
    <row r="433" spans="1:62" ht="16.5" thickTop="1" thickBot="1" x14ac:dyDescent="0.35">
      <c r="A433" s="106"/>
      <c r="B433" s="127" t="str">
        <f>IF(B429="","","SUPPORTER REVIEW: Prepare for Independent Verifier")</f>
        <v/>
      </c>
      <c r="C433" s="106"/>
      <c r="D433" s="106"/>
      <c r="E433" s="121"/>
      <c r="F433" s="1"/>
      <c r="BJ433" s="128"/>
    </row>
    <row r="434" spans="1:62" ht="14.5" thickTop="1" x14ac:dyDescent="0.3">
      <c r="A434" s="106"/>
      <c r="B434" s="129" t="str">
        <f>IF(B429="","","How many pages?")</f>
        <v/>
      </c>
      <c r="C434" s="130" t="str">
        <f>IF(AJ435&gt;30,"check if URL works, report from list below","")</f>
        <v/>
      </c>
      <c r="D434" s="131" t="str">
        <f>IF(B429="","","Estimated time to verify")</f>
        <v/>
      </c>
      <c r="E434" s="121"/>
      <c r="F434" s="1"/>
      <c r="AP434" s="48" t="s">
        <v>242</v>
      </c>
      <c r="AT434" s="132" t="str">
        <f>IF(AND(AJ435&gt;30,B435&gt;0),"ready","not ready")</f>
        <v>not ready</v>
      </c>
      <c r="AU434" s="132"/>
      <c r="AV434" s="132"/>
      <c r="BB434" s="48"/>
      <c r="BF434" s="102">
        <f>BF424</f>
        <v>0.05</v>
      </c>
      <c r="BG434" s="157">
        <f>BG431*$BF434</f>
        <v>0</v>
      </c>
      <c r="BH434" s="157">
        <f>BH431*$BF434</f>
        <v>0</v>
      </c>
      <c r="BI434" s="157">
        <f>BI431*$BF434</f>
        <v>0</v>
      </c>
      <c r="BJ434" s="157">
        <f>BJ431*$BF434</f>
        <v>0</v>
      </c>
    </row>
    <row r="435" spans="1:62" ht="14.5" thickBot="1" x14ac:dyDescent="0.35">
      <c r="A435" s="106"/>
      <c r="B435" s="150"/>
      <c r="C435" s="134"/>
      <c r="D435" s="135" t="str">
        <f>IF(B434="","",CONCATENATE(AK435,AL435))</f>
        <v/>
      </c>
      <c r="E435" s="121"/>
      <c r="F435" s="1"/>
      <c r="AD435" s="137">
        <f>IF(B429=B$2981,G$2981,AC434)</f>
        <v>0</v>
      </c>
      <c r="AE435" s="138">
        <f>IF(B429=B$2982,G$2982,AD434)</f>
        <v>0</v>
      </c>
      <c r="AF435" s="139">
        <f>IF(B429=B$2983,G$2983,AE434)</f>
        <v>0</v>
      </c>
      <c r="AG435" s="140">
        <f>IF(B429=B$2984,G$2984,AF434)</f>
        <v>0</v>
      </c>
      <c r="AH435" s="7"/>
      <c r="AI435" s="141">
        <f>MAX(AD435:AG435)</f>
        <v>0</v>
      </c>
      <c r="AJ435" s="48">
        <f>LEN(B429)</f>
        <v>0</v>
      </c>
      <c r="AK435" s="142" t="str">
        <f>IF(B435="",$AC$356,B435*AI435)</f>
        <v>in estimated</v>
      </c>
      <c r="AL435" s="48" t="s">
        <v>244</v>
      </c>
      <c r="AN435" s="48">
        <f>B435*AI435</f>
        <v>0</v>
      </c>
      <c r="AP435" s="143" t="str">
        <f>IF($C435=$D$2981,AP$356,"")</f>
        <v/>
      </c>
      <c r="AQ435" s="144" t="str">
        <f>IF($C435=$D$2982,AQ$356,"")</f>
        <v/>
      </c>
      <c r="AR435" s="145" t="str">
        <f>IF($C435=$D$2983,AR$356,"")</f>
        <v/>
      </c>
      <c r="AS435" s="146" t="str">
        <f>IF($C435=$D$2984,AS$356,"")</f>
        <v/>
      </c>
      <c r="AT435" s="147" t="str">
        <f>IF($C435=$D$2985,AT$356,"")</f>
        <v/>
      </c>
      <c r="AU435" s="148">
        <f>MAX(AP435:AS435)</f>
        <v>0</v>
      </c>
      <c r="AV435" s="142"/>
      <c r="AX435" s="101">
        <f>IF(AK435=$AC$356,0,AK435)</f>
        <v>0</v>
      </c>
      <c r="BB435" s="48"/>
      <c r="BG435" s="149">
        <f>BG431*0.95</f>
        <v>0</v>
      </c>
      <c r="BH435" s="149">
        <f>BH431*0.95</f>
        <v>0</v>
      </c>
      <c r="BI435" s="149">
        <f>BI431*0.95</f>
        <v>0</v>
      </c>
      <c r="BJ435" s="149">
        <f>BJ431*0.95</f>
        <v>0</v>
      </c>
    </row>
    <row r="436" spans="1:62" ht="14.5" thickTop="1" x14ac:dyDescent="0.3">
      <c r="A436" s="106"/>
      <c r="B436" s="106"/>
      <c r="C436" s="106"/>
      <c r="D436" s="106"/>
      <c r="E436" s="121"/>
      <c r="F436" s="1"/>
    </row>
    <row r="437" spans="1:62" ht="20" customHeight="1" x14ac:dyDescent="0.3">
      <c r="A437" s="103">
        <f>A427+1</f>
        <v>9</v>
      </c>
      <c r="B437" s="103" t="s">
        <v>258</v>
      </c>
      <c r="C437" s="103"/>
      <c r="D437" s="104">
        <f>IF(AN439&gt;0,AN439,0)</f>
        <v>0</v>
      </c>
      <c r="E437" s="121"/>
      <c r="F437" s="1"/>
    </row>
    <row r="438" spans="1:62" ht="18" customHeight="1" x14ac:dyDescent="0.3">
      <c r="A438" s="103"/>
      <c r="B438" s="965" t="s">
        <v>3811</v>
      </c>
      <c r="C438" s="965"/>
      <c r="D438" s="965"/>
      <c r="E438" s="121"/>
      <c r="F438" s="1"/>
      <c r="AC438" s="110">
        <v>1</v>
      </c>
      <c r="AD438" s="111">
        <f>AC438-($AC438/5)</f>
        <v>0.8</v>
      </c>
      <c r="AE438" s="112">
        <f>AD438-($AC438/5)</f>
        <v>0.60000000000000009</v>
      </c>
      <c r="AF438" s="113">
        <f>AE438-($AC438/5)</f>
        <v>0.40000000000000008</v>
      </c>
      <c r="AG438" s="114">
        <f>AF438-($AC438/5)</f>
        <v>0.20000000000000007</v>
      </c>
      <c r="AH438" s="115">
        <f>AG438-($AC438/5)</f>
        <v>0</v>
      </c>
      <c r="AI438" s="109"/>
      <c r="AP438" s="109"/>
      <c r="AQ438" s="109"/>
      <c r="AR438" s="109"/>
      <c r="AS438" s="109"/>
      <c r="AT438" s="109"/>
      <c r="AU438" s="109"/>
      <c r="AV438" s="109"/>
      <c r="AW438" s="109"/>
      <c r="AX438" s="109"/>
      <c r="AY438" s="109"/>
      <c r="AZ438" s="109"/>
      <c r="BA438" s="109"/>
      <c r="BB438" s="116" t="s">
        <v>234</v>
      </c>
      <c r="BD438" s="116" t="s">
        <v>235</v>
      </c>
      <c r="BE438" s="109"/>
      <c r="BF438" s="109"/>
      <c r="BG438" s="117" t="s">
        <v>236</v>
      </c>
      <c r="BH438" s="118"/>
      <c r="BI438" s="119" t="s">
        <v>237</v>
      </c>
      <c r="BJ438" s="120"/>
    </row>
    <row r="439" spans="1:62" ht="14.5" x14ac:dyDescent="0.35">
      <c r="A439" s="106"/>
      <c r="B439" s="966"/>
      <c r="C439" s="966"/>
      <c r="D439" s="966"/>
      <c r="E439" s="121"/>
      <c r="F439" s="1"/>
      <c r="AC439" s="101">
        <f>IF($B439=AC$2981,AC438,0)</f>
        <v>0</v>
      </c>
      <c r="AD439" s="101">
        <f>IF($B439=AD$2981,AD438,0)</f>
        <v>0</v>
      </c>
      <c r="AE439" s="101">
        <f>IF($B439=AE$2981,AE438,0)</f>
        <v>0</v>
      </c>
      <c r="AF439" s="101">
        <f>IF($B439=AF$2981,AF438,0)</f>
        <v>0</v>
      </c>
      <c r="AG439" s="101">
        <f>IF($B439=AG$2981,AG438,0)</f>
        <v>0</v>
      </c>
      <c r="AH439" s="101">
        <f>IF($B439=AH$2981,AH438,0)</f>
        <v>0</v>
      </c>
      <c r="AI439" s="151">
        <f>SUM(AC439:AH439)</f>
        <v>0</v>
      </c>
      <c r="AK439" s="967" t="str">
        <f>IF(AI439&gt;0,AI439,"")</f>
        <v/>
      </c>
      <c r="AL439" s="968"/>
      <c r="AN439" s="969">
        <f>(AI439/$AN$356)/2</f>
        <v>0</v>
      </c>
      <c r="AO439" s="970"/>
      <c r="BB439" s="116" t="s">
        <v>239</v>
      </c>
      <c r="BD439" s="116" t="s">
        <v>239</v>
      </c>
      <c r="BG439" s="117" t="s">
        <v>240</v>
      </c>
      <c r="BH439" s="123">
        <f>BH429</f>
        <v>0.1</v>
      </c>
      <c r="BI439" s="119" t="s">
        <v>240</v>
      </c>
      <c r="BJ439" s="124">
        <f>1-BH439</f>
        <v>0.9</v>
      </c>
    </row>
    <row r="440" spans="1:62" ht="14.5" x14ac:dyDescent="0.3">
      <c r="A440" s="106"/>
      <c r="B440" s="971"/>
      <c r="C440" s="971"/>
      <c r="D440" s="971"/>
      <c r="E440" s="121"/>
      <c r="F440" s="1"/>
      <c r="BB440" s="157">
        <f>$AC$1712</f>
        <v>10</v>
      </c>
      <c r="BD440" s="157">
        <f>$AC$1713</f>
        <v>25</v>
      </c>
      <c r="BG440" s="125" t="str">
        <f>BB438</f>
        <v>low</v>
      </c>
      <c r="BH440" s="125" t="str">
        <f>BD438</f>
        <v>high</v>
      </c>
      <c r="BI440" s="125" t="str">
        <f>BB438</f>
        <v>low</v>
      </c>
      <c r="BJ440" s="125" t="str">
        <f>BD438</f>
        <v>high</v>
      </c>
    </row>
    <row r="441" spans="1:62" ht="14.5" thickBot="1" x14ac:dyDescent="0.35">
      <c r="A441" s="106"/>
      <c r="B441" s="152" t="str">
        <f>IF(B399="","","Add any relevant info in box below to help us help you with your other remedy documents.")</f>
        <v/>
      </c>
      <c r="C441" s="152"/>
      <c r="D441" s="152"/>
      <c r="E441" s="121"/>
      <c r="F441" s="1"/>
      <c r="BB441" s="157">
        <f>IF(AK445=$AC$356,0,(BB440*AK445))</f>
        <v>0</v>
      </c>
      <c r="BD441" s="157">
        <f>IF(AK445=$AC$356,0,(BD440*AK445))</f>
        <v>0</v>
      </c>
      <c r="BG441" s="157">
        <f>BB441*BH439</f>
        <v>0</v>
      </c>
      <c r="BH441" s="157">
        <f>BD441*BH439</f>
        <v>0</v>
      </c>
      <c r="BI441" s="157">
        <f>BB441*BJ439</f>
        <v>0</v>
      </c>
      <c r="BJ441" s="157">
        <f>BD441*BJ439</f>
        <v>0</v>
      </c>
    </row>
    <row r="442" spans="1:62" ht="85" customHeight="1" thickTop="1" thickBot="1" x14ac:dyDescent="0.35">
      <c r="A442" s="106"/>
      <c r="B442" s="972"/>
      <c r="C442" s="973"/>
      <c r="D442" s="974"/>
      <c r="E442" s="121"/>
      <c r="F442" s="1"/>
      <c r="BJ442" s="126">
        <f>MIN(BJ441,($D$1486*10))</f>
        <v>0</v>
      </c>
    </row>
    <row r="443" spans="1:62" ht="16.5" thickTop="1" thickBot="1" x14ac:dyDescent="0.35">
      <c r="A443" s="106"/>
      <c r="B443" s="127" t="str">
        <f>IF(B439="","","SUPPORTER REVIEW: Prepare for Independent Verifier")</f>
        <v/>
      </c>
      <c r="C443" s="106"/>
      <c r="D443" s="106"/>
      <c r="E443" s="121"/>
      <c r="F443" s="1"/>
      <c r="BJ443" s="128"/>
    </row>
    <row r="444" spans="1:62" ht="14.5" thickTop="1" x14ac:dyDescent="0.3">
      <c r="A444" s="106"/>
      <c r="B444" s="129" t="str">
        <f>IF(B439="","","How many pages?")</f>
        <v/>
      </c>
      <c r="C444" s="130" t="str">
        <f>IF(AJ445&gt;30,"check if URL works, report from list below","")</f>
        <v/>
      </c>
      <c r="D444" s="131" t="str">
        <f>IF(B439="","","Estimated time to verify")</f>
        <v/>
      </c>
      <c r="E444" s="121"/>
      <c r="F444" s="1"/>
      <c r="AP444" s="48" t="s">
        <v>242</v>
      </c>
      <c r="AT444" s="132" t="str">
        <f>IF(AND(AJ445&gt;30,B445&gt;0),"ready","not ready")</f>
        <v>not ready</v>
      </c>
      <c r="AU444" s="132"/>
      <c r="AV444" s="132"/>
      <c r="BB444" s="48"/>
      <c r="BF444" s="102">
        <f>BF434</f>
        <v>0.05</v>
      </c>
      <c r="BG444" s="157">
        <f>BG441*$BF444</f>
        <v>0</v>
      </c>
      <c r="BH444" s="157">
        <f>BH441*$BF444</f>
        <v>0</v>
      </c>
      <c r="BI444" s="157">
        <f>BI441*$BF444</f>
        <v>0</v>
      </c>
      <c r="BJ444" s="157">
        <f>BJ441*$BF444</f>
        <v>0</v>
      </c>
    </row>
    <row r="445" spans="1:62" ht="14.5" thickBot="1" x14ac:dyDescent="0.35">
      <c r="A445" s="106"/>
      <c r="B445" s="150"/>
      <c r="C445" s="134"/>
      <c r="D445" s="135" t="str">
        <f>IF(B444="","",CONCATENATE(AK445,AL445))</f>
        <v/>
      </c>
      <c r="E445" s="121"/>
      <c r="F445" s="1"/>
      <c r="AD445" s="137">
        <f>IF(B439=B$2981,G$2981,AC444)</f>
        <v>0</v>
      </c>
      <c r="AE445" s="138">
        <f>IF(B439=B$2982,G$2982,AD444)</f>
        <v>0</v>
      </c>
      <c r="AF445" s="139">
        <f>IF(B439=B$2983,G$2983,AE444)</f>
        <v>0</v>
      </c>
      <c r="AG445" s="140">
        <f>IF(B439=B$2984,G$2984,AF444)</f>
        <v>0</v>
      </c>
      <c r="AH445" s="7"/>
      <c r="AI445" s="141">
        <f>MAX(AD445:AG445)</f>
        <v>0</v>
      </c>
      <c r="AJ445" s="48">
        <f>LEN(B439)</f>
        <v>0</v>
      </c>
      <c r="AK445" s="142" t="str">
        <f>IF(B445="",$AC$356,B445*AI445)</f>
        <v>in estimated</v>
      </c>
      <c r="AL445" s="48" t="s">
        <v>244</v>
      </c>
      <c r="AN445" s="48">
        <f>B445*AI445</f>
        <v>0</v>
      </c>
      <c r="AP445" s="143" t="str">
        <f>IF($C445=$D$2981,AP$356,"")</f>
        <v/>
      </c>
      <c r="AQ445" s="144" t="str">
        <f>IF($C445=$D$2982,AQ$356,"")</f>
        <v/>
      </c>
      <c r="AR445" s="145" t="str">
        <f>IF($C445=$D$2983,AR$356,"")</f>
        <v/>
      </c>
      <c r="AS445" s="146" t="str">
        <f>IF($C445=$D$2984,AS$356,"")</f>
        <v/>
      </c>
      <c r="AT445" s="147" t="str">
        <f>IF($C445=$D$2985,AT$356,"")</f>
        <v/>
      </c>
      <c r="AU445" s="148">
        <f>MAX(AP445:AS445)</f>
        <v>0</v>
      </c>
      <c r="AV445" s="142"/>
      <c r="AX445" s="101">
        <f>IF(AK445=$AC$356,0,AK445)</f>
        <v>0</v>
      </c>
      <c r="BB445" s="48"/>
      <c r="BG445" s="149">
        <f>BG441*0.95</f>
        <v>0</v>
      </c>
      <c r="BH445" s="149">
        <f>BH441*0.95</f>
        <v>0</v>
      </c>
      <c r="BI445" s="149">
        <f>BI441*0.95</f>
        <v>0</v>
      </c>
      <c r="BJ445" s="149">
        <f>BJ441*0.95</f>
        <v>0</v>
      </c>
    </row>
    <row r="446" spans="1:62" ht="13" customHeight="1" thickTop="1" x14ac:dyDescent="0.3">
      <c r="A446" s="106"/>
      <c r="B446" s="106"/>
      <c r="C446" s="106"/>
      <c r="D446" s="106"/>
      <c r="E446" s="121"/>
      <c r="F446" s="1"/>
    </row>
    <row r="447" spans="1:62" ht="20" customHeight="1" x14ac:dyDescent="0.3">
      <c r="A447" s="103">
        <f>A437+1</f>
        <v>10</v>
      </c>
      <c r="B447" s="103" t="s">
        <v>3634</v>
      </c>
      <c r="C447" s="103"/>
      <c r="D447" s="104">
        <f>IF(AN449&gt;0,AN449,0)</f>
        <v>0</v>
      </c>
      <c r="E447" s="121"/>
      <c r="F447" s="1"/>
    </row>
    <row r="448" spans="1:62" ht="18" customHeight="1" x14ac:dyDescent="0.3">
      <c r="A448" s="103"/>
      <c r="B448" s="965" t="s">
        <v>3812</v>
      </c>
      <c r="C448" s="965"/>
      <c r="D448" s="965"/>
      <c r="E448" s="121"/>
      <c r="F448" s="1"/>
      <c r="AC448" s="110">
        <v>1</v>
      </c>
      <c r="AD448" s="111">
        <f>AC448-($AC448/5)</f>
        <v>0.8</v>
      </c>
      <c r="AE448" s="112">
        <f>AD448-($AC448/5)</f>
        <v>0.60000000000000009</v>
      </c>
      <c r="AF448" s="113">
        <f>AE448-($AC448/5)</f>
        <v>0.40000000000000008</v>
      </c>
      <c r="AG448" s="114">
        <f>AF448-($AC448/5)</f>
        <v>0.20000000000000007</v>
      </c>
      <c r="AH448" s="115">
        <f>AG448-($AC448/5)</f>
        <v>0</v>
      </c>
      <c r="AI448" s="109"/>
      <c r="AP448" s="109"/>
      <c r="AQ448" s="109"/>
      <c r="AR448" s="109"/>
      <c r="AS448" s="109"/>
      <c r="AT448" s="109"/>
      <c r="AU448" s="109"/>
      <c r="AV448" s="109"/>
      <c r="AW448" s="109"/>
      <c r="AX448" s="109"/>
      <c r="AY448" s="109"/>
      <c r="AZ448" s="109"/>
      <c r="BA448" s="109"/>
      <c r="BB448" s="116" t="s">
        <v>234</v>
      </c>
      <c r="BD448" s="116" t="s">
        <v>235</v>
      </c>
      <c r="BE448" s="109"/>
      <c r="BF448" s="109"/>
      <c r="BG448" s="117" t="s">
        <v>236</v>
      </c>
      <c r="BH448" s="118"/>
      <c r="BI448" s="119" t="s">
        <v>237</v>
      </c>
      <c r="BJ448" s="120"/>
    </row>
    <row r="449" spans="1:62" ht="14.5" x14ac:dyDescent="0.35">
      <c r="A449" s="106"/>
      <c r="B449" s="966"/>
      <c r="C449" s="966"/>
      <c r="D449" s="966"/>
      <c r="E449" s="121"/>
      <c r="F449" s="1"/>
      <c r="AC449" s="101">
        <f>IF($B449=AC$2981,AC448,0)</f>
        <v>0</v>
      </c>
      <c r="AD449" s="101">
        <f>IF($B449=AD$2981,AD448,0)</f>
        <v>0</v>
      </c>
      <c r="AE449" s="101">
        <f>IF($B449=AE$2981,AE448,0)</f>
        <v>0</v>
      </c>
      <c r="AF449" s="101">
        <f>IF($B449=AF$2981,AF448,0)</f>
        <v>0</v>
      </c>
      <c r="AG449" s="101">
        <f>IF($B449=AG$2981,AG448,0)</f>
        <v>0</v>
      </c>
      <c r="AH449" s="101">
        <f>IF($B449=AH$2981,AH448,0)</f>
        <v>0</v>
      </c>
      <c r="AI449" s="151">
        <f>SUM(AC449:AH449)</f>
        <v>0</v>
      </c>
      <c r="AK449" s="967" t="str">
        <f>IF(AI449&gt;0,AI449,"")</f>
        <v/>
      </c>
      <c r="AL449" s="968"/>
      <c r="AN449" s="969">
        <f>(AI449/$AN$356)/2</f>
        <v>0</v>
      </c>
      <c r="AO449" s="970"/>
      <c r="BB449" s="116" t="s">
        <v>239</v>
      </c>
      <c r="BD449" s="116" t="s">
        <v>239</v>
      </c>
      <c r="BG449" s="117" t="s">
        <v>240</v>
      </c>
      <c r="BH449" s="123">
        <f>BH439</f>
        <v>0.1</v>
      </c>
      <c r="BI449" s="119" t="s">
        <v>240</v>
      </c>
      <c r="BJ449" s="124">
        <f>1-BH449</f>
        <v>0.9</v>
      </c>
    </row>
    <row r="450" spans="1:62" ht="14.5" x14ac:dyDescent="0.3">
      <c r="A450" s="106"/>
      <c r="B450" s="971"/>
      <c r="C450" s="971"/>
      <c r="D450" s="971"/>
      <c r="E450" s="121"/>
      <c r="F450" s="1"/>
      <c r="BB450" s="157">
        <f>$AC$1712</f>
        <v>10</v>
      </c>
      <c r="BD450" s="157">
        <f>$AC$1713</f>
        <v>25</v>
      </c>
      <c r="BG450" s="125" t="str">
        <f>BB448</f>
        <v>low</v>
      </c>
      <c r="BH450" s="125" t="str">
        <f>BD448</f>
        <v>high</v>
      </c>
      <c r="BI450" s="125" t="str">
        <f>BB448</f>
        <v>low</v>
      </c>
      <c r="BJ450" s="125" t="str">
        <f>BD448</f>
        <v>high</v>
      </c>
    </row>
    <row r="451" spans="1:62" ht="14.5" thickBot="1" x14ac:dyDescent="0.35">
      <c r="A451" s="106"/>
      <c r="B451" s="152" t="str">
        <f>IF(B399="","","Add any relevant info in box below to help us help you with your IP correspondence.")</f>
        <v/>
      </c>
      <c r="C451" s="152"/>
      <c r="D451" s="152"/>
      <c r="E451" s="121"/>
      <c r="F451" s="1"/>
      <c r="BB451" s="157">
        <f>IF(AK455=$AC$356,0,(BB450*AK455))</f>
        <v>0</v>
      </c>
      <c r="BD451" s="157">
        <f>IF(AK455=$AC$356,0,(BD450*AK455))</f>
        <v>0</v>
      </c>
      <c r="BG451" s="157">
        <f>BB451*BH449</f>
        <v>0</v>
      </c>
      <c r="BH451" s="157">
        <f>BD451*BH449</f>
        <v>0</v>
      </c>
      <c r="BI451" s="157">
        <f>BB451*BJ449</f>
        <v>0</v>
      </c>
      <c r="BJ451" s="157">
        <f>BD451*BJ449</f>
        <v>0</v>
      </c>
    </row>
    <row r="452" spans="1:62" ht="85" customHeight="1" thickTop="1" thickBot="1" x14ac:dyDescent="0.35">
      <c r="A452" s="106"/>
      <c r="B452" s="972"/>
      <c r="C452" s="973"/>
      <c r="D452" s="974"/>
      <c r="E452" s="121"/>
      <c r="F452" s="1"/>
      <c r="BJ452" s="126">
        <f>MIN(BJ451,($D$1486*10))</f>
        <v>0</v>
      </c>
    </row>
    <row r="453" spans="1:62" ht="16.5" thickTop="1" thickBot="1" x14ac:dyDescent="0.35">
      <c r="A453" s="106"/>
      <c r="B453" s="127" t="str">
        <f>IF(B449="","","SUPPORTER REVIEW: Prepare for Independent Verifier")</f>
        <v/>
      </c>
      <c r="C453" s="106"/>
      <c r="D453" s="106"/>
      <c r="E453" s="121"/>
      <c r="F453" s="1"/>
      <c r="BJ453" s="128"/>
    </row>
    <row r="454" spans="1:62" ht="14.5" thickTop="1" x14ac:dyDescent="0.3">
      <c r="A454" s="106"/>
      <c r="B454" s="129" t="str">
        <f>IF(B449="","","How many pages?")</f>
        <v/>
      </c>
      <c r="C454" s="130" t="str">
        <f>IF(AJ455&gt;30,"check if URL works, report from list below","")</f>
        <v/>
      </c>
      <c r="D454" s="131" t="str">
        <f>IF(B449="","","Estimated time to verify")</f>
        <v/>
      </c>
      <c r="E454" s="121"/>
      <c r="F454" s="1"/>
      <c r="AP454" s="48" t="s">
        <v>242</v>
      </c>
      <c r="AT454" s="132" t="str">
        <f>IF(AND(AJ455&gt;30,B455&gt;0),"ready","not ready")</f>
        <v>not ready</v>
      </c>
      <c r="AU454" s="132"/>
      <c r="AV454" s="132"/>
      <c r="BB454" s="48"/>
      <c r="BF454" s="102">
        <f>BF444</f>
        <v>0.05</v>
      </c>
      <c r="BG454" s="157">
        <f>BG451*$BF454</f>
        <v>0</v>
      </c>
      <c r="BH454" s="157">
        <f>BH451*$BF454</f>
        <v>0</v>
      </c>
      <c r="BI454" s="157">
        <f>BI451*$BF454</f>
        <v>0</v>
      </c>
      <c r="BJ454" s="157">
        <f>BJ451*$BF454</f>
        <v>0</v>
      </c>
    </row>
    <row r="455" spans="1:62" ht="14.5" thickBot="1" x14ac:dyDescent="0.35">
      <c r="A455" s="106"/>
      <c r="B455" s="150"/>
      <c r="C455" s="134"/>
      <c r="D455" s="135" t="str">
        <f>IF(B454="","",CONCATENATE(AK455,AL455))</f>
        <v/>
      </c>
      <c r="E455" s="121"/>
      <c r="F455" s="1"/>
      <c r="AD455" s="137">
        <f>IF(B449=B$2981,G$2981,AC454)</f>
        <v>0</v>
      </c>
      <c r="AE455" s="138">
        <f>IF(B449=B$2982,G$2982,AD454)</f>
        <v>0</v>
      </c>
      <c r="AF455" s="139">
        <f>IF(B449=B$2983,G$2983,AE454)</f>
        <v>0</v>
      </c>
      <c r="AG455" s="140">
        <f>IF(B449=B$2984,G$2984,AF454)</f>
        <v>0</v>
      </c>
      <c r="AH455" s="7"/>
      <c r="AI455" s="141">
        <f>MAX(AD455:AG455)</f>
        <v>0</v>
      </c>
      <c r="AJ455" s="48">
        <f>LEN(B449)</f>
        <v>0</v>
      </c>
      <c r="AK455" s="142" t="str">
        <f>IF(B455="",$AC$356,B455*AI455)</f>
        <v>in estimated</v>
      </c>
      <c r="AL455" s="48" t="s">
        <v>244</v>
      </c>
      <c r="AN455" s="48">
        <f>B455*AI455</f>
        <v>0</v>
      </c>
      <c r="AP455" s="143" t="str">
        <f>IF($C455=$D$2981,AP$356,"")</f>
        <v/>
      </c>
      <c r="AQ455" s="144" t="str">
        <f>IF($C455=$D$2982,AQ$356,"")</f>
        <v/>
      </c>
      <c r="AR455" s="145" t="str">
        <f>IF($C455=$D$2983,AR$356,"")</f>
        <v/>
      </c>
      <c r="AS455" s="146" t="str">
        <f>IF($C455=$D$2984,AS$356,"")</f>
        <v/>
      </c>
      <c r="AT455" s="147" t="str">
        <f>IF($C455=$D$2985,AT$356,"")</f>
        <v/>
      </c>
      <c r="AU455" s="148">
        <f>MAX(AP455:AS455)</f>
        <v>0</v>
      </c>
      <c r="AV455" s="142"/>
      <c r="AX455" s="101">
        <f>IF(AK455=$AC$356,0,AK455)</f>
        <v>0</v>
      </c>
      <c r="BB455" s="48"/>
      <c r="BG455" s="149">
        <f>BG451*0.95</f>
        <v>0</v>
      </c>
      <c r="BH455" s="149">
        <f>BH451*0.95</f>
        <v>0</v>
      </c>
      <c r="BI455" s="149">
        <f>BI451*0.95</f>
        <v>0</v>
      </c>
      <c r="BJ455" s="149">
        <f>BJ451*0.95</f>
        <v>0</v>
      </c>
    </row>
    <row r="456" spans="1:62" ht="14.5" thickTop="1" x14ac:dyDescent="0.3">
      <c r="A456" s="106"/>
      <c r="B456" s="106"/>
      <c r="C456" s="106"/>
      <c r="D456" s="106"/>
      <c r="E456" s="121"/>
      <c r="F456" s="1"/>
    </row>
    <row r="457" spans="1:62" ht="20" customHeight="1" x14ac:dyDescent="0.3">
      <c r="A457" s="103">
        <f>A447+1</f>
        <v>11</v>
      </c>
      <c r="B457" s="103" t="s">
        <v>259</v>
      </c>
      <c r="C457" s="103"/>
      <c r="D457" s="104">
        <f>IF(AN459&gt;0,AN459,0)</f>
        <v>0</v>
      </c>
      <c r="E457" s="121"/>
      <c r="F457" s="1"/>
    </row>
    <row r="458" spans="1:62" ht="18" customHeight="1" x14ac:dyDescent="0.3">
      <c r="A458" s="103"/>
      <c r="B458" s="965" t="s">
        <v>3806</v>
      </c>
      <c r="C458" s="965"/>
      <c r="D458" s="965"/>
      <c r="E458" s="121"/>
      <c r="F458" s="1"/>
      <c r="AC458" s="110">
        <v>1</v>
      </c>
      <c r="AD458" s="111">
        <f>AC458-($AC458/5)</f>
        <v>0.8</v>
      </c>
      <c r="AE458" s="112">
        <f>AD458-($AC458/5)</f>
        <v>0.60000000000000009</v>
      </c>
      <c r="AF458" s="113">
        <f>AE458-($AC458/5)</f>
        <v>0.40000000000000008</v>
      </c>
      <c r="AG458" s="114">
        <f>AF458-($AC458/5)</f>
        <v>0.20000000000000007</v>
      </c>
      <c r="AH458" s="115">
        <f>AG458-($AC458/5)</f>
        <v>0</v>
      </c>
      <c r="AI458" s="109"/>
      <c r="AP458" s="109"/>
      <c r="AQ458" s="109"/>
      <c r="AR458" s="109"/>
      <c r="AS458" s="109"/>
      <c r="AT458" s="109"/>
      <c r="AU458" s="109"/>
      <c r="AV458" s="109"/>
      <c r="AW458" s="109"/>
      <c r="AX458" s="109"/>
      <c r="AY458" s="109"/>
      <c r="AZ458" s="109"/>
      <c r="BA458" s="109"/>
      <c r="BB458" s="116" t="s">
        <v>234</v>
      </c>
      <c r="BD458" s="116" t="s">
        <v>235</v>
      </c>
      <c r="BE458" s="109"/>
      <c r="BF458" s="109"/>
      <c r="BG458" s="117" t="s">
        <v>236</v>
      </c>
      <c r="BH458" s="118"/>
      <c r="BI458" s="119" t="s">
        <v>237</v>
      </c>
      <c r="BJ458" s="120"/>
    </row>
    <row r="459" spans="1:62" ht="14.5" x14ac:dyDescent="0.35">
      <c r="A459" s="106"/>
      <c r="B459" s="966"/>
      <c r="C459" s="966"/>
      <c r="D459" s="966"/>
      <c r="E459" s="121"/>
      <c r="F459" s="1"/>
      <c r="AC459" s="101">
        <f>IF($B459=AC$2981,AC458,0)</f>
        <v>0</v>
      </c>
      <c r="AD459" s="101">
        <f>IF($B459=AD$2981,AD458,0)</f>
        <v>0</v>
      </c>
      <c r="AE459" s="101">
        <f>IF($B459=AE$2981,AE458,0)</f>
        <v>0</v>
      </c>
      <c r="AF459" s="101">
        <f>IF($B459=AF$2981,AF458,0)</f>
        <v>0</v>
      </c>
      <c r="AG459" s="101">
        <f>IF($B459=AG$2981,AG458,0)</f>
        <v>0</v>
      </c>
      <c r="AH459" s="101">
        <f>IF($B459=AH$2981,AH458,0)</f>
        <v>0</v>
      </c>
      <c r="AI459" s="151">
        <f>SUM(AC459:AH459)</f>
        <v>0</v>
      </c>
      <c r="AK459" s="967" t="str">
        <f>IF(AI459&gt;0,AI459,"")</f>
        <v/>
      </c>
      <c r="AL459" s="968"/>
      <c r="AN459" s="969">
        <f>(AI459/$AN$356)/2</f>
        <v>0</v>
      </c>
      <c r="AO459" s="970"/>
      <c r="BB459" s="116" t="s">
        <v>239</v>
      </c>
      <c r="BD459" s="116" t="s">
        <v>239</v>
      </c>
      <c r="BG459" s="117" t="s">
        <v>240</v>
      </c>
      <c r="BH459" s="123">
        <f>BH449</f>
        <v>0.1</v>
      </c>
      <c r="BI459" s="119" t="s">
        <v>240</v>
      </c>
      <c r="BJ459" s="124">
        <f>1-BH459</f>
        <v>0.9</v>
      </c>
    </row>
    <row r="460" spans="1:62" ht="14.5" x14ac:dyDescent="0.3">
      <c r="A460" s="106"/>
      <c r="B460" s="971"/>
      <c r="C460" s="971"/>
      <c r="D460" s="971"/>
      <c r="E460" s="121"/>
      <c r="F460" s="1"/>
      <c r="BB460" s="157">
        <f>$AC$1712</f>
        <v>10</v>
      </c>
      <c r="BD460" s="157">
        <f>$AC$1713</f>
        <v>25</v>
      </c>
      <c r="BG460" s="125" t="str">
        <f>BB458</f>
        <v>low</v>
      </c>
      <c r="BH460" s="125" t="str">
        <f>BD458</f>
        <v>high</v>
      </c>
      <c r="BI460" s="125" t="str">
        <f>BB458</f>
        <v>low</v>
      </c>
      <c r="BJ460" s="125" t="str">
        <f>BD458</f>
        <v>high</v>
      </c>
    </row>
    <row r="461" spans="1:62" ht="14.5" thickBot="1" x14ac:dyDescent="0.35">
      <c r="A461" s="106"/>
      <c r="B461" s="152" t="str">
        <f>IF(B399="","","Add any relevant info in box below regarding your professional support documents.")</f>
        <v/>
      </c>
      <c r="C461" s="152"/>
      <c r="D461" s="152"/>
      <c r="E461" s="121"/>
      <c r="F461" s="1"/>
      <c r="BB461" s="157">
        <f>IF(AK465=$AC$356,0,(BB460*AK465))</f>
        <v>0</v>
      </c>
      <c r="BD461" s="157">
        <f>IF(AK465=$AC$356,0,(BD460*AK465))</f>
        <v>0</v>
      </c>
      <c r="BG461" s="157">
        <f>BB461*BH459</f>
        <v>0</v>
      </c>
      <c r="BH461" s="157">
        <f>BD461*BH459</f>
        <v>0</v>
      </c>
      <c r="BI461" s="157">
        <f>BB461*BJ459</f>
        <v>0</v>
      </c>
      <c r="BJ461" s="157">
        <f>BD461*BJ459</f>
        <v>0</v>
      </c>
    </row>
    <row r="462" spans="1:62" ht="85" customHeight="1" thickTop="1" thickBot="1" x14ac:dyDescent="0.35">
      <c r="A462" s="106"/>
      <c r="B462" s="972"/>
      <c r="C462" s="973"/>
      <c r="D462" s="974"/>
      <c r="E462" s="121"/>
      <c r="F462" s="1"/>
      <c r="BJ462" s="126">
        <f>MIN(BJ461,($D$1486*10))</f>
        <v>0</v>
      </c>
    </row>
    <row r="463" spans="1:62" ht="16.5" thickTop="1" thickBot="1" x14ac:dyDescent="0.35">
      <c r="A463" s="106"/>
      <c r="B463" s="127" t="str">
        <f>IF(B459="","","SUPPORTER REVIEW: Prepare for Independent Verifier")</f>
        <v/>
      </c>
      <c r="C463" s="106"/>
      <c r="D463" s="106"/>
      <c r="E463" s="121"/>
      <c r="F463" s="1"/>
      <c r="BJ463" s="128"/>
    </row>
    <row r="464" spans="1:62" ht="14.5" thickTop="1" x14ac:dyDescent="0.3">
      <c r="A464" s="106"/>
      <c r="B464" s="129" t="str">
        <f>IF(B459="","","How many pages?")</f>
        <v/>
      </c>
      <c r="C464" s="130" t="str">
        <f>IF(AJ465&gt;30,"check if URL works, report from list below","")</f>
        <v/>
      </c>
      <c r="D464" s="131" t="str">
        <f>IF(B459="","","Estimated time to verify")</f>
        <v/>
      </c>
      <c r="E464" s="121"/>
      <c r="F464" s="1"/>
      <c r="AP464" s="48" t="s">
        <v>242</v>
      </c>
      <c r="AT464" s="132" t="str">
        <f>IF(AND(AJ465&gt;30,B465&gt;0),"ready","not ready")</f>
        <v>not ready</v>
      </c>
      <c r="AU464" s="132"/>
      <c r="AV464" s="132"/>
      <c r="BB464" s="48"/>
      <c r="BF464" s="102">
        <f>BF454</f>
        <v>0.05</v>
      </c>
      <c r="BG464" s="157">
        <f>BG461*$BF464</f>
        <v>0</v>
      </c>
      <c r="BH464" s="157">
        <f>BH461*$BF464</f>
        <v>0</v>
      </c>
      <c r="BI464" s="157">
        <f>BI461*$BF464</f>
        <v>0</v>
      </c>
      <c r="BJ464" s="157">
        <f>BJ461*$BF464</f>
        <v>0</v>
      </c>
    </row>
    <row r="465" spans="1:62" ht="14.5" thickBot="1" x14ac:dyDescent="0.35">
      <c r="A465" s="106"/>
      <c r="B465" s="150"/>
      <c r="C465" s="134"/>
      <c r="D465" s="135" t="str">
        <f>IF(B464="","",CONCATENATE(AK465,AL465))</f>
        <v/>
      </c>
      <c r="E465" s="121"/>
      <c r="F465" s="1"/>
      <c r="AD465" s="137">
        <f>IF(B459=B$2981,G$2981,AC464)</f>
        <v>0</v>
      </c>
      <c r="AE465" s="138">
        <f>IF(B459=B$2982,G$2982,AD464)</f>
        <v>0</v>
      </c>
      <c r="AF465" s="139">
        <f>IF(B459=B$2983,G$2983,AE464)</f>
        <v>0</v>
      </c>
      <c r="AG465" s="140">
        <f>IF(B459=B$2984,G$2984,AF464)</f>
        <v>0</v>
      </c>
      <c r="AH465" s="7"/>
      <c r="AI465" s="141">
        <f>MAX(AD465:AG465)</f>
        <v>0</v>
      </c>
      <c r="AJ465" s="48">
        <f>LEN(B459)</f>
        <v>0</v>
      </c>
      <c r="AK465" s="142" t="str">
        <f>IF(B465="",$AC$356,B465*AI465)</f>
        <v>in estimated</v>
      </c>
      <c r="AL465" s="48" t="s">
        <v>244</v>
      </c>
      <c r="AN465" s="48">
        <f>B465*AI465</f>
        <v>0</v>
      </c>
      <c r="AP465" s="143" t="str">
        <f>IF($C465=$D$2981,AP$356,"")</f>
        <v/>
      </c>
      <c r="AQ465" s="144" t="str">
        <f>IF($C465=$D$2982,AQ$356,"")</f>
        <v/>
      </c>
      <c r="AR465" s="145" t="str">
        <f>IF($C465=$D$2983,AR$356,"")</f>
        <v/>
      </c>
      <c r="AS465" s="146" t="str">
        <f>IF($C465=$D$2984,AS$356,"")</f>
        <v/>
      </c>
      <c r="AT465" s="147" t="str">
        <f>IF($C465=$D$2985,AT$356,"")</f>
        <v/>
      </c>
      <c r="AU465" s="148">
        <f>MAX(AP465:AS465)</f>
        <v>0</v>
      </c>
      <c r="AV465" s="142"/>
      <c r="AX465" s="101">
        <f>IF(AK465=$AC$356,0,AK465)</f>
        <v>0</v>
      </c>
      <c r="BB465" s="48"/>
      <c r="BG465" s="149">
        <f>BG461*0.95</f>
        <v>0</v>
      </c>
      <c r="BH465" s="149">
        <f>BH461*0.95</f>
        <v>0</v>
      </c>
      <c r="BI465" s="149">
        <f>BI461*0.95</f>
        <v>0</v>
      </c>
      <c r="BJ465" s="149">
        <f>BJ461*0.95</f>
        <v>0</v>
      </c>
    </row>
    <row r="466" spans="1:62" ht="14.5" thickTop="1" x14ac:dyDescent="0.3">
      <c r="A466" s="106"/>
      <c r="B466" s="106"/>
      <c r="C466" s="106"/>
      <c r="D466" s="106"/>
      <c r="E466" s="121"/>
      <c r="F466" s="1"/>
    </row>
    <row r="467" spans="1:62" ht="20" customHeight="1" x14ac:dyDescent="0.3">
      <c r="A467" s="103">
        <f>A457+1</f>
        <v>12</v>
      </c>
      <c r="B467" s="103" t="s">
        <v>3805</v>
      </c>
      <c r="C467" s="103"/>
      <c r="D467" s="104">
        <f>IF(AN469&gt;0,AN469,0)</f>
        <v>0</v>
      </c>
      <c r="E467" s="121"/>
      <c r="F467" s="1"/>
    </row>
    <row r="468" spans="1:62" ht="18" customHeight="1" x14ac:dyDescent="0.3">
      <c r="A468" s="103"/>
      <c r="B468" s="965" t="s">
        <v>3807</v>
      </c>
      <c r="C468" s="965"/>
      <c r="D468" s="965"/>
      <c r="E468" s="121"/>
      <c r="F468" s="1"/>
      <c r="AC468" s="110">
        <v>1</v>
      </c>
      <c r="AD468" s="111">
        <f>AC468-($AC468/5)</f>
        <v>0.8</v>
      </c>
      <c r="AE468" s="112">
        <f>AD468-($AC468/5)</f>
        <v>0.60000000000000009</v>
      </c>
      <c r="AF468" s="113">
        <f>AE468-($AC468/5)</f>
        <v>0.40000000000000008</v>
      </c>
      <c r="AG468" s="114">
        <f>AF468-($AC468/5)</f>
        <v>0.20000000000000007</v>
      </c>
      <c r="AH468" s="115">
        <f>AG468-($AC468/5)</f>
        <v>0</v>
      </c>
      <c r="AI468" s="109"/>
      <c r="AP468" s="109"/>
      <c r="AQ468" s="109"/>
      <c r="AR468" s="109"/>
      <c r="AS468" s="109"/>
      <c r="AT468" s="109"/>
      <c r="AU468" s="109"/>
      <c r="AV468" s="109"/>
      <c r="AW468" s="109"/>
      <c r="AX468" s="109"/>
      <c r="AY468" s="109"/>
      <c r="AZ468" s="109"/>
      <c r="BA468" s="109"/>
      <c r="BB468" s="116" t="s">
        <v>234</v>
      </c>
      <c r="BD468" s="116" t="s">
        <v>235</v>
      </c>
      <c r="BE468" s="109"/>
      <c r="BF468" s="109"/>
      <c r="BG468" s="117" t="s">
        <v>236</v>
      </c>
      <c r="BH468" s="118"/>
      <c r="BI468" s="119" t="s">
        <v>237</v>
      </c>
      <c r="BJ468" s="120"/>
    </row>
    <row r="469" spans="1:62" ht="14.5" x14ac:dyDescent="0.35">
      <c r="A469" s="106"/>
      <c r="B469" s="966"/>
      <c r="C469" s="966"/>
      <c r="D469" s="966"/>
      <c r="E469" s="121"/>
      <c r="F469" s="1"/>
      <c r="AC469" s="101">
        <f>IF($B469=AC$2981,AC468,0)</f>
        <v>0</v>
      </c>
      <c r="AD469" s="101">
        <f>IF($B469=AD$2981,AD468,0)</f>
        <v>0</v>
      </c>
      <c r="AE469" s="101">
        <f>IF($B469=AE$2981,AE468,0)</f>
        <v>0</v>
      </c>
      <c r="AF469" s="101">
        <f>IF($B469=AF$2981,AF468,0)</f>
        <v>0</v>
      </c>
      <c r="AG469" s="101">
        <f>IF($B469=AG$2981,AG468,0)</f>
        <v>0</v>
      </c>
      <c r="AH469" s="101">
        <f>IF($B469=AH$2981,AH468,0)</f>
        <v>0</v>
      </c>
      <c r="AI469" s="151">
        <f>SUM(AC469:AH469)</f>
        <v>0</v>
      </c>
      <c r="AK469" s="967" t="str">
        <f>IF(AI469&gt;0,AI469,"")</f>
        <v/>
      </c>
      <c r="AL469" s="968"/>
      <c r="AN469" s="969">
        <f>(AI469/$AN$356)/2</f>
        <v>0</v>
      </c>
      <c r="AO469" s="970"/>
      <c r="BB469" s="116" t="s">
        <v>239</v>
      </c>
      <c r="BD469" s="116" t="s">
        <v>239</v>
      </c>
      <c r="BG469" s="117" t="s">
        <v>240</v>
      </c>
      <c r="BH469" s="123">
        <f>BH459</f>
        <v>0.1</v>
      </c>
      <c r="BI469" s="119" t="s">
        <v>240</v>
      </c>
      <c r="BJ469" s="124">
        <f>1-BH469</f>
        <v>0.9</v>
      </c>
    </row>
    <row r="470" spans="1:62" ht="14.5" x14ac:dyDescent="0.3">
      <c r="A470" s="106"/>
      <c r="B470" s="971"/>
      <c r="C470" s="971"/>
      <c r="D470" s="971"/>
      <c r="E470" s="121"/>
      <c r="F470" s="1"/>
      <c r="BB470" s="157">
        <f>$AC$1712</f>
        <v>10</v>
      </c>
      <c r="BD470" s="157">
        <f>$AC$1713</f>
        <v>25</v>
      </c>
      <c r="BG470" s="125" t="str">
        <f>BB468</f>
        <v>low</v>
      </c>
      <c r="BH470" s="125" t="str">
        <f>BD468</f>
        <v>high</v>
      </c>
      <c r="BI470" s="125" t="str">
        <f>BB468</f>
        <v>low</v>
      </c>
      <c r="BJ470" s="125" t="str">
        <f>BD468</f>
        <v>high</v>
      </c>
    </row>
    <row r="471" spans="1:62" ht="14.5" thickBot="1" x14ac:dyDescent="0.35">
      <c r="A471" s="106"/>
      <c r="B471" s="152" t="str">
        <f>IF(B399="","","Add any relevant info in box below about any correspondence with the media..")</f>
        <v/>
      </c>
      <c r="C471" s="152"/>
      <c r="D471" s="152"/>
      <c r="E471" s="121"/>
      <c r="F471" s="1"/>
      <c r="BB471" s="157">
        <f>IF(AK475=$AC$356,0,(BB470*AK475))</f>
        <v>0</v>
      </c>
      <c r="BD471" s="157">
        <f>IF(AK475=$AC$356,0,(BD470*AK475))</f>
        <v>0</v>
      </c>
      <c r="BG471" s="157">
        <f>BB471*BH469</f>
        <v>0</v>
      </c>
      <c r="BH471" s="157">
        <f>BD471*BH469</f>
        <v>0</v>
      </c>
      <c r="BI471" s="157">
        <f>BB471*BJ469</f>
        <v>0</v>
      </c>
      <c r="BJ471" s="157">
        <f>BD471*BJ469</f>
        <v>0</v>
      </c>
    </row>
    <row r="472" spans="1:62" ht="85" customHeight="1" thickTop="1" thickBot="1" x14ac:dyDescent="0.35">
      <c r="A472" s="106"/>
      <c r="B472" s="972"/>
      <c r="C472" s="973"/>
      <c r="D472" s="974"/>
      <c r="E472" s="121"/>
      <c r="F472" s="1"/>
      <c r="BJ472" s="126">
        <f>MIN(BJ471,($D$1486*10))</f>
        <v>0</v>
      </c>
    </row>
    <row r="473" spans="1:62" ht="16.5" thickTop="1" thickBot="1" x14ac:dyDescent="0.35">
      <c r="A473" s="106"/>
      <c r="B473" s="127" t="str">
        <f>IF(B469="","","SUPPORTER REVIEW: Prepare for Independent Verifier")</f>
        <v/>
      </c>
      <c r="C473" s="106"/>
      <c r="D473" s="106"/>
      <c r="E473" s="121"/>
      <c r="F473" s="1"/>
      <c r="BJ473" s="128"/>
    </row>
    <row r="474" spans="1:62" ht="15" customHeight="1" thickTop="1" x14ac:dyDescent="0.3">
      <c r="A474" s="106"/>
      <c r="B474" s="129" t="str">
        <f>IF(B469="","","How many pages?")</f>
        <v/>
      </c>
      <c r="C474" s="130" t="str">
        <f>IF(AJ475&gt;30,"check if URL works, report from list below","")</f>
        <v/>
      </c>
      <c r="D474" s="131" t="str">
        <f>IF(B469="","","Estimated time to verify")</f>
        <v/>
      </c>
      <c r="E474" s="121"/>
      <c r="F474" s="1"/>
      <c r="AP474" s="48" t="s">
        <v>242</v>
      </c>
      <c r="AT474" s="132" t="str">
        <f>IF(AND(AJ475&gt;30,B475&gt;0),"ready","not ready")</f>
        <v>not ready</v>
      </c>
      <c r="AU474" s="132"/>
      <c r="AV474" s="132"/>
      <c r="BB474" s="48"/>
      <c r="BF474" s="102">
        <f>BF464</f>
        <v>0.05</v>
      </c>
      <c r="BG474" s="157">
        <f>BG471*$BF474</f>
        <v>0</v>
      </c>
      <c r="BH474" s="157">
        <f>BH471*$BF474</f>
        <v>0</v>
      </c>
      <c r="BI474" s="157">
        <f>BI471*$BF474</f>
        <v>0</v>
      </c>
      <c r="BJ474" s="157">
        <f>BJ471*$BF474</f>
        <v>0</v>
      </c>
    </row>
    <row r="475" spans="1:62" ht="15" customHeight="1" thickBot="1" x14ac:dyDescent="0.35">
      <c r="A475" s="106"/>
      <c r="B475" s="150"/>
      <c r="C475" s="134"/>
      <c r="D475" s="135" t="str">
        <f>IF(B474="","",CONCATENATE(AK475,AL475))</f>
        <v/>
      </c>
      <c r="E475" s="121"/>
      <c r="F475" s="1"/>
      <c r="AD475" s="137">
        <f>IF(B469=B$2981,G$2981,AC474)</f>
        <v>0</v>
      </c>
      <c r="AE475" s="138">
        <f>IF(B469=B$2982,G$2982,AD474)</f>
        <v>0</v>
      </c>
      <c r="AF475" s="139">
        <f>IF(B469=B$2983,G$2983,AE474)</f>
        <v>0</v>
      </c>
      <c r="AG475" s="140">
        <f>IF(B469=B$2984,G$2984,AF474)</f>
        <v>0</v>
      </c>
      <c r="AH475" s="7"/>
      <c r="AI475" s="141">
        <f>MAX(AD475:AG475)</f>
        <v>0</v>
      </c>
      <c r="AJ475" s="48">
        <f>LEN(B469)</f>
        <v>0</v>
      </c>
      <c r="AK475" s="142" t="str">
        <f>IF(B475="",$AC$356,B475*AI475)</f>
        <v>in estimated</v>
      </c>
      <c r="AL475" s="48" t="s">
        <v>244</v>
      </c>
      <c r="AN475" s="48">
        <f>B475*AI475</f>
        <v>0</v>
      </c>
      <c r="AP475" s="143" t="str">
        <f>IF($C475=$D$2981,AP$356,"")</f>
        <v/>
      </c>
      <c r="AQ475" s="144" t="str">
        <f>IF($C475=$D$2982,AQ$356,"")</f>
        <v/>
      </c>
      <c r="AR475" s="145" t="str">
        <f>IF($C475=$D$2983,AR$356,"")</f>
        <v/>
      </c>
      <c r="AS475" s="146" t="str">
        <f>IF($C475=$D$2984,AS$356,"")</f>
        <v/>
      </c>
      <c r="AT475" s="147" t="str">
        <f>IF($C475=$D$2985,AT$356,"")</f>
        <v/>
      </c>
      <c r="AU475" s="148">
        <f>MAX(AP475:AS475)</f>
        <v>0</v>
      </c>
      <c r="AV475" s="142"/>
      <c r="AX475" s="101">
        <f>IF(AK475=$AC$356,0,AK475)</f>
        <v>0</v>
      </c>
      <c r="BB475" s="48"/>
      <c r="BG475" s="149">
        <f>BG471*0.95</f>
        <v>0</v>
      </c>
      <c r="BH475" s="149">
        <f>BH471*0.95</f>
        <v>0</v>
      </c>
      <c r="BI475" s="149">
        <f>BI471*0.95</f>
        <v>0</v>
      </c>
      <c r="BJ475" s="149">
        <f>BJ471*0.95</f>
        <v>0</v>
      </c>
    </row>
    <row r="476" spans="1:62" ht="12" customHeight="1" thickTop="1" x14ac:dyDescent="0.3">
      <c r="A476" s="106"/>
      <c r="B476" s="106"/>
      <c r="C476" s="106"/>
      <c r="D476" s="106"/>
      <c r="E476" s="121"/>
      <c r="F476" s="1"/>
    </row>
    <row r="477" spans="1:62" ht="20" customHeight="1" x14ac:dyDescent="0.3">
      <c r="A477" s="103">
        <f>A467+1</f>
        <v>13</v>
      </c>
      <c r="B477" s="103" t="s">
        <v>260</v>
      </c>
      <c r="C477" s="103"/>
      <c r="D477" s="104">
        <f>IF(AN479&gt;0,AN479,0)</f>
        <v>0</v>
      </c>
      <c r="E477" s="121"/>
      <c r="F477" s="1"/>
    </row>
    <row r="478" spans="1:62" ht="18" customHeight="1" x14ac:dyDescent="0.3">
      <c r="A478" s="103"/>
      <c r="B478" s="965" t="s">
        <v>3813</v>
      </c>
      <c r="C478" s="965"/>
      <c r="D478" s="965"/>
      <c r="E478" s="121"/>
      <c r="F478" s="1"/>
      <c r="AC478" s="110">
        <v>1</v>
      </c>
      <c r="AD478" s="111">
        <f>AC478-($AC478/5)</f>
        <v>0.8</v>
      </c>
      <c r="AE478" s="112">
        <f>AD478-($AC478/5)</f>
        <v>0.60000000000000009</v>
      </c>
      <c r="AF478" s="113">
        <f>AE478-($AC478/5)</f>
        <v>0.40000000000000008</v>
      </c>
      <c r="AG478" s="114">
        <f>AF478-($AC478/5)</f>
        <v>0.20000000000000007</v>
      </c>
      <c r="AH478" s="115">
        <f>AG478-($AC478/5)</f>
        <v>0</v>
      </c>
      <c r="AI478" s="109"/>
      <c r="AP478" s="109"/>
      <c r="AQ478" s="109"/>
      <c r="AR478" s="109"/>
      <c r="AS478" s="109"/>
      <c r="AT478" s="109"/>
      <c r="AU478" s="109"/>
      <c r="AV478" s="109"/>
      <c r="AW478" s="109"/>
      <c r="AX478" s="109"/>
      <c r="AY478" s="109"/>
      <c r="AZ478" s="109"/>
      <c r="BA478" s="109"/>
      <c r="BB478" s="116" t="s">
        <v>234</v>
      </c>
      <c r="BD478" s="116" t="s">
        <v>235</v>
      </c>
      <c r="BE478" s="109"/>
      <c r="BF478" s="109"/>
      <c r="BG478" s="117" t="s">
        <v>236</v>
      </c>
      <c r="BH478" s="118"/>
      <c r="BI478" s="119" t="s">
        <v>237</v>
      </c>
      <c r="BJ478" s="120"/>
    </row>
    <row r="479" spans="1:62" ht="14.5" x14ac:dyDescent="0.35">
      <c r="A479" s="106"/>
      <c r="B479" s="966"/>
      <c r="C479" s="966"/>
      <c r="D479" s="966"/>
      <c r="E479" s="121"/>
      <c r="F479" s="1"/>
      <c r="AC479" s="101">
        <f>IF($B479=AC$2981,AC478,0)</f>
        <v>0</v>
      </c>
      <c r="AD479" s="101">
        <f>IF($B479=AD$2981,AD478,0)</f>
        <v>0</v>
      </c>
      <c r="AE479" s="101">
        <f>IF($B479=AE$2981,AE478,0)</f>
        <v>0</v>
      </c>
      <c r="AF479" s="101">
        <f>IF($B479=AF$2981,AF478,0)</f>
        <v>0</v>
      </c>
      <c r="AG479" s="101">
        <f>IF($B479=AG$2981,AG478,0)</f>
        <v>0</v>
      </c>
      <c r="AH479" s="101">
        <f>IF($B479=AH$2981,AH478,0)</f>
        <v>0</v>
      </c>
      <c r="AI479" s="151">
        <f>SUM(AC479:AH479)</f>
        <v>0</v>
      </c>
      <c r="AK479" s="967" t="str">
        <f>IF(AI479&gt;0,AI479,"")</f>
        <v/>
      </c>
      <c r="AL479" s="968"/>
      <c r="AN479" s="969">
        <f>(AI479/$AN$356)/2</f>
        <v>0</v>
      </c>
      <c r="AO479" s="970"/>
      <c r="BB479" s="116" t="s">
        <v>239</v>
      </c>
      <c r="BD479" s="116" t="s">
        <v>239</v>
      </c>
      <c r="BG479" s="117" t="s">
        <v>240</v>
      </c>
      <c r="BH479" s="123">
        <f>BH469</f>
        <v>0.1</v>
      </c>
      <c r="BI479" s="119" t="s">
        <v>240</v>
      </c>
      <c r="BJ479" s="124">
        <f>1-BH479</f>
        <v>0.9</v>
      </c>
    </row>
    <row r="480" spans="1:62" ht="14.5" x14ac:dyDescent="0.3">
      <c r="A480" s="106"/>
      <c r="B480" s="971"/>
      <c r="C480" s="971"/>
      <c r="D480" s="971"/>
      <c r="E480" s="121"/>
      <c r="F480" s="1"/>
      <c r="BB480" s="157">
        <f>$AC$1712</f>
        <v>10</v>
      </c>
      <c r="BD480" s="157">
        <f>$AC$1713</f>
        <v>25</v>
      </c>
      <c r="BG480" s="125" t="str">
        <f>BB478</f>
        <v>low</v>
      </c>
      <c r="BH480" s="125" t="str">
        <f>BD478</f>
        <v>high</v>
      </c>
      <c r="BI480" s="125" t="str">
        <f>BB478</f>
        <v>low</v>
      </c>
      <c r="BJ480" s="125" t="str">
        <f>BD478</f>
        <v>high</v>
      </c>
    </row>
    <row r="481" spans="1:62" ht="14.4" customHeight="1" thickBot="1" x14ac:dyDescent="0.35">
      <c r="A481" s="106"/>
      <c r="B481" s="152" t="str">
        <f>IF(B399="","","Add any relevant info in box below to help us help you with your other documents.")</f>
        <v/>
      </c>
      <c r="C481" s="152"/>
      <c r="D481" s="152"/>
      <c r="E481" s="121"/>
      <c r="F481" s="1"/>
      <c r="BB481" s="157">
        <f>IF(AK485=$AC$356,0,(BB480*AK485))</f>
        <v>0</v>
      </c>
      <c r="BD481" s="157">
        <f>IF(AK485=$AC$356,0,(BD480*AK485))</f>
        <v>0</v>
      </c>
      <c r="BG481" s="157">
        <f>BB481*BH479</f>
        <v>0</v>
      </c>
      <c r="BH481" s="157">
        <f>BD481*BH479</f>
        <v>0</v>
      </c>
      <c r="BI481" s="157">
        <f>BB481*BJ479</f>
        <v>0</v>
      </c>
      <c r="BJ481" s="157">
        <f>BD481*BJ479</f>
        <v>0</v>
      </c>
    </row>
    <row r="482" spans="1:62" ht="85" customHeight="1" thickTop="1" thickBot="1" x14ac:dyDescent="0.35">
      <c r="A482" s="106"/>
      <c r="B482" s="972"/>
      <c r="C482" s="973"/>
      <c r="D482" s="974"/>
      <c r="E482" s="121"/>
      <c r="F482" s="1"/>
      <c r="BJ482" s="126">
        <f>MIN(BJ481,($D$1486*10))</f>
        <v>0</v>
      </c>
    </row>
    <row r="483" spans="1:62" ht="16.75" customHeight="1" thickTop="1" thickBot="1" x14ac:dyDescent="0.35">
      <c r="A483" s="106"/>
      <c r="B483" s="127" t="str">
        <f>IF(B479="","","SUPPORTER REVIEW: Prepare for Independent Verifier")</f>
        <v/>
      </c>
      <c r="C483" s="106"/>
      <c r="D483" s="106"/>
      <c r="E483" s="121"/>
      <c r="F483" s="1"/>
      <c r="BJ483" s="128"/>
    </row>
    <row r="484" spans="1:62" ht="15" customHeight="1" thickTop="1" x14ac:dyDescent="0.3">
      <c r="A484" s="106"/>
      <c r="B484" s="129" t="str">
        <f>IF(B479="","","How many pages?")</f>
        <v/>
      </c>
      <c r="C484" s="130" t="str">
        <f>IF(AJ485&gt;30,"check if URL works, report from list below","")</f>
        <v/>
      </c>
      <c r="D484" s="131" t="str">
        <f>IF(B479="","","Estimated time to verify")</f>
        <v/>
      </c>
      <c r="E484" s="121"/>
      <c r="F484" s="1"/>
      <c r="AP484" s="48" t="s">
        <v>242</v>
      </c>
      <c r="AT484" s="132" t="str">
        <f>IF(AND(AJ485&gt;30,B485&gt;0),"ready","not ready")</f>
        <v>not ready</v>
      </c>
      <c r="AU484" s="132"/>
      <c r="AV484" s="132"/>
      <c r="BB484" s="48"/>
      <c r="BF484" s="102">
        <f>BF474</f>
        <v>0.05</v>
      </c>
      <c r="BG484" s="157">
        <f>BG481*$BF484</f>
        <v>0</v>
      </c>
      <c r="BH484" s="157">
        <f>BH481*$BF484</f>
        <v>0</v>
      </c>
      <c r="BI484" s="157">
        <f>BI481*$BF484</f>
        <v>0</v>
      </c>
      <c r="BJ484" s="157">
        <f>BJ481*$BF484</f>
        <v>0</v>
      </c>
    </row>
    <row r="485" spans="1:62" ht="15" customHeight="1" thickBot="1" x14ac:dyDescent="0.35">
      <c r="A485" s="106"/>
      <c r="B485" s="150"/>
      <c r="C485" s="134"/>
      <c r="D485" s="135" t="str">
        <f>IF(B484="","",CONCATENATE(AK485,AL485))</f>
        <v/>
      </c>
      <c r="E485" s="121"/>
      <c r="F485" s="1"/>
      <c r="AD485" s="137">
        <f>IF(B479=B$2981,G$2981,AC484)</f>
        <v>0</v>
      </c>
      <c r="AE485" s="138">
        <f>IF(B479=B$2982,G$2982,AD484)</f>
        <v>0</v>
      </c>
      <c r="AF485" s="139">
        <f>IF(B479=B$2983,G$2983,AE484)</f>
        <v>0</v>
      </c>
      <c r="AG485" s="140">
        <f>IF(B479=B$2984,G$2984,AF484)</f>
        <v>0</v>
      </c>
      <c r="AH485" s="7"/>
      <c r="AI485" s="141">
        <f>MAX(AD485:AG485)</f>
        <v>0</v>
      </c>
      <c r="AJ485" s="48">
        <f>LEN(B479)</f>
        <v>0</v>
      </c>
      <c r="AK485" s="142" t="str">
        <f>IF(B485="",$AC$356,B485*AI485)</f>
        <v>in estimated</v>
      </c>
      <c r="AL485" s="48" t="s">
        <v>244</v>
      </c>
      <c r="AN485" s="48">
        <f>B485*AI485</f>
        <v>0</v>
      </c>
      <c r="AP485" s="143" t="str">
        <f>IF($C485=$D$2981,AP$356,"")</f>
        <v/>
      </c>
      <c r="AQ485" s="144" t="str">
        <f>IF($C485=$D$2982,AQ$356,"")</f>
        <v/>
      </c>
      <c r="AR485" s="145" t="str">
        <f>IF($C485=$D$2983,AR$356,"")</f>
        <v/>
      </c>
      <c r="AS485" s="146" t="str">
        <f>IF($C485=$D$2984,AS$356,"")</f>
        <v/>
      </c>
      <c r="AT485" s="147" t="str">
        <f>IF($C485=$D$2985,AT$356,"")</f>
        <v/>
      </c>
      <c r="AU485" s="148">
        <f>MAX(AP485:AS485)</f>
        <v>0</v>
      </c>
      <c r="AV485" s="142"/>
      <c r="AX485" s="101">
        <f>IF(AK485=$AC$356,0,AK485)</f>
        <v>0</v>
      </c>
      <c r="BB485" s="48"/>
      <c r="BG485" s="149">
        <f>BG481*0.95</f>
        <v>0</v>
      </c>
      <c r="BH485" s="149">
        <f>BH481*0.95</f>
        <v>0</v>
      </c>
      <c r="BI485" s="149">
        <f>BI481*0.95</f>
        <v>0</v>
      </c>
      <c r="BJ485" s="149">
        <f>BJ481*0.95</f>
        <v>0</v>
      </c>
    </row>
    <row r="486" spans="1:62" ht="14.4" customHeight="1" thickTop="1" x14ac:dyDescent="0.3">
      <c r="A486" s="106"/>
      <c r="B486" s="106"/>
      <c r="C486" s="106"/>
      <c r="D486" s="106"/>
      <c r="E486" s="121"/>
      <c r="F486" s="1"/>
    </row>
    <row r="487" spans="1:62" ht="20" customHeight="1" x14ac:dyDescent="0.3">
      <c r="A487" s="103">
        <f>A477+1</f>
        <v>14</v>
      </c>
      <c r="B487" s="103" t="s">
        <v>261</v>
      </c>
      <c r="C487" s="103"/>
      <c r="D487" s="104">
        <f>IF(AN489&gt;0,AN489,0)</f>
        <v>0</v>
      </c>
      <c r="E487" s="121"/>
      <c r="F487" s="1"/>
    </row>
    <row r="488" spans="1:62" ht="18" customHeight="1" x14ac:dyDescent="0.3">
      <c r="A488" s="103"/>
      <c r="B488" s="965" t="s">
        <v>3814</v>
      </c>
      <c r="C488" s="965"/>
      <c r="D488" s="965"/>
      <c r="E488" s="121"/>
      <c r="F488" s="1"/>
      <c r="AC488" s="110">
        <v>1</v>
      </c>
      <c r="AD488" s="111">
        <f>AC488-($AC488/5)</f>
        <v>0.8</v>
      </c>
      <c r="AE488" s="112">
        <f>AD488-($AC488/5)</f>
        <v>0.60000000000000009</v>
      </c>
      <c r="AF488" s="113">
        <f>AE488-($AC488/5)</f>
        <v>0.40000000000000008</v>
      </c>
      <c r="AG488" s="114">
        <f>AF488-($AC488/5)</f>
        <v>0.20000000000000007</v>
      </c>
      <c r="AH488" s="115">
        <f>AG488-($AC488/5)</f>
        <v>0</v>
      </c>
      <c r="AI488" s="109"/>
      <c r="AP488" s="109"/>
      <c r="AQ488" s="109"/>
      <c r="AR488" s="109"/>
      <c r="AS488" s="109"/>
      <c r="AT488" s="109"/>
      <c r="AU488" s="109"/>
      <c r="AV488" s="109"/>
      <c r="AW488" s="109"/>
      <c r="AX488" s="109"/>
      <c r="AY488" s="109"/>
      <c r="AZ488" s="109"/>
      <c r="BA488" s="109"/>
      <c r="BB488" s="116" t="s">
        <v>234</v>
      </c>
      <c r="BD488" s="116" t="s">
        <v>235</v>
      </c>
      <c r="BE488" s="109"/>
      <c r="BF488" s="109"/>
      <c r="BG488" s="117" t="s">
        <v>236</v>
      </c>
      <c r="BH488" s="118"/>
      <c r="BI488" s="119" t="s">
        <v>237</v>
      </c>
      <c r="BJ488" s="120"/>
    </row>
    <row r="489" spans="1:62" ht="14.5" x14ac:dyDescent="0.35">
      <c r="A489" s="106"/>
      <c r="B489" s="966"/>
      <c r="C489" s="966"/>
      <c r="D489" s="966"/>
      <c r="E489" s="121"/>
      <c r="F489" s="1"/>
      <c r="AC489" s="101">
        <f>IF($B489=AC$2981,AC488,0)</f>
        <v>0</v>
      </c>
      <c r="AD489" s="101">
        <f>IF($B489=AD$2981,AD488,0)</f>
        <v>0</v>
      </c>
      <c r="AE489" s="101">
        <f>IF($B489=AE$2981,AE488,0)</f>
        <v>0</v>
      </c>
      <c r="AF489" s="101">
        <f>IF($B489=AF$2981,AF488,0)</f>
        <v>0</v>
      </c>
      <c r="AG489" s="101">
        <f>IF($B489=AG$2981,AG488,0)</f>
        <v>0</v>
      </c>
      <c r="AH489" s="101">
        <f>IF($B489=AH$2981,AH488,0)</f>
        <v>0</v>
      </c>
      <c r="AI489" s="151">
        <f>SUM(AC489:AH489)</f>
        <v>0</v>
      </c>
      <c r="AK489" s="967" t="str">
        <f>IF(AI489&gt;0,AI489,"")</f>
        <v/>
      </c>
      <c r="AL489" s="968"/>
      <c r="AN489" s="969">
        <f>(AI489/$AN$356)/2</f>
        <v>0</v>
      </c>
      <c r="AO489" s="970"/>
      <c r="BB489" s="116" t="s">
        <v>239</v>
      </c>
      <c r="BD489" s="116" t="s">
        <v>239</v>
      </c>
      <c r="BG489" s="117" t="s">
        <v>240</v>
      </c>
      <c r="BH489" s="123">
        <f>BH479</f>
        <v>0.1</v>
      </c>
      <c r="BI489" s="119" t="s">
        <v>240</v>
      </c>
      <c r="BJ489" s="124">
        <f>1-BH489</f>
        <v>0.9</v>
      </c>
    </row>
    <row r="490" spans="1:62" ht="14.5" x14ac:dyDescent="0.3">
      <c r="A490" s="106"/>
      <c r="B490" s="971"/>
      <c r="C490" s="971"/>
      <c r="D490" s="971"/>
      <c r="E490" s="121"/>
      <c r="F490" s="1"/>
      <c r="BB490" s="157">
        <f>$AC$1712</f>
        <v>10</v>
      </c>
      <c r="BD490" s="157">
        <f>$AC$1713</f>
        <v>25</v>
      </c>
      <c r="BG490" s="125" t="str">
        <f>BB488</f>
        <v>low</v>
      </c>
      <c r="BH490" s="125" t="str">
        <f>BD488</f>
        <v>high</v>
      </c>
      <c r="BI490" s="125" t="str">
        <f>BB488</f>
        <v>low</v>
      </c>
      <c r="BJ490" s="125" t="str">
        <f>BD488</f>
        <v>high</v>
      </c>
    </row>
    <row r="491" spans="1:62" ht="14.4" customHeight="1" thickBot="1" x14ac:dyDescent="0.35">
      <c r="A491" s="106"/>
      <c r="B491" s="152" t="str">
        <f>IF(B399="","","Add any relevant info in box below to help us help you with your other supportive materials.")</f>
        <v/>
      </c>
      <c r="C491" s="152"/>
      <c r="D491" s="152"/>
      <c r="E491" s="121"/>
      <c r="F491" s="1"/>
      <c r="BB491" s="157">
        <f>IF(AK495=$AC$356,0,(BB490*AK495))</f>
        <v>0</v>
      </c>
      <c r="BD491" s="157">
        <f>IF(AK495=$AC$356,0,(BD490*AK495))</f>
        <v>0</v>
      </c>
      <c r="BG491" s="157">
        <f>BB491*BH489</f>
        <v>0</v>
      </c>
      <c r="BH491" s="157">
        <f>BD491*BH489</f>
        <v>0</v>
      </c>
      <c r="BI491" s="157">
        <f>BB491*BJ489</f>
        <v>0</v>
      </c>
      <c r="BJ491" s="157">
        <f>BD491*BJ489</f>
        <v>0</v>
      </c>
    </row>
    <row r="492" spans="1:62" ht="85" customHeight="1" thickTop="1" thickBot="1" x14ac:dyDescent="0.35">
      <c r="A492" s="106"/>
      <c r="B492" s="972"/>
      <c r="C492" s="973"/>
      <c r="D492" s="974"/>
      <c r="E492" s="121"/>
      <c r="F492" s="1"/>
      <c r="BJ492" s="126">
        <f>MIN(BJ491,($D$1486*10))</f>
        <v>0</v>
      </c>
    </row>
    <row r="493" spans="1:62" ht="16.75" customHeight="1" thickTop="1" thickBot="1" x14ac:dyDescent="0.35">
      <c r="A493" s="106"/>
      <c r="B493" s="127" t="str">
        <f>IF(B489="","","SUPPORTER REVIEW: Prepare for Independent Verifier")</f>
        <v/>
      </c>
      <c r="C493" s="106"/>
      <c r="D493" s="106"/>
      <c r="E493" s="121"/>
      <c r="F493" s="1"/>
      <c r="BJ493" s="128"/>
    </row>
    <row r="494" spans="1:62" ht="14.5" thickTop="1" x14ac:dyDescent="0.3">
      <c r="A494" s="106"/>
      <c r="B494" s="129" t="str">
        <f>IF(B489="","","How many pages?")</f>
        <v/>
      </c>
      <c r="C494" s="130" t="str">
        <f>IF(AJ495&gt;30,"check if URL works, report from list below","")</f>
        <v/>
      </c>
      <c r="D494" s="131" t="str">
        <f>IF(B489="","","Estimated time to verify")</f>
        <v/>
      </c>
      <c r="E494" s="121"/>
      <c r="F494" s="1"/>
      <c r="AP494" s="48" t="s">
        <v>242</v>
      </c>
      <c r="AT494" s="132" t="str">
        <f>IF(AND(AJ495&gt;30,B495&gt;0),"ready","not ready")</f>
        <v>not ready</v>
      </c>
      <c r="AU494" s="132"/>
      <c r="AV494" s="132"/>
      <c r="BB494" s="48"/>
      <c r="BF494" s="102">
        <f>BF484</f>
        <v>0.05</v>
      </c>
      <c r="BG494" s="157">
        <f>BG491*$BF494</f>
        <v>0</v>
      </c>
      <c r="BH494" s="157">
        <f>BH491*$BF494</f>
        <v>0</v>
      </c>
      <c r="BI494" s="157">
        <f>BI491*$BF494</f>
        <v>0</v>
      </c>
      <c r="BJ494" s="157">
        <f>BJ491*$BF494</f>
        <v>0</v>
      </c>
    </row>
    <row r="495" spans="1:62" ht="14.5" thickBot="1" x14ac:dyDescent="0.35">
      <c r="A495" s="106"/>
      <c r="B495" s="150"/>
      <c r="C495" s="134"/>
      <c r="D495" s="135" t="str">
        <f>IF(B494="","",CONCATENATE(AK495,AL495))</f>
        <v/>
      </c>
      <c r="E495" s="121"/>
      <c r="F495" s="1"/>
      <c r="AD495" s="137">
        <f>IF(B489=B$2981,G$2981,AC494)</f>
        <v>0</v>
      </c>
      <c r="AE495" s="138">
        <f>IF(B489=B$2982,G$2982,AD494)</f>
        <v>0</v>
      </c>
      <c r="AF495" s="139">
        <f>IF(B489=B$2983,G$2983,AE494)</f>
        <v>0</v>
      </c>
      <c r="AG495" s="140">
        <f>IF(B489=B$2984,G$2984,AF494)</f>
        <v>0</v>
      </c>
      <c r="AH495" s="7"/>
      <c r="AI495" s="141">
        <f>MAX(AD495:AG495)</f>
        <v>0</v>
      </c>
      <c r="AJ495" s="48">
        <f>LEN(B489)</f>
        <v>0</v>
      </c>
      <c r="AK495" s="142" t="str">
        <f>IF(B495="",$AC$356,B495*AI495)</f>
        <v>in estimated</v>
      </c>
      <c r="AL495" s="48" t="s">
        <v>244</v>
      </c>
      <c r="AN495" s="48">
        <f>B495*AI495</f>
        <v>0</v>
      </c>
      <c r="AP495" s="143" t="str">
        <f>IF($C495=$D$2981,AP$356,"")</f>
        <v/>
      </c>
      <c r="AQ495" s="144" t="str">
        <f>IF($C495=$D$2982,AQ$356,"")</f>
        <v/>
      </c>
      <c r="AR495" s="145" t="str">
        <f>IF($C495=$D$2983,AR$356,"")</f>
        <v/>
      </c>
      <c r="AS495" s="146" t="str">
        <f>IF($C495=$D$2984,AS$356,"")</f>
        <v/>
      </c>
      <c r="AT495" s="147" t="str">
        <f>IF($C495=$D$2985,AT$356,"")</f>
        <v/>
      </c>
      <c r="AU495" s="148">
        <f>MAX(AP495:AS495)</f>
        <v>0</v>
      </c>
      <c r="AV495" s="142"/>
      <c r="AX495" s="101">
        <f>IF(AK495=$AC$356,0,AK495)</f>
        <v>0</v>
      </c>
      <c r="BB495" s="48"/>
      <c r="BG495" s="149">
        <f>BG491*0.95</f>
        <v>0</v>
      </c>
      <c r="BH495" s="149">
        <f>BH491*0.95</f>
        <v>0</v>
      </c>
      <c r="BI495" s="149">
        <f>BI491*0.95</f>
        <v>0</v>
      </c>
      <c r="BJ495" s="149">
        <f>BJ491*0.95</f>
        <v>0</v>
      </c>
    </row>
    <row r="496" spans="1:62" ht="14.5" thickTop="1" x14ac:dyDescent="0.3">
      <c r="A496" s="106"/>
      <c r="B496" s="106"/>
      <c r="C496" s="106"/>
      <c r="D496" s="106"/>
      <c r="E496" s="121"/>
      <c r="F496" s="1"/>
    </row>
    <row r="497" spans="1:68" x14ac:dyDescent="0.3">
      <c r="A497" s="106"/>
      <c r="B497" s="106"/>
      <c r="C497" s="106"/>
      <c r="D497" s="106"/>
      <c r="E497" s="121"/>
      <c r="F497" s="1"/>
    </row>
    <row r="498" spans="1:68" ht="25" customHeight="1" x14ac:dyDescent="0.3">
      <c r="A498" s="106"/>
      <c r="B498" s="154">
        <f>(D357+D367+D377+D387+D397+D407+D417+D427+D437+D447+D457+D467+D477+D487)*D2988</f>
        <v>0</v>
      </c>
      <c r="C498" s="155" t="str">
        <f>IF(B498&gt;0,"Verification progress","")</f>
        <v/>
      </c>
      <c r="D498" s="106"/>
      <c r="E498" s="121"/>
      <c r="F498" s="1"/>
      <c r="BG498" s="156">
        <f>BG361+BG371+BG381+BG391+BG401+BG411++BG421+BG431+BG441+BG451+BG461+BG471+BG481+BG491</f>
        <v>0</v>
      </c>
      <c r="BH498" s="156">
        <f>BH361+BH371+BH381+BH391+BH401+BH411++BH421+BH431+BH441+BH451+BH461+BH471+BH481+BH491</f>
        <v>0</v>
      </c>
      <c r="BI498" s="156">
        <f>BI361+BI371+BI381+BI391+BI401+BI411++BI421+BI431+BI441+BI451+BI461+BI471+BI481+BI491</f>
        <v>0</v>
      </c>
      <c r="BJ498" s="156">
        <f>BJ361+BJ371+BJ381+BJ391+BJ401+BJ411++BJ421+BJ431+BJ441+BJ451+BJ461+BJ471+BJ481+BJ491</f>
        <v>0</v>
      </c>
    </row>
    <row r="499" spans="1:68" ht="13.75" customHeight="1" x14ac:dyDescent="0.35">
      <c r="A499" s="106"/>
      <c r="B499" s="154"/>
      <c r="C499" s="106"/>
      <c r="D499" s="106"/>
      <c r="E499" s="121"/>
      <c r="F499" s="1"/>
      <c r="AK499" s="48">
        <f>SUM(AK365:AK495)</f>
        <v>0</v>
      </c>
      <c r="AL499" s="48" t="str">
        <f>AL495</f>
        <v xml:space="preserve"> hours</v>
      </c>
      <c r="AP499" s="48">
        <f>ROUNDUP(AX499,0)</f>
        <v>0</v>
      </c>
      <c r="AX499" s="48">
        <f>AX365+AX375+AX385+AX395+AX405+AX415+AX425+AX435+AX445+AX455+AX465+AX475+AX485+AX495</f>
        <v>0</v>
      </c>
      <c r="BB499" s="1024">
        <f>BB361+BB371+BB381+BB391+BB401+BB411+BB421+BB431+BB441+BB451+BB461+BB471+BB481+BB491</f>
        <v>0</v>
      </c>
      <c r="BC499" s="968"/>
      <c r="BD499" s="1024">
        <f>BD361+BD371+BD381+BD391+BD401+BD411+BD421+BD431+BD441+BD451+BD461+BD471+BD481+BD491</f>
        <v>0</v>
      </c>
      <c r="BE499" s="968"/>
      <c r="BF499" s="158">
        <f>BF494</f>
        <v>0.05</v>
      </c>
      <c r="BG499" s="159">
        <f t="shared" ref="BG499:BJ500" si="15">BG364+BG374++BG384+BG394+BG404+BG414+BG424+BG434+BG444+BG454+BG464+BG474+BG484+BG494</f>
        <v>0</v>
      </c>
      <c r="BH499" s="159">
        <f t="shared" si="15"/>
        <v>0</v>
      </c>
      <c r="BI499" s="159">
        <f t="shared" si="15"/>
        <v>0</v>
      </c>
      <c r="BJ499" s="159">
        <f t="shared" si="15"/>
        <v>0</v>
      </c>
    </row>
    <row r="500" spans="1:68" ht="16" customHeight="1" x14ac:dyDescent="0.35">
      <c r="A500" s="106"/>
      <c r="B500" s="1025"/>
      <c r="C500" s="1025"/>
      <c r="D500" s="590" t="s">
        <v>3930</v>
      </c>
      <c r="E500" s="121"/>
      <c r="F500" s="1"/>
      <c r="AF500" s="48" t="s">
        <v>3816</v>
      </c>
      <c r="BB500" s="157"/>
      <c r="BC500"/>
      <c r="BD500" s="157"/>
      <c r="BE500"/>
      <c r="BF500" s="160"/>
      <c r="BG500" s="161">
        <f t="shared" si="15"/>
        <v>0</v>
      </c>
      <c r="BH500" s="161">
        <f t="shared" si="15"/>
        <v>0</v>
      </c>
      <c r="BI500" s="161">
        <f t="shared" si="15"/>
        <v>0</v>
      </c>
      <c r="BJ500" s="161">
        <f>BJ365+BJ375++BJ385+BJ395+BJ405+BJ415+BJ425+BJ435+BJ445+BJ455+BJ465+BJ475+BJ485+BJ495</f>
        <v>0</v>
      </c>
    </row>
    <row r="501" spans="1:68" ht="13.75" customHeight="1" x14ac:dyDescent="0.35">
      <c r="A501" s="106"/>
      <c r="B501" s="106"/>
      <c r="C501" s="106"/>
      <c r="D501" s="106"/>
      <c r="E501" s="121"/>
      <c r="F501" s="1"/>
      <c r="AF501" s="48" t="s">
        <v>3817</v>
      </c>
      <c r="AZ501" s="48" t="str">
        <f>BG206</f>
        <v>Claimant</v>
      </c>
      <c r="BB501" s="157" t="s">
        <v>4087</v>
      </c>
      <c r="BC501"/>
      <c r="BD501" s="157" t="str">
        <f>AD1890</f>
        <v>my friend</v>
      </c>
      <c r="BE501"/>
      <c r="BF501" s="245" t="str">
        <f>IF(B500=B2989,D2989,IF(B500=B2990,D2990,IF(B500=B2991,D2991,IF(B500=B2992,D2992,IF(B500=B2993,D2993,IF(B500=B2994,D2994,IF(B500=B2995,D2995,IF(B500=B2996,D2996,IF(B500=B2997,D2997,IF(B500=B2998,D2998,""))))))))))</f>
        <v/>
      </c>
      <c r="BG501" s="48" t="str">
        <f>BJ206</f>
        <v>claimant's</v>
      </c>
      <c r="BH501" s="48" t="s">
        <v>4088</v>
      </c>
      <c r="BP501" s="622" t="str">
        <f>CONCATENATE(AZ501,BB501,BD501,BF501,BG501,BH501)</f>
        <v xml:space="preserve">Claimant needs your help, my friendclaimant's case documents. </v>
      </c>
    </row>
    <row r="502" spans="1:68" ht="13.75" customHeight="1" x14ac:dyDescent="0.35">
      <c r="A502" s="106"/>
      <c r="B502" s="162" t="s">
        <v>262</v>
      </c>
      <c r="C502" s="106"/>
      <c r="D502" s="106"/>
      <c r="E502" s="121"/>
      <c r="F502" s="1"/>
      <c r="AI502" s="48">
        <v>2</v>
      </c>
      <c r="AJ502" s="48">
        <f>AI502+2</f>
        <v>4</v>
      </c>
      <c r="AK502" s="48" t="s">
        <v>263</v>
      </c>
      <c r="BB502" s="157"/>
      <c r="BC502"/>
      <c r="BD502" s="157"/>
      <c r="BE502"/>
    </row>
    <row r="503" spans="1:68" s="166" customFormat="1" ht="20" customHeight="1" thickBot="1" x14ac:dyDescent="0.35">
      <c r="A503" s="162"/>
      <c r="B503" s="163" t="str">
        <f>IF(AND(AD518&gt;=AI502,AD518&lt;AJ502),AK502,IF(AND(AD518&gt;=AI503,AD518&lt;AJ503),AK503,IF(AND(AD518&gt;=AI504,AD518&lt;AJ504),AK504,AK502)))</f>
        <v>You can improve your baseline score by checking off these to-do list items.</v>
      </c>
      <c r="C503" s="162"/>
      <c r="D503" s="162"/>
      <c r="E503" s="164"/>
      <c r="F503" s="1"/>
      <c r="G503" s="165"/>
      <c r="H503" s="165"/>
      <c r="I503" s="165"/>
      <c r="J503" s="165"/>
      <c r="K503" s="165"/>
      <c r="L503" s="165"/>
      <c r="M503" s="165"/>
      <c r="N503" s="165"/>
      <c r="O503" s="165"/>
      <c r="P503" s="165"/>
      <c r="Q503" s="165"/>
      <c r="R503" s="165"/>
      <c r="S503" s="165"/>
      <c r="T503" s="165"/>
      <c r="U503" s="165"/>
      <c r="V503" s="165"/>
      <c r="W503" s="165"/>
      <c r="X503" s="165"/>
      <c r="Y503" s="165"/>
      <c r="Z503" s="165"/>
      <c r="AI503" s="166">
        <f>AJ502</f>
        <v>4</v>
      </c>
      <c r="AJ503" s="48">
        <f>AI503+5</f>
        <v>9</v>
      </c>
      <c r="AK503" s="48" t="s">
        <v>264</v>
      </c>
      <c r="BB503" s="167"/>
      <c r="BD503" s="167"/>
      <c r="BJ503" s="681"/>
      <c r="BP503" s="680" t="str">
        <f>CONCATENATE(BF501,BG501,BH501)</f>
        <v xml:space="preserve">claimant's case documents. </v>
      </c>
    </row>
    <row r="504" spans="1:68" ht="13.75" customHeight="1" thickTop="1" thickBot="1" x14ac:dyDescent="0.4">
      <c r="A504" s="106"/>
      <c r="B504" s="168" t="s">
        <v>265</v>
      </c>
      <c r="C504" s="169" t="s">
        <v>266</v>
      </c>
      <c r="D504" s="107"/>
      <c r="E504" s="121"/>
      <c r="F504" s="1"/>
      <c r="AD504" s="52">
        <f>SUM(AE504:AG504)</f>
        <v>1</v>
      </c>
      <c r="AE504" s="48">
        <f>IF(B504=AK516,1,0)</f>
        <v>1</v>
      </c>
      <c r="AF504" s="48">
        <f>IF(B504=AK517,2,0)</f>
        <v>0</v>
      </c>
      <c r="AG504" s="48">
        <f>IF(B504=AK518,3,0)</f>
        <v>0</v>
      </c>
      <c r="AI504" s="166">
        <f>AJ503</f>
        <v>9</v>
      </c>
      <c r="AJ504" s="48">
        <f>AI504+3</f>
        <v>12</v>
      </c>
      <c r="AK504" s="48" t="s">
        <v>267</v>
      </c>
      <c r="BB504" s="157" t="s">
        <v>4538</v>
      </c>
      <c r="BC504"/>
      <c r="BD504" s="157" t="str">
        <f>BG501</f>
        <v>claimant's</v>
      </c>
      <c r="BE504" t="s">
        <v>4537</v>
      </c>
      <c r="BF504" s="245" t="str">
        <f>IF(B500=B2989,AV2989,IF(B500=B2990,AV2990,IF(B500=B2991,AV2991,IF(B500=B2992,AV2992,IF(B500=B2993,AV2993,IF(B500=B2994,AV2994,IF(B500=B2995,AV2995,IF(B500=B2996,AV2996,IF(B500=B2997,AV2997,IF(B500=B2998,AV2998,""))))))))))</f>
        <v/>
      </c>
      <c r="BJ504" s="245" t="s">
        <v>885</v>
      </c>
      <c r="BP504" s="52" t="str">
        <f>CONCATENATE(BB504,BD504,BE504,BF504)</f>
        <v xml:space="preserve">, as claimant's support team works to </v>
      </c>
    </row>
    <row r="505" spans="1:68" ht="5" customHeight="1" thickTop="1" thickBot="1" x14ac:dyDescent="0.4">
      <c r="A505" s="107"/>
      <c r="B505" s="107"/>
      <c r="C505" s="169"/>
      <c r="D505" s="107"/>
      <c r="E505" s="121"/>
      <c r="F505" s="1"/>
      <c r="BB505" s="157"/>
      <c r="BC505"/>
      <c r="BD505" s="157"/>
      <c r="BE505"/>
    </row>
    <row r="506" spans="1:68" ht="13.75" customHeight="1" thickTop="1" thickBot="1" x14ac:dyDescent="0.4">
      <c r="A506" s="106"/>
      <c r="B506" s="168" t="s">
        <v>265</v>
      </c>
      <c r="C506" s="169" t="s">
        <v>269</v>
      </c>
      <c r="D506" s="107"/>
      <c r="E506" s="121"/>
      <c r="F506" s="1"/>
      <c r="AD506" s="52">
        <f>SUM(AE506:AG506)</f>
        <v>1</v>
      </c>
      <c r="AE506" s="48">
        <f>IF(B506=AK516,1,0)</f>
        <v>1</v>
      </c>
      <c r="AF506" s="48">
        <f>IF(B506=AK517,2,0)</f>
        <v>0</v>
      </c>
      <c r="AG506" s="48">
        <f>IF(B506=AK518,3,0)</f>
        <v>0</v>
      </c>
      <c r="BB506" s="157"/>
      <c r="BC506"/>
      <c r="BD506" s="157"/>
      <c r="BE506"/>
    </row>
    <row r="507" spans="1:68" ht="5" customHeight="1" thickTop="1" thickBot="1" x14ac:dyDescent="0.4">
      <c r="A507" s="107"/>
      <c r="B507" s="107"/>
      <c r="C507" s="169"/>
      <c r="D507" s="107"/>
      <c r="E507" s="121"/>
      <c r="F507" s="1"/>
      <c r="BB507" s="157"/>
      <c r="BC507"/>
      <c r="BD507" s="157"/>
      <c r="BE507"/>
    </row>
    <row r="508" spans="1:68" ht="13.75" hidden="1" customHeight="1" thickTop="1" thickBot="1" x14ac:dyDescent="0.4">
      <c r="A508" s="106"/>
      <c r="B508" s="170"/>
      <c r="C508" s="169"/>
      <c r="D508" s="107"/>
      <c r="E508" s="121"/>
      <c r="F508" s="1"/>
      <c r="AD508" s="52">
        <f>SUM(AE508:AG508)</f>
        <v>6</v>
      </c>
      <c r="AE508" s="48">
        <f>IF(B508=AK520,1,0)</f>
        <v>1</v>
      </c>
      <c r="AF508" s="48">
        <f>IF(B508=AK521,2,0)</f>
        <v>2</v>
      </c>
      <c r="AG508" s="48">
        <f>IF(B508=AK522,3,0)</f>
        <v>3</v>
      </c>
      <c r="BB508" s="157"/>
      <c r="BC508"/>
      <c r="BD508" s="157"/>
      <c r="BE508"/>
    </row>
    <row r="509" spans="1:68" ht="5" hidden="1" customHeight="1" thickTop="1" thickBot="1" x14ac:dyDescent="0.4">
      <c r="A509" s="107"/>
      <c r="B509" s="107"/>
      <c r="C509" s="169"/>
      <c r="D509" s="107"/>
      <c r="E509" s="121"/>
      <c r="F509" s="1"/>
      <c r="BB509" s="157"/>
      <c r="BC509"/>
      <c r="BD509" s="157"/>
      <c r="BE509"/>
    </row>
    <row r="510" spans="1:68" ht="13.75" hidden="1" customHeight="1" thickTop="1" thickBot="1" x14ac:dyDescent="0.4">
      <c r="A510" s="106"/>
      <c r="B510" s="170"/>
      <c r="C510" s="169"/>
      <c r="D510" s="107"/>
      <c r="E510" s="121"/>
      <c r="F510" s="1"/>
      <c r="AD510" s="52" t="e">
        <f>SUM(AE510:AG510)</f>
        <v>#REF!</v>
      </c>
      <c r="AE510" s="48">
        <f>IF(B510=AK522,1,0)</f>
        <v>1</v>
      </c>
      <c r="AF510" s="48">
        <f>IF(B510=AK523,2,0)</f>
        <v>2</v>
      </c>
      <c r="AG510" s="48" t="e">
        <f>IF(B510=#REF!,3,0)</f>
        <v>#REF!</v>
      </c>
      <c r="BB510" s="157"/>
      <c r="BC510"/>
      <c r="BD510" s="157"/>
      <c r="BE510"/>
    </row>
    <row r="511" spans="1:68" ht="5" hidden="1" customHeight="1" thickTop="1" thickBot="1" x14ac:dyDescent="0.4">
      <c r="A511" s="107"/>
      <c r="B511" s="107"/>
      <c r="C511" s="169"/>
      <c r="D511" s="107"/>
      <c r="E511" s="121"/>
      <c r="F511" s="1"/>
      <c r="BB511" s="157"/>
      <c r="BC511"/>
      <c r="BD511" s="157"/>
      <c r="BE511"/>
    </row>
    <row r="512" spans="1:68" ht="13.75" hidden="1" customHeight="1" thickTop="1" thickBot="1" x14ac:dyDescent="0.4">
      <c r="A512" s="106"/>
      <c r="B512" s="170"/>
      <c r="C512" s="169"/>
      <c r="D512" s="107"/>
      <c r="E512" s="121"/>
      <c r="F512" s="1"/>
      <c r="AD512" s="52" t="e">
        <f>SUM(AE512:AG512)</f>
        <v>#REF!</v>
      </c>
      <c r="AE512" s="48" t="e">
        <f>IF(B512=#REF!,1,0)</f>
        <v>#REF!</v>
      </c>
      <c r="AF512" s="48">
        <f>IF(B512=AK525,2,0)</f>
        <v>2</v>
      </c>
      <c r="AG512" s="48">
        <f>IF(B512=AK526,3,0)</f>
        <v>3</v>
      </c>
      <c r="BB512" s="157"/>
      <c r="BC512"/>
      <c r="BD512" s="157"/>
      <c r="BE512"/>
    </row>
    <row r="513" spans="1:68" ht="5" hidden="1" customHeight="1" thickTop="1" thickBot="1" x14ac:dyDescent="0.4">
      <c r="A513" s="107"/>
      <c r="B513" s="107"/>
      <c r="C513" s="169"/>
      <c r="D513" s="107"/>
      <c r="E513" s="121"/>
      <c r="F513" s="1"/>
      <c r="BB513" s="157"/>
      <c r="BC513"/>
      <c r="BD513" s="157"/>
      <c r="BE513"/>
    </row>
    <row r="514" spans="1:68" ht="13.75" hidden="1" customHeight="1" thickTop="1" thickBot="1" x14ac:dyDescent="0.4">
      <c r="A514" s="106"/>
      <c r="B514" s="170"/>
      <c r="C514" s="169"/>
      <c r="D514" s="107"/>
      <c r="E514" s="121"/>
      <c r="F514" s="1"/>
      <c r="AD514" s="52">
        <f>SUM(AE514:AG514)</f>
        <v>6</v>
      </c>
      <c r="AE514" s="48">
        <f>IF(B514=AK526,1,0)</f>
        <v>1</v>
      </c>
      <c r="AF514" s="48">
        <f>IF(B514=AK527,2,0)</f>
        <v>2</v>
      </c>
      <c r="AG514" s="48">
        <f>IF(B514=AK528,3,0)</f>
        <v>3</v>
      </c>
      <c r="BB514" s="157"/>
      <c r="BC514"/>
      <c r="BD514" s="157"/>
      <c r="BE514"/>
    </row>
    <row r="515" spans="1:68" ht="5" hidden="1" customHeight="1" thickTop="1" thickBot="1" x14ac:dyDescent="0.4">
      <c r="A515" s="107"/>
      <c r="B515" s="107"/>
      <c r="C515" s="169"/>
      <c r="D515" s="107"/>
      <c r="E515" s="121"/>
      <c r="F515" s="1"/>
      <c r="BB515" s="157"/>
      <c r="BC515"/>
      <c r="BD515" s="157"/>
      <c r="BE515"/>
    </row>
    <row r="516" spans="1:68" ht="13.75" customHeight="1" thickTop="1" thickBot="1" x14ac:dyDescent="0.4">
      <c r="A516" s="106"/>
      <c r="B516" s="168" t="s">
        <v>265</v>
      </c>
      <c r="C516" s="169" t="s">
        <v>271</v>
      </c>
      <c r="D516" s="107"/>
      <c r="E516" s="121"/>
      <c r="F516" s="1"/>
      <c r="AD516" s="52">
        <f>SUM(AE516:AG516)</f>
        <v>1</v>
      </c>
      <c r="AE516" s="48">
        <f>IF(B516=AK516,1,0)</f>
        <v>1</v>
      </c>
      <c r="AF516" s="48">
        <f>IF(B516=AK517,2,0)</f>
        <v>0</v>
      </c>
      <c r="AG516" s="48">
        <f>IF(B516=AK518,3,0)</f>
        <v>0</v>
      </c>
      <c r="AK516" s="48" t="s">
        <v>265</v>
      </c>
      <c r="BB516" s="157"/>
      <c r="BC516"/>
      <c r="BD516" s="157"/>
      <c r="BE516"/>
    </row>
    <row r="517" spans="1:68" ht="5" customHeight="1" thickTop="1" x14ac:dyDescent="0.35">
      <c r="A517" s="106"/>
      <c r="B517" s="106"/>
      <c r="C517" s="106"/>
      <c r="D517" s="107"/>
      <c r="E517" s="121"/>
      <c r="F517" s="1"/>
      <c r="AK517" s="48" t="s">
        <v>270</v>
      </c>
      <c r="BB517" s="157"/>
      <c r="BC517"/>
      <c r="BD517" s="157"/>
      <c r="BE517"/>
    </row>
    <row r="518" spans="1:68" ht="13.75" customHeight="1" x14ac:dyDescent="0.35">
      <c r="A518" s="106"/>
      <c r="B518" s="171" t="s">
        <v>272</v>
      </c>
      <c r="C518" s="107"/>
      <c r="D518" s="107"/>
      <c r="E518" s="121"/>
      <c r="F518" s="1"/>
      <c r="AD518" s="172">
        <f>AD504+AD506+AD516</f>
        <v>3</v>
      </c>
      <c r="AK518" s="48" t="s">
        <v>268</v>
      </c>
      <c r="BB518" s="157"/>
      <c r="BC518"/>
      <c r="BD518" s="157"/>
      <c r="BE518"/>
    </row>
    <row r="519" spans="1:68" ht="13.75" customHeight="1" x14ac:dyDescent="0.35">
      <c r="A519" s="106"/>
      <c r="B519" s="171" t="s">
        <v>273</v>
      </c>
      <c r="C519" s="106"/>
      <c r="D519" s="106"/>
      <c r="E519" s="121"/>
      <c r="F519" s="1"/>
      <c r="BB519" s="157"/>
      <c r="BC519"/>
      <c r="BD519" s="157"/>
      <c r="BE519"/>
    </row>
    <row r="520" spans="1:68" ht="14" customHeight="1" x14ac:dyDescent="0.3">
      <c r="A520" s="106"/>
      <c r="B520" s="106"/>
      <c r="C520" s="106"/>
      <c r="D520" s="106"/>
      <c r="E520" s="121"/>
      <c r="F520" s="1"/>
      <c r="AB520" s="48" t="str">
        <f>AB521</f>
        <v xml:space="preserve">No significant factors common in exonerations. </v>
      </c>
    </row>
    <row r="521" spans="1:68" ht="30" customHeight="1" x14ac:dyDescent="0.3">
      <c r="A521" s="1199" t="s">
        <v>66</v>
      </c>
      <c r="B521" s="1200" t="s">
        <v>274</v>
      </c>
      <c r="C521" s="1200"/>
      <c r="D521" s="1200"/>
      <c r="E521" s="436"/>
      <c r="F521" s="436" t="s">
        <v>869</v>
      </c>
      <c r="AB521" s="618" t="str">
        <f>IF(AND(B527&lt;&gt;$B$3008,B532&lt;&gt;$B$3008,B538&lt;&gt;$B$3008,B543&lt;&gt;$B$3008,B549&lt;&gt;$B$3008,B554&lt;&gt;$B$3008),"No significant factors common in exonerations. ",CONCATENATE(AJ521,AM521,AN521,AO521,AP521,AQ521,AR521,AS521,AT521,AU521,AV521,AZ521))</f>
        <v xml:space="preserve">No significant factors common in exonerations. </v>
      </c>
      <c r="AJ521" s="48" t="s">
        <v>4027</v>
      </c>
      <c r="AM521" s="48" t="str">
        <f>IF(AM523="","",AM523)</f>
        <v/>
      </c>
      <c r="AN521" s="48" t="str">
        <f>IF(AO521="","",", ")</f>
        <v/>
      </c>
      <c r="AO521" s="48" t="str">
        <f>AM528</f>
        <v/>
      </c>
      <c r="AP521" s="48" t="str">
        <f>IF(AQ521="","",", ")</f>
        <v/>
      </c>
      <c r="AQ521" s="48" t="str">
        <f>AM534</f>
        <v/>
      </c>
      <c r="AR521" s="48" t="str">
        <f>IF(AS521="","",", ")</f>
        <v/>
      </c>
      <c r="AS521" s="48" t="str">
        <f>AM539</f>
        <v/>
      </c>
      <c r="AT521" s="48" t="str">
        <f>IF(AU521="","",", ")</f>
        <v/>
      </c>
      <c r="AU521" s="48" t="str">
        <f>AM545</f>
        <v/>
      </c>
      <c r="AV521" s="48" t="str">
        <f>IF(AW521="","",", ")</f>
        <v/>
      </c>
      <c r="AX521" s="48" t="str">
        <f>AM550</f>
        <v/>
      </c>
      <c r="AZ521" s="48" t="s">
        <v>4031</v>
      </c>
      <c r="BG521" s="621">
        <f>AK523+AK528+AK534+AK539+AK545+AK550</f>
        <v>0</v>
      </c>
      <c r="BH521" s="48" t="str">
        <f>IF(OR(C202=AD202,C202=""),"Claimant",C202)</f>
        <v>Claimant</v>
      </c>
      <c r="BI521" s="48" t="s">
        <v>4033</v>
      </c>
      <c r="BJ521" s="48" t="str">
        <f>IF(BG521=0,"no",IF(BG521=1,"one",IF(BG521=2,"two",IF(BG521=3,"three",IF(BG521=4,"four",IF(BG521=5,"five",IF(BG521=6,"six",IF(BG521=7,"seven",IF(BG521=8,"eight",IF(BG521=9,"nine",IF(BG521=10,"ten","")))))))))))</f>
        <v>no</v>
      </c>
      <c r="BK521" s="48" t="s">
        <v>4038</v>
      </c>
      <c r="BL521" s="48" t="str">
        <f>IF(BG521=1,"factor","factors")</f>
        <v>factors</v>
      </c>
      <c r="BM521" s="48" t="s">
        <v>4035</v>
      </c>
      <c r="BN521" s="48" t="s">
        <v>4029</v>
      </c>
      <c r="BO521" s="48" t="s">
        <v>4034</v>
      </c>
      <c r="BP521" s="622" t="str">
        <f>CONCATENATE(BH521,BI521,BJ521,BK521,BL521,BM521,BN521)</f>
        <v xml:space="preserve">Claimant asserts no of six known factors common in wrongful convictions. </v>
      </c>
    </row>
    <row r="522" spans="1:68" s="109" customFormat="1" ht="20" customHeight="1" x14ac:dyDescent="0.3">
      <c r="A522" s="97" t="s">
        <v>275</v>
      </c>
      <c r="B522" s="98"/>
      <c r="C522" s="98"/>
      <c r="D522" s="98"/>
      <c r="E522" s="174"/>
      <c r="F522" s="97"/>
      <c r="G522" s="108"/>
      <c r="H522" s="108"/>
      <c r="I522" s="108"/>
      <c r="J522" s="108"/>
      <c r="K522" s="108"/>
      <c r="L522" s="108"/>
      <c r="M522" s="108"/>
      <c r="N522" s="108"/>
      <c r="O522" s="108"/>
      <c r="P522" s="108"/>
      <c r="Q522" s="108"/>
      <c r="R522" s="108"/>
      <c r="S522" s="108"/>
      <c r="T522" s="108"/>
      <c r="U522" s="108"/>
      <c r="V522" s="108"/>
      <c r="W522" s="108"/>
      <c r="X522" s="108"/>
      <c r="Y522" s="108"/>
      <c r="Z522" s="108"/>
      <c r="AA522" s="48"/>
      <c r="AB522" s="175">
        <v>0</v>
      </c>
      <c r="AC522" s="176">
        <f>AD522/2</f>
        <v>1.25</v>
      </c>
      <c r="AD522" s="177">
        <f>AE522/2</f>
        <v>2.5</v>
      </c>
      <c r="AE522" s="178">
        <v>5</v>
      </c>
      <c r="AN522" s="179">
        <f>AE522*-2</f>
        <v>-10</v>
      </c>
      <c r="AO522" s="175">
        <f>AE522*-1</f>
        <v>-5</v>
      </c>
      <c r="AP522" s="175">
        <f>AD522*-1</f>
        <v>-2.5</v>
      </c>
      <c r="AQ522" s="180">
        <f>AE522*-0.1</f>
        <v>-0.5</v>
      </c>
      <c r="AR522" s="180">
        <v>0</v>
      </c>
      <c r="AS522" s="180">
        <f>AE522*0.1</f>
        <v>0.5</v>
      </c>
      <c r="AT522" s="177">
        <f>AD522</f>
        <v>2.5</v>
      </c>
      <c r="AU522" s="178">
        <f>AE522</f>
        <v>5</v>
      </c>
      <c r="AV522" s="181"/>
      <c r="BB522" s="182"/>
      <c r="BG522" s="183">
        <f>MIN(BI522:BJ522)</f>
        <v>0</v>
      </c>
      <c r="BH522" s="377"/>
      <c r="BI522" s="109">
        <v>0.5</v>
      </c>
      <c r="BJ522" s="182">
        <f>AQ343*0.01</f>
        <v>0</v>
      </c>
      <c r="BP522" s="623" t="str">
        <f>IF(BG521=0,"",CONCATENATE(BH521,BI521,BJ521,BK521,BO521,AM521,AN521,AO521,AP521,AQ521,AR521,AS521,AT521,AU521,AV521,AX521,AZ521))</f>
        <v/>
      </c>
    </row>
    <row r="523" spans="1:68" ht="20" customHeight="1" x14ac:dyDescent="0.3">
      <c r="A523" s="184">
        <f>A487+1</f>
        <v>15</v>
      </c>
      <c r="B523" s="184" t="s">
        <v>276</v>
      </c>
      <c r="C523" s="184"/>
      <c r="D523" s="185" t="str">
        <f>IF(B525="","If claimed, explain in white box below.","")</f>
        <v>If claimed, explain in white box below.</v>
      </c>
      <c r="E523" s="184"/>
      <c r="F523" s="1"/>
      <c r="AB523" s="48">
        <f>A523</f>
        <v>15</v>
      </c>
      <c r="AC523" s="48" t="s">
        <v>3986</v>
      </c>
      <c r="AK523" s="620">
        <f>IF(AL523=0,0,1)</f>
        <v>0</v>
      </c>
      <c r="AL523" s="48">
        <f>IF(B527=B$3005,E$3005,IF(B527=B$3006,E$3006,IF(B527=B$3007,E$3007,IF(B527=B$3008,E$3008,0))))</f>
        <v>0</v>
      </c>
      <c r="AM523" s="233" t="str">
        <f>IF(AL523=$E$3008,AC523,"")</f>
        <v/>
      </c>
    </row>
    <row r="524" spans="1:68" ht="45" customHeight="1" x14ac:dyDescent="0.3">
      <c r="A524" s="186"/>
      <c r="B524" s="1031" t="s">
        <v>5479</v>
      </c>
      <c r="C524" s="1032"/>
      <c r="D524" s="1033"/>
      <c r="E524" s="187"/>
      <c r="F524" s="1"/>
    </row>
    <row r="525" spans="1:68" ht="205" customHeight="1" thickBot="1" x14ac:dyDescent="0.35">
      <c r="A525" s="186"/>
      <c r="B525" s="1026"/>
      <c r="C525" s="1027"/>
      <c r="D525" s="1028"/>
      <c r="E525" s="187"/>
      <c r="F525" s="1"/>
      <c r="AA525" s="48">
        <v>1</v>
      </c>
      <c r="AB525" s="849">
        <f>IF(B527="",0,1)</f>
        <v>0</v>
      </c>
      <c r="AC525" s="853">
        <f>IF(B527=B$3005,D$3005,IF(B527=B$3006,D$3006,IF(B527=B$3007,D$3007,IF(B527=B$3008,D$3008,0))))</f>
        <v>0</v>
      </c>
      <c r="AE525" s="850">
        <f>IF(D527=B$3019,E$3019,IF(D527=B$3020,E$3020,IF(D527=B$3021,E$3021,IF(D527=B$3022,E$3022,IF(D527=B$3023,E$3023,IF(D527=B$3024,E$3024,IF(D527=B$3025,E$3025,IF(D527=B$3026,E$3026,D30409))))))))</f>
        <v>0</v>
      </c>
      <c r="BG525" s="52" t="s">
        <v>277</v>
      </c>
    </row>
    <row r="526" spans="1:68" ht="15" customHeight="1" thickTop="1" thickBot="1" x14ac:dyDescent="0.35">
      <c r="A526" s="186"/>
      <c r="B526" s="188" t="str">
        <f>IF(B525="","","Claimed?")</f>
        <v/>
      </c>
      <c r="C526" s="188" t="str">
        <f>IF(B526="","","Verifiable?")</f>
        <v/>
      </c>
      <c r="D526" s="189" t="str">
        <f>IF(C527="","","Independent verification")</f>
        <v/>
      </c>
      <c r="E526" s="1029">
        <f>BI527</f>
        <v>0</v>
      </c>
      <c r="F526" s="1030"/>
      <c r="AA526" s="52"/>
      <c r="AB526" s="52" t="s">
        <v>278</v>
      </c>
      <c r="AF526" s="151"/>
      <c r="AG526" s="52" t="s">
        <v>279</v>
      </c>
      <c r="AM526" s="151"/>
      <c r="AN526" s="52" t="s">
        <v>280</v>
      </c>
      <c r="AV526" s="190"/>
      <c r="AX526" s="191" t="s">
        <v>281</v>
      </c>
      <c r="AZ526" s="192" t="s">
        <v>282</v>
      </c>
      <c r="BB526" s="193" t="s">
        <v>283</v>
      </c>
      <c r="BD526" s="192" t="s">
        <v>284</v>
      </c>
      <c r="BG526" s="194" t="s">
        <v>281</v>
      </c>
      <c r="BH526" s="195" t="s">
        <v>282</v>
      </c>
      <c r="BI526" s="194" t="s">
        <v>285</v>
      </c>
      <c r="BJ526" s="195" t="s">
        <v>286</v>
      </c>
    </row>
    <row r="527" spans="1:68" ht="13.75" customHeight="1" thickTop="1" thickBot="1" x14ac:dyDescent="0.35">
      <c r="A527" s="186"/>
      <c r="B527" s="196"/>
      <c r="C527" s="197"/>
      <c r="D527" s="198"/>
      <c r="E527" s="1029">
        <f>BJ527</f>
        <v>0</v>
      </c>
      <c r="F527" s="1030"/>
      <c r="AA527" s="101"/>
      <c r="AB527" s="101">
        <f>IF(B527=$B$3005,$AB$522,0)</f>
        <v>0</v>
      </c>
      <c r="AC527" s="101">
        <f>IF(B527=$B$3006,$AC$522,0)</f>
        <v>0</v>
      </c>
      <c r="AD527" s="101">
        <f>IF(B527=$B$3007,$AD$522,0)</f>
        <v>0</v>
      </c>
      <c r="AE527" s="101">
        <f>IF(B527=$B$3008,$AE$522,0)</f>
        <v>0</v>
      </c>
      <c r="AF527" s="122">
        <f>SUM(AB527:AE527)</f>
        <v>0</v>
      </c>
      <c r="AG527" s="101">
        <f>IF(C527=$B$3011,$E$3011,0)</f>
        <v>0</v>
      </c>
      <c r="AH527" s="101">
        <f>IF(C527=$B$3012,$E$3012,0)</f>
        <v>0</v>
      </c>
      <c r="AI527" s="101">
        <f>IF(C527=$B$3013,$E$3013,0)</f>
        <v>0</v>
      </c>
      <c r="AJ527" s="101">
        <f>IF(C527=$B$3014,$E$3014,0)</f>
        <v>0</v>
      </c>
      <c r="AK527" s="101">
        <f>IF(C527=$B$3015,$E$3015,0)</f>
        <v>0</v>
      </c>
      <c r="AL527" s="101">
        <f>IF(C527=$B$3016,$E$3016,0)</f>
        <v>0</v>
      </c>
      <c r="AM527" s="122">
        <f>SUM(AG527:AL527)</f>
        <v>0</v>
      </c>
      <c r="AN527" s="101">
        <f>IF($D527=$B$3019,AN$522,0)</f>
        <v>0</v>
      </c>
      <c r="AO527" s="101">
        <f>IF($D527=$B$3020,AO$522,0)</f>
        <v>0</v>
      </c>
      <c r="AP527" s="101">
        <f>IF($D527=$B$3021,AP$522,0)</f>
        <v>0</v>
      </c>
      <c r="AQ527" s="101">
        <f>IF($D527=$B$3022,AQ$522,0)</f>
        <v>0</v>
      </c>
      <c r="AR527" s="101">
        <f>IF($D527=$B$3023,AR$522,0)</f>
        <v>0</v>
      </c>
      <c r="AS527" s="101">
        <f>IF($D527=$B$3024,AS$522,0)</f>
        <v>0</v>
      </c>
      <c r="AT527" s="101">
        <f>IF($D527=$B$3025,AT$522,0)</f>
        <v>0</v>
      </c>
      <c r="AU527" s="101">
        <f>IF($D527=$B$3026,AU$522,0)</f>
        <v>0</v>
      </c>
      <c r="AV527" s="199">
        <f>SUM(AN527:AU527)</f>
        <v>0</v>
      </c>
      <c r="AX527" s="200">
        <f>AF527*AM527</f>
        <v>0</v>
      </c>
      <c r="AZ527" s="146">
        <f>AX527+(AV527*AM527)</f>
        <v>0</v>
      </c>
      <c r="BB527" s="201">
        <f>(AF527*AM527)*0.01</f>
        <v>0</v>
      </c>
      <c r="BD527" s="202">
        <f>AZ527*0.01</f>
        <v>0</v>
      </c>
      <c r="BE527" s="377"/>
      <c r="BG527" s="201">
        <f>IF(AF527&gt;0,BG522+BB527,BG522)</f>
        <v>0</v>
      </c>
      <c r="BH527" s="202">
        <f>IF(AV527&gt;0,BG522+BD527,BG522)</f>
        <v>0</v>
      </c>
      <c r="BI527" s="201">
        <f>IF(BG527&gt;0.99,0.99,BG527)</f>
        <v>0</v>
      </c>
      <c r="BJ527" s="202">
        <f>IF(BH527&gt;0.99,0.99,BH527)</f>
        <v>0</v>
      </c>
    </row>
    <row r="528" spans="1:68" ht="20" customHeight="1" thickTop="1" x14ac:dyDescent="0.3">
      <c r="A528" s="184">
        <f>A523+1</f>
        <v>16</v>
      </c>
      <c r="B528" s="184" t="s">
        <v>288</v>
      </c>
      <c r="C528" s="184"/>
      <c r="D528" s="185" t="str">
        <f>IF(B530="","If claimed, explain in white box below.","")</f>
        <v>If claimed, explain in white box below.</v>
      </c>
      <c r="E528" s="187"/>
      <c r="F528" s="1"/>
      <c r="AB528" s="48">
        <f>A528</f>
        <v>16</v>
      </c>
      <c r="AC528" s="48" t="s">
        <v>3987</v>
      </c>
      <c r="AK528" s="620">
        <f>IF(AL528=0,0,1)</f>
        <v>0</v>
      </c>
      <c r="AL528" s="48">
        <f>IF(B532=B$3005,E$3005,IF(B532=B$3006,E$3006,IF(B532=B$3007,E$3007,IF(B532=B$3008,E$3008,0))))</f>
        <v>0</v>
      </c>
      <c r="AM528" s="233" t="str">
        <f>IF(AL528=$E$3008,AC528,"")</f>
        <v/>
      </c>
      <c r="AZ528" s="203">
        <f>IF(AV527=0,0,(AX527+(AV527*AM527)))</f>
        <v>0</v>
      </c>
    </row>
    <row r="529" spans="1:62" ht="45" customHeight="1" x14ac:dyDescent="0.3">
      <c r="A529" s="186"/>
      <c r="B529" s="1031" t="s">
        <v>289</v>
      </c>
      <c r="C529" s="1032"/>
      <c r="D529" s="1033"/>
      <c r="E529" s="187"/>
      <c r="F529" s="1"/>
    </row>
    <row r="530" spans="1:62" ht="220" customHeight="1" thickBot="1" x14ac:dyDescent="0.35">
      <c r="A530" s="186"/>
      <c r="B530" s="1026"/>
      <c r="C530" s="1027"/>
      <c r="D530" s="1028"/>
      <c r="E530" s="187"/>
      <c r="F530" s="1"/>
      <c r="AA530" s="48">
        <f>AA525+1</f>
        <v>2</v>
      </c>
      <c r="AB530" s="849">
        <f>IF(B532="",0,1)</f>
        <v>0</v>
      </c>
      <c r="AE530" s="850">
        <f>IF(D532=B$3019,E$3019,IF(D532=B$3020,E$3020,IF(D532=B$3021,E$3021,IF(D532=B$3022,E$3022,IF(D532=B$3023,E$3023,IF(D532=B$3024,E$3024,IF(D532=B$3025,E$3025,IF(D532=B$3026,E$3026,D30414))))))))</f>
        <v>0</v>
      </c>
    </row>
    <row r="531" spans="1:62" ht="13.75" customHeight="1" thickTop="1" thickBot="1" x14ac:dyDescent="0.35">
      <c r="A531" s="186"/>
      <c r="B531" s="188" t="str">
        <f>IF(B530="","","Claimed?")</f>
        <v/>
      </c>
      <c r="C531" s="188" t="str">
        <f>IF(B531="","","Verifiable?")</f>
        <v/>
      </c>
      <c r="D531" s="189" t="str">
        <f>IF(C532="","","Independent verification")</f>
        <v/>
      </c>
      <c r="E531" s="1029">
        <f>BI532</f>
        <v>0</v>
      </c>
      <c r="F531" s="1030"/>
      <c r="AA531" s="52"/>
      <c r="AB531" s="52" t="s">
        <v>278</v>
      </c>
      <c r="AF531" s="204"/>
      <c r="AG531" s="52" t="s">
        <v>279</v>
      </c>
      <c r="AM531" s="205"/>
      <c r="AN531" s="52" t="s">
        <v>280</v>
      </c>
      <c r="AV531" s="206"/>
      <c r="AX531" s="191" t="s">
        <v>281</v>
      </c>
      <c r="AZ531" s="192" t="s">
        <v>282</v>
      </c>
      <c r="BB531" s="193" t="s">
        <v>283</v>
      </c>
      <c r="BD531" s="192" t="s">
        <v>284</v>
      </c>
      <c r="BG531" s="194" t="s">
        <v>290</v>
      </c>
      <c r="BH531" s="195" t="s">
        <v>291</v>
      </c>
      <c r="BI531" s="194" t="s">
        <v>285</v>
      </c>
      <c r="BJ531" s="195" t="s">
        <v>286</v>
      </c>
    </row>
    <row r="532" spans="1:62" ht="15" thickTop="1" thickBot="1" x14ac:dyDescent="0.35">
      <c r="A532" s="186"/>
      <c r="B532" s="196"/>
      <c r="C532" s="197"/>
      <c r="D532" s="207"/>
      <c r="E532" s="1029">
        <f>BJ532</f>
        <v>0</v>
      </c>
      <c r="F532" s="1030"/>
      <c r="AA532" s="101"/>
      <c r="AB532" s="101">
        <f>IF(B532=$B$3005,$AB$522,0)</f>
        <v>0</v>
      </c>
      <c r="AC532" s="101">
        <f>IF(B532=$B$3006,$AC$522,0)</f>
        <v>0</v>
      </c>
      <c r="AD532" s="101">
        <f>IF(B532=$B$3007,$AD$522,0)</f>
        <v>0</v>
      </c>
      <c r="AE532" s="101">
        <f>IF(B532=$B$3008,$AE$522,0)</f>
        <v>0</v>
      </c>
      <c r="AF532" s="208">
        <f>SUM(AB532:AE532)</f>
        <v>0</v>
      </c>
      <c r="AG532" s="101">
        <f>IF(C532=$B$3011,$E$3011,0)</f>
        <v>0</v>
      </c>
      <c r="AH532" s="101">
        <f>IF(C532=$B$3012,$E$3012,0)</f>
        <v>0</v>
      </c>
      <c r="AI532" s="101">
        <f>IF(C532=$B$3013,$E$3013,0)</f>
        <v>0</v>
      </c>
      <c r="AJ532" s="101">
        <f>IF(C532=$B$3014,$E$3014,0)</f>
        <v>0</v>
      </c>
      <c r="AK532" s="101">
        <f>IF(C532=$B$3015,$E$3015,0)</f>
        <v>0</v>
      </c>
      <c r="AL532" s="101">
        <f>IF(C532=$B$3016,$E$3016,0)</f>
        <v>0</v>
      </c>
      <c r="AM532" s="209">
        <f>SUM(AG532:AL532)</f>
        <v>0</v>
      </c>
      <c r="AN532" s="101">
        <f>IF($D532=$B$3019,AN$522,0)</f>
        <v>0</v>
      </c>
      <c r="AO532" s="101">
        <f>IF($D532=$B$3020,AO$522,0)</f>
        <v>0</v>
      </c>
      <c r="AP532" s="101">
        <f>IF($D532=$B$3021,AP$522,0)</f>
        <v>0</v>
      </c>
      <c r="AQ532" s="101">
        <f>IF($D532=$B$3022,AQ$522,0)</f>
        <v>0</v>
      </c>
      <c r="AR532" s="101">
        <f>IF($D532=$B$3023,AR$522,0)</f>
        <v>0</v>
      </c>
      <c r="AS532" s="101">
        <f>IF($D532=$B$3024,AS$522,0)</f>
        <v>0</v>
      </c>
      <c r="AT532" s="101">
        <f>IF($D532=$B$3025,AT$522,0)</f>
        <v>0</v>
      </c>
      <c r="AU532" s="101">
        <f>IF($D532=$B$3026,AU$522,0)</f>
        <v>0</v>
      </c>
      <c r="AV532" s="210">
        <f>SUM(AN532:AU532)</f>
        <v>0</v>
      </c>
      <c r="AX532" s="200">
        <f>AF532*AM532</f>
        <v>0</v>
      </c>
      <c r="AZ532" s="146">
        <f>AX532+(AV532*AM532)</f>
        <v>0</v>
      </c>
      <c r="BB532" s="201">
        <f>(AF532*AM532)*0.01</f>
        <v>0</v>
      </c>
      <c r="BD532" s="202">
        <f>AZ532*0.01</f>
        <v>0</v>
      </c>
      <c r="BE532" s="377"/>
      <c r="BG532" s="201">
        <f>IF(AF532&gt;0,BG527+BB532,BG527)</f>
        <v>0</v>
      </c>
      <c r="BH532" s="202">
        <f>IF(AV532&gt;0,BH527+BD532,BH527)</f>
        <v>0</v>
      </c>
      <c r="BI532" s="201">
        <f>IF(BG532&gt;0.99,0.99,BG532)</f>
        <v>0</v>
      </c>
      <c r="BJ532" s="202">
        <f>IF(BH532&gt;0.99,0.99,BH532)</f>
        <v>0</v>
      </c>
    </row>
    <row r="533" spans="1:62" ht="5" customHeight="1" thickTop="1" x14ac:dyDescent="0.3">
      <c r="A533" s="187"/>
      <c r="B533" s="187"/>
      <c r="C533" s="187"/>
      <c r="D533" s="187"/>
      <c r="E533" s="187"/>
      <c r="F533" s="1"/>
    </row>
    <row r="534" spans="1:62" ht="20" customHeight="1" x14ac:dyDescent="0.3">
      <c r="A534" s="184">
        <f>A528+1</f>
        <v>17</v>
      </c>
      <c r="B534" s="184" t="s">
        <v>292</v>
      </c>
      <c r="C534" s="184"/>
      <c r="D534" s="185" t="str">
        <f>IF(B536="","If claimed, explain in white box below.","")</f>
        <v>If claimed, explain in white box below.</v>
      </c>
      <c r="E534" s="187"/>
      <c r="F534" s="1"/>
      <c r="AB534" s="48">
        <f>A534</f>
        <v>17</v>
      </c>
      <c r="AC534" s="48" t="s">
        <v>4028</v>
      </c>
      <c r="AK534" s="620">
        <f>IF(AL534=0,0,1)</f>
        <v>0</v>
      </c>
      <c r="AL534" s="48">
        <f>IF(B538=B$3005,E$3005,IF(B538=B$3006,E$3006,IF(B538=B$3007,E$3007,IF(B538=B$3008,E$3008,0))))</f>
        <v>0</v>
      </c>
      <c r="AM534" s="233" t="str">
        <f>IF(AL534=$E$3008,AC534,"")</f>
        <v/>
      </c>
    </row>
    <row r="535" spans="1:62" ht="45" customHeight="1" x14ac:dyDescent="0.3">
      <c r="A535" s="186"/>
      <c r="B535" s="1031" t="s">
        <v>293</v>
      </c>
      <c r="C535" s="1032"/>
      <c r="D535" s="1033"/>
      <c r="E535" s="187"/>
      <c r="F535" s="1"/>
    </row>
    <row r="536" spans="1:62" ht="235" customHeight="1" thickBot="1" x14ac:dyDescent="0.35">
      <c r="A536" s="186"/>
      <c r="B536" s="1026"/>
      <c r="C536" s="1027"/>
      <c r="D536" s="1028"/>
      <c r="E536" s="187"/>
      <c r="F536" s="1"/>
      <c r="AA536" s="48">
        <f>AA530+1</f>
        <v>3</v>
      </c>
      <c r="AB536" s="849">
        <f>IF(B538="",0,1)</f>
        <v>0</v>
      </c>
      <c r="AC536" s="853">
        <f>IF(B538=B$3005,D$3005,IF(B538=B$3006,D$3006,IF(B538=B$3007,D$3007,IF(B538=B$3008,D$3008,0))))</f>
        <v>0</v>
      </c>
      <c r="AE536" s="850">
        <f>IF(D538=B$3019,E$3019,IF(D538=B$3020,E$3020,IF(D538=B$3021,E$3021,IF(D538=B$3022,E$3022,IF(D538=B$3023,E$3023,IF(D538=B$3024,E$3024,IF(D538=B$3025,E$3025,IF(D538=B$3026,E$3026,D30420))))))))</f>
        <v>0</v>
      </c>
    </row>
    <row r="537" spans="1:62" ht="15" thickTop="1" thickBot="1" x14ac:dyDescent="0.35">
      <c r="A537" s="186"/>
      <c r="B537" s="188" t="str">
        <f>IF(B536="","","Claimed?")</f>
        <v/>
      </c>
      <c r="C537" s="188" t="str">
        <f>IF(B537="","","Verifiable?")</f>
        <v/>
      </c>
      <c r="D537" s="189" t="str">
        <f>IF(C538="","","Independent verification")</f>
        <v/>
      </c>
      <c r="E537" s="1029">
        <f>BI538</f>
        <v>0</v>
      </c>
      <c r="F537" s="1030"/>
      <c r="AA537" s="52"/>
      <c r="AB537" s="52" t="s">
        <v>278</v>
      </c>
      <c r="AF537" s="204"/>
      <c r="AG537" s="52" t="s">
        <v>279</v>
      </c>
      <c r="AM537" s="205"/>
      <c r="AN537" s="52" t="s">
        <v>280</v>
      </c>
      <c r="AV537" s="206"/>
      <c r="AX537" s="191" t="s">
        <v>281</v>
      </c>
      <c r="AZ537" s="192" t="s">
        <v>282</v>
      </c>
      <c r="BB537" s="193" t="s">
        <v>283</v>
      </c>
      <c r="BD537" s="192" t="s">
        <v>284</v>
      </c>
      <c r="BG537" s="194" t="s">
        <v>290</v>
      </c>
      <c r="BH537" s="195" t="s">
        <v>291</v>
      </c>
      <c r="BI537" s="194" t="s">
        <v>285</v>
      </c>
      <c r="BJ537" s="195" t="s">
        <v>286</v>
      </c>
    </row>
    <row r="538" spans="1:62" ht="15" thickTop="1" thickBot="1" x14ac:dyDescent="0.35">
      <c r="A538" s="186"/>
      <c r="B538" s="196"/>
      <c r="C538" s="197"/>
      <c r="D538" s="211"/>
      <c r="E538" s="1029">
        <f>BJ538</f>
        <v>0</v>
      </c>
      <c r="F538" s="1030"/>
      <c r="AA538" s="101"/>
      <c r="AB538" s="101">
        <f>IF(B538=$B$3005,$AB$522,0)</f>
        <v>0</v>
      </c>
      <c r="AC538" s="101">
        <f>IF(B538=$B$3006,$AC$522,0)</f>
        <v>0</v>
      </c>
      <c r="AD538" s="101">
        <f>IF(B538=$B$3007,$AD$522,0)</f>
        <v>0</v>
      </c>
      <c r="AE538" s="101">
        <f>IF(B538=$B$3008,$AE$522,0)</f>
        <v>0</v>
      </c>
      <c r="AF538" s="208">
        <f>SUM(AB538:AE538)</f>
        <v>0</v>
      </c>
      <c r="AG538" s="101">
        <f>IF(C538=$B$3011,$E$3011,0)</f>
        <v>0</v>
      </c>
      <c r="AH538" s="101">
        <f>IF(C538=$B$3012,$E$3012,0)</f>
        <v>0</v>
      </c>
      <c r="AI538" s="101">
        <f>IF(C538=$B$3013,$E$3013,0)</f>
        <v>0</v>
      </c>
      <c r="AJ538" s="101">
        <f>IF(C538=$B$3014,$E$3014,0)</f>
        <v>0</v>
      </c>
      <c r="AK538" s="101">
        <f>IF(C538=$B$3015,$E$3015,0)</f>
        <v>0</v>
      </c>
      <c r="AL538" s="101">
        <f>IF(C538=$B$3016,$E$3016,0)</f>
        <v>0</v>
      </c>
      <c r="AM538" s="209">
        <f>SUM(AG538:AL538)</f>
        <v>0</v>
      </c>
      <c r="AN538" s="101">
        <f>IF($D538=$B$3019,AN$522,0)</f>
        <v>0</v>
      </c>
      <c r="AO538" s="101">
        <f>IF($D538=$B$3020,AO$522,0)</f>
        <v>0</v>
      </c>
      <c r="AP538" s="101">
        <f>IF($D538=$B$3021,AP$522,0)</f>
        <v>0</v>
      </c>
      <c r="AQ538" s="101">
        <f>IF($D538=$B$3022,AQ$522,0)</f>
        <v>0</v>
      </c>
      <c r="AR538" s="101">
        <f>IF($D538=$B$3023,AR$522,0)</f>
        <v>0</v>
      </c>
      <c r="AS538" s="101">
        <f>IF($D538=$B$3024,AS$522,0)</f>
        <v>0</v>
      </c>
      <c r="AT538" s="101">
        <f>IF($D538=$B$3025,AT$522,0)</f>
        <v>0</v>
      </c>
      <c r="AU538" s="101">
        <f>IF($D538=$B$3026,AU$522,0)</f>
        <v>0</v>
      </c>
      <c r="AV538" s="210">
        <f>SUM(AN538:AU538)</f>
        <v>0</v>
      </c>
      <c r="AX538" s="200">
        <f>AF538*AM538</f>
        <v>0</v>
      </c>
      <c r="AZ538" s="146">
        <f>AX538+(AV538*AM538)</f>
        <v>0</v>
      </c>
      <c r="BB538" s="201">
        <f>(AF538*AM538)*0.01</f>
        <v>0</v>
      </c>
      <c r="BD538" s="202">
        <f>AZ538*0.01</f>
        <v>0</v>
      </c>
      <c r="BE538" s="377"/>
      <c r="BG538" s="201">
        <f>IF(AF538&gt;0,BG532+BB538,BG532)</f>
        <v>0</v>
      </c>
      <c r="BH538" s="202">
        <f>IF(AV538&gt;0,BH532+BD538,BH532)</f>
        <v>0</v>
      </c>
      <c r="BI538" s="201">
        <f>IF(BG538&gt;0.99,0.99,BG538)</f>
        <v>0</v>
      </c>
      <c r="BJ538" s="202">
        <f>IF(BH538&gt;0.99,0.99,BH538)</f>
        <v>0</v>
      </c>
    </row>
    <row r="539" spans="1:62" ht="20" customHeight="1" thickTop="1" x14ac:dyDescent="0.3">
      <c r="A539" s="184">
        <f>A534+1</f>
        <v>18</v>
      </c>
      <c r="B539" s="184" t="s">
        <v>297</v>
      </c>
      <c r="C539" s="184"/>
      <c r="D539" s="185" t="str">
        <f>IF(B541="","If claimed, explain in white box below.","")</f>
        <v>If claimed, explain in white box below.</v>
      </c>
      <c r="E539" s="212"/>
      <c r="F539" s="1"/>
      <c r="AB539" s="48">
        <f>A539</f>
        <v>18</v>
      </c>
      <c r="AC539" s="48" t="s">
        <v>3988</v>
      </c>
      <c r="AK539" s="620">
        <f>IF(AL539=0,0,1)</f>
        <v>0</v>
      </c>
      <c r="AL539" s="48">
        <f>IF(B543=B$3005,E$3005,IF(B543=B$3006,E$3006,IF(B543=B$3007,E$3007,IF(B543=B$3008,E$3008,0))))</f>
        <v>0</v>
      </c>
      <c r="AM539" s="233" t="str">
        <f>IF(AL539=$E$3008,AC539,"")</f>
        <v/>
      </c>
    </row>
    <row r="540" spans="1:62" ht="55" customHeight="1" x14ac:dyDescent="0.3">
      <c r="A540" s="186"/>
      <c r="B540" s="1031" t="s">
        <v>298</v>
      </c>
      <c r="C540" s="1032"/>
      <c r="D540" s="1033"/>
      <c r="E540" s="187"/>
      <c r="F540" s="1"/>
    </row>
    <row r="541" spans="1:62" ht="235" customHeight="1" thickBot="1" x14ac:dyDescent="0.35">
      <c r="A541" s="186"/>
      <c r="B541" s="1026"/>
      <c r="C541" s="1027"/>
      <c r="D541" s="1028"/>
      <c r="E541" s="187"/>
      <c r="F541" s="1"/>
      <c r="AA541" s="48">
        <f>AA536+1</f>
        <v>4</v>
      </c>
      <c r="AB541" s="849">
        <f>IF(B543="",0,1)</f>
        <v>0</v>
      </c>
      <c r="AE541" s="850">
        <f>IF(D543=B$3019,E$3019,IF(D543=B$3020,E$3020,IF(D543=B$3021,E$3021,IF(D543=B$3022,E$3022,IF(D543=B$3023,E$3023,IF(D543=B$3024,E$3024,IF(D543=B$3025,E$3025,IF(D543=B$3026,E$3026,D30425))))))))</f>
        <v>0</v>
      </c>
    </row>
    <row r="542" spans="1:62" ht="15" thickTop="1" thickBot="1" x14ac:dyDescent="0.35">
      <c r="A542" s="186"/>
      <c r="B542" s="188" t="str">
        <f>IF(B541="","","Claimed?")</f>
        <v/>
      </c>
      <c r="C542" s="188" t="str">
        <f>IF(B542="","","Verifiable?")</f>
        <v/>
      </c>
      <c r="D542" s="189" t="str">
        <f>IF(C543="","","Independent verification")</f>
        <v/>
      </c>
      <c r="E542" s="1029">
        <f>BI543</f>
        <v>0</v>
      </c>
      <c r="F542" s="1030"/>
      <c r="AA542" s="52"/>
      <c r="AB542" s="52" t="s">
        <v>278</v>
      </c>
      <c r="AF542" s="204"/>
      <c r="AG542" s="52" t="s">
        <v>279</v>
      </c>
      <c r="AM542" s="205"/>
      <c r="AN542" s="52" t="s">
        <v>280</v>
      </c>
      <c r="AV542" s="206"/>
      <c r="AX542" s="191" t="s">
        <v>281</v>
      </c>
      <c r="AZ542" s="192" t="s">
        <v>282</v>
      </c>
      <c r="BB542" s="193" t="s">
        <v>283</v>
      </c>
      <c r="BD542" s="192" t="s">
        <v>284</v>
      </c>
      <c r="BG542" s="194" t="s">
        <v>290</v>
      </c>
      <c r="BH542" s="195" t="s">
        <v>291</v>
      </c>
      <c r="BI542" s="194" t="s">
        <v>285</v>
      </c>
      <c r="BJ542" s="195" t="s">
        <v>286</v>
      </c>
    </row>
    <row r="543" spans="1:62" ht="15" thickTop="1" thickBot="1" x14ac:dyDescent="0.35">
      <c r="A543" s="186"/>
      <c r="B543" s="196"/>
      <c r="C543" s="197"/>
      <c r="D543" s="207"/>
      <c r="E543" s="1029">
        <f>BJ543</f>
        <v>0</v>
      </c>
      <c r="F543" s="1030"/>
      <c r="AA543" s="101"/>
      <c r="AB543" s="101">
        <f>IF(B543=$B$3005,$AB$522,0)</f>
        <v>0</v>
      </c>
      <c r="AC543" s="101">
        <f>IF(B543=$B$3006,$AC$522,0)</f>
        <v>0</v>
      </c>
      <c r="AD543" s="101">
        <f>IF(B543=$B$3007,$AD$522,0)</f>
        <v>0</v>
      </c>
      <c r="AE543" s="101">
        <f>IF(B543=$B$3008,$AE$522,0)</f>
        <v>0</v>
      </c>
      <c r="AF543" s="208">
        <f>SUM(AB543:AE543)</f>
        <v>0</v>
      </c>
      <c r="AG543" s="101">
        <f>IF(C543=$B$3011,$E$3011,0)</f>
        <v>0</v>
      </c>
      <c r="AH543" s="101">
        <f>IF(C543=$B$3012,$E$3012,0)</f>
        <v>0</v>
      </c>
      <c r="AI543" s="101">
        <f>IF(C543=$B$3013,$E$3013,0)</f>
        <v>0</v>
      </c>
      <c r="AJ543" s="101">
        <f>IF(C543=$B$3014,$E$3014,0)</f>
        <v>0</v>
      </c>
      <c r="AK543" s="101">
        <f>IF(C543=$B$3015,$E$3015,0)</f>
        <v>0</v>
      </c>
      <c r="AL543" s="101">
        <f>IF(C543=$B$3016,$E$3016,0)</f>
        <v>0</v>
      </c>
      <c r="AM543" s="209">
        <f>SUM(AG543:AL543)</f>
        <v>0</v>
      </c>
      <c r="AN543" s="101">
        <f>IF($D543=$B$3019,AN$522,0)</f>
        <v>0</v>
      </c>
      <c r="AO543" s="101">
        <f>IF($D543=$B$3020,AO$522,0)</f>
        <v>0</v>
      </c>
      <c r="AP543" s="101">
        <f>IF($D543=$B$3021,AP$522,0)</f>
        <v>0</v>
      </c>
      <c r="AQ543" s="101">
        <f>IF($D543=$B$3022,AQ$522,0)</f>
        <v>0</v>
      </c>
      <c r="AR543" s="101">
        <f>IF($D543=$B$3023,AR$522,0)</f>
        <v>0</v>
      </c>
      <c r="AS543" s="101">
        <f>IF($D543=$B$3024,AS$522,0)</f>
        <v>0</v>
      </c>
      <c r="AT543" s="101">
        <f>IF($D543=$B$3025,AT$522,0)</f>
        <v>0</v>
      </c>
      <c r="AU543" s="101">
        <f>IF($D543=$B$3026,AU$522,0)</f>
        <v>0</v>
      </c>
      <c r="AV543" s="210">
        <f>SUM(AN543:AU543)</f>
        <v>0</v>
      </c>
      <c r="AX543" s="200">
        <f>AF543*AM543</f>
        <v>0</v>
      </c>
      <c r="AZ543" s="146">
        <f>AX543+(AV543*AM543)</f>
        <v>0</v>
      </c>
      <c r="BB543" s="201">
        <f>(AF543*AM543)*0.01</f>
        <v>0</v>
      </c>
      <c r="BD543" s="202">
        <f>AZ543*0.01</f>
        <v>0</v>
      </c>
      <c r="BE543" s="377"/>
      <c r="BG543" s="201">
        <f>IF(AF543&gt;0,BG538+BB543,BG538)</f>
        <v>0</v>
      </c>
      <c r="BH543" s="202">
        <f>IF(AV543&gt;0,BH538+BD543,BH538)</f>
        <v>0</v>
      </c>
      <c r="BI543" s="201">
        <f>IF(BG543&gt;0.99,0.99,BG543)</f>
        <v>0</v>
      </c>
      <c r="BJ543" s="202">
        <f>IF(BH543&gt;0.99,0.99,BH543)</f>
        <v>0</v>
      </c>
    </row>
    <row r="544" spans="1:62" ht="5" customHeight="1" thickTop="1" x14ac:dyDescent="0.3">
      <c r="A544" s="187"/>
      <c r="B544" s="187"/>
      <c r="C544" s="187"/>
      <c r="D544" s="187"/>
      <c r="E544" s="187"/>
      <c r="F544" s="1"/>
    </row>
    <row r="545" spans="1:68" ht="20" customHeight="1" x14ac:dyDescent="0.3">
      <c r="A545" s="184">
        <f>A539+1</f>
        <v>19</v>
      </c>
      <c r="B545" s="184" t="s">
        <v>300</v>
      </c>
      <c r="C545" s="184"/>
      <c r="D545" s="185" t="str">
        <f>IF(B547="","If claimed, explain in white box below.","")</f>
        <v>If claimed, explain in white box below.</v>
      </c>
      <c r="E545" s="212"/>
      <c r="F545" s="1"/>
      <c r="AB545" s="48">
        <f>A545</f>
        <v>19</v>
      </c>
      <c r="AC545" s="48" t="s">
        <v>3990</v>
      </c>
      <c r="AK545" s="620">
        <f>IF(AL545=0,0,1)</f>
        <v>0</v>
      </c>
      <c r="AL545" s="48">
        <f>IF(B549=B$3005,E$3005,IF(B549=B$3006,E$3006,IF(B549=B$3007,E$3007,IF(B549=B$3008,E$3008,0))))</f>
        <v>0</v>
      </c>
      <c r="AM545" s="233" t="str">
        <f>IF(AL545=$E$3008,AC545,"")</f>
        <v/>
      </c>
    </row>
    <row r="546" spans="1:68" ht="45" customHeight="1" x14ac:dyDescent="0.3">
      <c r="A546" s="186"/>
      <c r="B546" s="1031" t="s">
        <v>301</v>
      </c>
      <c r="C546" s="1032"/>
      <c r="D546" s="1033"/>
      <c r="E546" s="187"/>
      <c r="F546" s="1"/>
    </row>
    <row r="547" spans="1:68" ht="235" customHeight="1" thickBot="1" x14ac:dyDescent="0.35">
      <c r="A547" s="186"/>
      <c r="B547" s="1026"/>
      <c r="C547" s="1027"/>
      <c r="D547" s="1028"/>
      <c r="E547" s="187"/>
      <c r="F547" s="1"/>
      <c r="AA547" s="48">
        <f>AA541+1</f>
        <v>5</v>
      </c>
      <c r="AB547" s="849">
        <f>IF(B549="",0,1)</f>
        <v>0</v>
      </c>
      <c r="AC547" s="853">
        <f>IF(B549=B$3005,D$3005,IF(B549=B$3006,D$3006,IF(B549=B$3007,D$3007,IF(B549=B$3008,D$3008,0))))</f>
        <v>0</v>
      </c>
      <c r="AE547" s="850">
        <f>IF(D549=B$3019,E$3019,IF(D549=B$3020,E$3020,IF(D549=B$3021,E$3021,IF(D549=B$3022,E$3022,IF(D549=B$3023,E$3023,IF(D549=B$3024,E$3024,IF(D549=B$3025,E$3025,IF(D549=B$3026,E$3026,D30431))))))))</f>
        <v>0</v>
      </c>
    </row>
    <row r="548" spans="1:68" ht="15" thickTop="1" thickBot="1" x14ac:dyDescent="0.35">
      <c r="A548" s="186"/>
      <c r="B548" s="188" t="str">
        <f>IF(B547="","","Claimed?")</f>
        <v/>
      </c>
      <c r="C548" s="188" t="str">
        <f>IF(B548="","","Verifiable?")</f>
        <v/>
      </c>
      <c r="D548" s="189" t="str">
        <f>IF(C549="","","Independent verification")</f>
        <v/>
      </c>
      <c r="E548" s="1029">
        <f>BI549</f>
        <v>0</v>
      </c>
      <c r="F548" s="1030"/>
      <c r="AA548" s="52"/>
      <c r="AB548" s="52" t="s">
        <v>278</v>
      </c>
      <c r="AF548" s="204"/>
      <c r="AG548" s="52" t="s">
        <v>279</v>
      </c>
      <c r="AM548" s="205"/>
      <c r="AN548" s="52" t="s">
        <v>280</v>
      </c>
      <c r="AV548" s="206"/>
      <c r="AX548" s="191" t="s">
        <v>281</v>
      </c>
      <c r="AZ548" s="192" t="s">
        <v>282</v>
      </c>
      <c r="BB548" s="193" t="s">
        <v>283</v>
      </c>
      <c r="BD548" s="192" t="s">
        <v>284</v>
      </c>
      <c r="BG548" s="194" t="s">
        <v>290</v>
      </c>
      <c r="BH548" s="195" t="s">
        <v>291</v>
      </c>
      <c r="BI548" s="194" t="s">
        <v>285</v>
      </c>
      <c r="BJ548" s="195" t="s">
        <v>286</v>
      </c>
    </row>
    <row r="549" spans="1:68" ht="15" thickTop="1" thickBot="1" x14ac:dyDescent="0.35">
      <c r="A549" s="186"/>
      <c r="B549" s="196"/>
      <c r="C549" s="197"/>
      <c r="D549" s="207"/>
      <c r="E549" s="1029">
        <f>BJ549</f>
        <v>0</v>
      </c>
      <c r="F549" s="1030"/>
      <c r="AA549" s="101"/>
      <c r="AB549" s="101">
        <f>IF(B549=$B$3005,$AB$522,0)</f>
        <v>0</v>
      </c>
      <c r="AC549" s="101">
        <f>IF(B549=$B$3006,$AC$522,0)</f>
        <v>0</v>
      </c>
      <c r="AD549" s="101">
        <f>IF(B549=$B$3007,$AD$522,0)</f>
        <v>0</v>
      </c>
      <c r="AE549" s="101">
        <f>IF(B549=$B$3008,$AE$522,0)</f>
        <v>0</v>
      </c>
      <c r="AF549" s="208">
        <f>SUM(AB549:AE549)</f>
        <v>0</v>
      </c>
      <c r="AG549" s="101">
        <f>IF(C549=$B$3011,$E$3011,0)</f>
        <v>0</v>
      </c>
      <c r="AH549" s="101">
        <f>IF(C549=$B$3012,$E$3012,0)</f>
        <v>0</v>
      </c>
      <c r="AI549" s="101">
        <f>IF(C549=$B$3013,$E$3013,0)</f>
        <v>0</v>
      </c>
      <c r="AJ549" s="101">
        <f>IF(C549=$B$3014,$E$3014,0)</f>
        <v>0</v>
      </c>
      <c r="AK549" s="101">
        <f>IF(C549=$B$3015,$E$3015,0)</f>
        <v>0</v>
      </c>
      <c r="AL549" s="101">
        <f>IF(C549=$B$3016,$E$3016,0)</f>
        <v>0</v>
      </c>
      <c r="AM549" s="209">
        <f>SUM(AG549:AL549)</f>
        <v>0</v>
      </c>
      <c r="AN549" s="101">
        <f>IF($D549=$B$3019,AN$522,0)</f>
        <v>0</v>
      </c>
      <c r="AO549" s="101">
        <f>IF($D549=$B$3020,AO$522,0)</f>
        <v>0</v>
      </c>
      <c r="AP549" s="101">
        <f>IF($D549=$B$3021,AP$522,0)</f>
        <v>0</v>
      </c>
      <c r="AQ549" s="101">
        <f>IF($D549=$B$3022,AQ$522,0)</f>
        <v>0</v>
      </c>
      <c r="AR549" s="101">
        <f>IF($D549=$B$3023,AR$522,0)</f>
        <v>0</v>
      </c>
      <c r="AS549" s="101">
        <f>IF($D549=$B$3024,AS$522,0)</f>
        <v>0</v>
      </c>
      <c r="AT549" s="101">
        <f>IF($D549=$B$3025,AT$522,0)</f>
        <v>0</v>
      </c>
      <c r="AU549" s="101">
        <f>IF($D549=$B$3026,AU$522,0)</f>
        <v>0</v>
      </c>
      <c r="AV549" s="210">
        <f>SUM(AN549:AU549)</f>
        <v>0</v>
      </c>
      <c r="AX549" s="200">
        <f>AF549*AM549</f>
        <v>0</v>
      </c>
      <c r="AZ549" s="146">
        <f>AX549+(AV549*AM549)</f>
        <v>0</v>
      </c>
      <c r="BB549" s="201">
        <f>(AF549*AM549)*0.01</f>
        <v>0</v>
      </c>
      <c r="BD549" s="202">
        <f>AZ549*0.01</f>
        <v>0</v>
      </c>
      <c r="BE549" s="377"/>
      <c r="BG549" s="201">
        <f>IF(AF549&gt;0,BG543+BB549,BG543)</f>
        <v>0</v>
      </c>
      <c r="BH549" s="202">
        <f>IF(AV549&gt;0,BH543+BD549,BH543)</f>
        <v>0</v>
      </c>
      <c r="BI549" s="201">
        <f>IF(BG549&gt;0.99,0.99,BG549)</f>
        <v>0</v>
      </c>
      <c r="BJ549" s="202">
        <f>IF(BH549&gt;0.99,0.99,BH549)</f>
        <v>0</v>
      </c>
    </row>
    <row r="550" spans="1:68" ht="20" customHeight="1" thickTop="1" x14ac:dyDescent="0.3">
      <c r="A550" s="184">
        <f>A545+1</f>
        <v>20</v>
      </c>
      <c r="B550" s="184" t="s">
        <v>302</v>
      </c>
      <c r="C550" s="184"/>
      <c r="D550" s="185" t="str">
        <f>IF(B552="","If claimed, explain in white box below.","")</f>
        <v>If claimed, explain in white box below.</v>
      </c>
      <c r="E550" s="212"/>
      <c r="F550" s="1"/>
      <c r="AB550" s="48">
        <f>A550</f>
        <v>20</v>
      </c>
      <c r="AC550" s="48" t="s">
        <v>3989</v>
      </c>
      <c r="AK550" s="620">
        <f>IF(AL550=0,0,1)</f>
        <v>0</v>
      </c>
      <c r="AL550" s="48">
        <f>IF(B554=B$3005,E$3005,IF(B554=B$3006,E$3006,IF(B554=B$3007,E$3007,IF(B554=B$3008,E$3008,0))))</f>
        <v>0</v>
      </c>
      <c r="AM550" s="233" t="str">
        <f>IF(AL550=$E$3008,AC550,"")</f>
        <v/>
      </c>
      <c r="BC550" s="14"/>
    </row>
    <row r="551" spans="1:68" ht="45" customHeight="1" x14ac:dyDescent="0.3">
      <c r="A551" s="186"/>
      <c r="B551" s="1031" t="s">
        <v>303</v>
      </c>
      <c r="C551" s="1032"/>
      <c r="D551" s="1033"/>
      <c r="E551" s="187"/>
      <c r="F551" s="1"/>
    </row>
    <row r="552" spans="1:68" ht="235" customHeight="1" thickBot="1" x14ac:dyDescent="0.35">
      <c r="A552" s="186"/>
      <c r="B552" s="1026"/>
      <c r="C552" s="1027"/>
      <c r="D552" s="1028"/>
      <c r="E552" s="187"/>
      <c r="F552" s="1"/>
      <c r="AA552" s="48">
        <f>AA547+1</f>
        <v>6</v>
      </c>
      <c r="AB552" s="849">
        <f>IF(B554="",0,1)</f>
        <v>0</v>
      </c>
      <c r="AC552" s="853">
        <f>IF(B554=B$3005,D$3005,IF(B554=B$3006,D$3006,IF(B554=B$3007,D$3007,IF(B554=B$3008,D$3008,0))))</f>
        <v>0</v>
      </c>
      <c r="AE552" s="850">
        <f>IF(D554=B$3019,E$3019,IF(D554=B$3020,E$3020,IF(D554=B$3021,E$3021,IF(D554=B$3022,E$3022,IF(D554=B$3023,E$3023,IF(D554=B$3024,E$3024,IF(D554=B$3025,E$3025,IF(D554=B$3026,E$3026,D30436))))))))</f>
        <v>0</v>
      </c>
    </row>
    <row r="553" spans="1:68" ht="15" thickTop="1" thickBot="1" x14ac:dyDescent="0.35">
      <c r="A553" s="186"/>
      <c r="B553" s="188" t="str">
        <f>IF(B552="","","Claimed?")</f>
        <v/>
      </c>
      <c r="C553" s="188" t="str">
        <f>IF(B553="","","Verifiable?")</f>
        <v/>
      </c>
      <c r="D553" s="189" t="str">
        <f>IF(C554="","","Independent verification")</f>
        <v/>
      </c>
      <c r="E553" s="1029">
        <f>BI554</f>
        <v>0</v>
      </c>
      <c r="F553" s="1030"/>
      <c r="AA553" s="52"/>
      <c r="AB553" s="52" t="s">
        <v>278</v>
      </c>
      <c r="AF553" s="204"/>
      <c r="AG553" s="52" t="s">
        <v>279</v>
      </c>
      <c r="AM553" s="205"/>
      <c r="AN553" s="52" t="s">
        <v>280</v>
      </c>
      <c r="AV553" s="206"/>
      <c r="AX553" s="191" t="s">
        <v>281</v>
      </c>
      <c r="AZ553" s="192" t="s">
        <v>282</v>
      </c>
      <c r="BB553" s="193" t="s">
        <v>283</v>
      </c>
      <c r="BD553" s="192" t="s">
        <v>284</v>
      </c>
      <c r="BG553" s="194" t="s">
        <v>290</v>
      </c>
      <c r="BH553" s="195" t="s">
        <v>291</v>
      </c>
      <c r="BI553" s="194" t="s">
        <v>285</v>
      </c>
      <c r="BJ553" s="195" t="s">
        <v>286</v>
      </c>
    </row>
    <row r="554" spans="1:68" ht="15" thickTop="1" thickBot="1" x14ac:dyDescent="0.35">
      <c r="A554" s="186"/>
      <c r="B554" s="196"/>
      <c r="C554" s="197"/>
      <c r="D554" s="207"/>
      <c r="E554" s="1029">
        <f>BJ554</f>
        <v>0</v>
      </c>
      <c r="F554" s="1030"/>
      <c r="AA554" s="101"/>
      <c r="AB554" s="101">
        <f>IF(B554=$B$3005,$AB$522,0)</f>
        <v>0</v>
      </c>
      <c r="AC554" s="101">
        <f>IF(B554=$B$3006,$AC$522,0)</f>
        <v>0</v>
      </c>
      <c r="AD554" s="101">
        <f>IF(B554=$B$3007,$AD$522,0)</f>
        <v>0</v>
      </c>
      <c r="AE554" s="101">
        <f>IF(B554=$B$3008,$AE$522,0)</f>
        <v>0</v>
      </c>
      <c r="AF554" s="208">
        <f>SUM(AB554:AE554)</f>
        <v>0</v>
      </c>
      <c r="AG554" s="101">
        <f>IF(C554=$B$3011,$E$3011,0)</f>
        <v>0</v>
      </c>
      <c r="AH554" s="101">
        <f>IF(C554=$B$3012,$E$3012,0)</f>
        <v>0</v>
      </c>
      <c r="AI554" s="101">
        <f>IF(C554=$B$3013,$E$3013,0)</f>
        <v>0</v>
      </c>
      <c r="AJ554" s="101">
        <f>IF(C554=$B$3014,$E$3014,0)</f>
        <v>0</v>
      </c>
      <c r="AK554" s="101">
        <f>IF(C554=$B$3015,$E$3015,0)</f>
        <v>0</v>
      </c>
      <c r="AL554" s="101">
        <f>IF(C554=$B$3016,$E$3016,0)</f>
        <v>0</v>
      </c>
      <c r="AM554" s="209">
        <f>SUM(AG554:AL554)</f>
        <v>0</v>
      </c>
      <c r="AN554" s="101">
        <f>IF($D554=$B$3019,AN$522,0)</f>
        <v>0</v>
      </c>
      <c r="AO554" s="101">
        <f>IF($D554=$B$3020,AO$522,0)</f>
        <v>0</v>
      </c>
      <c r="AP554" s="101">
        <f>IF($D554=$B$3021,AP$522,0)</f>
        <v>0</v>
      </c>
      <c r="AQ554" s="101">
        <f>IF($D554=$B$3022,AQ$522,0)</f>
        <v>0</v>
      </c>
      <c r="AR554" s="101">
        <f>IF($D554=$B$3023,AR$522,0)</f>
        <v>0</v>
      </c>
      <c r="AS554" s="101">
        <f>IF($D554=$B$3024,AS$522,0)</f>
        <v>0</v>
      </c>
      <c r="AT554" s="101">
        <f>IF($D554=$B$3025,AT$522,0)</f>
        <v>0</v>
      </c>
      <c r="AU554" s="101">
        <f>IF($D554=$B$3026,AU$522,0)</f>
        <v>0</v>
      </c>
      <c r="AV554" s="210">
        <f>SUM(AN554:AU554)</f>
        <v>0</v>
      </c>
      <c r="AX554" s="200">
        <f>AF554*AM554</f>
        <v>0</v>
      </c>
      <c r="AZ554" s="146">
        <f>AX554+(AV554*AM554)</f>
        <v>0</v>
      </c>
      <c r="BB554" s="201">
        <f>(AF554*AM554)*0.01</f>
        <v>0</v>
      </c>
      <c r="BD554" s="202">
        <f>AZ554*0.01</f>
        <v>0</v>
      </c>
      <c r="BE554" s="377"/>
      <c r="BG554" s="201">
        <f>IF(AF554&gt;0,BG549+BB554,BG549)</f>
        <v>0</v>
      </c>
      <c r="BH554" s="202">
        <f>IF(AV554&gt;0,BH549+BD554,BH549)</f>
        <v>0</v>
      </c>
      <c r="BI554" s="201">
        <f>IF(BG554&gt;0.99,0.99,BG554)</f>
        <v>0</v>
      </c>
      <c r="BJ554" s="202">
        <f>IF(BH554&gt;0.99,0.99,BH554)</f>
        <v>0</v>
      </c>
    </row>
    <row r="555" spans="1:68" ht="14.5" thickTop="1" x14ac:dyDescent="0.3">
      <c r="A555" s="186"/>
      <c r="B555" s="187"/>
      <c r="C555" s="187"/>
      <c r="D555" s="187"/>
      <c r="E555" s="187"/>
      <c r="F555" s="1"/>
      <c r="AB555" s="48" t="str">
        <f>AB556</f>
        <v xml:space="preserve">No significant evidentiary factors. </v>
      </c>
    </row>
    <row r="556" spans="1:68" ht="30" customHeight="1" x14ac:dyDescent="0.3">
      <c r="A556" s="1199" t="s">
        <v>68</v>
      </c>
      <c r="B556" s="1200" t="s">
        <v>306</v>
      </c>
      <c r="C556" s="1200"/>
      <c r="D556" s="1200"/>
      <c r="E556" s="436"/>
      <c r="F556" s="436" t="s">
        <v>869</v>
      </c>
      <c r="AB556" s="618" t="str">
        <f>IF(AND(B562&lt;&gt;$B$3008,B567&lt;&gt;$B$3008,B572&lt;&gt;$B$3008,B578&lt;&gt;$B$3008,B583&lt;&gt;$B$3008,B588&lt;&gt;$B$3008),"No significant evidentiary factors. ",CONCATENATE(AJ556,AM556,AN556,AO556,AP556,AQ556,AR556,AS556,AT556,AU556,AV556,AZ556))</f>
        <v xml:space="preserve">No significant evidentiary factors. </v>
      </c>
      <c r="AJ556" s="48" t="s">
        <v>4030</v>
      </c>
      <c r="AM556" s="48" t="str">
        <f>IF(AM558="","",AM558)</f>
        <v/>
      </c>
      <c r="AN556" s="48" t="str">
        <f>IF(AO556="","",", ")</f>
        <v/>
      </c>
      <c r="AO556" s="48" t="str">
        <f>AM563</f>
        <v/>
      </c>
      <c r="AP556" s="48" t="str">
        <f>IF(AQ556="","",", ")</f>
        <v/>
      </c>
      <c r="AQ556" s="48" t="str">
        <f>AM568</f>
        <v/>
      </c>
      <c r="AR556" s="48" t="str">
        <f>IF(AS556="","",", ")</f>
        <v/>
      </c>
      <c r="AS556" s="48" t="str">
        <f>AM574</f>
        <v/>
      </c>
      <c r="AT556" s="48" t="str">
        <f>IF(AU556="","",", ")</f>
        <v/>
      </c>
      <c r="AU556" s="48" t="str">
        <f>AM579</f>
        <v/>
      </c>
      <c r="AV556" s="48" t="str">
        <f>IF(AW556="","",", ")</f>
        <v/>
      </c>
      <c r="AX556" s="48" t="str">
        <f>AM584</f>
        <v/>
      </c>
      <c r="AZ556" s="48" t="s">
        <v>4031</v>
      </c>
      <c r="BG556" s="621">
        <f>AK558+AK563+AK569+AK574+AK579+AK584+AK592+AK597+AK602+AK608+AK613+AK618+AK623+AK626+AK631+AK636+AK642+AK647+AK652+AK657+AK665+AK670+AK676+AK681+AK686+AK692++AK708+AK713+AK718+AK724+AK729+AK734+AK739+AK747+AK757+AK762+AK767+AK772+AK777</f>
        <v>0</v>
      </c>
      <c r="BH556" s="48" t="str">
        <f>IF(OR(C202=AD202,C202=""),"Claimant",BG206)</f>
        <v>Claimant</v>
      </c>
      <c r="BI556" s="48" t="s">
        <v>4036</v>
      </c>
      <c r="BJ556" s="48" t="str">
        <f>IF(BG556=0,"no",IF(BG556=1,"one",IF(BG556=2,"two",IF(BG556=3,"three",IF(BG556=4,"four",IF(BG556=5,"five",IF(BG556=6,"six",IF(BG556=7,"seven",IF(BG556=8,"eight",IF(BG556=9,"nine",IF(BG556=10,"ten",IF(BG556=11,"eleven",IF(BG556=12,"twelve",BG556)))))))))))))</f>
        <v>no</v>
      </c>
      <c r="BK556" s="48" t="s">
        <v>4037</v>
      </c>
      <c r="BL556" s="48" t="str">
        <f>IF(BG556=1,"factor","factors")</f>
        <v>factors</v>
      </c>
      <c r="BM556" s="48" t="s">
        <v>4089</v>
      </c>
      <c r="BN556" s="48" t="s">
        <v>4029</v>
      </c>
      <c r="BO556" s="48" t="s">
        <v>4034</v>
      </c>
      <c r="BP556" s="622" t="str">
        <f>CONCATENATE(BH556,BI556,BJ556,BK556,BL556,BM556,BN556)</f>
        <v xml:space="preserve">Claimant identifies no other important factors known to wrongly convict the innocent. </v>
      </c>
    </row>
    <row r="557" spans="1:68" ht="20" customHeight="1" x14ac:dyDescent="0.3">
      <c r="A557" s="97" t="s">
        <v>307</v>
      </c>
      <c r="B557" s="98"/>
      <c r="C557" s="98"/>
      <c r="D557" s="98"/>
      <c r="E557" s="99"/>
      <c r="F557" s="97"/>
      <c r="AA557" s="175"/>
      <c r="AB557" s="175">
        <v>0</v>
      </c>
      <c r="AC557" s="176">
        <f>AD557/2</f>
        <v>1</v>
      </c>
      <c r="AD557" s="177">
        <f>AE557/2</f>
        <v>2</v>
      </c>
      <c r="AE557" s="178">
        <v>4</v>
      </c>
      <c r="AF557" s="109"/>
      <c r="AG557" s="109"/>
      <c r="AH557" s="109"/>
      <c r="AI557" s="109"/>
      <c r="AJ557" s="109"/>
      <c r="AK557" s="109"/>
      <c r="AL557" s="109"/>
      <c r="AM557" s="109"/>
      <c r="AN557" s="179">
        <f>AE557*-2</f>
        <v>-8</v>
      </c>
      <c r="AO557" s="175">
        <f>AE557*-1</f>
        <v>-4</v>
      </c>
      <c r="AP557" s="175">
        <f>AD557*-1</f>
        <v>-2</v>
      </c>
      <c r="AQ557" s="180">
        <f>AE557*-0.1</f>
        <v>-0.4</v>
      </c>
      <c r="AR557" s="180">
        <v>0</v>
      </c>
      <c r="AS557" s="180">
        <f>AE557*0.1</f>
        <v>0.4</v>
      </c>
      <c r="AT557" s="177">
        <f>AD557</f>
        <v>2</v>
      </c>
      <c r="AU557" s="178">
        <f>AE557</f>
        <v>4</v>
      </c>
      <c r="AV557" s="181"/>
      <c r="AW557" s="109"/>
      <c r="AX557" s="109"/>
      <c r="AY557" s="109"/>
      <c r="AZ557" s="109"/>
      <c r="BA557" s="109"/>
      <c r="BB557" s="182"/>
      <c r="BC557" s="109"/>
      <c r="BD557" s="109"/>
      <c r="BE557" s="109"/>
      <c r="BF557" s="109"/>
      <c r="BG557" s="213">
        <f>BG522</f>
        <v>0</v>
      </c>
      <c r="BH557" s="377"/>
      <c r="BI557" s="109"/>
    </row>
    <row r="558" spans="1:68" ht="15.5" x14ac:dyDescent="0.3">
      <c r="A558" s="184">
        <f>A550+1</f>
        <v>21</v>
      </c>
      <c r="B558" s="184" t="s">
        <v>308</v>
      </c>
      <c r="C558" s="184"/>
      <c r="D558" s="185" t="str">
        <f>IF(B560="","If claimed, explain in white box below.","")</f>
        <v>If claimed, explain in white box below.</v>
      </c>
      <c r="E558" s="187"/>
      <c r="F558" s="1"/>
      <c r="AB558" s="48">
        <f>A558</f>
        <v>21</v>
      </c>
      <c r="AC558" s="48" t="s">
        <v>3991</v>
      </c>
      <c r="AK558" s="620">
        <f>IF(AL558=0,0,1)</f>
        <v>0</v>
      </c>
      <c r="AL558" s="48">
        <f>IF(B562=B$3005,E$3005,IF(B562=B$3006,E$3006,IF(B562=B$3007,E$3007,IF(B562=B$3008,E$3008,0))))</f>
        <v>0</v>
      </c>
      <c r="AM558" s="233" t="str">
        <f>IF(AL558=$E$3008,AC558,"")</f>
        <v/>
      </c>
    </row>
    <row r="559" spans="1:68" x14ac:dyDescent="0.3">
      <c r="A559" s="186"/>
      <c r="B559" s="1031" t="s">
        <v>309</v>
      </c>
      <c r="C559" s="1032"/>
      <c r="D559" s="1033"/>
      <c r="E559" s="187"/>
      <c r="F559" s="1"/>
    </row>
    <row r="560" spans="1:68" ht="147" customHeight="1" thickBot="1" x14ac:dyDescent="0.35">
      <c r="A560" s="186"/>
      <c r="B560" s="1026"/>
      <c r="C560" s="1027"/>
      <c r="D560" s="1028"/>
      <c r="E560" s="187"/>
      <c r="F560" s="1"/>
      <c r="AA560" s="48">
        <f>AA552+1</f>
        <v>7</v>
      </c>
      <c r="AB560" s="849">
        <f>IF(B562="",0,1)</f>
        <v>0</v>
      </c>
      <c r="AC560" s="853">
        <f>IF(B562=B$3005,D$3005,IF(B562=B$3006,D$3006,IF(B562=B$3007,D$3007,IF(B562=B$3008,D$3008,0))))</f>
        <v>0</v>
      </c>
      <c r="AE560" s="850">
        <f>IF(D562=B$3019,E$3019,IF(D562=B$3020,E$3020,IF(D562=B$3021,E$3021,IF(D562=B$3022,E$3022,IF(D562=B$3023,E$3023,IF(D562=B$3024,E$3024,IF(D562=B$3025,E$3025,IF(D562=B$3026,E$3026,D30444))))))))</f>
        <v>0</v>
      </c>
    </row>
    <row r="561" spans="1:62" ht="15" thickTop="1" thickBot="1" x14ac:dyDescent="0.35">
      <c r="A561" s="186"/>
      <c r="B561" s="188" t="str">
        <f>IF(B560="","","Claimed?")</f>
        <v/>
      </c>
      <c r="C561" s="188" t="str">
        <f>IF(B561="","","Verifiable?")</f>
        <v/>
      </c>
      <c r="D561" s="189" t="str">
        <f>IF(C562="","","Independent verification")</f>
        <v/>
      </c>
      <c r="E561" s="1029">
        <f>BI562</f>
        <v>0</v>
      </c>
      <c r="F561" s="1030"/>
      <c r="AA561" s="52"/>
      <c r="AB561" s="52" t="s">
        <v>278</v>
      </c>
      <c r="AF561" s="204"/>
      <c r="AG561" s="52" t="s">
        <v>279</v>
      </c>
      <c r="AM561" s="205"/>
      <c r="AN561" s="52" t="s">
        <v>280</v>
      </c>
      <c r="AV561" s="206"/>
      <c r="AX561" s="191" t="s">
        <v>281</v>
      </c>
      <c r="AZ561" s="192" t="s">
        <v>282</v>
      </c>
      <c r="BB561" s="193" t="s">
        <v>283</v>
      </c>
      <c r="BD561" s="192" t="s">
        <v>284</v>
      </c>
      <c r="BG561" s="194" t="s">
        <v>290</v>
      </c>
      <c r="BH561" s="195" t="s">
        <v>291</v>
      </c>
      <c r="BI561" s="194" t="s">
        <v>285</v>
      </c>
      <c r="BJ561" s="195" t="s">
        <v>286</v>
      </c>
    </row>
    <row r="562" spans="1:62" ht="15" thickTop="1" thickBot="1" x14ac:dyDescent="0.35">
      <c r="A562" s="186"/>
      <c r="B562" s="196"/>
      <c r="C562" s="197"/>
      <c r="D562" s="207"/>
      <c r="E562" s="1029">
        <f>BJ562</f>
        <v>0</v>
      </c>
      <c r="F562" s="1030"/>
      <c r="AA562" s="101"/>
      <c r="AB562" s="101">
        <f>IF(B562=$B$3005,$AB$522,0)</f>
        <v>0</v>
      </c>
      <c r="AC562" s="101">
        <f>IF(B562=$B$3006,$AC$522,0)</f>
        <v>0</v>
      </c>
      <c r="AD562" s="101">
        <f>IF(B562=$B$3007,$AD$522,0)</f>
        <v>0</v>
      </c>
      <c r="AE562" s="101">
        <f>IF(B562=$B$3008,$AE$522,0)</f>
        <v>0</v>
      </c>
      <c r="AF562" s="208">
        <f>SUM(AB562:AE562)</f>
        <v>0</v>
      </c>
      <c r="AG562" s="101">
        <f>IF(C562=$B$3011,$E$3011,0)</f>
        <v>0</v>
      </c>
      <c r="AH562" s="101">
        <f>IF(C562=$B$3012,$E$3012,0)</f>
        <v>0</v>
      </c>
      <c r="AI562" s="101">
        <f>IF(C562=$B$3013,$E$3013,0)</f>
        <v>0</v>
      </c>
      <c r="AJ562" s="101">
        <f>IF(C562=$B$3014,$E$3014,0)</f>
        <v>0</v>
      </c>
      <c r="AK562" s="101">
        <f>IF(C562=$B$3015,$E$3015,0)</f>
        <v>0</v>
      </c>
      <c r="AL562" s="101">
        <f>IF(C562=$B$3016,$E$3016,0)</f>
        <v>0</v>
      </c>
      <c r="AM562" s="209">
        <f>SUM(AG562:AL562)</f>
        <v>0</v>
      </c>
      <c r="AN562" s="101">
        <f>IF($D562=$B$3019,AN$522,0)</f>
        <v>0</v>
      </c>
      <c r="AO562" s="101">
        <f>IF($D562=$B$3020,AO$522,0)</f>
        <v>0</v>
      </c>
      <c r="AP562" s="101">
        <f>IF($D562=$B$3021,AP$522,0)</f>
        <v>0</v>
      </c>
      <c r="AQ562" s="101">
        <f>IF($D562=$B$3022,AQ$522,0)</f>
        <v>0</v>
      </c>
      <c r="AR562" s="101">
        <f>IF($D562=$B$3023,AR$522,0)</f>
        <v>0</v>
      </c>
      <c r="AS562" s="101">
        <f>IF($D562=$B$3024,AS$522,0)</f>
        <v>0</v>
      </c>
      <c r="AT562" s="101">
        <f>IF($D562=$B$3025,AT$522,0)</f>
        <v>0</v>
      </c>
      <c r="AU562" s="101">
        <f>IF($D562=$B$3026,AU$522,0)</f>
        <v>0</v>
      </c>
      <c r="AV562" s="210">
        <f>SUM(AN562:AU562)</f>
        <v>0</v>
      </c>
      <c r="AX562" s="200">
        <f>AF562*AM562</f>
        <v>0</v>
      </c>
      <c r="AZ562" s="146">
        <f>AX562+(AV562*AM562)</f>
        <v>0</v>
      </c>
      <c r="BB562" s="201">
        <f>(AF562*AM562)*0.01</f>
        <v>0</v>
      </c>
      <c r="BD562" s="202">
        <f>AZ562*0.01</f>
        <v>0</v>
      </c>
      <c r="BE562" s="377"/>
      <c r="BG562" s="201">
        <f>IF(AF562&gt;0,BG554+BB562,BG554)</f>
        <v>0</v>
      </c>
      <c r="BH562" s="202">
        <f>IF(AV562&gt;0,BH554+BD562,BH554)</f>
        <v>0</v>
      </c>
      <c r="BI562" s="201">
        <f>IF(BG562&gt;0.99,0.99,BG562)</f>
        <v>0</v>
      </c>
      <c r="BJ562" s="202">
        <f>IF(BH562&gt;0.99,0.99,BH562)</f>
        <v>0</v>
      </c>
    </row>
    <row r="563" spans="1:62" ht="16" thickTop="1" x14ac:dyDescent="0.3">
      <c r="A563" s="184">
        <f>A558+1</f>
        <v>22</v>
      </c>
      <c r="B563" s="184" t="s">
        <v>312</v>
      </c>
      <c r="C563" s="184"/>
      <c r="D563" s="185" t="str">
        <f>IF(B565="","If claimed, explain in white box below.","")</f>
        <v>If claimed, explain in white box below.</v>
      </c>
      <c r="E563" s="187"/>
      <c r="F563" s="1"/>
      <c r="AB563" s="48">
        <f>A563</f>
        <v>22</v>
      </c>
      <c r="AC563" s="48" t="s">
        <v>3992</v>
      </c>
      <c r="AK563" s="620">
        <f>IF(AL563=0,0,1)</f>
        <v>0</v>
      </c>
      <c r="AL563" s="48">
        <f>IF(B567=B$3005,E$3005,IF(B567=B$3006,E$3006,IF(B567=B$3007,E$3007,IF(B567=B$3008,E$3008,0))))</f>
        <v>0</v>
      </c>
      <c r="AM563" s="233" t="str">
        <f>IF(AL563=$E$3008,AC563,"")</f>
        <v/>
      </c>
    </row>
    <row r="564" spans="1:62" x14ac:dyDescent="0.3">
      <c r="A564" s="186"/>
      <c r="B564" s="1031" t="s">
        <v>313</v>
      </c>
      <c r="C564" s="1032"/>
      <c r="D564" s="1033"/>
      <c r="E564" s="187"/>
      <c r="F564" s="1"/>
    </row>
    <row r="565" spans="1:62" ht="147" customHeight="1" thickBot="1" x14ac:dyDescent="0.35">
      <c r="A565" s="186"/>
      <c r="B565" s="1026"/>
      <c r="C565" s="1027"/>
      <c r="D565" s="1028"/>
      <c r="E565" s="187"/>
      <c r="F565" s="1"/>
      <c r="AA565" s="48">
        <f>AA560+1</f>
        <v>8</v>
      </c>
      <c r="AB565" s="849">
        <f>IF(B567="",0,1)</f>
        <v>0</v>
      </c>
      <c r="AC565" s="853">
        <f>IF(B567=B$3005,D$3005,IF(B567=B$3006,D$3006,IF(B567=B$3007,D$3007,IF(B567=B$3008,D$3008,0))))</f>
        <v>0</v>
      </c>
      <c r="AE565" s="850">
        <f>IF(D567=B$3019,E$3019,IF(D567=B$3020,E$3020,IF(D567=B$3021,E$3021,IF(D567=B$3022,E$3022,IF(D567=B$3023,E$3023,IF(D567=B$3024,E$3024,IF(D567=B$3025,E$3025,IF(D567=B$3026,E$3026,D30449))))))))</f>
        <v>0</v>
      </c>
    </row>
    <row r="566" spans="1:62" ht="15" thickTop="1" thickBot="1" x14ac:dyDescent="0.35">
      <c r="A566" s="186"/>
      <c r="B566" s="188" t="str">
        <f>IF(B565="","","Claimed?")</f>
        <v/>
      </c>
      <c r="C566" s="188" t="str">
        <f>IF(B566="","","Verifiable?")</f>
        <v/>
      </c>
      <c r="D566" s="189" t="str">
        <f>IF(C567="","","Independent verification")</f>
        <v/>
      </c>
      <c r="E566" s="1029">
        <f>BI567</f>
        <v>0</v>
      </c>
      <c r="F566" s="1030"/>
      <c r="AA566" s="52"/>
      <c r="AB566" s="52" t="s">
        <v>278</v>
      </c>
      <c r="AF566" s="204"/>
      <c r="AG566" s="52" t="s">
        <v>279</v>
      </c>
      <c r="AM566" s="205"/>
      <c r="AN566" s="52" t="s">
        <v>280</v>
      </c>
      <c r="AV566" s="206"/>
      <c r="AX566" s="191" t="s">
        <v>281</v>
      </c>
      <c r="AZ566" s="192" t="s">
        <v>282</v>
      </c>
      <c r="BB566" s="193" t="s">
        <v>283</v>
      </c>
      <c r="BD566" s="192" t="s">
        <v>284</v>
      </c>
      <c r="BG566" s="194" t="s">
        <v>290</v>
      </c>
      <c r="BH566" s="195" t="s">
        <v>291</v>
      </c>
      <c r="BI566" s="194" t="s">
        <v>285</v>
      </c>
      <c r="BJ566" s="195" t="s">
        <v>286</v>
      </c>
    </row>
    <row r="567" spans="1:62" ht="15" thickTop="1" thickBot="1" x14ac:dyDescent="0.35">
      <c r="A567" s="186"/>
      <c r="B567" s="196"/>
      <c r="C567" s="197"/>
      <c r="D567" s="207"/>
      <c r="E567" s="1029">
        <f>BJ567</f>
        <v>0</v>
      </c>
      <c r="F567" s="1030"/>
      <c r="AA567" s="101"/>
      <c r="AB567" s="101">
        <f>IF(B567=$B$3005,$AB$522,0)</f>
        <v>0</v>
      </c>
      <c r="AC567" s="101">
        <f>IF(B567=$B$3006,$AC$522,0)</f>
        <v>0</v>
      </c>
      <c r="AD567" s="101">
        <f>IF(B567=$B$3007,$AD$522,0)</f>
        <v>0</v>
      </c>
      <c r="AE567" s="101">
        <f>IF(B567=$B$3008,$AE$522,0)</f>
        <v>0</v>
      </c>
      <c r="AF567" s="208">
        <f>SUM(AB567:AE567)</f>
        <v>0</v>
      </c>
      <c r="AG567" s="101">
        <f>IF(C567=$B$3011,$E$3011,0)</f>
        <v>0</v>
      </c>
      <c r="AH567" s="101">
        <f>IF(C567=$B$3012,$E$3012,0)</f>
        <v>0</v>
      </c>
      <c r="AI567" s="101">
        <f>IF(C567=$B$3013,$E$3013,0)</f>
        <v>0</v>
      </c>
      <c r="AJ567" s="101">
        <f>IF(C567=$B$3014,$E$3014,0)</f>
        <v>0</v>
      </c>
      <c r="AK567" s="101">
        <f>IF(C567=$B$3015,$E$3015,0)</f>
        <v>0</v>
      </c>
      <c r="AL567" s="101">
        <f>IF(C567=$B$3016,$E$3016,0)</f>
        <v>0</v>
      </c>
      <c r="AM567" s="209">
        <f>SUM(AG567:AL567)</f>
        <v>0</v>
      </c>
      <c r="AN567" s="101">
        <f>IF($D567=$B$3019,AN$522,0)</f>
        <v>0</v>
      </c>
      <c r="AO567" s="101">
        <f>IF($D567=$B$3020,AO$522,0)</f>
        <v>0</v>
      </c>
      <c r="AP567" s="101">
        <f>IF($D567=$B$3021,AP$522,0)</f>
        <v>0</v>
      </c>
      <c r="AQ567" s="101">
        <f>IF($D567=$B$3022,AQ$522,0)</f>
        <v>0</v>
      </c>
      <c r="AR567" s="101">
        <f>IF($D567=$B$3023,AR$522,0)</f>
        <v>0</v>
      </c>
      <c r="AS567" s="101">
        <f>IF($D567=$B$3024,AS$522,0)</f>
        <v>0</v>
      </c>
      <c r="AT567" s="101">
        <f>IF($D567=$B$3025,AT$522,0)</f>
        <v>0</v>
      </c>
      <c r="AU567" s="101">
        <f>IF($D567=$B$3026,AU$522,0)</f>
        <v>0</v>
      </c>
      <c r="AV567" s="210">
        <f>SUM(AN567:AU567)</f>
        <v>0</v>
      </c>
      <c r="AX567" s="200">
        <f>AF567*AM567</f>
        <v>0</v>
      </c>
      <c r="AZ567" s="146">
        <f>AX567+(AV567*AM567)</f>
        <v>0</v>
      </c>
      <c r="BB567" s="201">
        <f>(AF567*AM567)*0.01</f>
        <v>0</v>
      </c>
      <c r="BD567" s="202">
        <f>AZ567*0.01</f>
        <v>0</v>
      </c>
      <c r="BE567" s="377"/>
      <c r="BG567" s="201">
        <f>IF(AF567&gt;0,BG562+BB567,BG562)</f>
        <v>0</v>
      </c>
      <c r="BH567" s="202">
        <f>IF(AV567&gt;0,BH562+BD567,BH562)</f>
        <v>0</v>
      </c>
      <c r="BI567" s="201">
        <f>IF(BG567&gt;0.99,0.99,BG567)</f>
        <v>0</v>
      </c>
      <c r="BJ567" s="202">
        <f>IF(BH567&gt;0.99,0.99,BH567)</f>
        <v>0</v>
      </c>
    </row>
    <row r="568" spans="1:62" ht="16" thickTop="1" x14ac:dyDescent="0.3">
      <c r="A568" s="184">
        <f>A563+1</f>
        <v>23</v>
      </c>
      <c r="B568" s="184" t="s">
        <v>316</v>
      </c>
      <c r="C568" s="184"/>
      <c r="D568" s="185" t="str">
        <f>IF(B570="","If claimed, explain in white box below.","")</f>
        <v>If claimed, explain in white box below.</v>
      </c>
      <c r="E568" s="187"/>
      <c r="F568" s="1"/>
      <c r="AB568" s="48">
        <f>A568</f>
        <v>23</v>
      </c>
      <c r="AC568" s="48" t="s">
        <v>3993</v>
      </c>
      <c r="AK568" s="620">
        <f>IF(AL568=0,0,1)</f>
        <v>0</v>
      </c>
      <c r="AL568" s="48">
        <f>IF(B572=B$3005,E$3005,IF(B572=B$3006,E$3006,IF(B572=B$3007,E$3007,IF(B572=B$3008,E$3008,0))))</f>
        <v>0</v>
      </c>
      <c r="AM568" s="233" t="str">
        <f>IF(AL568=$E$3008,AC568,"")</f>
        <v/>
      </c>
    </row>
    <row r="569" spans="1:62" x14ac:dyDescent="0.3">
      <c r="A569" s="186"/>
      <c r="B569" s="1031" t="s">
        <v>317</v>
      </c>
      <c r="C569" s="1032"/>
      <c r="D569" s="1033"/>
      <c r="E569" s="187"/>
      <c r="F569" s="1"/>
    </row>
    <row r="570" spans="1:62" ht="147" customHeight="1" thickBot="1" x14ac:dyDescent="0.35">
      <c r="A570" s="186"/>
      <c r="B570" s="1026"/>
      <c r="C570" s="1027"/>
      <c r="D570" s="1028"/>
      <c r="E570" s="187"/>
      <c r="F570" s="1"/>
      <c r="AA570" s="48">
        <f>AA565+1</f>
        <v>9</v>
      </c>
      <c r="AB570" s="849">
        <f>IF(B572="",0,1)</f>
        <v>0</v>
      </c>
      <c r="AC570" s="853">
        <f>IF(B572=B$3005,D$3005,IF(B572=B$3006,D$3006,IF(B572=B$3007,D$3007,IF(B572=B$3008,D$3008,0))))</f>
        <v>0</v>
      </c>
      <c r="AE570" s="850">
        <f>IF(D572=B$3019,E$3019,IF(D572=B$3020,E$3020,IF(D572=B$3021,E$3021,IF(D572=B$3022,E$3022,IF(D572=B$3023,E$3023,IF(D572=B$3024,E$3024,IF(D572=B$3025,E$3025,IF(D572=B$3026,E$3026,D30454))))))))</f>
        <v>0</v>
      </c>
    </row>
    <row r="571" spans="1:62" ht="15" thickTop="1" thickBot="1" x14ac:dyDescent="0.35">
      <c r="A571" s="186"/>
      <c r="B571" s="188" t="str">
        <f>IF(B570="","","Claimed?")</f>
        <v/>
      </c>
      <c r="C571" s="188" t="str">
        <f>IF(B571="","","Verifiable?")</f>
        <v/>
      </c>
      <c r="D571" s="189" t="str">
        <f>IF(C572="","","Independent verification")</f>
        <v/>
      </c>
      <c r="E571" s="1029">
        <f>BI572</f>
        <v>0</v>
      </c>
      <c r="F571" s="1030"/>
      <c r="AA571" s="52"/>
      <c r="AB571" s="52" t="s">
        <v>278</v>
      </c>
      <c r="AF571" s="204"/>
      <c r="AG571" s="52" t="s">
        <v>279</v>
      </c>
      <c r="AM571" s="205"/>
      <c r="AN571" s="52" t="s">
        <v>280</v>
      </c>
      <c r="AV571" s="206"/>
      <c r="AX571" s="191" t="s">
        <v>281</v>
      </c>
      <c r="AZ571" s="192" t="s">
        <v>282</v>
      </c>
      <c r="BB571" s="193" t="s">
        <v>283</v>
      </c>
      <c r="BD571" s="192" t="s">
        <v>284</v>
      </c>
      <c r="BG571" s="194" t="s">
        <v>290</v>
      </c>
      <c r="BH571" s="195" t="s">
        <v>291</v>
      </c>
      <c r="BI571" s="194" t="s">
        <v>285</v>
      </c>
      <c r="BJ571" s="195" t="s">
        <v>286</v>
      </c>
    </row>
    <row r="572" spans="1:62" ht="15" thickTop="1" thickBot="1" x14ac:dyDescent="0.35">
      <c r="A572" s="186"/>
      <c r="B572" s="196"/>
      <c r="C572" s="197"/>
      <c r="D572" s="207"/>
      <c r="E572" s="1029">
        <f>BJ572</f>
        <v>0</v>
      </c>
      <c r="F572" s="1030"/>
      <c r="AA572" s="101"/>
      <c r="AB572" s="101">
        <f>IF(B572=$B$3005,$AB$522,0)</f>
        <v>0</v>
      </c>
      <c r="AC572" s="101">
        <f>IF(B572=$B$3006,$AC$522,0)</f>
        <v>0</v>
      </c>
      <c r="AD572" s="101">
        <f>IF(B572=$B$3007,$AD$522,0)</f>
        <v>0</v>
      </c>
      <c r="AE572" s="101">
        <f>IF(B572=$B$3008,$AE$522,0)</f>
        <v>0</v>
      </c>
      <c r="AF572" s="208">
        <f>SUM(AB572:AE572)</f>
        <v>0</v>
      </c>
      <c r="AG572" s="101">
        <f>IF(C572=$B$3011,$E$3011,0)</f>
        <v>0</v>
      </c>
      <c r="AH572" s="101">
        <f>IF(C572=$B$3012,$E$3012,0)</f>
        <v>0</v>
      </c>
      <c r="AI572" s="101">
        <f>IF(C572=$B$3013,$E$3013,0)</f>
        <v>0</v>
      </c>
      <c r="AJ572" s="101">
        <f>IF(C572=$B$3014,$E$3014,0)</f>
        <v>0</v>
      </c>
      <c r="AK572" s="101">
        <f>IF(C572=$B$3015,$E$3015,0)</f>
        <v>0</v>
      </c>
      <c r="AL572" s="101">
        <f>IF(C572=$B$3016,$E$3016,0)</f>
        <v>0</v>
      </c>
      <c r="AM572" s="209">
        <f>SUM(AG572:AL572)</f>
        <v>0</v>
      </c>
      <c r="AN572" s="101">
        <f>IF($D572=$B$3019,AN$522,0)</f>
        <v>0</v>
      </c>
      <c r="AO572" s="101">
        <f>IF($D572=$B$3020,AO$522,0)</f>
        <v>0</v>
      </c>
      <c r="AP572" s="101">
        <f>IF($D572=$B$3021,AP$522,0)</f>
        <v>0</v>
      </c>
      <c r="AQ572" s="101">
        <f>IF($D572=$B$3022,AQ$522,0)</f>
        <v>0</v>
      </c>
      <c r="AR572" s="101">
        <f>IF($D572=$B$3023,AR$522,0)</f>
        <v>0</v>
      </c>
      <c r="AS572" s="101">
        <f>IF($D572=$B$3024,AS$522,0)</f>
        <v>0</v>
      </c>
      <c r="AT572" s="101">
        <f>IF($D572=$B$3025,AT$522,0)</f>
        <v>0</v>
      </c>
      <c r="AU572" s="101">
        <f>IF($D572=$B$3026,AU$522,0)</f>
        <v>0</v>
      </c>
      <c r="AV572" s="210">
        <f>SUM(AN572:AU572)</f>
        <v>0</v>
      </c>
      <c r="AX572" s="200">
        <f>AF572*AM572</f>
        <v>0</v>
      </c>
      <c r="AZ572" s="146">
        <f>AX572+(AV572*AM572)</f>
        <v>0</v>
      </c>
      <c r="BB572" s="201">
        <f>(AF572*AM572)*0.01</f>
        <v>0</v>
      </c>
      <c r="BD572" s="202">
        <f>AZ572*0.01</f>
        <v>0</v>
      </c>
      <c r="BE572" s="377"/>
      <c r="BG572" s="201">
        <f>IF(AF572&gt;0,BG567+BB572,BG567)</f>
        <v>0</v>
      </c>
      <c r="BH572" s="202">
        <f>IF(AV572&gt;0,BH567+BD572,BH567)</f>
        <v>0</v>
      </c>
      <c r="BI572" s="201">
        <f>IF(BG572&gt;0.99,0.99,BG572)</f>
        <v>0</v>
      </c>
      <c r="BJ572" s="202">
        <f>IF(BH572&gt;0.99,0.99,BH572)</f>
        <v>0</v>
      </c>
    </row>
    <row r="573" spans="1:62" ht="5" customHeight="1" thickTop="1" x14ac:dyDescent="0.3">
      <c r="A573" s="187"/>
      <c r="B573" s="187"/>
      <c r="C573" s="187"/>
      <c r="D573" s="187"/>
      <c r="E573" s="187"/>
      <c r="F573" s="1"/>
    </row>
    <row r="574" spans="1:62" ht="15.5" x14ac:dyDescent="0.3">
      <c r="A574" s="184">
        <f>A568+1</f>
        <v>24</v>
      </c>
      <c r="B574" s="184" t="s">
        <v>319</v>
      </c>
      <c r="C574" s="184"/>
      <c r="D574" s="185" t="str">
        <f>IF(B576="","If claimed, explain in white box below.","")</f>
        <v>If claimed, explain in white box below.</v>
      </c>
      <c r="E574" s="187"/>
      <c r="F574" s="1"/>
      <c r="AB574" s="48">
        <f>A574</f>
        <v>24</v>
      </c>
      <c r="AC574" s="48" t="s">
        <v>4024</v>
      </c>
      <c r="AK574" s="620">
        <f>IF(AL574=0,0,1)</f>
        <v>0</v>
      </c>
      <c r="AL574" s="48">
        <f>IF(B578=B$3005,E$3005,IF(B578=B$3006,E$3006,IF(B578=B$3007,E$3007,IF(B578=B$3008,E$3008,0))))</f>
        <v>0</v>
      </c>
      <c r="AM574" s="233" t="str">
        <f>IF(AL574=$E$3008,AC574,"")</f>
        <v/>
      </c>
    </row>
    <row r="575" spans="1:62" x14ac:dyDescent="0.3">
      <c r="A575" s="186"/>
      <c r="B575" s="1031" t="s">
        <v>320</v>
      </c>
      <c r="C575" s="1032"/>
      <c r="D575" s="1033"/>
      <c r="E575" s="187"/>
      <c r="F575" s="1"/>
    </row>
    <row r="576" spans="1:62" ht="160" customHeight="1" thickBot="1" x14ac:dyDescent="0.35">
      <c r="A576" s="186"/>
      <c r="B576" s="1026"/>
      <c r="C576" s="1027"/>
      <c r="D576" s="1028"/>
      <c r="E576" s="187"/>
      <c r="F576" s="1"/>
      <c r="AA576" s="48">
        <f>AA570+1</f>
        <v>10</v>
      </c>
      <c r="AB576" s="849">
        <f>IF(B578="",0,1)</f>
        <v>0</v>
      </c>
      <c r="AC576" s="853">
        <f>IF(B578=B$3005,D$3005,IF(B578=B$3006,D$3006,IF(B578=B$3007,D$3007,IF(B578=B$3008,D$3008,0))))</f>
        <v>0</v>
      </c>
      <c r="AE576" s="850">
        <f>IF(D578=B$3019,E$3019,IF(D578=B$3020,E$3020,IF(D578=B$3021,E$3021,IF(D578=B$3022,E$3022,IF(D578=B$3023,E$3023,IF(D578=B$3024,E$3024,IF(D578=B$3025,E$3025,IF(D578=B$3026,E$3026,D30460))))))))</f>
        <v>0</v>
      </c>
    </row>
    <row r="577" spans="1:62" ht="15" thickTop="1" thickBot="1" x14ac:dyDescent="0.35">
      <c r="A577" s="186"/>
      <c r="B577" s="188" t="str">
        <f>IF(B576="","","Claimed?")</f>
        <v/>
      </c>
      <c r="C577" s="188" t="str">
        <f>IF(B577="","","Verifiable?")</f>
        <v/>
      </c>
      <c r="D577" s="189" t="str">
        <f>IF(C578="","","Independent verification")</f>
        <v/>
      </c>
      <c r="E577" s="1029">
        <f>BI578</f>
        <v>0</v>
      </c>
      <c r="F577" s="1030"/>
      <c r="AA577" s="52"/>
      <c r="AB577" s="52" t="s">
        <v>278</v>
      </c>
      <c r="AF577" s="204"/>
      <c r="AG577" s="52" t="s">
        <v>279</v>
      </c>
      <c r="AM577" s="205"/>
      <c r="AN577" s="52" t="s">
        <v>280</v>
      </c>
      <c r="AV577" s="206"/>
      <c r="AX577" s="191" t="s">
        <v>281</v>
      </c>
      <c r="AZ577" s="192" t="s">
        <v>282</v>
      </c>
      <c r="BB577" s="193" t="s">
        <v>283</v>
      </c>
      <c r="BD577" s="192" t="s">
        <v>284</v>
      </c>
      <c r="BG577" s="194" t="s">
        <v>290</v>
      </c>
      <c r="BH577" s="195" t="s">
        <v>291</v>
      </c>
      <c r="BI577" s="194" t="s">
        <v>285</v>
      </c>
      <c r="BJ577" s="195" t="s">
        <v>286</v>
      </c>
    </row>
    <row r="578" spans="1:62" ht="15" thickTop="1" thickBot="1" x14ac:dyDescent="0.35">
      <c r="A578" s="186"/>
      <c r="B578" s="196"/>
      <c r="C578" s="197"/>
      <c r="D578" s="207"/>
      <c r="E578" s="1029">
        <f>BJ578</f>
        <v>0</v>
      </c>
      <c r="F578" s="1030"/>
      <c r="AA578" s="101"/>
      <c r="AB578" s="101">
        <f>IF(B578=$B$3005,$AB$522,0)</f>
        <v>0</v>
      </c>
      <c r="AC578" s="101">
        <f>IF(B578=$B$3006,$AC$522,0)</f>
        <v>0</v>
      </c>
      <c r="AD578" s="101">
        <f>IF(B578=$B$3007,$AD$522,0)</f>
        <v>0</v>
      </c>
      <c r="AE578" s="101">
        <f>IF(B578=$B$3008,$AE$522,0)</f>
        <v>0</v>
      </c>
      <c r="AF578" s="208">
        <f>SUM(AB578:AE578)</f>
        <v>0</v>
      </c>
      <c r="AG578" s="101">
        <f>IF(C578=$B$3011,$E$3011,0)</f>
        <v>0</v>
      </c>
      <c r="AH578" s="101">
        <f>IF(C578=$B$3012,$E$3012,0)</f>
        <v>0</v>
      </c>
      <c r="AI578" s="101">
        <f>IF(C578=$B$3013,$E$3013,0)</f>
        <v>0</v>
      </c>
      <c r="AJ578" s="101">
        <f>IF(C578=$B$3014,$E$3014,0)</f>
        <v>0</v>
      </c>
      <c r="AK578" s="101">
        <f>IF(C578=$B$3015,$E$3015,0)</f>
        <v>0</v>
      </c>
      <c r="AL578" s="101">
        <f>IF(C578=$B$3016,$E$3016,0)</f>
        <v>0</v>
      </c>
      <c r="AM578" s="209">
        <f>SUM(AG578:AL578)</f>
        <v>0</v>
      </c>
      <c r="AN578" s="101">
        <f>IF($D578=$B$3019,AN$522,0)</f>
        <v>0</v>
      </c>
      <c r="AO578" s="101">
        <f>IF($D578=$B$3020,AO$522,0)</f>
        <v>0</v>
      </c>
      <c r="AP578" s="101">
        <f>IF($D578=$B$3021,AP$522,0)</f>
        <v>0</v>
      </c>
      <c r="AQ578" s="101">
        <f>IF($D578=$B$3022,AQ$522,0)</f>
        <v>0</v>
      </c>
      <c r="AR578" s="101">
        <f>IF($D578=$B$3023,AR$522,0)</f>
        <v>0</v>
      </c>
      <c r="AS578" s="101">
        <f>IF($D578=$B$3024,AS$522,0)</f>
        <v>0</v>
      </c>
      <c r="AT578" s="101">
        <f>IF($D578=$B$3025,AT$522,0)</f>
        <v>0</v>
      </c>
      <c r="AU578" s="101">
        <f>IF($D578=$B$3026,AU$522,0)</f>
        <v>0</v>
      </c>
      <c r="AV578" s="210">
        <f>SUM(AN578:AU578)</f>
        <v>0</v>
      </c>
      <c r="AX578" s="200">
        <f>AF578*AM578</f>
        <v>0</v>
      </c>
      <c r="AZ578" s="146">
        <f>AX578+(AV578*AM578)</f>
        <v>0</v>
      </c>
      <c r="BB578" s="201">
        <f>(AF578*AM578)*0.01</f>
        <v>0</v>
      </c>
      <c r="BD578" s="202">
        <f>AZ578*0.01</f>
        <v>0</v>
      </c>
      <c r="BE578" s="377"/>
      <c r="BG578" s="201">
        <f>IF(AF578&gt;0,BG572+BB578,BG572)</f>
        <v>0</v>
      </c>
      <c r="BH578" s="202">
        <f>IF(AV578&gt;0,BH572+BD578,BH572)</f>
        <v>0</v>
      </c>
      <c r="BI578" s="201">
        <f>IF(BG578&gt;0.99,0.99,BG578)</f>
        <v>0</v>
      </c>
      <c r="BJ578" s="202">
        <f>IF(BH578&gt;0.99,0.99,BH578)</f>
        <v>0</v>
      </c>
    </row>
    <row r="579" spans="1:62" ht="16" thickTop="1" x14ac:dyDescent="0.3">
      <c r="A579" s="184">
        <f>A574+1</f>
        <v>25</v>
      </c>
      <c r="B579" s="184" t="s">
        <v>323</v>
      </c>
      <c r="C579" s="184"/>
      <c r="D579" s="185" t="str">
        <f>IF(B581="","If claimed, explain in white box below.","")</f>
        <v>If claimed, explain in white box below.</v>
      </c>
      <c r="E579" s="187"/>
      <c r="F579" s="1"/>
      <c r="AB579" s="48">
        <f>A579</f>
        <v>25</v>
      </c>
      <c r="AC579" s="48" t="s">
        <v>4023</v>
      </c>
      <c r="AK579" s="620">
        <f>IF(AL579=0,0,1)</f>
        <v>0</v>
      </c>
      <c r="AL579" s="48">
        <f>IF(B583=B$3005,E$3005,IF(B583=B$3006,E$3006,IF(B583=B$3007,E$3007,IF(B583=B$3008,E$3008,0))))</f>
        <v>0</v>
      </c>
      <c r="AM579" s="233" t="str">
        <f>IF(AL579=$E$3008,AC579,"")</f>
        <v/>
      </c>
    </row>
    <row r="580" spans="1:62" x14ac:dyDescent="0.3">
      <c r="A580" s="186"/>
      <c r="B580" s="1031" t="s">
        <v>324</v>
      </c>
      <c r="C580" s="1032"/>
      <c r="D580" s="1033"/>
      <c r="E580" s="187"/>
      <c r="F580" s="1"/>
    </row>
    <row r="581" spans="1:62" ht="160" customHeight="1" thickBot="1" x14ac:dyDescent="0.35">
      <c r="A581" s="186"/>
      <c r="B581" s="1026"/>
      <c r="C581" s="1027"/>
      <c r="D581" s="1028"/>
      <c r="E581" s="187"/>
      <c r="F581" s="1"/>
      <c r="AA581" s="48">
        <f>AA576+1</f>
        <v>11</v>
      </c>
      <c r="AB581" s="849">
        <f>IF(B583="",0,1)</f>
        <v>0</v>
      </c>
      <c r="AC581" s="853">
        <f>IF(B583=B$3005,D$3005,IF(B583=B$3006,D$3006,IF(B583=B$3007,D$3007,IF(B583=B$3008,D$3008,0))))</f>
        <v>0</v>
      </c>
      <c r="AE581" s="850">
        <f>IF(D583=B$3019,E$3019,IF(D583=B$3020,E$3020,IF(D583=B$3021,E$3021,IF(D583=B$3022,E$3022,IF(D583=B$3023,E$3023,IF(D583=B$3024,E$3024,IF(D583=B$3025,E$3025,IF(D583=B$3026,E$3026,D30465))))))))</f>
        <v>0</v>
      </c>
    </row>
    <row r="582" spans="1:62" ht="15" thickTop="1" thickBot="1" x14ac:dyDescent="0.35">
      <c r="A582" s="186"/>
      <c r="B582" s="188" t="str">
        <f>IF(B581="","","Claimed?")</f>
        <v/>
      </c>
      <c r="C582" s="188" t="str">
        <f>IF(B582="","","Verifiable?")</f>
        <v/>
      </c>
      <c r="D582" s="189" t="str">
        <f>IF(C583="","","Independent verification")</f>
        <v/>
      </c>
      <c r="E582" s="1029">
        <f>BI583</f>
        <v>0</v>
      </c>
      <c r="F582" s="1030"/>
      <c r="AA582" s="52"/>
      <c r="AB582" s="52" t="s">
        <v>278</v>
      </c>
      <c r="AF582" s="204"/>
      <c r="AG582" s="52" t="s">
        <v>279</v>
      </c>
      <c r="AM582" s="205"/>
      <c r="AN582" s="52" t="s">
        <v>280</v>
      </c>
      <c r="AV582" s="206"/>
      <c r="AX582" s="191" t="s">
        <v>281</v>
      </c>
      <c r="AZ582" s="192" t="s">
        <v>282</v>
      </c>
      <c r="BB582" s="193" t="s">
        <v>283</v>
      </c>
      <c r="BD582" s="192" t="s">
        <v>284</v>
      </c>
      <c r="BG582" s="194" t="s">
        <v>290</v>
      </c>
      <c r="BH582" s="195" t="s">
        <v>291</v>
      </c>
      <c r="BI582" s="194" t="s">
        <v>285</v>
      </c>
      <c r="BJ582" s="195" t="s">
        <v>286</v>
      </c>
    </row>
    <row r="583" spans="1:62" ht="15" thickTop="1" thickBot="1" x14ac:dyDescent="0.35">
      <c r="A583" s="186"/>
      <c r="B583" s="196"/>
      <c r="C583" s="197"/>
      <c r="D583" s="207"/>
      <c r="E583" s="1029">
        <f>BJ583</f>
        <v>0</v>
      </c>
      <c r="F583" s="1030"/>
      <c r="AA583" s="101"/>
      <c r="AB583" s="101">
        <f>IF(B583=$B$3005,$AB$522,0)</f>
        <v>0</v>
      </c>
      <c r="AC583" s="101">
        <f>IF(B583=$B$3006,$AC$522,0)</f>
        <v>0</v>
      </c>
      <c r="AD583" s="101">
        <f>IF(B583=$B$3007,$AD$522,0)</f>
        <v>0</v>
      </c>
      <c r="AE583" s="101">
        <f>IF(B583=$B$3008,$AE$522,0)</f>
        <v>0</v>
      </c>
      <c r="AF583" s="208">
        <f>SUM(AB583:AE583)</f>
        <v>0</v>
      </c>
      <c r="AG583" s="101">
        <f>IF(C583=$B$3011,$E$3011,0)</f>
        <v>0</v>
      </c>
      <c r="AH583" s="101">
        <f>IF(C583=$B$3012,$E$3012,0)</f>
        <v>0</v>
      </c>
      <c r="AI583" s="101">
        <f>IF(C583=$B$3013,$E$3013,0)</f>
        <v>0</v>
      </c>
      <c r="AJ583" s="101">
        <f>IF(C583=$B$3014,$E$3014,0)</f>
        <v>0</v>
      </c>
      <c r="AK583" s="101">
        <f>IF(C583=$B$3015,$E$3015,0)</f>
        <v>0</v>
      </c>
      <c r="AL583" s="101">
        <f>IF(C583=$B$3016,$E$3016,0)</f>
        <v>0</v>
      </c>
      <c r="AM583" s="209">
        <f>SUM(AG583:AL583)</f>
        <v>0</v>
      </c>
      <c r="AN583" s="101">
        <f>IF($D583=$B$3019,AN$522,0)</f>
        <v>0</v>
      </c>
      <c r="AO583" s="101">
        <f>IF($D583=$B$3020,AO$522,0)</f>
        <v>0</v>
      </c>
      <c r="AP583" s="101">
        <f>IF($D583=$B$3021,AP$522,0)</f>
        <v>0</v>
      </c>
      <c r="AQ583" s="101">
        <f>IF($D583=$B$3022,AQ$522,0)</f>
        <v>0</v>
      </c>
      <c r="AR583" s="101">
        <f>IF($D583=$B$3023,AR$522,0)</f>
        <v>0</v>
      </c>
      <c r="AS583" s="101">
        <f>IF($D583=$B$3024,AS$522,0)</f>
        <v>0</v>
      </c>
      <c r="AT583" s="101">
        <f>IF($D583=$B$3025,AT$522,0)</f>
        <v>0</v>
      </c>
      <c r="AU583" s="101">
        <f>IF($D583=$B$3026,AU$522,0)</f>
        <v>0</v>
      </c>
      <c r="AV583" s="210">
        <f>SUM(AN583:AU583)</f>
        <v>0</v>
      </c>
      <c r="AX583" s="200">
        <f>AF583*AM583</f>
        <v>0</v>
      </c>
      <c r="AZ583" s="146">
        <f>AX583+(AV583*AM583)</f>
        <v>0</v>
      </c>
      <c r="BB583" s="201">
        <f>(AF583*AM583)*0.01</f>
        <v>0</v>
      </c>
      <c r="BD583" s="202">
        <f>AZ583*0.01</f>
        <v>0</v>
      </c>
      <c r="BE583" s="377"/>
      <c r="BG583" s="201">
        <f>IF(AF583&gt;0,BG578+BB583,BG578)</f>
        <v>0</v>
      </c>
      <c r="BH583" s="202">
        <f>IF(AV583&gt;0,BH578+BD583,BH578)</f>
        <v>0</v>
      </c>
      <c r="BI583" s="201">
        <f>IF(BG583&gt;0.99,0.99,BG583)</f>
        <v>0</v>
      </c>
      <c r="BJ583" s="202">
        <f>IF(BH583&gt;0.99,0.99,BH583)</f>
        <v>0</v>
      </c>
    </row>
    <row r="584" spans="1:62" ht="16" thickTop="1" x14ac:dyDescent="0.3">
      <c r="A584" s="184">
        <f>A579+1</f>
        <v>26</v>
      </c>
      <c r="B584" s="184" t="s">
        <v>326</v>
      </c>
      <c r="C584" s="184"/>
      <c r="D584" s="185" t="str">
        <f>IF(B586="","If claimed, explain in white box below.","")</f>
        <v>If claimed, explain in white box below.</v>
      </c>
      <c r="E584" s="187"/>
      <c r="F584" s="1"/>
      <c r="AB584" s="48">
        <f>A584</f>
        <v>26</v>
      </c>
      <c r="AC584" s="48" t="s">
        <v>4022</v>
      </c>
      <c r="AK584" s="620">
        <f>IF(AL584=0,0,1)</f>
        <v>0</v>
      </c>
      <c r="AL584" s="48">
        <f>IF(B588=B$3005,E$3005,IF(B588=B$3006,E$3006,IF(B588=B$3007,E$3007,IF(B588=B$3008,E$3008,0))))</f>
        <v>0</v>
      </c>
      <c r="AM584" s="233" t="str">
        <f>IF(AL584=$E$3008,AC584,"")</f>
        <v/>
      </c>
    </row>
    <row r="585" spans="1:62" ht="27" customHeight="1" x14ac:dyDescent="0.3">
      <c r="A585" s="186"/>
      <c r="B585" s="1031" t="s">
        <v>3645</v>
      </c>
      <c r="C585" s="1032"/>
      <c r="D585" s="1033"/>
      <c r="E585" s="187"/>
      <c r="F585" s="1"/>
    </row>
    <row r="586" spans="1:62" ht="147" customHeight="1" thickBot="1" x14ac:dyDescent="0.35">
      <c r="A586" s="186"/>
      <c r="B586" s="1026"/>
      <c r="C586" s="1027"/>
      <c r="D586" s="1028"/>
      <c r="E586" s="187"/>
      <c r="F586" s="1"/>
      <c r="AA586" s="48">
        <f>AA581+1</f>
        <v>12</v>
      </c>
      <c r="AB586" s="849">
        <f>IF(B588="",0,1)</f>
        <v>0</v>
      </c>
      <c r="AC586" s="853">
        <f>IF(B588=B$3005,D$3005,IF(B588=B$3006,D$3006,IF(B588=B$3007,D$3007,IF(B588=B$3008,D$3008,0))))</f>
        <v>0</v>
      </c>
      <c r="AE586" s="850">
        <f>IF(D588=B$3019,E$3019,IF(D588=B$3020,E$3020,IF(D588=B$3021,E$3021,IF(D588=B$3022,E$3022,IF(D588=B$3023,E$3023,IF(D588=B$3024,E$3024,IF(D588=B$3025,E$3025,IF(D588=B$3026,E$3026,D30470))))))))</f>
        <v>0</v>
      </c>
    </row>
    <row r="587" spans="1:62" ht="15" thickTop="1" thickBot="1" x14ac:dyDescent="0.35">
      <c r="A587" s="186"/>
      <c r="B587" s="188" t="str">
        <f>IF(B586="","","Claimed?")</f>
        <v/>
      </c>
      <c r="C587" s="188" t="str">
        <f>IF(B587="","","Verifiable?")</f>
        <v/>
      </c>
      <c r="D587" s="189" t="str">
        <f>IF(C588="","","Independent verification")</f>
        <v/>
      </c>
      <c r="E587" s="1029">
        <f>BI588</f>
        <v>0</v>
      </c>
      <c r="F587" s="1030"/>
      <c r="AA587" s="52"/>
      <c r="AB587" s="52" t="s">
        <v>278</v>
      </c>
      <c r="AF587" s="204"/>
      <c r="AG587" s="52" t="s">
        <v>279</v>
      </c>
      <c r="AM587" s="205"/>
      <c r="AN587" s="52" t="s">
        <v>280</v>
      </c>
      <c r="AV587" s="206"/>
      <c r="AX587" s="191" t="s">
        <v>281</v>
      </c>
      <c r="AZ587" s="192" t="s">
        <v>282</v>
      </c>
      <c r="BB587" s="193" t="s">
        <v>283</v>
      </c>
      <c r="BD587" s="192" t="s">
        <v>284</v>
      </c>
      <c r="BG587" s="194" t="s">
        <v>290</v>
      </c>
      <c r="BH587" s="195" t="s">
        <v>291</v>
      </c>
      <c r="BI587" s="194" t="s">
        <v>285</v>
      </c>
      <c r="BJ587" s="195" t="s">
        <v>286</v>
      </c>
    </row>
    <row r="588" spans="1:62" ht="15" thickTop="1" thickBot="1" x14ac:dyDescent="0.35">
      <c r="A588" s="186"/>
      <c r="B588" s="196"/>
      <c r="C588" s="197"/>
      <c r="D588" s="207"/>
      <c r="E588" s="1029">
        <f>E587</f>
        <v>0</v>
      </c>
      <c r="F588" s="1030"/>
      <c r="AA588" s="101"/>
      <c r="AB588" s="101">
        <f>IF(B588=$B$3005,$AB$522,0)</f>
        <v>0</v>
      </c>
      <c r="AC588" s="101">
        <f>IF(B588=$B$3006,$AC$522,0)</f>
        <v>0</v>
      </c>
      <c r="AD588" s="101">
        <f>IF(B588=$B$3007,$AD$522,0)</f>
        <v>0</v>
      </c>
      <c r="AE588" s="101">
        <f>IF(B588=$B$3008,$AE$522,0)</f>
        <v>0</v>
      </c>
      <c r="AF588" s="208">
        <f>SUM(AB588:AE588)</f>
        <v>0</v>
      </c>
      <c r="AG588" s="101">
        <f>IF(C588=$B$3011,$E$3011,0)</f>
        <v>0</v>
      </c>
      <c r="AH588" s="101">
        <f>IF(C588=$B$3012,$E$3012,0)</f>
        <v>0</v>
      </c>
      <c r="AI588" s="101">
        <f>IF(C588=$B$3013,$E$3013,0)</f>
        <v>0</v>
      </c>
      <c r="AJ588" s="101">
        <f>IF(C588=$B$3014,$E$3014,0)</f>
        <v>0</v>
      </c>
      <c r="AK588" s="101">
        <f>IF(C588=$B$3015,$E$3015,0)</f>
        <v>0</v>
      </c>
      <c r="AL588" s="101">
        <f>IF(C588=$B$3016,$E$3016,0)</f>
        <v>0</v>
      </c>
      <c r="AM588" s="209">
        <f>SUM(AG588:AL588)</f>
        <v>0</v>
      </c>
      <c r="AN588" s="101">
        <f>IF($D588=$B$3019,AN$522,0)</f>
        <v>0</v>
      </c>
      <c r="AO588" s="101">
        <f>IF($D588=$B$3020,AO$522,0)</f>
        <v>0</v>
      </c>
      <c r="AP588" s="101">
        <f>IF($D588=$B$3021,AP$522,0)</f>
        <v>0</v>
      </c>
      <c r="AQ588" s="101">
        <f>IF($D588=$B$3022,AQ$522,0)</f>
        <v>0</v>
      </c>
      <c r="AR588" s="101">
        <f>IF($D588=$B$3023,AR$522,0)</f>
        <v>0</v>
      </c>
      <c r="AS588" s="101">
        <f>IF($D588=$B$3024,AS$522,0)</f>
        <v>0</v>
      </c>
      <c r="AT588" s="101">
        <f>IF($D588=$B$3025,AT$522,0)</f>
        <v>0</v>
      </c>
      <c r="AU588" s="101">
        <f>IF($D588=$B$3026,AU$522,0)</f>
        <v>0</v>
      </c>
      <c r="AV588" s="210">
        <f>SUM(AN588:AU588)</f>
        <v>0</v>
      </c>
      <c r="AX588" s="200">
        <f>AF588*AM588</f>
        <v>0</v>
      </c>
      <c r="AZ588" s="146">
        <f>AX588+(AV588*AM588)</f>
        <v>0</v>
      </c>
      <c r="BB588" s="201">
        <f>(AF588*AM588)*0.01</f>
        <v>0</v>
      </c>
      <c r="BD588" s="202">
        <f>AZ588*0.01</f>
        <v>0</v>
      </c>
      <c r="BE588" s="377"/>
      <c r="BG588" s="201">
        <f>IF(AF588&gt;0,BG583+BB588,BG583)</f>
        <v>0</v>
      </c>
      <c r="BH588" s="202">
        <f>IF(AV588&gt;0,BH583+BD588,BH583)</f>
        <v>0</v>
      </c>
      <c r="BI588" s="201">
        <f>IF(BG588&gt;0.99,0.99,BG588)</f>
        <v>0</v>
      </c>
      <c r="BJ588" s="202">
        <f>IF(BH588&gt;0.99,0.99,BH588)</f>
        <v>0</v>
      </c>
    </row>
    <row r="589" spans="1:62" ht="14.5" thickTop="1" x14ac:dyDescent="0.3">
      <c r="A589" s="186"/>
      <c r="B589" s="187"/>
      <c r="C589" s="187"/>
      <c r="D589" s="187"/>
      <c r="E589" s="187"/>
      <c r="F589" s="1"/>
    </row>
    <row r="590" spans="1:62" ht="30" customHeight="1" x14ac:dyDescent="0.3">
      <c r="A590" s="1199" t="s">
        <v>70</v>
      </c>
      <c r="B590" s="1200" t="s">
        <v>328</v>
      </c>
      <c r="C590" s="1200"/>
      <c r="D590" s="1200"/>
      <c r="E590" s="436"/>
      <c r="F590" s="436" t="s">
        <v>869</v>
      </c>
      <c r="AB590" s="618" t="str">
        <f>IF(AND(B596&lt;&gt;$B$3008,B601&lt;&gt;$B$3008,B606&lt;&gt;$B$3008,B612&lt;&gt;$B$3008,B617&lt;&gt;$B$3008,B622&lt;&gt;$B$3008),"No significant investigative factors. ",CONCATENATE(AJ590,AM590,AN590,AO590,AP590,AQ590,AR590,AS590,AT590,AU590,AV590,AZ590))</f>
        <v xml:space="preserve">No significant investigative factors. </v>
      </c>
      <c r="AJ590" s="48" t="s">
        <v>4025</v>
      </c>
      <c r="AM590" s="48" t="str">
        <f>IF(AM592="","",AM592)</f>
        <v/>
      </c>
      <c r="AN590" s="48" t="str">
        <f>IF(AO590="","",", ")</f>
        <v/>
      </c>
      <c r="AO590" s="48" t="str">
        <f>AM597</f>
        <v/>
      </c>
      <c r="AP590" s="48" t="str">
        <f>IF(AQ590="","",", ")</f>
        <v/>
      </c>
      <c r="AQ590" s="48" t="str">
        <f>AM602</f>
        <v/>
      </c>
      <c r="AR590" s="48" t="str">
        <f>IF(AS590="","",", ")</f>
        <v/>
      </c>
      <c r="AS590" s="48" t="str">
        <f>AM608</f>
        <v/>
      </c>
      <c r="AT590" s="48" t="str">
        <f>IF(AU590="","",", ")</f>
        <v/>
      </c>
      <c r="AU590" s="48" t="str">
        <f>AM613</f>
        <v/>
      </c>
      <c r="AV590" s="48" t="str">
        <f>IF(AW590="","",", ")</f>
        <v/>
      </c>
      <c r="AZ590" s="48" t="s">
        <v>4031</v>
      </c>
    </row>
    <row r="591" spans="1:62" ht="20" customHeight="1" x14ac:dyDescent="0.3">
      <c r="A591" s="97" t="s">
        <v>329</v>
      </c>
      <c r="B591" s="98"/>
      <c r="C591" s="98"/>
      <c r="D591" s="98"/>
      <c r="E591" s="99"/>
      <c r="F591" s="97"/>
      <c r="AA591" s="175"/>
      <c r="AB591" s="175">
        <v>0</v>
      </c>
      <c r="AC591" s="176">
        <f>AD591/2</f>
        <v>0.75</v>
      </c>
      <c r="AD591" s="177">
        <f>AE591/2</f>
        <v>1.5</v>
      </c>
      <c r="AE591" s="178">
        <v>3</v>
      </c>
      <c r="AF591" s="109"/>
      <c r="AG591" s="109"/>
      <c r="AH591" s="109"/>
      <c r="AI591" s="109"/>
      <c r="AJ591" s="109"/>
      <c r="AK591" s="109"/>
      <c r="AL591" s="109"/>
      <c r="AM591" s="109"/>
      <c r="AN591" s="179">
        <f>AE591*-2</f>
        <v>-6</v>
      </c>
      <c r="AO591" s="175">
        <f>AE591*-1</f>
        <v>-3</v>
      </c>
      <c r="AP591" s="175">
        <f>AD591*-1</f>
        <v>-1.5</v>
      </c>
      <c r="AQ591" s="180">
        <f>AE591*-0.1</f>
        <v>-0.30000000000000004</v>
      </c>
      <c r="AR591" s="180">
        <v>0</v>
      </c>
      <c r="AS591" s="180">
        <f>AE591*0.1</f>
        <v>0.30000000000000004</v>
      </c>
      <c r="AT591" s="177">
        <f>AD591</f>
        <v>1.5</v>
      </c>
      <c r="AU591" s="178">
        <f>AE591</f>
        <v>3</v>
      </c>
      <c r="AV591" s="181"/>
      <c r="AW591" s="109"/>
      <c r="AX591" s="109"/>
      <c r="AY591" s="109"/>
      <c r="AZ591" s="109"/>
      <c r="BA591" s="109"/>
      <c r="BB591" s="182"/>
      <c r="BC591" s="109"/>
      <c r="BD591" s="109"/>
      <c r="BE591" s="109"/>
      <c r="BF591" s="109"/>
      <c r="BG591" s="213">
        <f>BG557</f>
        <v>0</v>
      </c>
    </row>
    <row r="592" spans="1:62" ht="15.5" x14ac:dyDescent="0.3">
      <c r="A592" s="184">
        <f>A584+1</f>
        <v>27</v>
      </c>
      <c r="B592" s="184" t="s">
        <v>330</v>
      </c>
      <c r="C592" s="184"/>
      <c r="D592" s="185" t="str">
        <f>IF(B594="","If claimed, explain in white box below.","")</f>
        <v>If claimed, explain in white box below.</v>
      </c>
      <c r="E592" s="187"/>
      <c r="F592" s="1"/>
      <c r="AB592" s="48">
        <f>A592</f>
        <v>27</v>
      </c>
      <c r="AC592" s="48" t="s">
        <v>4026</v>
      </c>
      <c r="AK592" s="620">
        <f>IF(AL592=0,0,1)</f>
        <v>0</v>
      </c>
      <c r="AL592" s="48">
        <f>IF(B596=B$3005,E$3005,IF(B596=B$3006,E$3006,IF(B596=B$3007,E$3007,IF(B596=B$3008,E$3008,0))))</f>
        <v>0</v>
      </c>
      <c r="AM592" s="233" t="str">
        <f>IF(AL592=$E$3008,AC592,"")</f>
        <v/>
      </c>
    </row>
    <row r="593" spans="1:62" x14ac:dyDescent="0.3">
      <c r="A593" s="186"/>
      <c r="B593" s="1031" t="s">
        <v>331</v>
      </c>
      <c r="C593" s="1032"/>
      <c r="D593" s="1033"/>
      <c r="E593" s="187"/>
      <c r="F593" s="1"/>
    </row>
    <row r="594" spans="1:62" ht="137" customHeight="1" thickBot="1" x14ac:dyDescent="0.35">
      <c r="A594" s="186"/>
      <c r="B594" s="1026"/>
      <c r="C594" s="1027"/>
      <c r="D594" s="1028"/>
      <c r="E594" s="187"/>
      <c r="F594" s="1"/>
      <c r="AA594" s="48">
        <f>AA586+1</f>
        <v>13</v>
      </c>
      <c r="AB594" s="849">
        <f>IF(B596="",0,1)</f>
        <v>0</v>
      </c>
      <c r="AC594" s="853">
        <f>IF(B596=B$3005,D$3005,IF(B596=B$3006,D$3006,IF(B596=B$3007,D$3007,IF(B596=B$3008,D$3008,0))))</f>
        <v>0</v>
      </c>
      <c r="AE594" s="850">
        <f>IF(D596=B$3019,E$3019,IF(D596=B$3020,E$3020,IF(D596=B$3021,E$3021,IF(D596=B$3022,E$3022,IF(D596=B$3023,E$3023,IF(D596=B$3024,E$3024,IF(D596=B$3025,E$3025,IF(D596=B$3026,E$3026,D30478))))))))</f>
        <v>0</v>
      </c>
    </row>
    <row r="595" spans="1:62" ht="15" thickTop="1" thickBot="1" x14ac:dyDescent="0.35">
      <c r="A595" s="186"/>
      <c r="B595" s="188" t="str">
        <f>IF(B594="","","Claimed?")</f>
        <v/>
      </c>
      <c r="C595" s="188" t="str">
        <f>IF(B595="","","Verifiable?")</f>
        <v/>
      </c>
      <c r="D595" s="189" t="str">
        <f>IF(C596="","","Independent verification")</f>
        <v/>
      </c>
      <c r="E595" s="1029">
        <f>BI596</f>
        <v>0</v>
      </c>
      <c r="F595" s="1030"/>
      <c r="AA595" s="52"/>
      <c r="AB595" s="52" t="s">
        <v>278</v>
      </c>
      <c r="AF595" s="204"/>
      <c r="AG595" s="52" t="s">
        <v>279</v>
      </c>
      <c r="AM595" s="205"/>
      <c r="AN595" s="52" t="s">
        <v>280</v>
      </c>
      <c r="AV595" s="206"/>
      <c r="AX595" s="191" t="s">
        <v>281</v>
      </c>
      <c r="AZ595" s="192" t="s">
        <v>282</v>
      </c>
      <c r="BB595" s="193" t="s">
        <v>283</v>
      </c>
      <c r="BD595" s="192" t="s">
        <v>284</v>
      </c>
      <c r="BG595" s="194" t="s">
        <v>290</v>
      </c>
      <c r="BH595" s="195" t="s">
        <v>291</v>
      </c>
      <c r="BI595" s="194" t="s">
        <v>285</v>
      </c>
      <c r="BJ595" s="195" t="s">
        <v>286</v>
      </c>
    </row>
    <row r="596" spans="1:62" ht="15" thickTop="1" thickBot="1" x14ac:dyDescent="0.35">
      <c r="A596" s="186"/>
      <c r="B596" s="196"/>
      <c r="C596" s="197"/>
      <c r="D596" s="207"/>
      <c r="E596" s="1029">
        <f>BJ596</f>
        <v>0</v>
      </c>
      <c r="F596" s="1030"/>
      <c r="AA596" s="101"/>
      <c r="AB596" s="101">
        <f>IF(B596=$B$3005,$AB$522,0)</f>
        <v>0</v>
      </c>
      <c r="AC596" s="101">
        <f>IF(B596=$B$3006,$AC$522,0)</f>
        <v>0</v>
      </c>
      <c r="AD596" s="101">
        <f>IF(B596=$B$3007,$AD$522,0)</f>
        <v>0</v>
      </c>
      <c r="AE596" s="101">
        <f>IF(B596=$B$3008,$AE$522,0)</f>
        <v>0</v>
      </c>
      <c r="AF596" s="208">
        <f>SUM(AB596:AE596)</f>
        <v>0</v>
      </c>
      <c r="AG596" s="101">
        <f>IF(C596=$B$3011,$E$3011,0)</f>
        <v>0</v>
      </c>
      <c r="AH596" s="101">
        <f>IF(C596=$B$3012,$E$3012,0)</f>
        <v>0</v>
      </c>
      <c r="AI596" s="101">
        <f>IF(C596=$B$3013,$E$3013,0)</f>
        <v>0</v>
      </c>
      <c r="AJ596" s="101">
        <f>IF(C596=$B$3014,$E$3014,0)</f>
        <v>0</v>
      </c>
      <c r="AK596" s="101">
        <f>IF(C596=$B$3015,$E$3015,0)</f>
        <v>0</v>
      </c>
      <c r="AL596" s="101">
        <f>IF(C596=$B$3016,$E$3016,0)</f>
        <v>0</v>
      </c>
      <c r="AM596" s="209">
        <f>SUM(AG596:AL596)</f>
        <v>0</v>
      </c>
      <c r="AN596" s="101">
        <f>IF($D596=$B$3019,AN$522,0)</f>
        <v>0</v>
      </c>
      <c r="AO596" s="101">
        <f>IF($D596=$B$3020,AO$522,0)</f>
        <v>0</v>
      </c>
      <c r="AP596" s="101">
        <f>IF($D596=$B$3021,AP$522,0)</f>
        <v>0</v>
      </c>
      <c r="AQ596" s="101">
        <f>IF($D596=$B$3022,AQ$522,0)</f>
        <v>0</v>
      </c>
      <c r="AR596" s="101">
        <f>IF($D596=$B$3023,AR$522,0)</f>
        <v>0</v>
      </c>
      <c r="AS596" s="101">
        <f>IF($D596=$B$3024,AS$522,0)</f>
        <v>0</v>
      </c>
      <c r="AT596" s="101">
        <f>IF($D596=$B$3025,AT$522,0)</f>
        <v>0</v>
      </c>
      <c r="AU596" s="101">
        <f>IF($D596=$B$3026,AU$522,0)</f>
        <v>0</v>
      </c>
      <c r="AV596" s="210">
        <f>SUM(AN596:AU596)</f>
        <v>0</v>
      </c>
      <c r="AX596" s="200">
        <f>AF596*AM596</f>
        <v>0</v>
      </c>
      <c r="AZ596" s="146">
        <f>AX596+(AV596*AM596)</f>
        <v>0</v>
      </c>
      <c r="BB596" s="201">
        <f>(AF596*AM596)*0.01</f>
        <v>0</v>
      </c>
      <c r="BD596" s="202">
        <f>AZ596*0.01</f>
        <v>0</v>
      </c>
      <c r="BE596" s="377"/>
      <c r="BG596" s="201">
        <f>IF(AF596&gt;0,BG588+BB596,BG588)</f>
        <v>0</v>
      </c>
      <c r="BH596" s="202">
        <f>IF(AV596&gt;0,BH588+BD596,BH588)</f>
        <v>0</v>
      </c>
      <c r="BI596" s="201">
        <f>IF(BG596&gt;0.99,0.99,BG596)</f>
        <v>0</v>
      </c>
      <c r="BJ596" s="202">
        <f>IF(BH596&gt;0.99,0.99,BH596)</f>
        <v>0</v>
      </c>
    </row>
    <row r="597" spans="1:62" ht="16" thickTop="1" x14ac:dyDescent="0.3">
      <c r="A597" s="184">
        <f>A592+1</f>
        <v>28</v>
      </c>
      <c r="B597" s="184" t="s">
        <v>333</v>
      </c>
      <c r="C597" s="214"/>
      <c r="D597" s="185" t="str">
        <f>IF(B599="","If claimed, explain in white box below.","")</f>
        <v>If claimed, explain in white box below.</v>
      </c>
      <c r="E597" s="187"/>
      <c r="F597" s="1"/>
      <c r="AB597" s="48">
        <f>A597</f>
        <v>28</v>
      </c>
      <c r="AC597" s="48" t="s">
        <v>4021</v>
      </c>
      <c r="AK597" s="620">
        <f>IF(AL597=0,0,1)</f>
        <v>0</v>
      </c>
      <c r="AL597" s="48">
        <f>IF(B601=B$3005,E$3005,IF(B601=B$3006,E$3006,IF(B601=B$3007,E$3007,IF(B601=B$3008,E$3008,0))))</f>
        <v>0</v>
      </c>
      <c r="AM597" s="233" t="str">
        <f>IF(AL597=$E$3008,AC597,"")</f>
        <v/>
      </c>
    </row>
    <row r="598" spans="1:62" ht="42" customHeight="1" x14ac:dyDescent="0.3">
      <c r="A598" s="186"/>
      <c r="B598" s="1031" t="s">
        <v>3622</v>
      </c>
      <c r="C598" s="1032"/>
      <c r="D598" s="1033"/>
      <c r="E598" s="187"/>
      <c r="F598" s="1"/>
    </row>
    <row r="599" spans="1:62" ht="113" customHeight="1" thickBot="1" x14ac:dyDescent="0.35">
      <c r="A599" s="186"/>
      <c r="B599" s="1026"/>
      <c r="C599" s="1027"/>
      <c r="D599" s="1028"/>
      <c r="E599" s="187"/>
      <c r="F599" s="1"/>
      <c r="AA599" s="48">
        <f>AA594+1</f>
        <v>14</v>
      </c>
      <c r="AB599" s="849">
        <f>IF(B601="",0,1)</f>
        <v>0</v>
      </c>
      <c r="AC599" s="853">
        <f>IF(B601=B$3005,D$3005,IF(B601=B$3006,D$3006,IF(B601=B$3007,D$3007,IF(B601=B$3008,D$3008,0))))</f>
        <v>0</v>
      </c>
      <c r="AE599" s="850">
        <f>IF(D601=B$3019,E$3019,IF(D601=B$3020,E$3020,IF(D601=B$3021,E$3021,IF(D601=B$3022,E$3022,IF(D601=B$3023,E$3023,IF(D601=B$3024,E$3024,IF(D601=B$3025,E$3025,IF(D601=B$3026,E$3026,D30483))))))))</f>
        <v>0</v>
      </c>
    </row>
    <row r="600" spans="1:62" ht="15" thickTop="1" thickBot="1" x14ac:dyDescent="0.35">
      <c r="A600" s="186"/>
      <c r="B600" s="188" t="str">
        <f>IF(B599="","","Claimed?")</f>
        <v/>
      </c>
      <c r="C600" s="188" t="str">
        <f>IF(B600="","","Verifiable?")</f>
        <v/>
      </c>
      <c r="D600" s="189" t="str">
        <f>IF(C601="","","Independent verification")</f>
        <v/>
      </c>
      <c r="E600" s="1029">
        <f>BI601</f>
        <v>0</v>
      </c>
      <c r="F600" s="1030"/>
      <c r="AA600" s="52"/>
      <c r="AB600" s="52" t="s">
        <v>278</v>
      </c>
      <c r="AF600" s="204"/>
      <c r="AG600" s="52" t="s">
        <v>279</v>
      </c>
      <c r="AM600" s="205"/>
      <c r="AN600" s="52" t="s">
        <v>280</v>
      </c>
      <c r="AV600" s="206"/>
      <c r="AX600" s="191" t="s">
        <v>281</v>
      </c>
      <c r="AZ600" s="192" t="s">
        <v>282</v>
      </c>
      <c r="BB600" s="193" t="s">
        <v>283</v>
      </c>
      <c r="BD600" s="192" t="s">
        <v>284</v>
      </c>
      <c r="BG600" s="194" t="s">
        <v>290</v>
      </c>
      <c r="BH600" s="195" t="s">
        <v>291</v>
      </c>
      <c r="BI600" s="194" t="s">
        <v>285</v>
      </c>
      <c r="BJ600" s="195" t="s">
        <v>286</v>
      </c>
    </row>
    <row r="601" spans="1:62" ht="15" thickTop="1" thickBot="1" x14ac:dyDescent="0.35">
      <c r="A601" s="186"/>
      <c r="B601" s="196"/>
      <c r="C601" s="197"/>
      <c r="D601" s="207"/>
      <c r="E601" s="1029">
        <f>BJ601</f>
        <v>0</v>
      </c>
      <c r="F601" s="1030"/>
      <c r="AA601" s="101"/>
      <c r="AB601" s="101">
        <f>IF(B601=$B$3005,$AB$522,0)</f>
        <v>0</v>
      </c>
      <c r="AC601" s="101">
        <f>IF(B601=$B$3006,$AC$522,0)</f>
        <v>0</v>
      </c>
      <c r="AD601" s="101">
        <f>IF(B601=$B$3007,$AD$522,0)</f>
        <v>0</v>
      </c>
      <c r="AE601" s="101">
        <f>IF(B601=$B$3008,$AE$522,0)</f>
        <v>0</v>
      </c>
      <c r="AF601" s="208">
        <f>SUM(AB601:AE601)</f>
        <v>0</v>
      </c>
      <c r="AG601" s="101">
        <f>IF(C601=$B$3011,$E$3011,0)</f>
        <v>0</v>
      </c>
      <c r="AH601" s="101">
        <f>IF(C601=$B$3012,$E$3012,0)</f>
        <v>0</v>
      </c>
      <c r="AI601" s="101">
        <f>IF(C601=$B$3013,$E$3013,0)</f>
        <v>0</v>
      </c>
      <c r="AJ601" s="101">
        <f>IF(C601=$B$3014,$E$3014,0)</f>
        <v>0</v>
      </c>
      <c r="AK601" s="101">
        <f>IF(C601=$B$3015,$E$3015,0)</f>
        <v>0</v>
      </c>
      <c r="AL601" s="101">
        <f>IF(C601=$B$3016,$E$3016,0)</f>
        <v>0</v>
      </c>
      <c r="AM601" s="209">
        <f>SUM(AG601:AL601)</f>
        <v>0</v>
      </c>
      <c r="AN601" s="101">
        <f>IF($D601=$B$3019,AN$522,0)</f>
        <v>0</v>
      </c>
      <c r="AO601" s="101">
        <f>IF($D601=$B$3020,AO$522,0)</f>
        <v>0</v>
      </c>
      <c r="AP601" s="101">
        <f>IF($D601=$B$3021,AP$522,0)</f>
        <v>0</v>
      </c>
      <c r="AQ601" s="101">
        <f>IF($D601=$B$3022,AQ$522,0)</f>
        <v>0</v>
      </c>
      <c r="AR601" s="101">
        <f>IF($D601=$B$3023,AR$522,0)</f>
        <v>0</v>
      </c>
      <c r="AS601" s="101">
        <f>IF($D601=$B$3024,AS$522,0)</f>
        <v>0</v>
      </c>
      <c r="AT601" s="101">
        <f>IF($D601=$B$3025,AT$522,0)</f>
        <v>0</v>
      </c>
      <c r="AU601" s="101">
        <f>IF($D601=$B$3026,AU$522,0)</f>
        <v>0</v>
      </c>
      <c r="AV601" s="210">
        <f>SUM(AN601:AU601)</f>
        <v>0</v>
      </c>
      <c r="AX601" s="200">
        <f>AF601*AM601</f>
        <v>0</v>
      </c>
      <c r="AZ601" s="146">
        <f>AX601+(AV601*AM601)</f>
        <v>0</v>
      </c>
      <c r="BB601" s="201">
        <f>(AF601*AM601)*0.01</f>
        <v>0</v>
      </c>
      <c r="BD601" s="202">
        <f>AZ601*0.01</f>
        <v>0</v>
      </c>
      <c r="BE601" s="377"/>
      <c r="BG601" s="201">
        <f>IF(AF601&gt;0,BG596+BB601,BG596)</f>
        <v>0</v>
      </c>
      <c r="BH601" s="202">
        <f>IF(AV601&gt;0,BH596+BD601,BH596)</f>
        <v>0</v>
      </c>
      <c r="BI601" s="201">
        <f>IF(BG601&gt;0.99,0.99,BG601)</f>
        <v>0</v>
      </c>
      <c r="BJ601" s="202">
        <f>IF(BH601&gt;0.99,0.99,BH601)</f>
        <v>0</v>
      </c>
    </row>
    <row r="602" spans="1:62" ht="16" thickTop="1" x14ac:dyDescent="0.3">
      <c r="A602" s="184">
        <f>A597+1</f>
        <v>29</v>
      </c>
      <c r="B602" s="184" t="s">
        <v>336</v>
      </c>
      <c r="C602" s="184"/>
      <c r="D602" s="185" t="str">
        <f>IF(B604="","If claimed, explain in white box below.","")</f>
        <v>If claimed, explain in white box below.</v>
      </c>
      <c r="E602" s="187"/>
      <c r="F602" s="1"/>
      <c r="AB602" s="48">
        <f>A602</f>
        <v>29</v>
      </c>
      <c r="AC602" s="48" t="s">
        <v>4020</v>
      </c>
      <c r="AK602" s="620">
        <f>IF(AL602=0,0,1)</f>
        <v>0</v>
      </c>
      <c r="AL602" s="48">
        <f>IF(B606=B$3005,E$3005,IF(B606=B$3006,E$3006,IF(B606=B$3007,E$3007,IF(B606=B$3008,E$3008,0))))</f>
        <v>0</v>
      </c>
      <c r="AM602" s="233" t="str">
        <f>IF(AL602=$E$3008,AC602,"")</f>
        <v/>
      </c>
    </row>
    <row r="603" spans="1:62" ht="45" customHeight="1" x14ac:dyDescent="0.3">
      <c r="A603" s="186"/>
      <c r="B603" s="1031" t="s">
        <v>337</v>
      </c>
      <c r="C603" s="1032"/>
      <c r="D603" s="1033"/>
      <c r="E603" s="187"/>
      <c r="F603" s="1"/>
    </row>
    <row r="604" spans="1:62" ht="137" customHeight="1" thickBot="1" x14ac:dyDescent="0.35">
      <c r="A604" s="186"/>
      <c r="B604" s="1026"/>
      <c r="C604" s="1027"/>
      <c r="D604" s="1028"/>
      <c r="E604" s="187"/>
      <c r="F604" s="1"/>
      <c r="AA604" s="48">
        <f>AA599+1</f>
        <v>15</v>
      </c>
      <c r="AB604" s="849">
        <f>IF(B606="",0,1)</f>
        <v>0</v>
      </c>
      <c r="AC604" s="853">
        <f>IF(B606=B$3005,D$3005,IF(B606=B$3006,D$3006,IF(B606=B$3007,D$3007,IF(B606=B$3008,D$3008,0))))</f>
        <v>0</v>
      </c>
      <c r="AE604" s="850">
        <f>IF(D606=B$3019,E$3019,IF(D606=B$3020,E$3020,IF(D606=B$3021,E$3021,IF(D606=B$3022,E$3022,IF(D606=B$3023,E$3023,IF(D606=B$3024,E$3024,IF(D606=B$3025,E$3025,IF(D606=B$3026,E$3026,D30488))))))))</f>
        <v>0</v>
      </c>
    </row>
    <row r="605" spans="1:62" ht="15" thickTop="1" thickBot="1" x14ac:dyDescent="0.35">
      <c r="A605" s="186"/>
      <c r="B605" s="188" t="str">
        <f>IF(B604="","","Claimed?")</f>
        <v/>
      </c>
      <c r="C605" s="188" t="str">
        <f>IF(B605="","","Verifiable?")</f>
        <v/>
      </c>
      <c r="D605" s="189" t="str">
        <f>IF(C606="","","Independent verification")</f>
        <v/>
      </c>
      <c r="E605" s="1029">
        <f>BI606</f>
        <v>0</v>
      </c>
      <c r="F605" s="1030"/>
      <c r="AA605" s="52"/>
      <c r="AB605" s="52" t="s">
        <v>278</v>
      </c>
      <c r="AF605" s="204"/>
      <c r="AG605" s="52" t="s">
        <v>279</v>
      </c>
      <c r="AM605" s="205"/>
      <c r="AN605" s="52" t="s">
        <v>280</v>
      </c>
      <c r="AV605" s="206"/>
      <c r="AX605" s="191" t="s">
        <v>281</v>
      </c>
      <c r="AZ605" s="192" t="s">
        <v>282</v>
      </c>
      <c r="BB605" s="193" t="s">
        <v>283</v>
      </c>
      <c r="BD605" s="192" t="s">
        <v>284</v>
      </c>
      <c r="BG605" s="194" t="s">
        <v>290</v>
      </c>
      <c r="BH605" s="195" t="s">
        <v>291</v>
      </c>
      <c r="BI605" s="194" t="s">
        <v>285</v>
      </c>
      <c r="BJ605" s="195" t="s">
        <v>286</v>
      </c>
    </row>
    <row r="606" spans="1:62" ht="15" thickTop="1" thickBot="1" x14ac:dyDescent="0.35">
      <c r="A606" s="186"/>
      <c r="B606" s="196"/>
      <c r="C606" s="197"/>
      <c r="D606" s="207"/>
      <c r="E606" s="1029">
        <f>BJ606</f>
        <v>0</v>
      </c>
      <c r="F606" s="1030"/>
      <c r="AA606" s="101"/>
      <c r="AB606" s="101">
        <f>IF(B606=$B$3005,$AB$522,0)</f>
        <v>0</v>
      </c>
      <c r="AC606" s="101">
        <f>IF(B606=$B$3006,$AC$522,0)</f>
        <v>0</v>
      </c>
      <c r="AD606" s="101">
        <f>IF(B606=$B$3007,$AD$522,0)</f>
        <v>0</v>
      </c>
      <c r="AE606" s="101">
        <f>IF(B606=$B$3008,$AE$522,0)</f>
        <v>0</v>
      </c>
      <c r="AF606" s="208">
        <f>SUM(AB606:AE606)</f>
        <v>0</v>
      </c>
      <c r="AG606" s="101">
        <f>IF(C606=$B$3011,$E$3011,0)</f>
        <v>0</v>
      </c>
      <c r="AH606" s="101">
        <f>IF(C606=$B$3012,$E$3012,0)</f>
        <v>0</v>
      </c>
      <c r="AI606" s="101">
        <f>IF(C606=$B$3013,$E$3013,0)</f>
        <v>0</v>
      </c>
      <c r="AJ606" s="101">
        <f>IF(C606=$B$3014,$E$3014,0)</f>
        <v>0</v>
      </c>
      <c r="AK606" s="101">
        <f>IF(C606=$B$3015,$E$3015,0)</f>
        <v>0</v>
      </c>
      <c r="AL606" s="101">
        <f>IF(C606=$B$3016,$E$3016,0)</f>
        <v>0</v>
      </c>
      <c r="AM606" s="209">
        <f>SUM(AG606:AL606)</f>
        <v>0</v>
      </c>
      <c r="AN606" s="101">
        <f>IF($D606=$B$3019,AN$522,0)</f>
        <v>0</v>
      </c>
      <c r="AO606" s="101">
        <f>IF($D606=$B$3020,AO$522,0)</f>
        <v>0</v>
      </c>
      <c r="AP606" s="101">
        <f>IF($D606=$B$3021,AP$522,0)</f>
        <v>0</v>
      </c>
      <c r="AQ606" s="101">
        <f>IF($D606=$B$3022,AQ$522,0)</f>
        <v>0</v>
      </c>
      <c r="AR606" s="101">
        <f>IF($D606=$B$3023,AR$522,0)</f>
        <v>0</v>
      </c>
      <c r="AS606" s="101">
        <f>IF($D606=$B$3024,AS$522,0)</f>
        <v>0</v>
      </c>
      <c r="AT606" s="101">
        <f>IF($D606=$B$3025,AT$522,0)</f>
        <v>0</v>
      </c>
      <c r="AU606" s="101">
        <f>IF($D606=$B$3026,AU$522,0)</f>
        <v>0</v>
      </c>
      <c r="AV606" s="210">
        <f>SUM(AN606:AU606)</f>
        <v>0</v>
      </c>
      <c r="AX606" s="200">
        <f>AF606*AM606</f>
        <v>0</v>
      </c>
      <c r="AZ606" s="146">
        <f>AX606+(AV606*AM606)</f>
        <v>0</v>
      </c>
      <c r="BB606" s="201">
        <f>(AF606*AM606)*0.01</f>
        <v>0</v>
      </c>
      <c r="BD606" s="202">
        <f>AZ606*0.01</f>
        <v>0</v>
      </c>
      <c r="BE606" s="377"/>
      <c r="BG606" s="201">
        <f>IF(AF606&gt;0,BG601+BB606,BG601)</f>
        <v>0</v>
      </c>
      <c r="BH606" s="202">
        <f>IF(AV606&gt;0,BH601+BD606,BH601)</f>
        <v>0</v>
      </c>
      <c r="BI606" s="201">
        <f>IF(BG606&gt;0.99,0.99,BG606)</f>
        <v>0</v>
      </c>
      <c r="BJ606" s="202">
        <f>IF(BH606&gt;0.99,0.99,BH606)</f>
        <v>0</v>
      </c>
    </row>
    <row r="607" spans="1:62" ht="5" customHeight="1" thickTop="1" x14ac:dyDescent="0.3">
      <c r="A607" s="187"/>
      <c r="B607" s="187"/>
      <c r="C607" s="187"/>
      <c r="D607" s="187"/>
      <c r="E607" s="187"/>
      <c r="F607" s="1"/>
    </row>
    <row r="608" spans="1:62" ht="15.5" x14ac:dyDescent="0.3">
      <c r="A608" s="184">
        <f>A602+1</f>
        <v>30</v>
      </c>
      <c r="B608" s="184" t="s">
        <v>338</v>
      </c>
      <c r="C608" s="184"/>
      <c r="D608" s="185" t="str">
        <f>IF(B610="","If claimed, explain in white box below.","")</f>
        <v>If claimed, explain in white box below.</v>
      </c>
      <c r="E608" s="187"/>
      <c r="F608" s="1"/>
      <c r="AB608" s="48">
        <f>A608</f>
        <v>30</v>
      </c>
      <c r="AC608" s="48" t="s">
        <v>4019</v>
      </c>
      <c r="AK608" s="620">
        <f>IF(AL608=0,0,1)</f>
        <v>0</v>
      </c>
      <c r="AL608" s="48">
        <f>IF(B612=B$3005,E$3005,IF(B612=B$3006,E$3006,IF(B612=B$3007,E$3007,IF(B612=B$3008,E$3008,0))))</f>
        <v>0</v>
      </c>
      <c r="AM608" s="233" t="str">
        <f>IF(AL608=$E$3008,AC608,"")</f>
        <v/>
      </c>
    </row>
    <row r="609" spans="1:62" x14ac:dyDescent="0.3">
      <c r="A609" s="186"/>
      <c r="B609" s="1031" t="s">
        <v>3638</v>
      </c>
      <c r="C609" s="1032"/>
      <c r="D609" s="1033"/>
      <c r="E609" s="187"/>
      <c r="F609" s="1"/>
    </row>
    <row r="610" spans="1:62" ht="150" customHeight="1" thickBot="1" x14ac:dyDescent="0.35">
      <c r="A610" s="186"/>
      <c r="B610" s="1026"/>
      <c r="C610" s="1027"/>
      <c r="D610" s="1028"/>
      <c r="E610" s="187"/>
      <c r="F610" s="1"/>
      <c r="AA610" s="48">
        <f>AA604+1</f>
        <v>16</v>
      </c>
      <c r="AB610" s="849">
        <f>IF(B612="",0,1)</f>
        <v>0</v>
      </c>
      <c r="AC610" s="853">
        <f>IF(B612=B$3005,D$3005,IF(B612=B$3006,D$3006,IF(B612=B$3007,D$3007,IF(B612=B$3008,D$3008,0))))</f>
        <v>0</v>
      </c>
      <c r="AE610" s="850">
        <f>IF(D612=B$3019,E$3019,IF(D612=B$3020,E$3020,IF(D612=B$3021,E$3021,IF(D612=B$3022,E$3022,IF(D612=B$3023,E$3023,IF(D612=B$3024,E$3024,IF(D612=B$3025,E$3025,IF(D612=B$3026,E$3026,D30494))))))))</f>
        <v>0</v>
      </c>
    </row>
    <row r="611" spans="1:62" ht="15" thickTop="1" thickBot="1" x14ac:dyDescent="0.35">
      <c r="A611" s="186"/>
      <c r="B611" s="188" t="str">
        <f>IF(B610="","","Claimed?")</f>
        <v/>
      </c>
      <c r="C611" s="188" t="str">
        <f>IF(B611="","","Verifiable?")</f>
        <v/>
      </c>
      <c r="D611" s="189" t="str">
        <f>IF(C612="","","Independent verification")</f>
        <v/>
      </c>
      <c r="E611" s="1029">
        <f>BI612</f>
        <v>0</v>
      </c>
      <c r="F611" s="1030"/>
      <c r="AA611" s="52"/>
      <c r="AB611" s="52" t="s">
        <v>278</v>
      </c>
      <c r="AF611" s="204"/>
      <c r="AG611" s="52" t="s">
        <v>279</v>
      </c>
      <c r="AM611" s="205"/>
      <c r="AN611" s="52" t="s">
        <v>280</v>
      </c>
      <c r="AV611" s="206"/>
      <c r="AX611" s="191" t="s">
        <v>281</v>
      </c>
      <c r="AZ611" s="192" t="s">
        <v>282</v>
      </c>
      <c r="BB611" s="193" t="s">
        <v>283</v>
      </c>
      <c r="BD611" s="192" t="s">
        <v>284</v>
      </c>
      <c r="BG611" s="194" t="s">
        <v>290</v>
      </c>
      <c r="BH611" s="195" t="s">
        <v>291</v>
      </c>
      <c r="BI611" s="194" t="s">
        <v>285</v>
      </c>
      <c r="BJ611" s="195" t="s">
        <v>286</v>
      </c>
    </row>
    <row r="612" spans="1:62" ht="15" thickTop="1" thickBot="1" x14ac:dyDescent="0.35">
      <c r="A612" s="186"/>
      <c r="B612" s="196"/>
      <c r="C612" s="197"/>
      <c r="D612" s="207"/>
      <c r="E612" s="1029">
        <f>BJ612</f>
        <v>0</v>
      </c>
      <c r="F612" s="1030"/>
      <c r="AA612" s="101"/>
      <c r="AB612" s="101">
        <f>IF(B612=$B$3005,$AB$522,0)</f>
        <v>0</v>
      </c>
      <c r="AC612" s="101">
        <f>IF(B612=$B$3006,$AC$522,0)</f>
        <v>0</v>
      </c>
      <c r="AD612" s="101">
        <f>IF(B612=$B$3007,$AD$522,0)</f>
        <v>0</v>
      </c>
      <c r="AE612" s="101">
        <f>IF(B612=$B$3008,$AE$522,0)</f>
        <v>0</v>
      </c>
      <c r="AF612" s="208">
        <f>SUM(AB612:AE612)</f>
        <v>0</v>
      </c>
      <c r="AG612" s="101">
        <f>IF(C612=$B$3011,$E$3011,0)</f>
        <v>0</v>
      </c>
      <c r="AH612" s="101">
        <f>IF(C612=$B$3012,$E$3012,0)</f>
        <v>0</v>
      </c>
      <c r="AI612" s="101">
        <f>IF(C612=$B$3013,$E$3013,0)</f>
        <v>0</v>
      </c>
      <c r="AJ612" s="101">
        <f>IF(C612=$B$3014,$E$3014,0)</f>
        <v>0</v>
      </c>
      <c r="AK612" s="101">
        <f>IF(C612=$B$3015,$E$3015,0)</f>
        <v>0</v>
      </c>
      <c r="AL612" s="101">
        <f>IF(C612=$B$3016,$E$3016,0)</f>
        <v>0</v>
      </c>
      <c r="AM612" s="209">
        <f>SUM(AG612:AL612)</f>
        <v>0</v>
      </c>
      <c r="AN612" s="101">
        <f>IF($D612=$B$3019,AN$522,0)</f>
        <v>0</v>
      </c>
      <c r="AO612" s="101">
        <f>IF($D612=$B$3020,AO$522,0)</f>
        <v>0</v>
      </c>
      <c r="AP612" s="101">
        <f>IF($D612=$B$3021,AP$522,0)</f>
        <v>0</v>
      </c>
      <c r="AQ612" s="101">
        <f>IF($D612=$B$3022,AQ$522,0)</f>
        <v>0</v>
      </c>
      <c r="AR612" s="101">
        <f>IF($D612=$B$3023,AR$522,0)</f>
        <v>0</v>
      </c>
      <c r="AS612" s="101">
        <f>IF($D612=$B$3024,AS$522,0)</f>
        <v>0</v>
      </c>
      <c r="AT612" s="101">
        <f>IF($D612=$B$3025,AT$522,0)</f>
        <v>0</v>
      </c>
      <c r="AU612" s="101">
        <f>IF($D612=$B$3026,AU$522,0)</f>
        <v>0</v>
      </c>
      <c r="AV612" s="210">
        <f>SUM(AN612:AU612)</f>
        <v>0</v>
      </c>
      <c r="AX612" s="200">
        <f>AF612*AM612</f>
        <v>0</v>
      </c>
      <c r="AZ612" s="146">
        <f>AX612+(AV612*AM612)</f>
        <v>0</v>
      </c>
      <c r="BB612" s="201">
        <f>(AF612*AM612)*0.01</f>
        <v>0</v>
      </c>
      <c r="BD612" s="202">
        <f>AZ612*0.01</f>
        <v>0</v>
      </c>
      <c r="BE612" s="377"/>
      <c r="BG612" s="201">
        <f>IF(AF612&gt;0,BG606+BB612,BG606)</f>
        <v>0</v>
      </c>
      <c r="BH612" s="202">
        <f>IF(AV612&gt;0,BH606+BD612,BH606)</f>
        <v>0</v>
      </c>
      <c r="BI612" s="201">
        <f>IF(BG612&gt;0.99,0.99,BG612)</f>
        <v>0</v>
      </c>
      <c r="BJ612" s="202">
        <f>IF(BH612&gt;0.99,0.99,BH612)</f>
        <v>0</v>
      </c>
    </row>
    <row r="613" spans="1:62" ht="16" thickTop="1" x14ac:dyDescent="0.3">
      <c r="A613" s="184">
        <f>A608+1</f>
        <v>31</v>
      </c>
      <c r="B613" s="184" t="s">
        <v>339</v>
      </c>
      <c r="C613" s="184"/>
      <c r="D613" s="185" t="str">
        <f>IF(B615="","If claimed, explain in white box below.","")</f>
        <v>If claimed, explain in white box below.</v>
      </c>
      <c r="E613" s="187"/>
      <c r="F613" s="1"/>
      <c r="AB613" s="48">
        <f>A613</f>
        <v>31</v>
      </c>
      <c r="AC613" s="48" t="s">
        <v>4018</v>
      </c>
      <c r="AK613" s="620">
        <f>IF(AL613=0,0,1)</f>
        <v>0</v>
      </c>
      <c r="AL613" s="48">
        <f>IF(B617=B$3005,E$3005,IF(B617=B$3006,E$3006,IF(B617=B$3007,E$3007,IF(B617=B$3008,E$3008,0))))</f>
        <v>0</v>
      </c>
      <c r="AM613" s="233" t="str">
        <f>IF(AL613=$E$3008,AC613,"")</f>
        <v/>
      </c>
    </row>
    <row r="614" spans="1:62" ht="28" customHeight="1" x14ac:dyDescent="0.3">
      <c r="A614" s="186"/>
      <c r="B614" s="1031" t="s">
        <v>3644</v>
      </c>
      <c r="C614" s="1032"/>
      <c r="D614" s="1033"/>
      <c r="E614" s="187"/>
      <c r="F614" s="1"/>
    </row>
    <row r="615" spans="1:62" ht="150" customHeight="1" thickBot="1" x14ac:dyDescent="0.35">
      <c r="A615" s="186"/>
      <c r="B615" s="1026"/>
      <c r="C615" s="1027"/>
      <c r="D615" s="1028"/>
      <c r="E615" s="187"/>
      <c r="F615" s="1"/>
      <c r="AA615" s="48">
        <f>AA610+1</f>
        <v>17</v>
      </c>
      <c r="AB615" s="849">
        <f>IF(B617="",0,1)</f>
        <v>0</v>
      </c>
      <c r="AC615" s="853">
        <f>IF(B617=B$3005,D$3005,IF(B617=B$3006,D$3006,IF(B617=B$3007,D$3007,IF(B617=B$3008,D$3008,0))))</f>
        <v>0</v>
      </c>
      <c r="AE615" s="850">
        <f>IF(D617=B$3019,E$3019,IF(D617=B$3020,E$3020,IF(D617=B$3021,E$3021,IF(D617=B$3022,E$3022,IF(D617=B$3023,E$3023,IF(D617=B$3024,E$3024,IF(D617=B$3025,E$3025,IF(D617=B$3026,E$3026,D30499))))))))</f>
        <v>0</v>
      </c>
    </row>
    <row r="616" spans="1:62" ht="15" thickTop="1" thickBot="1" x14ac:dyDescent="0.35">
      <c r="A616" s="186"/>
      <c r="B616" s="188" t="str">
        <f>IF(B615="","","Claimed?")</f>
        <v/>
      </c>
      <c r="C616" s="188" t="str">
        <f>IF(B616="","","Verifiable?")</f>
        <v/>
      </c>
      <c r="D616" s="189" t="str">
        <f>IF(C617="","","Independent verification")</f>
        <v/>
      </c>
      <c r="E616" s="1029">
        <f>BI617</f>
        <v>0</v>
      </c>
      <c r="F616" s="1030"/>
      <c r="AA616" s="52"/>
      <c r="AB616" s="52" t="s">
        <v>278</v>
      </c>
      <c r="AF616" s="204"/>
      <c r="AG616" s="52" t="s">
        <v>279</v>
      </c>
      <c r="AM616" s="205"/>
      <c r="AN616" s="52" t="s">
        <v>280</v>
      </c>
      <c r="AV616" s="206"/>
      <c r="AX616" s="191" t="s">
        <v>281</v>
      </c>
      <c r="AZ616" s="192" t="s">
        <v>282</v>
      </c>
      <c r="BB616" s="193" t="s">
        <v>283</v>
      </c>
      <c r="BD616" s="192" t="s">
        <v>284</v>
      </c>
      <c r="BG616" s="194" t="s">
        <v>290</v>
      </c>
      <c r="BH616" s="195" t="s">
        <v>291</v>
      </c>
      <c r="BI616" s="194" t="s">
        <v>285</v>
      </c>
      <c r="BJ616" s="195" t="s">
        <v>286</v>
      </c>
    </row>
    <row r="617" spans="1:62" ht="15" thickTop="1" thickBot="1" x14ac:dyDescent="0.35">
      <c r="A617" s="186"/>
      <c r="B617" s="196"/>
      <c r="C617" s="197"/>
      <c r="D617" s="207"/>
      <c r="E617" s="1029">
        <f>BJ617</f>
        <v>0</v>
      </c>
      <c r="F617" s="1030"/>
      <c r="AA617" s="101"/>
      <c r="AB617" s="101">
        <f>IF(B617=$B$3005,$AB$522,0)</f>
        <v>0</v>
      </c>
      <c r="AC617" s="101">
        <f>IF(B617=$B$3006,$AC$522,0)</f>
        <v>0</v>
      </c>
      <c r="AD617" s="101">
        <f>IF(B617=$B$3007,$AD$522,0)</f>
        <v>0</v>
      </c>
      <c r="AE617" s="101">
        <f>IF(B617=$B$3008,$AE$522,0)</f>
        <v>0</v>
      </c>
      <c r="AF617" s="208">
        <f>SUM(AB617:AE617)</f>
        <v>0</v>
      </c>
      <c r="AG617" s="101">
        <f>IF(C617=$B$3011,$E$3011,0)</f>
        <v>0</v>
      </c>
      <c r="AH617" s="101">
        <f>IF(C617=$B$3012,$E$3012,0)</f>
        <v>0</v>
      </c>
      <c r="AI617" s="101">
        <f>IF(C617=$B$3013,$E$3013,0)</f>
        <v>0</v>
      </c>
      <c r="AJ617" s="101">
        <f>IF(C617=$B$3014,$E$3014,0)</f>
        <v>0</v>
      </c>
      <c r="AK617" s="101">
        <f>IF(C617=$B$3015,$E$3015,0)</f>
        <v>0</v>
      </c>
      <c r="AL617" s="101">
        <f>IF(C617=$B$3016,$E$3016,0)</f>
        <v>0</v>
      </c>
      <c r="AM617" s="209">
        <f>SUM(AG617:AL617)</f>
        <v>0</v>
      </c>
      <c r="AN617" s="101">
        <f>IF($D617=$B$3019,AN$522,0)</f>
        <v>0</v>
      </c>
      <c r="AO617" s="101">
        <f>IF($D617=$B$3020,AO$522,0)</f>
        <v>0</v>
      </c>
      <c r="AP617" s="101">
        <f>IF($D617=$B$3021,AP$522,0)</f>
        <v>0</v>
      </c>
      <c r="AQ617" s="101">
        <f>IF($D617=$B$3022,AQ$522,0)</f>
        <v>0</v>
      </c>
      <c r="AR617" s="101">
        <f>IF($D617=$B$3023,AR$522,0)</f>
        <v>0</v>
      </c>
      <c r="AS617" s="101">
        <f>IF($D617=$B$3024,AS$522,0)</f>
        <v>0</v>
      </c>
      <c r="AT617" s="101">
        <f>IF($D617=$B$3025,AT$522,0)</f>
        <v>0</v>
      </c>
      <c r="AU617" s="101">
        <f>IF($D617=$B$3026,AU$522,0)</f>
        <v>0</v>
      </c>
      <c r="AV617" s="210">
        <f>SUM(AN617:AU617)</f>
        <v>0</v>
      </c>
      <c r="AX617" s="200">
        <f>AF617*AM617</f>
        <v>0</v>
      </c>
      <c r="AZ617" s="146">
        <f>AX617+(AV617*AM617)</f>
        <v>0</v>
      </c>
      <c r="BB617" s="201">
        <f>(AF617*AM617)*0.01</f>
        <v>0</v>
      </c>
      <c r="BD617" s="202">
        <f>AZ617*0.01</f>
        <v>0</v>
      </c>
      <c r="BE617" s="377"/>
      <c r="BG617" s="201">
        <f>IF(AF617&gt;0,BG612+BB617,BG612)</f>
        <v>0</v>
      </c>
      <c r="BH617" s="202">
        <f>IF(AV617&gt;0,BH612+BD617,BH612)</f>
        <v>0</v>
      </c>
      <c r="BI617" s="201">
        <f>IF(BG617&gt;0.99,0.99,BG617)</f>
        <v>0</v>
      </c>
      <c r="BJ617" s="202">
        <f>IF(BH617&gt;0.99,0.99,BH617)</f>
        <v>0</v>
      </c>
    </row>
    <row r="618" spans="1:62" ht="16" thickTop="1" x14ac:dyDescent="0.3">
      <c r="A618" s="184">
        <f>A613+1</f>
        <v>32</v>
      </c>
      <c r="B618" s="184" t="s">
        <v>340</v>
      </c>
      <c r="C618" s="184"/>
      <c r="D618" s="215" t="str">
        <f>IF(B620="","If claimed, explain in white box below.","")</f>
        <v>If claimed, explain in white box below.</v>
      </c>
      <c r="E618" s="187"/>
      <c r="F618" s="1"/>
      <c r="AB618" s="48">
        <f>A618</f>
        <v>32</v>
      </c>
      <c r="AC618" s="48" t="s">
        <v>4017</v>
      </c>
      <c r="AK618" s="620">
        <f>IF(AL618=0,0,1)</f>
        <v>0</v>
      </c>
      <c r="AL618" s="48">
        <f>IF(B622=B$3005,E$3005,IF(B622=B$3006,E$3006,IF(B622=B$3007,E$3007,IF(B622=B$3008,E$3008,0))))</f>
        <v>0</v>
      </c>
      <c r="AM618" s="233" t="str">
        <f>IF(AL618=$E$3008,AC618,"")</f>
        <v/>
      </c>
    </row>
    <row r="619" spans="1:62" ht="27" customHeight="1" x14ac:dyDescent="0.3">
      <c r="A619" s="186"/>
      <c r="B619" s="1031" t="s">
        <v>3646</v>
      </c>
      <c r="C619" s="1032"/>
      <c r="D619" s="1033"/>
      <c r="E619" s="187"/>
      <c r="F619" s="1"/>
    </row>
    <row r="620" spans="1:62" ht="137" customHeight="1" thickBot="1" x14ac:dyDescent="0.35">
      <c r="A620" s="186"/>
      <c r="B620" s="1026"/>
      <c r="C620" s="1027"/>
      <c r="D620" s="1028"/>
      <c r="E620" s="187"/>
      <c r="F620" s="1"/>
      <c r="AA620" s="48">
        <f>AA615+1</f>
        <v>18</v>
      </c>
      <c r="AB620" s="849">
        <f>IF(B622="",0,1)</f>
        <v>0</v>
      </c>
      <c r="AC620" s="853">
        <f>IF(B622=B$3005,D$3005,IF(B622=B$3006,D$3006,IF(B622=B$3007,D$3007,IF(B622=B$3008,D$3008,0))))</f>
        <v>0</v>
      </c>
      <c r="AE620" s="850">
        <f>IF(D622=B$3019,E$3019,IF(D622=B$3020,E$3020,IF(D622=B$3021,E$3021,IF(D622=B$3022,E$3022,IF(D622=B$3023,E$3023,IF(D622=B$3024,E$3024,IF(D622=B$3025,E$3025,IF(D622=B$3026,E$3026,D30504))))))))</f>
        <v>0</v>
      </c>
    </row>
    <row r="621" spans="1:62" ht="15" thickTop="1" thickBot="1" x14ac:dyDescent="0.35">
      <c r="A621" s="186"/>
      <c r="B621" s="188" t="str">
        <f>IF(B620="","","Claimed?")</f>
        <v/>
      </c>
      <c r="C621" s="188" t="str">
        <f>IF(B621="","","Verifiable?")</f>
        <v/>
      </c>
      <c r="D621" s="189" t="str">
        <f>IF(C622="","","Independent verification")</f>
        <v/>
      </c>
      <c r="E621" s="1029">
        <f>BI622</f>
        <v>0</v>
      </c>
      <c r="F621" s="1030"/>
      <c r="AA621" s="52"/>
      <c r="AB621" s="52" t="s">
        <v>278</v>
      </c>
      <c r="AF621" s="204"/>
      <c r="AG621" s="52" t="s">
        <v>279</v>
      </c>
      <c r="AM621" s="205"/>
      <c r="AN621" s="52" t="s">
        <v>280</v>
      </c>
      <c r="AV621" s="206"/>
      <c r="AX621" s="191" t="s">
        <v>281</v>
      </c>
      <c r="AZ621" s="192" t="s">
        <v>282</v>
      </c>
      <c r="BB621" s="193" t="s">
        <v>283</v>
      </c>
      <c r="BD621" s="192" t="s">
        <v>284</v>
      </c>
      <c r="BG621" s="194" t="s">
        <v>290</v>
      </c>
      <c r="BH621" s="195" t="s">
        <v>291</v>
      </c>
      <c r="BI621" s="194" t="s">
        <v>285</v>
      </c>
      <c r="BJ621" s="195" t="s">
        <v>286</v>
      </c>
    </row>
    <row r="622" spans="1:62" ht="15" thickTop="1" thickBot="1" x14ac:dyDescent="0.35">
      <c r="A622" s="186"/>
      <c r="B622" s="196"/>
      <c r="C622" s="197"/>
      <c r="D622" s="207"/>
      <c r="E622" s="1029">
        <f>BJ622</f>
        <v>0</v>
      </c>
      <c r="F622" s="1030"/>
      <c r="AA622" s="101"/>
      <c r="AB622" s="101">
        <f>IF(B622=$B$3005,$AB$522,0)</f>
        <v>0</v>
      </c>
      <c r="AC622" s="101">
        <f>IF(B622=$B$3006,$AC$522,0)</f>
        <v>0</v>
      </c>
      <c r="AD622" s="101">
        <f>IF(B622=$B$3007,$AD$522,0)</f>
        <v>0</v>
      </c>
      <c r="AE622" s="101">
        <f>IF(B622=$B$3008,$AE$522,0)</f>
        <v>0</v>
      </c>
      <c r="AF622" s="208">
        <f>SUM(AB622:AE622)</f>
        <v>0</v>
      </c>
      <c r="AG622" s="101">
        <f>IF(C622=$B$3011,$E$3011,0)</f>
        <v>0</v>
      </c>
      <c r="AH622" s="101">
        <f>IF(C622=$B$3012,$E$3012,0)</f>
        <v>0</v>
      </c>
      <c r="AI622" s="101">
        <f>IF(C622=$B$3013,$E$3013,0)</f>
        <v>0</v>
      </c>
      <c r="AJ622" s="101">
        <f>IF(C622=$B$3014,$E$3014,0)</f>
        <v>0</v>
      </c>
      <c r="AK622" s="101">
        <f>IF(C622=$B$3015,$E$3015,0)</f>
        <v>0</v>
      </c>
      <c r="AL622" s="101">
        <f>IF(C622=$B$3016,$E$3016,0)</f>
        <v>0</v>
      </c>
      <c r="AM622" s="209">
        <f>SUM(AG622:AL622)</f>
        <v>0</v>
      </c>
      <c r="AN622" s="101">
        <f>IF($D622=$B$3019,AN$522,0)</f>
        <v>0</v>
      </c>
      <c r="AO622" s="101">
        <f>IF($D622=$B$3020,AO$522,0)</f>
        <v>0</v>
      </c>
      <c r="AP622" s="101">
        <f>IF($D622=$B$3021,AP$522,0)</f>
        <v>0</v>
      </c>
      <c r="AQ622" s="101">
        <f>IF($D622=$B$3022,AQ$522,0)</f>
        <v>0</v>
      </c>
      <c r="AR622" s="101">
        <f>IF($D622=$B$3023,AR$522,0)</f>
        <v>0</v>
      </c>
      <c r="AS622" s="101">
        <f>IF($D622=$B$3024,AS$522,0)</f>
        <v>0</v>
      </c>
      <c r="AT622" s="101">
        <f>IF($D622=$B$3025,AT$522,0)</f>
        <v>0</v>
      </c>
      <c r="AU622" s="101">
        <f>IF($D622=$B$3026,AU$522,0)</f>
        <v>0</v>
      </c>
      <c r="AV622" s="210">
        <f>SUM(AN622:AU622)</f>
        <v>0</v>
      </c>
      <c r="AX622" s="200">
        <f>AF622*AM622</f>
        <v>0</v>
      </c>
      <c r="AZ622" s="146">
        <f>AX622+(AV622*AM622)</f>
        <v>0</v>
      </c>
      <c r="BB622" s="201">
        <f>(AF622*AM622)*0.01</f>
        <v>0</v>
      </c>
      <c r="BD622" s="202">
        <f>AZ622*0.01</f>
        <v>0</v>
      </c>
      <c r="BE622" s="377"/>
      <c r="BG622" s="201">
        <f>IF(AF622&gt;0,BG617+BB622,BG617)</f>
        <v>0</v>
      </c>
      <c r="BH622" s="202">
        <f>IF(AV622&gt;0,BH617+BD622,BH617)</f>
        <v>0</v>
      </c>
      <c r="BI622" s="201">
        <f>IF(BG622&gt;0.99,0.99,BG622)</f>
        <v>0</v>
      </c>
      <c r="BJ622" s="202">
        <f>IF(BH622&gt;0.99,0.99,BH622)</f>
        <v>0</v>
      </c>
    </row>
    <row r="623" spans="1:62" ht="14.5" thickTop="1" x14ac:dyDescent="0.3">
      <c r="A623" s="186"/>
      <c r="B623" s="187"/>
      <c r="C623" s="187"/>
      <c r="D623" s="187"/>
      <c r="E623" s="187"/>
      <c r="F623" s="1"/>
      <c r="AK623" s="620">
        <f>IF(AL623=0,0,1)</f>
        <v>0</v>
      </c>
      <c r="AL623" s="48">
        <f>IF(B627=B$3005,E$3005,IF(B627=B$3006,E$3006,IF(B627=B$3007,E$3007,IF(B627=B$3008,E$3008,0))))</f>
        <v>0</v>
      </c>
      <c r="AM623" s="233" t="str">
        <f>IF(AL623=$E$3008,AC623,"")</f>
        <v/>
      </c>
    </row>
    <row r="624" spans="1:62" ht="30" customHeight="1" x14ac:dyDescent="0.3">
      <c r="A624" s="1199" t="s">
        <v>72</v>
      </c>
      <c r="B624" s="1200" t="s">
        <v>342</v>
      </c>
      <c r="C624" s="1200"/>
      <c r="D624" s="1200"/>
      <c r="E624" s="436"/>
      <c r="F624" s="436" t="s">
        <v>869</v>
      </c>
      <c r="AB624" s="618" t="str">
        <f>IF(AND(B630&lt;&gt;$B$3008,B635&lt;&gt;$B$3008,B640&lt;&gt;$B$3008,B646&lt;&gt;$B$3008,B651&lt;&gt;$B$3008,B656&lt;&gt;$B$3008),"No significant investigative factors. ",CONCATENATE(AJ624,AM624,AN624,AO624,AP624,AQ624,AR624,AS624,AT624,AU624,AV624,AW624,AX624,AY624,AZ624,BA624))</f>
        <v xml:space="preserve">No significant investigative factors. </v>
      </c>
      <c r="AJ624" s="48" t="s">
        <v>4032</v>
      </c>
      <c r="AM624" s="48" t="str">
        <f>IF(AM626="","",AM626)</f>
        <v/>
      </c>
      <c r="AN624" s="48" t="str">
        <f>IF(AO624="","",", ")</f>
        <v/>
      </c>
      <c r="AO624" s="48" t="str">
        <f>AM631</f>
        <v/>
      </c>
      <c r="AP624" s="48" t="str">
        <f>IF(AQ624="","",", ")</f>
        <v/>
      </c>
      <c r="AQ624" s="48" t="str">
        <f>AM636</f>
        <v/>
      </c>
      <c r="AR624" s="48" t="str">
        <f>IF(AS624="","",", ")</f>
        <v/>
      </c>
      <c r="AS624" s="48" t="str">
        <f>AM642</f>
        <v/>
      </c>
      <c r="AT624" s="48" t="str">
        <f>IF(AU624="","",", ")</f>
        <v/>
      </c>
      <c r="AU624" s="48" t="str">
        <f>AM647</f>
        <v/>
      </c>
      <c r="AW624" s="48" t="str">
        <f>IF(AX624="","",", ")</f>
        <v/>
      </c>
      <c r="AX624" s="48" t="str">
        <f>AM652</f>
        <v/>
      </c>
      <c r="AY624" s="48" t="str">
        <f>IF(AZ624="","",", ")</f>
        <v/>
      </c>
      <c r="AZ624" s="48" t="str">
        <f>AM657</f>
        <v/>
      </c>
      <c r="BA624" s="48" t="s">
        <v>4031</v>
      </c>
    </row>
    <row r="625" spans="1:62" ht="20" customHeight="1" x14ac:dyDescent="0.3">
      <c r="A625" s="97" t="s">
        <v>343</v>
      </c>
      <c r="B625" s="98"/>
      <c r="C625" s="98"/>
      <c r="D625" s="98"/>
      <c r="E625" s="99"/>
      <c r="F625" s="97"/>
      <c r="AA625" s="175"/>
      <c r="AB625" s="175">
        <v>0</v>
      </c>
      <c r="AC625" s="176">
        <f>AD625/2</f>
        <v>0.5</v>
      </c>
      <c r="AD625" s="177">
        <f>AE625/2</f>
        <v>1</v>
      </c>
      <c r="AE625" s="178">
        <v>2</v>
      </c>
      <c r="AF625" s="109"/>
      <c r="AG625" s="109"/>
      <c r="AH625" s="109"/>
      <c r="AI625" s="109"/>
      <c r="AJ625" s="109"/>
      <c r="AK625" s="109"/>
      <c r="AL625" s="109"/>
      <c r="AM625" s="109"/>
      <c r="AN625" s="179">
        <f>AE625*-2</f>
        <v>-4</v>
      </c>
      <c r="AO625" s="175">
        <f>AE625*-1</f>
        <v>-2</v>
      </c>
      <c r="AP625" s="175">
        <f>AD625*-1</f>
        <v>-1</v>
      </c>
      <c r="AQ625" s="180">
        <f>AE625*-0.1</f>
        <v>-0.2</v>
      </c>
      <c r="AR625" s="180">
        <v>0</v>
      </c>
      <c r="AS625" s="180">
        <f>AE625*0.1</f>
        <v>0.2</v>
      </c>
      <c r="AT625" s="177">
        <f>AD625</f>
        <v>1</v>
      </c>
      <c r="AU625" s="178">
        <f>AE625</f>
        <v>2</v>
      </c>
      <c r="AV625" s="181"/>
      <c r="AW625" s="109"/>
      <c r="AX625" s="109"/>
      <c r="AY625" s="109"/>
      <c r="AZ625" s="109"/>
      <c r="BA625" s="109"/>
      <c r="BB625" s="182"/>
      <c r="BC625" s="109"/>
      <c r="BD625" s="109"/>
      <c r="BE625" s="109"/>
      <c r="BF625" s="109"/>
      <c r="BG625" s="213">
        <f>BG591</f>
        <v>0</v>
      </c>
    </row>
    <row r="626" spans="1:62" ht="15.5" x14ac:dyDescent="0.3">
      <c r="A626" s="184">
        <f>A618+1</f>
        <v>33</v>
      </c>
      <c r="B626" s="184" t="s">
        <v>344</v>
      </c>
      <c r="C626" s="184"/>
      <c r="D626" s="185" t="str">
        <f>IF(B628="","If claimed, explain in white box below.","")</f>
        <v>If claimed, explain in white box below.</v>
      </c>
      <c r="E626" s="187"/>
      <c r="F626" s="1"/>
      <c r="AB626" s="48">
        <f>A626</f>
        <v>33</v>
      </c>
      <c r="AC626" s="48" t="s">
        <v>4016</v>
      </c>
      <c r="AK626" s="620">
        <f>IF(AL626=0,0,1)</f>
        <v>0</v>
      </c>
      <c r="AL626" s="48">
        <f>IF(B630=B$3005,E$3005,IF(B630=B$3006,E$3006,IF(B630=B$3007,E$3007,IF(B630=B$3008,E$3008,0))))</f>
        <v>0</v>
      </c>
      <c r="AM626" s="233" t="str">
        <f>IF(AL626=$E$3008,AC626,"")</f>
        <v/>
      </c>
    </row>
    <row r="627" spans="1:62" ht="28" customHeight="1" x14ac:dyDescent="0.3">
      <c r="A627" s="186"/>
      <c r="B627" s="1031" t="s">
        <v>345</v>
      </c>
      <c r="C627" s="1032"/>
      <c r="D627" s="1033"/>
      <c r="E627" s="187"/>
      <c r="F627" s="1"/>
    </row>
    <row r="628" spans="1:62" ht="137" customHeight="1" thickBot="1" x14ac:dyDescent="0.35">
      <c r="A628" s="186"/>
      <c r="B628" s="1026"/>
      <c r="C628" s="1027"/>
      <c r="D628" s="1028"/>
      <c r="E628" s="187"/>
      <c r="F628" s="1"/>
      <c r="AA628" s="48">
        <f>AA620+1</f>
        <v>19</v>
      </c>
      <c r="AB628" s="849">
        <f>IF(B630="",0,1)</f>
        <v>0</v>
      </c>
      <c r="AC628" s="853">
        <f>IF(B630=B$3005,D$3005,IF(B630=B$3006,D$3006,IF(B630=B$3007,D$3007,IF(B630=B$3008,D$3008,0))))</f>
        <v>0</v>
      </c>
      <c r="AE628" s="850">
        <f>IF(D630=B$3019,E$3019,IF(D630=B$3020,E$3020,IF(D630=B$3021,E$3021,IF(D630=B$3022,E$3022,IF(D630=B$3023,E$3023,IF(D630=B$3024,E$3024,IF(D630=B$3025,E$3025,IF(D630=B$3026,E$3026,D30512))))))))</f>
        <v>0</v>
      </c>
    </row>
    <row r="629" spans="1:62" ht="15" thickTop="1" thickBot="1" x14ac:dyDescent="0.35">
      <c r="A629" s="186"/>
      <c r="B629" s="188" t="str">
        <f>IF(B628="","","Claimed?")</f>
        <v/>
      </c>
      <c r="C629" s="188" t="str">
        <f>IF(B629="","","Verifiable?")</f>
        <v/>
      </c>
      <c r="D629" s="189" t="str">
        <f>IF(C630="","","Independent verification")</f>
        <v/>
      </c>
      <c r="E629" s="1029">
        <f>BI630</f>
        <v>0</v>
      </c>
      <c r="F629" s="1030"/>
      <c r="AA629" s="52"/>
      <c r="AB629" s="52" t="s">
        <v>278</v>
      </c>
      <c r="AF629" s="204"/>
      <c r="AG629" s="52" t="s">
        <v>279</v>
      </c>
      <c r="AM629" s="205"/>
      <c r="AN629" s="52" t="s">
        <v>280</v>
      </c>
      <c r="AV629" s="206"/>
      <c r="AX629" s="191" t="s">
        <v>281</v>
      </c>
      <c r="AZ629" s="192" t="s">
        <v>282</v>
      </c>
      <c r="BB629" s="193" t="s">
        <v>283</v>
      </c>
      <c r="BD629" s="192" t="s">
        <v>284</v>
      </c>
      <c r="BG629" s="194" t="s">
        <v>290</v>
      </c>
      <c r="BH629" s="195" t="s">
        <v>291</v>
      </c>
      <c r="BI629" s="194" t="s">
        <v>285</v>
      </c>
      <c r="BJ629" s="195" t="s">
        <v>286</v>
      </c>
    </row>
    <row r="630" spans="1:62" ht="15" thickTop="1" thickBot="1" x14ac:dyDescent="0.35">
      <c r="A630" s="186"/>
      <c r="B630" s="196"/>
      <c r="C630" s="197"/>
      <c r="D630" s="207"/>
      <c r="E630" s="1029">
        <f>BJ630</f>
        <v>0</v>
      </c>
      <c r="F630" s="1030"/>
      <c r="AA630" s="101"/>
      <c r="AB630" s="101">
        <f>IF(B630=$B$3005,$AB$522,0)</f>
        <v>0</v>
      </c>
      <c r="AC630" s="101">
        <f>IF(B630=$B$3006,$AC$522,0)</f>
        <v>0</v>
      </c>
      <c r="AD630" s="101">
        <f>IF(B630=$B$3007,$AD$522,0)</f>
        <v>0</v>
      </c>
      <c r="AE630" s="101">
        <f>IF(B630=$B$3008,$AE$522,0)</f>
        <v>0</v>
      </c>
      <c r="AF630" s="208">
        <f>SUM(AB630:AE630)</f>
        <v>0</v>
      </c>
      <c r="AG630" s="101">
        <f>IF(C630=$B$3011,$E$3011,0)</f>
        <v>0</v>
      </c>
      <c r="AH630" s="101">
        <f>IF(C630=$B$3012,$E$3012,0)</f>
        <v>0</v>
      </c>
      <c r="AI630" s="101">
        <f>IF(C630=$B$3013,$E$3013,0)</f>
        <v>0</v>
      </c>
      <c r="AJ630" s="101">
        <f>IF(C630=$B$3014,$E$3014,0)</f>
        <v>0</v>
      </c>
      <c r="AK630" s="101">
        <f>IF(C630=$B$3015,$E$3015,0)</f>
        <v>0</v>
      </c>
      <c r="AL630" s="101">
        <f>IF(C630=$B$3016,$E$3016,0)</f>
        <v>0</v>
      </c>
      <c r="AM630" s="209">
        <f>SUM(AG630:AL630)</f>
        <v>0</v>
      </c>
      <c r="AN630" s="101">
        <f>IF($D630=$B$3019,AN$522,0)</f>
        <v>0</v>
      </c>
      <c r="AO630" s="101">
        <f>IF($D630=$B$3020,AO$522,0)</f>
        <v>0</v>
      </c>
      <c r="AP630" s="101">
        <f>IF($D630=$B$3021,AP$522,0)</f>
        <v>0</v>
      </c>
      <c r="AQ630" s="101">
        <f>IF($D630=$B$3022,AQ$522,0)</f>
        <v>0</v>
      </c>
      <c r="AR630" s="101">
        <f>IF($D630=$B$3023,AR$522,0)</f>
        <v>0</v>
      </c>
      <c r="AS630" s="101">
        <f>IF($D630=$B$3024,AS$522,0)</f>
        <v>0</v>
      </c>
      <c r="AT630" s="101">
        <f>IF($D630=$B$3025,AT$522,0)</f>
        <v>0</v>
      </c>
      <c r="AU630" s="101">
        <f>IF($D630=$B$3026,AU$522,0)</f>
        <v>0</v>
      </c>
      <c r="AV630" s="210">
        <f>SUM(AN630:AU630)</f>
        <v>0</v>
      </c>
      <c r="AX630" s="200">
        <f>AF630*AM630</f>
        <v>0</v>
      </c>
      <c r="AZ630" s="146">
        <f>AX630+(AV630*AM630)</f>
        <v>0</v>
      </c>
      <c r="BB630" s="201">
        <f>(AF630*AM630)*0.01</f>
        <v>0</v>
      </c>
      <c r="BD630" s="202">
        <f>AZ630*0.01</f>
        <v>0</v>
      </c>
      <c r="BE630" s="377"/>
      <c r="BG630" s="201">
        <f>IF(AF630&gt;0,BG622+BB630,BG622)</f>
        <v>0</v>
      </c>
      <c r="BH630" s="202">
        <f>IF(AV630&gt;0,BH622+BD630,BH622)</f>
        <v>0</v>
      </c>
      <c r="BI630" s="201">
        <f>IF(BG630&gt;0.99,0.99,BG630)</f>
        <v>0</v>
      </c>
      <c r="BJ630" s="202">
        <f>IF(BH630&gt;0.99,0.99,BH630)</f>
        <v>0</v>
      </c>
    </row>
    <row r="631" spans="1:62" ht="16" thickTop="1" x14ac:dyDescent="0.3">
      <c r="A631" s="184">
        <f>A626+1</f>
        <v>34</v>
      </c>
      <c r="B631" s="184" t="s">
        <v>348</v>
      </c>
      <c r="C631" s="184"/>
      <c r="D631" s="185" t="str">
        <f>IF(B633="","If claimed, explain in white box below.","")</f>
        <v>If claimed, explain in white box below.</v>
      </c>
      <c r="E631" s="187"/>
      <c r="F631" s="1"/>
      <c r="AB631" s="48">
        <f>A631</f>
        <v>34</v>
      </c>
      <c r="AK631" s="620">
        <f>IF(AL631=0,0,1)</f>
        <v>0</v>
      </c>
      <c r="AL631" s="48">
        <f>IF(B635=B$3005,E$3005,IF(B635=B$3006,E$3006,IF(B635=B$3007,E$3007,IF(B635=B$3008,E$3008,0))))</f>
        <v>0</v>
      </c>
      <c r="AM631" s="233" t="str">
        <f>IF(AL631=$E$3008,AC631,"")</f>
        <v/>
      </c>
    </row>
    <row r="632" spans="1:62" ht="28" customHeight="1" x14ac:dyDescent="0.3">
      <c r="A632" s="186"/>
      <c r="B632" s="1031" t="s">
        <v>349</v>
      </c>
      <c r="C632" s="1032"/>
      <c r="D632" s="1033"/>
      <c r="E632" s="187"/>
      <c r="F632" s="1"/>
    </row>
    <row r="633" spans="1:62" ht="137" customHeight="1" thickBot="1" x14ac:dyDescent="0.35">
      <c r="A633" s="186"/>
      <c r="B633" s="1026"/>
      <c r="C633" s="1027"/>
      <c r="D633" s="1028"/>
      <c r="E633" s="187"/>
      <c r="F633" s="1"/>
      <c r="AA633" s="48">
        <f>AA628+1</f>
        <v>20</v>
      </c>
      <c r="AB633" s="849">
        <f>IF(B635="",0,1)</f>
        <v>0</v>
      </c>
      <c r="AC633" s="853">
        <f>IF(B635=B$3005,D$3005,IF(B635=B$3006,D$3006,IF(B635=B$3007,D$3007,IF(B635=B$3008,D$3008,0))))</f>
        <v>0</v>
      </c>
      <c r="AE633" s="850">
        <f>IF(D635=B$3019,E$3019,IF(D635=B$3020,E$3020,IF(D635=B$3021,E$3021,IF(D635=B$3022,E$3022,IF(D635=B$3023,E$3023,IF(D635=B$3024,E$3024,IF(D635=B$3025,E$3025,IF(D635=B$3026,E$3026,D30517))))))))</f>
        <v>0</v>
      </c>
    </row>
    <row r="634" spans="1:62" ht="15" thickTop="1" thickBot="1" x14ac:dyDescent="0.35">
      <c r="A634" s="186"/>
      <c r="B634" s="188" t="str">
        <f>IF(B633="","","Claimed?")</f>
        <v/>
      </c>
      <c r="C634" s="188" t="str">
        <f>IF(B634="","","Verifiable?")</f>
        <v/>
      </c>
      <c r="D634" s="189" t="str">
        <f>IF(C635="","","Independent verification")</f>
        <v/>
      </c>
      <c r="E634" s="1029">
        <f>BI635</f>
        <v>0</v>
      </c>
      <c r="F634" s="1030"/>
      <c r="AA634" s="52"/>
      <c r="AB634" s="52" t="s">
        <v>278</v>
      </c>
      <c r="AF634" s="204"/>
      <c r="AG634" s="52" t="s">
        <v>279</v>
      </c>
      <c r="AM634" s="205"/>
      <c r="AN634" s="52" t="s">
        <v>280</v>
      </c>
      <c r="AV634" s="206"/>
      <c r="AX634" s="191" t="s">
        <v>281</v>
      </c>
      <c r="AZ634" s="192" t="s">
        <v>282</v>
      </c>
      <c r="BB634" s="193" t="s">
        <v>283</v>
      </c>
      <c r="BD634" s="192" t="s">
        <v>284</v>
      </c>
      <c r="BG634" s="194" t="s">
        <v>290</v>
      </c>
      <c r="BH634" s="195" t="s">
        <v>291</v>
      </c>
      <c r="BI634" s="194" t="s">
        <v>285</v>
      </c>
      <c r="BJ634" s="195" t="s">
        <v>286</v>
      </c>
    </row>
    <row r="635" spans="1:62" ht="15" thickTop="1" thickBot="1" x14ac:dyDescent="0.35">
      <c r="A635" s="186"/>
      <c r="B635" s="196"/>
      <c r="C635" s="197"/>
      <c r="D635" s="207"/>
      <c r="E635" s="1029">
        <f>BJ635</f>
        <v>0</v>
      </c>
      <c r="F635" s="1030"/>
      <c r="AA635" s="101"/>
      <c r="AB635" s="101">
        <f>IF(B635=$B$3005,$AB$522,0)</f>
        <v>0</v>
      </c>
      <c r="AC635" s="101">
        <f>IF(B635=$B$3006,$AC$522,0)</f>
        <v>0</v>
      </c>
      <c r="AD635" s="101">
        <f>IF(B635=$B$3007,$AD$522,0)</f>
        <v>0</v>
      </c>
      <c r="AE635" s="101">
        <f>IF(B635=$B$3008,$AE$522,0)</f>
        <v>0</v>
      </c>
      <c r="AF635" s="208">
        <f>SUM(AB635:AE635)</f>
        <v>0</v>
      </c>
      <c r="AG635" s="101">
        <f>IF(C635=$B$3011,$E$3011,0)</f>
        <v>0</v>
      </c>
      <c r="AH635" s="101">
        <f>IF(C635=$B$3012,$E$3012,0)</f>
        <v>0</v>
      </c>
      <c r="AI635" s="101">
        <f>IF(C635=$B$3013,$E$3013,0)</f>
        <v>0</v>
      </c>
      <c r="AJ635" s="101">
        <f>IF(C635=$B$3014,$E$3014,0)</f>
        <v>0</v>
      </c>
      <c r="AK635" s="101">
        <f>IF(C635=$B$3015,$E$3015,0)</f>
        <v>0</v>
      </c>
      <c r="AL635" s="101">
        <f>IF(C635=$B$3016,$E$3016,0)</f>
        <v>0</v>
      </c>
      <c r="AM635" s="209">
        <f>SUM(AG635:AL635)</f>
        <v>0</v>
      </c>
      <c r="AN635" s="101">
        <f>IF($D635=$B$3019,AN$522,0)</f>
        <v>0</v>
      </c>
      <c r="AO635" s="101">
        <f>IF($D635=$B$3020,AO$522,0)</f>
        <v>0</v>
      </c>
      <c r="AP635" s="101">
        <f>IF($D635=$B$3021,AP$522,0)</f>
        <v>0</v>
      </c>
      <c r="AQ635" s="101">
        <f>IF($D635=$B$3022,AQ$522,0)</f>
        <v>0</v>
      </c>
      <c r="AR635" s="101">
        <f>IF($D635=$B$3023,AR$522,0)</f>
        <v>0</v>
      </c>
      <c r="AS635" s="101">
        <f>IF($D635=$B$3024,AS$522,0)</f>
        <v>0</v>
      </c>
      <c r="AT635" s="101">
        <f>IF($D635=$B$3025,AT$522,0)</f>
        <v>0</v>
      </c>
      <c r="AU635" s="101">
        <f>IF($D635=$B$3026,AU$522,0)</f>
        <v>0</v>
      </c>
      <c r="AV635" s="210">
        <f>SUM(AN635:AU635)</f>
        <v>0</v>
      </c>
      <c r="AX635" s="200">
        <f>AF635*AM635</f>
        <v>0</v>
      </c>
      <c r="AZ635" s="146">
        <f>AX635+(AV635*AM635)</f>
        <v>0</v>
      </c>
      <c r="BB635" s="201">
        <f>(AF635*AM635)*0.01</f>
        <v>0</v>
      </c>
      <c r="BD635" s="202">
        <f>AZ635*0.01</f>
        <v>0</v>
      </c>
      <c r="BE635" s="377"/>
      <c r="BG635" s="201">
        <f>IF(AF635&gt;0,BG630+BB635,BG630)</f>
        <v>0</v>
      </c>
      <c r="BH635" s="202">
        <f>IF(AV635&gt;0,BH630+BD635,BH630)</f>
        <v>0</v>
      </c>
      <c r="BI635" s="201">
        <f>IF(BG635&gt;0.99,0.99,BG635)</f>
        <v>0</v>
      </c>
      <c r="BJ635" s="202">
        <f>IF(BH635&gt;0.99,0.99,BH635)</f>
        <v>0</v>
      </c>
    </row>
    <row r="636" spans="1:62" ht="16" thickTop="1" x14ac:dyDescent="0.3">
      <c r="A636" s="184">
        <f>A631+1</f>
        <v>35</v>
      </c>
      <c r="B636" s="184" t="s">
        <v>351</v>
      </c>
      <c r="C636" s="184"/>
      <c r="D636" s="185" t="str">
        <f>IF(B638="","If claimed, explain in white box below.","")</f>
        <v>If claimed, explain in white box below.</v>
      </c>
      <c r="E636" s="187"/>
      <c r="F636" s="1"/>
      <c r="AB636" s="48">
        <f>A636</f>
        <v>35</v>
      </c>
      <c r="AC636" s="48" t="s">
        <v>4015</v>
      </c>
      <c r="AK636" s="620">
        <f>IF(AL636=0,0,1)</f>
        <v>0</v>
      </c>
      <c r="AL636" s="48">
        <f>IF(B640=B$3005,E$3005,IF(B640=B$3006,E$3006,IF(B640=B$3007,E$3007,IF(B640=B$3008,E$3008,0))))</f>
        <v>0</v>
      </c>
      <c r="AM636" s="233" t="str">
        <f>IF(AL636=$E$3008,AC636,"")</f>
        <v/>
      </c>
    </row>
    <row r="637" spans="1:62" x14ac:dyDescent="0.3">
      <c r="A637" s="186"/>
      <c r="B637" s="1031" t="s">
        <v>352</v>
      </c>
      <c r="C637" s="1032"/>
      <c r="D637" s="1033"/>
      <c r="E637" s="187"/>
      <c r="F637" s="1"/>
    </row>
    <row r="638" spans="1:62" ht="137" customHeight="1" thickBot="1" x14ac:dyDescent="0.35">
      <c r="A638" s="186"/>
      <c r="B638" s="1026"/>
      <c r="C638" s="1027"/>
      <c r="D638" s="1028"/>
      <c r="E638" s="187"/>
      <c r="F638" s="1"/>
      <c r="AA638" s="48">
        <f>AA633+1</f>
        <v>21</v>
      </c>
      <c r="AB638" s="849">
        <f>IF(B640="",0,1)</f>
        <v>0</v>
      </c>
      <c r="AC638" s="853">
        <f>IF(B640=B$3005,D$3005,IF(B640=B$3006,D$3006,IF(B640=B$3007,D$3007,IF(B640=B$3008,D$3008,0))))</f>
        <v>0</v>
      </c>
      <c r="AE638" s="850">
        <f>IF(D640=B$3019,E$3019,IF(D640=B$3020,E$3020,IF(D640=B$3021,E$3021,IF(D640=B$3022,E$3022,IF(D640=B$3023,E$3023,IF(D640=B$3024,E$3024,IF(D640=B$3025,E$3025,IF(D640=B$3026,E$3026,D30522))))))))</f>
        <v>0</v>
      </c>
    </row>
    <row r="639" spans="1:62" ht="15" thickTop="1" thickBot="1" x14ac:dyDescent="0.35">
      <c r="A639" s="186"/>
      <c r="B639" s="188" t="str">
        <f>IF(B638="","","Claimed?")</f>
        <v/>
      </c>
      <c r="C639" s="188" t="str">
        <f>IF(B639="","","Verifiable?")</f>
        <v/>
      </c>
      <c r="D639" s="189" t="str">
        <f>IF(C640="","","Independent verification")</f>
        <v/>
      </c>
      <c r="E639" s="1029">
        <f>BI640</f>
        <v>0</v>
      </c>
      <c r="F639" s="1030"/>
      <c r="AA639" s="52"/>
      <c r="AB639" s="52" t="s">
        <v>278</v>
      </c>
      <c r="AF639" s="204"/>
      <c r="AG639" s="52" t="s">
        <v>279</v>
      </c>
      <c r="AM639" s="205"/>
      <c r="AN639" s="52" t="s">
        <v>280</v>
      </c>
      <c r="AV639" s="206"/>
      <c r="AX639" s="191" t="s">
        <v>281</v>
      </c>
      <c r="AZ639" s="192" t="s">
        <v>282</v>
      </c>
      <c r="BB639" s="193" t="s">
        <v>283</v>
      </c>
      <c r="BD639" s="192" t="s">
        <v>284</v>
      </c>
      <c r="BG639" s="194" t="s">
        <v>290</v>
      </c>
      <c r="BH639" s="195" t="s">
        <v>291</v>
      </c>
      <c r="BI639" s="194" t="s">
        <v>285</v>
      </c>
      <c r="BJ639" s="195" t="s">
        <v>286</v>
      </c>
    </row>
    <row r="640" spans="1:62" ht="15" thickTop="1" thickBot="1" x14ac:dyDescent="0.35">
      <c r="A640" s="186"/>
      <c r="B640" s="196"/>
      <c r="C640" s="197"/>
      <c r="D640" s="207"/>
      <c r="E640" s="1029">
        <f>BJ640</f>
        <v>0</v>
      </c>
      <c r="F640" s="1030"/>
      <c r="AA640" s="101"/>
      <c r="AB640" s="101">
        <f>IF(B640=$B$3005,$AB$522,0)</f>
        <v>0</v>
      </c>
      <c r="AC640" s="101">
        <f>IF(B640=$B$3006,$AC$522,0)</f>
        <v>0</v>
      </c>
      <c r="AD640" s="101">
        <f>IF(B640=$B$3007,$AD$522,0)</f>
        <v>0</v>
      </c>
      <c r="AE640" s="101">
        <f>IF(B640=$B$3008,$AE$522,0)</f>
        <v>0</v>
      </c>
      <c r="AF640" s="208">
        <f>SUM(AB640:AE640)</f>
        <v>0</v>
      </c>
      <c r="AG640" s="101">
        <f>IF(C640=$B$3011,$E$3011,0)</f>
        <v>0</v>
      </c>
      <c r="AH640" s="101">
        <f>IF(C640=$B$3012,$E$3012,0)</f>
        <v>0</v>
      </c>
      <c r="AI640" s="101">
        <f>IF(C640=$B$3013,$E$3013,0)</f>
        <v>0</v>
      </c>
      <c r="AJ640" s="101">
        <f>IF(C640=$B$3014,$E$3014,0)</f>
        <v>0</v>
      </c>
      <c r="AK640" s="101">
        <f>IF(C640=$B$3015,$E$3015,0)</f>
        <v>0</v>
      </c>
      <c r="AL640" s="101">
        <f>IF(C640=$B$3016,$E$3016,0)</f>
        <v>0</v>
      </c>
      <c r="AM640" s="209">
        <f>SUM(AG640:AL640)</f>
        <v>0</v>
      </c>
      <c r="AN640" s="101">
        <f>IF($D640=$B$3019,AN$522,0)</f>
        <v>0</v>
      </c>
      <c r="AO640" s="101">
        <f>IF($D640=$B$3020,AO$522,0)</f>
        <v>0</v>
      </c>
      <c r="AP640" s="101">
        <f>IF($D640=$B$3021,AP$522,0)</f>
        <v>0</v>
      </c>
      <c r="AQ640" s="101">
        <f>IF($D640=$B$3022,AQ$522,0)</f>
        <v>0</v>
      </c>
      <c r="AR640" s="101">
        <f>IF($D640=$B$3023,AR$522,0)</f>
        <v>0</v>
      </c>
      <c r="AS640" s="101">
        <f>IF($D640=$B$3024,AS$522,0)</f>
        <v>0</v>
      </c>
      <c r="AT640" s="101">
        <f>IF($D640=$B$3025,AT$522,0)</f>
        <v>0</v>
      </c>
      <c r="AU640" s="101">
        <f>IF($D640=$B$3026,AU$522,0)</f>
        <v>0</v>
      </c>
      <c r="AV640" s="210">
        <f>SUM(AN640:AU640)</f>
        <v>0</v>
      </c>
      <c r="AX640" s="200">
        <f>AF640*AM640</f>
        <v>0</v>
      </c>
      <c r="AZ640" s="146">
        <f>AX640+(AV640*AM640)</f>
        <v>0</v>
      </c>
      <c r="BB640" s="201">
        <f>(AF640*AM640)*0.01</f>
        <v>0</v>
      </c>
      <c r="BD640" s="202">
        <f>AZ640*0.01</f>
        <v>0</v>
      </c>
      <c r="BE640" s="377"/>
      <c r="BG640" s="201">
        <f>IF(AF640&gt;0,BG635+BB640,BG635)</f>
        <v>0</v>
      </c>
      <c r="BH640" s="202">
        <f>IF(AV640&gt;0,BH635+BD640,BH635)</f>
        <v>0</v>
      </c>
      <c r="BI640" s="201">
        <f>IF(BG640&gt;0.99,0.99,BG640)</f>
        <v>0</v>
      </c>
      <c r="BJ640" s="202">
        <f>IF(BH640&gt;0.99,0.99,BH640)</f>
        <v>0</v>
      </c>
    </row>
    <row r="641" spans="1:62" ht="5" customHeight="1" thickTop="1" x14ac:dyDescent="0.3">
      <c r="A641" s="187"/>
      <c r="B641" s="187"/>
      <c r="C641" s="187"/>
      <c r="D641" s="187"/>
      <c r="E641" s="187"/>
      <c r="F641" s="1"/>
    </row>
    <row r="642" spans="1:62" ht="15.5" x14ac:dyDescent="0.3">
      <c r="A642" s="184">
        <f>A636+1</f>
        <v>36</v>
      </c>
      <c r="B642" s="184" t="s">
        <v>354</v>
      </c>
      <c r="C642" s="184"/>
      <c r="D642" s="185" t="str">
        <f>IF(B644="","If claimed, explain in white box below.","")</f>
        <v>If claimed, explain in white box below.</v>
      </c>
      <c r="E642" s="187"/>
      <c r="F642" s="1"/>
      <c r="AB642" s="48">
        <f>A642</f>
        <v>36</v>
      </c>
      <c r="AC642" s="48" t="s">
        <v>4014</v>
      </c>
      <c r="AK642" s="620">
        <f>IF(AL642=0,0,1)</f>
        <v>0</v>
      </c>
      <c r="AL642" s="48">
        <f>IF(B646=B$3005,E$3005,IF(B646=B$3006,E$3006,IF(B646=B$3007,E$3007,IF(B646=B$3008,E$3008,0))))</f>
        <v>0</v>
      </c>
      <c r="AM642" s="233" t="str">
        <f>IF(AL642=$E$3008,AC642,"")</f>
        <v/>
      </c>
    </row>
    <row r="643" spans="1:62" ht="28" customHeight="1" x14ac:dyDescent="0.3">
      <c r="A643" s="186"/>
      <c r="B643" s="1031" t="s">
        <v>3647</v>
      </c>
      <c r="C643" s="1032"/>
      <c r="D643" s="1033"/>
      <c r="E643" s="187"/>
      <c r="F643" s="1"/>
    </row>
    <row r="644" spans="1:62" ht="150" customHeight="1" thickBot="1" x14ac:dyDescent="0.35">
      <c r="A644" s="186"/>
      <c r="B644" s="1026"/>
      <c r="C644" s="1027"/>
      <c r="D644" s="1028"/>
      <c r="E644" s="187"/>
      <c r="F644" s="1"/>
      <c r="AA644" s="48">
        <f>AA638+1</f>
        <v>22</v>
      </c>
      <c r="AB644" s="849">
        <f>IF(B646="",0,1)</f>
        <v>0</v>
      </c>
      <c r="AC644" s="853">
        <f>IF(B646=B$3005,D$3005,IF(B646=B$3006,D$3006,IF(B646=B$3007,D$3007,IF(B646=B$3008,D$3008,0))))</f>
        <v>0</v>
      </c>
      <c r="AE644" s="850">
        <f>IF(D646=B$3019,E$3019,IF(D646=B$3020,E$3020,IF(D646=B$3021,E$3021,IF(D646=B$3022,E$3022,IF(D646=B$3023,E$3023,IF(D646=B$3024,E$3024,IF(D646=B$3025,E$3025,IF(D646=B$3026,E$3026,D30528))))))))</f>
        <v>0</v>
      </c>
    </row>
    <row r="645" spans="1:62" ht="15" thickTop="1" thickBot="1" x14ac:dyDescent="0.35">
      <c r="A645" s="186"/>
      <c r="B645" s="188" t="str">
        <f>IF(B644="","","Claimed?")</f>
        <v/>
      </c>
      <c r="C645" s="188" t="str">
        <f>IF(B645="","","Verifiable?")</f>
        <v/>
      </c>
      <c r="D645" s="189" t="str">
        <f>IF(C646="","","Independent verification")</f>
        <v/>
      </c>
      <c r="E645" s="1029">
        <f>BI646</f>
        <v>0</v>
      </c>
      <c r="F645" s="1030"/>
      <c r="AA645" s="52"/>
      <c r="AB645" s="52" t="s">
        <v>278</v>
      </c>
      <c r="AF645" s="204"/>
      <c r="AG645" s="52" t="s">
        <v>279</v>
      </c>
      <c r="AM645" s="205"/>
      <c r="AN645" s="52" t="s">
        <v>280</v>
      </c>
      <c r="AV645" s="206"/>
      <c r="AX645" s="191" t="s">
        <v>281</v>
      </c>
      <c r="AZ645" s="192" t="s">
        <v>282</v>
      </c>
      <c r="BB645" s="193" t="s">
        <v>283</v>
      </c>
      <c r="BD645" s="192" t="s">
        <v>284</v>
      </c>
      <c r="BG645" s="194" t="s">
        <v>290</v>
      </c>
      <c r="BH645" s="195" t="s">
        <v>291</v>
      </c>
      <c r="BI645" s="194" t="s">
        <v>285</v>
      </c>
      <c r="BJ645" s="195" t="s">
        <v>286</v>
      </c>
    </row>
    <row r="646" spans="1:62" ht="15" thickTop="1" thickBot="1" x14ac:dyDescent="0.35">
      <c r="A646" s="186"/>
      <c r="B646" s="196"/>
      <c r="C646" s="197"/>
      <c r="D646" s="207"/>
      <c r="E646" s="1029">
        <f>BJ646</f>
        <v>0</v>
      </c>
      <c r="F646" s="1030"/>
      <c r="AA646" s="101"/>
      <c r="AB646" s="101">
        <f>IF(B646=$B$3005,$AB$522,0)</f>
        <v>0</v>
      </c>
      <c r="AC646" s="101">
        <f>IF(B646=$B$3006,$AC$522,0)</f>
        <v>0</v>
      </c>
      <c r="AD646" s="101">
        <f>IF(B646=$B$3007,$AD$522,0)</f>
        <v>0</v>
      </c>
      <c r="AE646" s="101">
        <f>IF(B646=$B$3008,$AE$522,0)</f>
        <v>0</v>
      </c>
      <c r="AF646" s="208">
        <f>SUM(AB646:AE646)</f>
        <v>0</v>
      </c>
      <c r="AG646" s="101">
        <f>IF(C646=$B$3011,$E$3011,0)</f>
        <v>0</v>
      </c>
      <c r="AH646" s="101">
        <f>IF(C646=$B$3012,$E$3012,0)</f>
        <v>0</v>
      </c>
      <c r="AI646" s="101">
        <f>IF(C646=$B$3013,$E$3013,0)</f>
        <v>0</v>
      </c>
      <c r="AJ646" s="101">
        <f>IF(C646=$B$3014,$E$3014,0)</f>
        <v>0</v>
      </c>
      <c r="AK646" s="101">
        <f>IF(C646=$B$3015,$E$3015,0)</f>
        <v>0</v>
      </c>
      <c r="AL646" s="101">
        <f>IF(C646=$B$3016,$E$3016,0)</f>
        <v>0</v>
      </c>
      <c r="AM646" s="209">
        <f>SUM(AG646:AL646)</f>
        <v>0</v>
      </c>
      <c r="AN646" s="101">
        <f>IF($D646=$B$3019,AN$522,0)</f>
        <v>0</v>
      </c>
      <c r="AO646" s="101">
        <f>IF($D646=$B$3020,AO$522,0)</f>
        <v>0</v>
      </c>
      <c r="AP646" s="101">
        <f>IF($D646=$B$3021,AP$522,0)</f>
        <v>0</v>
      </c>
      <c r="AQ646" s="101">
        <f>IF($D646=$B$3022,AQ$522,0)</f>
        <v>0</v>
      </c>
      <c r="AR646" s="101">
        <f>IF($D646=$B$3023,AR$522,0)</f>
        <v>0</v>
      </c>
      <c r="AS646" s="101">
        <f>IF($D646=$B$3024,AS$522,0)</f>
        <v>0</v>
      </c>
      <c r="AT646" s="101">
        <f>IF($D646=$B$3025,AT$522,0)</f>
        <v>0</v>
      </c>
      <c r="AU646" s="101">
        <f>IF($D646=$B$3026,AU$522,0)</f>
        <v>0</v>
      </c>
      <c r="AV646" s="210">
        <f>SUM(AN646:AU646)</f>
        <v>0</v>
      </c>
      <c r="AX646" s="200">
        <f>AF646*AM646</f>
        <v>0</v>
      </c>
      <c r="AZ646" s="146">
        <f>AX646+(AV646*AM646)</f>
        <v>0</v>
      </c>
      <c r="BB646" s="201">
        <f>(AF646*AM646)*0.01</f>
        <v>0</v>
      </c>
      <c r="BD646" s="202">
        <f>AZ646*0.01</f>
        <v>0</v>
      </c>
      <c r="BE646" s="377"/>
      <c r="BG646" s="201">
        <f>IF(AF646&gt;0,BG640+BB646,BG640)</f>
        <v>0</v>
      </c>
      <c r="BH646" s="202">
        <f>IF(AV646&gt;0,BH640+BD646,BH640)</f>
        <v>0</v>
      </c>
      <c r="BI646" s="201">
        <f>IF(BG646&gt;0.99,0.99,BG646)</f>
        <v>0</v>
      </c>
      <c r="BJ646" s="202">
        <f>IF(BH646&gt;0.99,0.99,BH646)</f>
        <v>0</v>
      </c>
    </row>
    <row r="647" spans="1:62" ht="16" thickTop="1" x14ac:dyDescent="0.3">
      <c r="A647" s="184">
        <f>A642+1</f>
        <v>37</v>
      </c>
      <c r="B647" s="184" t="s">
        <v>356</v>
      </c>
      <c r="C647" s="184"/>
      <c r="D647" s="185" t="str">
        <f>IF(B649="","If claimed, explain in white box below.","")</f>
        <v>If claimed, explain in white box below.</v>
      </c>
      <c r="E647" s="187"/>
      <c r="F647" s="1"/>
      <c r="AB647" s="48">
        <f>A647</f>
        <v>37</v>
      </c>
      <c r="AC647" s="48" t="s">
        <v>4013</v>
      </c>
      <c r="AK647" s="620">
        <f>IF(AL647=0,0,1)</f>
        <v>0</v>
      </c>
      <c r="AL647" s="48">
        <f>IF(B651=B$3005,E$3005,IF(B651=B$3006,E$3006,IF(B651=B$3007,E$3007,IF(B651=B$3008,E$3008,0))))</f>
        <v>0</v>
      </c>
      <c r="AM647" s="233" t="str">
        <f>IF(AL647=$E$3008,AC647,"")</f>
        <v/>
      </c>
    </row>
    <row r="648" spans="1:62" ht="28" customHeight="1" x14ac:dyDescent="0.3">
      <c r="A648" s="186"/>
      <c r="B648" s="1031" t="s">
        <v>357</v>
      </c>
      <c r="C648" s="1032"/>
      <c r="D648" s="1033"/>
      <c r="E648" s="187"/>
      <c r="F648" s="1"/>
    </row>
    <row r="649" spans="1:62" ht="150" customHeight="1" thickBot="1" x14ac:dyDescent="0.35">
      <c r="A649" s="186"/>
      <c r="B649" s="1026"/>
      <c r="C649" s="1027"/>
      <c r="D649" s="1028"/>
      <c r="E649" s="187"/>
      <c r="F649" s="1"/>
      <c r="AA649" s="48">
        <f>AA644+1</f>
        <v>23</v>
      </c>
      <c r="AB649" s="849">
        <f>IF(B651="",0,1)</f>
        <v>0</v>
      </c>
      <c r="AC649" s="853">
        <f>IF(B651=B$3005,D$3005,IF(B651=B$3006,D$3006,IF(B651=B$3007,D$3007,IF(B651=B$3008,D$3008,0))))</f>
        <v>0</v>
      </c>
      <c r="AE649" s="850">
        <f>IF(D651=B$3019,E$3019,IF(D651=B$3020,E$3020,IF(D651=B$3021,E$3021,IF(D651=B$3022,E$3022,IF(D651=B$3023,E$3023,IF(D651=B$3024,E$3024,IF(D651=B$3025,E$3025,IF(D651=B$3026,E$3026,D30533))))))))</f>
        <v>0</v>
      </c>
    </row>
    <row r="650" spans="1:62" ht="15" thickTop="1" thickBot="1" x14ac:dyDescent="0.35">
      <c r="A650" s="186"/>
      <c r="B650" s="188" t="str">
        <f>IF(B649="","","Claimed?")</f>
        <v/>
      </c>
      <c r="C650" s="188" t="str">
        <f>IF(B650="","","Verifiable?")</f>
        <v/>
      </c>
      <c r="D650" s="189" t="str">
        <f>IF(C651="","","Independent verification")</f>
        <v/>
      </c>
      <c r="E650" s="1029">
        <f>BI651</f>
        <v>0</v>
      </c>
      <c r="F650" s="1030"/>
      <c r="AA650" s="52"/>
      <c r="AB650" s="52" t="s">
        <v>278</v>
      </c>
      <c r="AF650" s="204"/>
      <c r="AG650" s="52" t="s">
        <v>279</v>
      </c>
      <c r="AM650" s="205"/>
      <c r="AN650" s="52" t="s">
        <v>280</v>
      </c>
      <c r="AV650" s="206"/>
      <c r="AX650" s="191" t="s">
        <v>281</v>
      </c>
      <c r="AZ650" s="192" t="s">
        <v>282</v>
      </c>
      <c r="BB650" s="193" t="s">
        <v>283</v>
      </c>
      <c r="BD650" s="192" t="s">
        <v>284</v>
      </c>
      <c r="BG650" s="194" t="s">
        <v>290</v>
      </c>
      <c r="BH650" s="195" t="s">
        <v>291</v>
      </c>
      <c r="BI650" s="194" t="s">
        <v>285</v>
      </c>
      <c r="BJ650" s="195" t="s">
        <v>286</v>
      </c>
    </row>
    <row r="651" spans="1:62" ht="15" thickTop="1" thickBot="1" x14ac:dyDescent="0.35">
      <c r="A651" s="186"/>
      <c r="B651" s="196"/>
      <c r="C651" s="197"/>
      <c r="D651" s="207"/>
      <c r="E651" s="1029">
        <f>BJ651</f>
        <v>0</v>
      </c>
      <c r="F651" s="1030"/>
      <c r="AA651" s="101"/>
      <c r="AB651" s="101">
        <f>IF(B651=$B$3005,$AB$522,0)</f>
        <v>0</v>
      </c>
      <c r="AC651" s="101">
        <f>IF(B651=$B$3006,$AC$522,0)</f>
        <v>0</v>
      </c>
      <c r="AD651" s="101">
        <f>IF(B651=$B$3007,$AD$522,0)</f>
        <v>0</v>
      </c>
      <c r="AE651" s="101">
        <f>IF(B651=$B$3008,$AE$522,0)</f>
        <v>0</v>
      </c>
      <c r="AF651" s="208">
        <f>SUM(AB651:AE651)</f>
        <v>0</v>
      </c>
      <c r="AG651" s="101">
        <f>IF(C651=$B$3011,$E$3011,0)</f>
        <v>0</v>
      </c>
      <c r="AH651" s="101">
        <f>IF(C651=$B$3012,$E$3012,0)</f>
        <v>0</v>
      </c>
      <c r="AI651" s="101">
        <f>IF(C651=$B$3013,$E$3013,0)</f>
        <v>0</v>
      </c>
      <c r="AJ651" s="101">
        <f>IF(C651=$B$3014,$E$3014,0)</f>
        <v>0</v>
      </c>
      <c r="AK651" s="101">
        <f>IF(C651=$B$3015,$E$3015,0)</f>
        <v>0</v>
      </c>
      <c r="AL651" s="101">
        <f>IF(C651=$B$3016,$E$3016,0)</f>
        <v>0</v>
      </c>
      <c r="AM651" s="209">
        <f>SUM(AG651:AL651)</f>
        <v>0</v>
      </c>
      <c r="AN651" s="101">
        <f>IF($D651=$B$3019,AN$522,0)</f>
        <v>0</v>
      </c>
      <c r="AO651" s="101">
        <f>IF($D651=$B$3020,AO$522,0)</f>
        <v>0</v>
      </c>
      <c r="AP651" s="101">
        <f>IF($D651=$B$3021,AP$522,0)</f>
        <v>0</v>
      </c>
      <c r="AQ651" s="101">
        <f>IF($D651=$B$3022,AQ$522,0)</f>
        <v>0</v>
      </c>
      <c r="AR651" s="101">
        <f>IF($D651=$B$3023,AR$522,0)</f>
        <v>0</v>
      </c>
      <c r="AS651" s="101">
        <f>IF($D651=$B$3024,AS$522,0)</f>
        <v>0</v>
      </c>
      <c r="AT651" s="101">
        <f>IF($D651=$B$3025,AT$522,0)</f>
        <v>0</v>
      </c>
      <c r="AU651" s="101">
        <f>IF($D651=$B$3026,AU$522,0)</f>
        <v>0</v>
      </c>
      <c r="AV651" s="210">
        <f>SUM(AN651:AU651)</f>
        <v>0</v>
      </c>
      <c r="AX651" s="200">
        <f>AF651*AM651</f>
        <v>0</v>
      </c>
      <c r="AZ651" s="146">
        <f>AX651+(AV651*AM651)</f>
        <v>0</v>
      </c>
      <c r="BB651" s="201">
        <f>(AF651*AM651)*0.01</f>
        <v>0</v>
      </c>
      <c r="BD651" s="202">
        <f>AZ651*0.01</f>
        <v>0</v>
      </c>
      <c r="BE651" s="377"/>
      <c r="BG651" s="201">
        <f>IF(AF651&gt;0,BG646+BB651,BG646)</f>
        <v>0</v>
      </c>
      <c r="BH651" s="202">
        <f>IF(AV651&gt;0,BH646+BD651,BH646)</f>
        <v>0</v>
      </c>
      <c r="BI651" s="201">
        <f>IF(BG651&gt;0.99,0.99,BG651)</f>
        <v>0</v>
      </c>
      <c r="BJ651" s="202">
        <f>IF(BH651&gt;0.99,0.99,BH651)</f>
        <v>0</v>
      </c>
    </row>
    <row r="652" spans="1:62" ht="16" thickTop="1" x14ac:dyDescent="0.3">
      <c r="A652" s="184">
        <f>A647+1</f>
        <v>38</v>
      </c>
      <c r="B652" s="184" t="s">
        <v>359</v>
      </c>
      <c r="C652" s="184"/>
      <c r="D652" s="185" t="str">
        <f>IF(B654="","If claimed, explain in white box below.","")</f>
        <v>If claimed, explain in white box below.</v>
      </c>
      <c r="E652" s="187"/>
      <c r="F652" s="1"/>
      <c r="AB652" s="48">
        <f>A652</f>
        <v>38</v>
      </c>
      <c r="AC652" s="48" t="s">
        <v>4047</v>
      </c>
      <c r="AK652" s="620">
        <f>IF(AL652=0,0,1)</f>
        <v>0</v>
      </c>
      <c r="AL652" s="48">
        <f>IF(B656=B$3005,E$3005,IF(B656=B$3006,E$3006,IF(B656=B$3007,E$3007,IF(B656=B$3008,E$3008,0))))</f>
        <v>0</v>
      </c>
      <c r="AM652" s="233" t="str">
        <f>IF(AL652=$E$3008,AC652,"")</f>
        <v/>
      </c>
    </row>
    <row r="653" spans="1:62" x14ac:dyDescent="0.3">
      <c r="A653" s="186"/>
      <c r="B653" s="1031" t="s">
        <v>360</v>
      </c>
      <c r="C653" s="1032"/>
      <c r="D653" s="1033"/>
      <c r="E653" s="187"/>
      <c r="F653" s="1"/>
    </row>
    <row r="654" spans="1:62" ht="150" customHeight="1" thickBot="1" x14ac:dyDescent="0.35">
      <c r="A654" s="186"/>
      <c r="B654" s="1026"/>
      <c r="C654" s="1027"/>
      <c r="D654" s="1028"/>
      <c r="E654" s="187"/>
      <c r="F654" s="1"/>
      <c r="AA654" s="48">
        <f>AA649+1</f>
        <v>24</v>
      </c>
      <c r="AB654" s="849">
        <f>IF(B656="",0,1)</f>
        <v>0</v>
      </c>
      <c r="AC654" s="853">
        <f>IF(B656=B$3005,D$3005,IF(B656=B$3006,D$3006,IF(B656=B$3007,D$3007,IF(B656=B$3008,D$3008,0))))</f>
        <v>0</v>
      </c>
      <c r="AE654" s="850">
        <f>IF(D656=B$3019,E$3019,IF(D656=B$3020,E$3020,IF(D656=B$3021,E$3021,IF(D656=B$3022,E$3022,IF(D656=B$3023,E$3023,IF(D656=B$3024,E$3024,IF(D656=B$3025,E$3025,IF(D656=B$3026,E$3026,D30538))))))))</f>
        <v>0</v>
      </c>
    </row>
    <row r="655" spans="1:62" ht="15" thickTop="1" thickBot="1" x14ac:dyDescent="0.35">
      <c r="A655" s="186"/>
      <c r="B655" s="188" t="str">
        <f>IF(B654="","","Claimed?")</f>
        <v/>
      </c>
      <c r="C655" s="188" t="str">
        <f>IF(B655="","","Verifiable?")</f>
        <v/>
      </c>
      <c r="D655" s="189" t="str">
        <f>IF(C656="","","Independent verification")</f>
        <v/>
      </c>
      <c r="E655" s="1029">
        <f>BI656</f>
        <v>0</v>
      </c>
      <c r="F655" s="1030"/>
      <c r="AA655" s="52"/>
      <c r="AB655" s="52" t="s">
        <v>278</v>
      </c>
      <c r="AF655" s="204"/>
      <c r="AG655" s="52" t="s">
        <v>279</v>
      </c>
      <c r="AM655" s="205"/>
      <c r="AN655" s="52" t="s">
        <v>280</v>
      </c>
      <c r="AV655" s="206"/>
      <c r="AX655" s="191" t="s">
        <v>281</v>
      </c>
      <c r="AZ655" s="192" t="s">
        <v>282</v>
      </c>
      <c r="BB655" s="193" t="s">
        <v>283</v>
      </c>
      <c r="BD655" s="192" t="s">
        <v>284</v>
      </c>
      <c r="BG655" s="194" t="s">
        <v>290</v>
      </c>
      <c r="BH655" s="195" t="s">
        <v>291</v>
      </c>
      <c r="BI655" s="194" t="s">
        <v>285</v>
      </c>
      <c r="BJ655" s="195" t="s">
        <v>286</v>
      </c>
    </row>
    <row r="656" spans="1:62" ht="15" thickTop="1" thickBot="1" x14ac:dyDescent="0.35">
      <c r="A656" s="186"/>
      <c r="B656" s="196"/>
      <c r="C656" s="197"/>
      <c r="D656" s="207"/>
      <c r="E656" s="1029">
        <f>BJ656</f>
        <v>0</v>
      </c>
      <c r="F656" s="1030"/>
      <c r="AA656" s="101"/>
      <c r="AB656" s="101">
        <f>IF(B656=$B$3005,$AB$522,0)</f>
        <v>0</v>
      </c>
      <c r="AC656" s="101">
        <f>IF(B656=$B$3006,$AC$522,0)</f>
        <v>0</v>
      </c>
      <c r="AD656" s="101">
        <f>IF(B656=$B$3007,$AD$522,0)</f>
        <v>0</v>
      </c>
      <c r="AE656" s="101">
        <f>IF(B656=$B$3008,$AE$522,0)</f>
        <v>0</v>
      </c>
      <c r="AF656" s="208">
        <f>SUM(AB656:AE656)</f>
        <v>0</v>
      </c>
      <c r="AG656" s="101">
        <f>IF(C656=$B$3011,$E$3011,0)</f>
        <v>0</v>
      </c>
      <c r="AH656" s="101">
        <f>IF(C656=$B$3012,$E$3012,0)</f>
        <v>0</v>
      </c>
      <c r="AI656" s="101">
        <f>IF(C656=$B$3013,$E$3013,0)</f>
        <v>0</v>
      </c>
      <c r="AJ656" s="101">
        <f>IF(C656=$B$3014,$E$3014,0)</f>
        <v>0</v>
      </c>
      <c r="AK656" s="101">
        <f>IF(C656=$B$3015,$E$3015,0)</f>
        <v>0</v>
      </c>
      <c r="AL656" s="101">
        <f>IF(C656=$B$3016,$E$3016,0)</f>
        <v>0</v>
      </c>
      <c r="AM656" s="209">
        <f>SUM(AG656:AL656)</f>
        <v>0</v>
      </c>
      <c r="AN656" s="101">
        <f>IF($D656=$B$3019,AN$522,0)</f>
        <v>0</v>
      </c>
      <c r="AO656" s="101">
        <f>IF($D656=$B$3020,AO$522,0)</f>
        <v>0</v>
      </c>
      <c r="AP656" s="101">
        <f>IF($D656=$B$3021,AP$522,0)</f>
        <v>0</v>
      </c>
      <c r="AQ656" s="101">
        <f>IF($D656=$B$3022,AQ$522,0)</f>
        <v>0</v>
      </c>
      <c r="AR656" s="101">
        <f>IF($D656=$B$3023,AR$522,0)</f>
        <v>0</v>
      </c>
      <c r="AS656" s="101">
        <f>IF($D656=$B$3024,AS$522,0)</f>
        <v>0</v>
      </c>
      <c r="AT656" s="101">
        <f>IF($D656=$B$3025,AT$522,0)</f>
        <v>0</v>
      </c>
      <c r="AU656" s="101">
        <f>IF($D656=$B$3026,AU$522,0)</f>
        <v>0</v>
      </c>
      <c r="AV656" s="210">
        <f>SUM(AN656:AU656)</f>
        <v>0</v>
      </c>
      <c r="AX656" s="200">
        <f>AF656*AM656</f>
        <v>0</v>
      </c>
      <c r="AZ656" s="146">
        <f>AX656+(AV656*AM656)</f>
        <v>0</v>
      </c>
      <c r="BB656" s="201">
        <f>(AF656*AM656)*0.01</f>
        <v>0</v>
      </c>
      <c r="BD656" s="202">
        <f>AZ656*0.01</f>
        <v>0</v>
      </c>
      <c r="BE656" s="377"/>
      <c r="BG656" s="201">
        <f>IF(AF656&gt;0,BG651+BB656,BG651)</f>
        <v>0</v>
      </c>
      <c r="BH656" s="202">
        <f>IF(AV656&gt;0,BH651+BD656,BH651)</f>
        <v>0</v>
      </c>
      <c r="BI656" s="201">
        <f>IF(BG656&gt;0.99,0.99,BG656)</f>
        <v>0</v>
      </c>
      <c r="BJ656" s="202">
        <f>IF(BH656&gt;0.99,0.99,BH656)</f>
        <v>0</v>
      </c>
    </row>
    <row r="657" spans="1:62" ht="14.5" thickTop="1" x14ac:dyDescent="0.3">
      <c r="A657" s="186"/>
      <c r="B657" s="187"/>
      <c r="C657" s="187"/>
      <c r="D657" s="187"/>
      <c r="E657" s="187"/>
      <c r="F657" s="1"/>
      <c r="AK657" s="620">
        <f>IF(AL657=0,0,1)</f>
        <v>0</v>
      </c>
      <c r="AL657" s="48">
        <f>IF(B661=B$3005,E$3005,IF(B661=B$3006,E$3006,IF(B661=B$3007,E$3007,IF(B661=B$3008,E$3008,0))))</f>
        <v>0</v>
      </c>
      <c r="AM657" s="233" t="str">
        <f>IF(AL657=$E$3008,AC657,"")</f>
        <v/>
      </c>
    </row>
    <row r="658" spans="1:62" ht="30" customHeight="1" x14ac:dyDescent="0.3">
      <c r="A658" s="1199" t="s">
        <v>74</v>
      </c>
      <c r="B658" s="1200" t="s">
        <v>362</v>
      </c>
      <c r="C658" s="1200"/>
      <c r="D658" s="1200"/>
      <c r="E658" s="436"/>
      <c r="F658" s="436" t="s">
        <v>869</v>
      </c>
      <c r="AB658" s="618" t="str">
        <f>IF(AND(B664&lt;&gt;$B$3008,B669&lt;&gt;$B$3008,B674&lt;&gt;$B$3008,B680&lt;&gt;$B$3008,B685&lt;&gt;$B$3008,B690&lt;&gt;$B$3008,B696&lt;&gt;$B$3008),"No significant demonstrated innocence. ",CONCATENATE(AJ658,AM658,AN658,AO658,AP658,AQ658,AR658,AS658,AT658,AU658,AV658,AW658,AX658,AY658,AZ658,BA658))</f>
        <v xml:space="preserve">No significant demonstrated innocence. </v>
      </c>
      <c r="AJ658" s="48" t="s">
        <v>4032</v>
      </c>
      <c r="AM658" s="48" t="str">
        <f>IF(AM660="","",AM660)</f>
        <v/>
      </c>
      <c r="AN658" s="48" t="str">
        <f>IF(AO658="","",", ")</f>
        <v/>
      </c>
      <c r="AO658" s="48" t="str">
        <f>AM665</f>
        <v/>
      </c>
      <c r="AP658" s="48" t="str">
        <f>IF(AQ658="","",", ")</f>
        <v/>
      </c>
      <c r="AQ658" s="48" t="str">
        <f>AM670</f>
        <v/>
      </c>
      <c r="AR658" s="48" t="str">
        <f>IF(AS658="","",", ")</f>
        <v/>
      </c>
      <c r="AS658" s="48" t="str">
        <f>AM676</f>
        <v/>
      </c>
      <c r="AT658" s="48" t="str">
        <f>IF(AU658="","",", ")</f>
        <v/>
      </c>
      <c r="AU658" s="48" t="str">
        <f>AM681</f>
        <v/>
      </c>
      <c r="AV658" s="48" t="str">
        <f>IF(AW658="","",", ")</f>
        <v/>
      </c>
      <c r="AW658" s="48" t="str">
        <f>IF(AX658="","",", ")</f>
        <v/>
      </c>
      <c r="AX658" s="48" t="str">
        <f>AM686</f>
        <v/>
      </c>
      <c r="AY658" s="48" t="str">
        <f>IF(AZ658="","",", ")</f>
        <v/>
      </c>
      <c r="AZ658" s="48" t="str">
        <f>AM692</f>
        <v/>
      </c>
      <c r="BA658" s="48" t="s">
        <v>4031</v>
      </c>
    </row>
    <row r="659" spans="1:62" ht="20" customHeight="1" x14ac:dyDescent="0.3">
      <c r="A659" s="97" t="s">
        <v>363</v>
      </c>
      <c r="B659" s="98"/>
      <c r="C659" s="98"/>
      <c r="D659" s="98"/>
      <c r="E659" s="99"/>
      <c r="F659" s="97"/>
      <c r="AA659" s="175"/>
      <c r="AB659" s="175">
        <v>0</v>
      </c>
      <c r="AC659" s="176">
        <f>AD659/2</f>
        <v>0.25</v>
      </c>
      <c r="AD659" s="177">
        <f>AE659/2</f>
        <v>0.5</v>
      </c>
      <c r="AE659" s="178">
        <v>1</v>
      </c>
      <c r="AF659" s="109"/>
      <c r="AG659" s="109"/>
      <c r="AH659" s="109"/>
      <c r="AI659" s="109"/>
      <c r="AJ659" s="109"/>
      <c r="AK659" s="109"/>
      <c r="AL659" s="109"/>
      <c r="AM659" s="109"/>
      <c r="AN659" s="179">
        <f>AE659*-2</f>
        <v>-2</v>
      </c>
      <c r="AO659" s="175">
        <f>AE659*-1</f>
        <v>-1</v>
      </c>
      <c r="AP659" s="175">
        <f>AD659*-1</f>
        <v>-0.5</v>
      </c>
      <c r="AQ659" s="180">
        <f>AE659*-0.1</f>
        <v>-0.1</v>
      </c>
      <c r="AR659" s="180">
        <v>0</v>
      </c>
      <c r="AS659" s="180">
        <f>AE659*0.1</f>
        <v>0.1</v>
      </c>
      <c r="AT659" s="177">
        <f>AD659</f>
        <v>0.5</v>
      </c>
      <c r="AU659" s="178">
        <f>AE659</f>
        <v>1</v>
      </c>
      <c r="AV659" s="181"/>
      <c r="AW659" s="109"/>
      <c r="AX659" s="109"/>
      <c r="AY659" s="109"/>
      <c r="AZ659" s="109"/>
      <c r="BA659" s="109"/>
      <c r="BB659" s="182"/>
      <c r="BC659" s="109"/>
      <c r="BD659" s="109"/>
      <c r="BE659" s="109"/>
      <c r="BF659" s="109"/>
      <c r="BG659" s="213">
        <f>BG625</f>
        <v>0</v>
      </c>
    </row>
    <row r="660" spans="1:62" ht="15.5" x14ac:dyDescent="0.3">
      <c r="A660" s="184">
        <f>A652+1</f>
        <v>39</v>
      </c>
      <c r="B660" s="184" t="s">
        <v>364</v>
      </c>
      <c r="C660" s="184"/>
      <c r="D660" s="185" t="str">
        <f>IF(B662="","If claimed, explain in white box below.","")</f>
        <v>If claimed, explain in white box below.</v>
      </c>
      <c r="E660" s="187"/>
      <c r="F660" s="1"/>
      <c r="AB660" s="48">
        <f>A660</f>
        <v>39</v>
      </c>
      <c r="AC660" s="48" t="s">
        <v>4012</v>
      </c>
    </row>
    <row r="661" spans="1:62" ht="28" customHeight="1" x14ac:dyDescent="0.3">
      <c r="A661" s="186"/>
      <c r="B661" s="1031" t="s">
        <v>365</v>
      </c>
      <c r="C661" s="1032"/>
      <c r="D661" s="1033"/>
      <c r="E661" s="187"/>
      <c r="F661" s="1"/>
    </row>
    <row r="662" spans="1:62" ht="138" customHeight="1" thickBot="1" x14ac:dyDescent="0.35">
      <c r="A662" s="186"/>
      <c r="B662" s="1026"/>
      <c r="C662" s="1027"/>
      <c r="D662" s="1028"/>
      <c r="E662" s="187"/>
      <c r="F662" s="1"/>
      <c r="AA662" s="48">
        <f>AA654+1</f>
        <v>25</v>
      </c>
      <c r="AB662" s="849">
        <f>IF(B664="",0,1)</f>
        <v>0</v>
      </c>
      <c r="AC662" s="853">
        <f>IF(B664=B$3005,D$3005,IF(B664=B$3006,D$3006,IF(B664=B$3007,D$3007,IF(B664=B$3008,D$3008,0))))</f>
        <v>0</v>
      </c>
      <c r="AE662" s="850">
        <f>IF(D664=B$3019,E$3019,IF(D664=B$3020,E$3020,IF(D664=B$3021,E$3021,IF(D664=B$3022,E$3022,IF(D664=B$3023,E$3023,IF(D664=B$3024,E$3024,IF(D664=B$3025,E$3025,IF(D664=B$3026,E$3026,D30546))))))))</f>
        <v>0</v>
      </c>
    </row>
    <row r="663" spans="1:62" ht="15" thickTop="1" thickBot="1" x14ac:dyDescent="0.35">
      <c r="A663" s="186"/>
      <c r="B663" s="188" t="str">
        <f>IF(B662="","","Claimed?")</f>
        <v/>
      </c>
      <c r="C663" s="188" t="str">
        <f>IF(B663="","","Verifiable?")</f>
        <v/>
      </c>
      <c r="D663" s="189" t="str">
        <f>IF(C664="","","Independent verification")</f>
        <v/>
      </c>
      <c r="E663" s="1029">
        <f>BI664</f>
        <v>0</v>
      </c>
      <c r="F663" s="1030"/>
      <c r="AA663" s="52"/>
      <c r="AB663" s="52" t="s">
        <v>278</v>
      </c>
      <c r="AF663" s="204"/>
      <c r="AG663" s="52" t="s">
        <v>279</v>
      </c>
      <c r="AM663" s="205"/>
      <c r="AN663" s="52" t="s">
        <v>280</v>
      </c>
      <c r="AV663" s="206"/>
      <c r="AX663" s="191" t="s">
        <v>281</v>
      </c>
      <c r="AZ663" s="192" t="s">
        <v>282</v>
      </c>
      <c r="BB663" s="193" t="s">
        <v>283</v>
      </c>
      <c r="BD663" s="192" t="s">
        <v>284</v>
      </c>
      <c r="BG663" s="194" t="s">
        <v>290</v>
      </c>
      <c r="BH663" s="195" t="s">
        <v>291</v>
      </c>
      <c r="BI663" s="194" t="s">
        <v>285</v>
      </c>
      <c r="BJ663" s="195" t="s">
        <v>286</v>
      </c>
    </row>
    <row r="664" spans="1:62" ht="15" thickTop="1" thickBot="1" x14ac:dyDescent="0.35">
      <c r="A664" s="186"/>
      <c r="B664" s="196"/>
      <c r="C664" s="197"/>
      <c r="D664" s="207"/>
      <c r="E664" s="1029">
        <f>BJ664</f>
        <v>0</v>
      </c>
      <c r="F664" s="1030"/>
      <c r="AA664" s="101"/>
      <c r="AB664" s="101">
        <f>IF(B664=$B$3005,$AB$522,0)</f>
        <v>0</v>
      </c>
      <c r="AC664" s="101">
        <f>IF(B664=$B$3006,$AC$522,0)</f>
        <v>0</v>
      </c>
      <c r="AD664" s="101">
        <f>IF(B664=$B$3007,$AD$522,0)</f>
        <v>0</v>
      </c>
      <c r="AE664" s="101">
        <f>IF(B664=$B$3008,$AE$522,0)</f>
        <v>0</v>
      </c>
      <c r="AF664" s="208">
        <f>SUM(AB664:AE664)</f>
        <v>0</v>
      </c>
      <c r="AG664" s="101">
        <f>IF(C664=$B$3011,$E$3011,0)</f>
        <v>0</v>
      </c>
      <c r="AH664" s="101">
        <f>IF(C664=$B$3012,$E$3012,0)</f>
        <v>0</v>
      </c>
      <c r="AI664" s="101">
        <f>IF(C664=$B$3013,$E$3013,0)</f>
        <v>0</v>
      </c>
      <c r="AJ664" s="101">
        <f>IF(C664=$B$3014,$E$3014,0)</f>
        <v>0</v>
      </c>
      <c r="AK664" s="101">
        <f>IF(C664=$B$3015,$E$3015,0)</f>
        <v>0</v>
      </c>
      <c r="AL664" s="101">
        <f>IF(C664=$B$3016,$E$3016,0)</f>
        <v>0</v>
      </c>
      <c r="AM664" s="209">
        <f>SUM(AG664:AL664)</f>
        <v>0</v>
      </c>
      <c r="AN664" s="101">
        <f>IF($D664=$B$3019,AN$522,0)</f>
        <v>0</v>
      </c>
      <c r="AO664" s="101">
        <f>IF($D664=$B$3020,AO$522,0)</f>
        <v>0</v>
      </c>
      <c r="AP664" s="101">
        <f>IF($D664=$B$3021,AP$522,0)</f>
        <v>0</v>
      </c>
      <c r="AQ664" s="101">
        <f>IF($D664=$B$3022,AQ$522,0)</f>
        <v>0</v>
      </c>
      <c r="AR664" s="101">
        <f>IF($D664=$B$3023,AR$522,0)</f>
        <v>0</v>
      </c>
      <c r="AS664" s="101">
        <f>IF($D664=$B$3024,AS$522,0)</f>
        <v>0</v>
      </c>
      <c r="AT664" s="101">
        <f>IF($D664=$B$3025,AT$522,0)</f>
        <v>0</v>
      </c>
      <c r="AU664" s="101">
        <f>IF($D664=$B$3026,AU$522,0)</f>
        <v>0</v>
      </c>
      <c r="AV664" s="210">
        <f>SUM(AN664:AU664)</f>
        <v>0</v>
      </c>
      <c r="AX664" s="200">
        <f>AF664*AM664</f>
        <v>0</v>
      </c>
      <c r="AZ664" s="146">
        <f>AX664+(AV664*AM664)</f>
        <v>0</v>
      </c>
      <c r="BB664" s="201">
        <f>(AF664*AM664)*0.01</f>
        <v>0</v>
      </c>
      <c r="BD664" s="202">
        <f>AZ664*0.01</f>
        <v>0</v>
      </c>
      <c r="BE664" s="377"/>
      <c r="BG664" s="201">
        <f>IF(AF664&gt;0,BG656+BB664,BG656)</f>
        <v>0</v>
      </c>
      <c r="BH664" s="202">
        <f>IF(AV664&gt;0,BH656+BD664,BH656)</f>
        <v>0</v>
      </c>
      <c r="BI664" s="201">
        <f>IF(BG664&gt;0.99,0.99,BG664)</f>
        <v>0</v>
      </c>
      <c r="BJ664" s="202">
        <f>IF(BH664&gt;0.99,0.99,BH664)</f>
        <v>0</v>
      </c>
    </row>
    <row r="665" spans="1:62" ht="16" thickTop="1" x14ac:dyDescent="0.3">
      <c r="A665" s="184">
        <f>A660+1</f>
        <v>40</v>
      </c>
      <c r="B665" s="184" t="s">
        <v>157</v>
      </c>
      <c r="C665" s="184"/>
      <c r="D665" s="185" t="str">
        <f>IF(B667="","If claimed, explain in white box below.","")</f>
        <v>If claimed, explain in white box below.</v>
      </c>
      <c r="E665" s="187"/>
      <c r="F665" s="1"/>
      <c r="AB665" s="48">
        <f>A665</f>
        <v>40</v>
      </c>
      <c r="AC665" s="48" t="s">
        <v>4011</v>
      </c>
      <c r="AK665" s="620">
        <f>IF(AL665=0,0,1)</f>
        <v>0</v>
      </c>
      <c r="AL665" s="48">
        <f>IF(B669=B$3005,E$3005,IF(B669=B$3006,E$3006,IF(B669=B$3007,E$3007,IF(B669=B$3008,E$3008,0))))</f>
        <v>0</v>
      </c>
      <c r="AM665" s="233" t="str">
        <f>IF(AL665=$E$3008,AC665,"")</f>
        <v/>
      </c>
    </row>
    <row r="666" spans="1:62" x14ac:dyDescent="0.3">
      <c r="A666" s="186"/>
      <c r="B666" s="1031" t="s">
        <v>367</v>
      </c>
      <c r="C666" s="1032"/>
      <c r="D666" s="1033"/>
      <c r="E666" s="187"/>
      <c r="F666" s="1"/>
    </row>
    <row r="667" spans="1:62" ht="138" customHeight="1" thickBot="1" x14ac:dyDescent="0.35">
      <c r="A667" s="186"/>
      <c r="B667" s="1026"/>
      <c r="C667" s="1027"/>
      <c r="D667" s="1028"/>
      <c r="E667" s="187"/>
      <c r="F667" s="1"/>
      <c r="AA667" s="48">
        <f>AA662+1</f>
        <v>26</v>
      </c>
      <c r="AB667" s="849">
        <f>IF(B669="",0,1)</f>
        <v>0</v>
      </c>
      <c r="AC667" s="853">
        <f>IF(B669=B$3005,D$3005,IF(B669=B$3006,D$3006,IF(B669=B$3007,D$3007,IF(B669=B$3008,D$3008,0))))</f>
        <v>0</v>
      </c>
      <c r="AE667" s="850">
        <f>IF(D669=B$3019,E$3019,IF(D669=B$3020,E$3020,IF(D669=B$3021,E$3021,IF(D669=B$3022,E$3022,IF(D669=B$3023,E$3023,IF(D669=B$3024,E$3024,IF(D669=B$3025,E$3025,IF(D669=B$3026,E$3026,D30551))))))))</f>
        <v>0</v>
      </c>
    </row>
    <row r="668" spans="1:62" ht="15" thickTop="1" thickBot="1" x14ac:dyDescent="0.35">
      <c r="A668" s="186"/>
      <c r="B668" s="188" t="str">
        <f>IF(B667="","","Claimed?")</f>
        <v/>
      </c>
      <c r="C668" s="188" t="str">
        <f>IF(B668="","","Verifiable?")</f>
        <v/>
      </c>
      <c r="D668" s="189" t="str">
        <f>IF(C669="","","Independent verification")</f>
        <v/>
      </c>
      <c r="E668" s="1029">
        <f>BI669</f>
        <v>0</v>
      </c>
      <c r="F668" s="1030"/>
      <c r="AA668" s="52"/>
      <c r="AB668" s="52" t="s">
        <v>278</v>
      </c>
      <c r="AF668" s="204"/>
      <c r="AG668" s="52" t="s">
        <v>279</v>
      </c>
      <c r="AM668" s="205"/>
      <c r="AN668" s="52" t="s">
        <v>280</v>
      </c>
      <c r="AV668" s="206"/>
      <c r="AX668" s="191" t="s">
        <v>281</v>
      </c>
      <c r="AZ668" s="192" t="s">
        <v>282</v>
      </c>
      <c r="BB668" s="193" t="s">
        <v>283</v>
      </c>
      <c r="BD668" s="192" t="s">
        <v>284</v>
      </c>
      <c r="BG668" s="194" t="s">
        <v>290</v>
      </c>
      <c r="BH668" s="195" t="s">
        <v>291</v>
      </c>
      <c r="BI668" s="194" t="s">
        <v>285</v>
      </c>
      <c r="BJ668" s="195" t="s">
        <v>286</v>
      </c>
    </row>
    <row r="669" spans="1:62" ht="15" thickTop="1" thickBot="1" x14ac:dyDescent="0.35">
      <c r="A669" s="186"/>
      <c r="B669" s="196"/>
      <c r="C669" s="197"/>
      <c r="D669" s="207"/>
      <c r="E669" s="1029">
        <f>BJ669</f>
        <v>0</v>
      </c>
      <c r="F669" s="1030"/>
      <c r="AA669" s="101"/>
      <c r="AB669" s="101">
        <f>IF(B669=$B$3005,$AB$522,0)</f>
        <v>0</v>
      </c>
      <c r="AC669" s="101">
        <f>IF(B669=$B$3006,$AC$522,0)</f>
        <v>0</v>
      </c>
      <c r="AD669" s="101">
        <f>IF(B669=$B$3007,$AD$522,0)</f>
        <v>0</v>
      </c>
      <c r="AE669" s="101">
        <f>IF(B669=$B$3008,$AE$522,0)</f>
        <v>0</v>
      </c>
      <c r="AF669" s="208">
        <f>SUM(AB669:AE669)</f>
        <v>0</v>
      </c>
      <c r="AG669" s="101">
        <f>IF(C669=$B$3011,$E$3011,0)</f>
        <v>0</v>
      </c>
      <c r="AH669" s="101">
        <f>IF(C669=$B$3012,$E$3012,0)</f>
        <v>0</v>
      </c>
      <c r="AI669" s="101">
        <f>IF(C669=$B$3013,$E$3013,0)</f>
        <v>0</v>
      </c>
      <c r="AJ669" s="101">
        <f>IF(C669=$B$3014,$E$3014,0)</f>
        <v>0</v>
      </c>
      <c r="AK669" s="101">
        <f>IF(C669=$B$3015,$E$3015,0)</f>
        <v>0</v>
      </c>
      <c r="AL669" s="101">
        <f>IF(C669=$B$3016,$E$3016,0)</f>
        <v>0</v>
      </c>
      <c r="AM669" s="209">
        <f>SUM(AG669:AL669)</f>
        <v>0</v>
      </c>
      <c r="AN669" s="101">
        <f>IF($D669=$B$3019,AN$522,0)</f>
        <v>0</v>
      </c>
      <c r="AO669" s="101">
        <f>IF($D669=$B$3020,AO$522,0)</f>
        <v>0</v>
      </c>
      <c r="AP669" s="101">
        <f>IF($D669=$B$3021,AP$522,0)</f>
        <v>0</v>
      </c>
      <c r="AQ669" s="101">
        <f>IF($D669=$B$3022,AQ$522,0)</f>
        <v>0</v>
      </c>
      <c r="AR669" s="101">
        <f>IF($D669=$B$3023,AR$522,0)</f>
        <v>0</v>
      </c>
      <c r="AS669" s="101">
        <f>IF($D669=$B$3024,AS$522,0)</f>
        <v>0</v>
      </c>
      <c r="AT669" s="101">
        <f>IF($D669=$B$3025,AT$522,0)</f>
        <v>0</v>
      </c>
      <c r="AU669" s="101">
        <f>IF($D669=$B$3026,AU$522,0)</f>
        <v>0</v>
      </c>
      <c r="AV669" s="210">
        <f>SUM(AN669:AU669)</f>
        <v>0</v>
      </c>
      <c r="AX669" s="200">
        <f>AF669*AM669</f>
        <v>0</v>
      </c>
      <c r="AZ669" s="146">
        <f>AX669+(AV669*AM669)</f>
        <v>0</v>
      </c>
      <c r="BB669" s="201">
        <f>(AF669*AM669)*0.01</f>
        <v>0</v>
      </c>
      <c r="BD669" s="202">
        <f>AZ669*0.01</f>
        <v>0</v>
      </c>
      <c r="BE669" s="377"/>
      <c r="BG669" s="201">
        <f>IF(AF669&gt;0,BG664+BB669,BG664)</f>
        <v>0</v>
      </c>
      <c r="BH669" s="202">
        <f>IF(AV669&gt;0,BH664+BD669,BH664)</f>
        <v>0</v>
      </c>
      <c r="BI669" s="201">
        <f>IF(BG669&gt;0.99,0.99,BG669)</f>
        <v>0</v>
      </c>
      <c r="BJ669" s="202">
        <f>IF(BH669&gt;0.99,0.99,BH669)</f>
        <v>0</v>
      </c>
    </row>
    <row r="670" spans="1:62" ht="16" thickTop="1" x14ac:dyDescent="0.3">
      <c r="A670" s="184">
        <f>A665+1</f>
        <v>41</v>
      </c>
      <c r="B670" s="184" t="s">
        <v>369</v>
      </c>
      <c r="C670" s="184"/>
      <c r="D670" s="185" t="str">
        <f>IF(B672="","If claimed, explain in white box below.","")</f>
        <v>If claimed, explain in white box below.</v>
      </c>
      <c r="E670" s="187"/>
      <c r="F670" s="1"/>
      <c r="AB670" s="48">
        <f>A670</f>
        <v>41</v>
      </c>
      <c r="AC670" s="48" t="s">
        <v>4010</v>
      </c>
      <c r="AK670" s="620">
        <f>IF(AL670=0,0,1)</f>
        <v>0</v>
      </c>
      <c r="AL670" s="48">
        <f>IF(B674=B$3005,E$3005,IF(B674=B$3006,E$3006,IF(B674=B$3007,E$3007,IF(B674=B$3008,E$3008,0))))</f>
        <v>0</v>
      </c>
      <c r="AM670" s="233" t="str">
        <f>IF(AL670=$E$3008,AC670,"")</f>
        <v/>
      </c>
    </row>
    <row r="671" spans="1:62" ht="28" customHeight="1" x14ac:dyDescent="0.3">
      <c r="A671" s="186"/>
      <c r="B671" s="1031" t="s">
        <v>370</v>
      </c>
      <c r="C671" s="1032"/>
      <c r="D671" s="1033"/>
      <c r="E671" s="187"/>
      <c r="F671" s="1"/>
    </row>
    <row r="672" spans="1:62" ht="138" customHeight="1" thickBot="1" x14ac:dyDescent="0.35">
      <c r="A672" s="186"/>
      <c r="B672" s="1026"/>
      <c r="C672" s="1027"/>
      <c r="D672" s="1028"/>
      <c r="E672" s="187"/>
      <c r="F672" s="1"/>
      <c r="AA672" s="48">
        <f>AA667+1</f>
        <v>27</v>
      </c>
      <c r="AB672" s="849">
        <f>IF(B674="",0,1)</f>
        <v>0</v>
      </c>
      <c r="AC672" s="853">
        <f>IF(B674=B$3005,D$3005,IF(B674=B$3006,D$3006,IF(B674=B$3007,D$3007,IF(B674=B$3008,D$3008,0))))</f>
        <v>0</v>
      </c>
      <c r="AE672" s="850">
        <f>IF(D674=B$3019,E$3019,IF(D674=B$3020,E$3020,IF(D674=B$3021,E$3021,IF(D674=B$3022,E$3022,IF(D674=B$3023,E$3023,IF(D674=B$3024,E$3024,IF(D674=B$3025,E$3025,IF(D674=B$3026,E$3026,D30556))))))))</f>
        <v>0</v>
      </c>
    </row>
    <row r="673" spans="1:62" ht="15" thickTop="1" thickBot="1" x14ac:dyDescent="0.35">
      <c r="A673" s="186"/>
      <c r="B673" s="188" t="str">
        <f>IF(B672="","","Claimed?")</f>
        <v/>
      </c>
      <c r="C673" s="188" t="str">
        <f>IF(B673="","","Verifiable?")</f>
        <v/>
      </c>
      <c r="D673" s="189" t="str">
        <f>IF(C674="","","Independent verification")</f>
        <v/>
      </c>
      <c r="E673" s="1029">
        <f>BI674</f>
        <v>0</v>
      </c>
      <c r="F673" s="1030"/>
      <c r="AA673" s="52"/>
      <c r="AB673" s="52" t="s">
        <v>278</v>
      </c>
      <c r="AF673" s="204"/>
      <c r="AG673" s="52" t="s">
        <v>279</v>
      </c>
      <c r="AM673" s="205"/>
      <c r="AN673" s="52" t="s">
        <v>280</v>
      </c>
      <c r="AV673" s="206"/>
      <c r="AX673" s="191" t="s">
        <v>281</v>
      </c>
      <c r="AZ673" s="192" t="s">
        <v>282</v>
      </c>
      <c r="BB673" s="193" t="s">
        <v>283</v>
      </c>
      <c r="BD673" s="192" t="s">
        <v>284</v>
      </c>
      <c r="BG673" s="194" t="s">
        <v>290</v>
      </c>
      <c r="BH673" s="195" t="s">
        <v>291</v>
      </c>
      <c r="BI673" s="194" t="s">
        <v>285</v>
      </c>
      <c r="BJ673" s="195" t="s">
        <v>286</v>
      </c>
    </row>
    <row r="674" spans="1:62" ht="15" thickTop="1" thickBot="1" x14ac:dyDescent="0.35">
      <c r="A674" s="186"/>
      <c r="B674" s="196"/>
      <c r="C674" s="197"/>
      <c r="D674" s="207"/>
      <c r="E674" s="1029">
        <f>BJ674</f>
        <v>0</v>
      </c>
      <c r="F674" s="1030"/>
      <c r="AA674" s="101"/>
      <c r="AB674" s="101">
        <f>IF(B674=$B$3005,$AB$522,0)</f>
        <v>0</v>
      </c>
      <c r="AC674" s="101">
        <f>IF(B674=$B$3006,$AC$522,0)</f>
        <v>0</v>
      </c>
      <c r="AD674" s="101">
        <f>IF(B674=$B$3007,$AD$522,0)</f>
        <v>0</v>
      </c>
      <c r="AE674" s="101">
        <f>IF(B674=$B$3008,$AE$522,0)</f>
        <v>0</v>
      </c>
      <c r="AF674" s="208">
        <f>SUM(AB674:AE674)</f>
        <v>0</v>
      </c>
      <c r="AG674" s="101">
        <f>IF(C674=$B$3011,$E$3011,0)</f>
        <v>0</v>
      </c>
      <c r="AH674" s="101">
        <f>IF(C674=$B$3012,$E$3012,0)</f>
        <v>0</v>
      </c>
      <c r="AI674" s="101">
        <f>IF(C674=$B$3013,$E$3013,0)</f>
        <v>0</v>
      </c>
      <c r="AJ674" s="101">
        <f>IF(C674=$B$3014,$E$3014,0)</f>
        <v>0</v>
      </c>
      <c r="AK674" s="101">
        <f>IF(C674=$B$3015,$E$3015,0)</f>
        <v>0</v>
      </c>
      <c r="AL674" s="101">
        <f>IF(C674=$B$3016,$E$3016,0)</f>
        <v>0</v>
      </c>
      <c r="AM674" s="209">
        <f>SUM(AG674:AL674)</f>
        <v>0</v>
      </c>
      <c r="AN674" s="101">
        <f>IF($D674=$B$3019,AN$522,0)</f>
        <v>0</v>
      </c>
      <c r="AO674" s="101">
        <f>IF($D674=$B$3020,AO$522,0)</f>
        <v>0</v>
      </c>
      <c r="AP674" s="101">
        <f>IF($D674=$B$3021,AP$522,0)</f>
        <v>0</v>
      </c>
      <c r="AQ674" s="101">
        <f>IF($D674=$B$3022,AQ$522,0)</f>
        <v>0</v>
      </c>
      <c r="AR674" s="101">
        <f>IF($D674=$B$3023,AR$522,0)</f>
        <v>0</v>
      </c>
      <c r="AS674" s="101">
        <f>IF($D674=$B$3024,AS$522,0)</f>
        <v>0</v>
      </c>
      <c r="AT674" s="101">
        <f>IF($D674=$B$3025,AT$522,0)</f>
        <v>0</v>
      </c>
      <c r="AU674" s="101">
        <f>IF($D674=$B$3026,AU$522,0)</f>
        <v>0</v>
      </c>
      <c r="AV674" s="210">
        <f>SUM(AN674:AU674)</f>
        <v>0</v>
      </c>
      <c r="AX674" s="200">
        <f>AF674*AM674</f>
        <v>0</v>
      </c>
      <c r="AZ674" s="146">
        <f>AX674+(AV674*AM674)</f>
        <v>0</v>
      </c>
      <c r="BB674" s="201">
        <f>(AF674*AM674)*0.01</f>
        <v>0</v>
      </c>
      <c r="BD674" s="202">
        <f>AZ674*0.01</f>
        <v>0</v>
      </c>
      <c r="BE674" s="377"/>
      <c r="BG674" s="201">
        <f>IF(AF674&gt;0,BG669+BB674,BG669)</f>
        <v>0</v>
      </c>
      <c r="BH674" s="202">
        <f>IF(AV674&gt;0,BH669+BD674,BH669)</f>
        <v>0</v>
      </c>
      <c r="BI674" s="201">
        <f>IF(BG674&gt;0.99,0.99,BG674)</f>
        <v>0</v>
      </c>
      <c r="BJ674" s="202">
        <f>IF(BH674&gt;0.99,0.99,BH674)</f>
        <v>0</v>
      </c>
    </row>
    <row r="675" spans="1:62" ht="5" customHeight="1" thickTop="1" x14ac:dyDescent="0.3">
      <c r="A675" s="187"/>
      <c r="B675" s="187"/>
      <c r="C675" s="187"/>
      <c r="D675" s="187"/>
      <c r="E675" s="187"/>
      <c r="F675" s="1"/>
    </row>
    <row r="676" spans="1:62" ht="15.5" x14ac:dyDescent="0.3">
      <c r="A676" s="184">
        <f>A670+1</f>
        <v>42</v>
      </c>
      <c r="B676" s="184" t="s">
        <v>372</v>
      </c>
      <c r="C676" s="184"/>
      <c r="D676" s="185" t="str">
        <f>IF(B678="","If claimed, explain in white box below.","")</f>
        <v>If claimed, explain in white box below.</v>
      </c>
      <c r="E676" s="187"/>
      <c r="F676" s="1"/>
      <c r="AB676" s="48">
        <f>A676</f>
        <v>42</v>
      </c>
      <c r="AC676" s="48" t="s">
        <v>4009</v>
      </c>
      <c r="AK676" s="620">
        <f>IF(AL676=0,0,1)</f>
        <v>0</v>
      </c>
      <c r="AL676" s="48">
        <f>IF(B680=B$3005,E$3005,IF(B680=B$3006,E$3006,IF(B680=B$3007,E$3007,IF(B680=B$3008,E$3008,0))))</f>
        <v>0</v>
      </c>
      <c r="AM676" s="233" t="str">
        <f>IF(AL676=$E$3008,AC676,"")</f>
        <v/>
      </c>
    </row>
    <row r="677" spans="1:62" ht="28" customHeight="1" x14ac:dyDescent="0.3">
      <c r="A677" s="186"/>
      <c r="B677" s="1031" t="s">
        <v>3648</v>
      </c>
      <c r="C677" s="1032"/>
      <c r="D677" s="1033"/>
      <c r="E677" s="187"/>
      <c r="F677" s="1"/>
      <c r="AC677" s="48" t="s">
        <v>4008</v>
      </c>
    </row>
    <row r="678" spans="1:62" ht="158" customHeight="1" thickBot="1" x14ac:dyDescent="0.35">
      <c r="A678" s="186"/>
      <c r="B678" s="1026"/>
      <c r="C678" s="1027"/>
      <c r="D678" s="1028"/>
      <c r="E678" s="187"/>
      <c r="F678" s="1"/>
      <c r="AA678" s="48">
        <f>AA672+1</f>
        <v>28</v>
      </c>
      <c r="AB678" s="849">
        <f>IF(B680="",0,1)</f>
        <v>0</v>
      </c>
      <c r="AC678" s="853">
        <f>IF(B680=B$3005,D$3005,IF(B680=B$3006,D$3006,IF(B680=B$3007,D$3007,IF(B680=B$3008,D$3008,0))))</f>
        <v>0</v>
      </c>
      <c r="AE678" s="850">
        <f>IF(D680=B$3019,E$3019,IF(D680=B$3020,E$3020,IF(D680=B$3021,E$3021,IF(D680=B$3022,E$3022,IF(D680=B$3023,E$3023,IF(D680=B$3024,E$3024,IF(D680=B$3025,E$3025,IF(D680=B$3026,E$3026,D30562))))))))</f>
        <v>0</v>
      </c>
    </row>
    <row r="679" spans="1:62" ht="15" thickTop="1" thickBot="1" x14ac:dyDescent="0.35">
      <c r="A679" s="186"/>
      <c r="B679" s="188" t="str">
        <f>IF(B678="","","Claimed?")</f>
        <v/>
      </c>
      <c r="C679" s="188" t="str">
        <f>IF(B679="","","Verifiable?")</f>
        <v/>
      </c>
      <c r="D679" s="189" t="str">
        <f>IF(C680="","","Independent verification")</f>
        <v/>
      </c>
      <c r="E679" s="1029">
        <f>BI680</f>
        <v>0</v>
      </c>
      <c r="F679" s="1030"/>
      <c r="AA679" s="52"/>
      <c r="AB679" s="52" t="s">
        <v>278</v>
      </c>
      <c r="AF679" s="204"/>
      <c r="AG679" s="52" t="s">
        <v>279</v>
      </c>
      <c r="AM679" s="205"/>
      <c r="AN679" s="52" t="s">
        <v>280</v>
      </c>
      <c r="AV679" s="206"/>
      <c r="AX679" s="191" t="s">
        <v>281</v>
      </c>
      <c r="AZ679" s="192" t="s">
        <v>282</v>
      </c>
      <c r="BB679" s="193" t="s">
        <v>283</v>
      </c>
      <c r="BD679" s="192" t="s">
        <v>284</v>
      </c>
      <c r="BG679" s="194" t="s">
        <v>290</v>
      </c>
      <c r="BH679" s="195" t="s">
        <v>291</v>
      </c>
      <c r="BI679" s="194" t="s">
        <v>285</v>
      </c>
      <c r="BJ679" s="195" t="s">
        <v>286</v>
      </c>
    </row>
    <row r="680" spans="1:62" ht="15" thickTop="1" thickBot="1" x14ac:dyDescent="0.35">
      <c r="A680" s="186"/>
      <c r="B680" s="196"/>
      <c r="C680" s="197"/>
      <c r="D680" s="207"/>
      <c r="E680" s="1029">
        <f>BJ680</f>
        <v>0</v>
      </c>
      <c r="F680" s="1030"/>
      <c r="AA680" s="101"/>
      <c r="AB680" s="101">
        <f>IF(B680=$B$3005,$AB$522,0)</f>
        <v>0</v>
      </c>
      <c r="AC680" s="101">
        <f>IF(B680=$B$3006,$AC$522,0)</f>
        <v>0</v>
      </c>
      <c r="AD680" s="101">
        <f>IF(B680=$B$3007,$AD$522,0)</f>
        <v>0</v>
      </c>
      <c r="AE680" s="101">
        <f>IF(B680=$B$3008,$AE$522,0)</f>
        <v>0</v>
      </c>
      <c r="AF680" s="216">
        <f>SUM(AB680:AE680)</f>
        <v>0</v>
      </c>
      <c r="AG680" s="101">
        <f>IF(C680=$B$3011,$E$3011,0)</f>
        <v>0</v>
      </c>
      <c r="AH680" s="101">
        <f>IF(C680=$B$3012,$E$3012,0)</f>
        <v>0</v>
      </c>
      <c r="AI680" s="101">
        <f>IF(C680=$B$3013,$E$3013,0)</f>
        <v>0</v>
      </c>
      <c r="AJ680" s="101">
        <f>IF(C680=$B$3014,$E$3014,0)</f>
        <v>0</v>
      </c>
      <c r="AK680" s="101">
        <f>IF(C680=$B$3015,$E$3015,0)</f>
        <v>0</v>
      </c>
      <c r="AL680" s="101">
        <f>IF(C680=$B$3016,$E$3016,0)</f>
        <v>0</v>
      </c>
      <c r="AM680" s="209">
        <f>SUM(AG680:AL680)</f>
        <v>0</v>
      </c>
      <c r="AN680" s="101">
        <f>IF($D680=$B$3019,AN$522,0)</f>
        <v>0</v>
      </c>
      <c r="AO680" s="101">
        <f>IF($D680=$B$3020,AO$522,0)</f>
        <v>0</v>
      </c>
      <c r="AP680" s="101">
        <f>IF($D680=$B$3021,AP$522,0)</f>
        <v>0</v>
      </c>
      <c r="AQ680" s="101">
        <f>IF($D680=$B$3022,AQ$522,0)</f>
        <v>0</v>
      </c>
      <c r="AR680" s="101">
        <f>IF($D680=$B$3023,AR$522,0)</f>
        <v>0</v>
      </c>
      <c r="AS680" s="101">
        <f>IF($D680=$B$3024,AS$522,0)</f>
        <v>0</v>
      </c>
      <c r="AT680" s="101">
        <f>IF($D680=$B$3025,AT$522,0)</f>
        <v>0</v>
      </c>
      <c r="AU680" s="101">
        <f>IF($D680=$B$3026,AU$522,0)</f>
        <v>0</v>
      </c>
      <c r="AV680" s="210">
        <f>SUM(AN680:AU680)</f>
        <v>0</v>
      </c>
      <c r="AX680" s="200">
        <f>AF680*AM680</f>
        <v>0</v>
      </c>
      <c r="AZ680" s="146">
        <f>AX680+(AV680*AM680)</f>
        <v>0</v>
      </c>
      <c r="BB680" s="201">
        <f>(AF680*AM680)*0.01</f>
        <v>0</v>
      </c>
      <c r="BD680" s="202">
        <f>AZ680*0.01</f>
        <v>0</v>
      </c>
      <c r="BE680" s="377"/>
      <c r="BG680" s="201">
        <f>IF(AF680&gt;0,BG674+BB680,BG674)</f>
        <v>0</v>
      </c>
      <c r="BH680" s="202">
        <f>IF(AV680&gt;0,BH674+BD680,BH674)</f>
        <v>0</v>
      </c>
      <c r="BI680" s="201">
        <f>IF(BG680&gt;0.99,0.99,BG680)</f>
        <v>0</v>
      </c>
      <c r="BJ680" s="202">
        <f>IF(BH680&gt;0.99,0.99,BH680)</f>
        <v>0</v>
      </c>
    </row>
    <row r="681" spans="1:62" ht="16" thickTop="1" x14ac:dyDescent="0.3">
      <c r="A681" s="184">
        <f>A676+1</f>
        <v>43</v>
      </c>
      <c r="B681" s="184" t="s">
        <v>373</v>
      </c>
      <c r="C681" s="184"/>
      <c r="D681" s="185" t="str">
        <f>IF(B683="","If claimed, explain in white box below.","")</f>
        <v>If claimed, explain in white box below.</v>
      </c>
      <c r="E681" s="187"/>
      <c r="F681" s="1"/>
      <c r="AB681" s="48">
        <f>A681</f>
        <v>43</v>
      </c>
      <c r="AC681" s="48" t="s">
        <v>4007</v>
      </c>
      <c r="AK681" s="620">
        <f>IF(AL681=0,0,1)</f>
        <v>0</v>
      </c>
      <c r="AL681" s="48">
        <f>IF(B685=B$3005,E$3005,IF(B685=B$3006,E$3006,IF(B685=B$3007,E$3007,IF(B685=B$3008,E$3008,0))))</f>
        <v>0</v>
      </c>
      <c r="AM681" s="233" t="str">
        <f>IF(AL681=$E$3008,AC681,"")</f>
        <v/>
      </c>
    </row>
    <row r="682" spans="1:62" x14ac:dyDescent="0.3">
      <c r="A682" s="186"/>
      <c r="B682" s="1031" t="s">
        <v>374</v>
      </c>
      <c r="C682" s="1032"/>
      <c r="D682" s="1033"/>
      <c r="E682" s="187"/>
      <c r="F682" s="1"/>
    </row>
    <row r="683" spans="1:62" ht="158" customHeight="1" thickBot="1" x14ac:dyDescent="0.35">
      <c r="A683" s="186"/>
      <c r="B683" s="1026"/>
      <c r="C683" s="1027"/>
      <c r="D683" s="1028"/>
      <c r="E683" s="187"/>
      <c r="F683" s="1"/>
      <c r="AA683" s="48">
        <f>AA678+1</f>
        <v>29</v>
      </c>
      <c r="AB683" s="849">
        <f>IF(B685="",0,1)</f>
        <v>0</v>
      </c>
      <c r="AC683" s="853">
        <f>IF(B685=B$3005,D$3005,IF(B685=B$3006,D$3006,IF(B685=B$3007,D$3007,IF(B685=B$3008,D$3008,0))))</f>
        <v>0</v>
      </c>
      <c r="AE683" s="850">
        <f>IF(D685=B$3019,E$3019,IF(D685=B$3020,E$3020,IF(D685=B$3021,E$3021,IF(D685=B$3022,E$3022,IF(D685=B$3023,E$3023,IF(D685=B$3024,E$3024,IF(D685=B$3025,E$3025,IF(D685=B$3026,E$3026,D30567))))))))</f>
        <v>0</v>
      </c>
    </row>
    <row r="684" spans="1:62" ht="15" thickTop="1" thickBot="1" x14ac:dyDescent="0.35">
      <c r="A684" s="186"/>
      <c r="B684" s="188" t="str">
        <f>IF(B683="","","Claimed?")</f>
        <v/>
      </c>
      <c r="C684" s="188" t="str">
        <f>IF(B684="","","Verifiable?")</f>
        <v/>
      </c>
      <c r="D684" s="189" t="str">
        <f>IF(C685="","","Independent verification")</f>
        <v/>
      </c>
      <c r="E684" s="1029">
        <f>BI685</f>
        <v>0</v>
      </c>
      <c r="F684" s="1030"/>
      <c r="AA684" s="52"/>
      <c r="AB684" s="52" t="s">
        <v>278</v>
      </c>
      <c r="AF684" s="204"/>
      <c r="AG684" s="52" t="s">
        <v>279</v>
      </c>
      <c r="AM684" s="205"/>
      <c r="AN684" s="52" t="s">
        <v>280</v>
      </c>
      <c r="AV684" s="206"/>
      <c r="AX684" s="191" t="s">
        <v>281</v>
      </c>
      <c r="AZ684" s="192" t="s">
        <v>282</v>
      </c>
      <c r="BB684" s="193" t="s">
        <v>283</v>
      </c>
      <c r="BD684" s="192" t="s">
        <v>284</v>
      </c>
      <c r="BG684" s="194" t="s">
        <v>290</v>
      </c>
      <c r="BH684" s="195" t="s">
        <v>291</v>
      </c>
      <c r="BI684" s="194" t="s">
        <v>285</v>
      </c>
      <c r="BJ684" s="195" t="s">
        <v>286</v>
      </c>
    </row>
    <row r="685" spans="1:62" ht="15" thickTop="1" thickBot="1" x14ac:dyDescent="0.35">
      <c r="A685" s="186"/>
      <c r="B685" s="196"/>
      <c r="C685" s="197"/>
      <c r="D685" s="207"/>
      <c r="E685" s="1029">
        <f>BJ685</f>
        <v>0</v>
      </c>
      <c r="F685" s="1030"/>
      <c r="AA685" s="101"/>
      <c r="AB685" s="101">
        <f>IF(B685=$B$3005,$AB$522,0)</f>
        <v>0</v>
      </c>
      <c r="AC685" s="101">
        <f>IF(B685=$B$3006,$AC$522,0)</f>
        <v>0</v>
      </c>
      <c r="AD685" s="101">
        <f>IF(B685=$B$3007,$AD$522,0)</f>
        <v>0</v>
      </c>
      <c r="AE685" s="101">
        <f>IF(B685=$B$3008,$AE$522,0)</f>
        <v>0</v>
      </c>
      <c r="AF685" s="208">
        <f>SUM(AB685:AE685)</f>
        <v>0</v>
      </c>
      <c r="AG685" s="101">
        <f>IF(C685=$B$3011,$E$3011,0)</f>
        <v>0</v>
      </c>
      <c r="AH685" s="101">
        <f>IF(C685=$B$3012,$E$3012,0)</f>
        <v>0</v>
      </c>
      <c r="AI685" s="101">
        <f>IF(C685=$B$3013,$E$3013,0)</f>
        <v>0</v>
      </c>
      <c r="AJ685" s="101">
        <f>IF(C685=$B$3014,$E$3014,0)</f>
        <v>0</v>
      </c>
      <c r="AK685" s="101">
        <f>IF(C685=$B$3015,$E$3015,0)</f>
        <v>0</v>
      </c>
      <c r="AL685" s="101">
        <f>IF(C685=$B$3016,$E$3016,0)</f>
        <v>0</v>
      </c>
      <c r="AM685" s="209">
        <f>SUM(AG685:AL685)</f>
        <v>0</v>
      </c>
      <c r="AN685" s="101">
        <f>IF($D685=$B$3019,AN$522,0)</f>
        <v>0</v>
      </c>
      <c r="AO685" s="101">
        <f>IF($D685=$B$3020,AO$522,0)</f>
        <v>0</v>
      </c>
      <c r="AP685" s="101">
        <f>IF($D685=$B$3021,AP$522,0)</f>
        <v>0</v>
      </c>
      <c r="AQ685" s="101">
        <f>IF($D685=$B$3022,AQ$522,0)</f>
        <v>0</v>
      </c>
      <c r="AR685" s="101">
        <f>IF($D685=$B$3023,AR$522,0)</f>
        <v>0</v>
      </c>
      <c r="AS685" s="101">
        <f>IF($D685=$B$3024,AS$522,0)</f>
        <v>0</v>
      </c>
      <c r="AT685" s="101">
        <f>IF($D685=$B$3025,AT$522,0)</f>
        <v>0</v>
      </c>
      <c r="AU685" s="101">
        <f>IF($D685=$B$3026,AU$522,0)</f>
        <v>0</v>
      </c>
      <c r="AV685" s="210">
        <f>SUM(AN685:AU685)</f>
        <v>0</v>
      </c>
      <c r="AX685" s="200">
        <f>AF685*AM685</f>
        <v>0</v>
      </c>
      <c r="AZ685" s="146">
        <f>AX685+(AV685*AM685)</f>
        <v>0</v>
      </c>
      <c r="BB685" s="201">
        <f>(AF685*AM685)*0.01</f>
        <v>0</v>
      </c>
      <c r="BD685" s="202">
        <f>AZ685*0.01</f>
        <v>0</v>
      </c>
      <c r="BE685" s="377"/>
      <c r="BG685" s="201">
        <f>IF(AF685&gt;0,BG680+BB685,BG680)</f>
        <v>0</v>
      </c>
      <c r="BH685" s="202">
        <f>IF(AV685&gt;0,BH680+BD685,BH680)</f>
        <v>0</v>
      </c>
      <c r="BI685" s="201">
        <f>IF(BG685&gt;0.99,0.99,BG685)</f>
        <v>0</v>
      </c>
      <c r="BJ685" s="202">
        <f>IF(BH685&gt;0.99,0.99,BH685)</f>
        <v>0</v>
      </c>
    </row>
    <row r="686" spans="1:62" ht="16" thickTop="1" x14ac:dyDescent="0.3">
      <c r="A686" s="184">
        <f>A681+1</f>
        <v>44</v>
      </c>
      <c r="B686" s="184" t="s">
        <v>376</v>
      </c>
      <c r="C686" s="184"/>
      <c r="D686" s="185" t="str">
        <f>IF(B688="","If claimed, explain in white box below.","")</f>
        <v>If claimed, explain in white box below.</v>
      </c>
      <c r="E686" s="187"/>
      <c r="F686" s="1"/>
      <c r="AB686" s="48">
        <f>A686</f>
        <v>44</v>
      </c>
      <c r="AC686" s="48" t="s">
        <v>4006</v>
      </c>
      <c r="AK686" s="620">
        <f>IF(AL686=0,0,1)</f>
        <v>0</v>
      </c>
      <c r="AL686" s="48">
        <f>IF(B690=B$3005,E$3005,IF(B690=B$3006,E$3006,IF(B690=B$3007,E$3007,IF(B690=B$3008,E$3008,0))))</f>
        <v>0</v>
      </c>
      <c r="AM686" s="233" t="str">
        <f>IF(AL686=$E$3008,AC686,"")</f>
        <v/>
      </c>
    </row>
    <row r="687" spans="1:62" x14ac:dyDescent="0.3">
      <c r="A687" s="186"/>
      <c r="B687" s="1031" t="s">
        <v>377</v>
      </c>
      <c r="C687" s="1032"/>
      <c r="D687" s="1033"/>
      <c r="E687" s="187"/>
      <c r="F687" s="1"/>
    </row>
    <row r="688" spans="1:62" ht="158" customHeight="1" thickBot="1" x14ac:dyDescent="0.35">
      <c r="A688" s="186"/>
      <c r="B688" s="1026"/>
      <c r="C688" s="1027"/>
      <c r="D688" s="1028"/>
      <c r="E688" s="187"/>
      <c r="F688" s="1"/>
      <c r="AA688" s="48">
        <f>AA683+1</f>
        <v>30</v>
      </c>
      <c r="AB688" s="849">
        <f>IF(B690="",0,1)</f>
        <v>0</v>
      </c>
      <c r="AC688" s="853">
        <f>IF(B690=B$3005,D$3005,IF(B690=B$3006,D$3006,IF(B690=B$3007,D$3007,IF(B690=B$3008,D$3008,0))))</f>
        <v>0</v>
      </c>
      <c r="AE688" s="850">
        <f>IF(D690=B$3019,E$3019,IF(D690=B$3020,E$3020,IF(D690=B$3021,E$3021,IF(D690=B$3022,E$3022,IF(D690=B$3023,E$3023,IF(D690=B$3024,E$3024,IF(D690=B$3025,E$3025,IF(D690=B$3026,E$3026,D30572))))))))</f>
        <v>0</v>
      </c>
    </row>
    <row r="689" spans="1:62" ht="15" thickTop="1" thickBot="1" x14ac:dyDescent="0.35">
      <c r="A689" s="186"/>
      <c r="B689" s="188" t="str">
        <f>IF(B688="","","Claimed?")</f>
        <v/>
      </c>
      <c r="C689" s="188" t="str">
        <f>IF(B689="","","Verifiable?")</f>
        <v/>
      </c>
      <c r="D689" s="189" t="str">
        <f>IF(C690="","","Independent verification")</f>
        <v/>
      </c>
      <c r="E689" s="1029">
        <f>BI690</f>
        <v>0</v>
      </c>
      <c r="F689" s="1030"/>
      <c r="AA689" s="52"/>
      <c r="AB689" s="52" t="s">
        <v>278</v>
      </c>
      <c r="AF689" s="204"/>
      <c r="AG689" s="52" t="s">
        <v>279</v>
      </c>
      <c r="AM689" s="205"/>
      <c r="AN689" s="52" t="s">
        <v>280</v>
      </c>
      <c r="AV689" s="206"/>
      <c r="AX689" s="191" t="s">
        <v>281</v>
      </c>
      <c r="AZ689" s="192" t="s">
        <v>282</v>
      </c>
      <c r="BB689" s="193" t="s">
        <v>283</v>
      </c>
      <c r="BD689" s="192" t="s">
        <v>284</v>
      </c>
      <c r="BG689" s="194" t="s">
        <v>290</v>
      </c>
      <c r="BH689" s="195" t="s">
        <v>291</v>
      </c>
      <c r="BI689" s="194" t="s">
        <v>285</v>
      </c>
      <c r="BJ689" s="195" t="s">
        <v>286</v>
      </c>
    </row>
    <row r="690" spans="1:62" ht="15" thickTop="1" thickBot="1" x14ac:dyDescent="0.35">
      <c r="A690" s="186"/>
      <c r="B690" s="196"/>
      <c r="C690" s="197"/>
      <c r="D690" s="207"/>
      <c r="E690" s="1029">
        <f>BJ690</f>
        <v>0</v>
      </c>
      <c r="F690" s="1030"/>
      <c r="AA690" s="101"/>
      <c r="AB690" s="101">
        <f>IF(B690=$B$3005,$AB$522,0)</f>
        <v>0</v>
      </c>
      <c r="AC690" s="101">
        <f>IF(B690=$B$3006,$AC$522,0)</f>
        <v>0</v>
      </c>
      <c r="AD690" s="101">
        <f>IF(B690=$B$3007,$AD$522,0)</f>
        <v>0</v>
      </c>
      <c r="AE690" s="101">
        <f>IF(B690=$B$3008,$AE$522,0)</f>
        <v>0</v>
      </c>
      <c r="AF690" s="208">
        <f>SUM(AB690:AE690)</f>
        <v>0</v>
      </c>
      <c r="AG690" s="101">
        <f>IF(C690=$B$3011,$E$3011,0)</f>
        <v>0</v>
      </c>
      <c r="AH690" s="101">
        <f>IF(C690=$B$3012,$E$3012,0)</f>
        <v>0</v>
      </c>
      <c r="AI690" s="101">
        <f>IF(C690=$B$3013,$E$3013,0)</f>
        <v>0</v>
      </c>
      <c r="AJ690" s="101">
        <f>IF(C690=$B$3014,$E$3014,0)</f>
        <v>0</v>
      </c>
      <c r="AK690" s="101">
        <f>IF(C690=$B$3015,$E$3015,0)</f>
        <v>0</v>
      </c>
      <c r="AL690" s="101">
        <f>IF(C690=$B$3016,$E$3016,0)</f>
        <v>0</v>
      </c>
      <c r="AM690" s="209">
        <f>SUM(AG690:AL690)</f>
        <v>0</v>
      </c>
      <c r="AN690" s="101">
        <f>IF($D690=$B$3019,AN$522,0)</f>
        <v>0</v>
      </c>
      <c r="AO690" s="101">
        <f>IF($D690=$B$3020,AO$522,0)</f>
        <v>0</v>
      </c>
      <c r="AP690" s="101">
        <f>IF($D690=$B$3021,AP$522,0)</f>
        <v>0</v>
      </c>
      <c r="AQ690" s="101">
        <f>IF($D690=$B$3022,AQ$522,0)</f>
        <v>0</v>
      </c>
      <c r="AR690" s="101">
        <f>IF($D690=$B$3023,AR$522,0)</f>
        <v>0</v>
      </c>
      <c r="AS690" s="101">
        <f>IF($D690=$B$3024,AS$522,0)</f>
        <v>0</v>
      </c>
      <c r="AT690" s="101">
        <f>IF($D690=$B$3025,AT$522,0)</f>
        <v>0</v>
      </c>
      <c r="AU690" s="101">
        <f>IF($D690=$B$3026,AU$522,0)</f>
        <v>0</v>
      </c>
      <c r="AV690" s="210">
        <f>SUM(AN690:AU690)</f>
        <v>0</v>
      </c>
      <c r="AX690" s="200">
        <f>AF690*AM690</f>
        <v>0</v>
      </c>
      <c r="AZ690" s="146">
        <f>AX690+(AV690*AM690)</f>
        <v>0</v>
      </c>
      <c r="BB690" s="201">
        <f>(AF690*AM690)*0.01</f>
        <v>0</v>
      </c>
      <c r="BD690" s="202">
        <f>AZ690*0.01</f>
        <v>0</v>
      </c>
      <c r="BE690" s="377"/>
      <c r="BG690" s="201">
        <f>IF(AF690&gt;0,BG685+BB690,BG685)</f>
        <v>0</v>
      </c>
      <c r="BH690" s="202">
        <f>IF(AV690&gt;0,BH685+BD690,BH685)</f>
        <v>0</v>
      </c>
      <c r="BI690" s="201">
        <f>IF(BG690&gt;0.99,0.99,BG690)</f>
        <v>0</v>
      </c>
      <c r="BJ690" s="202">
        <f>IF(BH690&gt;0.99,0.99,BH690)</f>
        <v>0</v>
      </c>
    </row>
    <row r="691" spans="1:62" ht="5" customHeight="1" thickTop="1" x14ac:dyDescent="0.3">
      <c r="A691" s="187"/>
      <c r="B691" s="187"/>
      <c r="C691" s="187"/>
      <c r="D691" s="187"/>
      <c r="E691" s="187"/>
      <c r="F691" s="1"/>
      <c r="AA691" s="101"/>
      <c r="AB691" s="101"/>
      <c r="AC691" s="101"/>
      <c r="AD691" s="101"/>
      <c r="AE691" s="101"/>
      <c r="AF691" s="208"/>
      <c r="AG691" s="101"/>
      <c r="AH691" s="101"/>
      <c r="AI691" s="101"/>
      <c r="AJ691" s="101"/>
      <c r="AK691" s="101"/>
      <c r="AL691" s="101"/>
      <c r="AM691" s="209"/>
      <c r="AN691" s="101"/>
      <c r="AO691" s="101"/>
      <c r="AP691" s="101"/>
      <c r="AQ691" s="101"/>
      <c r="AR691" s="101"/>
      <c r="AS691" s="101"/>
      <c r="AT691" s="101"/>
      <c r="AU691" s="101"/>
      <c r="AV691" s="210"/>
      <c r="AX691" s="200"/>
      <c r="AZ691" s="146"/>
      <c r="BB691" s="201"/>
      <c r="BD691" s="202"/>
      <c r="BE691" s="377"/>
      <c r="BG691" s="201"/>
      <c r="BH691" s="202"/>
      <c r="BI691" s="201"/>
      <c r="BJ691" s="202"/>
    </row>
    <row r="692" spans="1:62" ht="15.5" x14ac:dyDescent="0.3">
      <c r="A692" s="184">
        <f>A686+1</f>
        <v>45</v>
      </c>
      <c r="B692" s="184" t="s">
        <v>380</v>
      </c>
      <c r="C692" s="184"/>
      <c r="D692" s="185" t="str">
        <f>IF(B694="","If claimed, explain in white box below.","")</f>
        <v>If claimed, explain in white box below.</v>
      </c>
      <c r="E692" s="187"/>
      <c r="F692" s="1"/>
      <c r="AB692" s="48">
        <f>A692</f>
        <v>45</v>
      </c>
      <c r="AC692" s="48" t="s">
        <v>4005</v>
      </c>
      <c r="AK692" s="620">
        <f>IF(AL692=0,0,1)</f>
        <v>0</v>
      </c>
      <c r="AL692" s="48">
        <f>IF(B696=B$3005,E$3005,IF(B696=B$3006,E$3006,IF(B696=B$3007,E$3007,IF(B696=B$3008,E$3008,0))))</f>
        <v>0</v>
      </c>
      <c r="AM692" s="233" t="str">
        <f>IF(AL692=$E$3008,AC692,"")</f>
        <v/>
      </c>
    </row>
    <row r="693" spans="1:62" x14ac:dyDescent="0.3">
      <c r="A693" s="186"/>
      <c r="B693" s="1031" t="s">
        <v>381</v>
      </c>
      <c r="C693" s="1032"/>
      <c r="D693" s="1033"/>
      <c r="E693" s="187"/>
      <c r="F693" s="1"/>
    </row>
    <row r="694" spans="1:62" ht="180" customHeight="1" thickBot="1" x14ac:dyDescent="0.35">
      <c r="A694" s="186"/>
      <c r="B694" s="1026"/>
      <c r="C694" s="1027"/>
      <c r="D694" s="1028"/>
      <c r="E694" s="187"/>
      <c r="F694" s="1"/>
      <c r="AA694" s="48">
        <f>AA688+1</f>
        <v>31</v>
      </c>
      <c r="AB694" s="849">
        <f>IF(B696="",0,1)</f>
        <v>0</v>
      </c>
      <c r="AC694" s="853">
        <f>IF(B696=B$3005,D$3005,IF(B696=B$3006,D$3006,IF(B696=B$3007,D$3007,IF(B696=B$3008,D$3008,0))))</f>
        <v>0</v>
      </c>
      <c r="AE694" s="850">
        <f>IF(D696=B$3019,E$3019,IF(D696=B$3020,E$3020,IF(D696=B$3021,E$3021,IF(D696=B$3022,E$3022,IF(D696=B$3023,E$3023,IF(D696=B$3024,E$3024,IF(D696=B$3025,E$3025,IF(D696=B$3026,E$3026,D30578))))))))</f>
        <v>0</v>
      </c>
    </row>
    <row r="695" spans="1:62" ht="15" thickTop="1" thickBot="1" x14ac:dyDescent="0.35">
      <c r="A695" s="186"/>
      <c r="B695" s="188" t="str">
        <f>IF(B694="","","Claimed?")</f>
        <v/>
      </c>
      <c r="C695" s="188" t="str">
        <f>IF(B695="","","Verifiable?")</f>
        <v/>
      </c>
      <c r="D695" s="189" t="str">
        <f>IF(C696="","","Independent verification")</f>
        <v/>
      </c>
      <c r="E695" s="1029">
        <f>BI696</f>
        <v>0</v>
      </c>
      <c r="F695" s="1030"/>
      <c r="AA695" s="52"/>
      <c r="AB695" s="52" t="s">
        <v>278</v>
      </c>
      <c r="AF695" s="204"/>
      <c r="AG695" s="52" t="s">
        <v>279</v>
      </c>
      <c r="AM695" s="205"/>
      <c r="AN695" s="52" t="s">
        <v>280</v>
      </c>
      <c r="AV695" s="206"/>
      <c r="AX695" s="191" t="s">
        <v>281</v>
      </c>
      <c r="AZ695" s="192" t="s">
        <v>282</v>
      </c>
      <c r="BB695" s="193" t="s">
        <v>283</v>
      </c>
      <c r="BD695" s="192" t="s">
        <v>284</v>
      </c>
      <c r="BG695" s="194" t="s">
        <v>290</v>
      </c>
      <c r="BH695" s="195" t="s">
        <v>291</v>
      </c>
      <c r="BI695" s="194" t="s">
        <v>285</v>
      </c>
      <c r="BJ695" s="195" t="s">
        <v>286</v>
      </c>
    </row>
    <row r="696" spans="1:62" ht="15" thickTop="1" thickBot="1" x14ac:dyDescent="0.35">
      <c r="A696" s="186"/>
      <c r="B696" s="196"/>
      <c r="C696" s="197"/>
      <c r="D696" s="207"/>
      <c r="E696" s="1029">
        <f>BJ696</f>
        <v>0</v>
      </c>
      <c r="F696" s="1030"/>
      <c r="AA696" s="101"/>
      <c r="AB696" s="101">
        <f>IF(B696=$B$3005,$AB$522,0)</f>
        <v>0</v>
      </c>
      <c r="AC696" s="101">
        <f>IF(B696=$B$3006,$AC$522,0)</f>
        <v>0</v>
      </c>
      <c r="AD696" s="101">
        <f>IF(B696=$B$3007,$AD$522,0)</f>
        <v>0</v>
      </c>
      <c r="AE696" s="101">
        <f>IF(B696=$B$3008,$AE$522,0)</f>
        <v>0</v>
      </c>
      <c r="AF696" s="208">
        <f>SUM(AB696:AE696)</f>
        <v>0</v>
      </c>
      <c r="AG696" s="101">
        <f>IF(C696=$B$3011,$E$3011,0)</f>
        <v>0</v>
      </c>
      <c r="AH696" s="101">
        <f>IF(C696=$B$3012,$E$3012,0)</f>
        <v>0</v>
      </c>
      <c r="AI696" s="101">
        <f>IF(C696=$B$3013,$E$3013,0)</f>
        <v>0</v>
      </c>
      <c r="AJ696" s="101">
        <f>IF(C696=$B$3014,$E$3014,0)</f>
        <v>0</v>
      </c>
      <c r="AK696" s="101">
        <f>IF(C696=$B$3015,$E$3015,0)</f>
        <v>0</v>
      </c>
      <c r="AL696" s="101">
        <f>IF(C696=$B$3016,$E$3016,0)</f>
        <v>0</v>
      </c>
      <c r="AM696" s="209">
        <f>SUM(AG696:AL696)</f>
        <v>0</v>
      </c>
      <c r="AN696" s="101">
        <f>IF($D696=$B$3019,AN$522,0)</f>
        <v>0</v>
      </c>
      <c r="AO696" s="101">
        <f>IF($D696=$B$3020,AO$522,0)</f>
        <v>0</v>
      </c>
      <c r="AP696" s="101">
        <f>IF($D696=$B$3021,AP$522,0)</f>
        <v>0</v>
      </c>
      <c r="AQ696" s="101">
        <f>IF($D696=$B$3022,AQ$522,0)</f>
        <v>0</v>
      </c>
      <c r="AR696" s="101">
        <f>IF($D696=$B$3023,AR$522,0)</f>
        <v>0</v>
      </c>
      <c r="AS696" s="101">
        <f>IF($D696=$B$3024,AS$522,0)</f>
        <v>0</v>
      </c>
      <c r="AT696" s="101">
        <f>IF($D696=$B$3025,AT$522,0)</f>
        <v>0</v>
      </c>
      <c r="AU696" s="101">
        <f>IF($D696=$B$3026,AU$522,0)</f>
        <v>0</v>
      </c>
      <c r="AV696" s="210">
        <f>SUM(AN696:AU696)</f>
        <v>0</v>
      </c>
      <c r="AX696" s="200">
        <f>AF696*AM696</f>
        <v>0</v>
      </c>
      <c r="AZ696" s="146">
        <f>AX696+(AV696*AM696)</f>
        <v>0</v>
      </c>
      <c r="BB696" s="201">
        <f>(AF696*AM696)*0.01</f>
        <v>0</v>
      </c>
      <c r="BD696" s="202">
        <f>AZ696*0.01</f>
        <v>0</v>
      </c>
      <c r="BE696" s="377"/>
      <c r="BG696" s="201">
        <f>IF(AF696&gt;0,BG690+BB696,BG690)</f>
        <v>0</v>
      </c>
      <c r="BH696" s="202">
        <f>IF(AV696&gt;0,BH690+BD696,BH690)</f>
        <v>0</v>
      </c>
      <c r="BI696" s="201">
        <f>IF(BG696&gt;0.99,0.99,BG696)</f>
        <v>0</v>
      </c>
      <c r="BJ696" s="202">
        <f>IF(BH696&gt;0.99,0.99,BH696)</f>
        <v>0</v>
      </c>
    </row>
    <row r="697" spans="1:62" ht="15" thickTop="1" thickBot="1" x14ac:dyDescent="0.35">
      <c r="A697" s="186"/>
      <c r="B697" s="217"/>
      <c r="C697" s="217"/>
      <c r="D697" s="217"/>
      <c r="E697" s="187"/>
      <c r="F697" s="1"/>
    </row>
    <row r="698" spans="1:62" x14ac:dyDescent="0.3">
      <c r="A698" s="186"/>
      <c r="B698" s="187"/>
      <c r="C698" s="187"/>
      <c r="D698" s="187"/>
      <c r="E698" s="187"/>
      <c r="F698" s="1"/>
    </row>
    <row r="699" spans="1:62" ht="15.5" x14ac:dyDescent="0.3">
      <c r="A699" s="186"/>
      <c r="B699" s="184"/>
      <c r="C699" s="187"/>
      <c r="D699" s="187"/>
      <c r="E699" s="187"/>
      <c r="F699" s="1"/>
    </row>
    <row r="700" spans="1:62" ht="20" customHeight="1" x14ac:dyDescent="0.3">
      <c r="A700" s="186"/>
      <c r="B700" s="589"/>
      <c r="C700" s="187"/>
      <c r="D700" s="187"/>
      <c r="E700" s="187"/>
      <c r="F700" s="1"/>
    </row>
    <row r="701" spans="1:62" ht="16" customHeight="1" x14ac:dyDescent="0.3">
      <c r="A701" s="186"/>
      <c r="B701" s="589"/>
      <c r="C701" s="187"/>
      <c r="D701" s="187"/>
      <c r="E701" s="187"/>
      <c r="F701" s="1"/>
    </row>
    <row r="702" spans="1:62" x14ac:dyDescent="0.3">
      <c r="A702" s="186"/>
      <c r="B702" s="187"/>
      <c r="C702" s="187"/>
      <c r="D702" s="187"/>
      <c r="E702" s="187"/>
      <c r="F702" s="1"/>
    </row>
    <row r="703" spans="1:62" ht="14.5" thickBot="1" x14ac:dyDescent="0.35">
      <c r="A703" s="186"/>
      <c r="B703" s="187"/>
      <c r="C703" s="187"/>
      <c r="D703" s="187"/>
      <c r="E703" s="187"/>
      <c r="F703" s="1"/>
    </row>
    <row r="704" spans="1:62" ht="315" customHeight="1" thickTop="1" thickBot="1" x14ac:dyDescent="0.35">
      <c r="A704" s="186"/>
      <c r="B704" s="1034"/>
      <c r="C704" s="1035"/>
      <c r="D704" s="1036"/>
      <c r="E704" s="187"/>
      <c r="F704" s="1"/>
    </row>
    <row r="705" spans="1:62" ht="14.5" thickTop="1" x14ac:dyDescent="0.3">
      <c r="A705" s="186"/>
      <c r="B705" s="187"/>
      <c r="C705" s="187"/>
      <c r="D705" s="187"/>
      <c r="E705" s="187"/>
      <c r="F705" s="1"/>
      <c r="AB705" s="48" t="str">
        <f>AB706</f>
        <v xml:space="preserve">No significant recognized innocence. </v>
      </c>
    </row>
    <row r="706" spans="1:62" ht="30" customHeight="1" x14ac:dyDescent="0.3">
      <c r="A706" s="1199" t="s">
        <v>76</v>
      </c>
      <c r="B706" s="1200" t="s">
        <v>383</v>
      </c>
      <c r="C706" s="1200"/>
      <c r="D706" s="1200"/>
      <c r="E706" s="436"/>
      <c r="F706" s="436" t="s">
        <v>869</v>
      </c>
      <c r="AB706" s="618" t="str">
        <f>IF(AND(B712&lt;&gt;$B$3008,B717&lt;&gt;$B$3008,B722&lt;&gt;$B$3008,B728&lt;&gt;$B$3008,B733&lt;&gt;$B$3008,B738&lt;&gt;$B$3008,B743&lt;&gt;$B$3008),"No significant recognized innocence. ",CONCATENATE(AJ706,AM706,AN706,AO706,AP706,AQ706,AR706,AS706,AT706,AU706,AV706,AW706,AX706,AY706,AZ706,BA706))</f>
        <v xml:space="preserve">No significant recognized innocence. </v>
      </c>
      <c r="AJ706" s="48" t="s">
        <v>4041</v>
      </c>
      <c r="AM706" s="48" t="str">
        <f>IF(AM708="","",AM708)</f>
        <v/>
      </c>
      <c r="AN706" s="48" t="str">
        <f>IF(AO706="","",", ")</f>
        <v/>
      </c>
      <c r="AO706" s="48" t="str">
        <f>AM713</f>
        <v/>
      </c>
      <c r="AP706" s="48" t="str">
        <f>IF(AQ706="","",", ")</f>
        <v/>
      </c>
      <c r="AQ706" s="48" t="str">
        <f>AM718</f>
        <v/>
      </c>
      <c r="AR706" s="48" t="str">
        <f>IF(AS706="","",", ")</f>
        <v/>
      </c>
      <c r="AS706" s="48" t="str">
        <f>AM724</f>
        <v/>
      </c>
      <c r="AT706" s="48" t="str">
        <f>IF(AU706="","",", ")</f>
        <v/>
      </c>
      <c r="AU706" s="48" t="str">
        <f>AM729</f>
        <v/>
      </c>
      <c r="AV706" s="48" t="str">
        <f>IF(AW706="","",", ")</f>
        <v/>
      </c>
      <c r="AW706" s="48" t="str">
        <f>IF(AX706="","",", ")</f>
        <v/>
      </c>
      <c r="AX706" s="48" t="str">
        <f>AM734</f>
        <v/>
      </c>
      <c r="AY706" s="48" t="str">
        <f>IF(AZ706="","",", ")</f>
        <v/>
      </c>
      <c r="AZ706" s="48" t="str">
        <f>AM739</f>
        <v/>
      </c>
      <c r="BA706" s="48" t="s">
        <v>4031</v>
      </c>
    </row>
    <row r="707" spans="1:62" ht="20" customHeight="1" x14ac:dyDescent="0.3">
      <c r="A707" s="97" t="s">
        <v>384</v>
      </c>
      <c r="B707" s="98"/>
      <c r="C707" s="98"/>
      <c r="D707" s="98"/>
      <c r="E707" s="99"/>
      <c r="F707" s="97"/>
      <c r="AA707" s="175"/>
      <c r="AB707" s="175">
        <v>0</v>
      </c>
      <c r="AC707" s="176">
        <f>AD707/2</f>
        <v>0.25</v>
      </c>
      <c r="AD707" s="177">
        <f>AE707/2</f>
        <v>0.5</v>
      </c>
      <c r="AE707" s="178">
        <v>1</v>
      </c>
      <c r="AF707" s="109"/>
      <c r="AG707" s="109"/>
      <c r="AH707" s="109"/>
      <c r="AI707" s="109"/>
      <c r="AJ707" s="109"/>
      <c r="AK707" s="109"/>
      <c r="AL707" s="109"/>
      <c r="AM707" s="109"/>
      <c r="AN707" s="179">
        <f>AE707*-2</f>
        <v>-2</v>
      </c>
      <c r="AO707" s="175">
        <f>AE707*-1</f>
        <v>-1</v>
      </c>
      <c r="AP707" s="175">
        <f>AD707*-1</f>
        <v>-0.5</v>
      </c>
      <c r="AQ707" s="180">
        <f>AE707*-0.1</f>
        <v>-0.1</v>
      </c>
      <c r="AR707" s="180">
        <v>0</v>
      </c>
      <c r="AS707" s="180">
        <f>AE707*0.1</f>
        <v>0.1</v>
      </c>
      <c r="AT707" s="177">
        <f>AD707</f>
        <v>0.5</v>
      </c>
      <c r="AU707" s="178">
        <f>AE707</f>
        <v>1</v>
      </c>
      <c r="AV707" s="181"/>
      <c r="AW707" s="109"/>
      <c r="AX707" s="109"/>
      <c r="AY707" s="109"/>
      <c r="AZ707" s="109"/>
      <c r="BA707" s="109"/>
      <c r="BB707" s="182"/>
      <c r="BC707" s="109"/>
      <c r="BD707" s="109"/>
      <c r="BE707" s="109"/>
      <c r="BF707" s="109"/>
      <c r="BG707" s="213">
        <f>BG659</f>
        <v>0</v>
      </c>
    </row>
    <row r="708" spans="1:62" ht="15.5" x14ac:dyDescent="0.3">
      <c r="A708" s="184">
        <f>A692+1</f>
        <v>46</v>
      </c>
      <c r="B708" s="184" t="s">
        <v>385</v>
      </c>
      <c r="C708" s="184"/>
      <c r="D708" s="185" t="str">
        <f>IF(B710="","If claimed, explain in white box below.","")</f>
        <v>If claimed, explain in white box below.</v>
      </c>
      <c r="E708" s="187"/>
      <c r="F708" s="1"/>
      <c r="AB708" s="48">
        <f>A708</f>
        <v>46</v>
      </c>
      <c r="AC708" s="48" t="s">
        <v>3994</v>
      </c>
      <c r="AK708" s="620">
        <f>IF(AL708=0,0,1)</f>
        <v>0</v>
      </c>
      <c r="AL708" s="48">
        <f>IF(B712=B$3005,E$3005,IF(B712=B$3006,E$3006,IF(B712=B$3007,E$3007,IF(B712=B$3008,E$3008,0))))</f>
        <v>0</v>
      </c>
      <c r="AM708" s="233" t="str">
        <f>IF(AL708=$E$3008,AC708,"")</f>
        <v/>
      </c>
    </row>
    <row r="709" spans="1:62" x14ac:dyDescent="0.3">
      <c r="A709" s="186"/>
      <c r="B709" s="1031" t="s">
        <v>386</v>
      </c>
      <c r="C709" s="1032"/>
      <c r="D709" s="1033"/>
      <c r="E709" s="187"/>
      <c r="F709" s="1"/>
    </row>
    <row r="710" spans="1:62" ht="145" customHeight="1" thickBot="1" x14ac:dyDescent="0.35">
      <c r="A710" s="186"/>
      <c r="B710" s="1026"/>
      <c r="C710" s="1027"/>
      <c r="D710" s="1028"/>
      <c r="E710" s="187"/>
      <c r="F710" s="1"/>
      <c r="AA710" s="48">
        <f>AA694+1</f>
        <v>32</v>
      </c>
      <c r="AB710" s="849">
        <f>IF(B712="",0,1)</f>
        <v>0</v>
      </c>
      <c r="AC710" s="853">
        <f>IF(B712=B$3005,D$3005,IF(B712=B$3006,D$3006,IF(B712=B$3007,D$3007,IF(B712=B$3008,D$3008,0))))</f>
        <v>0</v>
      </c>
      <c r="AE710" s="850">
        <f>IF(D712=B$3019,E$3019,IF(D712=B$3020,E$3020,IF(D712=B$3021,E$3021,IF(D712=B$3022,E$3022,IF(D712=B$3023,E$3023,IF(D712=B$3024,E$3024,IF(D712=B$3025,E$3025,IF(D712=B$3026,E$3026,D30594))))))))</f>
        <v>0</v>
      </c>
    </row>
    <row r="711" spans="1:62" ht="15" thickTop="1" thickBot="1" x14ac:dyDescent="0.35">
      <c r="A711" s="186"/>
      <c r="B711" s="188" t="str">
        <f>IF(B710="","","Claimed?")</f>
        <v/>
      </c>
      <c r="C711" s="188" t="str">
        <f>IF(B711="","","Verifiable?")</f>
        <v/>
      </c>
      <c r="D711" s="189" t="str">
        <f>IF(C712="","","Independent verification")</f>
        <v/>
      </c>
      <c r="E711" s="1029">
        <f>BI712</f>
        <v>0</v>
      </c>
      <c r="F711" s="1030"/>
      <c r="AA711" s="52"/>
      <c r="AB711" s="52" t="s">
        <v>278</v>
      </c>
      <c r="AF711" s="204"/>
      <c r="AG711" s="52" t="s">
        <v>279</v>
      </c>
      <c r="AM711" s="205"/>
      <c r="AN711" s="52" t="s">
        <v>280</v>
      </c>
      <c r="AV711" s="206"/>
      <c r="AX711" s="191" t="s">
        <v>281</v>
      </c>
      <c r="AZ711" s="192" t="s">
        <v>282</v>
      </c>
      <c r="BB711" s="193" t="s">
        <v>283</v>
      </c>
      <c r="BD711" s="192" t="s">
        <v>284</v>
      </c>
      <c r="BG711" s="194" t="s">
        <v>290</v>
      </c>
      <c r="BH711" s="195" t="s">
        <v>291</v>
      </c>
      <c r="BI711" s="194" t="s">
        <v>285</v>
      </c>
      <c r="BJ711" s="195" t="s">
        <v>286</v>
      </c>
    </row>
    <row r="712" spans="1:62" ht="15" thickTop="1" thickBot="1" x14ac:dyDescent="0.35">
      <c r="A712" s="186"/>
      <c r="B712" s="196"/>
      <c r="C712" s="197"/>
      <c r="D712" s="207"/>
      <c r="E712" s="1029">
        <f>BJ712</f>
        <v>0</v>
      </c>
      <c r="F712" s="1030"/>
      <c r="AA712" s="101"/>
      <c r="AB712" s="101">
        <f>IF(B712=$B$3005,$AB$522,0)</f>
        <v>0</v>
      </c>
      <c r="AC712" s="101">
        <f>IF(B712=$B$3006,$AC$522,0)</f>
        <v>0</v>
      </c>
      <c r="AD712" s="101">
        <f>IF(B712=$B$3007,$AD$522,0)</f>
        <v>0</v>
      </c>
      <c r="AE712" s="101">
        <f>IF(B712=$B$3008,$AE$522,0)</f>
        <v>0</v>
      </c>
      <c r="AF712" s="208">
        <f>SUM(AB712:AE712)</f>
        <v>0</v>
      </c>
      <c r="AG712" s="101">
        <f>IF(C712=$B$3011,$E$3011,0)</f>
        <v>0</v>
      </c>
      <c r="AH712" s="101">
        <f>IF(C712=$B$3012,$E$3012,0)</f>
        <v>0</v>
      </c>
      <c r="AI712" s="101">
        <f>IF(C712=$B$3013,$E$3013,0)</f>
        <v>0</v>
      </c>
      <c r="AJ712" s="101">
        <f>IF(C712=$B$3014,$E$3014,0)</f>
        <v>0</v>
      </c>
      <c r="AK712" s="101">
        <f>IF(C712=$B$3015,$E$3015,0)</f>
        <v>0</v>
      </c>
      <c r="AL712" s="101">
        <f>IF(C712=$B$3016,$E$3016,0)</f>
        <v>0</v>
      </c>
      <c r="AM712" s="209">
        <f>SUM(AG712:AL712)</f>
        <v>0</v>
      </c>
      <c r="AN712" s="101">
        <f>IF($D712=$B$3019,AN$522,0)</f>
        <v>0</v>
      </c>
      <c r="AO712" s="101">
        <f>IF($D712=$B$3020,AO$522,0)</f>
        <v>0</v>
      </c>
      <c r="AP712" s="101">
        <f>IF($D712=$B$3021,AP$522,0)</f>
        <v>0</v>
      </c>
      <c r="AQ712" s="101">
        <f>IF($D712=$B$3022,AQ$522,0)</f>
        <v>0</v>
      </c>
      <c r="AR712" s="101">
        <f>IF($D712=$B$3023,AR$522,0)</f>
        <v>0</v>
      </c>
      <c r="AS712" s="101">
        <f>IF($D712=$B$3024,AS$522,0)</f>
        <v>0</v>
      </c>
      <c r="AT712" s="101">
        <f>IF($D712=$B$3025,AT$522,0)</f>
        <v>0</v>
      </c>
      <c r="AU712" s="101">
        <f>IF($D712=$B$3026,AU$522,0)</f>
        <v>0</v>
      </c>
      <c r="AV712" s="210">
        <f>SUM(AN712:AU712)</f>
        <v>0</v>
      </c>
      <c r="AX712" s="200">
        <f>AF712*AM712</f>
        <v>0</v>
      </c>
      <c r="AZ712" s="146">
        <f>AX712+(AV712*AM712)</f>
        <v>0</v>
      </c>
      <c r="BB712" s="201">
        <f>(AF712*AM712)*0.01</f>
        <v>0</v>
      </c>
      <c r="BD712" s="202">
        <f>AZ712*0.01</f>
        <v>0</v>
      </c>
      <c r="BE712" s="377"/>
      <c r="BG712" s="201">
        <f>IF(AF712&gt;0,BG696+BB712,BG696)</f>
        <v>0</v>
      </c>
      <c r="BH712" s="202">
        <f>IF(AV712&gt;0,BH696+BD712,BH696)</f>
        <v>0</v>
      </c>
      <c r="BI712" s="201">
        <f>IF(BG712&gt;0.99,0.99,BG712)</f>
        <v>0</v>
      </c>
      <c r="BJ712" s="202">
        <f>IF(BH712&gt;0.99,0.99,BH712)</f>
        <v>0</v>
      </c>
    </row>
    <row r="713" spans="1:62" ht="16" thickTop="1" x14ac:dyDescent="0.3">
      <c r="A713" s="184">
        <f>A708+1</f>
        <v>47</v>
      </c>
      <c r="B713" s="184" t="s">
        <v>388</v>
      </c>
      <c r="C713" s="184"/>
      <c r="D713" s="185" t="str">
        <f>IF(B715="","If claimed, explain in white box below.","")</f>
        <v>If claimed, explain in white box below.</v>
      </c>
      <c r="E713" s="187"/>
      <c r="F713" s="1"/>
      <c r="AB713" s="48">
        <f>A713</f>
        <v>47</v>
      </c>
      <c r="AC713" s="48" t="s">
        <v>4042</v>
      </c>
      <c r="AK713" s="620">
        <f>IF(AL713=0,0,1)</f>
        <v>0</v>
      </c>
      <c r="AL713" s="48">
        <f>IF(B717=B$3005,E$3005,IF(B717=B$3006,E$3006,IF(B717=B$3007,E$3007,IF(B717=B$3008,E$3008,0))))</f>
        <v>0</v>
      </c>
      <c r="AM713" s="233" t="str">
        <f>IF(AL713=$E$3008,AC713,"")</f>
        <v/>
      </c>
    </row>
    <row r="714" spans="1:62" x14ac:dyDescent="0.3">
      <c r="A714" s="186"/>
      <c r="B714" s="1031" t="s">
        <v>389</v>
      </c>
      <c r="C714" s="1032"/>
      <c r="D714" s="1033"/>
      <c r="E714" s="187"/>
      <c r="F714" s="1"/>
    </row>
    <row r="715" spans="1:62" ht="145" customHeight="1" thickBot="1" x14ac:dyDescent="0.35">
      <c r="A715" s="186"/>
      <c r="B715" s="1026"/>
      <c r="C715" s="1027"/>
      <c r="D715" s="1028"/>
      <c r="E715" s="187"/>
      <c r="F715" s="1"/>
      <c r="AA715" s="48">
        <f>AA710+1</f>
        <v>33</v>
      </c>
      <c r="AB715" s="849">
        <f>IF(B717="",0,1)</f>
        <v>0</v>
      </c>
      <c r="AC715" s="853">
        <f>IF(B717=B$3005,D$3005,IF(B717=B$3006,D$3006,IF(B717=B$3007,D$3007,IF(B717=B$3008,D$3008,0))))</f>
        <v>0</v>
      </c>
      <c r="AE715" s="850">
        <f>IF(D717=B$3019,E$3019,IF(D717=B$3020,E$3020,IF(D717=B$3021,E$3021,IF(D717=B$3022,E$3022,IF(D717=B$3023,E$3023,IF(D717=B$3024,E$3024,IF(D717=B$3025,E$3025,IF(D717=B$3026,E$3026,D30599))))))))</f>
        <v>0</v>
      </c>
    </row>
    <row r="716" spans="1:62" ht="15" thickTop="1" thickBot="1" x14ac:dyDescent="0.35">
      <c r="A716" s="186"/>
      <c r="B716" s="188" t="str">
        <f>IF(B715="","","Claimed?")</f>
        <v/>
      </c>
      <c r="C716" s="188" t="str">
        <f>IF(B716="","","Verifiable?")</f>
        <v/>
      </c>
      <c r="D716" s="189" t="str">
        <f>IF(C717="","","Independent verification")</f>
        <v/>
      </c>
      <c r="E716" s="1029">
        <f>BI717</f>
        <v>0</v>
      </c>
      <c r="F716" s="1030"/>
      <c r="AA716" s="52"/>
      <c r="AB716" s="52" t="s">
        <v>278</v>
      </c>
      <c r="AF716" s="204"/>
      <c r="AG716" s="52" t="s">
        <v>279</v>
      </c>
      <c r="AM716" s="205"/>
      <c r="AN716" s="52" t="s">
        <v>280</v>
      </c>
      <c r="AV716" s="206"/>
      <c r="AX716" s="191" t="s">
        <v>281</v>
      </c>
      <c r="AZ716" s="192" t="s">
        <v>282</v>
      </c>
      <c r="BB716" s="193" t="s">
        <v>283</v>
      </c>
      <c r="BD716" s="192" t="s">
        <v>284</v>
      </c>
      <c r="BG716" s="194" t="s">
        <v>290</v>
      </c>
      <c r="BH716" s="195" t="s">
        <v>291</v>
      </c>
      <c r="BI716" s="194" t="s">
        <v>285</v>
      </c>
      <c r="BJ716" s="195" t="s">
        <v>286</v>
      </c>
    </row>
    <row r="717" spans="1:62" ht="15" thickTop="1" thickBot="1" x14ac:dyDescent="0.35">
      <c r="A717" s="186"/>
      <c r="B717" s="196"/>
      <c r="C717" s="197"/>
      <c r="D717" s="207"/>
      <c r="E717" s="1029">
        <f>BJ717</f>
        <v>0</v>
      </c>
      <c r="F717" s="1030"/>
      <c r="AA717" s="101"/>
      <c r="AB717" s="101">
        <f>IF(B717=$B$3005,$AB$522,0)</f>
        <v>0</v>
      </c>
      <c r="AC717" s="101">
        <f>IF(B717=$B$3006,$AC$522,0)</f>
        <v>0</v>
      </c>
      <c r="AD717" s="101">
        <f>IF(B717=$B$3007,$AD$522,0)</f>
        <v>0</v>
      </c>
      <c r="AE717" s="101">
        <f>IF(B717=$B$3008,$AE$522,0)</f>
        <v>0</v>
      </c>
      <c r="AF717" s="208">
        <f>SUM(AB717:AE717)</f>
        <v>0</v>
      </c>
      <c r="AG717" s="101">
        <f>IF(C717=$B$3011,$E$3011,0)</f>
        <v>0</v>
      </c>
      <c r="AH717" s="101">
        <f>IF(C717=$B$3012,$E$3012,0)</f>
        <v>0</v>
      </c>
      <c r="AI717" s="101">
        <f>IF(C717=$B$3013,$E$3013,0)</f>
        <v>0</v>
      </c>
      <c r="AJ717" s="101">
        <f>IF(C717=$B$3014,$E$3014,0)</f>
        <v>0</v>
      </c>
      <c r="AK717" s="101">
        <f>IF(C717=$B$3015,$E$3015,0)</f>
        <v>0</v>
      </c>
      <c r="AL717" s="101">
        <f>IF(C717=$B$3016,$E$3016,0)</f>
        <v>0</v>
      </c>
      <c r="AM717" s="209">
        <f>SUM(AG717:AL717)</f>
        <v>0</v>
      </c>
      <c r="AN717" s="101">
        <f>IF($D717=$B$3019,AN$522,0)</f>
        <v>0</v>
      </c>
      <c r="AO717" s="101">
        <f>IF($D717=$B$3020,AO$522,0)</f>
        <v>0</v>
      </c>
      <c r="AP717" s="101">
        <f>IF($D717=$B$3021,AP$522,0)</f>
        <v>0</v>
      </c>
      <c r="AQ717" s="101">
        <f>IF($D717=$B$3022,AQ$522,0)</f>
        <v>0</v>
      </c>
      <c r="AR717" s="101">
        <f>IF($D717=$B$3023,AR$522,0)</f>
        <v>0</v>
      </c>
      <c r="AS717" s="101">
        <f>IF($D717=$B$3024,AS$522,0)</f>
        <v>0</v>
      </c>
      <c r="AT717" s="101">
        <f>IF($D717=$B$3025,AT$522,0)</f>
        <v>0</v>
      </c>
      <c r="AU717" s="101">
        <f>IF($D717=$B$3026,AU$522,0)</f>
        <v>0</v>
      </c>
      <c r="AV717" s="210">
        <f>SUM(AN717:AU717)</f>
        <v>0</v>
      </c>
      <c r="AX717" s="200">
        <f>AF717*AM717</f>
        <v>0</v>
      </c>
      <c r="AZ717" s="146">
        <f>AX717+(AV717*AM717)</f>
        <v>0</v>
      </c>
      <c r="BB717" s="201">
        <f>(AF717*AM717)*0.01</f>
        <v>0</v>
      </c>
      <c r="BD717" s="202">
        <f>AZ717*0.01</f>
        <v>0</v>
      </c>
      <c r="BE717" s="377"/>
      <c r="BG717" s="201">
        <f>IF(AF717&gt;0,BG712+BB717,BG712)</f>
        <v>0</v>
      </c>
      <c r="BH717" s="202">
        <f>IF(AV717&gt;0,BH712+BD717,BH712)</f>
        <v>0</v>
      </c>
      <c r="BI717" s="201">
        <f>IF(BG717&gt;0.99,0.99,BG717)</f>
        <v>0</v>
      </c>
      <c r="BJ717" s="202">
        <f>IF(BH717&gt;0.99,0.99,BH717)</f>
        <v>0</v>
      </c>
    </row>
    <row r="718" spans="1:62" ht="16" thickTop="1" x14ac:dyDescent="0.3">
      <c r="A718" s="184">
        <f>A713+1</f>
        <v>48</v>
      </c>
      <c r="B718" s="184" t="s">
        <v>391</v>
      </c>
      <c r="C718" s="184"/>
      <c r="D718" s="185" t="str">
        <f>IF(B720="","If claimed, explain in white box below.","")</f>
        <v>If claimed, explain in white box below.</v>
      </c>
      <c r="E718" s="187"/>
      <c r="F718" s="1"/>
      <c r="AB718" s="48">
        <f>A718</f>
        <v>48</v>
      </c>
      <c r="AC718" s="48" t="s">
        <v>4043</v>
      </c>
      <c r="AK718" s="620">
        <f>IF(AL718=0,0,1)</f>
        <v>0</v>
      </c>
      <c r="AL718" s="48">
        <f>IF(B722=B$3005,E$3005,IF(B722=B$3006,E$3006,IF(B722=B$3007,E$3007,IF(B722=B$3008,E$3008,0))))</f>
        <v>0</v>
      </c>
      <c r="AM718" s="233" t="str">
        <f>IF(AL718=$E$3008,AC718,"")</f>
        <v/>
      </c>
    </row>
    <row r="719" spans="1:62" x14ac:dyDescent="0.3">
      <c r="A719" s="186"/>
      <c r="B719" s="1031" t="s">
        <v>392</v>
      </c>
      <c r="C719" s="1032"/>
      <c r="D719" s="1033"/>
      <c r="E719" s="187"/>
      <c r="F719" s="1"/>
    </row>
    <row r="720" spans="1:62" ht="145" customHeight="1" thickBot="1" x14ac:dyDescent="0.35">
      <c r="A720" s="186"/>
      <c r="B720" s="1026"/>
      <c r="C720" s="1027"/>
      <c r="D720" s="1028"/>
      <c r="E720" s="187"/>
      <c r="F720" s="1"/>
      <c r="AA720" s="48">
        <f>AA715+1</f>
        <v>34</v>
      </c>
      <c r="AB720" s="849">
        <f>IF(B722="",0,1)</f>
        <v>0</v>
      </c>
      <c r="AC720" s="853">
        <f>IF(B722=B$3005,D$3005,IF(B722=B$3006,D$3006,IF(B722=B$3007,D$3007,IF(B722=B$3008,D$3008,0))))</f>
        <v>0</v>
      </c>
      <c r="AE720" s="850">
        <f>IF(D722=B$3019,E$3019,IF(D722=B$3020,E$3020,IF(D722=B$3021,E$3021,IF(D722=B$3022,E$3022,IF(D722=B$3023,E$3023,IF(D722=B$3024,E$3024,IF(D722=B$3025,E$3025,IF(D722=B$3026,E$3026,D30604))))))))</f>
        <v>0</v>
      </c>
    </row>
    <row r="721" spans="1:62" ht="15" thickTop="1" thickBot="1" x14ac:dyDescent="0.35">
      <c r="A721" s="186"/>
      <c r="B721" s="188" t="str">
        <f>IF(B720="","","Claimed?")</f>
        <v/>
      </c>
      <c r="C721" s="188" t="str">
        <f>IF(B721="","","Verifiable?")</f>
        <v/>
      </c>
      <c r="D721" s="189" t="str">
        <f>IF(C722="","","Independent verification")</f>
        <v/>
      </c>
      <c r="E721" s="1029">
        <f>BI722</f>
        <v>0</v>
      </c>
      <c r="F721" s="1030"/>
      <c r="AA721" s="52"/>
      <c r="AB721" s="52" t="s">
        <v>278</v>
      </c>
      <c r="AF721" s="204"/>
      <c r="AG721" s="52" t="s">
        <v>279</v>
      </c>
      <c r="AM721" s="205"/>
      <c r="AN721" s="52" t="s">
        <v>280</v>
      </c>
      <c r="AV721" s="206"/>
      <c r="AX721" s="191" t="s">
        <v>281</v>
      </c>
      <c r="AZ721" s="192" t="s">
        <v>282</v>
      </c>
      <c r="BB721" s="193" t="s">
        <v>283</v>
      </c>
      <c r="BD721" s="192" t="s">
        <v>284</v>
      </c>
      <c r="BG721" s="194" t="s">
        <v>290</v>
      </c>
      <c r="BH721" s="195" t="s">
        <v>291</v>
      </c>
      <c r="BI721" s="194" t="s">
        <v>285</v>
      </c>
      <c r="BJ721" s="195" t="s">
        <v>286</v>
      </c>
    </row>
    <row r="722" spans="1:62" ht="15" thickTop="1" thickBot="1" x14ac:dyDescent="0.35">
      <c r="A722" s="186"/>
      <c r="B722" s="196"/>
      <c r="C722" s="197"/>
      <c r="D722" s="207"/>
      <c r="E722" s="1029">
        <f>BJ722</f>
        <v>0</v>
      </c>
      <c r="F722" s="1030"/>
      <c r="AA722" s="101"/>
      <c r="AB722" s="101">
        <f>IF(B722=$B$3005,$AB$522,0)</f>
        <v>0</v>
      </c>
      <c r="AC722" s="101">
        <f>IF(B722=$B$3006,$AC$522,0)</f>
        <v>0</v>
      </c>
      <c r="AD722" s="101">
        <f>IF(B722=$B$3007,$AD$522,0)</f>
        <v>0</v>
      </c>
      <c r="AE722" s="101">
        <f>IF(B722=$B$3008,$AE$522,0)</f>
        <v>0</v>
      </c>
      <c r="AF722" s="208">
        <f>SUM(AB722:AE722)</f>
        <v>0</v>
      </c>
      <c r="AG722" s="101">
        <f>IF(C722=$B$3011,$E$3011,0)</f>
        <v>0</v>
      </c>
      <c r="AH722" s="101">
        <f>IF(C722=$B$3012,$E$3012,0)</f>
        <v>0</v>
      </c>
      <c r="AI722" s="101">
        <f>IF(C722=$B$3013,$E$3013,0)</f>
        <v>0</v>
      </c>
      <c r="AJ722" s="101">
        <f>IF(C722=$B$3014,$E$3014,0)</f>
        <v>0</v>
      </c>
      <c r="AK722" s="101">
        <f>IF(C722=$B$3015,$E$3015,0)</f>
        <v>0</v>
      </c>
      <c r="AL722" s="101">
        <f>IF(C722=$B$3016,$E$3016,0)</f>
        <v>0</v>
      </c>
      <c r="AM722" s="209">
        <f>SUM(AG722:AL722)</f>
        <v>0</v>
      </c>
      <c r="AN722" s="101">
        <f>IF($D722=$B$3019,AN$522,0)</f>
        <v>0</v>
      </c>
      <c r="AO722" s="101">
        <f>IF($D722=$B$3020,AO$522,0)</f>
        <v>0</v>
      </c>
      <c r="AP722" s="101">
        <f>IF($D722=$B$3021,AP$522,0)</f>
        <v>0</v>
      </c>
      <c r="AQ722" s="101">
        <f>IF($D722=$B$3022,AQ$522,0)</f>
        <v>0</v>
      </c>
      <c r="AR722" s="101">
        <f>IF($D722=$B$3023,AR$522,0)</f>
        <v>0</v>
      </c>
      <c r="AS722" s="101">
        <f>IF($D722=$B$3024,AS$522,0)</f>
        <v>0</v>
      </c>
      <c r="AT722" s="101">
        <f>IF($D722=$B$3025,AT$522,0)</f>
        <v>0</v>
      </c>
      <c r="AU722" s="101">
        <f>IF($D722=$B$3026,AU$522,0)</f>
        <v>0</v>
      </c>
      <c r="AV722" s="210">
        <f>SUM(AN722:AU722)</f>
        <v>0</v>
      </c>
      <c r="AX722" s="200">
        <f>AF722*AM722</f>
        <v>0</v>
      </c>
      <c r="AZ722" s="146">
        <f>AX722+(AV722*AM722)</f>
        <v>0</v>
      </c>
      <c r="BB722" s="201">
        <f>(AF722*AM722)*0.01</f>
        <v>0</v>
      </c>
      <c r="BD722" s="202">
        <f>AZ722*0.01</f>
        <v>0</v>
      </c>
      <c r="BE722" s="377"/>
      <c r="BG722" s="201">
        <f>IF(AF722&gt;0,BG717+BB722,BG717)</f>
        <v>0</v>
      </c>
      <c r="BH722" s="202">
        <f>IF(AV722&gt;0,BH717+BD722,BH717)</f>
        <v>0</v>
      </c>
      <c r="BI722" s="201">
        <f>IF(BG722&gt;0.99,0.99,BG722)</f>
        <v>0</v>
      </c>
      <c r="BJ722" s="202">
        <f>IF(BH722&gt;0.99,0.99,BH722)</f>
        <v>0</v>
      </c>
    </row>
    <row r="723" spans="1:62" ht="5" customHeight="1" thickTop="1" x14ac:dyDescent="0.3">
      <c r="A723" s="186"/>
      <c r="B723" s="186"/>
      <c r="C723" s="186"/>
      <c r="D723" s="186"/>
      <c r="E723" s="186"/>
      <c r="F723" s="1"/>
      <c r="AA723" s="101"/>
      <c r="AB723" s="101"/>
      <c r="AC723" s="101"/>
      <c r="AD723" s="101"/>
      <c r="AE723" s="101"/>
      <c r="AF723" s="208"/>
      <c r="AG723" s="101"/>
      <c r="AH723" s="101"/>
      <c r="AI723" s="101"/>
      <c r="AJ723" s="101"/>
      <c r="AK723" s="101"/>
      <c r="AL723" s="101"/>
      <c r="AM723" s="209"/>
      <c r="AN723" s="101"/>
      <c r="AO723" s="101"/>
      <c r="AP723" s="101"/>
      <c r="AQ723" s="101"/>
      <c r="AR723" s="101"/>
      <c r="AS723" s="101"/>
      <c r="AT723" s="101"/>
      <c r="AU723" s="101"/>
      <c r="AV723" s="210"/>
      <c r="AX723" s="200"/>
      <c r="AZ723" s="146"/>
      <c r="BB723" s="201"/>
      <c r="BD723" s="202"/>
      <c r="BE723" s="377"/>
      <c r="BG723" s="201"/>
      <c r="BH723" s="202"/>
      <c r="BI723" s="201"/>
      <c r="BJ723" s="202"/>
    </row>
    <row r="724" spans="1:62" ht="15.5" x14ac:dyDescent="0.3">
      <c r="A724" s="184">
        <f>A718+1</f>
        <v>49</v>
      </c>
      <c r="B724" s="184" t="s">
        <v>393</v>
      </c>
      <c r="C724" s="184"/>
      <c r="D724" s="185" t="str">
        <f>IF(B726="","If claimed, explain in white box below.","")</f>
        <v>If claimed, explain in white box below.</v>
      </c>
      <c r="E724" s="187"/>
      <c r="F724" s="1"/>
      <c r="AB724" s="48">
        <f>A724</f>
        <v>49</v>
      </c>
      <c r="AC724" s="48" t="s">
        <v>4044</v>
      </c>
      <c r="AK724" s="620">
        <f>IF(AL724=0,0,1)</f>
        <v>0</v>
      </c>
      <c r="AL724" s="48">
        <f>IF(B728=B$3005,E$3005,IF(B728=B$3006,E$3006,IF(B728=B$3007,E$3007,IF(B728=B$3008,E$3008,0))))</f>
        <v>0</v>
      </c>
      <c r="AM724" s="233" t="str">
        <f>IF(AL724=$E$3008,AC724,"")</f>
        <v/>
      </c>
    </row>
    <row r="725" spans="1:62" x14ac:dyDescent="0.3">
      <c r="A725" s="186"/>
      <c r="B725" s="1031" t="s">
        <v>394</v>
      </c>
      <c r="C725" s="1032"/>
      <c r="D725" s="1033"/>
      <c r="E725" s="187"/>
      <c r="F725" s="1"/>
    </row>
    <row r="726" spans="1:62" ht="100" customHeight="1" thickBot="1" x14ac:dyDescent="0.35">
      <c r="A726" s="186"/>
      <c r="B726" s="1026"/>
      <c r="C726" s="1027"/>
      <c r="D726" s="1028"/>
      <c r="E726" s="187"/>
      <c r="F726" s="1"/>
      <c r="AA726" s="48">
        <f>AA720+1</f>
        <v>35</v>
      </c>
      <c r="AB726" s="849">
        <f>IF(B728="",0,1)</f>
        <v>0</v>
      </c>
      <c r="AC726" s="853">
        <f>IF(B728=B$3005,D$3005,IF(B728=B$3006,D$3006,IF(B728=B$3007,D$3007,IF(B728=B$3008,D$3008,0))))</f>
        <v>0</v>
      </c>
      <c r="AE726" s="850">
        <f>IF(D728=B$3019,E$3019,IF(D728=B$3020,E$3020,IF(D728=B$3021,E$3021,IF(D728=B$3022,E$3022,IF(D728=B$3023,E$3023,IF(D728=B$3024,E$3024,IF(D728=B$3025,E$3025,IF(D728=B$3026,E$3026,D30610))))))))</f>
        <v>0</v>
      </c>
    </row>
    <row r="727" spans="1:62" ht="15" thickTop="1" thickBot="1" x14ac:dyDescent="0.35">
      <c r="A727" s="186"/>
      <c r="B727" s="188" t="str">
        <f>IF(B726="","","Claimed?")</f>
        <v/>
      </c>
      <c r="C727" s="188" t="str">
        <f>IF(B727="","","Verifiable?")</f>
        <v/>
      </c>
      <c r="D727" s="189" t="str">
        <f>IF(C728="","","Independent verification")</f>
        <v/>
      </c>
      <c r="E727" s="1029">
        <f>BI728</f>
        <v>0</v>
      </c>
      <c r="F727" s="1030"/>
      <c r="AA727" s="52"/>
      <c r="AB727" s="52" t="s">
        <v>278</v>
      </c>
      <c r="AF727" s="204"/>
      <c r="AG727" s="52" t="s">
        <v>279</v>
      </c>
      <c r="AM727" s="205"/>
      <c r="AN727" s="52" t="s">
        <v>280</v>
      </c>
      <c r="AV727" s="206"/>
      <c r="AX727" s="191" t="s">
        <v>281</v>
      </c>
      <c r="AZ727" s="192" t="s">
        <v>282</v>
      </c>
      <c r="BB727" s="193" t="s">
        <v>283</v>
      </c>
      <c r="BD727" s="192" t="s">
        <v>284</v>
      </c>
      <c r="BG727" s="194" t="s">
        <v>290</v>
      </c>
      <c r="BH727" s="195" t="s">
        <v>291</v>
      </c>
      <c r="BI727" s="194" t="s">
        <v>285</v>
      </c>
      <c r="BJ727" s="195" t="s">
        <v>286</v>
      </c>
    </row>
    <row r="728" spans="1:62" ht="15" thickTop="1" thickBot="1" x14ac:dyDescent="0.35">
      <c r="A728" s="186"/>
      <c r="B728" s="196"/>
      <c r="C728" s="197"/>
      <c r="D728" s="207"/>
      <c r="E728" s="1029">
        <f>BJ728</f>
        <v>0</v>
      </c>
      <c r="F728" s="1030"/>
      <c r="AA728" s="101"/>
      <c r="AB728" s="101">
        <f>IF(B728=$B$3005,$AB$522,0)</f>
        <v>0</v>
      </c>
      <c r="AC728" s="101">
        <f>IF(B728=$B$3006,$AC$522,0)</f>
        <v>0</v>
      </c>
      <c r="AD728" s="101">
        <f>IF(B728=$B$3007,$AD$522,0)</f>
        <v>0</v>
      </c>
      <c r="AE728" s="101">
        <f>IF(B728=$B$3008,$AE$522,0)</f>
        <v>0</v>
      </c>
      <c r="AF728" s="208">
        <f>SUM(AB728:AE728)</f>
        <v>0</v>
      </c>
      <c r="AG728" s="101">
        <f>IF(C728=$B$3011,$E$3011,0)</f>
        <v>0</v>
      </c>
      <c r="AH728" s="101">
        <f>IF(C728=$B$3012,$E$3012,0)</f>
        <v>0</v>
      </c>
      <c r="AI728" s="101">
        <f>IF(C728=$B$3013,$E$3013,0)</f>
        <v>0</v>
      </c>
      <c r="AJ728" s="101">
        <f>IF(C728=$B$3014,$E$3014,0)</f>
        <v>0</v>
      </c>
      <c r="AK728" s="101">
        <f>IF(C728=$B$3015,$E$3015,0)</f>
        <v>0</v>
      </c>
      <c r="AL728" s="101">
        <f>IF(C728=$B$3016,$E$3016,0)</f>
        <v>0</v>
      </c>
      <c r="AM728" s="209">
        <f>SUM(AG728:AL728)</f>
        <v>0</v>
      </c>
      <c r="AN728" s="101">
        <f>IF($D728=$B$3019,AN$522,0)</f>
        <v>0</v>
      </c>
      <c r="AO728" s="101">
        <f>IF($D728=$B$3020,AO$522,0)</f>
        <v>0</v>
      </c>
      <c r="AP728" s="101">
        <f>IF($D728=$B$3021,AP$522,0)</f>
        <v>0</v>
      </c>
      <c r="AQ728" s="101">
        <f>IF($D728=$B$3022,AQ$522,0)</f>
        <v>0</v>
      </c>
      <c r="AR728" s="101">
        <f>IF($D728=$B$3023,AR$522,0)</f>
        <v>0</v>
      </c>
      <c r="AS728" s="101">
        <f>IF($D728=$B$3024,AS$522,0)</f>
        <v>0</v>
      </c>
      <c r="AT728" s="101">
        <f>IF($D728=$B$3025,AT$522,0)</f>
        <v>0</v>
      </c>
      <c r="AU728" s="101">
        <f>IF($D728=$B$3026,AU$522,0)</f>
        <v>0</v>
      </c>
      <c r="AV728" s="210">
        <f>SUM(AN728:AU728)</f>
        <v>0</v>
      </c>
      <c r="AX728" s="200">
        <f>AF728*AM728</f>
        <v>0</v>
      </c>
      <c r="AZ728" s="146">
        <f>AX728+(AV728*AM728)</f>
        <v>0</v>
      </c>
      <c r="BB728" s="201">
        <f>(AF728*AM728)*0.01</f>
        <v>0</v>
      </c>
      <c r="BD728" s="202">
        <f>AZ728*0.01</f>
        <v>0</v>
      </c>
      <c r="BE728" s="377"/>
      <c r="BG728" s="201">
        <f>IF(AF728&gt;0,BG722+BB728,BG722)</f>
        <v>0</v>
      </c>
      <c r="BH728" s="202">
        <f>IF(AV728&gt;0,BH722+BD728,BH722)</f>
        <v>0</v>
      </c>
      <c r="BI728" s="201">
        <f>IF(BG728&gt;0.99,0.99,BG728)</f>
        <v>0</v>
      </c>
      <c r="BJ728" s="202">
        <f>IF(BH728&gt;0.99,0.99,BH728)</f>
        <v>0</v>
      </c>
    </row>
    <row r="729" spans="1:62" ht="16" thickTop="1" x14ac:dyDescent="0.3">
      <c r="A729" s="184">
        <f>A724+1</f>
        <v>50</v>
      </c>
      <c r="B729" s="184" t="s">
        <v>395</v>
      </c>
      <c r="C729" s="184"/>
      <c r="D729" s="185" t="str">
        <f>IF(B731="","If claimed, explain in white box below.","")</f>
        <v>If claimed, explain in white box below.</v>
      </c>
      <c r="E729" s="187"/>
      <c r="F729" s="1"/>
      <c r="AB729" s="48">
        <f>A729</f>
        <v>50</v>
      </c>
      <c r="AC729" s="48" t="s">
        <v>4045</v>
      </c>
      <c r="AK729" s="620">
        <f>IF(AL729=0,0,1)</f>
        <v>0</v>
      </c>
      <c r="AL729" s="48">
        <f>IF(B733=B$3005,E$3005,IF(B733=B$3006,E$3006,IF(B733=B$3007,E$3007,IF(B733=B$3008,E$3008,0))))</f>
        <v>0</v>
      </c>
      <c r="AM729" s="233" t="str">
        <f>IF(AL729=$E$3008,AC729,"")</f>
        <v/>
      </c>
    </row>
    <row r="730" spans="1:62" x14ac:dyDescent="0.3">
      <c r="A730" s="186"/>
      <c r="B730" s="1031" t="s">
        <v>396</v>
      </c>
      <c r="C730" s="1032"/>
      <c r="D730" s="1033"/>
      <c r="E730" s="187"/>
      <c r="F730" s="1"/>
    </row>
    <row r="731" spans="1:62" ht="100" customHeight="1" thickBot="1" x14ac:dyDescent="0.35">
      <c r="A731" s="186"/>
      <c r="B731" s="1026"/>
      <c r="C731" s="1027"/>
      <c r="D731" s="1028"/>
      <c r="E731" s="187"/>
      <c r="F731" s="1"/>
      <c r="AA731" s="48">
        <f>AA726+1</f>
        <v>36</v>
      </c>
      <c r="AB731" s="849">
        <f>IF(B733="",0,1)</f>
        <v>0</v>
      </c>
      <c r="AC731" s="853">
        <f>IF(B733=B$3005,D$3005,IF(B733=B$3006,D$3006,IF(B733=B$3007,D$3007,IF(B733=B$3008,D$3008,0))))</f>
        <v>0</v>
      </c>
      <c r="AE731" s="850">
        <f>IF(D733=B$3019,E$3019,IF(D733=B$3020,E$3020,IF(D733=B$3021,E$3021,IF(D733=B$3022,E$3022,IF(D733=B$3023,E$3023,IF(D733=B$3024,E$3024,IF(D733=B$3025,E$3025,IF(D733=B$3026,E$3026,D30615))))))))</f>
        <v>0</v>
      </c>
    </row>
    <row r="732" spans="1:62" ht="15" thickTop="1" thickBot="1" x14ac:dyDescent="0.35">
      <c r="A732" s="186"/>
      <c r="B732" s="188" t="str">
        <f>IF(B731="","","Claimed?")</f>
        <v/>
      </c>
      <c r="C732" s="188" t="str">
        <f>IF(B732="","","Verifiable?")</f>
        <v/>
      </c>
      <c r="D732" s="189" t="str">
        <f>IF(C733="","","Independent verification")</f>
        <v/>
      </c>
      <c r="E732" s="1029">
        <f>BI733</f>
        <v>0</v>
      </c>
      <c r="F732" s="1030"/>
      <c r="AA732" s="52"/>
      <c r="AB732" s="52" t="s">
        <v>278</v>
      </c>
      <c r="AF732" s="204"/>
      <c r="AG732" s="52" t="s">
        <v>279</v>
      </c>
      <c r="AM732" s="205"/>
      <c r="AN732" s="52" t="s">
        <v>280</v>
      </c>
      <c r="AV732" s="206"/>
      <c r="AX732" s="191" t="s">
        <v>281</v>
      </c>
      <c r="AZ732" s="192" t="s">
        <v>282</v>
      </c>
      <c r="BB732" s="193" t="s">
        <v>283</v>
      </c>
      <c r="BD732" s="192" t="s">
        <v>284</v>
      </c>
      <c r="BG732" s="194" t="s">
        <v>290</v>
      </c>
      <c r="BH732" s="195" t="s">
        <v>291</v>
      </c>
      <c r="BI732" s="194" t="s">
        <v>285</v>
      </c>
      <c r="BJ732" s="195" t="s">
        <v>286</v>
      </c>
    </row>
    <row r="733" spans="1:62" ht="15" thickTop="1" thickBot="1" x14ac:dyDescent="0.35">
      <c r="A733" s="186"/>
      <c r="B733" s="196"/>
      <c r="C733" s="197"/>
      <c r="D733" s="207"/>
      <c r="E733" s="1029">
        <f>BJ733</f>
        <v>0</v>
      </c>
      <c r="F733" s="1030"/>
      <c r="AA733" s="101"/>
      <c r="AB733" s="101">
        <f>IF(B733=$B$3005,$AB$522,0)</f>
        <v>0</v>
      </c>
      <c r="AC733" s="101">
        <f>IF(B733=$B$3006,$AC$522,0)</f>
        <v>0</v>
      </c>
      <c r="AD733" s="101">
        <f>IF(B733=$B$3007,$AD$522,0)</f>
        <v>0</v>
      </c>
      <c r="AE733" s="101">
        <f>IF(B733=$B$3008,$AE$522,0)</f>
        <v>0</v>
      </c>
      <c r="AF733" s="208">
        <f>SUM(AB733:AE733)</f>
        <v>0</v>
      </c>
      <c r="AG733" s="101">
        <f>IF(C733=$B$3011,$E$3011,0)</f>
        <v>0</v>
      </c>
      <c r="AH733" s="101">
        <f>IF(C733=$B$3012,$E$3012,0)</f>
        <v>0</v>
      </c>
      <c r="AI733" s="101">
        <f>IF(C733=$B$3013,$E$3013,0)</f>
        <v>0</v>
      </c>
      <c r="AJ733" s="101">
        <f>IF(C733=$B$3014,$E$3014,0)</f>
        <v>0</v>
      </c>
      <c r="AK733" s="101">
        <f>IF(C733=$B$3015,$E$3015,0)</f>
        <v>0</v>
      </c>
      <c r="AL733" s="101">
        <f>IF(C733=$B$3016,$E$3016,0)</f>
        <v>0</v>
      </c>
      <c r="AM733" s="209">
        <f>SUM(AG733:AL733)</f>
        <v>0</v>
      </c>
      <c r="AN733" s="101">
        <f>IF($D733=$B$3019,AN$522,0)</f>
        <v>0</v>
      </c>
      <c r="AO733" s="101">
        <f>IF($D733=$B$3020,AO$522,0)</f>
        <v>0</v>
      </c>
      <c r="AP733" s="101">
        <f>IF($D733=$B$3021,AP$522,0)</f>
        <v>0</v>
      </c>
      <c r="AQ733" s="101">
        <f>IF($D733=$B$3022,AQ$522,0)</f>
        <v>0</v>
      </c>
      <c r="AR733" s="101">
        <f>IF($D733=$B$3023,AR$522,0)</f>
        <v>0</v>
      </c>
      <c r="AS733" s="101">
        <f>IF($D733=$B$3024,AS$522,0)</f>
        <v>0</v>
      </c>
      <c r="AT733" s="101">
        <f>IF($D733=$B$3025,AT$522,0)</f>
        <v>0</v>
      </c>
      <c r="AU733" s="101">
        <f>IF($D733=$B$3026,AU$522,0)</f>
        <v>0</v>
      </c>
      <c r="AV733" s="210">
        <f>SUM(AN733:AU733)</f>
        <v>0</v>
      </c>
      <c r="AX733" s="200">
        <f>AF733*AM733</f>
        <v>0</v>
      </c>
      <c r="AZ733" s="146">
        <f>AX733+(AV733*AM733)</f>
        <v>0</v>
      </c>
      <c r="BB733" s="201">
        <f>(AF733*AM733)*0.01</f>
        <v>0</v>
      </c>
      <c r="BD733" s="202">
        <f>AZ733*0.01</f>
        <v>0</v>
      </c>
      <c r="BE733" s="377"/>
      <c r="BG733" s="201">
        <f>IF(AF733&gt;0,BG728+BB733,BG728)</f>
        <v>0</v>
      </c>
      <c r="BH733" s="202">
        <f>IF(AV733&gt;0,BH728+BD733,BH728)</f>
        <v>0</v>
      </c>
      <c r="BI733" s="201">
        <f>IF(BG733&gt;0.99,0.99,BG733)</f>
        <v>0</v>
      </c>
      <c r="BJ733" s="202">
        <f>IF(BH733&gt;0.99,0.99,BH733)</f>
        <v>0</v>
      </c>
    </row>
    <row r="734" spans="1:62" ht="16" thickTop="1" x14ac:dyDescent="0.3">
      <c r="A734" s="184">
        <f>A729+1</f>
        <v>51</v>
      </c>
      <c r="B734" s="184" t="s">
        <v>397</v>
      </c>
      <c r="C734" s="184"/>
      <c r="D734" s="185" t="str">
        <f>IF(B736="","If claimed, explain in white box below.","")</f>
        <v>If claimed, explain in white box below.</v>
      </c>
      <c r="E734" s="187"/>
      <c r="F734" s="1"/>
      <c r="AB734" s="48">
        <f>A734</f>
        <v>51</v>
      </c>
      <c r="AC734" s="48" t="s">
        <v>4046</v>
      </c>
      <c r="AK734" s="620">
        <f>IF(AL734=0,0,1)</f>
        <v>0</v>
      </c>
      <c r="AL734" s="48">
        <f>IF(B738=B$3005,E$3005,IF(B738=B$3006,E$3006,IF(B738=B$3007,E$3007,IF(B738=B$3008,E$3008,0))))</f>
        <v>0</v>
      </c>
      <c r="AM734" s="233" t="str">
        <f>IF(AL734=$E$3008,AC734,"")</f>
        <v/>
      </c>
    </row>
    <row r="735" spans="1:62" x14ac:dyDescent="0.3">
      <c r="A735" s="186"/>
      <c r="B735" s="1031" t="s">
        <v>398</v>
      </c>
      <c r="C735" s="1032"/>
      <c r="D735" s="1033"/>
      <c r="E735" s="187"/>
      <c r="F735" s="1"/>
    </row>
    <row r="736" spans="1:62" ht="100" customHeight="1" thickBot="1" x14ac:dyDescent="0.35">
      <c r="A736" s="186"/>
      <c r="B736" s="1026"/>
      <c r="C736" s="1027"/>
      <c r="D736" s="1028"/>
      <c r="E736" s="187"/>
      <c r="F736" s="1"/>
      <c r="AA736" s="48">
        <f>AA731+1</f>
        <v>37</v>
      </c>
      <c r="AB736" s="849">
        <f>IF(B738="",0,1)</f>
        <v>0</v>
      </c>
      <c r="AC736" s="853">
        <f>IF(B738=B$3005,D$3005,IF(B738=B$3006,D$3006,IF(B738=B$3007,D$3007,IF(B738=B$3008,D$3008,0))))</f>
        <v>0</v>
      </c>
      <c r="AE736" s="850">
        <f>IF(D738=B$3019,E$3019,IF(D738=B$3020,E$3020,IF(D738=B$3021,E$3021,IF(D738=B$3022,E$3022,IF(D738=B$3023,E$3023,IF(D738=B$3024,E$3024,IF(D738=B$3025,E$3025,IF(D738=B$3026,E$3026,D30620))))))))</f>
        <v>0</v>
      </c>
    </row>
    <row r="737" spans="1:62" ht="15" thickTop="1" thickBot="1" x14ac:dyDescent="0.35">
      <c r="A737" s="186"/>
      <c r="B737" s="188" t="str">
        <f>IF(B736="","","Claimed?")</f>
        <v/>
      </c>
      <c r="C737" s="188" t="str">
        <f>IF(B737="","","Verifiable?")</f>
        <v/>
      </c>
      <c r="D737" s="189" t="str">
        <f>IF(C738="","","Independent verification")</f>
        <v/>
      </c>
      <c r="E737" s="1029">
        <f>BI738</f>
        <v>0</v>
      </c>
      <c r="F737" s="1030"/>
      <c r="AA737" s="52"/>
      <c r="AB737" s="52" t="s">
        <v>278</v>
      </c>
      <c r="AF737" s="204"/>
      <c r="AG737" s="52" t="s">
        <v>279</v>
      </c>
      <c r="AM737" s="205"/>
      <c r="AN737" s="52" t="s">
        <v>280</v>
      </c>
      <c r="AV737" s="206"/>
      <c r="AX737" s="191" t="s">
        <v>281</v>
      </c>
      <c r="AZ737" s="192" t="s">
        <v>282</v>
      </c>
      <c r="BB737" s="193" t="s">
        <v>283</v>
      </c>
      <c r="BD737" s="192" t="s">
        <v>284</v>
      </c>
      <c r="BG737" s="194" t="s">
        <v>290</v>
      </c>
      <c r="BH737" s="195" t="s">
        <v>291</v>
      </c>
      <c r="BI737" s="194" t="s">
        <v>285</v>
      </c>
      <c r="BJ737" s="195" t="s">
        <v>286</v>
      </c>
    </row>
    <row r="738" spans="1:62" ht="15" thickTop="1" thickBot="1" x14ac:dyDescent="0.35">
      <c r="A738" s="186"/>
      <c r="B738" s="196"/>
      <c r="C738" s="197"/>
      <c r="D738" s="207"/>
      <c r="E738" s="1029">
        <f>BJ738</f>
        <v>0</v>
      </c>
      <c r="F738" s="1030"/>
      <c r="AA738" s="101"/>
      <c r="AB738" s="101">
        <f>IF(B738=$B$3005,$AB$522,0)</f>
        <v>0</v>
      </c>
      <c r="AC738" s="101">
        <f>IF(B738=$B$3006,$AC$522,0)</f>
        <v>0</v>
      </c>
      <c r="AD738" s="101">
        <f>IF(B738=$B$3007,$AD$522,0)</f>
        <v>0</v>
      </c>
      <c r="AE738" s="101">
        <f>IF(B738=$B$3008,$AE$522,0)</f>
        <v>0</v>
      </c>
      <c r="AF738" s="208">
        <f>SUM(AB738:AE738)</f>
        <v>0</v>
      </c>
      <c r="AG738" s="101">
        <f>IF(C738=$B$3011,$E$3011,0)</f>
        <v>0</v>
      </c>
      <c r="AH738" s="101">
        <f>IF(C738=$B$3012,$E$3012,0)</f>
        <v>0</v>
      </c>
      <c r="AI738" s="101">
        <f>IF(C738=$B$3013,$E$3013,0)</f>
        <v>0</v>
      </c>
      <c r="AJ738" s="101">
        <f>IF(C738=$B$3014,$E$3014,0)</f>
        <v>0</v>
      </c>
      <c r="AK738" s="101">
        <f>IF(C738=$B$3015,$E$3015,0)</f>
        <v>0</v>
      </c>
      <c r="AL738" s="101">
        <f>IF(C738=$B$3016,$E$3016,0)</f>
        <v>0</v>
      </c>
      <c r="AM738" s="209">
        <f>SUM(AG738:AL738)</f>
        <v>0</v>
      </c>
      <c r="AN738" s="101">
        <f>IF($D738=$B$3019,AN$522,0)</f>
        <v>0</v>
      </c>
      <c r="AO738" s="101">
        <f>IF($D738=$B$3020,AO$522,0)</f>
        <v>0</v>
      </c>
      <c r="AP738" s="101">
        <f>IF($D738=$B$3021,AP$522,0)</f>
        <v>0</v>
      </c>
      <c r="AQ738" s="101">
        <f>IF($D738=$B$3022,AQ$522,0)</f>
        <v>0</v>
      </c>
      <c r="AR738" s="101">
        <f>IF($D738=$B$3023,AR$522,0)</f>
        <v>0</v>
      </c>
      <c r="AS738" s="101">
        <f>IF($D738=$B$3024,AS$522,0)</f>
        <v>0</v>
      </c>
      <c r="AT738" s="101">
        <f>IF($D738=$B$3025,AT$522,0)</f>
        <v>0</v>
      </c>
      <c r="AU738" s="101">
        <f>IF($D738=$B$3026,AU$522,0)</f>
        <v>0</v>
      </c>
      <c r="AV738" s="210">
        <f>SUM(AN738:AU738)</f>
        <v>0</v>
      </c>
      <c r="AX738" s="200">
        <f>AF738*AM738</f>
        <v>0</v>
      </c>
      <c r="AZ738" s="146">
        <f>AX738+(AV738*AM738)</f>
        <v>0</v>
      </c>
      <c r="BB738" s="201">
        <f>(AF738*AM738)*0.01</f>
        <v>0</v>
      </c>
      <c r="BD738" s="202">
        <f>AZ738*0.01</f>
        <v>0</v>
      </c>
      <c r="BE738" s="377"/>
      <c r="BG738" s="201">
        <f>IF(AF738&gt;0,BG733+BB738,BG733)</f>
        <v>0</v>
      </c>
      <c r="BH738" s="202">
        <f>IF(AV738&gt;0,BH733+BD738,BH733)</f>
        <v>0</v>
      </c>
      <c r="BI738" s="201">
        <f>IF(BG738&gt;0.99,0.99,BG738)</f>
        <v>0</v>
      </c>
      <c r="BJ738" s="202">
        <f>IF(BH738&gt;0.99,0.99,BH738)</f>
        <v>0</v>
      </c>
    </row>
    <row r="739" spans="1:62" ht="16" thickTop="1" x14ac:dyDescent="0.3">
      <c r="A739" s="184">
        <f>A734+1</f>
        <v>52</v>
      </c>
      <c r="B739" s="184" t="s">
        <v>400</v>
      </c>
      <c r="C739" s="184"/>
      <c r="D739" s="185" t="str">
        <f>IF(B741="","If claimed, explain in white box below.","")</f>
        <v>If claimed, explain in white box below.</v>
      </c>
      <c r="E739" s="187"/>
      <c r="F739" s="1"/>
      <c r="AB739" s="48">
        <f>A739</f>
        <v>52</v>
      </c>
      <c r="AC739" s="48" t="s">
        <v>3995</v>
      </c>
      <c r="AK739" s="620">
        <f>IF(AL739=0,0,1)</f>
        <v>0</v>
      </c>
      <c r="AL739" s="48">
        <f>IF(B743=B$3005,E$3005,IF(B743=B$3006,E$3006,IF(B743=B$3007,E$3007,IF(B743=B$3008,E$3008,0))))</f>
        <v>0</v>
      </c>
      <c r="AM739" s="233" t="str">
        <f>IF(AL739=$E$3008,AC739,"")</f>
        <v/>
      </c>
    </row>
    <row r="740" spans="1:62" x14ac:dyDescent="0.3">
      <c r="A740" s="186"/>
      <c r="B740" s="1031" t="s">
        <v>401</v>
      </c>
      <c r="C740" s="1032"/>
      <c r="D740" s="1033"/>
      <c r="E740" s="187"/>
      <c r="F740" s="1"/>
    </row>
    <row r="741" spans="1:62" ht="100" customHeight="1" thickBot="1" x14ac:dyDescent="0.35">
      <c r="A741" s="186"/>
      <c r="B741" s="1026"/>
      <c r="C741" s="1027"/>
      <c r="D741" s="1028"/>
      <c r="E741" s="187"/>
      <c r="F741" s="1"/>
      <c r="AA741" s="48">
        <f>AA736+1</f>
        <v>38</v>
      </c>
      <c r="AB741" s="849">
        <f>IF(B743="",0,1)</f>
        <v>0</v>
      </c>
      <c r="AC741" s="853">
        <f>IF(B743=B$3005,D$3005,IF(B743=B$3006,D$3006,IF(B743=B$3007,D$3007,IF(B743=B$3008,D$3008,0))))</f>
        <v>0</v>
      </c>
      <c r="AE741" s="850">
        <f>IF(D743=B$3019,E$3019,IF(D743=B$3020,E$3020,IF(D743=B$3021,E$3021,IF(D743=B$3022,E$3022,IF(D743=B$3023,E$3023,IF(D743=B$3024,E$3024,IF(D743=B$3025,E$3025,IF(D743=B$3026,E$3026,D30625))))))))</f>
        <v>0</v>
      </c>
    </row>
    <row r="742" spans="1:62" ht="15" thickTop="1" thickBot="1" x14ac:dyDescent="0.35">
      <c r="A742" s="186"/>
      <c r="B742" s="188" t="str">
        <f>IF(B741="","","Claimed?")</f>
        <v/>
      </c>
      <c r="C742" s="188" t="str">
        <f>IF(B742="","","Verifiable?")</f>
        <v/>
      </c>
      <c r="D742" s="189" t="str">
        <f>IF(C743="","","Independent verification")</f>
        <v/>
      </c>
      <c r="E742" s="1029">
        <f>BI743</f>
        <v>0</v>
      </c>
      <c r="F742" s="1030"/>
      <c r="AA742" s="52"/>
      <c r="AB742" s="52" t="s">
        <v>278</v>
      </c>
      <c r="AF742" s="204"/>
      <c r="AG742" s="52" t="s">
        <v>279</v>
      </c>
      <c r="AM742" s="205"/>
      <c r="AN742" s="52" t="s">
        <v>280</v>
      </c>
      <c r="AV742" s="206"/>
      <c r="AX742" s="191" t="s">
        <v>281</v>
      </c>
      <c r="AZ742" s="192" t="s">
        <v>282</v>
      </c>
      <c r="BB742" s="193" t="s">
        <v>283</v>
      </c>
      <c r="BD742" s="192" t="s">
        <v>284</v>
      </c>
      <c r="BG742" s="194" t="s">
        <v>290</v>
      </c>
      <c r="BH742" s="195" t="s">
        <v>291</v>
      </c>
      <c r="BI742" s="194" t="s">
        <v>285</v>
      </c>
      <c r="BJ742" s="195" t="s">
        <v>286</v>
      </c>
    </row>
    <row r="743" spans="1:62" ht="15" thickTop="1" thickBot="1" x14ac:dyDescent="0.35">
      <c r="A743" s="186"/>
      <c r="B743" s="196"/>
      <c r="C743" s="197"/>
      <c r="D743" s="207"/>
      <c r="E743" s="1029">
        <f>BJ743</f>
        <v>0</v>
      </c>
      <c r="F743" s="1030"/>
      <c r="AA743" s="101"/>
      <c r="AB743" s="101">
        <f>IF(B743=$B$3005,$AB$522,0)</f>
        <v>0</v>
      </c>
      <c r="AC743" s="101">
        <f>IF(B743=$B$3006,$AC$522,0)</f>
        <v>0</v>
      </c>
      <c r="AD743" s="101">
        <f>IF(B743=$B$3007,$AD$522,0)</f>
        <v>0</v>
      </c>
      <c r="AE743" s="101">
        <f>IF(B743=$B$3008,$AE$522,0)</f>
        <v>0</v>
      </c>
      <c r="AF743" s="208">
        <f>SUM(AB743:AE743)</f>
        <v>0</v>
      </c>
      <c r="AG743" s="101">
        <f>IF(C743=$B$3011,$E$3011,0)</f>
        <v>0</v>
      </c>
      <c r="AH743" s="101">
        <f>IF(C743=$B$3012,$E$3012,0)</f>
        <v>0</v>
      </c>
      <c r="AI743" s="101">
        <f>IF(C743=$B$3013,$E$3013,0)</f>
        <v>0</v>
      </c>
      <c r="AJ743" s="101">
        <f>IF(C743=$B$3014,$E$3014,0)</f>
        <v>0</v>
      </c>
      <c r="AK743" s="101">
        <f>IF(C743=$B$3015,$E$3015,0)</f>
        <v>0</v>
      </c>
      <c r="AL743" s="101">
        <f>IF(C743=$B$3016,$E$3016,0)</f>
        <v>0</v>
      </c>
      <c r="AM743" s="209">
        <f>SUM(AG743:AL743)</f>
        <v>0</v>
      </c>
      <c r="AN743" s="101">
        <f>IF($D743=$B$3019,AN$522,0)</f>
        <v>0</v>
      </c>
      <c r="AO743" s="101">
        <f>IF($D743=$B$3020,AO$522,0)</f>
        <v>0</v>
      </c>
      <c r="AP743" s="101">
        <f>IF($D743=$B$3021,AP$522,0)</f>
        <v>0</v>
      </c>
      <c r="AQ743" s="101">
        <f>IF($D743=$B$3022,AQ$522,0)</f>
        <v>0</v>
      </c>
      <c r="AR743" s="101">
        <f>IF($D743=$B$3023,AR$522,0)</f>
        <v>0</v>
      </c>
      <c r="AS743" s="101">
        <f>IF($D743=$B$3024,AS$522,0)</f>
        <v>0</v>
      </c>
      <c r="AT743" s="101">
        <f>IF($D743=$B$3025,AT$522,0)</f>
        <v>0</v>
      </c>
      <c r="AU743" s="101">
        <f>IF($D743=$B$3026,AU$522,0)</f>
        <v>0</v>
      </c>
      <c r="AV743" s="210">
        <f>SUM(AN743:AU743)</f>
        <v>0</v>
      </c>
      <c r="AX743" s="200">
        <f>AF743*AM743</f>
        <v>0</v>
      </c>
      <c r="AZ743" s="146">
        <f>AX743+(AV743*AM743)</f>
        <v>0</v>
      </c>
      <c r="BB743" s="201">
        <f>(AF743*AM743)*0.01</f>
        <v>0</v>
      </c>
      <c r="BD743" s="202">
        <f>AZ743*0.01</f>
        <v>0</v>
      </c>
      <c r="BE743" s="377"/>
      <c r="BG743" s="201">
        <f>IF(AF743&gt;0,BG738+BB743,BG738)</f>
        <v>0</v>
      </c>
      <c r="BH743" s="202">
        <f>IF(AV743&gt;0,BH738+BD743,BH738)</f>
        <v>0</v>
      </c>
      <c r="BI743" s="201">
        <f>IF(BG743&gt;0.99,0.99,BG743)</f>
        <v>0</v>
      </c>
      <c r="BJ743" s="202">
        <f>IF(BH743&gt;0.99,0.99,BH743)</f>
        <v>0</v>
      </c>
    </row>
    <row r="744" spans="1:62" ht="14.5" thickTop="1" x14ac:dyDescent="0.3">
      <c r="A744" s="186"/>
      <c r="B744" s="187"/>
      <c r="C744" s="187"/>
      <c r="D744" s="187"/>
      <c r="E744" s="187"/>
      <c r="F744" s="1"/>
    </row>
    <row r="745" spans="1:62" ht="30" customHeight="1" x14ac:dyDescent="0.3">
      <c r="A745" s="1199" t="s">
        <v>78</v>
      </c>
      <c r="B745" s="1200" t="s">
        <v>402</v>
      </c>
      <c r="C745" s="1200"/>
      <c r="D745" s="1200"/>
      <c r="E745" s="436"/>
      <c r="F745" s="436" t="s">
        <v>869</v>
      </c>
    </row>
    <row r="746" spans="1:62" ht="20" customHeight="1" x14ac:dyDescent="0.3">
      <c r="A746" s="97"/>
      <c r="B746" s="98" t="s">
        <v>403</v>
      </c>
      <c r="C746" s="98"/>
      <c r="D746" s="98"/>
      <c r="E746" s="99"/>
      <c r="F746" s="97"/>
      <c r="AA746" s="175"/>
      <c r="AB746" s="175">
        <v>0</v>
      </c>
      <c r="AC746" s="176">
        <f>AD746/2</f>
        <v>0.25</v>
      </c>
      <c r="AD746" s="177">
        <f>AE746/2</f>
        <v>0.5</v>
      </c>
      <c r="AE746" s="178">
        <v>1</v>
      </c>
      <c r="AF746" s="109"/>
      <c r="AG746" s="109"/>
      <c r="AH746" s="109"/>
      <c r="AI746" s="109"/>
      <c r="AJ746" s="109"/>
      <c r="AK746" s="109"/>
      <c r="AL746" s="109"/>
      <c r="AN746" s="179">
        <f>AE746*-2</f>
        <v>-2</v>
      </c>
      <c r="AO746" s="175">
        <f>AE746*-1</f>
        <v>-1</v>
      </c>
      <c r="AP746" s="175">
        <f>AD746*-1</f>
        <v>-0.5</v>
      </c>
      <c r="AQ746" s="180">
        <f>AE746*-0.1</f>
        <v>-0.1</v>
      </c>
      <c r="AR746" s="180">
        <v>0</v>
      </c>
      <c r="AS746" s="180">
        <f>AE746*0.1</f>
        <v>0.1</v>
      </c>
      <c r="AT746" s="177">
        <f>AD746</f>
        <v>0.5</v>
      </c>
      <c r="AU746" s="178">
        <f>AE746</f>
        <v>1</v>
      </c>
      <c r="AV746" s="181"/>
      <c r="AW746" s="109"/>
      <c r="AX746" s="109"/>
      <c r="AY746" s="109"/>
      <c r="AZ746" s="109"/>
      <c r="BA746" s="109"/>
      <c r="BB746" s="182"/>
      <c r="BC746" s="109"/>
      <c r="BD746" s="109"/>
      <c r="BE746" s="109"/>
      <c r="BF746" s="109"/>
      <c r="BG746" s="213">
        <f>BG707</f>
        <v>0</v>
      </c>
    </row>
    <row r="747" spans="1:62" ht="15.5" x14ac:dyDescent="0.3">
      <c r="A747" s="184">
        <f>A739+1</f>
        <v>53</v>
      </c>
      <c r="B747" s="184" t="s">
        <v>404</v>
      </c>
      <c r="C747" s="184"/>
      <c r="D747" s="185" t="str">
        <f>IF(B749="","If claimed, explain in white box below.","")</f>
        <v>If claimed, explain in white box below.</v>
      </c>
      <c r="E747" s="187"/>
      <c r="F747" s="1"/>
      <c r="AB747" s="48">
        <f>A747</f>
        <v>53</v>
      </c>
      <c r="AK747" s="620">
        <f>IF(AL747=0,0,1)</f>
        <v>0</v>
      </c>
      <c r="AL747" s="48">
        <f>IF(B751=B$3005,E$3005,IF(B751=B$3006,E$3006,IF(B751=B$3007,E$3007,IF(B751=B$3008,E$3008,0))))</f>
        <v>0</v>
      </c>
      <c r="AM747" s="233" t="str">
        <f>IF(AL747=$E$3008,AC747,"")</f>
        <v/>
      </c>
    </row>
    <row r="748" spans="1:62" ht="28" customHeight="1" x14ac:dyDescent="0.3">
      <c r="A748" s="186"/>
      <c r="B748" s="1031" t="s">
        <v>3649</v>
      </c>
      <c r="C748" s="1032"/>
      <c r="D748" s="1033"/>
      <c r="E748" s="187"/>
      <c r="F748" s="1"/>
    </row>
    <row r="749" spans="1:62" ht="150" customHeight="1" thickBot="1" x14ac:dyDescent="0.35">
      <c r="A749" s="186"/>
      <c r="B749" s="1026"/>
      <c r="C749" s="1027"/>
      <c r="D749" s="1028"/>
      <c r="E749" s="187"/>
      <c r="F749" s="1"/>
      <c r="AA749" s="48">
        <f>AA741+1</f>
        <v>39</v>
      </c>
      <c r="AB749" s="849">
        <f>IF(B751="",0,1)</f>
        <v>0</v>
      </c>
      <c r="AC749" s="853">
        <f>IF(B751=B$3005,D$3005,IF(B751=B$3006,D$3006,IF(B751=B$3007,D$3007,IF(B751=B$3008,D$3008,0))))</f>
        <v>0</v>
      </c>
      <c r="AE749" s="850">
        <f>IF(D751=B$3019,E$3019,IF(D751=B$3020,E$3020,IF(D751=B$3021,E$3021,IF(D751=B$3022,E$3022,IF(D751=B$3023,E$3023,IF(D751=B$3024,E$3024,IF(D751=B$3025,E$3025,IF(D751=B$3026,E$3026,D30633))))))))</f>
        <v>0</v>
      </c>
    </row>
    <row r="750" spans="1:62" ht="15" thickTop="1" thickBot="1" x14ac:dyDescent="0.35">
      <c r="A750" s="186"/>
      <c r="B750" s="188" t="str">
        <f>IF(B749="","","Claimed?")</f>
        <v/>
      </c>
      <c r="C750" s="188" t="str">
        <f>IF(B750="","","Verifiable?")</f>
        <v/>
      </c>
      <c r="D750" s="189" t="str">
        <f>IF(C751="","","Independent verification")</f>
        <v/>
      </c>
      <c r="E750" s="1029">
        <f>BI751</f>
        <v>0</v>
      </c>
      <c r="F750" s="1030"/>
      <c r="AA750" s="52"/>
      <c r="AB750" s="52" t="s">
        <v>278</v>
      </c>
      <c r="AF750" s="204"/>
      <c r="AG750" s="52" t="s">
        <v>279</v>
      </c>
      <c r="AM750" s="205"/>
      <c r="AN750" s="52" t="s">
        <v>280</v>
      </c>
      <c r="AV750" s="206"/>
      <c r="AX750" s="191" t="s">
        <v>281</v>
      </c>
      <c r="AZ750" s="192" t="s">
        <v>282</v>
      </c>
      <c r="BB750" s="193" t="s">
        <v>283</v>
      </c>
      <c r="BD750" s="192" t="s">
        <v>284</v>
      </c>
      <c r="BG750" s="194" t="s">
        <v>290</v>
      </c>
      <c r="BH750" s="195" t="s">
        <v>291</v>
      </c>
      <c r="BI750" s="194" t="s">
        <v>285</v>
      </c>
      <c r="BJ750" s="195" t="s">
        <v>286</v>
      </c>
    </row>
    <row r="751" spans="1:62" ht="15" thickTop="1" thickBot="1" x14ac:dyDescent="0.35">
      <c r="A751" s="186"/>
      <c r="B751" s="196"/>
      <c r="C751" s="197"/>
      <c r="D751" s="207"/>
      <c r="E751" s="1029">
        <f>BJ751</f>
        <v>0</v>
      </c>
      <c r="F751" s="1030"/>
      <c r="AA751" s="101"/>
      <c r="AB751" s="101">
        <f>IF(B751=$B$3005,$AB$522,0)</f>
        <v>0</v>
      </c>
      <c r="AC751" s="101">
        <f>IF(B751=$B$3006,$AC$522,0)</f>
        <v>0</v>
      </c>
      <c r="AD751" s="101">
        <f>IF(B751=$B$3007,$AD$522,0)</f>
        <v>0</v>
      </c>
      <c r="AE751" s="101">
        <f>IF(B751=$B$3008,$AE$522,0)</f>
        <v>0</v>
      </c>
      <c r="AF751" s="208">
        <f>SUM(AB751:AE751)</f>
        <v>0</v>
      </c>
      <c r="AG751" s="101">
        <f>IF(C751=$B$3011,$E$3011,0)</f>
        <v>0</v>
      </c>
      <c r="AH751" s="101">
        <f>IF(C751=$B$3012,$E$3012,0)</f>
        <v>0</v>
      </c>
      <c r="AI751" s="101">
        <f>IF(C751=$B$3013,$E$3013,0)</f>
        <v>0</v>
      </c>
      <c r="AJ751" s="101">
        <f>IF(C751=$B$3014,$E$3014,0)</f>
        <v>0</v>
      </c>
      <c r="AK751" s="101">
        <f>IF(C751=$B$3015,$E$3015,0)</f>
        <v>0</v>
      </c>
      <c r="AL751" s="101">
        <f>IF(C751=$B$3016,$E$3016,0)</f>
        <v>0</v>
      </c>
      <c r="AM751" s="209">
        <f>SUM(AG751:AL751)</f>
        <v>0</v>
      </c>
      <c r="AN751" s="101">
        <f>IF($D751=$B$3019,AN$522,0)</f>
        <v>0</v>
      </c>
      <c r="AO751" s="101">
        <f>IF($D751=$B$3020,AO$522,0)</f>
        <v>0</v>
      </c>
      <c r="AP751" s="101">
        <f>IF($D751=$B$3021,AP$522,0)</f>
        <v>0</v>
      </c>
      <c r="AQ751" s="101">
        <f>IF($D751=$B$3022,AQ$522,0)</f>
        <v>0</v>
      </c>
      <c r="AR751" s="101">
        <f>IF($D751=$B$3023,AR$522,0)</f>
        <v>0</v>
      </c>
      <c r="AS751" s="101">
        <f>IF($D751=$B$3024,AS$522,0)</f>
        <v>0</v>
      </c>
      <c r="AT751" s="101">
        <f>IF($D751=$B$3025,AT$522,0)</f>
        <v>0</v>
      </c>
      <c r="AU751" s="101">
        <f>IF($D751=$B$3026,AU$522,0)</f>
        <v>0</v>
      </c>
      <c r="AV751" s="210">
        <f>SUM(AN751:AU751)</f>
        <v>0</v>
      </c>
      <c r="AX751" s="200">
        <f>AF751*AM751</f>
        <v>0</v>
      </c>
      <c r="AZ751" s="146">
        <f>AX751+(AV751*AM751)</f>
        <v>0</v>
      </c>
      <c r="BB751" s="201">
        <f>(AF751*AM751)*0.01</f>
        <v>0</v>
      </c>
      <c r="BD751" s="202">
        <f>AZ751*0.01</f>
        <v>0</v>
      </c>
      <c r="BE751" s="377"/>
      <c r="BG751" s="201">
        <f>IF(AF751&gt;0,BG743+BB751,BG743)</f>
        <v>0</v>
      </c>
      <c r="BH751" s="202">
        <f>IF(AV751&gt;0,BH743+BD751,BH743)</f>
        <v>0</v>
      </c>
      <c r="BI751" s="201">
        <f>IF(BG751&gt;0.99,0.99,BG751)</f>
        <v>0</v>
      </c>
      <c r="BJ751" s="202">
        <f>IF(BH751&gt;0.99,0.99,BH751)</f>
        <v>0</v>
      </c>
    </row>
    <row r="752" spans="1:62" ht="15" thickTop="1" thickBot="1" x14ac:dyDescent="0.35">
      <c r="A752" s="186"/>
      <c r="B752" s="187"/>
      <c r="C752" s="187"/>
      <c r="D752" s="187"/>
      <c r="E752" s="187"/>
      <c r="F752" s="1"/>
    </row>
    <row r="753" spans="1:62" ht="360" customHeight="1" thickTop="1" thickBot="1" x14ac:dyDescent="0.35">
      <c r="A753" s="186"/>
      <c r="B753" s="1034"/>
      <c r="C753" s="1035"/>
      <c r="D753" s="1036"/>
      <c r="E753" s="187"/>
      <c r="F753" s="1"/>
    </row>
    <row r="754" spans="1:62" ht="14.5" thickTop="1" x14ac:dyDescent="0.3">
      <c r="A754" s="186"/>
      <c r="B754" s="187"/>
      <c r="C754" s="187"/>
      <c r="D754" s="187"/>
      <c r="E754" s="187"/>
      <c r="F754" s="1"/>
      <c r="AB754" s="48" t="str">
        <f>AB755</f>
        <v xml:space="preserve">The significant complicating factors include , and possibly others less significantly. </v>
      </c>
    </row>
    <row r="755" spans="1:62" ht="30" customHeight="1" x14ac:dyDescent="0.3">
      <c r="A755" s="173" t="s">
        <v>80</v>
      </c>
      <c r="B755" s="40" t="s">
        <v>406</v>
      </c>
      <c r="C755" s="40"/>
      <c r="D755" s="40"/>
      <c r="E755" s="436"/>
      <c r="F755" s="436" t="s">
        <v>869</v>
      </c>
      <c r="AB755" s="618" t="str">
        <f>IF(AND(B761&lt;&gt;$B$3008,716&gt;$B$3008,B771&lt;&gt;$B$3008,B776&lt;&gt;$B$3008,B781&lt;&gt;$B$3008),"No significant process factors. ",CONCATENATE(AJ755,AM755,AN755,AO755,AP755,AQ755,AR755,AS755,AT755,AU755,AV755,AW755,AX755,AY755,AZ755,BA755))</f>
        <v xml:space="preserve">The significant complicating factors include , and possibly others less significantly. </v>
      </c>
      <c r="AJ755" s="48" t="s">
        <v>4032</v>
      </c>
      <c r="AM755" s="48" t="str">
        <f>IF(AM757="","",AM757)</f>
        <v/>
      </c>
      <c r="AN755" s="48" t="str">
        <f>IF(AO755="","",", ")</f>
        <v/>
      </c>
      <c r="AO755" s="48" t="str">
        <f>AM762</f>
        <v/>
      </c>
      <c r="AP755" s="48" t="str">
        <f>IF(AQ755="","",", ")</f>
        <v/>
      </c>
      <c r="AQ755" s="48" t="str">
        <f>AM767</f>
        <v/>
      </c>
      <c r="AR755" s="48" t="str">
        <f>IF(AS755="","",", ")</f>
        <v/>
      </c>
      <c r="AS755" s="48" t="str">
        <f>AM772</f>
        <v/>
      </c>
      <c r="AT755" s="48" t="str">
        <f>IF(AU755="","",", ")</f>
        <v/>
      </c>
      <c r="AU755" s="48" t="str">
        <f>AM777</f>
        <v/>
      </c>
      <c r="AV755" s="48" t="str">
        <f>IF(AW755="","",", ")</f>
        <v/>
      </c>
      <c r="AW755" s="48" t="str">
        <f>IF(AX755="","",", ")</f>
        <v/>
      </c>
      <c r="AY755" s="48" t="str">
        <f>IF(AZ755="","",", ")</f>
        <v/>
      </c>
      <c r="BA755" s="48" t="s">
        <v>4031</v>
      </c>
    </row>
    <row r="756" spans="1:62" ht="20" customHeight="1" x14ac:dyDescent="0.3">
      <c r="A756" s="97" t="s">
        <v>407</v>
      </c>
      <c r="B756" s="98"/>
      <c r="C756" s="98"/>
      <c r="D756" s="98"/>
      <c r="E756" s="99"/>
      <c r="F756" s="97"/>
      <c r="AA756" s="175"/>
      <c r="AB756" s="175">
        <v>0</v>
      </c>
      <c r="AC756" s="176">
        <f>AD756/2</f>
        <v>0.25</v>
      </c>
      <c r="AD756" s="177">
        <f>AE756/2</f>
        <v>0.5</v>
      </c>
      <c r="AE756" s="178">
        <v>1</v>
      </c>
      <c r="AF756" s="109"/>
      <c r="AG756" s="109"/>
      <c r="AH756" s="109"/>
      <c r="AI756" s="109"/>
      <c r="AJ756" s="109"/>
      <c r="AK756" s="109"/>
      <c r="AL756" s="109"/>
      <c r="AM756" s="109"/>
      <c r="AN756" s="179">
        <f>AE756*-2</f>
        <v>-2</v>
      </c>
      <c r="AO756" s="175">
        <f>AE756*-1</f>
        <v>-1</v>
      </c>
      <c r="AP756" s="175">
        <f>AD756*-1</f>
        <v>-0.5</v>
      </c>
      <c r="AQ756" s="180">
        <f>AE756*-0.1</f>
        <v>-0.1</v>
      </c>
      <c r="AR756" s="180">
        <v>0</v>
      </c>
      <c r="AS756" s="180">
        <f>AE756*0.1</f>
        <v>0.1</v>
      </c>
      <c r="AT756" s="177">
        <f>AD756</f>
        <v>0.5</v>
      </c>
      <c r="AU756" s="178">
        <f>AE756</f>
        <v>1</v>
      </c>
      <c r="AV756" s="181"/>
      <c r="AW756" s="109"/>
      <c r="AX756" s="109"/>
      <c r="AY756" s="109"/>
      <c r="AZ756" s="109"/>
      <c r="BA756" s="109"/>
      <c r="BB756" s="182"/>
      <c r="BC756" s="109"/>
      <c r="BD756" s="109"/>
      <c r="BE756" s="109"/>
      <c r="BF756" s="109"/>
      <c r="BG756" s="213">
        <f>BG746</f>
        <v>0</v>
      </c>
    </row>
    <row r="757" spans="1:62" ht="15.5" x14ac:dyDescent="0.3">
      <c r="A757" s="184">
        <f>A747+1</f>
        <v>54</v>
      </c>
      <c r="B757" s="184" t="s">
        <v>408</v>
      </c>
      <c r="C757" s="184"/>
      <c r="D757" s="185" t="str">
        <f>IF(B759="","If claimed, explain in white box below.","")</f>
        <v>If claimed, explain in white box below.</v>
      </c>
      <c r="E757" s="187"/>
      <c r="F757" s="1"/>
      <c r="AB757" s="48">
        <f>A757</f>
        <v>54</v>
      </c>
      <c r="AC757" s="48" t="s">
        <v>3996</v>
      </c>
      <c r="AG757" s="48" t="s">
        <v>4001</v>
      </c>
      <c r="AK757" s="620">
        <f>IF(AL757=0,0,1)</f>
        <v>0</v>
      </c>
      <c r="AL757" s="48">
        <f>IF(B761=B$3005,E$3005,IF(B761=B$3006,E$3006,IF(B761=B$3007,E$3007,IF(B761=B$3008,E$3008,0))))</f>
        <v>0</v>
      </c>
      <c r="AM757" s="233" t="str">
        <f>IF(AL757=$E$3008,AC757,"")</f>
        <v/>
      </c>
    </row>
    <row r="758" spans="1:62" x14ac:dyDescent="0.3">
      <c r="A758" s="186"/>
      <c r="B758" s="1031" t="s">
        <v>3650</v>
      </c>
      <c r="C758" s="1032"/>
      <c r="D758" s="1033"/>
      <c r="E758" s="187"/>
      <c r="F758" s="1"/>
    </row>
    <row r="759" spans="1:62" ht="60" customHeight="1" thickBot="1" x14ac:dyDescent="0.35">
      <c r="A759" s="186"/>
      <c r="B759" s="1026"/>
      <c r="C759" s="1027"/>
      <c r="D759" s="1028"/>
      <c r="E759" s="187"/>
      <c r="F759" s="1"/>
      <c r="AA759" s="48">
        <f>AA749+1</f>
        <v>40</v>
      </c>
      <c r="AB759" s="849">
        <f>IF(B761="",0,1)</f>
        <v>0</v>
      </c>
      <c r="AC759" s="853">
        <f>IF(B761=B$3005,D$3005,IF(B761=B$3006,D$3006,IF(B761=B$3007,D$3007,IF(B761=B$3008,D$3008,0))))</f>
        <v>0</v>
      </c>
      <c r="AE759" s="850">
        <f>IF(D761=B$3019,E$3019,IF(D761=B$3020,E$3020,IF(D761=B$3021,E$3021,IF(D761=B$3022,E$3022,IF(D761=B$3023,E$3023,IF(D761=B$3024,E$3024,IF(D761=B$3025,E$3025,IF(D761=B$3026,E$3026,D30643))))))))</f>
        <v>0</v>
      </c>
    </row>
    <row r="760" spans="1:62" ht="15" thickTop="1" thickBot="1" x14ac:dyDescent="0.35">
      <c r="A760" s="186"/>
      <c r="B760" s="188" t="str">
        <f>IF(B759="","","Claimed?")</f>
        <v/>
      </c>
      <c r="C760" s="188" t="str">
        <f>IF(B760="","","Verifiable?")</f>
        <v/>
      </c>
      <c r="D760" s="189" t="str">
        <f>IF(C761="","","Independent verification")</f>
        <v/>
      </c>
      <c r="E760" s="1029">
        <f>BI761</f>
        <v>0</v>
      </c>
      <c r="F760" s="1030"/>
      <c r="AA760" s="52"/>
      <c r="AB760" s="52" t="s">
        <v>278</v>
      </c>
      <c r="AF760" s="204"/>
      <c r="AG760" s="52" t="s">
        <v>279</v>
      </c>
      <c r="AM760" s="205"/>
      <c r="AN760" s="52" t="s">
        <v>280</v>
      </c>
      <c r="AV760" s="206"/>
      <c r="AX760" s="191" t="s">
        <v>281</v>
      </c>
      <c r="AZ760" s="192" t="s">
        <v>282</v>
      </c>
      <c r="BB760" s="193" t="s">
        <v>283</v>
      </c>
      <c r="BD760" s="192" t="s">
        <v>284</v>
      </c>
      <c r="BG760" s="194" t="s">
        <v>290</v>
      </c>
      <c r="BH760" s="195" t="s">
        <v>291</v>
      </c>
      <c r="BI760" s="194" t="s">
        <v>285</v>
      </c>
      <c r="BJ760" s="195" t="s">
        <v>286</v>
      </c>
    </row>
    <row r="761" spans="1:62" ht="15" thickTop="1" thickBot="1" x14ac:dyDescent="0.35">
      <c r="A761" s="186"/>
      <c r="B761" s="196"/>
      <c r="C761" s="197"/>
      <c r="D761" s="207"/>
      <c r="E761" s="1029">
        <f>BJ761</f>
        <v>0</v>
      </c>
      <c r="F761" s="1030"/>
      <c r="AA761" s="101"/>
      <c r="AB761" s="101">
        <f>IF(B761=$B$3005,$AB$522,0)</f>
        <v>0</v>
      </c>
      <c r="AC761" s="101">
        <f>IF(B761=$B$3006,$AC$522,0)</f>
        <v>0</v>
      </c>
      <c r="AD761" s="101">
        <f>IF(B761=$B$3007,$AD$522,0)</f>
        <v>0</v>
      </c>
      <c r="AE761" s="101">
        <f>IF(B761=$B$3008,$AE$522,0)</f>
        <v>0</v>
      </c>
      <c r="AF761" s="208">
        <f>SUM(AB761:AE761)</f>
        <v>0</v>
      </c>
      <c r="AG761" s="101">
        <f>IF(C761=$B$3011,$E$3011,0)</f>
        <v>0</v>
      </c>
      <c r="AH761" s="101">
        <f>IF(C761=$B$3012,$E$3012,0)</f>
        <v>0</v>
      </c>
      <c r="AI761" s="101">
        <f>IF(C761=$B$3013,$E$3013,0)</f>
        <v>0</v>
      </c>
      <c r="AJ761" s="101">
        <f>IF(C761=$B$3014,$E$3014,0)</f>
        <v>0</v>
      </c>
      <c r="AK761" s="101">
        <f>IF(C761=$B$3015,$E$3015,0)</f>
        <v>0</v>
      </c>
      <c r="AL761" s="101">
        <f>IF(C761=$B$3016,$E$3016,0)</f>
        <v>0</v>
      </c>
      <c r="AM761" s="209">
        <f>SUM(AG761:AL761)</f>
        <v>0</v>
      </c>
      <c r="AN761" s="101">
        <f>IF($D761=$B$3019,AN$522,0)</f>
        <v>0</v>
      </c>
      <c r="AO761" s="101">
        <f>IF($D761=$B$3020,AO$522,0)</f>
        <v>0</v>
      </c>
      <c r="AP761" s="101">
        <f>IF($D761=$B$3021,AP$522,0)</f>
        <v>0</v>
      </c>
      <c r="AQ761" s="101">
        <f>IF($D761=$B$3022,AQ$522,0)</f>
        <v>0</v>
      </c>
      <c r="AR761" s="101">
        <f>IF($D761=$B$3023,AR$522,0)</f>
        <v>0</v>
      </c>
      <c r="AS761" s="101">
        <f>IF($D761=$B$3024,AS$522,0)</f>
        <v>0</v>
      </c>
      <c r="AT761" s="101">
        <f>IF($D761=$B$3025,AT$522,0)</f>
        <v>0</v>
      </c>
      <c r="AU761" s="101">
        <f>IF($D761=$B$3026,AU$522,0)</f>
        <v>0</v>
      </c>
      <c r="AV761" s="210">
        <f>SUM(AN761:AU761)</f>
        <v>0</v>
      </c>
      <c r="AX761" s="200">
        <f>AF761*AM761</f>
        <v>0</v>
      </c>
      <c r="AZ761" s="146">
        <f>AX761+(AV761*AM761)</f>
        <v>0</v>
      </c>
      <c r="BB761" s="201">
        <f>(AF761*AM761)*0.01</f>
        <v>0</v>
      </c>
      <c r="BD761" s="202">
        <f>AZ761*0.01</f>
        <v>0</v>
      </c>
      <c r="BE761" s="377"/>
      <c r="BG761" s="201">
        <f>IF(AF761&gt;0,BG751+BB761,BG751)</f>
        <v>0</v>
      </c>
      <c r="BH761" s="202">
        <f>IF(AV761&gt;0,BH751+BD761,BH751)</f>
        <v>0</v>
      </c>
      <c r="BI761" s="201">
        <f>IF(BG761&gt;0.99,0.99,BG761)</f>
        <v>0</v>
      </c>
      <c r="BJ761" s="202">
        <f>IF(BH761&gt;0.99,0.99,BH761)</f>
        <v>0</v>
      </c>
    </row>
    <row r="762" spans="1:62" ht="16" thickTop="1" x14ac:dyDescent="0.3">
      <c r="A762" s="184">
        <f>A757+1</f>
        <v>55</v>
      </c>
      <c r="B762" s="184" t="s">
        <v>410</v>
      </c>
      <c r="C762" s="184"/>
      <c r="D762" s="185" t="str">
        <f>IF(B764="","If claimed, explain in white box below.","")</f>
        <v>If claimed, explain in white box below.</v>
      </c>
      <c r="E762" s="187"/>
      <c r="F762" s="1"/>
      <c r="AB762" s="48">
        <f>A762</f>
        <v>55</v>
      </c>
      <c r="AC762" s="48" t="s">
        <v>3997</v>
      </c>
      <c r="AG762" s="48" t="s">
        <v>4000</v>
      </c>
      <c r="AK762" s="620">
        <f>IF(AL762=0,0,1)</f>
        <v>0</v>
      </c>
      <c r="AL762" s="48">
        <f>IF(B766=B$3005,E$3005,IF(B766=B$3006,E$3006,IF(B766=B$3007,E$3007,IF(B766=B$3008,E$3008,0))))</f>
        <v>0</v>
      </c>
      <c r="AM762" s="233" t="str">
        <f>IF(AL762=$E$3008,AC762,"")</f>
        <v/>
      </c>
    </row>
    <row r="763" spans="1:62" x14ac:dyDescent="0.3">
      <c r="A763" s="186"/>
      <c r="B763" s="1031" t="s">
        <v>409</v>
      </c>
      <c r="C763" s="1032"/>
      <c r="D763" s="1033"/>
      <c r="E763" s="187"/>
      <c r="F763" s="1"/>
    </row>
    <row r="764" spans="1:62" ht="60" customHeight="1" thickBot="1" x14ac:dyDescent="0.35">
      <c r="A764" s="186"/>
      <c r="B764" s="1026"/>
      <c r="C764" s="1027"/>
      <c r="D764" s="1028"/>
      <c r="E764" s="187"/>
      <c r="F764" s="1"/>
      <c r="AA764" s="48">
        <f>AA759+1</f>
        <v>41</v>
      </c>
      <c r="AB764" s="849">
        <f>IF(B766="",0,1)</f>
        <v>0</v>
      </c>
      <c r="AC764" s="853">
        <f>IF(B766=B$3005,D$3005,IF(B766=B$3006,D$3006,IF(B766=B$3007,D$3007,IF(B766=B$3008,D$3008,0))))</f>
        <v>0</v>
      </c>
      <c r="AE764" s="850">
        <f>IF(D766=B$3019,E$3019,IF(D766=B$3020,E$3020,IF(D766=B$3021,E$3021,IF(D766=B$3022,E$3022,IF(D766=B$3023,E$3023,IF(D766=B$3024,E$3024,IF(D766=B$3025,E$3025,IF(D766=B$3026,E$3026,D30648))))))))</f>
        <v>0</v>
      </c>
    </row>
    <row r="765" spans="1:62" ht="15" thickTop="1" thickBot="1" x14ac:dyDescent="0.35">
      <c r="A765" s="186"/>
      <c r="B765" s="188" t="str">
        <f>IF(B764="","","Claimed?")</f>
        <v/>
      </c>
      <c r="C765" s="188" t="str">
        <f>IF(B765="","","Verifiable?")</f>
        <v/>
      </c>
      <c r="D765" s="189" t="str">
        <f>IF(C766="","","Independent verification")</f>
        <v/>
      </c>
      <c r="E765" s="1029">
        <f>BI766</f>
        <v>0</v>
      </c>
      <c r="F765" s="1030"/>
      <c r="AA765" s="52"/>
      <c r="AB765" s="52" t="s">
        <v>278</v>
      </c>
      <c r="AF765" s="204"/>
      <c r="AG765" s="52" t="s">
        <v>279</v>
      </c>
      <c r="AM765" s="205"/>
      <c r="AN765" s="52" t="s">
        <v>280</v>
      </c>
      <c r="AV765" s="206"/>
      <c r="AX765" s="191" t="s">
        <v>281</v>
      </c>
      <c r="AZ765" s="192" t="s">
        <v>282</v>
      </c>
      <c r="BB765" s="193" t="s">
        <v>283</v>
      </c>
      <c r="BD765" s="192" t="s">
        <v>284</v>
      </c>
      <c r="BG765" s="194" t="s">
        <v>290</v>
      </c>
      <c r="BH765" s="195" t="s">
        <v>291</v>
      </c>
      <c r="BI765" s="194" t="s">
        <v>285</v>
      </c>
      <c r="BJ765" s="195" t="s">
        <v>286</v>
      </c>
    </row>
    <row r="766" spans="1:62" ht="15" thickTop="1" thickBot="1" x14ac:dyDescent="0.35">
      <c r="A766" s="186"/>
      <c r="B766" s="196"/>
      <c r="C766" s="197"/>
      <c r="D766" s="207"/>
      <c r="E766" s="1029">
        <f>BJ766</f>
        <v>0</v>
      </c>
      <c r="F766" s="1030"/>
      <c r="AA766" s="101"/>
      <c r="AB766" s="101">
        <f>IF(B766=$B$3005,$AB$522,0)</f>
        <v>0</v>
      </c>
      <c r="AC766" s="101">
        <f>IF(B766=$B$3006,$AC$522,0)</f>
        <v>0</v>
      </c>
      <c r="AD766" s="101">
        <f>IF(B766=$B$3007,$AD$522,0)</f>
        <v>0</v>
      </c>
      <c r="AE766" s="101">
        <f>IF(B766=$B$3008,$AE$522,0)</f>
        <v>0</v>
      </c>
      <c r="AF766" s="208">
        <f>SUM(AB766:AE766)</f>
        <v>0</v>
      </c>
      <c r="AG766" s="101">
        <f>IF(C766=$B$3011,$E$3011,0)</f>
        <v>0</v>
      </c>
      <c r="AH766" s="101">
        <f>IF(C766=$B$3012,$E$3012,0)</f>
        <v>0</v>
      </c>
      <c r="AI766" s="101">
        <f>IF(C766=$B$3013,$E$3013,0)</f>
        <v>0</v>
      </c>
      <c r="AJ766" s="101">
        <f>IF(C766=$B$3014,$E$3014,0)</f>
        <v>0</v>
      </c>
      <c r="AK766" s="101">
        <f>IF(C766=$B$3015,$E$3015,0)</f>
        <v>0</v>
      </c>
      <c r="AL766" s="101">
        <f>IF(C766=$B$3016,$E$3016,0)</f>
        <v>0</v>
      </c>
      <c r="AM766" s="209">
        <f>SUM(AG766:AL766)</f>
        <v>0</v>
      </c>
      <c r="AN766" s="101">
        <f>IF($D766=$B$3019,AN$522,0)</f>
        <v>0</v>
      </c>
      <c r="AO766" s="101">
        <f>IF($D766=$B$3020,AO$522,0)</f>
        <v>0</v>
      </c>
      <c r="AP766" s="101">
        <f>IF($D766=$B$3021,AP$522,0)</f>
        <v>0</v>
      </c>
      <c r="AQ766" s="101">
        <f>IF($D766=$B$3022,AQ$522,0)</f>
        <v>0</v>
      </c>
      <c r="AR766" s="101">
        <f>IF($D766=$B$3023,AR$522,0)</f>
        <v>0</v>
      </c>
      <c r="AS766" s="101">
        <f>IF($D766=$B$3024,AS$522,0)</f>
        <v>0</v>
      </c>
      <c r="AT766" s="101">
        <f>IF($D766=$B$3025,AT$522,0)</f>
        <v>0</v>
      </c>
      <c r="AU766" s="101">
        <f>IF($D766=$B$3026,AU$522,0)</f>
        <v>0</v>
      </c>
      <c r="AV766" s="210">
        <f>SUM(AN766:AU766)</f>
        <v>0</v>
      </c>
      <c r="AX766" s="200">
        <f>AF766*AM766</f>
        <v>0</v>
      </c>
      <c r="AZ766" s="146">
        <f>AX766+(AV766*AM766)</f>
        <v>0</v>
      </c>
      <c r="BB766" s="201">
        <f>(AF766*AM766)*0.01</f>
        <v>0</v>
      </c>
      <c r="BD766" s="202">
        <f>AZ766*0.01</f>
        <v>0</v>
      </c>
      <c r="BE766" s="377"/>
      <c r="BG766" s="201">
        <f>IF(AF766&gt;0,BG761+BB766,BG761)</f>
        <v>0</v>
      </c>
      <c r="BH766" s="202">
        <f>IF(AV766&gt;0,BH761+BD766,BH761)</f>
        <v>0</v>
      </c>
      <c r="BI766" s="201">
        <f>IF(BG766&gt;0.99,0.99,BG766)</f>
        <v>0</v>
      </c>
      <c r="BJ766" s="202">
        <f>IF(BH766&gt;0.99,0.99,BH766)</f>
        <v>0</v>
      </c>
    </row>
    <row r="767" spans="1:62" ht="16" thickTop="1" x14ac:dyDescent="0.3">
      <c r="A767" s="184">
        <f>A762+1</f>
        <v>56</v>
      </c>
      <c r="B767" s="184" t="s">
        <v>411</v>
      </c>
      <c r="C767" s="184"/>
      <c r="D767" s="185" t="str">
        <f>IF(B769="","If claimed, explain in white box below.","")</f>
        <v>If claimed, explain in white box below.</v>
      </c>
      <c r="E767" s="187"/>
      <c r="F767" s="1"/>
      <c r="AB767" s="48">
        <f>A767</f>
        <v>56</v>
      </c>
      <c r="AC767" s="48" t="s">
        <v>3998</v>
      </c>
      <c r="AG767" s="48" t="s">
        <v>3999</v>
      </c>
      <c r="AK767" s="620">
        <f>IF(AL767=0,0,1)</f>
        <v>0</v>
      </c>
      <c r="AL767" s="48">
        <f>IF(B771=B$3005,E$3005,IF(B771=B$3006,E$3006,IF(B771=B$3007,E$3007,IF(B771=B$3008,E$3008,0))))</f>
        <v>0</v>
      </c>
      <c r="AM767" s="233" t="str">
        <f>IF(AL767=$E$3008,AC767,"")</f>
        <v/>
      </c>
    </row>
    <row r="768" spans="1:62" x14ac:dyDescent="0.3">
      <c r="A768" s="186"/>
      <c r="B768" s="1031" t="s">
        <v>412</v>
      </c>
      <c r="C768" s="1032"/>
      <c r="D768" s="1033"/>
      <c r="E768" s="187"/>
      <c r="F768" s="1"/>
    </row>
    <row r="769" spans="1:62" ht="60" customHeight="1" thickBot="1" x14ac:dyDescent="0.35">
      <c r="A769" s="186"/>
      <c r="B769" s="1026"/>
      <c r="C769" s="1027"/>
      <c r="D769" s="1028"/>
      <c r="E769" s="187"/>
      <c r="F769" s="1"/>
      <c r="AA769" s="48">
        <f>AA764+1</f>
        <v>42</v>
      </c>
      <c r="AB769" s="849">
        <f>IF(B771="",0,1)</f>
        <v>0</v>
      </c>
      <c r="AC769" s="853">
        <f>IF(B771=B$3005,D$3005,IF(B771=B$3006,D$3006,IF(B771=B$3007,D$3007,IF(B771=B$3008,D$3008,0))))</f>
        <v>0</v>
      </c>
      <c r="AE769" s="850">
        <f>IF(D771=B$3019,E$3019,IF(D771=B$3020,E$3020,IF(D771=B$3021,E$3021,IF(D771=B$3022,E$3022,IF(D771=B$3023,E$3023,IF(D771=B$3024,E$3024,IF(D771=B$3025,E$3025,IF(D771=B$3026,E$3026,D30653))))))))</f>
        <v>0</v>
      </c>
    </row>
    <row r="770" spans="1:62" ht="15" thickTop="1" thickBot="1" x14ac:dyDescent="0.35">
      <c r="A770" s="186"/>
      <c r="B770" s="188" t="str">
        <f>IF(B769="","","Claimed?")</f>
        <v/>
      </c>
      <c r="C770" s="188" t="str">
        <f>IF(B770="","","Verifiable?")</f>
        <v/>
      </c>
      <c r="D770" s="189" t="str">
        <f>IF(C771="","","Independent verification")</f>
        <v/>
      </c>
      <c r="E770" s="1029">
        <f>BI771</f>
        <v>0</v>
      </c>
      <c r="F770" s="1030"/>
      <c r="AA770" s="52"/>
      <c r="AB770" s="52" t="s">
        <v>278</v>
      </c>
      <c r="AF770" s="204"/>
      <c r="AG770" s="52" t="s">
        <v>279</v>
      </c>
      <c r="AM770" s="205"/>
      <c r="AN770" s="52" t="s">
        <v>280</v>
      </c>
      <c r="AV770" s="206"/>
      <c r="AX770" s="191" t="s">
        <v>281</v>
      </c>
      <c r="AZ770" s="192" t="s">
        <v>282</v>
      </c>
      <c r="BB770" s="193" t="s">
        <v>283</v>
      </c>
      <c r="BD770" s="192" t="s">
        <v>284</v>
      </c>
      <c r="BG770" s="194" t="s">
        <v>290</v>
      </c>
      <c r="BH770" s="195" t="s">
        <v>291</v>
      </c>
      <c r="BI770" s="194" t="s">
        <v>285</v>
      </c>
      <c r="BJ770" s="195" t="s">
        <v>286</v>
      </c>
    </row>
    <row r="771" spans="1:62" ht="15" thickTop="1" thickBot="1" x14ac:dyDescent="0.35">
      <c r="A771" s="186"/>
      <c r="B771" s="196"/>
      <c r="C771" s="197"/>
      <c r="D771" s="207"/>
      <c r="E771" s="1029">
        <f>BJ771</f>
        <v>0</v>
      </c>
      <c r="F771" s="1030"/>
      <c r="AA771" s="101"/>
      <c r="AB771" s="101">
        <f>IF(B771=$B$3005,$AB$522,0)</f>
        <v>0</v>
      </c>
      <c r="AC771" s="101">
        <f>IF(B771=$B$3006,$AC$522,0)</f>
        <v>0</v>
      </c>
      <c r="AD771" s="101">
        <f>IF(B771=$B$3007,$AD$522,0)</f>
        <v>0</v>
      </c>
      <c r="AE771" s="101">
        <f>IF(B771=$B$3008,$AE$522,0)</f>
        <v>0</v>
      </c>
      <c r="AF771" s="208">
        <f>SUM(AB771:AE771)</f>
        <v>0</v>
      </c>
      <c r="AG771" s="101">
        <f>IF(C771=$B$3011,$E$3011,0)</f>
        <v>0</v>
      </c>
      <c r="AH771" s="101">
        <f>IF(C771=$B$3012,$E$3012,0)</f>
        <v>0</v>
      </c>
      <c r="AI771" s="101">
        <f>IF(C771=$B$3013,$E$3013,0)</f>
        <v>0</v>
      </c>
      <c r="AJ771" s="101">
        <f>IF(C771=$B$3014,$E$3014,0)</f>
        <v>0</v>
      </c>
      <c r="AK771" s="101">
        <f>IF(C771=$B$3015,$E$3015,0)</f>
        <v>0</v>
      </c>
      <c r="AL771" s="101">
        <f>IF(C771=$B$3016,$E$3016,0)</f>
        <v>0</v>
      </c>
      <c r="AM771" s="209">
        <f>SUM(AG771:AL771)</f>
        <v>0</v>
      </c>
      <c r="AN771" s="101">
        <f>IF($D771=$B$3019,AN$522,0)</f>
        <v>0</v>
      </c>
      <c r="AO771" s="101">
        <f>IF($D771=$B$3020,AO$522,0)</f>
        <v>0</v>
      </c>
      <c r="AP771" s="101">
        <f>IF($D771=$B$3021,AP$522,0)</f>
        <v>0</v>
      </c>
      <c r="AQ771" s="101">
        <f>IF($D771=$B$3022,AQ$522,0)</f>
        <v>0</v>
      </c>
      <c r="AR771" s="101">
        <f>IF($D771=$B$3023,AR$522,0)</f>
        <v>0</v>
      </c>
      <c r="AS771" s="101">
        <f>IF($D771=$B$3024,AS$522,0)</f>
        <v>0</v>
      </c>
      <c r="AT771" s="101">
        <f>IF($D771=$B$3025,AT$522,0)</f>
        <v>0</v>
      </c>
      <c r="AU771" s="101">
        <f>IF($D771=$B$3026,AU$522,0)</f>
        <v>0</v>
      </c>
      <c r="AV771" s="210">
        <f>SUM(AN771:AU771)</f>
        <v>0</v>
      </c>
      <c r="AX771" s="200">
        <f>AF771*AM771</f>
        <v>0</v>
      </c>
      <c r="AZ771" s="146">
        <f>AX771+(AV771*AM771)</f>
        <v>0</v>
      </c>
      <c r="BB771" s="201">
        <f>(AF771*AM771)*0.01</f>
        <v>0</v>
      </c>
      <c r="BD771" s="202">
        <f>AZ771*0.01</f>
        <v>0</v>
      </c>
      <c r="BE771" s="377"/>
      <c r="BG771" s="201">
        <f>IF(AF771&gt;0,BG766+BB771,BG766)</f>
        <v>0</v>
      </c>
      <c r="BH771" s="202">
        <f>IF(AV771&gt;0,BH766+BD771,BH766)</f>
        <v>0</v>
      </c>
      <c r="BI771" s="201">
        <f>IF(BG771&gt;0.99,0.99,BG771)</f>
        <v>0</v>
      </c>
      <c r="BJ771" s="202">
        <f>IF(BH771&gt;0.99,0.99,BH771)</f>
        <v>0</v>
      </c>
    </row>
    <row r="772" spans="1:62" ht="16" thickTop="1" x14ac:dyDescent="0.3">
      <c r="A772" s="184">
        <f>A767+1</f>
        <v>57</v>
      </c>
      <c r="B772" s="184" t="s">
        <v>413</v>
      </c>
      <c r="C772" s="184"/>
      <c r="D772" s="185" t="str">
        <f>IF(B774="","If claimed, explain in white box below.","")</f>
        <v>If claimed, explain in white box below.</v>
      </c>
      <c r="E772" s="187"/>
      <c r="F772" s="1"/>
      <c r="AB772" s="48">
        <f>A772</f>
        <v>57</v>
      </c>
      <c r="AC772" s="48" t="s">
        <v>4002</v>
      </c>
      <c r="AK772" s="620">
        <f>IF(AL772=0,0,1)</f>
        <v>0</v>
      </c>
      <c r="AL772" s="48">
        <f>IF(B776=B$3005,E$3005,IF(B776=B$3006,E$3006,IF(B776=B$3007,E$3007,IF(B776=B$3008,E$3008,0))))</f>
        <v>0</v>
      </c>
      <c r="AM772" s="233" t="str">
        <f>IF(AL772=$E$3008,AC772,"")</f>
        <v/>
      </c>
    </row>
    <row r="773" spans="1:62" x14ac:dyDescent="0.3">
      <c r="A773" s="186"/>
      <c r="B773" s="1031" t="s">
        <v>414</v>
      </c>
      <c r="C773" s="1032"/>
      <c r="D773" s="1033"/>
      <c r="E773" s="187"/>
      <c r="F773" s="1"/>
    </row>
    <row r="774" spans="1:62" ht="60" customHeight="1" thickBot="1" x14ac:dyDescent="0.35">
      <c r="A774" s="186"/>
      <c r="B774" s="1026"/>
      <c r="C774" s="1027"/>
      <c r="D774" s="1028"/>
      <c r="E774" s="187"/>
      <c r="F774" s="1"/>
      <c r="AA774" s="48">
        <f>AA769+1</f>
        <v>43</v>
      </c>
      <c r="AB774" s="849">
        <f>IF(B776="",0,1)</f>
        <v>0</v>
      </c>
      <c r="AC774" s="853">
        <f>IF(B776=B$3005,D$3005,IF(B776=B$3006,D$3006,IF(B776=B$3007,D$3007,IF(B776=B$3008,D$3008,0))))</f>
        <v>0</v>
      </c>
      <c r="AE774" s="850">
        <f>IF(D776=B$3019,E$3019,IF(D776=B$3020,E$3020,IF(D776=B$3021,E$3021,IF(D776=B$3022,E$3022,IF(D776=B$3023,E$3023,IF(D776=B$3024,E$3024,IF(D776=B$3025,E$3025,IF(D776=B$3026,E$3026,D30658))))))))</f>
        <v>0</v>
      </c>
    </row>
    <row r="775" spans="1:62" ht="15" thickTop="1" thickBot="1" x14ac:dyDescent="0.35">
      <c r="A775" s="186"/>
      <c r="B775" s="188" t="str">
        <f>IF(B774="","","Claimed?")</f>
        <v/>
      </c>
      <c r="C775" s="188" t="str">
        <f>IF(B775="","","Verifiable?")</f>
        <v/>
      </c>
      <c r="D775" s="189" t="str">
        <f>IF(C776="","","Independent verification")</f>
        <v/>
      </c>
      <c r="E775" s="1029">
        <f>BI776</f>
        <v>0</v>
      </c>
      <c r="F775" s="1030"/>
      <c r="AA775" s="52"/>
      <c r="AB775" s="52" t="s">
        <v>278</v>
      </c>
      <c r="AF775" s="204"/>
      <c r="AG775" s="52" t="s">
        <v>279</v>
      </c>
      <c r="AM775" s="205"/>
      <c r="AN775" s="52" t="s">
        <v>280</v>
      </c>
      <c r="AV775" s="206"/>
      <c r="AX775" s="191" t="s">
        <v>281</v>
      </c>
      <c r="AZ775" s="192" t="s">
        <v>282</v>
      </c>
      <c r="BB775" s="193" t="s">
        <v>283</v>
      </c>
      <c r="BD775" s="192" t="s">
        <v>284</v>
      </c>
      <c r="BG775" s="194" t="s">
        <v>290</v>
      </c>
      <c r="BH775" s="195" t="s">
        <v>291</v>
      </c>
      <c r="BI775" s="194" t="s">
        <v>285</v>
      </c>
      <c r="BJ775" s="195" t="s">
        <v>286</v>
      </c>
    </row>
    <row r="776" spans="1:62" ht="15" thickTop="1" thickBot="1" x14ac:dyDescent="0.35">
      <c r="A776" s="186"/>
      <c r="B776" s="196"/>
      <c r="C776" s="197"/>
      <c r="D776" s="207"/>
      <c r="E776" s="1029">
        <f>BJ776</f>
        <v>0</v>
      </c>
      <c r="F776" s="1030"/>
      <c r="AA776" s="101"/>
      <c r="AB776" s="101">
        <f>IF(B776=$B$3005,$AB$522,0)</f>
        <v>0</v>
      </c>
      <c r="AC776" s="101">
        <f>IF(B776=$B$3006,$AC$522,0)</f>
        <v>0</v>
      </c>
      <c r="AD776" s="101">
        <f>IF(B776=$B$3007,$AD$522,0)</f>
        <v>0</v>
      </c>
      <c r="AE776" s="101">
        <f>IF(B776=$B$3008,$AE$522,0)</f>
        <v>0</v>
      </c>
      <c r="AF776" s="208">
        <f>SUM(AB776:AE776)</f>
        <v>0</v>
      </c>
      <c r="AG776" s="101">
        <f>IF(C776=$B$3011,$E$3011,0)</f>
        <v>0</v>
      </c>
      <c r="AH776" s="101">
        <f>IF(C776=$B$3012,$E$3012,0)</f>
        <v>0</v>
      </c>
      <c r="AI776" s="101">
        <f>IF(C776=$B$3013,$E$3013,0)</f>
        <v>0</v>
      </c>
      <c r="AJ776" s="101">
        <f>IF(C776=$B$3014,$E$3014,0)</f>
        <v>0</v>
      </c>
      <c r="AK776" s="101">
        <f>IF(C776=$B$3015,$E$3015,0)</f>
        <v>0</v>
      </c>
      <c r="AL776" s="101">
        <f>IF(C776=$B$3016,$E$3016,0)</f>
        <v>0</v>
      </c>
      <c r="AM776" s="209">
        <f>SUM(AG776:AL776)</f>
        <v>0</v>
      </c>
      <c r="AN776" s="101">
        <f>IF($D776=$B$3019,AN$522,0)</f>
        <v>0</v>
      </c>
      <c r="AO776" s="101">
        <f>IF($D776=$B$3020,AO$522,0)</f>
        <v>0</v>
      </c>
      <c r="AP776" s="101">
        <f>IF($D776=$B$3021,AP$522,0)</f>
        <v>0</v>
      </c>
      <c r="AQ776" s="101">
        <f>IF($D776=$B$3022,AQ$522,0)</f>
        <v>0</v>
      </c>
      <c r="AR776" s="101">
        <f>IF($D776=$B$3023,AR$522,0)</f>
        <v>0</v>
      </c>
      <c r="AS776" s="101">
        <f>IF($D776=$B$3024,AS$522,0)</f>
        <v>0</v>
      </c>
      <c r="AT776" s="101">
        <f>IF($D776=$B$3025,AT$522,0)</f>
        <v>0</v>
      </c>
      <c r="AU776" s="101">
        <f>IF($D776=$B$3026,AU$522,0)</f>
        <v>0</v>
      </c>
      <c r="AV776" s="210">
        <f>SUM(AN776:AU776)</f>
        <v>0</v>
      </c>
      <c r="AX776" s="200">
        <f>AF776*AM776</f>
        <v>0</v>
      </c>
      <c r="AZ776" s="146">
        <f>AX776+(AV776*AM776)</f>
        <v>0</v>
      </c>
      <c r="BB776" s="201">
        <f>(AF776*AM776)*0.01</f>
        <v>0</v>
      </c>
      <c r="BD776" s="202">
        <f>AZ776*0.01</f>
        <v>0</v>
      </c>
      <c r="BE776" s="377"/>
      <c r="BG776" s="201">
        <f>IF(AF776&gt;0,BG771+BB776,BG771)</f>
        <v>0</v>
      </c>
      <c r="BH776" s="202">
        <f>IF(AV776&gt;0,BH771+BD776,BH771)</f>
        <v>0</v>
      </c>
      <c r="BI776" s="201">
        <f>IF(BG776&gt;0.99,0.99,BG776)</f>
        <v>0</v>
      </c>
      <c r="BJ776" s="202">
        <f>IF(BH776&gt;0.99,0.99,BH776)</f>
        <v>0</v>
      </c>
    </row>
    <row r="777" spans="1:62" ht="16" thickTop="1" x14ac:dyDescent="0.3">
      <c r="A777" s="184">
        <f>A772+1</f>
        <v>58</v>
      </c>
      <c r="B777" s="184" t="s">
        <v>415</v>
      </c>
      <c r="C777" s="184"/>
      <c r="D777" s="215" t="str">
        <f>IF(B779="","If claimed, explain in white box below.","")</f>
        <v>If claimed, explain in white box below.</v>
      </c>
      <c r="E777" s="187"/>
      <c r="F777" s="1"/>
      <c r="AB777" s="48">
        <f>A777</f>
        <v>58</v>
      </c>
      <c r="AC777" s="48" t="s">
        <v>4003</v>
      </c>
      <c r="AG777" s="48" t="s">
        <v>4004</v>
      </c>
      <c r="AK777" s="620">
        <f>IF(AL777=0,0,1)</f>
        <v>0</v>
      </c>
      <c r="AL777" s="48">
        <f>IF(B781=B$3005,E$3005,IF(B781=B$3006,E$3006,IF(B781=B$3007,E$3007,IF(B781=B$3008,E$3008,0))))</f>
        <v>0</v>
      </c>
      <c r="AM777" s="233" t="str">
        <f>IF(AL777=$E$3008,AC777,"")</f>
        <v/>
      </c>
    </row>
    <row r="778" spans="1:62" x14ac:dyDescent="0.3">
      <c r="A778" s="186"/>
      <c r="B778" s="1031" t="s">
        <v>416</v>
      </c>
      <c r="C778" s="1032"/>
      <c r="D778" s="1033"/>
      <c r="E778" s="187"/>
      <c r="F778" s="1"/>
    </row>
    <row r="779" spans="1:62" ht="60" customHeight="1" thickBot="1" x14ac:dyDescent="0.35">
      <c r="A779" s="186"/>
      <c r="B779" s="1026"/>
      <c r="C779" s="1027"/>
      <c r="D779" s="1028"/>
      <c r="E779" s="187"/>
      <c r="F779" s="1"/>
      <c r="AA779" s="48">
        <f>AA774+1</f>
        <v>44</v>
      </c>
      <c r="AB779" s="849">
        <f>IF(B781="",0,1)</f>
        <v>0</v>
      </c>
      <c r="AC779" s="853">
        <f>IF(B781=B$3005,D$3005,IF(B781=B$3006,D$3006,IF(B781=B$3007,D$3007,IF(B781=B$3008,D$3008,0))))</f>
        <v>0</v>
      </c>
      <c r="AE779" s="850">
        <f>IF(D781=B$3019,E$3019,IF(D781=B$3020,E$3020,IF(D781=B$3021,E$3021,IF(D781=B$3022,E$3022,IF(D781=B$3023,E$3023,IF(D781=B$3024,E$3024,IF(D781=B$3025,E$3025,IF(D781=B$3026,E$3026,D30663))))))))</f>
        <v>0</v>
      </c>
    </row>
    <row r="780" spans="1:62" ht="15" thickTop="1" thickBot="1" x14ac:dyDescent="0.35">
      <c r="A780" s="186"/>
      <c r="B780" s="188" t="str">
        <f>IF(B779="","","Claimed?")</f>
        <v/>
      </c>
      <c r="C780" s="188" t="str">
        <f>IF(B780="","","Verifiable?")</f>
        <v/>
      </c>
      <c r="D780" s="189" t="str">
        <f>IF(C781="","","Independent verification")</f>
        <v/>
      </c>
      <c r="E780" s="1029">
        <f>BI781</f>
        <v>0</v>
      </c>
      <c r="F780" s="1030"/>
      <c r="AA780" s="52"/>
      <c r="AB780" s="52" t="s">
        <v>278</v>
      </c>
      <c r="AF780" s="204"/>
      <c r="AG780" s="52" t="s">
        <v>279</v>
      </c>
      <c r="AM780" s="205"/>
      <c r="AN780" s="52" t="s">
        <v>280</v>
      </c>
      <c r="AV780" s="206"/>
      <c r="AX780" s="191" t="s">
        <v>281</v>
      </c>
      <c r="AZ780" s="192" t="s">
        <v>282</v>
      </c>
      <c r="BB780" s="193" t="s">
        <v>283</v>
      </c>
      <c r="BD780" s="192" t="s">
        <v>284</v>
      </c>
      <c r="BG780" s="194" t="s">
        <v>290</v>
      </c>
      <c r="BH780" s="195" t="s">
        <v>291</v>
      </c>
      <c r="BI780" s="194" t="s">
        <v>285</v>
      </c>
      <c r="BJ780" s="195" t="s">
        <v>286</v>
      </c>
    </row>
    <row r="781" spans="1:62" ht="15" thickTop="1" thickBot="1" x14ac:dyDescent="0.35">
      <c r="A781" s="186"/>
      <c r="B781" s="196"/>
      <c r="C781" s="197"/>
      <c r="D781" s="207"/>
      <c r="E781" s="1029">
        <f>BJ781</f>
        <v>0</v>
      </c>
      <c r="F781" s="1030"/>
      <c r="AA781" s="101"/>
      <c r="AB781" s="101">
        <f>IF(B781=$B$3005,$AB$522,0)</f>
        <v>0</v>
      </c>
      <c r="AC781" s="101">
        <f>IF(B781=$B$3006,$AC$522,0)</f>
        <v>0</v>
      </c>
      <c r="AD781" s="101">
        <f>IF(B781=$B$3007,$AD$522,0)</f>
        <v>0</v>
      </c>
      <c r="AE781" s="101">
        <f>IF(B781=$B$3008,$AE$522,0)</f>
        <v>0</v>
      </c>
      <c r="AF781" s="208">
        <f>SUM(AB781:AE781)</f>
        <v>0</v>
      </c>
      <c r="AG781" s="101">
        <f>IF(C781=$B$3011,$E$3011,0)</f>
        <v>0</v>
      </c>
      <c r="AH781" s="101">
        <f>IF(C781=$B$3012,$E$3012,0)</f>
        <v>0</v>
      </c>
      <c r="AI781" s="101">
        <f>IF(C781=$B$3013,$E$3013,0)</f>
        <v>0</v>
      </c>
      <c r="AJ781" s="101">
        <f>IF(C781=$B$3014,$E$3014,0)</f>
        <v>0</v>
      </c>
      <c r="AK781" s="101">
        <f>IF(C781=$B$3015,$E$3015,0)</f>
        <v>0</v>
      </c>
      <c r="AL781" s="101">
        <f>IF(C781=$B$3016,$E$3016,0)</f>
        <v>0</v>
      </c>
      <c r="AM781" s="209">
        <f>SUM(AG781:AL781)</f>
        <v>0</v>
      </c>
      <c r="AN781" s="101">
        <f>IF($D781=$B$3019,AN$522,0)</f>
        <v>0</v>
      </c>
      <c r="AO781" s="101">
        <f>IF($D781=$B$3020,AO$522,0)</f>
        <v>0</v>
      </c>
      <c r="AP781" s="101">
        <f>IF($D781=$B$3021,AP$522,0)</f>
        <v>0</v>
      </c>
      <c r="AQ781" s="101">
        <f>IF($D781=$B$3022,AQ$522,0)</f>
        <v>0</v>
      </c>
      <c r="AR781" s="101">
        <f>IF($D781=$B$3023,AR$522,0)</f>
        <v>0</v>
      </c>
      <c r="AS781" s="101">
        <f>IF($D781=$B$3024,AS$522,0)</f>
        <v>0</v>
      </c>
      <c r="AT781" s="101">
        <f>IF($D781=$B$3025,AT$522,0)</f>
        <v>0</v>
      </c>
      <c r="AU781" s="101">
        <f>IF($D781=$B$3026,AU$522,0)</f>
        <v>0</v>
      </c>
      <c r="AV781" s="210">
        <f>SUM(AN781:AU781)</f>
        <v>0</v>
      </c>
      <c r="AX781" s="200">
        <f>AF781*AM781</f>
        <v>0</v>
      </c>
      <c r="AZ781" s="146">
        <f>AX781+(AV781*AM781)</f>
        <v>0</v>
      </c>
      <c r="BB781" s="201">
        <f>(AF781*AM781)*0.01</f>
        <v>0</v>
      </c>
      <c r="BD781" s="202">
        <f>AZ781*0.01</f>
        <v>0</v>
      </c>
      <c r="BE781" s="377"/>
      <c r="BG781" s="201">
        <f>IF(AF781&gt;0,BG776+BB781,BG776)</f>
        <v>0</v>
      </c>
      <c r="BH781" s="202">
        <f>IF(AV781&gt;0,BH776+BD781,BH776)</f>
        <v>0</v>
      </c>
      <c r="BI781" s="201">
        <f>IF(BG781&gt;0.99,0.99,BG781)</f>
        <v>0</v>
      </c>
      <c r="BJ781" s="202">
        <f>IF(BH781&gt;0.99,0.99,BH781)</f>
        <v>0</v>
      </c>
    </row>
    <row r="782" spans="1:62" ht="14.5" thickTop="1" x14ac:dyDescent="0.3">
      <c r="A782" s="186"/>
      <c r="B782" s="187"/>
      <c r="C782" s="187"/>
      <c r="D782" s="187"/>
      <c r="E782" s="187"/>
      <c r="F782" s="1"/>
    </row>
    <row r="783" spans="1:62" ht="30" customHeight="1" x14ac:dyDescent="0.3">
      <c r="A783" s="40" t="s">
        <v>82</v>
      </c>
      <c r="B783" s="1200" t="s">
        <v>417</v>
      </c>
      <c r="C783" s="1200"/>
      <c r="D783" s="1200"/>
      <c r="E783" s="436"/>
      <c r="F783" s="436" t="s">
        <v>869</v>
      </c>
    </row>
    <row r="784" spans="1:62" ht="17.5" x14ac:dyDescent="0.3">
      <c r="A784" s="218" t="s">
        <v>418</v>
      </c>
      <c r="B784" s="98" t="s">
        <v>3652</v>
      </c>
      <c r="C784" s="98"/>
      <c r="D784" s="98"/>
      <c r="E784" s="99"/>
      <c r="F784" s="97"/>
    </row>
    <row r="785" spans="1:54" ht="15.5" x14ac:dyDescent="0.35">
      <c r="A785" s="219">
        <f>A777+1</f>
        <v>59</v>
      </c>
      <c r="B785" s="1037" t="s">
        <v>3665</v>
      </c>
      <c r="C785" s="1037"/>
      <c r="D785" s="1038"/>
      <c r="E785" s="220"/>
      <c r="F785" s="1"/>
    </row>
    <row r="786" spans="1:54" ht="13.75" customHeight="1" x14ac:dyDescent="0.3">
      <c r="A786" s="221"/>
      <c r="B786" s="548" t="s">
        <v>3651</v>
      </c>
      <c r="C786" s="220"/>
      <c r="D786" s="220"/>
      <c r="E786" s="220"/>
      <c r="F786" s="1"/>
    </row>
    <row r="787" spans="1:54" ht="15" thickBot="1" x14ac:dyDescent="0.35">
      <c r="A787" s="221"/>
      <c r="B787" s="549" t="s">
        <v>3654</v>
      </c>
      <c r="C787" s="1119"/>
      <c r="D787" s="1120"/>
      <c r="E787" s="220"/>
      <c r="F787" s="1"/>
    </row>
    <row r="788" spans="1:54" ht="15" thickBot="1" x14ac:dyDescent="0.35">
      <c r="A788" s="221"/>
      <c r="B788" s="549" t="s">
        <v>3653</v>
      </c>
      <c r="C788" s="1119"/>
      <c r="D788" s="1120"/>
      <c r="E788" s="220"/>
      <c r="F788" s="1"/>
    </row>
    <row r="789" spans="1:54" ht="15.5" x14ac:dyDescent="0.3">
      <c r="A789" s="219">
        <f>A785+1</f>
        <v>60</v>
      </c>
      <c r="B789" s="1121" t="s">
        <v>5159</v>
      </c>
      <c r="C789" s="1121"/>
      <c r="D789" s="1122"/>
      <c r="E789" s="220"/>
      <c r="F789" s="1"/>
    </row>
    <row r="790" spans="1:54" ht="13.75" customHeight="1" x14ac:dyDescent="0.3">
      <c r="A790" s="221"/>
      <c r="B790" s="548" t="s">
        <v>3747</v>
      </c>
      <c r="C790" s="220"/>
      <c r="D790" s="220"/>
      <c r="E790" s="220"/>
      <c r="F790" s="1"/>
    </row>
    <row r="791" spans="1:54" ht="14.4" customHeight="1" thickBot="1" x14ac:dyDescent="0.35">
      <c r="A791" s="221"/>
      <c r="B791" s="549" t="s">
        <v>3654</v>
      </c>
      <c r="C791" s="1119"/>
      <c r="D791" s="1120"/>
      <c r="E791" s="220"/>
      <c r="F791" s="1"/>
    </row>
    <row r="792" spans="1:54" ht="14.4" customHeight="1" thickBot="1" x14ac:dyDescent="0.35">
      <c r="A792" s="221"/>
      <c r="B792" s="549" t="s">
        <v>3653</v>
      </c>
      <c r="C792" s="1119"/>
      <c r="D792" s="1120"/>
      <c r="E792" s="220"/>
      <c r="F792" s="1"/>
    </row>
    <row r="793" spans="1:54" ht="15.5" x14ac:dyDescent="0.3">
      <c r="A793" s="219">
        <f>A789+1</f>
        <v>61</v>
      </c>
      <c r="B793" s="219" t="s">
        <v>419</v>
      </c>
      <c r="C793" s="219"/>
      <c r="D793" s="219"/>
      <c r="E793" s="220"/>
      <c r="F793" s="1"/>
    </row>
    <row r="794" spans="1:54" x14ac:dyDescent="0.3">
      <c r="A794" s="221"/>
      <c r="B794" s="548" t="s">
        <v>3746</v>
      </c>
      <c r="C794" s="220"/>
      <c r="D794" s="220"/>
      <c r="E794" s="220"/>
      <c r="F794" s="1"/>
    </row>
    <row r="795" spans="1:54" ht="15" thickBot="1" x14ac:dyDescent="0.35">
      <c r="A795" s="221"/>
      <c r="B795" s="549" t="s">
        <v>3654</v>
      </c>
      <c r="C795" s="1119"/>
      <c r="D795" s="1120"/>
      <c r="E795" s="220"/>
      <c r="F795" s="1"/>
      <c r="BB795" s="48"/>
    </row>
    <row r="796" spans="1:54" ht="15" thickBot="1" x14ac:dyDescent="0.35">
      <c r="A796" s="221"/>
      <c r="B796" s="549" t="s">
        <v>3653</v>
      </c>
      <c r="C796" s="1119"/>
      <c r="D796" s="1120"/>
      <c r="E796" s="220"/>
      <c r="F796" s="1"/>
      <c r="BB796" s="48"/>
    </row>
    <row r="797" spans="1:54" ht="15.5" x14ac:dyDescent="0.3">
      <c r="A797" s="219">
        <f>A793+1</f>
        <v>62</v>
      </c>
      <c r="B797" s="219" t="s">
        <v>3749</v>
      </c>
      <c r="C797" s="219"/>
      <c r="D797" s="219"/>
      <c r="E797" s="220"/>
      <c r="F797" s="1"/>
      <c r="BB797" s="48"/>
    </row>
    <row r="798" spans="1:54" x14ac:dyDescent="0.3">
      <c r="A798" s="221"/>
      <c r="B798" s="220" t="s">
        <v>3748</v>
      </c>
      <c r="C798" s="220"/>
      <c r="D798" s="220"/>
      <c r="E798" s="220"/>
      <c r="F798" s="1"/>
      <c r="BB798" s="48"/>
    </row>
    <row r="799" spans="1:54" ht="15" thickBot="1" x14ac:dyDescent="0.35">
      <c r="A799" s="221"/>
      <c r="B799" s="549" t="s">
        <v>3654</v>
      </c>
      <c r="C799" s="1119"/>
      <c r="D799" s="1120"/>
      <c r="E799" s="220"/>
      <c r="F799" s="1"/>
      <c r="BB799" s="48"/>
    </row>
    <row r="800" spans="1:54" ht="15" thickBot="1" x14ac:dyDescent="0.35">
      <c r="A800" s="221"/>
      <c r="B800" s="549" t="s">
        <v>3653</v>
      </c>
      <c r="C800" s="1119"/>
      <c r="D800" s="1120"/>
      <c r="E800" s="220"/>
      <c r="F800" s="1"/>
      <c r="BB800" s="48"/>
    </row>
    <row r="801" spans="1:60" s="23" customFormat="1" ht="35" customHeight="1" thickBot="1" x14ac:dyDescent="0.35">
      <c r="A801" s="221"/>
      <c r="B801" s="1046" t="s">
        <v>3750</v>
      </c>
      <c r="C801" s="1046"/>
      <c r="D801" s="1046"/>
      <c r="E801" s="220"/>
      <c r="F801" s="1"/>
      <c r="G801" s="222"/>
      <c r="H801" s="222"/>
      <c r="I801" s="222"/>
      <c r="J801" s="222"/>
      <c r="K801" s="222"/>
      <c r="L801" s="222"/>
      <c r="M801" s="222"/>
      <c r="N801" s="222"/>
      <c r="O801" s="222"/>
      <c r="P801" s="222"/>
      <c r="Q801" s="222"/>
      <c r="R801" s="222"/>
      <c r="S801" s="222"/>
      <c r="T801" s="222"/>
      <c r="U801" s="222"/>
      <c r="V801" s="222"/>
      <c r="W801" s="222"/>
      <c r="X801" s="222"/>
      <c r="Y801" s="222"/>
      <c r="Z801" s="222"/>
    </row>
    <row r="802" spans="1:60" ht="15" thickTop="1" thickBot="1" x14ac:dyDescent="0.35">
      <c r="A802" s="221"/>
      <c r="B802" s="223" t="s">
        <v>420</v>
      </c>
      <c r="C802" s="224"/>
      <c r="D802" s="225"/>
      <c r="E802" s="220"/>
      <c r="F802" s="1"/>
      <c r="BB802" s="48"/>
    </row>
    <row r="803" spans="1:60" ht="15" thickTop="1" thickBot="1" x14ac:dyDescent="0.35">
      <c r="A803" s="221"/>
      <c r="B803" s="223" t="s">
        <v>422</v>
      </c>
      <c r="C803" s="224"/>
      <c r="D803" s="225"/>
      <c r="E803" s="220"/>
      <c r="F803" s="1"/>
      <c r="BB803" s="48"/>
    </row>
    <row r="804" spans="1:60" ht="15" thickTop="1" thickBot="1" x14ac:dyDescent="0.35">
      <c r="A804" s="221"/>
      <c r="B804" s="223" t="s">
        <v>424</v>
      </c>
      <c r="C804" s="224"/>
      <c r="D804" s="225"/>
      <c r="E804" s="220"/>
      <c r="F804" s="1"/>
      <c r="BB804" s="48"/>
    </row>
    <row r="805" spans="1:60" ht="15" thickTop="1" thickBot="1" x14ac:dyDescent="0.35">
      <c r="A805" s="221"/>
      <c r="B805" s="223" t="s">
        <v>425</v>
      </c>
      <c r="C805" s="224"/>
      <c r="D805" s="225"/>
      <c r="E805" s="220"/>
      <c r="F805" s="1"/>
      <c r="BB805" s="48"/>
    </row>
    <row r="806" spans="1:60" ht="15" customHeight="1" thickTop="1" thickBot="1" x14ac:dyDescent="0.35">
      <c r="A806" s="221"/>
      <c r="B806" s="223" t="s">
        <v>427</v>
      </c>
      <c r="C806" s="224"/>
      <c r="D806" s="225"/>
      <c r="E806" s="220"/>
      <c r="F806" s="1"/>
      <c r="BB806" s="48"/>
    </row>
    <row r="807" spans="1:60" ht="15" customHeight="1" thickTop="1" thickBot="1" x14ac:dyDescent="0.35">
      <c r="A807" s="221"/>
      <c r="B807" s="223" t="s">
        <v>428</v>
      </c>
      <c r="C807" s="224"/>
      <c r="D807" s="225"/>
      <c r="E807" s="220"/>
      <c r="F807" s="1"/>
    </row>
    <row r="808" spans="1:60" ht="15" customHeight="1" thickTop="1" thickBot="1" x14ac:dyDescent="0.35">
      <c r="A808" s="221"/>
      <c r="B808" s="223" t="s">
        <v>429</v>
      </c>
      <c r="C808" s="225"/>
      <c r="D808" s="225"/>
      <c r="E808" s="220"/>
      <c r="F808" s="1"/>
    </row>
    <row r="809" spans="1:60" ht="15" customHeight="1" thickTop="1" x14ac:dyDescent="0.3">
      <c r="A809" s="221"/>
      <c r="B809" s="220"/>
      <c r="C809" s="220"/>
      <c r="D809" s="220"/>
      <c r="E809" s="220"/>
      <c r="F809" s="1"/>
      <c r="BB809" s="48" t="s">
        <v>1382</v>
      </c>
    </row>
    <row r="810" spans="1:60" ht="15" customHeight="1" x14ac:dyDescent="0.3">
      <c r="A810" s="219">
        <f>A797+1</f>
        <v>63</v>
      </c>
      <c r="B810" s="219" t="s">
        <v>1381</v>
      </c>
      <c r="C810" s="220"/>
      <c r="D810" s="220"/>
      <c r="E810" s="220"/>
      <c r="F810" s="1"/>
      <c r="BB810" s="48"/>
    </row>
    <row r="811" spans="1:60" ht="15" customHeight="1" thickBot="1" x14ac:dyDescent="0.35">
      <c r="A811" s="221"/>
      <c r="B811" s="220" t="s">
        <v>1326</v>
      </c>
      <c r="C811" s="220"/>
      <c r="D811" s="220"/>
      <c r="E811" s="220"/>
      <c r="F811" s="1"/>
    </row>
    <row r="812" spans="1:60" ht="15" customHeight="1" thickTop="1" thickBot="1" x14ac:dyDescent="0.35">
      <c r="A812" s="221">
        <v>1</v>
      </c>
      <c r="B812" s="223" t="s">
        <v>1327</v>
      </c>
      <c r="C812" s="220"/>
      <c r="D812" s="225"/>
      <c r="E812" s="220"/>
      <c r="F812" s="1"/>
      <c r="AD812" s="442" t="s">
        <v>1338</v>
      </c>
      <c r="AF812" s="442" t="s">
        <v>1339</v>
      </c>
      <c r="AH812" s="442" t="s">
        <v>1346</v>
      </c>
      <c r="AJ812" s="442" t="s">
        <v>1352</v>
      </c>
      <c r="AL812" s="442" t="s">
        <v>1358</v>
      </c>
      <c r="AN812" s="442" t="s">
        <v>1364</v>
      </c>
      <c r="AP812" s="442" t="s">
        <v>1369</v>
      </c>
      <c r="AR812" s="442" t="s">
        <v>1375</v>
      </c>
      <c r="AT812" s="245" t="s">
        <v>885</v>
      </c>
      <c r="AV812" s="48">
        <f t="shared" ref="AV812:AV817" si="16">IF(D812="",0,1)</f>
        <v>0</v>
      </c>
      <c r="BB812" s="48" t="s">
        <v>1388</v>
      </c>
      <c r="BD812" s="48" t="str">
        <f>IF(AND($AV$819&gt;$AX813,$AV$819&lt;=$AZ813),BD813,IF(AND($AV$819&gt;$AX814,$AV$819&lt;=$AZ814),BD814,IF(AND($AV$819&gt;$AX$815,$AV$819&lt;=$AZ815),BD815,IF(AND($AV$819&gt;$AX816,$AV$819&lt;=$AZ816),BD816,IF(AND($AV$819&gt;$AX817,$AV$819&lt;=$AZ817),BD817,"")))))</f>
        <v/>
      </c>
      <c r="BF812" s="48" t="s">
        <v>1387</v>
      </c>
      <c r="BG812" s="48" t="str">
        <f>IF(AND($AV$819&gt;$AX813,$AV$819&lt;=$AZ813),BG813,IF(AND($AV$819&gt;$AX814,$AV$819&lt;=$AZ814),BG814,IF(AND($AV$819&gt;$AX$815,$AV$819&lt;=$AZ815),BG815,IF(AND($AV$819&gt;$AX816,$AV$819&lt;=$AZ816),BG816,IF(AND($AV$819&gt;$AX817,$AV$819&lt;=$AZ817),BG817,"")))))</f>
        <v/>
      </c>
      <c r="BH812" s="48" t="s">
        <v>1396</v>
      </c>
    </row>
    <row r="813" spans="1:60" ht="15" customHeight="1" thickTop="1" thickBot="1" x14ac:dyDescent="0.35">
      <c r="A813" s="221">
        <f>A812+1</f>
        <v>2</v>
      </c>
      <c r="B813" s="223" t="s">
        <v>1328</v>
      </c>
      <c r="C813" s="220"/>
      <c r="D813" s="225"/>
      <c r="E813" s="220"/>
      <c r="F813" s="1"/>
      <c r="AC813" s="48">
        <v>0</v>
      </c>
      <c r="AD813" s="441" t="s">
        <v>1334</v>
      </c>
      <c r="AE813" s="245" t="s">
        <v>885</v>
      </c>
      <c r="AF813" s="441" t="s">
        <v>1340</v>
      </c>
      <c r="AG813" s="48" t="str">
        <f>IF($D$813=AF813,$AC813,"")</f>
        <v/>
      </c>
      <c r="AH813" s="441" t="s">
        <v>1347</v>
      </c>
      <c r="AI813" s="48" t="str">
        <f>IF($D$814=AH813,$AC813,"")</f>
        <v/>
      </c>
      <c r="AJ813" s="441" t="s">
        <v>1353</v>
      </c>
      <c r="AK813" s="48" t="str">
        <f>IF($D$815=AJ813,$AC813,"")</f>
        <v/>
      </c>
      <c r="AL813" s="441" t="s">
        <v>1359</v>
      </c>
      <c r="AM813" s="48" t="str">
        <f>IF($D$816=AL813,$AC813,"")</f>
        <v/>
      </c>
      <c r="AN813" s="441" t="s">
        <v>1365</v>
      </c>
      <c r="AO813" s="48" t="str">
        <f>IF($D$817=AN813,$AC813,"")</f>
        <v/>
      </c>
      <c r="AP813" s="441" t="s">
        <v>1370</v>
      </c>
      <c r="AQ813" s="48" t="str">
        <f>IF($D$818=AP813,$AC813,"")</f>
        <v/>
      </c>
      <c r="AR813" s="441" t="s">
        <v>1376</v>
      </c>
      <c r="AS813" s="48" t="str">
        <f>IF($D$819=AR813,$AC813,"")</f>
        <v/>
      </c>
      <c r="AT813" s="245" t="s">
        <v>885</v>
      </c>
      <c r="AU813" s="443">
        <f>B51</f>
        <v>0</v>
      </c>
      <c r="AV813" s="48">
        <f t="shared" si="16"/>
        <v>0</v>
      </c>
      <c r="AX813" s="48">
        <v>0</v>
      </c>
      <c r="AZ813" s="48">
        <v>0.2</v>
      </c>
      <c r="BD813" s="48" t="s">
        <v>1384</v>
      </c>
      <c r="BG813" s="48" t="s">
        <v>1391</v>
      </c>
    </row>
    <row r="814" spans="1:60" ht="15" customHeight="1" thickTop="1" thickBot="1" x14ac:dyDescent="0.35">
      <c r="A814" s="221">
        <f t="shared" ref="A814:A819" si="17">A813+1</f>
        <v>3</v>
      </c>
      <c r="B814" s="223" t="s">
        <v>1333</v>
      </c>
      <c r="C814" s="220"/>
      <c r="D814" s="225"/>
      <c r="E814" s="220"/>
      <c r="F814" s="1"/>
      <c r="AC814" s="48">
        <v>1</v>
      </c>
      <c r="AD814" s="441" t="s">
        <v>1335</v>
      </c>
      <c r="AE814" s="245" t="s">
        <v>885</v>
      </c>
      <c r="AF814" s="441" t="s">
        <v>1341</v>
      </c>
      <c r="AG814" s="48" t="str">
        <f>IF($D$813=AF814,$AC814,"")</f>
        <v/>
      </c>
      <c r="AH814" s="441" t="s">
        <v>1348</v>
      </c>
      <c r="AI814" s="48" t="str">
        <f>IF($D$814=AH814,$AC814,"")</f>
        <v/>
      </c>
      <c r="AJ814" s="441" t="s">
        <v>1354</v>
      </c>
      <c r="AK814" s="48" t="str">
        <f>IF($D$815=AJ814,$AC814,"")</f>
        <v/>
      </c>
      <c r="AL814" s="441" t="s">
        <v>1360</v>
      </c>
      <c r="AM814" s="48" t="str">
        <f>IF($D$816=AL814,$AC814,"")</f>
        <v/>
      </c>
      <c r="AN814" s="441" t="s">
        <v>1366</v>
      </c>
      <c r="AO814" s="48" t="str">
        <f>IF($D$817=AN814,$AC814,"")</f>
        <v/>
      </c>
      <c r="AP814" s="441" t="s">
        <v>1371</v>
      </c>
      <c r="AQ814" s="48" t="str">
        <f>IF($D$818=AP814,$AC814,"")</f>
        <v/>
      </c>
      <c r="AR814" s="441" t="s">
        <v>1377</v>
      </c>
      <c r="AS814" s="48" t="str">
        <f>IF($D$819=AR814,$AC814,"")</f>
        <v/>
      </c>
      <c r="AT814" s="245" t="s">
        <v>885</v>
      </c>
      <c r="AU814" s="443">
        <f>B52</f>
        <v>0</v>
      </c>
      <c r="AV814" s="48">
        <f t="shared" si="16"/>
        <v>0</v>
      </c>
      <c r="AX814" s="48">
        <f>AZ813</f>
        <v>0.2</v>
      </c>
      <c r="AZ814" s="48">
        <f>AZ813+0.2</f>
        <v>0.4</v>
      </c>
      <c r="BD814" s="48" t="s">
        <v>1385</v>
      </c>
      <c r="BG814" s="48" t="s">
        <v>1392</v>
      </c>
    </row>
    <row r="815" spans="1:60" ht="15" customHeight="1" thickTop="1" thickBot="1" x14ac:dyDescent="0.35">
      <c r="A815" s="221">
        <f t="shared" si="17"/>
        <v>4</v>
      </c>
      <c r="B815" s="223" t="s">
        <v>1329</v>
      </c>
      <c r="C815" s="220"/>
      <c r="D815" s="225"/>
      <c r="E815" s="220"/>
      <c r="F815" s="1"/>
      <c r="AC815" s="48">
        <v>2</v>
      </c>
      <c r="AD815" s="441" t="s">
        <v>1336</v>
      </c>
      <c r="AE815" s="245" t="s">
        <v>885</v>
      </c>
      <c r="AF815" s="441" t="s">
        <v>1342</v>
      </c>
      <c r="AG815" s="48" t="str">
        <f>IF($D$813=AF815,$AC815,"")</f>
        <v/>
      </c>
      <c r="AH815" s="441" t="s">
        <v>1349</v>
      </c>
      <c r="AI815" s="48" t="str">
        <f>IF($D$814=AH815,$AC815,"")</f>
        <v/>
      </c>
      <c r="AJ815" s="441" t="s">
        <v>1355</v>
      </c>
      <c r="AK815" s="48" t="str">
        <f>IF($D$815=AJ815,$AC815,"")</f>
        <v/>
      </c>
      <c r="AL815" s="441" t="s">
        <v>1361</v>
      </c>
      <c r="AM815" s="48" t="str">
        <f>IF($D$816=AL815,$AC815,"")</f>
        <v/>
      </c>
      <c r="AN815" s="441" t="s">
        <v>3755</v>
      </c>
      <c r="AO815" s="48" t="str">
        <f>IF($D$817=AN815,$AC815,"")</f>
        <v/>
      </c>
      <c r="AP815" s="441" t="s">
        <v>1372</v>
      </c>
      <c r="AQ815" s="48" t="str">
        <f>IF($D$818=AP815,$AC815,"")</f>
        <v/>
      </c>
      <c r="AR815" s="441" t="s">
        <v>1397</v>
      </c>
      <c r="AS815" s="48" t="str">
        <f>IF($D$819=AR815,$AC815,"")</f>
        <v/>
      </c>
      <c r="AT815" s="245" t="s">
        <v>885</v>
      </c>
      <c r="AV815" s="48">
        <f t="shared" si="16"/>
        <v>0</v>
      </c>
      <c r="AX815" s="48">
        <f>AZ814</f>
        <v>0.4</v>
      </c>
      <c r="AZ815" s="48">
        <f>AZ814+0.2</f>
        <v>0.60000000000000009</v>
      </c>
      <c r="BD815" s="48" t="s">
        <v>1390</v>
      </c>
      <c r="BG815" s="48" t="s">
        <v>1393</v>
      </c>
    </row>
    <row r="816" spans="1:60" ht="15" customHeight="1" thickTop="1" thickBot="1" x14ac:dyDescent="0.35">
      <c r="A816" s="221">
        <f t="shared" si="17"/>
        <v>5</v>
      </c>
      <c r="B816" s="223" t="s">
        <v>1330</v>
      </c>
      <c r="C816" s="220"/>
      <c r="D816" s="225"/>
      <c r="E816" s="220"/>
      <c r="F816" s="1"/>
      <c r="AC816" s="48">
        <v>3</v>
      </c>
      <c r="AD816" s="441" t="s">
        <v>1383</v>
      </c>
      <c r="AE816" s="245" t="s">
        <v>885</v>
      </c>
      <c r="AF816" s="441" t="s">
        <v>1343</v>
      </c>
      <c r="AG816" s="48" t="str">
        <f>IF($D$813=AF816,$AC816,"")</f>
        <v/>
      </c>
      <c r="AH816" s="441" t="s">
        <v>1350</v>
      </c>
      <c r="AI816" s="48" t="str">
        <f>IF($D$814=AH816,$AC816,"")</f>
        <v/>
      </c>
      <c r="AJ816" s="441" t="s">
        <v>1356</v>
      </c>
      <c r="AK816" s="48" t="str">
        <f>IF($D$815=AJ816,$AC816,"")</f>
        <v/>
      </c>
      <c r="AL816" s="441" t="s">
        <v>1362</v>
      </c>
      <c r="AM816" s="48" t="str">
        <f>IF($D$816=AL816,$AC816,"")</f>
        <v/>
      </c>
      <c r="AN816" s="441" t="s">
        <v>1367</v>
      </c>
      <c r="AO816" s="48" t="str">
        <f>IF($D$817=AN816,$AC816,"")</f>
        <v/>
      </c>
      <c r="AP816" s="441" t="s">
        <v>1373</v>
      </c>
      <c r="AQ816" s="48" t="str">
        <f>IF($D$818=AP816,$AC816,"")</f>
        <v/>
      </c>
      <c r="AR816" s="441" t="s">
        <v>1378</v>
      </c>
      <c r="AS816" s="48" t="str">
        <f>IF($D$819=AR816,$AC816,"")</f>
        <v/>
      </c>
      <c r="AT816" s="245" t="s">
        <v>885</v>
      </c>
      <c r="AV816" s="48">
        <f t="shared" si="16"/>
        <v>0</v>
      </c>
      <c r="AX816" s="48">
        <f>AZ815</f>
        <v>0.60000000000000009</v>
      </c>
      <c r="AZ816" s="48">
        <f>AZ815+0.2</f>
        <v>0.8</v>
      </c>
      <c r="BD816" s="48" t="s">
        <v>1386</v>
      </c>
      <c r="BG816" s="48" t="s">
        <v>1394</v>
      </c>
    </row>
    <row r="817" spans="1:59" ht="15" customHeight="1" thickTop="1" thickBot="1" x14ac:dyDescent="0.35">
      <c r="A817" s="221">
        <f t="shared" si="17"/>
        <v>6</v>
      </c>
      <c r="B817" s="223" t="s">
        <v>1331</v>
      </c>
      <c r="C817" s="220"/>
      <c r="D817" s="225"/>
      <c r="E817" s="220"/>
      <c r="F817" s="1"/>
      <c r="AC817" s="48">
        <v>4</v>
      </c>
      <c r="AD817" s="441" t="s">
        <v>1337</v>
      </c>
      <c r="AE817" s="245" t="s">
        <v>885</v>
      </c>
      <c r="AF817" s="441" t="s">
        <v>1344</v>
      </c>
      <c r="AG817" s="48" t="str">
        <f>IF($D$813=AF817,$AC817,"")</f>
        <v/>
      </c>
      <c r="AH817" s="441" t="s">
        <v>1351</v>
      </c>
      <c r="AI817" s="48" t="str">
        <f>IF($D$814=AH817,$AC817,"")</f>
        <v/>
      </c>
      <c r="AJ817" s="441" t="s">
        <v>1357</v>
      </c>
      <c r="AK817" s="48" t="str">
        <f>IF($D$815=AJ817,$AC817,"")</f>
        <v/>
      </c>
      <c r="AL817" s="441" t="s">
        <v>1363</v>
      </c>
      <c r="AM817" s="48" t="str">
        <f>IF($D$816=AL817,$AC817,"")</f>
        <v/>
      </c>
      <c r="AN817" s="441" t="s">
        <v>1368</v>
      </c>
      <c r="AO817" s="48" t="str">
        <f>IF($D$817=AN817,$AC817,"")</f>
        <v/>
      </c>
      <c r="AP817" s="441" t="s">
        <v>1374</v>
      </c>
      <c r="AQ817" s="48" t="str">
        <f>IF($D$818=AP817,$AC817,"")</f>
        <v/>
      </c>
      <c r="AR817" s="441" t="s">
        <v>1379</v>
      </c>
      <c r="AS817" s="48" t="str">
        <f>IF($D$819=AR817,$AC817,"")</f>
        <v/>
      </c>
      <c r="AT817" s="245" t="s">
        <v>885</v>
      </c>
      <c r="AV817" s="48">
        <f t="shared" si="16"/>
        <v>0</v>
      </c>
      <c r="AX817" s="48">
        <f>AZ816</f>
        <v>0.8</v>
      </c>
      <c r="AZ817" s="48">
        <f>AZ816+0.2</f>
        <v>1</v>
      </c>
      <c r="BD817" s="48" t="s">
        <v>1389</v>
      </c>
      <c r="BG817" s="48" t="s">
        <v>1395</v>
      </c>
    </row>
    <row r="818" spans="1:59" ht="15" customHeight="1" thickTop="1" thickBot="1" x14ac:dyDescent="0.35">
      <c r="A818" s="221">
        <f t="shared" si="17"/>
        <v>7</v>
      </c>
      <c r="B818" s="223" t="s">
        <v>1332</v>
      </c>
      <c r="C818" s="220"/>
      <c r="D818" s="225"/>
      <c r="E818" s="220"/>
      <c r="F818" s="1"/>
      <c r="AD818" s="441" t="s">
        <v>912</v>
      </c>
      <c r="AE818" s="245" t="s">
        <v>885</v>
      </c>
      <c r="AF818" s="441" t="s">
        <v>1345</v>
      </c>
      <c r="AG818" s="48">
        <f>SUM(AG813:AG817)</f>
        <v>0</v>
      </c>
      <c r="AI818" s="48">
        <f>SUM(AI813:AI817)</f>
        <v>0</v>
      </c>
      <c r="AK818" s="48">
        <f>SUM(AK813:AK817)</f>
        <v>0</v>
      </c>
      <c r="AM818" s="48">
        <f>SUM(AM813:AM817)</f>
        <v>0</v>
      </c>
      <c r="AO818" s="48">
        <f>SUM(AO813:AO817)</f>
        <v>0</v>
      </c>
      <c r="AQ818" s="48">
        <f>SUM(AQ813:AQ817)</f>
        <v>0</v>
      </c>
      <c r="AS818" s="48">
        <f>SUM(AS813:AS817)</f>
        <v>0</v>
      </c>
      <c r="AT818" s="245" t="s">
        <v>885</v>
      </c>
      <c r="AU818" s="52">
        <f>SUM(AG818:AS818)</f>
        <v>0</v>
      </c>
      <c r="AV818" s="48">
        <f>SUM(AV813:AV817)</f>
        <v>0</v>
      </c>
      <c r="BB818" s="48" t="str">
        <f>CONCATENATE(BB812,BD812,BF812,BG812,BH812)</f>
        <v>This claimant  the legal-judicial process. Its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row>
    <row r="819" spans="1:59" ht="15" customHeight="1" thickTop="1" thickBot="1" x14ac:dyDescent="0.35">
      <c r="A819" s="221">
        <f t="shared" si="17"/>
        <v>8</v>
      </c>
      <c r="B819" s="223" t="s">
        <v>1380</v>
      </c>
      <c r="C819" s="220"/>
      <c r="D819" s="225"/>
      <c r="E819" s="220"/>
      <c r="F819" s="1"/>
      <c r="AU819" s="48">
        <v>24</v>
      </c>
      <c r="AV819" s="48">
        <f>AU818/AU819</f>
        <v>0</v>
      </c>
      <c r="BB819" s="48" t="s">
        <v>3756</v>
      </c>
    </row>
    <row r="820" spans="1:59" ht="15" customHeight="1" thickTop="1" x14ac:dyDescent="0.3">
      <c r="A820" s="221"/>
      <c r="B820" s="220"/>
      <c r="C820" s="220"/>
      <c r="D820" s="220"/>
      <c r="E820" s="220"/>
      <c r="F820" s="1"/>
      <c r="BB820" s="48" t="str">
        <f>IF(AND(AV812&gt;0,AV818&gt;0),BB818,BB819)</f>
        <v>Poor outcomes and impacts from the adversarial legal-judicial system help account for the estimated high volume of unexonerated innocent. This tool exists independent of the judiciary and can either complement it or compete with it. Legitimacy of the adversarial legal-judicial process hangs in the balance. Deeper justice could be the answer.</v>
      </c>
    </row>
    <row r="821" spans="1:59" ht="15" customHeight="1" x14ac:dyDescent="0.3">
      <c r="A821" s="221"/>
      <c r="B821" s="1047" t="str">
        <f>BB820</f>
        <v>Poor outcomes and impacts from the adversarial legal-judicial system help account for the estimated high volume of unexonerated innocent. This tool exists independent of the judiciary and can either complement it or compete with it. Legitimacy of the adversarial legal-judicial process hangs in the balance. Deeper justice could be the answer.</v>
      </c>
      <c r="C821" s="1047"/>
      <c r="D821" s="1047"/>
      <c r="E821" s="220"/>
      <c r="F821" s="1"/>
      <c r="BB821" s="48"/>
    </row>
    <row r="822" spans="1:59" ht="15" customHeight="1" x14ac:dyDescent="0.3">
      <c r="A822" s="221"/>
      <c r="B822" s="1047"/>
      <c r="C822" s="1047"/>
      <c r="D822" s="1047"/>
      <c r="E822" s="220"/>
      <c r="F822" s="1"/>
      <c r="BB822" s="48"/>
    </row>
    <row r="823" spans="1:59" ht="15" customHeight="1" x14ac:dyDescent="0.3">
      <c r="A823" s="221"/>
      <c r="B823" s="1047"/>
      <c r="C823" s="1047"/>
      <c r="D823" s="1047"/>
      <c r="E823" s="220"/>
      <c r="F823" s="1"/>
      <c r="BB823" s="48"/>
    </row>
    <row r="824" spans="1:59" ht="15" customHeight="1" x14ac:dyDescent="0.3">
      <c r="A824" s="221"/>
      <c r="B824" s="1047"/>
      <c r="C824" s="1047"/>
      <c r="D824" s="1047"/>
      <c r="E824" s="220"/>
      <c r="F824" s="1"/>
      <c r="BB824" s="48"/>
    </row>
    <row r="825" spans="1:59" ht="10" customHeight="1" x14ac:dyDescent="0.3">
      <c r="A825" s="221"/>
      <c r="B825" s="220"/>
      <c r="C825" s="220"/>
      <c r="D825" s="220"/>
      <c r="E825" s="220"/>
      <c r="F825" s="1"/>
      <c r="BB825" s="48"/>
    </row>
    <row r="826" spans="1:59" ht="30" customHeight="1" x14ac:dyDescent="0.3">
      <c r="A826" s="40" t="s">
        <v>84</v>
      </c>
      <c r="B826" s="1200" t="s">
        <v>1399</v>
      </c>
      <c r="C826" s="1200"/>
      <c r="D826" s="1200"/>
      <c r="E826" s="436"/>
      <c r="F826" s="436" t="s">
        <v>869</v>
      </c>
      <c r="BB826" s="48"/>
    </row>
    <row r="827" spans="1:59" ht="17.5" x14ac:dyDescent="0.3">
      <c r="A827" s="97"/>
      <c r="B827" s="98" t="s">
        <v>430</v>
      </c>
      <c r="C827" s="98"/>
      <c r="D827" s="98"/>
      <c r="E827" s="99"/>
      <c r="F827" s="97"/>
      <c r="BB827" s="48"/>
    </row>
    <row r="828" spans="1:59" x14ac:dyDescent="0.3">
      <c r="A828" s="226"/>
      <c r="B828" s="82"/>
      <c r="C828" s="82"/>
      <c r="D828" s="82"/>
      <c r="E828" s="82"/>
      <c r="F828" s="1"/>
      <c r="BB828" s="48"/>
    </row>
    <row r="829" spans="1:59" ht="160" customHeight="1" x14ac:dyDescent="0.3">
      <c r="A829" s="226"/>
      <c r="B829" s="227" t="s">
        <v>431</v>
      </c>
      <c r="C829" s="82"/>
      <c r="D829" s="82"/>
      <c r="E829" s="82"/>
      <c r="F829" s="1"/>
      <c r="BB829" s="48"/>
    </row>
    <row r="830" spans="1:59" x14ac:dyDescent="0.3">
      <c r="A830" s="226"/>
      <c r="B830" s="82"/>
      <c r="C830" s="82"/>
      <c r="D830" s="82"/>
      <c r="E830" s="82"/>
      <c r="F830" s="1"/>
      <c r="BB830" s="48"/>
    </row>
    <row r="831" spans="1:59" ht="15.5" x14ac:dyDescent="0.3">
      <c r="A831" s="228">
        <f>A810+1</f>
        <v>64</v>
      </c>
      <c r="B831" s="228" t="s">
        <v>432</v>
      </c>
      <c r="C831" s="228"/>
      <c r="D831" s="228"/>
      <c r="E831" s="82"/>
      <c r="F831" s="1"/>
      <c r="BB831" s="48"/>
    </row>
    <row r="832" spans="1:59" ht="15.5" x14ac:dyDescent="0.35">
      <c r="A832" s="226"/>
      <c r="B832" s="229" t="s">
        <v>433</v>
      </c>
      <c r="C832" s="230"/>
      <c r="D832" s="230"/>
      <c r="E832" s="82"/>
      <c r="F832" s="1"/>
      <c r="AC832" s="48">
        <v>0</v>
      </c>
      <c r="AD832" s="48">
        <v>1</v>
      </c>
      <c r="AE832" s="48">
        <v>2</v>
      </c>
      <c r="AG832" s="48">
        <v>1</v>
      </c>
      <c r="AH832" s="48">
        <v>2</v>
      </c>
      <c r="AI832" s="48">
        <v>3</v>
      </c>
      <c r="AK832" s="48" t="s">
        <v>434</v>
      </c>
      <c r="BB832" s="48"/>
    </row>
    <row r="833" spans="1:54" ht="5" customHeight="1" x14ac:dyDescent="0.3">
      <c r="A833" s="226"/>
      <c r="B833" s="82"/>
      <c r="C833" s="82"/>
      <c r="D833" s="82"/>
      <c r="E833" s="82"/>
      <c r="F833" s="1"/>
      <c r="BB833" s="48"/>
    </row>
    <row r="834" spans="1:54" x14ac:dyDescent="0.3">
      <c r="A834" s="226"/>
      <c r="B834" s="231"/>
      <c r="C834" s="232" t="s">
        <v>3757</v>
      </c>
      <c r="D834" s="231"/>
      <c r="E834" s="82"/>
      <c r="F834" s="1"/>
      <c r="AC834" s="7" t="str">
        <f>IF($B834=$B$3145,AC$832,"")</f>
        <v/>
      </c>
      <c r="AD834" s="9" t="str">
        <f>IF($B834=$B$3146,AD$832,"")</f>
        <v/>
      </c>
      <c r="AE834" s="233" t="str">
        <f>IF($B834=$B$3147,AE$832,"")</f>
        <v/>
      </c>
      <c r="AF834" s="48">
        <f t="shared" ref="AF834:AF853" si="18">SUM(AC834:AE834)</f>
        <v>0</v>
      </c>
      <c r="AG834" s="234" t="str">
        <f>IF($D834=$B$3149,AG$832,"")</f>
        <v/>
      </c>
      <c r="AH834" s="234" t="str">
        <f>IF($D834=$B$3150,AH$832,"")</f>
        <v/>
      </c>
      <c r="AI834" s="234" t="str">
        <f>IF($D834=$B$3151,AI$832,"")</f>
        <v/>
      </c>
      <c r="AJ834" s="48">
        <f>SUM(AG834:AI834)</f>
        <v>0</v>
      </c>
      <c r="AL834" s="48">
        <f>IF(AF834=0,(AJ834-AJ834),AJ834)</f>
        <v>0</v>
      </c>
      <c r="AO834" s="48">
        <f>AF834+AL834</f>
        <v>0</v>
      </c>
      <c r="AS834" s="48">
        <v>0</v>
      </c>
      <c r="AT834" s="48">
        <v>20</v>
      </c>
      <c r="AV834" s="48" t="s">
        <v>438</v>
      </c>
      <c r="BB834" s="48"/>
    </row>
    <row r="835" spans="1:54" x14ac:dyDescent="0.3">
      <c r="A835" s="226"/>
      <c r="B835" s="231"/>
      <c r="C835" s="232" t="s">
        <v>3758</v>
      </c>
      <c r="D835" s="231"/>
      <c r="E835" s="82"/>
      <c r="F835" s="1"/>
      <c r="AC835" s="7" t="str">
        <f>IF($B835=$B$3145,AC$832,"")</f>
        <v/>
      </c>
      <c r="AD835" s="9" t="str">
        <f>IF($B835=$B$3146,AD$832,"")</f>
        <v/>
      </c>
      <c r="AE835" s="233" t="str">
        <f>IF($B835=$B$3147,AE$832,"")</f>
        <v/>
      </c>
      <c r="AF835" s="48">
        <f t="shared" si="18"/>
        <v>0</v>
      </c>
      <c r="AG835" s="234" t="str">
        <f>IF($D835=$B$3149,AG$832,"")</f>
        <v/>
      </c>
      <c r="AH835" s="234" t="str">
        <f>IF($D835=$B$3150,AH$832,"")</f>
        <v/>
      </c>
      <c r="AI835" s="234" t="str">
        <f>IF($D835=$B$3151,AI$832,"")</f>
        <v/>
      </c>
      <c r="AJ835" s="48">
        <f>SUM(AG835:AI835)</f>
        <v>0</v>
      </c>
      <c r="AL835" s="48">
        <f>IF(AF835=0,(AJ835-AJ835),AJ835)</f>
        <v>0</v>
      </c>
      <c r="AO835" s="48">
        <f>AF835+AL835</f>
        <v>0</v>
      </c>
      <c r="AS835" s="48">
        <f>AT834+1</f>
        <v>21</v>
      </c>
      <c r="AT835" s="48">
        <f>AT834+AT$834</f>
        <v>40</v>
      </c>
      <c r="AV835" s="48" t="s">
        <v>440</v>
      </c>
      <c r="BB835" s="48"/>
    </row>
    <row r="836" spans="1:54" x14ac:dyDescent="0.3">
      <c r="A836" s="226"/>
      <c r="B836" s="231"/>
      <c r="C836" s="232" t="s">
        <v>3759</v>
      </c>
      <c r="D836" s="231"/>
      <c r="E836" s="82"/>
      <c r="F836" s="1"/>
      <c r="AC836" s="7" t="str">
        <f>IF($B836=$B$3145,AC$832,"")</f>
        <v/>
      </c>
      <c r="AD836" s="9" t="str">
        <f>IF($B836=$B$3146,AD$832,"")</f>
        <v/>
      </c>
      <c r="AE836" s="233" t="str">
        <f>IF($B836=$B$3147,AE$832,"")</f>
        <v/>
      </c>
      <c r="AF836" s="48">
        <f t="shared" si="18"/>
        <v>0</v>
      </c>
      <c r="AG836" s="234" t="str">
        <f>IF($D836=$B$3149,AG$832,"")</f>
        <v/>
      </c>
      <c r="AH836" s="234" t="str">
        <f>IF($D836=$B$3150,AH$832,"")</f>
        <v/>
      </c>
      <c r="AI836" s="234" t="str">
        <f>IF($D836=$B$3151,AI$832,"")</f>
        <v/>
      </c>
      <c r="AJ836" s="48">
        <f>SUM(AG836:AI836)</f>
        <v>0</v>
      </c>
      <c r="AL836" s="48">
        <f>IF(AF836=0,(AJ836-AJ836),AJ836)</f>
        <v>0</v>
      </c>
      <c r="AO836" s="48">
        <f>AF836+AL836</f>
        <v>0</v>
      </c>
      <c r="AS836" s="48">
        <f t="shared" ref="AS836:AS843" si="19">AT835+1</f>
        <v>41</v>
      </c>
      <c r="AT836" s="48">
        <f>AT835+AT$834</f>
        <v>60</v>
      </c>
      <c r="AV836" s="48" t="s">
        <v>442</v>
      </c>
      <c r="BB836" s="48"/>
    </row>
    <row r="837" spans="1:54" x14ac:dyDescent="0.3">
      <c r="A837" s="226"/>
      <c r="B837" s="231"/>
      <c r="C837" s="232" t="s">
        <v>3760</v>
      </c>
      <c r="D837" s="231"/>
      <c r="E837" s="82"/>
      <c r="F837" s="1"/>
      <c r="AC837" s="7" t="str">
        <f>IF($B837=$B$3145,AC$832,"")</f>
        <v/>
      </c>
      <c r="AD837" s="9" t="str">
        <f>IF($B837=$B$3146,AD$832,"")</f>
        <v/>
      </c>
      <c r="AE837" s="233" t="str">
        <f>IF($B837=$B$3147,AE$832,"")</f>
        <v/>
      </c>
      <c r="AF837" s="48">
        <f t="shared" si="18"/>
        <v>0</v>
      </c>
      <c r="AG837" s="234" t="str">
        <f>IF($D837=$B$3149,AG$832,"")</f>
        <v/>
      </c>
      <c r="AH837" s="234" t="str">
        <f>IF($D837=$B$3150,AH$832,"")</f>
        <v/>
      </c>
      <c r="AI837" s="234" t="str">
        <f>IF($D837=$B$3151,AI$832,"")</f>
        <v/>
      </c>
      <c r="AJ837" s="48">
        <f>SUM(AG837:AI837)</f>
        <v>0</v>
      </c>
      <c r="AL837" s="48">
        <f>IF(AF837=0,(AJ837-AJ837),AJ837)</f>
        <v>0</v>
      </c>
      <c r="AO837" s="48">
        <f>AF837+AL837</f>
        <v>0</v>
      </c>
      <c r="AS837" s="48">
        <f t="shared" si="19"/>
        <v>61</v>
      </c>
      <c r="AT837" s="48">
        <f>AT836+AT$834</f>
        <v>80</v>
      </c>
      <c r="AV837" s="48" t="s">
        <v>445</v>
      </c>
      <c r="BB837" s="48"/>
    </row>
    <row r="838" spans="1:54" x14ac:dyDescent="0.3">
      <c r="A838" s="226"/>
      <c r="B838" s="231"/>
      <c r="C838" s="232" t="s">
        <v>3761</v>
      </c>
      <c r="D838" s="231"/>
      <c r="E838" s="82"/>
      <c r="F838" s="1"/>
      <c r="AC838" s="7" t="str">
        <f>IF($B838=$B$3145,AC$832,"")</f>
        <v/>
      </c>
      <c r="AD838" s="9" t="str">
        <f>IF($B838=$B$3146,AD$832,"")</f>
        <v/>
      </c>
      <c r="AE838" s="233" t="str">
        <f>IF($B838=$B$3147,AE$832,"")</f>
        <v/>
      </c>
      <c r="AF838" s="48">
        <f>SUM(AC838:AE838)</f>
        <v>0</v>
      </c>
      <c r="AG838" s="234" t="str">
        <f>IF($D838=$B$3149,AG$832,"")</f>
        <v/>
      </c>
      <c r="AH838" s="234" t="str">
        <f>IF($D838=$B$3150,AH$832,"")</f>
        <v/>
      </c>
      <c r="AI838" s="234" t="str">
        <f>IF($D838=$B$3151,AI$832,"")</f>
        <v/>
      </c>
      <c r="AJ838" s="48">
        <f>SUM(AG838:AI838)</f>
        <v>0</v>
      </c>
      <c r="AL838" s="48">
        <f>IF(AF838=0,(AJ838-AJ838),AJ838)</f>
        <v>0</v>
      </c>
      <c r="AO838" s="48">
        <f>AF838+AL838</f>
        <v>0</v>
      </c>
      <c r="AS838" s="48">
        <f t="shared" si="19"/>
        <v>81</v>
      </c>
      <c r="AT838" s="48">
        <f>AT837+AT$834+1</f>
        <v>101</v>
      </c>
      <c r="AV838" s="48" t="s">
        <v>446</v>
      </c>
      <c r="BB838" s="48"/>
    </row>
    <row r="839" spans="1:54" x14ac:dyDescent="0.3">
      <c r="A839" s="226"/>
      <c r="B839" s="231"/>
      <c r="C839" s="232" t="s">
        <v>3762</v>
      </c>
      <c r="D839" s="231"/>
      <c r="E839" s="82"/>
      <c r="F839" s="1"/>
      <c r="AC839" s="7" t="str">
        <f>IF($B839=$B$3145,AC$832,"")</f>
        <v/>
      </c>
      <c r="AD839" s="9" t="str">
        <f>IF($B839=$B$3146,AD$832,"")</f>
        <v/>
      </c>
      <c r="AE839" s="233" t="str">
        <f>IF($B839=$B$3147,AE$832,"")</f>
        <v/>
      </c>
      <c r="AF839" s="48">
        <f t="shared" si="18"/>
        <v>0</v>
      </c>
      <c r="AG839" s="234" t="str">
        <f>IF($D839=$B$3149,AG$832,"")</f>
        <v/>
      </c>
      <c r="AH839" s="234" t="str">
        <f>IF($D839=$B$3150,AH$832,"")</f>
        <v/>
      </c>
      <c r="AI839" s="234" t="str">
        <f>IF($D839=$B$3151,AI$832,"")</f>
        <v/>
      </c>
      <c r="AJ839" s="48">
        <f t="shared" ref="AJ839:AJ853" si="20">SUM(AG839:AI839)</f>
        <v>0</v>
      </c>
      <c r="AL839" s="48">
        <f t="shared" ref="AL839:AL853" si="21">IF(AF839=0,(AJ839-AJ839),AJ839)</f>
        <v>0</v>
      </c>
      <c r="AO839" s="48">
        <f t="shared" ref="AO839:AO853" si="22">AF839+AL839</f>
        <v>0</v>
      </c>
      <c r="AS839" s="48">
        <f t="shared" si="19"/>
        <v>102</v>
      </c>
      <c r="AT839" s="48">
        <f>AT838+AT$834</f>
        <v>121</v>
      </c>
      <c r="BB839" s="48"/>
    </row>
    <row r="840" spans="1:54" x14ac:dyDescent="0.3">
      <c r="A840" s="226"/>
      <c r="B840" s="231"/>
      <c r="C840" s="232" t="s">
        <v>3763</v>
      </c>
      <c r="D840" s="231"/>
      <c r="E840" s="82"/>
      <c r="F840" s="1"/>
      <c r="AC840" s="7" t="str">
        <f>IF($B840=$B$3145,AC$832,"")</f>
        <v/>
      </c>
      <c r="AD840" s="9" t="str">
        <f>IF($B840=$B$3146,AD$832,"")</f>
        <v/>
      </c>
      <c r="AE840" s="233" t="str">
        <f>IF($B840=$B$3147,AE$832,"")</f>
        <v/>
      </c>
      <c r="AF840" s="48">
        <f t="shared" si="18"/>
        <v>0</v>
      </c>
      <c r="AG840" s="234" t="str">
        <f>IF($D840=$B$3149,AG$832,"")</f>
        <v/>
      </c>
      <c r="AH840" s="234" t="str">
        <f>IF($D840=$B$3150,AH$832,"")</f>
        <v/>
      </c>
      <c r="AI840" s="234" t="str">
        <f>IF($D840=$B$3151,AI$832,"")</f>
        <v/>
      </c>
      <c r="AJ840" s="48">
        <f t="shared" si="20"/>
        <v>0</v>
      </c>
      <c r="AL840" s="48">
        <f t="shared" si="21"/>
        <v>0</v>
      </c>
      <c r="AO840" s="48">
        <f t="shared" si="22"/>
        <v>0</v>
      </c>
      <c r="AS840" s="48">
        <f t="shared" si="19"/>
        <v>122</v>
      </c>
      <c r="AT840" s="48">
        <f>AT839+AT$834</f>
        <v>141</v>
      </c>
      <c r="BB840" s="48"/>
    </row>
    <row r="841" spans="1:54" x14ac:dyDescent="0.3">
      <c r="A841" s="226"/>
      <c r="B841" s="231"/>
      <c r="C841" s="232" t="s">
        <v>3764</v>
      </c>
      <c r="D841" s="231"/>
      <c r="E841" s="82"/>
      <c r="F841" s="1"/>
      <c r="AC841" s="7" t="str">
        <f>IF($B841=$B$3145,AC$832,"")</f>
        <v/>
      </c>
      <c r="AD841" s="9" t="str">
        <f>IF($B841=$B$3146,AD$832,"")</f>
        <v/>
      </c>
      <c r="AE841" s="233" t="str">
        <f>IF($B841=$B$3147,AE$832,"")</f>
        <v/>
      </c>
      <c r="AF841" s="48">
        <f t="shared" si="18"/>
        <v>0</v>
      </c>
      <c r="AG841" s="234" t="str">
        <f>IF($D841=$B$3149,AG$832,"")</f>
        <v/>
      </c>
      <c r="AH841" s="234" t="str">
        <f>IF($D841=$B$3150,AH$832,"")</f>
        <v/>
      </c>
      <c r="AI841" s="234" t="str">
        <f>IF($D841=$B$3151,AI$832,"")</f>
        <v/>
      </c>
      <c r="AJ841" s="48">
        <f t="shared" si="20"/>
        <v>0</v>
      </c>
      <c r="AL841" s="48">
        <f t="shared" si="21"/>
        <v>0</v>
      </c>
      <c r="AO841" s="48">
        <f t="shared" si="22"/>
        <v>0</v>
      </c>
      <c r="AS841" s="48">
        <f t="shared" si="19"/>
        <v>142</v>
      </c>
      <c r="AT841" s="48">
        <f>AT840+AT$834</f>
        <v>161</v>
      </c>
      <c r="BB841" s="48"/>
    </row>
    <row r="842" spans="1:54" x14ac:dyDescent="0.3">
      <c r="A842" s="226"/>
      <c r="B842" s="231"/>
      <c r="C842" s="232" t="s">
        <v>3765</v>
      </c>
      <c r="D842" s="231"/>
      <c r="E842" s="82"/>
      <c r="F842" s="1"/>
      <c r="AC842" s="7" t="str">
        <f>IF($B842=$B$3145,AC$832,"")</f>
        <v/>
      </c>
      <c r="AD842" s="9" t="str">
        <f>IF($B842=$B$3146,AD$832,"")</f>
        <v/>
      </c>
      <c r="AE842" s="233" t="str">
        <f>IF($B842=$B$3147,AE$832,"")</f>
        <v/>
      </c>
      <c r="AF842" s="48">
        <f t="shared" si="18"/>
        <v>0</v>
      </c>
      <c r="AG842" s="234" t="str">
        <f>IF($D842=$B$3149,AG$832,"")</f>
        <v/>
      </c>
      <c r="AH842" s="234" t="str">
        <f>IF($D842=$B$3150,AH$832,"")</f>
        <v/>
      </c>
      <c r="AI842" s="234" t="str">
        <f>IF($D842=$B$3151,AI$832,"")</f>
        <v/>
      </c>
      <c r="AJ842" s="48">
        <f t="shared" si="20"/>
        <v>0</v>
      </c>
      <c r="AL842" s="48">
        <f t="shared" si="21"/>
        <v>0</v>
      </c>
      <c r="AO842" s="48">
        <f t="shared" si="22"/>
        <v>0</v>
      </c>
      <c r="AS842" s="48">
        <f t="shared" si="19"/>
        <v>162</v>
      </c>
      <c r="AT842" s="48">
        <f>AT841+AT$834</f>
        <v>181</v>
      </c>
      <c r="BB842" s="48"/>
    </row>
    <row r="843" spans="1:54" x14ac:dyDescent="0.3">
      <c r="A843" s="226"/>
      <c r="B843" s="231"/>
      <c r="C843" s="232" t="s">
        <v>3766</v>
      </c>
      <c r="D843" s="231"/>
      <c r="E843" s="82"/>
      <c r="F843" s="1"/>
      <c r="AC843" s="7" t="str">
        <f>IF($B843=$B$3145,AC$832,"")</f>
        <v/>
      </c>
      <c r="AD843" s="9" t="str">
        <f>IF($B843=$B$3146,AD$832,"")</f>
        <v/>
      </c>
      <c r="AE843" s="233" t="str">
        <f>IF($B843=$B$3147,AE$832,"")</f>
        <v/>
      </c>
      <c r="AF843" s="48">
        <f t="shared" si="18"/>
        <v>0</v>
      </c>
      <c r="AG843" s="234" t="str">
        <f>IF($D843=$B$3149,AG$832,"")</f>
        <v/>
      </c>
      <c r="AH843" s="234" t="str">
        <f>IF($D843=$B$3150,AH$832,"")</f>
        <v/>
      </c>
      <c r="AI843" s="234" t="str">
        <f>IF($D843=$B$3151,AI$832,"")</f>
        <v/>
      </c>
      <c r="AJ843" s="48">
        <f t="shared" si="20"/>
        <v>0</v>
      </c>
      <c r="AL843" s="48">
        <f t="shared" si="21"/>
        <v>0</v>
      </c>
      <c r="AO843" s="48">
        <f t="shared" si="22"/>
        <v>0</v>
      </c>
      <c r="AS843" s="48">
        <f t="shared" si="19"/>
        <v>182</v>
      </c>
      <c r="AT843" s="48">
        <f>AT842+AT$834</f>
        <v>201</v>
      </c>
      <c r="BB843" s="48"/>
    </row>
    <row r="844" spans="1:54" x14ac:dyDescent="0.3">
      <c r="A844" s="226"/>
      <c r="B844" s="231"/>
      <c r="C844" s="232" t="s">
        <v>3767</v>
      </c>
      <c r="D844" s="231"/>
      <c r="E844" s="82"/>
      <c r="F844" s="1"/>
      <c r="AC844" s="7" t="str">
        <f>IF($B844=$B$3145,AC$832,"")</f>
        <v/>
      </c>
      <c r="AD844" s="9" t="str">
        <f>IF($B844=$B$3146,AD$832,"")</f>
        <v/>
      </c>
      <c r="AE844" s="233" t="str">
        <f>IF($B844=$B$3147,AE$832,"")</f>
        <v/>
      </c>
      <c r="AF844" s="48">
        <f t="shared" si="18"/>
        <v>0</v>
      </c>
      <c r="AG844" s="234" t="str">
        <f>IF($D844=$B$3149,AG$832,"")</f>
        <v/>
      </c>
      <c r="AH844" s="234" t="str">
        <f>IF($D844=$B$3150,AH$832,"")</f>
        <v/>
      </c>
      <c r="AI844" s="234" t="str">
        <f>IF($D844=$B$3151,AI$832,"")</f>
        <v/>
      </c>
      <c r="AJ844" s="48">
        <f t="shared" si="20"/>
        <v>0</v>
      </c>
      <c r="AL844" s="48">
        <f t="shared" si="21"/>
        <v>0</v>
      </c>
      <c r="AO844" s="48">
        <f t="shared" si="22"/>
        <v>0</v>
      </c>
      <c r="BB844" s="48"/>
    </row>
    <row r="845" spans="1:54" ht="14.5" x14ac:dyDescent="0.35">
      <c r="A845" s="226"/>
      <c r="B845" s="231"/>
      <c r="C845" s="232" t="s">
        <v>3768</v>
      </c>
      <c r="D845" s="231"/>
      <c r="E845" s="82"/>
      <c r="F845" s="1"/>
      <c r="AC845" s="7" t="str">
        <f>IF($B845=$B$3145,AC$832,"")</f>
        <v/>
      </c>
      <c r="AD845" s="9" t="str">
        <f>IF($B845=$B$3146,AD$832,"")</f>
        <v/>
      </c>
      <c r="AE845" s="233" t="str">
        <f>IF($B845=$B$3147,AE$832,"")</f>
        <v/>
      </c>
      <c r="AF845" s="48">
        <f t="shared" si="18"/>
        <v>0</v>
      </c>
      <c r="AG845" s="234" t="str">
        <f>IF($D845=$B$3149,AG$832,"")</f>
        <v/>
      </c>
      <c r="AH845" s="234" t="str">
        <f>IF($D845=$B$3150,AH$832,"")</f>
        <v/>
      </c>
      <c r="AI845" s="234" t="str">
        <f>IF($D845=$B$3151,AI$832,"")</f>
        <v/>
      </c>
      <c r="AJ845" s="48">
        <f t="shared" si="20"/>
        <v>0</v>
      </c>
      <c r="AL845" s="48">
        <f t="shared" si="21"/>
        <v>0</v>
      </c>
      <c r="AO845" s="48">
        <f t="shared" si="22"/>
        <v>0</v>
      </c>
      <c r="AR845" s="235" t="s">
        <v>456</v>
      </c>
      <c r="AS845" s="48" t="str">
        <f>IF(AY315=0,AS847,"")</f>
        <v xml:space="preserve">The fact of not being rearrested should say something loud and clear. </v>
      </c>
      <c r="BB845" s="48"/>
    </row>
    <row r="846" spans="1:54" x14ac:dyDescent="0.3">
      <c r="A846" s="226"/>
      <c r="B846" s="231"/>
      <c r="C846" s="232" t="s">
        <v>3769</v>
      </c>
      <c r="D846" s="231"/>
      <c r="E846" s="82"/>
      <c r="F846" s="1"/>
      <c r="AC846" s="7" t="str">
        <f>IF($B846=$B$3145,AC$832,"")</f>
        <v/>
      </c>
      <c r="AD846" s="9" t="str">
        <f>IF($B846=$B$3146,AD$832,"")</f>
        <v/>
      </c>
      <c r="AE846" s="233" t="str">
        <f>IF($B846=$B$3147,AE$832,"")</f>
        <v/>
      </c>
      <c r="AF846" s="48">
        <f t="shared" si="18"/>
        <v>0</v>
      </c>
      <c r="AG846" s="234" t="str">
        <f>IF($D846=$B$3149,AG$832,"")</f>
        <v/>
      </c>
      <c r="AH846" s="234" t="str">
        <f>IF($D846=$B$3150,AH$832,"")</f>
        <v/>
      </c>
      <c r="AI846" s="234" t="str">
        <f>IF($D846=$B$3151,AI$832,"")</f>
        <v/>
      </c>
      <c r="AJ846" s="48">
        <f t="shared" si="20"/>
        <v>0</v>
      </c>
      <c r="AL846" s="48">
        <f t="shared" si="21"/>
        <v>0</v>
      </c>
      <c r="AO846" s="48">
        <f t="shared" si="22"/>
        <v>0</v>
      </c>
      <c r="BB846" s="48"/>
    </row>
    <row r="847" spans="1:54" x14ac:dyDescent="0.3">
      <c r="A847" s="226"/>
      <c r="B847" s="231"/>
      <c r="C847" s="232" t="s">
        <v>3770</v>
      </c>
      <c r="D847" s="231"/>
      <c r="E847" s="82"/>
      <c r="F847" s="1"/>
      <c r="AC847" s="7" t="str">
        <f>IF($B847=$B$3145,AC$832,"")</f>
        <v/>
      </c>
      <c r="AD847" s="9" t="str">
        <f>IF($B847=$B$3146,AD$832,"")</f>
        <v/>
      </c>
      <c r="AE847" s="233" t="str">
        <f>IF($B847=$B$3147,AE$832,"")</f>
        <v/>
      </c>
      <c r="AF847" s="48">
        <f t="shared" si="18"/>
        <v>0</v>
      </c>
      <c r="AG847" s="234" t="str">
        <f>IF($D847=$B$3149,AG$832,"")</f>
        <v/>
      </c>
      <c r="AH847" s="234" t="str">
        <f>IF($D847=$B$3150,AH$832,"")</f>
        <v/>
      </c>
      <c r="AI847" s="234" t="str">
        <f>IF($D847=$B$3151,AI$832,"")</f>
        <v/>
      </c>
      <c r="AJ847" s="48">
        <f t="shared" si="20"/>
        <v>0</v>
      </c>
      <c r="AL847" s="48">
        <f t="shared" si="21"/>
        <v>0</v>
      </c>
      <c r="AO847" s="48">
        <f t="shared" si="22"/>
        <v>0</v>
      </c>
      <c r="AS847" s="48" t="s">
        <v>458</v>
      </c>
      <c r="BB847" s="48"/>
    </row>
    <row r="848" spans="1:54" x14ac:dyDescent="0.3">
      <c r="A848" s="226"/>
      <c r="B848" s="231"/>
      <c r="C848" s="232" t="s">
        <v>3771</v>
      </c>
      <c r="D848" s="231"/>
      <c r="E848" s="82"/>
      <c r="F848" s="1"/>
      <c r="AC848" s="7" t="str">
        <f>IF($B848=$B$3145,AC$832,"")</f>
        <v/>
      </c>
      <c r="AD848" s="9" t="str">
        <f>IF($B848=$B$3146,AD$832,"")</f>
        <v/>
      </c>
      <c r="AE848" s="233" t="str">
        <f>IF($B848=$B$3147,AE$832,"")</f>
        <v/>
      </c>
      <c r="AF848" s="48">
        <f t="shared" si="18"/>
        <v>0</v>
      </c>
      <c r="AG848" s="234" t="str">
        <f>IF($D848=$B$3149,AG$832,"")</f>
        <v/>
      </c>
      <c r="AH848" s="234" t="str">
        <f>IF($D848=$B$3150,AH$832,"")</f>
        <v/>
      </c>
      <c r="AI848" s="234" t="str">
        <f>IF($D848=$B$3151,AI$832,"")</f>
        <v/>
      </c>
      <c r="AJ848" s="48">
        <f t="shared" si="20"/>
        <v>0</v>
      </c>
      <c r="AL848" s="48">
        <f t="shared" si="21"/>
        <v>0</v>
      </c>
      <c r="AO848" s="48">
        <f t="shared" si="22"/>
        <v>0</v>
      </c>
      <c r="BB848" s="48"/>
    </row>
    <row r="849" spans="1:64" x14ac:dyDescent="0.3">
      <c r="A849" s="226"/>
      <c r="B849" s="231"/>
      <c r="C849" s="232" t="s">
        <v>3772</v>
      </c>
      <c r="D849" s="231"/>
      <c r="E849" s="82"/>
      <c r="F849" s="1"/>
      <c r="AC849" s="7" t="str">
        <f>IF($B849=$B$3145,AC$832,"")</f>
        <v/>
      </c>
      <c r="AD849" s="9" t="str">
        <f>IF($B849=$B$3146,AD$832,"")</f>
        <v/>
      </c>
      <c r="AE849" s="233" t="str">
        <f>IF($B849=$B$3147,AE$832,"")</f>
        <v/>
      </c>
      <c r="AF849" s="48">
        <f t="shared" si="18"/>
        <v>0</v>
      </c>
      <c r="AG849" s="234" t="str">
        <f>IF($D849=$B$3149,AG$832,"")</f>
        <v/>
      </c>
      <c r="AH849" s="234" t="str">
        <f>IF($D849=$B$3150,AH$832,"")</f>
        <v/>
      </c>
      <c r="AI849" s="234" t="str">
        <f>IF($D849=$B$3151,AI$832,"")</f>
        <v/>
      </c>
      <c r="AJ849" s="48">
        <f t="shared" si="20"/>
        <v>0</v>
      </c>
      <c r="AL849" s="48">
        <f t="shared" si="21"/>
        <v>0</v>
      </c>
      <c r="AO849" s="48">
        <f t="shared" si="22"/>
        <v>0</v>
      </c>
      <c r="AS849" s="48" t="str">
        <f>IF(AK891=0,"This claimant",AK891)</f>
        <v>this claimant</v>
      </c>
      <c r="AV849" s="48" t="s">
        <v>462</v>
      </c>
      <c r="BB849" s="48"/>
    </row>
    <row r="850" spans="1:64" x14ac:dyDescent="0.3">
      <c r="A850" s="226"/>
      <c r="B850" s="231"/>
      <c r="C850" s="232" t="s">
        <v>3773</v>
      </c>
      <c r="D850" s="231"/>
      <c r="E850" s="82"/>
      <c r="F850" s="1"/>
      <c r="AC850" s="7" t="str">
        <f>IF($B850=$B$3145,AC$832,"")</f>
        <v/>
      </c>
      <c r="AD850" s="9" t="str">
        <f>IF($B850=$B$3146,AD$832,"")</f>
        <v/>
      </c>
      <c r="AE850" s="233" t="str">
        <f>IF($B850=$B$3147,AE$832,"")</f>
        <v/>
      </c>
      <c r="AF850" s="48">
        <f t="shared" si="18"/>
        <v>0</v>
      </c>
      <c r="AG850" s="234" t="str">
        <f>IF($D850=$B$3149,AG$832,"")</f>
        <v/>
      </c>
      <c r="AH850" s="234" t="str">
        <f>IF($D850=$B$3150,AH$832,"")</f>
        <v/>
      </c>
      <c r="AI850" s="234" t="str">
        <f>IF($D850=$B$3151,AI$832,"")</f>
        <v/>
      </c>
      <c r="AJ850" s="48">
        <f t="shared" si="20"/>
        <v>0</v>
      </c>
      <c r="AL850" s="48">
        <f t="shared" si="21"/>
        <v>0</v>
      </c>
      <c r="AO850" s="48">
        <f t="shared" si="22"/>
        <v>0</v>
      </c>
      <c r="BB850" s="48"/>
    </row>
    <row r="851" spans="1:64" x14ac:dyDescent="0.3">
      <c r="A851" s="226"/>
      <c r="B851" s="231"/>
      <c r="C851" s="232" t="s">
        <v>3774</v>
      </c>
      <c r="D851" s="231"/>
      <c r="E851" s="82"/>
      <c r="F851" s="1"/>
      <c r="AC851" s="7" t="str">
        <f>IF($B851=$B$3145,AC$832,"")</f>
        <v/>
      </c>
      <c r="AD851" s="9" t="str">
        <f>IF($B851=$B$3146,AD$832,"")</f>
        <v/>
      </c>
      <c r="AE851" s="233" t="str">
        <f>IF($B851=$B$3147,AE$832,"")</f>
        <v/>
      </c>
      <c r="AF851" s="48">
        <f t="shared" si="18"/>
        <v>0</v>
      </c>
      <c r="AG851" s="234" t="str">
        <f>IF($D851=$B$3149,AG$832,"")</f>
        <v/>
      </c>
      <c r="AH851" s="234" t="str">
        <f>IF($D851=$B$3150,AH$832,"")</f>
        <v/>
      </c>
      <c r="AI851" s="234" t="str">
        <f>IF($D851=$B$3151,AI$832,"")</f>
        <v/>
      </c>
      <c r="AJ851" s="48">
        <f t="shared" si="20"/>
        <v>0</v>
      </c>
      <c r="AL851" s="48">
        <f t="shared" si="21"/>
        <v>0</v>
      </c>
      <c r="AO851" s="48">
        <f t="shared" si="22"/>
        <v>0</v>
      </c>
      <c r="AS851" s="52" t="str">
        <f>IF(AO854=0,"",CONCATENATE(AS849,AV849,AS854,"."))</f>
        <v/>
      </c>
      <c r="BB851" s="48"/>
    </row>
    <row r="852" spans="1:64" x14ac:dyDescent="0.3">
      <c r="A852" s="226"/>
      <c r="B852" s="231"/>
      <c r="C852" s="232" t="s">
        <v>3775</v>
      </c>
      <c r="D852" s="231"/>
      <c r="E852" s="82"/>
      <c r="F852" s="1"/>
      <c r="AC852" s="7" t="str">
        <f>IF($B852=$B$3145,AC$832,"")</f>
        <v/>
      </c>
      <c r="AD852" s="9" t="str">
        <f>IF($B852=$B$3146,AD$832,"")</f>
        <v/>
      </c>
      <c r="AE852" s="233" t="str">
        <f>IF($B852=$B$3147,AE$832,"")</f>
        <v/>
      </c>
      <c r="AF852" s="48">
        <f t="shared" si="18"/>
        <v>0</v>
      </c>
      <c r="AG852" s="234" t="str">
        <f>IF($D852=$B$3149,AG$832,"")</f>
        <v/>
      </c>
      <c r="AH852" s="234" t="str">
        <f>IF($D852=$B$3150,AH$832,"")</f>
        <v/>
      </c>
      <c r="AI852" s="234" t="str">
        <f>IF($D852=$B$3151,AI$832,"")</f>
        <v/>
      </c>
      <c r="AJ852" s="48">
        <f t="shared" si="20"/>
        <v>0</v>
      </c>
      <c r="AL852" s="48">
        <f t="shared" si="21"/>
        <v>0</v>
      </c>
      <c r="AO852" s="48">
        <f t="shared" si="22"/>
        <v>0</v>
      </c>
      <c r="AS852" s="48" t="s">
        <v>466</v>
      </c>
      <c r="BB852" s="48"/>
    </row>
    <row r="853" spans="1:64" x14ac:dyDescent="0.3">
      <c r="A853" s="226"/>
      <c r="B853" s="231"/>
      <c r="C853" s="232" t="s">
        <v>3776</v>
      </c>
      <c r="D853" s="231"/>
      <c r="E853" s="82"/>
      <c r="F853" s="1"/>
      <c r="AC853" s="7" t="str">
        <f>IF($B853=$B$3145,AC$832,"")</f>
        <v/>
      </c>
      <c r="AD853" s="9" t="str">
        <f>IF($B853=$B$3146,AD$832,"")</f>
        <v/>
      </c>
      <c r="AE853" s="233" t="str">
        <f>IF($B853=$B$3147,AE$832,"")</f>
        <v/>
      </c>
      <c r="AF853" s="48">
        <f t="shared" si="18"/>
        <v>0</v>
      </c>
      <c r="AG853" s="234" t="str">
        <f>IF($D853=$B$3149,AG$832,"")</f>
        <v/>
      </c>
      <c r="AH853" s="234" t="str">
        <f>IF($D853=$B$3150,AH$832,"")</f>
        <v/>
      </c>
      <c r="AI853" s="234" t="str">
        <f>IF($D853=$B$3151,AI$832,"")</f>
        <v/>
      </c>
      <c r="AJ853" s="48">
        <f t="shared" si="20"/>
        <v>0</v>
      </c>
      <c r="AL853" s="48">
        <f t="shared" si="21"/>
        <v>0</v>
      </c>
      <c r="AO853" s="48">
        <f t="shared" si="22"/>
        <v>0</v>
      </c>
      <c r="BB853" s="48"/>
    </row>
    <row r="854" spans="1:64" ht="15" x14ac:dyDescent="0.3">
      <c r="A854" s="226"/>
      <c r="B854" s="82"/>
      <c r="C854" s="82"/>
      <c r="D854" s="82"/>
      <c r="E854" s="82"/>
      <c r="F854" s="1"/>
      <c r="AO854" s="236">
        <f>SUM(AO834:AO853)</f>
        <v>0</v>
      </c>
      <c r="AS854" s="237" t="str">
        <f>(IF(AND(AO854&gt;AS834,AO854&lt;AT834),AV834,IF(AND(AO854&gt;AS835,AO854&lt;AT835),AV835,IF(AND(AO854&gt;AS836,AO854&lt;AT836),AV836,IF(AND(AO854&gt;AS837,AO854&lt;AT837),AV837,IF(AND(AO854&gt;AS838,AO854&lt;AT838),AV838,""))))))</f>
        <v/>
      </c>
      <c r="AT854" s="237"/>
      <c r="AU854" s="237"/>
      <c r="AV854" s="237"/>
      <c r="AW854" s="237"/>
      <c r="AX854" s="237"/>
      <c r="AY854" s="237"/>
      <c r="AZ854" s="237"/>
      <c r="BA854" s="237"/>
      <c r="BB854" s="237"/>
      <c r="BC854" s="237"/>
    </row>
    <row r="855" spans="1:64" ht="20" customHeight="1" x14ac:dyDescent="0.3">
      <c r="A855" s="226"/>
      <c r="B855" s="238" t="s">
        <v>467</v>
      </c>
      <c r="C855" s="230"/>
      <c r="D855" s="230"/>
      <c r="E855" s="82"/>
      <c r="F855" s="1"/>
      <c r="BB855" s="48"/>
    </row>
    <row r="856" spans="1:64" ht="75" customHeight="1" x14ac:dyDescent="0.3">
      <c r="A856" s="226"/>
      <c r="B856" s="1048"/>
      <c r="C856" s="1048"/>
      <c r="D856" s="1048"/>
      <c r="E856" s="82"/>
      <c r="F856" s="1"/>
      <c r="AC856" s="1049" t="str">
        <f>CONCATENATE(AK832,AS851,AS852)</f>
        <v>Collateral consequences create second-class citizens, often without measurable outcomes to test if meeting their intended purpose. Consequently, they can have the opposite effect, like enabling recidivism--even among the wrongly convicted.  You can help change this.</v>
      </c>
      <c r="AD856" s="1050"/>
      <c r="AE856" s="1050"/>
      <c r="AF856" s="1050"/>
      <c r="AG856" s="1050"/>
      <c r="AH856" s="1050"/>
      <c r="AI856" s="1050"/>
      <c r="AJ856" s="1050"/>
      <c r="AK856" s="1050"/>
      <c r="AL856" s="1050"/>
      <c r="AM856" s="1050"/>
      <c r="AN856" s="1050"/>
      <c r="AO856" s="1050"/>
      <c r="AP856" s="1050"/>
      <c r="AQ856" s="1050"/>
      <c r="AR856" s="1050"/>
      <c r="AS856" s="1050"/>
      <c r="AT856" s="1050"/>
      <c r="AU856" s="1050"/>
      <c r="AV856" s="1050"/>
      <c r="AW856" s="1050"/>
      <c r="AX856" s="1050"/>
      <c r="AY856" s="1050"/>
      <c r="AZ856" s="1050"/>
      <c r="BA856" s="1050"/>
      <c r="BB856" s="1050"/>
      <c r="BC856" s="1050"/>
      <c r="BD856" s="1051"/>
    </row>
    <row r="857" spans="1:64" x14ac:dyDescent="0.3">
      <c r="A857" s="226"/>
      <c r="B857" s="82"/>
      <c r="C857" s="82"/>
      <c r="D857" s="82"/>
      <c r="E857" s="82"/>
      <c r="F857" s="1"/>
      <c r="BB857" s="48"/>
    </row>
    <row r="858" spans="1:64" ht="15.5" x14ac:dyDescent="0.3">
      <c r="A858" s="228">
        <f>A831+1</f>
        <v>65</v>
      </c>
      <c r="B858" s="228" t="s">
        <v>468</v>
      </c>
      <c r="C858" s="228"/>
      <c r="D858" s="228"/>
      <c r="E858" s="82"/>
      <c r="F858" s="1"/>
      <c r="AC858" s="48">
        <v>0</v>
      </c>
      <c r="AD858" s="48">
        <f>AC858+1</f>
        <v>1</v>
      </c>
      <c r="AE858" s="48">
        <f>AD858+1</f>
        <v>2</v>
      </c>
      <c r="AF858" s="48">
        <f>AE858+1</f>
        <v>3</v>
      </c>
      <c r="AI858" s="48">
        <v>10</v>
      </c>
      <c r="AJ858" s="48">
        <f>AI858-1</f>
        <v>9</v>
      </c>
      <c r="AK858" s="48">
        <f t="shared" ref="AK858:AP858" si="23">AJ858-1</f>
        <v>8</v>
      </c>
      <c r="AL858" s="48">
        <f t="shared" si="23"/>
        <v>7</v>
      </c>
      <c r="AM858" s="48">
        <f t="shared" si="23"/>
        <v>6</v>
      </c>
      <c r="AN858" s="48">
        <f t="shared" si="23"/>
        <v>5</v>
      </c>
      <c r="AO858" s="48">
        <f t="shared" si="23"/>
        <v>4</v>
      </c>
      <c r="AP858" s="48">
        <f t="shared" si="23"/>
        <v>3</v>
      </c>
      <c r="BB858" s="48"/>
    </row>
    <row r="859" spans="1:64" ht="15.5" x14ac:dyDescent="0.35">
      <c r="A859" s="226"/>
      <c r="B859" s="229" t="s">
        <v>469</v>
      </c>
      <c r="C859" s="230"/>
      <c r="D859" s="230"/>
      <c r="E859" s="82"/>
      <c r="F859" s="1"/>
      <c r="AC859" s="48" t="str">
        <f>B3154</f>
        <v>not applicable</v>
      </c>
      <c r="AD859" s="48" t="str">
        <f>B3155</f>
        <v>temporary</v>
      </c>
      <c r="AE859" s="48" t="str">
        <f>B3156</f>
        <v>lasting</v>
      </c>
      <c r="AF859" s="48" t="str">
        <f>B3157</f>
        <v>permanent</v>
      </c>
      <c r="AI859" s="48" t="str">
        <f>B3159</f>
        <v>impacting everyone I know</v>
      </c>
      <c r="AJ859" s="48" t="str">
        <f>B3160</f>
        <v>impacting close friend(s)</v>
      </c>
      <c r="AK859" s="48" t="str">
        <f>B3161</f>
        <v>impacting close friends &amp; family</v>
      </c>
      <c r="AL859" s="48" t="str">
        <f>B3162</f>
        <v>impacting only family members</v>
      </c>
      <c r="AM859" s="48" t="str">
        <f>B3163</f>
        <v>impacting only my (then) partner</v>
      </c>
      <c r="AN859" s="48" t="str">
        <f>B3164</f>
        <v>impacting (then) partner &amp; kids</v>
      </c>
      <c r="AO859" s="48" t="str">
        <f>B3165</f>
        <v>impacting only my child(ren)</v>
      </c>
      <c r="AP859" s="48" t="str">
        <f>B3166</f>
        <v>impacting only my grandchild(ren)</v>
      </c>
      <c r="AX859" s="48">
        <v>360</v>
      </c>
      <c r="BI859" s="239">
        <f>SUM(AS861:AS872)</f>
        <v>0</v>
      </c>
      <c r="BJ859" s="240">
        <f>BI859/AX859</f>
        <v>0</v>
      </c>
    </row>
    <row r="860" spans="1:64" ht="5" customHeight="1" x14ac:dyDescent="0.3">
      <c r="A860" s="226"/>
      <c r="B860" s="226"/>
      <c r="C860" s="226"/>
      <c r="D860" s="226"/>
      <c r="E860" s="82"/>
      <c r="F860" s="1"/>
    </row>
    <row r="861" spans="1:64" x14ac:dyDescent="0.3">
      <c r="A861" s="226"/>
      <c r="B861" s="231"/>
      <c r="C861" s="232" t="s">
        <v>3780</v>
      </c>
      <c r="D861" s="241"/>
      <c r="E861" s="82"/>
      <c r="F861" s="1"/>
      <c r="AC861" s="7">
        <f>IF($B861=AC$859,AC$858,0)</f>
        <v>0</v>
      </c>
      <c r="AD861" s="9">
        <f t="shared" ref="AD861:AF872" si="24">IF($B861=AD$859,AD$858,0)</f>
        <v>0</v>
      </c>
      <c r="AE861" s="233">
        <f t="shared" si="24"/>
        <v>0</v>
      </c>
      <c r="AF861" s="242">
        <f t="shared" si="24"/>
        <v>0</v>
      </c>
      <c r="AG861" s="243">
        <f>MAX(AC861:AF861)</f>
        <v>0</v>
      </c>
      <c r="AH861" s="48">
        <f>AG861</f>
        <v>0</v>
      </c>
      <c r="AI861" s="234">
        <f>IF($D861=AI$859,AI$858,0)</f>
        <v>0</v>
      </c>
      <c r="AJ861" s="234">
        <f t="shared" ref="AJ861:AP872" si="25">IF($D861=AJ$859,AJ$858,0)</f>
        <v>0</v>
      </c>
      <c r="AK861" s="234">
        <f t="shared" si="25"/>
        <v>0</v>
      </c>
      <c r="AL861" s="234">
        <f t="shared" si="25"/>
        <v>0</v>
      </c>
      <c r="AM861" s="234">
        <f t="shared" si="25"/>
        <v>0</v>
      </c>
      <c r="AN861" s="234">
        <f t="shared" si="25"/>
        <v>0</v>
      </c>
      <c r="AO861" s="234">
        <f t="shared" si="25"/>
        <v>0</v>
      </c>
      <c r="AP861" s="234">
        <f t="shared" si="25"/>
        <v>0</v>
      </c>
      <c r="AQ861" s="243">
        <f>IF(AG861&gt;0,MAX(AI861:AP861),0)</f>
        <v>0</v>
      </c>
      <c r="AS861" s="244" t="str">
        <f t="shared" ref="AS861:AS872" si="26">IF(AND(B861="",D861=""),"",AG861*AQ861)</f>
        <v/>
      </c>
      <c r="AV861" s="48" t="str">
        <f>IF(AF861=3,BI868,BI866)</f>
        <v xml:space="preserve">have suffered from </v>
      </c>
      <c r="BB861" s="14" t="s">
        <v>470</v>
      </c>
      <c r="BD861" s="48" t="str">
        <f t="shared" ref="BD861:BD872" si="27">IF(AS861&gt;0,C861,"")</f>
        <v>1) anxiety</v>
      </c>
      <c r="BF861" s="48" t="str">
        <f>IF(BD861="","",CONCATENATE(BB861,", "))</f>
        <v xml:space="preserve">anxiety, </v>
      </c>
      <c r="BI861" s="386">
        <v>0</v>
      </c>
      <c r="BJ861" s="386">
        <v>89</v>
      </c>
      <c r="BL861" s="48" t="s">
        <v>471</v>
      </c>
    </row>
    <row r="862" spans="1:64" x14ac:dyDescent="0.3">
      <c r="A862" s="226"/>
      <c r="B862" s="231"/>
      <c r="C862" s="232" t="s">
        <v>3781</v>
      </c>
      <c r="D862" s="241"/>
      <c r="E862" s="82"/>
      <c r="F862" s="1"/>
      <c r="AC862" s="7">
        <f t="shared" ref="AC862:AC872" si="28">IF($B862=AC$859,AC$858,0)</f>
        <v>0</v>
      </c>
      <c r="AD862" s="9">
        <f t="shared" si="24"/>
        <v>0</v>
      </c>
      <c r="AE862" s="233">
        <f t="shared" si="24"/>
        <v>0</v>
      </c>
      <c r="AF862" s="242">
        <f t="shared" si="24"/>
        <v>0</v>
      </c>
      <c r="AG862" s="243">
        <f t="shared" ref="AG862:AG872" si="29">MAX(AC862:AF862)</f>
        <v>0</v>
      </c>
      <c r="AI862" s="234">
        <f t="shared" ref="AI862:AI872" si="30">IF($D862=AI$859,AI$858,0)</f>
        <v>0</v>
      </c>
      <c r="AJ862" s="234">
        <f t="shared" si="25"/>
        <v>0</v>
      </c>
      <c r="AK862" s="234">
        <f t="shared" si="25"/>
        <v>0</v>
      </c>
      <c r="AL862" s="234">
        <f t="shared" si="25"/>
        <v>0</v>
      </c>
      <c r="AM862" s="234">
        <f t="shared" si="25"/>
        <v>0</v>
      </c>
      <c r="AN862" s="234">
        <f t="shared" si="25"/>
        <v>0</v>
      </c>
      <c r="AO862" s="234">
        <f t="shared" si="25"/>
        <v>0</v>
      </c>
      <c r="AP862" s="234">
        <f t="shared" si="25"/>
        <v>0</v>
      </c>
      <c r="AQ862" s="243">
        <f t="shared" ref="AQ862:AQ872" si="31">IF(AG862&gt;0,MAX(AI862:AP862),0)</f>
        <v>0</v>
      </c>
      <c r="AS862" s="244" t="str">
        <f t="shared" si="26"/>
        <v/>
      </c>
      <c r="BB862" s="14" t="s">
        <v>472</v>
      </c>
      <c r="BD862" s="48" t="str">
        <f t="shared" si="27"/>
        <v>2) costs to contact while in prison</v>
      </c>
      <c r="BF862" s="48" t="str">
        <f t="shared" ref="BF862:BF872" si="32">IF(BD862="","",CONCATENATE(BB862,", "))</f>
        <v xml:space="preserve">costs to contact while in prison, </v>
      </c>
      <c r="BI862" s="386">
        <f>BJ861</f>
        <v>89</v>
      </c>
      <c r="BJ862" s="386">
        <f>BI863</f>
        <v>100</v>
      </c>
    </row>
    <row r="863" spans="1:64" x14ac:dyDescent="0.3">
      <c r="A863" s="226"/>
      <c r="B863" s="231"/>
      <c r="C863" s="232" t="s">
        <v>3782</v>
      </c>
      <c r="D863" s="241"/>
      <c r="E863" s="82"/>
      <c r="F863" s="1"/>
      <c r="AC863" s="7">
        <f t="shared" si="28"/>
        <v>0</v>
      </c>
      <c r="AD863" s="9">
        <f t="shared" si="24"/>
        <v>0</v>
      </c>
      <c r="AE863" s="233">
        <f t="shared" si="24"/>
        <v>0</v>
      </c>
      <c r="AF863" s="242">
        <f t="shared" si="24"/>
        <v>0</v>
      </c>
      <c r="AG863" s="243">
        <f t="shared" si="29"/>
        <v>0</v>
      </c>
      <c r="AH863" s="48">
        <f>AG863</f>
        <v>0</v>
      </c>
      <c r="AI863" s="234">
        <f t="shared" si="30"/>
        <v>0</v>
      </c>
      <c r="AJ863" s="234">
        <f t="shared" si="25"/>
        <v>0</v>
      </c>
      <c r="AK863" s="234">
        <f t="shared" si="25"/>
        <v>0</v>
      </c>
      <c r="AL863" s="234">
        <f t="shared" si="25"/>
        <v>0</v>
      </c>
      <c r="AM863" s="234">
        <f t="shared" si="25"/>
        <v>0</v>
      </c>
      <c r="AN863" s="234">
        <f t="shared" si="25"/>
        <v>0</v>
      </c>
      <c r="AO863" s="234">
        <f t="shared" si="25"/>
        <v>0</v>
      </c>
      <c r="AP863" s="234">
        <f t="shared" si="25"/>
        <v>0</v>
      </c>
      <c r="AQ863" s="243">
        <f t="shared" si="31"/>
        <v>0</v>
      </c>
      <c r="AS863" s="244" t="str">
        <f t="shared" si="26"/>
        <v/>
      </c>
      <c r="BB863" s="14" t="s">
        <v>473</v>
      </c>
      <c r="BD863" s="48" t="str">
        <f t="shared" si="27"/>
        <v>3) depression</v>
      </c>
      <c r="BF863" s="48" t="str">
        <f t="shared" si="32"/>
        <v xml:space="preserve">depression, </v>
      </c>
      <c r="BI863" s="386">
        <v>100</v>
      </c>
      <c r="BJ863" s="386">
        <v>121</v>
      </c>
    </row>
    <row r="864" spans="1:64" x14ac:dyDescent="0.3">
      <c r="A864" s="226"/>
      <c r="B864" s="231"/>
      <c r="C864" s="232" t="s">
        <v>3783</v>
      </c>
      <c r="D864" s="241"/>
      <c r="E864" s="82"/>
      <c r="F864" s="1"/>
      <c r="AC864" s="7">
        <f t="shared" si="28"/>
        <v>0</v>
      </c>
      <c r="AD864" s="9">
        <f t="shared" si="24"/>
        <v>0</v>
      </c>
      <c r="AE864" s="233">
        <f t="shared" si="24"/>
        <v>0</v>
      </c>
      <c r="AF864" s="242">
        <f t="shared" si="24"/>
        <v>0</v>
      </c>
      <c r="AG864" s="243">
        <f t="shared" si="29"/>
        <v>0</v>
      </c>
      <c r="AH864" s="48">
        <f>AG864</f>
        <v>0</v>
      </c>
      <c r="AI864" s="234">
        <f t="shared" si="30"/>
        <v>0</v>
      </c>
      <c r="AJ864" s="234">
        <f t="shared" si="25"/>
        <v>0</v>
      </c>
      <c r="AK864" s="234">
        <f t="shared" si="25"/>
        <v>0</v>
      </c>
      <c r="AL864" s="234">
        <f t="shared" si="25"/>
        <v>0</v>
      </c>
      <c r="AM864" s="234">
        <f t="shared" si="25"/>
        <v>0</v>
      </c>
      <c r="AN864" s="234">
        <f t="shared" si="25"/>
        <v>0</v>
      </c>
      <c r="AO864" s="234">
        <f t="shared" si="25"/>
        <v>0</v>
      </c>
      <c r="AP864" s="234">
        <f t="shared" si="25"/>
        <v>0</v>
      </c>
      <c r="AQ864" s="243">
        <f t="shared" si="31"/>
        <v>0</v>
      </c>
      <c r="AS864" s="244" t="str">
        <f t="shared" si="26"/>
        <v/>
      </c>
      <c r="BB864" s="14" t="s">
        <v>475</v>
      </c>
      <c r="BD864" s="48" t="str">
        <f t="shared" si="27"/>
        <v>4) divorce</v>
      </c>
      <c r="BF864" s="48" t="str">
        <f t="shared" si="32"/>
        <v xml:space="preserve">divorce, </v>
      </c>
      <c r="BI864" s="14">
        <f>BJ863</f>
        <v>121</v>
      </c>
      <c r="BJ864" s="14">
        <f>BI864+$BJ$861</f>
        <v>210</v>
      </c>
    </row>
    <row r="865" spans="1:71" x14ac:dyDescent="0.3">
      <c r="A865" s="226"/>
      <c r="B865" s="231"/>
      <c r="C865" s="232" t="s">
        <v>3784</v>
      </c>
      <c r="D865" s="241"/>
      <c r="E865" s="82"/>
      <c r="F865" s="1"/>
      <c r="AC865" s="7">
        <f t="shared" si="28"/>
        <v>0</v>
      </c>
      <c r="AD865" s="9">
        <f t="shared" si="24"/>
        <v>0</v>
      </c>
      <c r="AE865" s="233">
        <f t="shared" si="24"/>
        <v>0</v>
      </c>
      <c r="AF865" s="242">
        <f t="shared" si="24"/>
        <v>0</v>
      </c>
      <c r="AG865" s="243">
        <f t="shared" si="29"/>
        <v>0</v>
      </c>
      <c r="AH865" s="48">
        <f>AG865</f>
        <v>0</v>
      </c>
      <c r="AI865" s="234">
        <f t="shared" si="30"/>
        <v>0</v>
      </c>
      <c r="AJ865" s="234">
        <f t="shared" si="25"/>
        <v>0</v>
      </c>
      <c r="AK865" s="234">
        <f t="shared" si="25"/>
        <v>0</v>
      </c>
      <c r="AL865" s="234">
        <f t="shared" si="25"/>
        <v>0</v>
      </c>
      <c r="AM865" s="234">
        <f t="shared" si="25"/>
        <v>0</v>
      </c>
      <c r="AN865" s="234">
        <f t="shared" si="25"/>
        <v>0</v>
      </c>
      <c r="AO865" s="234">
        <f t="shared" si="25"/>
        <v>0</v>
      </c>
      <c r="AP865" s="234">
        <f t="shared" si="25"/>
        <v>0</v>
      </c>
      <c r="AQ865" s="243">
        <f t="shared" si="31"/>
        <v>0</v>
      </c>
      <c r="AS865" s="244" t="str">
        <f t="shared" si="26"/>
        <v/>
      </c>
      <c r="BB865" s="14" t="s">
        <v>477</v>
      </c>
      <c r="BD865" s="48" t="str">
        <f t="shared" si="27"/>
        <v>5) housing instability</v>
      </c>
      <c r="BF865" s="48" t="str">
        <f t="shared" si="32"/>
        <v xml:space="preserve">housing instability, </v>
      </c>
      <c r="BI865" s="14">
        <f>BJ864</f>
        <v>210</v>
      </c>
      <c r="BJ865" s="14">
        <f>BI865+$BJ$861</f>
        <v>299</v>
      </c>
      <c r="BL865" s="48" t="s">
        <v>479</v>
      </c>
    </row>
    <row r="866" spans="1:71" x14ac:dyDescent="0.3">
      <c r="A866" s="226"/>
      <c r="B866" s="231"/>
      <c r="C866" s="232" t="s">
        <v>3785</v>
      </c>
      <c r="D866" s="241"/>
      <c r="E866" s="82"/>
      <c r="F866" s="1"/>
      <c r="AC866" s="7">
        <f t="shared" si="28"/>
        <v>0</v>
      </c>
      <c r="AD866" s="9">
        <f t="shared" si="24"/>
        <v>0</v>
      </c>
      <c r="AE866" s="233">
        <f t="shared" si="24"/>
        <v>0</v>
      </c>
      <c r="AF866" s="242">
        <f t="shared" si="24"/>
        <v>0</v>
      </c>
      <c r="AG866" s="243">
        <f t="shared" si="29"/>
        <v>0</v>
      </c>
      <c r="AI866" s="234">
        <f t="shared" si="30"/>
        <v>0</v>
      </c>
      <c r="AJ866" s="234">
        <f t="shared" si="25"/>
        <v>0</v>
      </c>
      <c r="AK866" s="234">
        <f t="shared" si="25"/>
        <v>0</v>
      </c>
      <c r="AL866" s="234">
        <f t="shared" si="25"/>
        <v>0</v>
      </c>
      <c r="AM866" s="234">
        <f t="shared" si="25"/>
        <v>0</v>
      </c>
      <c r="AN866" s="234">
        <f t="shared" si="25"/>
        <v>0</v>
      </c>
      <c r="AO866" s="234">
        <f t="shared" si="25"/>
        <v>0</v>
      </c>
      <c r="AP866" s="234">
        <f t="shared" si="25"/>
        <v>0</v>
      </c>
      <c r="AQ866" s="243">
        <f t="shared" si="31"/>
        <v>0</v>
      </c>
      <c r="AS866" s="244" t="str">
        <f t="shared" si="26"/>
        <v/>
      </c>
      <c r="AV866" s="48" t="s">
        <v>482</v>
      </c>
      <c r="BB866" s="14" t="s">
        <v>480</v>
      </c>
      <c r="BD866" s="48" t="str">
        <f t="shared" si="27"/>
        <v>6) loss of companionship</v>
      </c>
      <c r="BF866" s="48" t="str">
        <f t="shared" si="32"/>
        <v xml:space="preserve">loss of companionship, </v>
      </c>
      <c r="BI866" s="48" t="s">
        <v>483</v>
      </c>
    </row>
    <row r="867" spans="1:71" x14ac:dyDescent="0.3">
      <c r="A867" s="226"/>
      <c r="B867" s="231"/>
      <c r="C867" s="232" t="s">
        <v>3926</v>
      </c>
      <c r="D867" s="241"/>
      <c r="E867" s="82"/>
      <c r="F867" s="1"/>
      <c r="AC867" s="7">
        <f t="shared" si="28"/>
        <v>0</v>
      </c>
      <c r="AD867" s="9">
        <f t="shared" si="24"/>
        <v>0</v>
      </c>
      <c r="AE867" s="233">
        <f t="shared" si="24"/>
        <v>0</v>
      </c>
      <c r="AF867" s="242">
        <f t="shared" si="24"/>
        <v>0</v>
      </c>
      <c r="AG867" s="243">
        <f t="shared" si="29"/>
        <v>0</v>
      </c>
      <c r="AI867" s="234">
        <f t="shared" si="30"/>
        <v>0</v>
      </c>
      <c r="AJ867" s="234">
        <f t="shared" si="25"/>
        <v>0</v>
      </c>
      <c r="AK867" s="234">
        <f t="shared" si="25"/>
        <v>0</v>
      </c>
      <c r="AL867" s="234">
        <f t="shared" si="25"/>
        <v>0</v>
      </c>
      <c r="AM867" s="234">
        <f t="shared" si="25"/>
        <v>0</v>
      </c>
      <c r="AN867" s="234">
        <f t="shared" si="25"/>
        <v>0</v>
      </c>
      <c r="AO867" s="234">
        <f t="shared" si="25"/>
        <v>0</v>
      </c>
      <c r="AP867" s="234">
        <f t="shared" si="25"/>
        <v>0</v>
      </c>
      <c r="AQ867" s="243">
        <f t="shared" si="31"/>
        <v>0</v>
      </c>
      <c r="AS867" s="244" t="str">
        <f t="shared" si="26"/>
        <v/>
      </c>
      <c r="AV867" s="48" t="s">
        <v>484</v>
      </c>
      <c r="BB867" s="14" t="s">
        <v>3925</v>
      </c>
      <c r="BD867" s="48" t="str">
        <f t="shared" si="27"/>
        <v>7) loss of parent during upbringing</v>
      </c>
      <c r="BF867" s="48" t="str">
        <f t="shared" si="32"/>
        <v xml:space="preserve">loss of parent during upbringing, </v>
      </c>
      <c r="BI867" s="48" t="s">
        <v>485</v>
      </c>
    </row>
    <row r="868" spans="1:71" x14ac:dyDescent="0.3">
      <c r="A868" s="226"/>
      <c r="B868" s="231"/>
      <c r="C868" s="232" t="s">
        <v>3786</v>
      </c>
      <c r="D868" s="241"/>
      <c r="E868" s="82"/>
      <c r="F868" s="1"/>
      <c r="AC868" s="7">
        <f t="shared" si="28"/>
        <v>0</v>
      </c>
      <c r="AD868" s="9">
        <f t="shared" si="24"/>
        <v>0</v>
      </c>
      <c r="AE868" s="233">
        <f t="shared" si="24"/>
        <v>0</v>
      </c>
      <c r="AF868" s="242">
        <f t="shared" si="24"/>
        <v>0</v>
      </c>
      <c r="AG868" s="243">
        <f t="shared" si="29"/>
        <v>0</v>
      </c>
      <c r="AI868" s="234">
        <f t="shared" si="30"/>
        <v>0</v>
      </c>
      <c r="AJ868" s="234">
        <f t="shared" si="25"/>
        <v>0</v>
      </c>
      <c r="AK868" s="234">
        <f t="shared" si="25"/>
        <v>0</v>
      </c>
      <c r="AL868" s="234">
        <f t="shared" si="25"/>
        <v>0</v>
      </c>
      <c r="AM868" s="234">
        <f t="shared" si="25"/>
        <v>0</v>
      </c>
      <c r="AN868" s="234">
        <f t="shared" si="25"/>
        <v>0</v>
      </c>
      <c r="AO868" s="234">
        <f t="shared" si="25"/>
        <v>0</v>
      </c>
      <c r="AP868" s="234">
        <f t="shared" si="25"/>
        <v>0</v>
      </c>
      <c r="AQ868" s="243">
        <f t="shared" si="31"/>
        <v>0</v>
      </c>
      <c r="AS868" s="244" t="str">
        <f t="shared" si="26"/>
        <v/>
      </c>
      <c r="AV868" s="48" t="s">
        <v>486</v>
      </c>
      <c r="BB868" s="14" t="s">
        <v>3927</v>
      </c>
      <c r="BD868" s="48" t="str">
        <f t="shared" si="27"/>
        <v>8) loss of stable income</v>
      </c>
      <c r="BF868" s="48" t="str">
        <f t="shared" si="32"/>
        <v xml:space="preserve">loss of stable inome, </v>
      </c>
      <c r="BI868" s="48" t="s">
        <v>487</v>
      </c>
    </row>
    <row r="869" spans="1:71" x14ac:dyDescent="0.3">
      <c r="A869" s="226"/>
      <c r="B869" s="231"/>
      <c r="C869" s="232" t="s">
        <v>3787</v>
      </c>
      <c r="D869" s="241"/>
      <c r="E869" s="82"/>
      <c r="F869" s="1"/>
      <c r="AC869" s="7">
        <f t="shared" si="28"/>
        <v>0</v>
      </c>
      <c r="AD869" s="9">
        <f t="shared" si="24"/>
        <v>0</v>
      </c>
      <c r="AE869" s="233">
        <f t="shared" si="24"/>
        <v>0</v>
      </c>
      <c r="AF869" s="242">
        <f t="shared" si="24"/>
        <v>0</v>
      </c>
      <c r="AG869" s="243">
        <f t="shared" si="29"/>
        <v>0</v>
      </c>
      <c r="AI869" s="234">
        <f t="shared" si="30"/>
        <v>0</v>
      </c>
      <c r="AJ869" s="234">
        <f t="shared" si="25"/>
        <v>0</v>
      </c>
      <c r="AK869" s="234">
        <f t="shared" si="25"/>
        <v>0</v>
      </c>
      <c r="AL869" s="234">
        <f t="shared" si="25"/>
        <v>0</v>
      </c>
      <c r="AM869" s="234">
        <f t="shared" si="25"/>
        <v>0</v>
      </c>
      <c r="AN869" s="234">
        <f t="shared" si="25"/>
        <v>0</v>
      </c>
      <c r="AO869" s="234">
        <f t="shared" si="25"/>
        <v>0</v>
      </c>
      <c r="AP869" s="234">
        <f t="shared" si="25"/>
        <v>0</v>
      </c>
      <c r="AQ869" s="243">
        <f t="shared" si="31"/>
        <v>0</v>
      </c>
      <c r="AS869" s="244" t="str">
        <f t="shared" si="26"/>
        <v/>
      </c>
      <c r="BB869" s="14" t="s">
        <v>488</v>
      </c>
      <c r="BD869" s="48" t="str">
        <f t="shared" si="27"/>
        <v>9) loss of emotional support</v>
      </c>
      <c r="BF869" s="48" t="str">
        <f t="shared" si="32"/>
        <v xml:space="preserve">loss of emotional support, </v>
      </c>
    </row>
    <row r="870" spans="1:71" x14ac:dyDescent="0.3">
      <c r="A870" s="226"/>
      <c r="B870" s="231"/>
      <c r="C870" s="232" t="s">
        <v>3788</v>
      </c>
      <c r="D870" s="241"/>
      <c r="E870" s="82"/>
      <c r="F870" s="1"/>
      <c r="AC870" s="7">
        <f t="shared" si="28"/>
        <v>0</v>
      </c>
      <c r="AD870" s="9">
        <f t="shared" si="24"/>
        <v>0</v>
      </c>
      <c r="AE870" s="233">
        <f t="shared" si="24"/>
        <v>0</v>
      </c>
      <c r="AF870" s="242">
        <f t="shared" si="24"/>
        <v>0</v>
      </c>
      <c r="AG870" s="243">
        <f t="shared" si="29"/>
        <v>0</v>
      </c>
      <c r="AH870" s="48">
        <f>AG870</f>
        <v>0</v>
      </c>
      <c r="AI870" s="234">
        <f t="shared" si="30"/>
        <v>0</v>
      </c>
      <c r="AJ870" s="234">
        <f t="shared" si="25"/>
        <v>0</v>
      </c>
      <c r="AK870" s="234">
        <f t="shared" si="25"/>
        <v>0</v>
      </c>
      <c r="AL870" s="234">
        <f t="shared" si="25"/>
        <v>0</v>
      </c>
      <c r="AM870" s="234">
        <f t="shared" si="25"/>
        <v>0</v>
      </c>
      <c r="AN870" s="234">
        <f t="shared" si="25"/>
        <v>0</v>
      </c>
      <c r="AO870" s="234">
        <f t="shared" si="25"/>
        <v>0</v>
      </c>
      <c r="AP870" s="234">
        <f t="shared" si="25"/>
        <v>0</v>
      </c>
      <c r="AQ870" s="243">
        <f t="shared" si="31"/>
        <v>0</v>
      </c>
      <c r="AS870" s="244" t="str">
        <f t="shared" si="26"/>
        <v/>
      </c>
      <c r="BB870" s="14" t="s">
        <v>489</v>
      </c>
      <c r="BD870" s="48" t="str">
        <f t="shared" si="27"/>
        <v>10) poverty</v>
      </c>
      <c r="BF870" s="48" t="str">
        <f t="shared" si="32"/>
        <v xml:space="preserve">poverty, </v>
      </c>
      <c r="BI870" s="48" t="str">
        <f>IF($AQ$873&gt;0,"family members","")</f>
        <v/>
      </c>
      <c r="BK870" s="48" t="str">
        <f>IF(BI870="","",CONCATENATE(BI870,", "))</f>
        <v/>
      </c>
      <c r="BO870" s="48" t="str">
        <f>IF($AQ$873&gt;0,"family members and friends","")</f>
        <v/>
      </c>
    </row>
    <row r="871" spans="1:71" x14ac:dyDescent="0.3">
      <c r="A871" s="226"/>
      <c r="B871" s="231"/>
      <c r="C871" s="232" t="s">
        <v>3789</v>
      </c>
      <c r="D871" s="241"/>
      <c r="E871" s="82"/>
      <c r="F871" s="1"/>
      <c r="AC871" s="7">
        <f t="shared" si="28"/>
        <v>0</v>
      </c>
      <c r="AD871" s="9">
        <f t="shared" si="24"/>
        <v>0</v>
      </c>
      <c r="AE871" s="233">
        <f t="shared" si="24"/>
        <v>0</v>
      </c>
      <c r="AF871" s="242">
        <f t="shared" si="24"/>
        <v>0</v>
      </c>
      <c r="AG871" s="243">
        <f t="shared" si="29"/>
        <v>0</v>
      </c>
      <c r="AH871" s="48">
        <f>AG871</f>
        <v>0</v>
      </c>
      <c r="AI871" s="234">
        <f t="shared" si="30"/>
        <v>0</v>
      </c>
      <c r="AJ871" s="234">
        <f t="shared" si="25"/>
        <v>0</v>
      </c>
      <c r="AK871" s="234">
        <f t="shared" si="25"/>
        <v>0</v>
      </c>
      <c r="AL871" s="234">
        <f t="shared" si="25"/>
        <v>0</v>
      </c>
      <c r="AM871" s="234">
        <f t="shared" si="25"/>
        <v>0</v>
      </c>
      <c r="AN871" s="234">
        <f t="shared" si="25"/>
        <v>0</v>
      </c>
      <c r="AO871" s="234">
        <f t="shared" si="25"/>
        <v>0</v>
      </c>
      <c r="AP871" s="234">
        <f t="shared" si="25"/>
        <v>0</v>
      </c>
      <c r="AQ871" s="243">
        <f t="shared" si="31"/>
        <v>0</v>
      </c>
      <c r="AS871" s="244" t="str">
        <f t="shared" si="26"/>
        <v/>
      </c>
      <c r="BB871" s="14" t="s">
        <v>491</v>
      </c>
      <c r="BD871" s="48" t="str">
        <f t="shared" si="27"/>
        <v>11) stigma</v>
      </c>
      <c r="BF871" s="48" t="str">
        <f t="shared" si="32"/>
        <v xml:space="preserve">stigma, </v>
      </c>
      <c r="BI871" s="48" t="str">
        <f>IF(AND($AQ$873&gt;96,$AQ$873&lt;109),"friends","")</f>
        <v/>
      </c>
      <c r="BK871" s="48" t="str">
        <f>IF(BI871="","",CONCATENATE(BI871,", "))</f>
        <v/>
      </c>
      <c r="BO871" s="48" t="str">
        <f>IF(BI872="",BO870,"")</f>
        <v/>
      </c>
    </row>
    <row r="872" spans="1:71" x14ac:dyDescent="0.3">
      <c r="A872" s="226"/>
      <c r="B872" s="231"/>
      <c r="C872" s="232" t="s">
        <v>3929</v>
      </c>
      <c r="D872" s="241"/>
      <c r="E872" s="82"/>
      <c r="F872" s="1"/>
      <c r="AC872" s="7">
        <f t="shared" si="28"/>
        <v>0</v>
      </c>
      <c r="AD872" s="9">
        <f t="shared" si="24"/>
        <v>0</v>
      </c>
      <c r="AE872" s="233">
        <f t="shared" si="24"/>
        <v>0</v>
      </c>
      <c r="AF872" s="242">
        <f t="shared" si="24"/>
        <v>0</v>
      </c>
      <c r="AG872" s="243">
        <f t="shared" si="29"/>
        <v>0</v>
      </c>
      <c r="AI872" s="234">
        <f t="shared" si="30"/>
        <v>0</v>
      </c>
      <c r="AJ872" s="234">
        <f t="shared" si="25"/>
        <v>0</v>
      </c>
      <c r="AK872" s="234">
        <f t="shared" si="25"/>
        <v>0</v>
      </c>
      <c r="AL872" s="234">
        <f t="shared" si="25"/>
        <v>0</v>
      </c>
      <c r="AM872" s="234">
        <f t="shared" si="25"/>
        <v>0</v>
      </c>
      <c r="AN872" s="234">
        <f t="shared" si="25"/>
        <v>0</v>
      </c>
      <c r="AO872" s="234">
        <f t="shared" si="25"/>
        <v>0</v>
      </c>
      <c r="AP872" s="234">
        <f t="shared" si="25"/>
        <v>0</v>
      </c>
      <c r="AQ872" s="243">
        <f t="shared" si="31"/>
        <v>0</v>
      </c>
      <c r="AS872" s="244" t="str">
        <f t="shared" si="26"/>
        <v/>
      </c>
      <c r="BB872" s="14" t="s">
        <v>3928</v>
      </c>
      <c r="BD872" s="48" t="str">
        <f t="shared" si="27"/>
        <v>12) targeted by bullies</v>
      </c>
      <c r="BF872" s="48" t="str">
        <f t="shared" si="32"/>
        <v xml:space="preserve">targeted by bullies, </v>
      </c>
      <c r="BI872" s="48" t="str">
        <f>IF(AND($AI$873&gt;8,$AI$873&lt;101)," many others ","")</f>
        <v/>
      </c>
      <c r="BK872" s="48" t="str">
        <f>IF(BI872="","",CONCATENATE(BI872,", "))</f>
        <v/>
      </c>
    </row>
    <row r="873" spans="1:71" ht="15" customHeight="1" x14ac:dyDescent="0.3">
      <c r="A873" s="228"/>
      <c r="B873" s="228"/>
      <c r="C873" s="228"/>
      <c r="D873" s="228"/>
      <c r="E873" s="82"/>
      <c r="F873" s="1"/>
      <c r="AC873" s="48">
        <f t="shared" ref="AC873:AQ873" si="33">SUM(AC861:AC872)</f>
        <v>0</v>
      </c>
      <c r="AD873" s="48">
        <f t="shared" si="33"/>
        <v>0</v>
      </c>
      <c r="AE873" s="48">
        <f t="shared" si="33"/>
        <v>0</v>
      </c>
      <c r="AF873" s="48">
        <f t="shared" si="33"/>
        <v>0</v>
      </c>
      <c r="AG873" s="244">
        <f t="shared" si="33"/>
        <v>0</v>
      </c>
      <c r="AH873" s="48">
        <f t="shared" si="33"/>
        <v>0</v>
      </c>
      <c r="AI873" s="48">
        <f t="shared" si="33"/>
        <v>0</v>
      </c>
      <c r="AJ873" s="48">
        <f t="shared" si="33"/>
        <v>0</v>
      </c>
      <c r="AK873" s="48">
        <f t="shared" si="33"/>
        <v>0</v>
      </c>
      <c r="AL873" s="48">
        <f t="shared" si="33"/>
        <v>0</v>
      </c>
      <c r="AM873" s="48">
        <f t="shared" si="33"/>
        <v>0</v>
      </c>
      <c r="AN873" s="48">
        <f t="shared" si="33"/>
        <v>0</v>
      </c>
      <c r="AO873" s="48">
        <f t="shared" si="33"/>
        <v>0</v>
      </c>
      <c r="AP873" s="48">
        <f t="shared" si="33"/>
        <v>0</v>
      </c>
      <c r="AQ873" s="244">
        <f t="shared" si="33"/>
        <v>0</v>
      </c>
    </row>
    <row r="874" spans="1:71" ht="15" customHeight="1" x14ac:dyDescent="0.3">
      <c r="A874" s="226"/>
      <c r="B874" s="230" t="s">
        <v>492</v>
      </c>
      <c r="C874" s="230"/>
      <c r="D874" s="230"/>
      <c r="E874" s="82"/>
      <c r="F874" s="1"/>
      <c r="AC874" s="48" t="s">
        <v>493</v>
      </c>
      <c r="AN874" s="48" t="str">
        <f>IF($C$57=AD202,"this claimant",$C$57)</f>
        <v>this claimant</v>
      </c>
      <c r="AS874" s="245" t="s">
        <v>494</v>
      </c>
      <c r="AU874" s="48" t="str">
        <f>IF($C$57=AD202," This claimant",$C$57)</f>
        <v xml:space="preserve"> This claimant</v>
      </c>
      <c r="AZ874" s="48" t="s">
        <v>495</v>
      </c>
      <c r="BB874" s="48"/>
      <c r="BD874" s="48" t="str">
        <f>IF(AND(AQ873&gt;BI861,AQ873&lt;BJ861),AV866,IF(AND(AQ873&gt;BI862,AQ873&lt;BJ862),AV867,IF(AND(AQ873&gt;BI863,AQ873&lt;BJ863),AV868,"")))</f>
        <v/>
      </c>
      <c r="BK874" s="246" t="str">
        <f>IF(BO870="",BK871,BO870)</f>
        <v/>
      </c>
      <c r="BL874" s="246"/>
      <c r="BM874" s="246"/>
      <c r="BN874" s="246"/>
      <c r="BO874" s="246"/>
      <c r="BP874" s="246"/>
      <c r="BS874" s="246" t="str">
        <f>IF(BK872="",BO870,BK872)</f>
        <v/>
      </c>
    </row>
    <row r="875" spans="1:71" ht="30" customHeight="1" x14ac:dyDescent="0.4">
      <c r="A875" s="226"/>
      <c r="B875" s="1048"/>
      <c r="C875" s="1048"/>
      <c r="D875" s="1048"/>
      <c r="E875" s="82"/>
      <c r="F875" s="1"/>
      <c r="AC875" s="1052" t="str">
        <f>CONCATENATE(AC874,AN874,AS874,AU874,AZ874,BD874,AC876,AH876,BD876)</f>
        <v>Collateral consequences also impact others in this claimant's life.  This claimant shares how others have suffered. You can help improve their lives too!</v>
      </c>
      <c r="AD875" s="1053"/>
      <c r="AE875" s="1053"/>
      <c r="AF875" s="1053"/>
      <c r="AG875" s="1053"/>
      <c r="AH875" s="1053"/>
      <c r="AI875" s="1053"/>
      <c r="AJ875" s="1053"/>
      <c r="AK875" s="1053"/>
      <c r="AL875" s="1053"/>
      <c r="AM875" s="1053"/>
      <c r="AN875" s="1053"/>
      <c r="AO875" s="1053"/>
      <c r="AP875" s="1053"/>
      <c r="AQ875" s="1053"/>
      <c r="AR875" s="1053"/>
      <c r="AS875" s="1053"/>
      <c r="AT875" s="1053"/>
      <c r="AU875" s="1053"/>
      <c r="AV875" s="1053"/>
      <c r="AW875" s="1053"/>
      <c r="AX875" s="1053"/>
      <c r="AY875" s="1053"/>
      <c r="AZ875" s="1053"/>
      <c r="BA875" s="1053"/>
      <c r="BB875" s="1053"/>
      <c r="BC875" s="1053"/>
      <c r="BD875" s="1054"/>
      <c r="BI875" s="247"/>
    </row>
    <row r="876" spans="1:71" ht="15" customHeight="1" x14ac:dyDescent="0.3">
      <c r="A876" s="226"/>
      <c r="B876" s="82"/>
      <c r="C876" s="82"/>
      <c r="D876" s="82"/>
      <c r="E876" s="82"/>
      <c r="F876" s="1"/>
      <c r="AC876" s="48" t="str">
        <f>IF(BD874="","others have suffered. ","have suffered from ")</f>
        <v xml:space="preserve">others have suffered. </v>
      </c>
      <c r="AH876" s="48" t="str">
        <f>IF(BD874="","",CONCATENATE(BF861,BF863,BF864,BF865,BF870,BF871,BF872))</f>
        <v/>
      </c>
      <c r="BD876" s="48" t="s">
        <v>496</v>
      </c>
    </row>
    <row r="877" spans="1:71" ht="15" customHeight="1" x14ac:dyDescent="0.3">
      <c r="A877" s="228">
        <f>A858+1</f>
        <v>66</v>
      </c>
      <c r="B877" s="228" t="s">
        <v>497</v>
      </c>
      <c r="C877" s="228"/>
      <c r="D877" s="228"/>
      <c r="E877" s="82"/>
      <c r="F877" s="1"/>
      <c r="BB877" s="48"/>
    </row>
    <row r="878" spans="1:71" ht="15" customHeight="1" x14ac:dyDescent="0.35">
      <c r="A878" s="226"/>
      <c r="B878" s="229" t="s">
        <v>498</v>
      </c>
      <c r="C878" s="230"/>
      <c r="D878" s="230"/>
      <c r="E878" s="82"/>
      <c r="F878" s="1"/>
      <c r="BD878" s="48" t="str">
        <f>BK870</f>
        <v/>
      </c>
      <c r="BF878" s="48" t="str">
        <f>BK871</f>
        <v/>
      </c>
      <c r="BG878" s="48" t="str">
        <f>BK872</f>
        <v/>
      </c>
    </row>
    <row r="879" spans="1:71" ht="15" customHeight="1" x14ac:dyDescent="0.3">
      <c r="A879" s="226"/>
      <c r="B879" s="82"/>
      <c r="C879" s="82"/>
      <c r="D879" s="82"/>
      <c r="E879" s="82"/>
      <c r="F879" s="1"/>
    </row>
    <row r="880" spans="1:71" ht="25" customHeight="1" x14ac:dyDescent="0.3">
      <c r="A880" s="82"/>
      <c r="B880" s="248" t="s">
        <v>499</v>
      </c>
      <c r="C880" s="248"/>
      <c r="D880" s="248"/>
      <c r="E880" s="82"/>
      <c r="F880" s="1"/>
      <c r="AC880" s="249" t="str">
        <f>B3170</f>
        <v>not challenged at all</v>
      </c>
      <c r="AD880" s="249" t="str">
        <f>B3171</f>
        <v>only slightly challenged</v>
      </c>
      <c r="AE880" s="249" t="str">
        <f>B3172</f>
        <v>moderately challenged</v>
      </c>
      <c r="AF880" s="249" t="str">
        <f>B3173</f>
        <v>significantly challenged</v>
      </c>
      <c r="AG880" s="249" t="str">
        <f>B3174</f>
        <v>severely challenged</v>
      </c>
    </row>
    <row r="881" spans="1:54" ht="14.5" thickBot="1" x14ac:dyDescent="0.35">
      <c r="A881" s="82"/>
      <c r="B881" s="1039" t="s">
        <v>500</v>
      </c>
      <c r="C881" s="1039"/>
      <c r="D881" s="1039"/>
      <c r="E881" s="82"/>
      <c r="F881" s="1"/>
      <c r="AC881" s="48">
        <v>0</v>
      </c>
      <c r="AD881" s="48">
        <f>AC881+1</f>
        <v>1</v>
      </c>
      <c r="AE881" s="48">
        <f>AD881+1</f>
        <v>2</v>
      </c>
      <c r="AF881" s="48">
        <f>AE881+1</f>
        <v>3</v>
      </c>
      <c r="AG881" s="48">
        <f>AF881+1</f>
        <v>4</v>
      </c>
      <c r="AH881" s="250">
        <f>SUM(AH882:AH887)</f>
        <v>0</v>
      </c>
      <c r="AK881" s="48" t="s">
        <v>501</v>
      </c>
      <c r="AR881" s="48" t="str">
        <f>IF(AH881&gt;0,"and other ","")</f>
        <v/>
      </c>
      <c r="AU881" s="48" t="s">
        <v>502</v>
      </c>
      <c r="BB881" s="48"/>
    </row>
    <row r="882" spans="1:54" ht="15" thickTop="1" thickBot="1" x14ac:dyDescent="0.35">
      <c r="A882" s="82"/>
      <c r="B882" s="251" t="s">
        <v>3790</v>
      </c>
      <c r="C882" s="82"/>
      <c r="D882" s="252"/>
      <c r="E882" s="82"/>
      <c r="F882" s="1"/>
      <c r="AC882" s="7">
        <f t="shared" ref="AC882:AG887" si="34">IF($D882=AC$880,AC$881,0)</f>
        <v>0</v>
      </c>
      <c r="AD882" s="220">
        <f t="shared" si="34"/>
        <v>0</v>
      </c>
      <c r="AE882" s="230">
        <f t="shared" si="34"/>
        <v>0</v>
      </c>
      <c r="AF882" s="233">
        <f t="shared" si="34"/>
        <v>0</v>
      </c>
      <c r="AG882" s="242">
        <f t="shared" si="34"/>
        <v>0</v>
      </c>
      <c r="AH882" s="52">
        <f t="shared" ref="AH882:AH887" si="35">MAX(AC882:AG882)</f>
        <v>0</v>
      </c>
      <c r="AL882" s="237" t="str">
        <f>IF(AND(AJ892&lt;=AH882,AH882&gt;0),B882,"")</f>
        <v/>
      </c>
      <c r="AM882" s="237"/>
      <c r="AN882" s="237"/>
      <c r="AO882" s="237"/>
      <c r="AP882" s="237" t="s">
        <v>504</v>
      </c>
      <c r="AQ882" s="237"/>
      <c r="AT882" s="48" t="str">
        <f t="shared" ref="AT882:AT887" si="36">IF(AL882="","",CONCATENATE(AL882,AP882))</f>
        <v/>
      </c>
    </row>
    <row r="883" spans="1:54" ht="15" thickTop="1" thickBot="1" x14ac:dyDescent="0.35">
      <c r="A883" s="82"/>
      <c r="B883" s="251" t="s">
        <v>3791</v>
      </c>
      <c r="C883" s="82"/>
      <c r="D883" s="252"/>
      <c r="E883" s="82"/>
      <c r="F883" s="1"/>
      <c r="AC883" s="7">
        <f t="shared" si="34"/>
        <v>0</v>
      </c>
      <c r="AD883" s="220">
        <f t="shared" si="34"/>
        <v>0</v>
      </c>
      <c r="AE883" s="230">
        <f t="shared" si="34"/>
        <v>0</v>
      </c>
      <c r="AF883" s="233">
        <f t="shared" si="34"/>
        <v>0</v>
      </c>
      <c r="AG883" s="242">
        <f t="shared" si="34"/>
        <v>0</v>
      </c>
      <c r="AH883" s="52">
        <f t="shared" si="35"/>
        <v>0</v>
      </c>
      <c r="AL883" s="237" t="str">
        <f>IF(AND(AJ893&lt;=AH883,AH883&gt;0),B883,"")</f>
        <v/>
      </c>
      <c r="AM883" s="237"/>
      <c r="AN883" s="237"/>
      <c r="AO883" s="237"/>
      <c r="AP883" s="237" t="s">
        <v>504</v>
      </c>
      <c r="AQ883" s="237"/>
      <c r="AT883" s="48" t="str">
        <f t="shared" si="36"/>
        <v/>
      </c>
    </row>
    <row r="884" spans="1:54" ht="15" thickTop="1" thickBot="1" x14ac:dyDescent="0.35">
      <c r="A884" s="82"/>
      <c r="B884" s="251" t="s">
        <v>3792</v>
      </c>
      <c r="C884" s="82"/>
      <c r="D884" s="252"/>
      <c r="E884" s="82"/>
      <c r="F884" s="1"/>
      <c r="AC884" s="7">
        <f t="shared" si="34"/>
        <v>0</v>
      </c>
      <c r="AD884" s="220">
        <f t="shared" si="34"/>
        <v>0</v>
      </c>
      <c r="AE884" s="230">
        <f t="shared" si="34"/>
        <v>0</v>
      </c>
      <c r="AF884" s="233">
        <f t="shared" si="34"/>
        <v>0</v>
      </c>
      <c r="AG884" s="242">
        <f t="shared" si="34"/>
        <v>0</v>
      </c>
      <c r="AH884" s="52">
        <f t="shared" si="35"/>
        <v>0</v>
      </c>
      <c r="AL884" s="237" t="str">
        <f>IF(AND(AJ894&lt;=AH884,AH884&gt;0),B884,"")</f>
        <v/>
      </c>
      <c r="AM884" s="237"/>
      <c r="AN884" s="237"/>
      <c r="AO884" s="237"/>
      <c r="AP884" s="237" t="s">
        <v>504</v>
      </c>
      <c r="AQ884" s="237"/>
      <c r="AT884" s="48" t="str">
        <f t="shared" si="36"/>
        <v/>
      </c>
    </row>
    <row r="885" spans="1:54" ht="15" thickTop="1" thickBot="1" x14ac:dyDescent="0.35">
      <c r="A885" s="82"/>
      <c r="B885" s="251" t="s">
        <v>3793</v>
      </c>
      <c r="C885" s="82"/>
      <c r="D885" s="252"/>
      <c r="E885" s="82"/>
      <c r="F885" s="1"/>
      <c r="AC885" s="7">
        <f t="shared" si="34"/>
        <v>0</v>
      </c>
      <c r="AD885" s="220">
        <f t="shared" si="34"/>
        <v>0</v>
      </c>
      <c r="AE885" s="230">
        <f t="shared" si="34"/>
        <v>0</v>
      </c>
      <c r="AF885" s="233">
        <f t="shared" si="34"/>
        <v>0</v>
      </c>
      <c r="AG885" s="242">
        <f t="shared" si="34"/>
        <v>0</v>
      </c>
      <c r="AH885" s="52">
        <f t="shared" si="35"/>
        <v>0</v>
      </c>
      <c r="AL885" s="237" t="str">
        <f>IF(AND(AJ895&lt;=AH885,AH885&gt;0),B885,"")</f>
        <v/>
      </c>
      <c r="AM885" s="237"/>
      <c r="AN885" s="237"/>
      <c r="AO885" s="237"/>
      <c r="AP885" s="237" t="s">
        <v>504</v>
      </c>
      <c r="AQ885" s="237"/>
      <c r="AT885" s="48" t="str">
        <f t="shared" si="36"/>
        <v/>
      </c>
    </row>
    <row r="886" spans="1:54" ht="15" thickTop="1" thickBot="1" x14ac:dyDescent="0.35">
      <c r="A886" s="82"/>
      <c r="B886" s="251" t="s">
        <v>3794</v>
      </c>
      <c r="C886" s="82"/>
      <c r="D886" s="252"/>
      <c r="E886" s="82"/>
      <c r="F886" s="1"/>
      <c r="AC886" s="7">
        <f t="shared" si="34"/>
        <v>0</v>
      </c>
      <c r="AD886" s="220">
        <f t="shared" si="34"/>
        <v>0</v>
      </c>
      <c r="AE886" s="230">
        <f t="shared" si="34"/>
        <v>0</v>
      </c>
      <c r="AF886" s="233">
        <f t="shared" si="34"/>
        <v>0</v>
      </c>
      <c r="AG886" s="242">
        <f t="shared" si="34"/>
        <v>0</v>
      </c>
      <c r="AH886" s="52">
        <f t="shared" si="35"/>
        <v>0</v>
      </c>
      <c r="AL886" s="237" t="str">
        <f>IF(AND(AJ896&lt;=AH886,AH886&gt;0),B886,"")</f>
        <v/>
      </c>
      <c r="AM886" s="237"/>
      <c r="AN886" s="237"/>
      <c r="AO886" s="237"/>
      <c r="AP886" s="237" t="s">
        <v>504</v>
      </c>
      <c r="AQ886" s="237"/>
      <c r="AT886" s="48" t="str">
        <f t="shared" si="36"/>
        <v/>
      </c>
    </row>
    <row r="887" spans="1:54" ht="15" thickTop="1" thickBot="1" x14ac:dyDescent="0.35">
      <c r="A887" s="82"/>
      <c r="B887" s="251" t="s">
        <v>3795</v>
      </c>
      <c r="C887" s="252"/>
      <c r="D887" s="252"/>
      <c r="E887" s="82"/>
      <c r="F887" s="1"/>
      <c r="AC887" s="7">
        <f t="shared" si="34"/>
        <v>0</v>
      </c>
      <c r="AD887" s="220">
        <f t="shared" si="34"/>
        <v>0</v>
      </c>
      <c r="AE887" s="230">
        <f t="shared" si="34"/>
        <v>0</v>
      </c>
      <c r="AF887" s="233">
        <f t="shared" si="34"/>
        <v>0</v>
      </c>
      <c r="AG887" s="242">
        <f t="shared" si="34"/>
        <v>0</v>
      </c>
      <c r="AH887" s="52">
        <f t="shared" si="35"/>
        <v>0</v>
      </c>
      <c r="AL887" s="237" t="str">
        <f>IF(AND(C887&lt;&gt;"",AJ897&gt;=AH887),C887,"")</f>
        <v/>
      </c>
      <c r="AM887" s="237"/>
      <c r="AN887" s="237"/>
      <c r="AO887" s="237"/>
      <c r="AP887" s="237" t="s">
        <v>504</v>
      </c>
      <c r="AQ887" s="237"/>
      <c r="AT887" s="48" t="str">
        <f t="shared" si="36"/>
        <v/>
      </c>
    </row>
    <row r="888" spans="1:54" ht="5" customHeight="1" thickTop="1" x14ac:dyDescent="0.3">
      <c r="A888" s="82"/>
      <c r="B888" s="251"/>
      <c r="C888" s="82"/>
      <c r="D888" s="82"/>
      <c r="E888" s="82"/>
      <c r="F888" s="1"/>
    </row>
    <row r="889" spans="1:54" x14ac:dyDescent="0.3">
      <c r="A889" s="82"/>
      <c r="B889" s="82"/>
      <c r="C889" s="82"/>
      <c r="D889" s="82"/>
      <c r="E889" s="82"/>
      <c r="F889" s="1"/>
    </row>
    <row r="890" spans="1:54" ht="25" customHeight="1" x14ac:dyDescent="0.3">
      <c r="A890" s="82"/>
      <c r="B890" s="248" t="s">
        <v>508</v>
      </c>
      <c r="C890" s="248"/>
      <c r="D890" s="248"/>
      <c r="E890" s="82"/>
      <c r="F890" s="1"/>
      <c r="AC890" s="249" t="str">
        <f>B3177</f>
        <v>I don't seek it nor think about it much</v>
      </c>
      <c r="AD890" s="249" t="str">
        <f>B3178</f>
        <v>I desire it but feel it's unlikely to happen</v>
      </c>
      <c r="AE890" s="249" t="str">
        <f>B3179</f>
        <v>I hope it'll happen but I can do little about it now</v>
      </c>
      <c r="AF890" s="249" t="str">
        <f>B3180</f>
        <v>I struggle to make it happen but unsuccessfully</v>
      </c>
      <c r="AG890" s="249" t="str">
        <f>B3181</f>
        <v>I feel I've reached it but not maintained it</v>
      </c>
      <c r="AH890" s="249" t="str">
        <f>B3182</f>
        <v>I sense I can maintain it with help like this</v>
      </c>
      <c r="AI890" s="249" t="str">
        <f>B3183</f>
        <v>I maintain it without help like this</v>
      </c>
    </row>
    <row r="891" spans="1:54" ht="14.5" thickBot="1" x14ac:dyDescent="0.35">
      <c r="A891" s="82"/>
      <c r="B891" s="1039" t="s">
        <v>509</v>
      </c>
      <c r="C891" s="1039"/>
      <c r="D891" s="1039"/>
      <c r="E891" s="82"/>
      <c r="F891" s="1"/>
      <c r="AC891" s="48">
        <v>0</v>
      </c>
      <c r="AD891" s="48">
        <f t="shared" ref="AD891:AI891" si="37">AC891+1</f>
        <v>1</v>
      </c>
      <c r="AE891" s="48">
        <f t="shared" si="37"/>
        <v>2</v>
      </c>
      <c r="AF891" s="48">
        <f t="shared" si="37"/>
        <v>3</v>
      </c>
      <c r="AG891" s="48">
        <f t="shared" si="37"/>
        <v>4</v>
      </c>
      <c r="AH891" s="48">
        <f t="shared" si="37"/>
        <v>5</v>
      </c>
      <c r="AI891" s="48">
        <f t="shared" si="37"/>
        <v>6</v>
      </c>
      <c r="AJ891" s="250">
        <f>SUM(AJ892:AJ897)</f>
        <v>0</v>
      </c>
      <c r="AK891" s="48" t="str">
        <f>IF($AM$57="","this claimant",$C$57)</f>
        <v>this claimant</v>
      </c>
      <c r="AN891" s="48" t="s">
        <v>510</v>
      </c>
      <c r="AV891" s="48" t="str">
        <f>IF(AJ891&gt;0,"and other ","")</f>
        <v/>
      </c>
      <c r="AZ891" s="14" t="s">
        <v>511</v>
      </c>
      <c r="BB891" s="48"/>
    </row>
    <row r="892" spans="1:54" ht="15" thickTop="1" thickBot="1" x14ac:dyDescent="0.35">
      <c r="A892" s="82"/>
      <c r="B892" s="251" t="s">
        <v>3796</v>
      </c>
      <c r="C892" s="82"/>
      <c r="D892" s="253"/>
      <c r="E892" s="82"/>
      <c r="F892" s="1"/>
      <c r="AC892" s="7">
        <f t="shared" ref="AC892:AI897" si="38">IF($D892=AC$890,AC$891,0)</f>
        <v>0</v>
      </c>
      <c r="AD892" s="8">
        <f t="shared" si="38"/>
        <v>0</v>
      </c>
      <c r="AE892" s="220">
        <f t="shared" si="38"/>
        <v>0</v>
      </c>
      <c r="AF892" s="230">
        <f t="shared" si="38"/>
        <v>0</v>
      </c>
      <c r="AG892" s="49">
        <f t="shared" si="38"/>
        <v>0</v>
      </c>
      <c r="AH892" s="233">
        <f t="shared" si="38"/>
        <v>0</v>
      </c>
      <c r="AI892" s="242">
        <f t="shared" si="38"/>
        <v>0</v>
      </c>
      <c r="AJ892" s="52">
        <f t="shared" ref="AJ892:AJ897" si="39">MAX(AC892:AI892)</f>
        <v>0</v>
      </c>
      <c r="AL892" s="237" t="str">
        <f>IF(AND(AJ902&lt;=AJ892,AJ892&gt;0),B892,"")</f>
        <v/>
      </c>
      <c r="AM892" s="237"/>
      <c r="AN892" s="237"/>
      <c r="AO892" s="237"/>
      <c r="AP892" s="237"/>
      <c r="AQ892" s="237"/>
      <c r="AR892" s="237"/>
      <c r="AS892" s="237"/>
      <c r="AT892" s="48" t="s">
        <v>513</v>
      </c>
      <c r="AV892" s="48" t="str">
        <f t="shared" ref="AV892:AV897" si="40">IF(AL892="","",CONCATENATE(AL892,AT892))</f>
        <v/>
      </c>
      <c r="BB892" s="48"/>
    </row>
    <row r="893" spans="1:54" ht="15" thickTop="1" thickBot="1" x14ac:dyDescent="0.35">
      <c r="A893" s="82"/>
      <c r="B893" s="251" t="s">
        <v>3797</v>
      </c>
      <c r="C893" s="82"/>
      <c r="D893" s="253"/>
      <c r="E893" s="82"/>
      <c r="F893" s="1"/>
      <c r="AC893" s="7">
        <f t="shared" si="38"/>
        <v>0</v>
      </c>
      <c r="AD893" s="8">
        <f t="shared" si="38"/>
        <v>0</v>
      </c>
      <c r="AE893" s="220">
        <f t="shared" si="38"/>
        <v>0</v>
      </c>
      <c r="AF893" s="230">
        <f t="shared" si="38"/>
        <v>0</v>
      </c>
      <c r="AG893" s="49">
        <f t="shared" si="38"/>
        <v>0</v>
      </c>
      <c r="AH893" s="233">
        <f t="shared" si="38"/>
        <v>0</v>
      </c>
      <c r="AI893" s="242">
        <f t="shared" si="38"/>
        <v>0</v>
      </c>
      <c r="AJ893" s="52">
        <f t="shared" si="39"/>
        <v>0</v>
      </c>
      <c r="AL893" s="237" t="str">
        <f>IF(AND(AJ903&lt;=AJ893,AJ893&gt;0),B893,"")</f>
        <v/>
      </c>
      <c r="AM893" s="237"/>
      <c r="AN893" s="237"/>
      <c r="AO893" s="237"/>
      <c r="AP893" s="237"/>
      <c r="AQ893" s="237"/>
      <c r="AR893" s="237"/>
      <c r="AS893" s="237"/>
      <c r="AT893" s="48" t="s">
        <v>513</v>
      </c>
      <c r="AV893" s="48" t="str">
        <f t="shared" si="40"/>
        <v/>
      </c>
      <c r="BB893" s="48"/>
    </row>
    <row r="894" spans="1:54" ht="15" thickTop="1" thickBot="1" x14ac:dyDescent="0.35">
      <c r="A894" s="82"/>
      <c r="B894" s="251" t="s">
        <v>3798</v>
      </c>
      <c r="C894" s="82"/>
      <c r="D894" s="253"/>
      <c r="E894" s="82"/>
      <c r="F894" s="1"/>
      <c r="AC894" s="7">
        <f t="shared" si="38"/>
        <v>0</v>
      </c>
      <c r="AD894" s="8">
        <f t="shared" si="38"/>
        <v>0</v>
      </c>
      <c r="AE894" s="220">
        <f t="shared" si="38"/>
        <v>0</v>
      </c>
      <c r="AF894" s="230">
        <f t="shared" si="38"/>
        <v>0</v>
      </c>
      <c r="AG894" s="49">
        <f t="shared" si="38"/>
        <v>0</v>
      </c>
      <c r="AH894" s="233">
        <f t="shared" si="38"/>
        <v>0</v>
      </c>
      <c r="AI894" s="242">
        <f t="shared" si="38"/>
        <v>0</v>
      </c>
      <c r="AJ894" s="52">
        <f t="shared" si="39"/>
        <v>0</v>
      </c>
      <c r="AL894" s="237" t="str">
        <f>IF(AND(AJ904&lt;=AJ894,AJ894&gt;0),B894,"")</f>
        <v/>
      </c>
      <c r="AM894" s="237"/>
      <c r="AN894" s="237"/>
      <c r="AO894" s="237"/>
      <c r="AP894" s="237"/>
      <c r="AQ894" s="237"/>
      <c r="AR894" s="237"/>
      <c r="AS894" s="237"/>
      <c r="AT894" s="48" t="s">
        <v>513</v>
      </c>
      <c r="AV894" s="48" t="str">
        <f t="shared" si="40"/>
        <v/>
      </c>
      <c r="BB894" s="48"/>
    </row>
    <row r="895" spans="1:54" ht="15" thickTop="1" thickBot="1" x14ac:dyDescent="0.35">
      <c r="A895" s="82"/>
      <c r="B895" s="251" t="s">
        <v>3799</v>
      </c>
      <c r="C895" s="82"/>
      <c r="D895" s="253"/>
      <c r="E895" s="82"/>
      <c r="F895" s="1"/>
      <c r="AC895" s="7">
        <f t="shared" si="38"/>
        <v>0</v>
      </c>
      <c r="AD895" s="8">
        <f t="shared" si="38"/>
        <v>0</v>
      </c>
      <c r="AE895" s="220">
        <f t="shared" si="38"/>
        <v>0</v>
      </c>
      <c r="AF895" s="230">
        <f t="shared" si="38"/>
        <v>0</v>
      </c>
      <c r="AG895" s="49">
        <f t="shared" si="38"/>
        <v>0</v>
      </c>
      <c r="AH895" s="233">
        <f t="shared" si="38"/>
        <v>0</v>
      </c>
      <c r="AI895" s="242">
        <f t="shared" si="38"/>
        <v>0</v>
      </c>
      <c r="AJ895" s="52">
        <f t="shared" si="39"/>
        <v>0</v>
      </c>
      <c r="AL895" s="237" t="str">
        <f>IF(AND(AJ907&lt;=AJ895,AJ895&gt;0),B895,"")</f>
        <v/>
      </c>
      <c r="AM895" s="237"/>
      <c r="AN895" s="237"/>
      <c r="AO895" s="237"/>
      <c r="AP895" s="237"/>
      <c r="AQ895" s="237"/>
      <c r="AR895" s="237"/>
      <c r="AS895" s="237"/>
      <c r="AT895" s="48" t="s">
        <v>513</v>
      </c>
      <c r="AV895" s="48" t="str">
        <f t="shared" si="40"/>
        <v/>
      </c>
      <c r="BB895" s="48"/>
    </row>
    <row r="896" spans="1:54" ht="15" thickTop="1" thickBot="1" x14ac:dyDescent="0.35">
      <c r="A896" s="82"/>
      <c r="B896" s="251" t="s">
        <v>3800</v>
      </c>
      <c r="C896" s="82"/>
      <c r="D896" s="253"/>
      <c r="E896" s="82"/>
      <c r="F896" s="1"/>
      <c r="AC896" s="7">
        <f t="shared" si="38"/>
        <v>0</v>
      </c>
      <c r="AD896" s="8">
        <f t="shared" si="38"/>
        <v>0</v>
      </c>
      <c r="AE896" s="220">
        <f t="shared" si="38"/>
        <v>0</v>
      </c>
      <c r="AF896" s="230">
        <f t="shared" si="38"/>
        <v>0</v>
      </c>
      <c r="AG896" s="49">
        <f t="shared" si="38"/>
        <v>0</v>
      </c>
      <c r="AH896" s="233">
        <f t="shared" si="38"/>
        <v>0</v>
      </c>
      <c r="AI896" s="242">
        <f t="shared" si="38"/>
        <v>0</v>
      </c>
      <c r="AJ896" s="52">
        <f t="shared" si="39"/>
        <v>0</v>
      </c>
      <c r="AL896" s="237" t="str">
        <f>IF(AND(AJ908&lt;=AJ896,AJ896&gt;0),B896,"")</f>
        <v/>
      </c>
      <c r="AM896" s="237"/>
      <c r="AN896" s="237"/>
      <c r="AO896" s="237"/>
      <c r="AP896" s="237"/>
      <c r="AQ896" s="237"/>
      <c r="AR896" s="237"/>
      <c r="AS896" s="237"/>
      <c r="AT896" s="48" t="s">
        <v>513</v>
      </c>
      <c r="AV896" s="48" t="str">
        <f t="shared" si="40"/>
        <v/>
      </c>
      <c r="BB896" s="48"/>
    </row>
    <row r="897" spans="1:60" ht="15" thickTop="1" thickBot="1" x14ac:dyDescent="0.35">
      <c r="A897" s="82"/>
      <c r="B897" s="251" t="s">
        <v>3801</v>
      </c>
      <c r="C897" s="252"/>
      <c r="D897" s="253"/>
      <c r="E897" s="82"/>
      <c r="F897" s="1"/>
      <c r="AC897" s="7">
        <f t="shared" si="38"/>
        <v>0</v>
      </c>
      <c r="AD897" s="8">
        <f t="shared" si="38"/>
        <v>0</v>
      </c>
      <c r="AE897" s="220">
        <f t="shared" si="38"/>
        <v>0</v>
      </c>
      <c r="AF897" s="230">
        <f t="shared" si="38"/>
        <v>0</v>
      </c>
      <c r="AG897" s="49">
        <f t="shared" si="38"/>
        <v>0</v>
      </c>
      <c r="AH897" s="233">
        <f t="shared" si="38"/>
        <v>0</v>
      </c>
      <c r="AI897" s="242">
        <f t="shared" si="38"/>
        <v>0</v>
      </c>
      <c r="AJ897" s="52">
        <f t="shared" si="39"/>
        <v>0</v>
      </c>
      <c r="AL897" s="237" t="str">
        <f>IF(AND(AJ909&lt;=AJ897,AJ897&gt;0),C897,"")</f>
        <v/>
      </c>
      <c r="AM897" s="237"/>
      <c r="AN897" s="237"/>
      <c r="AO897" s="237"/>
      <c r="AP897" s="237"/>
      <c r="AQ897" s="237"/>
      <c r="AR897" s="237"/>
      <c r="AS897" s="237"/>
      <c r="AT897" s="48" t="s">
        <v>513</v>
      </c>
      <c r="AV897" s="48" t="str">
        <f t="shared" si="40"/>
        <v/>
      </c>
      <c r="BB897" s="48"/>
    </row>
    <row r="898" spans="1:60" ht="5" customHeight="1" thickTop="1" x14ac:dyDescent="0.3">
      <c r="A898" s="82"/>
      <c r="B898" s="251"/>
      <c r="C898" s="82"/>
      <c r="D898" s="82"/>
      <c r="E898" s="82"/>
      <c r="F898" s="1"/>
    </row>
    <row r="899" spans="1:60" ht="15" customHeight="1" thickBot="1" x14ac:dyDescent="0.35">
      <c r="A899" s="82"/>
      <c r="B899" s="230" t="s">
        <v>517</v>
      </c>
      <c r="C899" s="230"/>
      <c r="D899" s="230"/>
      <c r="E899" s="82"/>
      <c r="F899" s="1"/>
      <c r="AK899" s="48" t="s">
        <v>518</v>
      </c>
      <c r="AR899" s="48" t="s">
        <v>519</v>
      </c>
      <c r="BA899" s="48" t="str">
        <f>AK891</f>
        <v>this claimant</v>
      </c>
      <c r="BB899" s="48"/>
      <c r="BD899" s="254" t="s">
        <v>494</v>
      </c>
    </row>
    <row r="900" spans="1:60" ht="28" customHeight="1" thickTop="1" thickBot="1" x14ac:dyDescent="0.35">
      <c r="A900" s="82"/>
      <c r="B900" s="1040"/>
      <c r="C900" s="1041"/>
      <c r="D900" s="1042"/>
      <c r="E900" s="82"/>
      <c r="F900" s="1"/>
      <c r="AC900" s="1043" t="str">
        <f>CONCATENATE(AK881,AT882,AT883,AT884,AT885,AT886,AT887,AR881,AU881,AK891,AN891,AV892,AV893,AV894,AV895,AV896,AV891,AZ891,AK899,AR899,BA899,BD899)</f>
        <v xml:space="preserve">Despite challenging needs, this claimant aspires toward life improvements. Removing illicit discrimination will go a long way toward improving this claimant's life. </v>
      </c>
      <c r="AD900" s="1044"/>
      <c r="AE900" s="1044"/>
      <c r="AF900" s="1044"/>
      <c r="AG900" s="1044"/>
      <c r="AH900" s="1044"/>
      <c r="AI900" s="1044"/>
      <c r="AJ900" s="1044"/>
      <c r="AK900" s="1044"/>
      <c r="AL900" s="1044"/>
      <c r="AM900" s="1044"/>
      <c r="AN900" s="1044"/>
      <c r="AO900" s="1044"/>
      <c r="AP900" s="1044"/>
      <c r="AQ900" s="1044"/>
      <c r="AR900" s="1044"/>
      <c r="AS900" s="1044"/>
      <c r="AT900" s="1044"/>
      <c r="AU900" s="1044"/>
      <c r="AV900" s="1044"/>
      <c r="AW900" s="1044"/>
      <c r="AX900" s="1044"/>
      <c r="AY900" s="1044"/>
      <c r="AZ900" s="1044"/>
      <c r="BA900" s="1044"/>
      <c r="BB900" s="1044"/>
      <c r="BC900" s="1044"/>
      <c r="BD900" s="1044"/>
      <c r="BE900" s="1044"/>
      <c r="BF900" s="1044"/>
      <c r="BG900" s="1044"/>
      <c r="BH900" s="1044"/>
    </row>
    <row r="901" spans="1:60" ht="10" customHeight="1" thickTop="1" x14ac:dyDescent="0.3">
      <c r="A901" s="82"/>
      <c r="B901" s="82"/>
      <c r="C901" s="82"/>
      <c r="D901" s="82"/>
      <c r="E901" s="82"/>
      <c r="F901" s="1"/>
    </row>
    <row r="902" spans="1:60" ht="15" customHeight="1" x14ac:dyDescent="0.3">
      <c r="A902" s="226"/>
      <c r="B902" s="82"/>
      <c r="C902" s="82"/>
      <c r="D902" s="82"/>
      <c r="E902" s="82"/>
      <c r="F902" s="1"/>
    </row>
    <row r="903" spans="1:60" ht="30" customHeight="1" x14ac:dyDescent="0.3">
      <c r="A903" s="40" t="s">
        <v>86</v>
      </c>
      <c r="B903" s="1200" t="s">
        <v>520</v>
      </c>
      <c r="C903" s="1200"/>
      <c r="D903" s="1200"/>
      <c r="E903" s="436"/>
      <c r="F903" s="436" t="s">
        <v>869</v>
      </c>
    </row>
    <row r="904" spans="1:60" s="23" customFormat="1" ht="30" customHeight="1" x14ac:dyDescent="0.3">
      <c r="A904" s="41"/>
      <c r="B904" s="1045" t="s">
        <v>521</v>
      </c>
      <c r="C904" s="1045"/>
      <c r="D904" s="1045"/>
      <c r="E904" s="42"/>
      <c r="F904" s="97"/>
      <c r="G904" s="222"/>
      <c r="H904" s="4"/>
      <c r="I904" s="222"/>
      <c r="J904" s="222"/>
      <c r="K904" s="222"/>
      <c r="L904" s="222"/>
      <c r="M904" s="222"/>
      <c r="N904" s="222"/>
      <c r="O904" s="222"/>
      <c r="P904" s="222"/>
      <c r="Q904" s="222"/>
      <c r="R904" s="222"/>
      <c r="S904" s="222"/>
      <c r="T904" s="222"/>
      <c r="U904" s="222"/>
      <c r="V904" s="222"/>
      <c r="W904" s="222"/>
      <c r="X904" s="222"/>
      <c r="Y904" s="222"/>
      <c r="Z904" s="222"/>
      <c r="BB904" s="255"/>
    </row>
    <row r="905" spans="1:60" s="23" customFormat="1" ht="30" customHeight="1" x14ac:dyDescent="0.3">
      <c r="A905" s="41"/>
      <c r="B905" s="1045" t="s">
        <v>522</v>
      </c>
      <c r="C905" s="1045"/>
      <c r="D905" s="1045"/>
      <c r="E905" s="42"/>
      <c r="F905" s="97"/>
      <c r="G905" s="222"/>
      <c r="H905" s="4"/>
      <c r="I905" s="222"/>
      <c r="J905" s="222"/>
      <c r="K905" s="222"/>
      <c r="L905" s="222"/>
      <c r="M905" s="222"/>
      <c r="N905" s="222"/>
      <c r="O905" s="222"/>
      <c r="P905" s="222"/>
      <c r="Q905" s="222"/>
      <c r="R905" s="222"/>
      <c r="S905" s="222"/>
      <c r="T905" s="222"/>
      <c r="U905" s="222"/>
      <c r="V905" s="222"/>
      <c r="W905" s="222"/>
      <c r="X905" s="222"/>
      <c r="Y905" s="222"/>
      <c r="Z905" s="222"/>
      <c r="BB905" s="255"/>
    </row>
    <row r="906" spans="1:60" s="23" customFormat="1" ht="10" customHeight="1" x14ac:dyDescent="0.3">
      <c r="A906" s="256"/>
      <c r="B906" s="256"/>
      <c r="C906" s="256"/>
      <c r="D906" s="256"/>
      <c r="E906" s="96"/>
      <c r="F906" s="1"/>
      <c r="G906" s="222"/>
      <c r="H906" s="222"/>
      <c r="I906" s="222"/>
      <c r="J906" s="222"/>
      <c r="K906" s="222"/>
      <c r="L906" s="222"/>
      <c r="M906" s="222"/>
      <c r="N906" s="222"/>
      <c r="O906" s="222"/>
      <c r="P906" s="222"/>
      <c r="Q906" s="222"/>
      <c r="R906" s="222"/>
      <c r="S906" s="222"/>
      <c r="T906" s="222"/>
      <c r="U906" s="222"/>
      <c r="V906" s="222"/>
      <c r="W906" s="222"/>
      <c r="X906" s="222"/>
      <c r="Y906" s="222"/>
      <c r="Z906" s="222"/>
      <c r="BB906" s="255"/>
    </row>
    <row r="907" spans="1:60" ht="15.5" x14ac:dyDescent="0.3">
      <c r="A907" s="256">
        <f>A877+1</f>
        <v>67</v>
      </c>
      <c r="B907" s="256" t="s">
        <v>523</v>
      </c>
      <c r="C907" s="256"/>
      <c r="D907" s="256"/>
      <c r="E907" s="96"/>
      <c r="F907" s="1"/>
    </row>
    <row r="908" spans="1:60" ht="35" customHeight="1" x14ac:dyDescent="0.3">
      <c r="A908" s="257"/>
      <c r="B908" s="1056" t="s">
        <v>3777</v>
      </c>
      <c r="C908" s="1056"/>
      <c r="D908" s="1056"/>
      <c r="E908" s="96"/>
      <c r="F908" s="1"/>
    </row>
    <row r="909" spans="1:60" ht="75" customHeight="1" x14ac:dyDescent="0.3">
      <c r="A909" s="257"/>
      <c r="B909" s="1057"/>
      <c r="C909" s="1057"/>
      <c r="D909" s="1057"/>
      <c r="E909" s="96"/>
      <c r="F909" s="1"/>
      <c r="AA909" s="48">
        <f>AA779+1</f>
        <v>45</v>
      </c>
      <c r="AB909" s="849">
        <f>IF(OR(B909="",B909=AF909),0,1)</f>
        <v>0</v>
      </c>
      <c r="AF909" s="48" t="s">
        <v>524</v>
      </c>
    </row>
    <row r="910" spans="1:60" ht="10" customHeight="1" x14ac:dyDescent="0.3">
      <c r="A910" s="257"/>
      <c r="B910" s="96"/>
      <c r="C910" s="96"/>
      <c r="D910" s="96"/>
      <c r="E910" s="96"/>
      <c r="F910" s="1"/>
    </row>
    <row r="911" spans="1:60" ht="15.65" customHeight="1" x14ac:dyDescent="0.3">
      <c r="A911" s="256">
        <f>A907+1</f>
        <v>68</v>
      </c>
      <c r="B911" s="256" t="s">
        <v>525</v>
      </c>
      <c r="C911" s="256"/>
      <c r="D911" s="256"/>
      <c r="E911" s="96"/>
      <c r="F911" s="1"/>
    </row>
    <row r="912" spans="1:60" ht="35" customHeight="1" x14ac:dyDescent="0.3">
      <c r="A912" s="257"/>
      <c r="B912" s="1058" t="s">
        <v>3778</v>
      </c>
      <c r="C912" s="1058"/>
      <c r="D912" s="1058"/>
      <c r="E912" s="96"/>
      <c r="F912" s="1"/>
    </row>
    <row r="913" spans="1:44" ht="20" customHeight="1" thickBot="1" x14ac:dyDescent="0.35">
      <c r="A913" s="257"/>
      <c r="B913" s="258" t="s">
        <v>526</v>
      </c>
      <c r="C913" s="1059" t="str">
        <f t="shared" ref="C913:C920" si="41">IF(AG913="","",AG913)</f>
        <v>No criminal history</v>
      </c>
      <c r="D913" s="1059"/>
      <c r="E913" s="96"/>
      <c r="F913" s="1"/>
      <c r="AA913" s="48">
        <f>AA909+1</f>
        <v>46</v>
      </c>
      <c r="AB913" s="849">
        <f>IF(OR(C913="",C913=AG913),0,1)</f>
        <v>0</v>
      </c>
      <c r="AE913" s="48">
        <v>1</v>
      </c>
      <c r="AG913" s="48" t="s">
        <v>376</v>
      </c>
      <c r="AM913" s="48" t="s">
        <v>527</v>
      </c>
      <c r="AR913" s="48" t="str">
        <f t="shared" ref="AR913:AR922" si="42">CONCATENATE(B913,AM$913)</f>
        <v>Highlight 1 will display here</v>
      </c>
    </row>
    <row r="914" spans="1:44" ht="20" customHeight="1" thickBot="1" x14ac:dyDescent="0.35">
      <c r="A914" s="257"/>
      <c r="B914" s="258" t="s">
        <v>528</v>
      </c>
      <c r="C914" s="1055" t="str">
        <f t="shared" si="41"/>
        <v>Consistently maintained innocence, took no plea deals</v>
      </c>
      <c r="D914" s="1055"/>
      <c r="E914" s="96"/>
      <c r="F914" s="1"/>
      <c r="AA914" s="48">
        <f>AA913+1</f>
        <v>47</v>
      </c>
      <c r="AB914" s="849">
        <f t="shared" ref="AB914:AB920" si="43">IF(OR(C914="",C914=AG914),0,1)</f>
        <v>0</v>
      </c>
      <c r="AE914" s="48">
        <v>2</v>
      </c>
      <c r="AG914" s="4" t="s">
        <v>529</v>
      </c>
      <c r="AR914" s="48" t="str">
        <f t="shared" si="42"/>
        <v>Highlight 2 will display here</v>
      </c>
    </row>
    <row r="915" spans="1:44" ht="20" customHeight="1" thickBot="1" x14ac:dyDescent="0.35">
      <c r="A915" s="257"/>
      <c r="B915" s="258" t="s">
        <v>530</v>
      </c>
      <c r="C915" s="1055" t="str">
        <f t="shared" si="41"/>
        <v>Transphobic investigation and prosecution</v>
      </c>
      <c r="D915" s="1055"/>
      <c r="E915" s="96"/>
      <c r="F915" s="1"/>
      <c r="AA915" s="48">
        <f t="shared" ref="AA915:AA920" si="44">AA914+1</f>
        <v>48</v>
      </c>
      <c r="AB915" s="849">
        <f t="shared" si="43"/>
        <v>0</v>
      </c>
      <c r="AE915" s="48">
        <v>3</v>
      </c>
      <c r="AG915" s="4" t="s">
        <v>531</v>
      </c>
      <c r="AH915" s="4"/>
      <c r="AR915" s="48" t="str">
        <f t="shared" si="42"/>
        <v>Highlight 3 will display here</v>
      </c>
    </row>
    <row r="916" spans="1:44" ht="20" customHeight="1" thickBot="1" x14ac:dyDescent="0.35">
      <c r="A916" s="257"/>
      <c r="B916" s="258" t="s">
        <v>532</v>
      </c>
      <c r="C916" s="1055" t="str">
        <f t="shared" si="41"/>
        <v>Convicted without corroborating evidence</v>
      </c>
      <c r="D916" s="1055"/>
      <c r="E916" s="96"/>
      <c r="F916" s="1"/>
      <c r="AA916" s="48">
        <f t="shared" si="44"/>
        <v>49</v>
      </c>
      <c r="AB916" s="849">
        <f t="shared" si="43"/>
        <v>0</v>
      </c>
      <c r="AE916" s="48">
        <v>4</v>
      </c>
      <c r="AG916" s="4" t="s">
        <v>533</v>
      </c>
      <c r="AH916" s="4"/>
      <c r="AR916" s="48" t="str">
        <f t="shared" si="42"/>
        <v>Highlight 4 will display here</v>
      </c>
    </row>
    <row r="917" spans="1:44" ht="20" customHeight="1" thickBot="1" x14ac:dyDescent="0.35">
      <c r="A917" s="257"/>
      <c r="B917" s="258" t="s">
        <v>534</v>
      </c>
      <c r="C917" s="1055" t="str">
        <f t="shared" si="41"/>
        <v>Climate of sex abuse hysteria</v>
      </c>
      <c r="D917" s="1055"/>
      <c r="E917" s="96"/>
      <c r="F917" s="1"/>
      <c r="AA917" s="48">
        <f t="shared" si="44"/>
        <v>50</v>
      </c>
      <c r="AB917" s="849">
        <f t="shared" si="43"/>
        <v>0</v>
      </c>
      <c r="AE917" s="48">
        <v>5</v>
      </c>
      <c r="AG917" s="4" t="s">
        <v>535</v>
      </c>
      <c r="AH917" s="4"/>
      <c r="AR917" s="48" t="str">
        <f t="shared" si="42"/>
        <v>Highlight 5 will display here</v>
      </c>
    </row>
    <row r="918" spans="1:44" ht="20" customHeight="1" thickBot="1" x14ac:dyDescent="0.35">
      <c r="A918" s="257"/>
      <c r="B918" s="258" t="s">
        <v>536</v>
      </c>
      <c r="C918" s="1055" t="str">
        <f t="shared" si="41"/>
        <v>Media sensationalized coverage</v>
      </c>
      <c r="D918" s="1055"/>
      <c r="E918" s="96"/>
      <c r="F918" s="1"/>
      <c r="AA918" s="48">
        <f t="shared" si="44"/>
        <v>51</v>
      </c>
      <c r="AB918" s="849">
        <f t="shared" si="43"/>
        <v>0</v>
      </c>
      <c r="AE918" s="48">
        <v>6</v>
      </c>
      <c r="AG918" s="4" t="s">
        <v>537</v>
      </c>
      <c r="AH918" s="4"/>
      <c r="AR918" s="48" t="str">
        <f t="shared" si="42"/>
        <v>Highlight 6 will display here</v>
      </c>
    </row>
    <row r="919" spans="1:44" ht="20" customHeight="1" thickBot="1" x14ac:dyDescent="0.35">
      <c r="A919" s="257"/>
      <c r="B919" s="258" t="s">
        <v>538</v>
      </c>
      <c r="C919" s="1055" t="str">
        <f t="shared" si="41"/>
        <v>Exculpatory evidence overlooked with untested DNA</v>
      </c>
      <c r="D919" s="1055"/>
      <c r="E919" s="96"/>
      <c r="F919" s="1"/>
      <c r="AA919" s="48">
        <f t="shared" si="44"/>
        <v>52</v>
      </c>
      <c r="AB919" s="849">
        <f t="shared" si="43"/>
        <v>0</v>
      </c>
      <c r="AE919" s="48">
        <v>7</v>
      </c>
      <c r="AG919" s="4" t="s">
        <v>539</v>
      </c>
      <c r="AH919" s="4"/>
      <c r="AR919" s="48" t="str">
        <f t="shared" si="42"/>
        <v>Highlight 7 will display here</v>
      </c>
    </row>
    <row r="920" spans="1:44" ht="20" customHeight="1" thickBot="1" x14ac:dyDescent="0.35">
      <c r="A920" s="257"/>
      <c r="B920" s="258" t="s">
        <v>540</v>
      </c>
      <c r="C920" s="1055" t="str">
        <f t="shared" si="41"/>
        <v>Asexual transperson must register for life as "sex offender"</v>
      </c>
      <c r="D920" s="1055"/>
      <c r="E920" s="96"/>
      <c r="F920" s="1"/>
      <c r="AA920" s="48">
        <f t="shared" si="44"/>
        <v>53</v>
      </c>
      <c r="AB920" s="849">
        <f t="shared" si="43"/>
        <v>0</v>
      </c>
      <c r="AE920" s="48">
        <v>8</v>
      </c>
      <c r="AG920" s="4" t="s">
        <v>541</v>
      </c>
      <c r="AH920" s="4"/>
      <c r="AR920" s="48" t="str">
        <f t="shared" si="42"/>
        <v>Highlight 8 will display here</v>
      </c>
    </row>
    <row r="921" spans="1:44" ht="20" customHeight="1" x14ac:dyDescent="0.3">
      <c r="A921" s="257"/>
      <c r="B921" s="258"/>
      <c r="C921" s="258"/>
      <c r="D921" s="258"/>
      <c r="E921" s="96"/>
      <c r="F921" s="1"/>
      <c r="AG921" s="4" t="s">
        <v>3579</v>
      </c>
      <c r="AH921" s="4"/>
    </row>
    <row r="922" spans="1:44" ht="20" customHeight="1" thickBot="1" x14ac:dyDescent="0.35">
      <c r="A922" s="257"/>
      <c r="B922" s="615" t="s">
        <v>3985</v>
      </c>
      <c r="C922" s="1059" t="str">
        <f>AG921</f>
        <v>WHO or WHAT + UNJUST RESULT (to evoke viewers interest)</v>
      </c>
      <c r="D922" s="1059"/>
      <c r="E922" s="96"/>
      <c r="F922" s="1"/>
      <c r="AA922" s="48">
        <f>AA920+1</f>
        <v>54</v>
      </c>
      <c r="AB922" s="849">
        <f>IF(OR(C922="",C922=AG921),0,1)</f>
        <v>0</v>
      </c>
      <c r="AE922" s="351" t="s">
        <v>3577</v>
      </c>
      <c r="AG922" s="4" t="s">
        <v>3578</v>
      </c>
      <c r="AH922" s="4"/>
      <c r="AR922" s="48" t="str">
        <f t="shared" si="42"/>
        <v>Tagline will display here</v>
      </c>
    </row>
    <row r="923" spans="1:44" ht="15" customHeight="1" x14ac:dyDescent="0.3">
      <c r="A923" s="257"/>
      <c r="B923" s="257"/>
      <c r="C923" s="257"/>
      <c r="D923" s="257"/>
      <c r="E923" s="257"/>
      <c r="F923" s="1"/>
    </row>
    <row r="924" spans="1:44" ht="15" customHeight="1" x14ac:dyDescent="0.3">
      <c r="A924" s="256">
        <f>A911+1</f>
        <v>69</v>
      </c>
      <c r="B924" s="256" t="s">
        <v>542</v>
      </c>
      <c r="C924" s="257"/>
      <c r="D924" s="257"/>
      <c r="E924" s="257"/>
      <c r="F924" s="1"/>
    </row>
    <row r="925" spans="1:44" ht="30" customHeight="1" x14ac:dyDescent="0.3">
      <c r="A925" s="257"/>
      <c r="B925" s="1058" t="s">
        <v>3779</v>
      </c>
      <c r="C925" s="1058"/>
      <c r="D925" s="1058"/>
      <c r="E925" s="257"/>
      <c r="F925" s="1"/>
    </row>
    <row r="926" spans="1:44" ht="108" customHeight="1" x14ac:dyDescent="0.3">
      <c r="A926" s="257"/>
      <c r="B926" s="1057"/>
      <c r="C926" s="1057"/>
      <c r="D926" s="1057"/>
      <c r="E926" s="257"/>
      <c r="F926" s="1"/>
      <c r="AA926" s="48">
        <f>AA922+1</f>
        <v>55</v>
      </c>
      <c r="AB926" s="849">
        <f>IF(B926="",0,1)</f>
        <v>0</v>
      </c>
      <c r="AG926" s="48" t="s">
        <v>543</v>
      </c>
    </row>
    <row r="927" spans="1:44" ht="15" customHeight="1" x14ac:dyDescent="0.3">
      <c r="A927" s="257"/>
      <c r="B927" s="96"/>
      <c r="C927" s="96"/>
      <c r="D927" s="96"/>
      <c r="E927" s="96"/>
      <c r="F927" s="1"/>
    </row>
    <row r="928" spans="1:44" ht="15.65" customHeight="1" x14ac:dyDescent="0.3">
      <c r="A928" s="256">
        <f>A924+1</f>
        <v>70</v>
      </c>
      <c r="B928" s="256" t="s">
        <v>544</v>
      </c>
      <c r="C928" s="256"/>
      <c r="D928" s="256"/>
      <c r="E928" s="96"/>
      <c r="F928" s="1"/>
    </row>
    <row r="929" spans="1:37" ht="45" customHeight="1" x14ac:dyDescent="0.3">
      <c r="A929" s="257"/>
      <c r="B929" s="1056" t="s">
        <v>545</v>
      </c>
      <c r="C929" s="1056"/>
      <c r="D929" s="1056"/>
      <c r="E929" s="96"/>
      <c r="F929" s="1"/>
    </row>
    <row r="930" spans="1:37" ht="17" customHeight="1" x14ac:dyDescent="0.3">
      <c r="A930" s="257"/>
      <c r="B930" s="259" t="s">
        <v>546</v>
      </c>
      <c r="C930" s="260"/>
      <c r="D930" s="260"/>
      <c r="E930" s="96"/>
      <c r="F930" s="1"/>
    </row>
    <row r="931" spans="1:37" ht="17" customHeight="1" x14ac:dyDescent="0.3">
      <c r="A931" s="257"/>
      <c r="B931" s="1056" t="s">
        <v>547</v>
      </c>
      <c r="C931" s="1056"/>
      <c r="D931" s="1056"/>
      <c r="E931" s="96"/>
      <c r="F931" s="1"/>
    </row>
    <row r="932" spans="1:37" ht="17" customHeight="1" x14ac:dyDescent="0.3">
      <c r="A932" s="257"/>
      <c r="B932" s="1056" t="s">
        <v>548</v>
      </c>
      <c r="C932" s="1056"/>
      <c r="D932" s="1056"/>
      <c r="E932" s="96"/>
      <c r="F932" s="1"/>
    </row>
    <row r="933" spans="1:37" ht="17" customHeight="1" x14ac:dyDescent="0.3">
      <c r="A933" s="257"/>
      <c r="B933" s="1056" t="s">
        <v>549</v>
      </c>
      <c r="C933" s="1056"/>
      <c r="D933" s="1056"/>
      <c r="E933" s="96"/>
      <c r="F933" s="1"/>
    </row>
    <row r="934" spans="1:37" ht="17" customHeight="1" x14ac:dyDescent="0.3">
      <c r="A934" s="257"/>
      <c r="B934" s="1056" t="s">
        <v>5490</v>
      </c>
      <c r="C934" s="1056"/>
      <c r="D934" s="1056"/>
      <c r="E934" s="96"/>
      <c r="F934" s="1"/>
    </row>
    <row r="935" spans="1:37" ht="400" customHeight="1" x14ac:dyDescent="0.3">
      <c r="A935" s="257"/>
      <c r="B935" s="1060"/>
      <c r="C935" s="1060"/>
      <c r="D935" s="1060"/>
      <c r="E935" s="96"/>
      <c r="F935" s="1"/>
      <c r="AA935" s="48">
        <f>AA926+1</f>
        <v>56</v>
      </c>
      <c r="AB935" s="849">
        <f>IF(B935="",0,1)</f>
        <v>0</v>
      </c>
      <c r="AF935" s="261" t="s">
        <v>550</v>
      </c>
      <c r="AI935" s="261" t="s">
        <v>551</v>
      </c>
    </row>
    <row r="936" spans="1:37" ht="5" customHeight="1" x14ac:dyDescent="0.3">
      <c r="A936" s="257"/>
      <c r="B936" s="1060"/>
      <c r="C936" s="1060"/>
      <c r="D936" s="1060"/>
      <c r="E936" s="96"/>
      <c r="F936" s="1"/>
    </row>
    <row r="937" spans="1:37" x14ac:dyDescent="0.3">
      <c r="A937" s="257"/>
      <c r="B937" s="1060"/>
      <c r="C937" s="1060"/>
      <c r="D937" s="1060"/>
      <c r="E937" s="257"/>
      <c r="F937" s="1"/>
    </row>
    <row r="938" spans="1:37" x14ac:dyDescent="0.3">
      <c r="A938" s="257"/>
      <c r="B938" s="1060"/>
      <c r="C938" s="1060"/>
      <c r="D938" s="1060"/>
      <c r="E938" s="96"/>
      <c r="F938" s="1"/>
    </row>
    <row r="939" spans="1:37" x14ac:dyDescent="0.3">
      <c r="A939" s="257"/>
      <c r="B939" s="1060"/>
      <c r="C939" s="1060"/>
      <c r="D939" s="1060"/>
      <c r="E939" s="96"/>
      <c r="F939" s="1"/>
    </row>
    <row r="940" spans="1:37" x14ac:dyDescent="0.3">
      <c r="A940" s="257"/>
      <c r="B940" s="1060"/>
      <c r="C940" s="1060"/>
      <c r="D940" s="1060"/>
      <c r="E940" s="96"/>
      <c r="F940" s="1"/>
    </row>
    <row r="941" spans="1:37" x14ac:dyDescent="0.3">
      <c r="A941" s="257"/>
      <c r="B941" s="1060"/>
      <c r="C941" s="1060"/>
      <c r="D941" s="1060"/>
      <c r="E941" s="257"/>
      <c r="F941" s="1"/>
    </row>
    <row r="942" spans="1:37" ht="15.5" x14ac:dyDescent="0.3">
      <c r="A942" s="256"/>
      <c r="B942" s="1060"/>
      <c r="C942" s="1060"/>
      <c r="D942" s="1060"/>
      <c r="E942" s="96"/>
      <c r="F942" s="1"/>
    </row>
    <row r="943" spans="1:37" ht="17" customHeight="1" x14ac:dyDescent="0.3">
      <c r="A943" s="257"/>
      <c r="B943" s="1060"/>
      <c r="C943" s="1060"/>
      <c r="D943" s="1060"/>
      <c r="E943" s="257"/>
      <c r="F943" s="1"/>
    </row>
    <row r="944" spans="1:37" x14ac:dyDescent="0.3">
      <c r="A944" s="257"/>
      <c r="B944" s="96" t="str">
        <f>AK944</f>
        <v>This completes the form. The remaining pages give you added information and an advocacy option.</v>
      </c>
      <c r="C944" s="96"/>
      <c r="D944" s="96"/>
      <c r="E944" s="96"/>
      <c r="F944" s="1"/>
      <c r="AA944" s="48">
        <f>AA935</f>
        <v>56</v>
      </c>
      <c r="AB944" s="852">
        <f>AB525+AB530+AB536+AB541+AB547+AB552+AB560+AB570+AB576+AB581+AB586+AB594+AB599+AB604+AB610+AB615+AB620+AB628+AB633+AB638+AB644+AB654+AB662+AB667+AB672+AB678+AB683+AB688+AB694+AB710+AB715+AB720+AB726+AB731+AB736+AB741+AB749+AB759+AB764+AB769+AB774+AB779+AB909+AB913+AB914+AB915+AB922+AB926+AB935</f>
        <v>0</v>
      </c>
      <c r="AC944" s="852">
        <f>AC525+AC530+AC536+AC541+AC547+AC552+AC560+AC570+AC576+AC581+AC586+AC594+AC599+AC604+AC610+AC615+AC620+AC628+AC633+AC638+AC644+AC654+AC662+AC667+AC672+AC678+AC683+AC688+AC694+AC710+AC715+AC720+AC726+AC731+AC736+AC741+AC749+AC759+AC764+AC769+AC774+AC779+AC909+AC913+AC914+AC915+AC922+AC926+AC935</f>
        <v>0</v>
      </c>
      <c r="AE944" s="851">
        <f>AE525+AE530+AE536+AE541+AE547+AE552+AE560+AE570+AE576+AE581+AE586+AE594+AE599+AE604+AE610+AE615+AE620+AE628+AE633+AE638+AE644+AE654+AE662+AE667+AE672+AE678+AE683+AE688+AE694+AE710+AE715+AE720+AE726+AE731+AE736+AE741+AE749+AE759+AE764+AE769+AE774+AE779</f>
        <v>0</v>
      </c>
      <c r="AK944" s="48" t="s">
        <v>5463</v>
      </c>
    </row>
    <row r="945" spans="1:54" ht="10" customHeight="1" x14ac:dyDescent="0.3">
      <c r="A945" s="257"/>
      <c r="B945" s="96"/>
      <c r="C945" s="96"/>
      <c r="D945" s="96"/>
      <c r="E945" s="96"/>
      <c r="F945" s="1"/>
    </row>
    <row r="946" spans="1:54" ht="30" hidden="1" customHeight="1" x14ac:dyDescent="0.3">
      <c r="A946" s="39" t="s">
        <v>88</v>
      </c>
      <c r="B946" s="40" t="s">
        <v>552</v>
      </c>
      <c r="C946" s="39"/>
      <c r="D946" s="39"/>
      <c r="E946" s="39"/>
      <c r="F946" s="39"/>
      <c r="BB946" s="48"/>
    </row>
    <row r="947" spans="1:54" ht="65" hidden="1" customHeight="1" x14ac:dyDescent="0.3">
      <c r="A947" s="41"/>
      <c r="B947" s="1016" t="s">
        <v>553</v>
      </c>
      <c r="C947" s="1016"/>
      <c r="D947" s="1016"/>
      <c r="E947" s="42"/>
      <c r="F947" s="97"/>
      <c r="AO947" s="1061" t="s">
        <v>554</v>
      </c>
      <c r="AP947" s="1061"/>
      <c r="AQ947" s="1061"/>
      <c r="BB947" s="48"/>
    </row>
    <row r="948" spans="1:54" ht="5" hidden="1" customHeight="1" x14ac:dyDescent="0.3">
      <c r="A948" s="237"/>
      <c r="B948" s="237"/>
      <c r="C948" s="237"/>
      <c r="D948" s="237"/>
      <c r="E948" s="237"/>
      <c r="F948" s="1"/>
      <c r="BB948" s="48"/>
    </row>
    <row r="949" spans="1:54" ht="25" hidden="1" customHeight="1" x14ac:dyDescent="0.3">
      <c r="A949" s="237"/>
      <c r="B949" s="248" t="s">
        <v>555</v>
      </c>
      <c r="C949" s="248"/>
      <c r="D949" s="248"/>
      <c r="E949" s="237"/>
      <c r="F949" s="1"/>
    </row>
    <row r="950" spans="1:54" ht="35" hidden="1" customHeight="1" x14ac:dyDescent="0.3">
      <c r="A950" s="237"/>
      <c r="B950" s="1062" t="s">
        <v>556</v>
      </c>
      <c r="C950" s="1062"/>
      <c r="D950" s="1062"/>
      <c r="E950" s="237"/>
      <c r="F950" s="1"/>
      <c r="AC950" s="262" t="str">
        <f>D975</f>
        <v>Not at all</v>
      </c>
      <c r="AD950" s="262" t="str">
        <f>D976</f>
        <v>Mildly, but it didn’t bother me much</v>
      </c>
      <c r="AE950" s="262" t="str">
        <f>D977</f>
        <v>Moderately – it wasn’t pleasant at times</v>
      </c>
      <c r="AF950" s="262" t="str">
        <f>D978</f>
        <v>Severely – it bothered me a lot</v>
      </c>
    </row>
    <row r="951" spans="1:54" ht="5" hidden="1" customHeight="1" x14ac:dyDescent="0.35">
      <c r="A951" s="237"/>
      <c r="B951" s="263"/>
      <c r="C951" s="263"/>
      <c r="D951" s="263"/>
      <c r="E951" s="237"/>
      <c r="F951" s="1"/>
      <c r="AC951">
        <v>0</v>
      </c>
      <c r="AD951">
        <v>1</v>
      </c>
      <c r="AE951">
        <v>2</v>
      </c>
      <c r="AF951">
        <v>3</v>
      </c>
      <c r="AG951"/>
    </row>
    <row r="952" spans="1:54" ht="15.5" hidden="1" x14ac:dyDescent="0.35">
      <c r="A952" s="237"/>
      <c r="B952" s="264"/>
      <c r="C952" s="263"/>
      <c r="D952" s="265" t="s">
        <v>557</v>
      </c>
      <c r="E952" s="237"/>
      <c r="F952" s="1"/>
      <c r="AC952"/>
      <c r="AD952"/>
      <c r="AE952"/>
      <c r="AF952"/>
      <c r="AG952"/>
    </row>
    <row r="953" spans="1:54" ht="18" hidden="1" customHeight="1" thickTop="1" thickBot="1" x14ac:dyDescent="0.4">
      <c r="A953" s="237"/>
      <c r="B953" s="266" t="s">
        <v>558</v>
      </c>
      <c r="C953" s="263"/>
      <c r="D953" s="267"/>
      <c r="E953" s="237"/>
      <c r="F953" s="1"/>
      <c r="AC953">
        <f t="shared" ref="AC953:AF973" si="45">IF($D953=AC$950,AC$951,0)</f>
        <v>0</v>
      </c>
      <c r="AD953">
        <f t="shared" si="45"/>
        <v>0</v>
      </c>
      <c r="AE953">
        <f t="shared" si="45"/>
        <v>0</v>
      </c>
      <c r="AF953">
        <f t="shared" si="45"/>
        <v>0</v>
      </c>
      <c r="AG953" s="68">
        <f>SUM(AC953:AF953)</f>
        <v>0</v>
      </c>
    </row>
    <row r="954" spans="1:54" ht="18" hidden="1" customHeight="1" thickTop="1" thickBot="1" x14ac:dyDescent="0.4">
      <c r="A954" s="237"/>
      <c r="B954" s="266" t="s">
        <v>559</v>
      </c>
      <c r="C954" s="263"/>
      <c r="D954" s="267"/>
      <c r="E954" s="237"/>
      <c r="F954" s="1"/>
      <c r="AC954">
        <f t="shared" si="45"/>
        <v>0</v>
      </c>
      <c r="AD954">
        <f t="shared" si="45"/>
        <v>0</v>
      </c>
      <c r="AE954">
        <f t="shared" si="45"/>
        <v>0</v>
      </c>
      <c r="AF954">
        <f t="shared" si="45"/>
        <v>0</v>
      </c>
      <c r="AG954" s="68">
        <f t="shared" ref="AG954:AG973" si="46">SUM(AC954:AF954)</f>
        <v>0</v>
      </c>
    </row>
    <row r="955" spans="1:54" ht="18" hidden="1" customHeight="1" thickTop="1" thickBot="1" x14ac:dyDescent="0.4">
      <c r="A955" s="237"/>
      <c r="B955" s="266" t="s">
        <v>560</v>
      </c>
      <c r="C955" s="263"/>
      <c r="D955" s="267"/>
      <c r="E955" s="237"/>
      <c r="F955" s="1"/>
      <c r="AC955">
        <f t="shared" si="45"/>
        <v>0</v>
      </c>
      <c r="AD955">
        <f t="shared" si="45"/>
        <v>0</v>
      </c>
      <c r="AE955">
        <f t="shared" si="45"/>
        <v>0</v>
      </c>
      <c r="AF955">
        <f t="shared" si="45"/>
        <v>0</v>
      </c>
      <c r="AG955" s="68">
        <f t="shared" si="46"/>
        <v>0</v>
      </c>
    </row>
    <row r="956" spans="1:54" ht="18" hidden="1" customHeight="1" thickTop="1" thickBot="1" x14ac:dyDescent="0.4">
      <c r="A956" s="237"/>
      <c r="B956" s="266" t="s">
        <v>561</v>
      </c>
      <c r="C956" s="263"/>
      <c r="D956" s="267"/>
      <c r="E956" s="237"/>
      <c r="F956" s="1"/>
      <c r="AC956">
        <f t="shared" si="45"/>
        <v>0</v>
      </c>
      <c r="AD956">
        <f t="shared" si="45"/>
        <v>0</v>
      </c>
      <c r="AE956">
        <f t="shared" si="45"/>
        <v>0</v>
      </c>
      <c r="AF956">
        <f t="shared" si="45"/>
        <v>0</v>
      </c>
      <c r="AG956" s="68">
        <f t="shared" si="46"/>
        <v>0</v>
      </c>
    </row>
    <row r="957" spans="1:54" ht="18" hidden="1" customHeight="1" thickTop="1" thickBot="1" x14ac:dyDescent="0.4">
      <c r="A957" s="237"/>
      <c r="B957" s="266" t="s">
        <v>562</v>
      </c>
      <c r="C957" s="263"/>
      <c r="D957" s="267"/>
      <c r="E957" s="237"/>
      <c r="F957" s="1"/>
      <c r="AC957">
        <f t="shared" si="45"/>
        <v>0</v>
      </c>
      <c r="AD957">
        <f t="shared" si="45"/>
        <v>0</v>
      </c>
      <c r="AE957">
        <f t="shared" si="45"/>
        <v>0</v>
      </c>
      <c r="AF957">
        <f t="shared" si="45"/>
        <v>0</v>
      </c>
      <c r="AG957" s="68">
        <f t="shared" si="46"/>
        <v>0</v>
      </c>
    </row>
    <row r="958" spans="1:54" ht="18" hidden="1" customHeight="1" thickTop="1" thickBot="1" x14ac:dyDescent="0.4">
      <c r="A958" s="237"/>
      <c r="B958" s="266" t="s">
        <v>563</v>
      </c>
      <c r="C958" s="263"/>
      <c r="D958" s="267"/>
      <c r="E958" s="237"/>
      <c r="F958" s="1"/>
      <c r="AC958">
        <f t="shared" si="45"/>
        <v>0</v>
      </c>
      <c r="AD958">
        <f t="shared" si="45"/>
        <v>0</v>
      </c>
      <c r="AE958">
        <f t="shared" si="45"/>
        <v>0</v>
      </c>
      <c r="AF958">
        <f t="shared" si="45"/>
        <v>0</v>
      </c>
      <c r="AG958" s="68">
        <f t="shared" si="46"/>
        <v>0</v>
      </c>
    </row>
    <row r="959" spans="1:54" ht="18" hidden="1" customHeight="1" thickTop="1" thickBot="1" x14ac:dyDescent="0.4">
      <c r="A959" s="237"/>
      <c r="B959" s="266" t="s">
        <v>564</v>
      </c>
      <c r="C959" s="263"/>
      <c r="D959" s="267"/>
      <c r="E959" s="237"/>
      <c r="F959" s="1"/>
      <c r="AC959">
        <f t="shared" si="45"/>
        <v>0</v>
      </c>
      <c r="AD959">
        <f t="shared" si="45"/>
        <v>0</v>
      </c>
      <c r="AE959">
        <f t="shared" si="45"/>
        <v>0</v>
      </c>
      <c r="AF959">
        <f t="shared" si="45"/>
        <v>0</v>
      </c>
      <c r="AG959" s="68">
        <f t="shared" si="46"/>
        <v>0</v>
      </c>
    </row>
    <row r="960" spans="1:54" ht="18" hidden="1" customHeight="1" thickTop="1" thickBot="1" x14ac:dyDescent="0.4">
      <c r="A960" s="237"/>
      <c r="B960" s="266" t="s">
        <v>565</v>
      </c>
      <c r="C960" s="263"/>
      <c r="D960" s="267"/>
      <c r="E960" s="237"/>
      <c r="F960" s="1"/>
      <c r="AC960">
        <f t="shared" si="45"/>
        <v>0</v>
      </c>
      <c r="AD960">
        <f t="shared" si="45"/>
        <v>0</v>
      </c>
      <c r="AE960">
        <f t="shared" si="45"/>
        <v>0</v>
      </c>
      <c r="AF960">
        <f t="shared" si="45"/>
        <v>0</v>
      </c>
      <c r="AG960" s="68">
        <f t="shared" si="46"/>
        <v>0</v>
      </c>
    </row>
    <row r="961" spans="1:68" ht="18" hidden="1" customHeight="1" thickTop="1" thickBot="1" x14ac:dyDescent="0.4">
      <c r="A961" s="237"/>
      <c r="B961" s="266" t="s">
        <v>566</v>
      </c>
      <c r="C961" s="263"/>
      <c r="D961" s="267"/>
      <c r="E961" s="237"/>
      <c r="F961" s="1"/>
      <c r="AC961">
        <f t="shared" si="45"/>
        <v>0</v>
      </c>
      <c r="AD961">
        <f t="shared" si="45"/>
        <v>0</v>
      </c>
      <c r="AE961">
        <f t="shared" si="45"/>
        <v>0</v>
      </c>
      <c r="AF961">
        <f t="shared" si="45"/>
        <v>0</v>
      </c>
      <c r="AG961" s="68">
        <f t="shared" si="46"/>
        <v>0</v>
      </c>
    </row>
    <row r="962" spans="1:68" ht="18" hidden="1" customHeight="1" thickTop="1" thickBot="1" x14ac:dyDescent="0.4">
      <c r="A962" s="237"/>
      <c r="B962" s="266" t="s">
        <v>567</v>
      </c>
      <c r="C962" s="263"/>
      <c r="D962" s="267"/>
      <c r="E962" s="237"/>
      <c r="F962" s="1"/>
      <c r="AC962">
        <f t="shared" si="45"/>
        <v>0</v>
      </c>
      <c r="AD962">
        <f t="shared" si="45"/>
        <v>0</v>
      </c>
      <c r="AE962">
        <f t="shared" si="45"/>
        <v>0</v>
      </c>
      <c r="AF962">
        <f t="shared" si="45"/>
        <v>0</v>
      </c>
      <c r="AG962" s="68">
        <f t="shared" si="46"/>
        <v>0</v>
      </c>
    </row>
    <row r="963" spans="1:68" ht="18" hidden="1" customHeight="1" thickTop="1" thickBot="1" x14ac:dyDescent="0.4">
      <c r="A963" s="237"/>
      <c r="B963" s="266" t="s">
        <v>568</v>
      </c>
      <c r="C963" s="263"/>
      <c r="D963" s="267"/>
      <c r="E963" s="237"/>
      <c r="F963" s="1"/>
      <c r="AC963">
        <f t="shared" si="45"/>
        <v>0</v>
      </c>
      <c r="AD963">
        <f t="shared" si="45"/>
        <v>0</v>
      </c>
      <c r="AE963">
        <f t="shared" si="45"/>
        <v>0</v>
      </c>
      <c r="AF963">
        <f t="shared" si="45"/>
        <v>0</v>
      </c>
      <c r="AG963" s="68">
        <f t="shared" si="46"/>
        <v>0</v>
      </c>
    </row>
    <row r="964" spans="1:68" ht="18" hidden="1" customHeight="1" thickTop="1" thickBot="1" x14ac:dyDescent="0.4">
      <c r="A964" s="237"/>
      <c r="B964" s="266" t="s">
        <v>569</v>
      </c>
      <c r="C964" s="263"/>
      <c r="D964" s="267"/>
      <c r="E964" s="237"/>
      <c r="F964" s="1"/>
      <c r="AC964">
        <f t="shared" si="45"/>
        <v>0</v>
      </c>
      <c r="AD964">
        <f t="shared" si="45"/>
        <v>0</v>
      </c>
      <c r="AE964">
        <f t="shared" si="45"/>
        <v>0</v>
      </c>
      <c r="AF964">
        <f t="shared" si="45"/>
        <v>0</v>
      </c>
      <c r="AG964" s="68">
        <f t="shared" si="46"/>
        <v>0</v>
      </c>
    </row>
    <row r="965" spans="1:68" ht="18" hidden="1" customHeight="1" thickTop="1" thickBot="1" x14ac:dyDescent="0.4">
      <c r="A965" s="237"/>
      <c r="B965" s="266" t="s">
        <v>570</v>
      </c>
      <c r="C965" s="263"/>
      <c r="D965" s="267"/>
      <c r="E965" s="237"/>
      <c r="F965" s="1"/>
      <c r="AC965">
        <f t="shared" si="45"/>
        <v>0</v>
      </c>
      <c r="AD965">
        <f t="shared" si="45"/>
        <v>0</v>
      </c>
      <c r="AE965">
        <f t="shared" si="45"/>
        <v>0</v>
      </c>
      <c r="AF965">
        <f t="shared" si="45"/>
        <v>0</v>
      </c>
      <c r="AG965" s="68">
        <f t="shared" si="46"/>
        <v>0</v>
      </c>
    </row>
    <row r="966" spans="1:68" ht="18" hidden="1" customHeight="1" thickTop="1" thickBot="1" x14ac:dyDescent="0.4">
      <c r="A966" s="237"/>
      <c r="B966" s="266" t="s">
        <v>571</v>
      </c>
      <c r="C966" s="263"/>
      <c r="D966" s="267"/>
      <c r="E966" s="237"/>
      <c r="F966" s="1"/>
      <c r="AC966">
        <f t="shared" si="45"/>
        <v>0</v>
      </c>
      <c r="AD966">
        <f t="shared" si="45"/>
        <v>0</v>
      </c>
      <c r="AE966">
        <f t="shared" si="45"/>
        <v>0</v>
      </c>
      <c r="AF966">
        <f t="shared" si="45"/>
        <v>0</v>
      </c>
      <c r="AG966" s="68">
        <f t="shared" si="46"/>
        <v>0</v>
      </c>
    </row>
    <row r="967" spans="1:68" ht="18" hidden="1" customHeight="1" thickTop="1" thickBot="1" x14ac:dyDescent="0.4">
      <c r="A967" s="237"/>
      <c r="B967" s="266" t="s">
        <v>572</v>
      </c>
      <c r="C967" s="263"/>
      <c r="D967" s="267"/>
      <c r="E967" s="237"/>
      <c r="F967" s="1"/>
      <c r="AC967">
        <f t="shared" si="45"/>
        <v>0</v>
      </c>
      <c r="AD967">
        <f t="shared" si="45"/>
        <v>0</v>
      </c>
      <c r="AE967">
        <f t="shared" si="45"/>
        <v>0</v>
      </c>
      <c r="AF967">
        <f t="shared" si="45"/>
        <v>0</v>
      </c>
      <c r="AG967" s="68">
        <f t="shared" si="46"/>
        <v>0</v>
      </c>
    </row>
    <row r="968" spans="1:68" ht="18" hidden="1" customHeight="1" thickTop="1" thickBot="1" x14ac:dyDescent="0.4">
      <c r="A968" s="237"/>
      <c r="B968" s="266" t="s">
        <v>573</v>
      </c>
      <c r="C968" s="263"/>
      <c r="D968" s="267"/>
      <c r="E968" s="237"/>
      <c r="F968" s="1"/>
      <c r="AC968">
        <f t="shared" si="45"/>
        <v>0</v>
      </c>
      <c r="AD968">
        <f t="shared" si="45"/>
        <v>0</v>
      </c>
      <c r="AE968">
        <f t="shared" si="45"/>
        <v>0</v>
      </c>
      <c r="AF968">
        <f t="shared" si="45"/>
        <v>0</v>
      </c>
      <c r="AG968" s="68">
        <f t="shared" si="46"/>
        <v>0</v>
      </c>
    </row>
    <row r="969" spans="1:68" ht="18" hidden="1" customHeight="1" thickTop="1" thickBot="1" x14ac:dyDescent="0.4">
      <c r="A969" s="237"/>
      <c r="B969" s="266" t="s">
        <v>574</v>
      </c>
      <c r="C969" s="263"/>
      <c r="D969" s="267"/>
      <c r="E969" s="237"/>
      <c r="F969" s="1"/>
      <c r="AC969">
        <f t="shared" si="45"/>
        <v>0</v>
      </c>
      <c r="AD969">
        <f t="shared" si="45"/>
        <v>0</v>
      </c>
      <c r="AE969">
        <f t="shared" si="45"/>
        <v>0</v>
      </c>
      <c r="AF969">
        <f t="shared" si="45"/>
        <v>0</v>
      </c>
      <c r="AG969" s="68">
        <f t="shared" si="46"/>
        <v>0</v>
      </c>
    </row>
    <row r="970" spans="1:68" ht="18" hidden="1" customHeight="1" thickTop="1" thickBot="1" x14ac:dyDescent="0.4">
      <c r="A970" s="237"/>
      <c r="B970" s="266" t="s">
        <v>575</v>
      </c>
      <c r="C970" s="263"/>
      <c r="D970" s="267"/>
      <c r="E970" s="237"/>
      <c r="F970" s="1"/>
      <c r="AC970">
        <f t="shared" si="45"/>
        <v>0</v>
      </c>
      <c r="AD970">
        <f t="shared" si="45"/>
        <v>0</v>
      </c>
      <c r="AE970">
        <f t="shared" si="45"/>
        <v>0</v>
      </c>
      <c r="AF970">
        <f t="shared" si="45"/>
        <v>0</v>
      </c>
      <c r="AG970" s="68">
        <f t="shared" si="46"/>
        <v>0</v>
      </c>
    </row>
    <row r="971" spans="1:68" ht="18" hidden="1" customHeight="1" thickTop="1" thickBot="1" x14ac:dyDescent="0.4">
      <c r="A971" s="237"/>
      <c r="B971" s="266" t="s">
        <v>576</v>
      </c>
      <c r="C971" s="263"/>
      <c r="D971" s="267"/>
      <c r="E971" s="237"/>
      <c r="F971" s="1"/>
      <c r="AC971">
        <f t="shared" si="45"/>
        <v>0</v>
      </c>
      <c r="AD971">
        <f t="shared" si="45"/>
        <v>0</v>
      </c>
      <c r="AE971">
        <f t="shared" si="45"/>
        <v>0</v>
      </c>
      <c r="AF971">
        <f t="shared" si="45"/>
        <v>0</v>
      </c>
      <c r="AG971" s="68">
        <f t="shared" si="46"/>
        <v>0</v>
      </c>
    </row>
    <row r="972" spans="1:68" ht="18" hidden="1" customHeight="1" thickTop="1" thickBot="1" x14ac:dyDescent="0.4">
      <c r="A972" s="237"/>
      <c r="B972" s="266" t="s">
        <v>577</v>
      </c>
      <c r="C972" s="263"/>
      <c r="D972" s="267"/>
      <c r="E972" s="237"/>
      <c r="F972" s="1"/>
      <c r="AC972">
        <f t="shared" si="45"/>
        <v>0</v>
      </c>
      <c r="AD972">
        <f t="shared" si="45"/>
        <v>0</v>
      </c>
      <c r="AE972">
        <f t="shared" si="45"/>
        <v>0</v>
      </c>
      <c r="AF972">
        <f t="shared" si="45"/>
        <v>0</v>
      </c>
      <c r="AG972" s="68">
        <f t="shared" si="46"/>
        <v>0</v>
      </c>
    </row>
    <row r="973" spans="1:68" ht="18" hidden="1" customHeight="1" thickTop="1" thickBot="1" x14ac:dyDescent="0.4">
      <c r="A973" s="237"/>
      <c r="B973" s="266" t="s">
        <v>578</v>
      </c>
      <c r="C973" s="263"/>
      <c r="D973" s="267"/>
      <c r="E973" s="237"/>
      <c r="F973" s="1"/>
      <c r="AC973">
        <f t="shared" si="45"/>
        <v>0</v>
      </c>
      <c r="AD973">
        <f t="shared" si="45"/>
        <v>0</v>
      </c>
      <c r="AE973">
        <f t="shared" si="45"/>
        <v>0</v>
      </c>
      <c r="AF973">
        <f t="shared" si="45"/>
        <v>0</v>
      </c>
      <c r="AG973" s="68">
        <f t="shared" si="46"/>
        <v>0</v>
      </c>
      <c r="AJ973" s="68">
        <f>SUM(AG953:AG973)</f>
        <v>0</v>
      </c>
    </row>
    <row r="974" spans="1:68" ht="10" hidden="1" customHeight="1" thickTop="1" x14ac:dyDescent="0.35">
      <c r="A974" s="237"/>
      <c r="B974" s="263"/>
      <c r="C974" s="263"/>
      <c r="D974" s="263"/>
      <c r="E974" s="237"/>
      <c r="F974" s="1"/>
      <c r="AC974"/>
      <c r="AD974"/>
      <c r="AE974"/>
      <c r="AF974"/>
    </row>
    <row r="975" spans="1:68" ht="14.5" hidden="1" x14ac:dyDescent="0.35">
      <c r="A975" s="237"/>
      <c r="B975" s="263"/>
      <c r="C975" s="263"/>
      <c r="D975" s="268" t="s">
        <v>579</v>
      </c>
      <c r="E975" s="237"/>
      <c r="F975" s="1"/>
      <c r="AC975"/>
      <c r="AD975"/>
      <c r="AE975"/>
      <c r="AF975"/>
      <c r="AG975" s="68">
        <f>SUM(AG953:AG974)</f>
        <v>0</v>
      </c>
    </row>
    <row r="976" spans="1:68" ht="14.5" hidden="1" x14ac:dyDescent="0.35">
      <c r="A976" s="237"/>
      <c r="B976" s="269" t="s">
        <v>580</v>
      </c>
      <c r="C976" s="263"/>
      <c r="D976" s="268" t="s">
        <v>581</v>
      </c>
      <c r="E976" s="237"/>
      <c r="F976" s="1"/>
      <c r="AC976">
        <v>0</v>
      </c>
      <c r="AD976">
        <v>21</v>
      </c>
      <c r="AE976"/>
      <c r="AF976"/>
      <c r="AG976"/>
      <c r="AQ976" t="s">
        <v>582</v>
      </c>
      <c r="AR976"/>
      <c r="AS976"/>
      <c r="BB976" s="48"/>
      <c r="BP976" s="14"/>
    </row>
    <row r="977" spans="1:68" ht="14.5" hidden="1" x14ac:dyDescent="0.35">
      <c r="A977" s="237"/>
      <c r="B977" s="269" t="s">
        <v>583</v>
      </c>
      <c r="C977" s="263"/>
      <c r="D977" s="268" t="s">
        <v>584</v>
      </c>
      <c r="E977" s="237"/>
      <c r="F977" s="1"/>
      <c r="AC977">
        <f>AD976</f>
        <v>21</v>
      </c>
      <c r="AD977">
        <v>36</v>
      </c>
      <c r="AE977"/>
      <c r="AF977"/>
      <c r="AG977"/>
      <c r="AQ977" s="48" t="s">
        <v>585</v>
      </c>
      <c r="AR977"/>
      <c r="AS977"/>
      <c r="BB977" s="48" t="str">
        <f>AG978</f>
        <v>low anxiety</v>
      </c>
      <c r="BF977" s="48" t="s">
        <v>586</v>
      </c>
      <c r="BP977" s="14"/>
    </row>
    <row r="978" spans="1:68" ht="15" hidden="1" thickBot="1" x14ac:dyDescent="0.4">
      <c r="A978" s="237"/>
      <c r="B978" s="269" t="s">
        <v>587</v>
      </c>
      <c r="C978" s="270"/>
      <c r="D978" s="268" t="s">
        <v>588</v>
      </c>
      <c r="E978" s="237"/>
      <c r="F978" s="1"/>
      <c r="AC978">
        <f>AD977</f>
        <v>36</v>
      </c>
      <c r="AD978">
        <f>(21*3)+1</f>
        <v>64</v>
      </c>
      <c r="AE978"/>
      <c r="AF978"/>
      <c r="AG978" s="271" t="str">
        <f>IF(AND(AG975&gt;=AC976,AG975&lt;AD976),B976,IF(AND(AG975&gt;=AC977,AG975&lt;AD977),B977,IF(AND(AG975&gt;=AC978,AE1159&lt;AD978),B978,"")))</f>
        <v>low anxiety</v>
      </c>
      <c r="AH978" s="263"/>
      <c r="AI978" s="263"/>
      <c r="AJ978" s="237"/>
    </row>
    <row r="979" spans="1:68" ht="14.5" hidden="1" x14ac:dyDescent="0.35">
      <c r="A979" s="237"/>
      <c r="B979" s="269"/>
      <c r="C979" s="270"/>
      <c r="D979" s="263"/>
      <c r="E979" s="237"/>
      <c r="F979" s="1"/>
      <c r="G979" s="272"/>
      <c r="I979" s="272"/>
      <c r="J979" s="272"/>
      <c r="K979" s="272"/>
      <c r="L979" s="272"/>
      <c r="M979" s="272"/>
      <c r="N979" s="272"/>
      <c r="O979" s="272"/>
      <c r="P979" s="272"/>
      <c r="Q979" s="272"/>
      <c r="R979" s="272"/>
      <c r="S979" s="272"/>
      <c r="T979" s="272"/>
      <c r="U979" s="272"/>
      <c r="V979" s="272"/>
      <c r="W979" s="272"/>
      <c r="X979" s="272"/>
      <c r="Y979" s="272"/>
      <c r="Z979" s="272"/>
      <c r="AA979"/>
      <c r="AB979"/>
      <c r="AC979"/>
      <c r="AD979"/>
      <c r="AE979"/>
    </row>
    <row r="980" spans="1:68" ht="14.5" hidden="1" x14ac:dyDescent="0.35">
      <c r="A980" s="237"/>
      <c r="B980" s="269"/>
      <c r="C980" s="263"/>
      <c r="D980" s="270"/>
      <c r="E980" s="237"/>
      <c r="F980" s="1"/>
      <c r="G980" s="272"/>
      <c r="I980" s="272"/>
      <c r="J980" s="272"/>
      <c r="K980" s="272"/>
      <c r="L980" s="272"/>
      <c r="M980" s="272"/>
      <c r="N980" s="272"/>
      <c r="O980" s="272"/>
      <c r="P980" s="272"/>
      <c r="Q980" s="272"/>
      <c r="R980" s="272"/>
      <c r="S980" s="272"/>
      <c r="T980" s="272"/>
      <c r="U980" s="272"/>
      <c r="V980" s="272"/>
      <c r="W980" s="272"/>
      <c r="X980" s="272"/>
      <c r="Y980" s="272"/>
      <c r="Z980" s="272"/>
      <c r="AA980"/>
      <c r="AB980"/>
      <c r="BB980" s="48"/>
    </row>
    <row r="981" spans="1:68" ht="32" hidden="1" customHeight="1" x14ac:dyDescent="0.35">
      <c r="A981" s="237"/>
      <c r="B981" s="1065" t="str">
        <f>CONCATENATE(AG981,AN981,AO981,AZ981)</f>
        <v>You understandably experience some anxiety, considering the many challenges you face from such a conviction. You can rule out a purely biological source for such anxiety.</v>
      </c>
      <c r="C981" s="1066"/>
      <c r="D981" s="1066"/>
      <c r="E981" s="237"/>
      <c r="F981" s="1"/>
      <c r="G981" s="272"/>
      <c r="I981" s="272"/>
      <c r="J981" s="272"/>
      <c r="K981" s="272"/>
      <c r="L981" s="272"/>
      <c r="M981" s="272"/>
      <c r="N981" s="272"/>
      <c r="O981" s="272"/>
      <c r="P981" s="272"/>
      <c r="Q981" s="272"/>
      <c r="R981" s="272"/>
      <c r="S981" s="272"/>
      <c r="T981" s="272"/>
      <c r="U981" s="272"/>
      <c r="V981" s="272"/>
      <c r="W981" s="272"/>
      <c r="X981" s="272"/>
      <c r="Y981" s="272"/>
      <c r="Z981" s="272"/>
      <c r="AA981"/>
      <c r="AB981"/>
      <c r="AG981" s="23" t="s">
        <v>589</v>
      </c>
      <c r="AN981" s="48" t="str">
        <f>IF(AG975&lt;AC977,"some anxiety",AG978)</f>
        <v>some anxiety</v>
      </c>
      <c r="AO981" s="109" t="s">
        <v>590</v>
      </c>
      <c r="AZ981" s="48" t="s">
        <v>591</v>
      </c>
    </row>
    <row r="982" spans="1:68" ht="10" hidden="1" customHeight="1" x14ac:dyDescent="0.35">
      <c r="A982" s="237"/>
      <c r="B982" s="269"/>
      <c r="C982" s="263"/>
      <c r="D982" s="270"/>
      <c r="E982" s="237"/>
      <c r="F982" s="1"/>
      <c r="G982" s="272"/>
      <c r="I982" s="272"/>
      <c r="J982" s="272"/>
      <c r="K982" s="272"/>
      <c r="L982" s="272"/>
      <c r="M982" s="272"/>
      <c r="N982" s="272"/>
      <c r="O982" s="272"/>
      <c r="P982" s="272"/>
      <c r="Q982" s="272"/>
      <c r="R982" s="272"/>
      <c r="S982" s="272"/>
      <c r="T982" s="272"/>
      <c r="U982" s="272"/>
      <c r="V982" s="272"/>
      <c r="W982" s="272"/>
      <c r="X982" s="272"/>
      <c r="Y982" s="272"/>
      <c r="Z982" s="272"/>
      <c r="AA982"/>
      <c r="AB982"/>
      <c r="AC982"/>
    </row>
    <row r="983" spans="1:68" ht="60" hidden="1" customHeight="1" x14ac:dyDescent="0.35">
      <c r="A983" s="237"/>
      <c r="B983" s="1065" t="s">
        <v>592</v>
      </c>
      <c r="C983" s="1066"/>
      <c r="D983" s="1066"/>
      <c r="E983" s="237"/>
      <c r="F983" s="1"/>
      <c r="G983" s="272"/>
      <c r="I983" s="272"/>
      <c r="J983" s="272"/>
      <c r="K983" s="272"/>
      <c r="L983" s="272"/>
      <c r="M983" s="272"/>
      <c r="N983" s="272"/>
      <c r="O983" s="272"/>
      <c r="P983" s="272"/>
      <c r="Q983" s="272"/>
      <c r="R983" s="272"/>
      <c r="S983" s="272"/>
      <c r="T983" s="272"/>
      <c r="U983" s="272"/>
      <c r="V983" s="272"/>
      <c r="W983" s="272"/>
      <c r="X983" s="272"/>
      <c r="Y983" s="272"/>
      <c r="Z983" s="272"/>
      <c r="AA983"/>
      <c r="AB983"/>
      <c r="AC983"/>
      <c r="AD983" s="48" t="str">
        <f>IF(C202="","Claimant",AN202)</f>
        <v>Claimant</v>
      </c>
      <c r="AF983" s="48" t="s">
        <v>593</v>
      </c>
      <c r="AM983" s="48" t="str">
        <f>AN981</f>
        <v>some anxiety</v>
      </c>
      <c r="AQ983" s="48" t="s">
        <v>594</v>
      </c>
      <c r="AZ983" s="48" t="str">
        <f>IF(AG975=0,"","The wrongful conviction produces plenty to be anxious about. ")</f>
        <v/>
      </c>
      <c r="BB983" s="48"/>
      <c r="BF983" s="48" t="s">
        <v>595</v>
      </c>
    </row>
    <row r="984" spans="1:68" ht="5" hidden="1" customHeight="1" x14ac:dyDescent="0.35">
      <c r="A984" s="237"/>
      <c r="B984" s="237"/>
      <c r="C984" s="237"/>
      <c r="D984" s="237"/>
      <c r="E984" s="237"/>
      <c r="F984" s="1"/>
      <c r="G984" s="272"/>
      <c r="I984" s="272"/>
      <c r="J984" s="272"/>
      <c r="K984" s="272"/>
      <c r="L984" s="272"/>
      <c r="M984" s="272"/>
      <c r="N984" s="272"/>
      <c r="O984" s="272"/>
      <c r="P984" s="272"/>
      <c r="Q984" s="272"/>
      <c r="R984" s="272"/>
      <c r="S984" s="272"/>
      <c r="T984" s="272"/>
      <c r="U984" s="272"/>
      <c r="V984" s="272"/>
      <c r="W984" s="272"/>
      <c r="X984" s="272"/>
      <c r="Y984" s="272"/>
      <c r="Z984" s="272"/>
      <c r="AA984"/>
      <c r="AB984"/>
      <c r="AC984"/>
      <c r="AD984" s="48" t="str">
        <f>CONCATENATE(AD983,AF983,AM983,AQ983,AZ983,BF983)</f>
        <v>Claimant understandably experiences some anxiety from the wrongful conviction. Once hired, much of that should clear up. If not, Value Relating can help.</v>
      </c>
      <c r="BB984" s="48"/>
    </row>
    <row r="985" spans="1:68" ht="5" hidden="1" customHeight="1" x14ac:dyDescent="0.3">
      <c r="A985" s="237"/>
      <c r="B985" s="273"/>
      <c r="C985" s="237"/>
      <c r="D985" s="237"/>
      <c r="E985" s="237"/>
      <c r="F985" s="1"/>
    </row>
    <row r="986" spans="1:68" ht="25" hidden="1" customHeight="1" x14ac:dyDescent="0.3">
      <c r="A986" s="237"/>
      <c r="B986" s="248" t="s">
        <v>596</v>
      </c>
      <c r="C986" s="248"/>
      <c r="D986" s="248"/>
      <c r="E986" s="237"/>
      <c r="F986" s="1"/>
    </row>
    <row r="987" spans="1:68" ht="35" hidden="1" customHeight="1" x14ac:dyDescent="0.3">
      <c r="A987" s="237"/>
      <c r="B987" s="1062" t="str">
        <f>B950</f>
        <v>Rate each item to your level of experience. Your responses let us know the level of your current need. If taken later we can compare the scores to help see if we are helping or not.</v>
      </c>
      <c r="C987" s="1062"/>
      <c r="D987" s="1062"/>
      <c r="E987" s="237"/>
      <c r="F987" s="1"/>
    </row>
    <row r="988" spans="1:68" ht="14.5" hidden="1" customHeight="1" x14ac:dyDescent="0.3">
      <c r="A988" s="237"/>
      <c r="B988" s="273"/>
      <c r="C988" s="237"/>
      <c r="D988" s="237"/>
      <c r="E988" s="237"/>
      <c r="F988" s="1"/>
    </row>
    <row r="989" spans="1:68" ht="14.5" hidden="1" customHeight="1" thickBot="1" x14ac:dyDescent="0.4">
      <c r="A989" s="237"/>
      <c r="B989" s="274"/>
      <c r="C989" s="263"/>
      <c r="D989" s="265" t="str">
        <f>D952</f>
        <v>Pick best answer from pulldown menu.</v>
      </c>
      <c r="E989" s="263"/>
      <c r="F989" s="1"/>
      <c r="G989" s="272"/>
      <c r="I989" s="272"/>
      <c r="J989" s="272"/>
      <c r="K989" s="272"/>
      <c r="L989" s="272"/>
      <c r="M989" s="272"/>
      <c r="N989" s="272"/>
      <c r="O989" s="272"/>
      <c r="P989" s="272"/>
      <c r="Q989" s="272"/>
      <c r="R989" s="272"/>
      <c r="S989" s="272"/>
      <c r="T989" s="272"/>
      <c r="U989" s="272"/>
      <c r="V989" s="272"/>
      <c r="W989" s="272"/>
      <c r="X989" s="272"/>
      <c r="Y989" s="272"/>
      <c r="Z989" s="272"/>
      <c r="AA989"/>
      <c r="AB989"/>
      <c r="AC989"/>
      <c r="AD989"/>
    </row>
    <row r="990" spans="1:68" ht="20" hidden="1" customHeight="1" thickTop="1" thickBot="1" x14ac:dyDescent="0.4">
      <c r="A990" s="237"/>
      <c r="B990" s="275">
        <v>1</v>
      </c>
      <c r="C990" s="1063" t="str">
        <f>AD990</f>
        <v>sadness</v>
      </c>
      <c r="D990" s="1064"/>
      <c r="E990" s="237"/>
      <c r="F990" s="1"/>
      <c r="AD990" s="276" t="s">
        <v>597</v>
      </c>
      <c r="AE990"/>
      <c r="AF990"/>
      <c r="AG990">
        <f>IF(AND(C990&lt;&gt;"",C990=AD990),0,1)</f>
        <v>0</v>
      </c>
      <c r="AH990"/>
    </row>
    <row r="991" spans="1:68" ht="12" hidden="1" customHeight="1" thickTop="1" x14ac:dyDescent="0.35">
      <c r="A991" s="237"/>
      <c r="B991" s="277">
        <v>0</v>
      </c>
      <c r="C991" s="278" t="s">
        <v>598</v>
      </c>
      <c r="D991" s="263"/>
      <c r="E991" s="237"/>
      <c r="F991" s="1"/>
      <c r="AD991"/>
      <c r="AE991"/>
      <c r="AF991">
        <f>IF(C$990=C991,B991,0)</f>
        <v>0</v>
      </c>
      <c r="AG991"/>
      <c r="AH991"/>
    </row>
    <row r="992" spans="1:68" ht="12" hidden="1" customHeight="1" x14ac:dyDescent="0.35">
      <c r="A992" s="237"/>
      <c r="B992" s="277">
        <v>1</v>
      </c>
      <c r="C992" s="278" t="s">
        <v>599</v>
      </c>
      <c r="D992" s="263"/>
      <c r="E992" s="237"/>
      <c r="F992" s="1"/>
      <c r="AD992"/>
      <c r="AE992"/>
      <c r="AF992">
        <f>IF(C$990=C992,B992,0)</f>
        <v>0</v>
      </c>
      <c r="AG992"/>
      <c r="AH992"/>
    </row>
    <row r="993" spans="1:34" ht="12" hidden="1" customHeight="1" x14ac:dyDescent="0.35">
      <c r="A993" s="237"/>
      <c r="B993" s="277">
        <v>2</v>
      </c>
      <c r="C993" s="278" t="s">
        <v>600</v>
      </c>
      <c r="D993" s="263"/>
      <c r="E993" s="237"/>
      <c r="F993" s="1"/>
      <c r="AD993"/>
      <c r="AE993"/>
      <c r="AF993">
        <f>IF(C$990=C993,B993,0)</f>
        <v>0</v>
      </c>
      <c r="AG993"/>
      <c r="AH993"/>
    </row>
    <row r="994" spans="1:34" ht="12" hidden="1" customHeight="1" thickBot="1" x14ac:dyDescent="0.4">
      <c r="A994" s="237"/>
      <c r="B994" s="277">
        <v>3</v>
      </c>
      <c r="C994" s="278" t="s">
        <v>601</v>
      </c>
      <c r="D994" s="263"/>
      <c r="E994" s="237"/>
      <c r="F994" s="1"/>
      <c r="AD994"/>
      <c r="AE994"/>
      <c r="AF994">
        <f>IF(C$990=C994,B994,0)</f>
        <v>0</v>
      </c>
      <c r="AG994"/>
      <c r="AH994"/>
    </row>
    <row r="995" spans="1:34" ht="20" hidden="1" customHeight="1" thickTop="1" thickBot="1" x14ac:dyDescent="0.4">
      <c r="A995" s="237"/>
      <c r="B995" s="275">
        <v>2</v>
      </c>
      <c r="C995" s="1063" t="str">
        <f>AD995</f>
        <v>hope</v>
      </c>
      <c r="D995" s="1064"/>
      <c r="E995" s="237"/>
      <c r="F995" s="1"/>
      <c r="AD995" s="276" t="s">
        <v>602</v>
      </c>
      <c r="AE995"/>
      <c r="AF995"/>
      <c r="AG995">
        <f>IF(AND(C995&lt;&gt;"",C995=AD995),0,1)</f>
        <v>0</v>
      </c>
      <c r="AH995"/>
    </row>
    <row r="996" spans="1:34" ht="12" hidden="1" customHeight="1" thickTop="1" x14ac:dyDescent="0.35">
      <c r="A996" s="237"/>
      <c r="B996" s="277">
        <v>0</v>
      </c>
      <c r="C996" s="278" t="s">
        <v>603</v>
      </c>
      <c r="D996" s="263"/>
      <c r="E996" s="237"/>
      <c r="F996" s="1"/>
      <c r="AD996"/>
      <c r="AE996"/>
      <c r="AF996">
        <f>IF(C$995=C996,B996,0)</f>
        <v>0</v>
      </c>
      <c r="AG996"/>
      <c r="AH996"/>
    </row>
    <row r="997" spans="1:34" ht="12" hidden="1" customHeight="1" x14ac:dyDescent="0.35">
      <c r="A997" s="237"/>
      <c r="B997" s="277">
        <v>1</v>
      </c>
      <c r="C997" s="278" t="s">
        <v>604</v>
      </c>
      <c r="D997" s="263"/>
      <c r="E997" s="237"/>
      <c r="F997" s="1"/>
      <c r="AD997"/>
      <c r="AE997"/>
      <c r="AF997">
        <f>IF(C$995=C997,B997,0)</f>
        <v>0</v>
      </c>
      <c r="AG997"/>
      <c r="AH997"/>
    </row>
    <row r="998" spans="1:34" ht="12" hidden="1" customHeight="1" x14ac:dyDescent="0.35">
      <c r="A998" s="237"/>
      <c r="B998" s="277">
        <v>2</v>
      </c>
      <c r="C998" s="278" t="s">
        <v>605</v>
      </c>
      <c r="D998" s="263"/>
      <c r="E998" s="237"/>
      <c r="F998" s="1"/>
      <c r="AD998"/>
      <c r="AE998"/>
      <c r="AF998">
        <f>IF(C$995=C998,B998,0)</f>
        <v>0</v>
      </c>
      <c r="AG998"/>
      <c r="AH998"/>
    </row>
    <row r="999" spans="1:34" ht="12" hidden="1" customHeight="1" thickBot="1" x14ac:dyDescent="0.4">
      <c r="A999" s="237"/>
      <c r="B999" s="277">
        <v>3</v>
      </c>
      <c r="C999" s="278" t="s">
        <v>606</v>
      </c>
      <c r="D999" s="263"/>
      <c r="E999" s="237"/>
      <c r="F999" s="1"/>
      <c r="AD999"/>
      <c r="AE999"/>
      <c r="AF999">
        <f>IF(C$995=C999,B999,0)</f>
        <v>0</v>
      </c>
      <c r="AG999"/>
      <c r="AH999"/>
    </row>
    <row r="1000" spans="1:34" ht="20" hidden="1" customHeight="1" thickTop="1" thickBot="1" x14ac:dyDescent="0.4">
      <c r="A1000" s="237"/>
      <c r="B1000" s="275">
        <v>3</v>
      </c>
      <c r="C1000" s="1063" t="str">
        <f>AD1000</f>
        <v>failures</v>
      </c>
      <c r="D1000" s="1064"/>
      <c r="E1000" s="237"/>
      <c r="F1000" s="1"/>
      <c r="AD1000" s="276" t="s">
        <v>607</v>
      </c>
      <c r="AE1000"/>
      <c r="AF1000"/>
      <c r="AG1000">
        <f>IF(AND(C1000&lt;&gt;"",C1000=AD1000),0,1)</f>
        <v>0</v>
      </c>
      <c r="AH1000"/>
    </row>
    <row r="1001" spans="1:34" ht="12" hidden="1" customHeight="1" thickTop="1" x14ac:dyDescent="0.35">
      <c r="A1001" s="237"/>
      <c r="B1001" s="277">
        <v>0</v>
      </c>
      <c r="C1001" s="278" t="s">
        <v>608</v>
      </c>
      <c r="D1001" s="263"/>
      <c r="E1001" s="237"/>
      <c r="F1001" s="1"/>
      <c r="AD1001"/>
      <c r="AE1001"/>
      <c r="AF1001">
        <f>IF(C$1000=C1001,B1001,0)</f>
        <v>0</v>
      </c>
      <c r="AG1001"/>
      <c r="AH1001"/>
    </row>
    <row r="1002" spans="1:34" ht="12" hidden="1" customHeight="1" x14ac:dyDescent="0.35">
      <c r="A1002" s="237"/>
      <c r="B1002" s="277">
        <v>1</v>
      </c>
      <c r="C1002" s="278" t="s">
        <v>609</v>
      </c>
      <c r="D1002" s="263"/>
      <c r="E1002" s="237"/>
      <c r="F1002" s="1"/>
      <c r="AD1002"/>
      <c r="AE1002"/>
      <c r="AF1002">
        <f>IF(C$1000=C1002,B1002,0)</f>
        <v>0</v>
      </c>
      <c r="AG1002"/>
      <c r="AH1002"/>
    </row>
    <row r="1003" spans="1:34" ht="12" hidden="1" customHeight="1" x14ac:dyDescent="0.35">
      <c r="A1003" s="237"/>
      <c r="B1003" s="277">
        <v>2</v>
      </c>
      <c r="C1003" s="278" t="s">
        <v>610</v>
      </c>
      <c r="D1003" s="263"/>
      <c r="E1003" s="237"/>
      <c r="F1003" s="1"/>
      <c r="AD1003"/>
      <c r="AE1003"/>
      <c r="AF1003">
        <f>IF(C$1000=C1003,B1003,0)</f>
        <v>0</v>
      </c>
      <c r="AG1003"/>
      <c r="AH1003"/>
    </row>
    <row r="1004" spans="1:34" ht="12" hidden="1" customHeight="1" thickBot="1" x14ac:dyDescent="0.4">
      <c r="A1004" s="237"/>
      <c r="B1004" s="277">
        <v>3</v>
      </c>
      <c r="C1004" s="278" t="s">
        <v>611</v>
      </c>
      <c r="D1004" s="263"/>
      <c r="E1004" s="237"/>
      <c r="F1004" s="1"/>
      <c r="AD1004"/>
      <c r="AE1004"/>
      <c r="AF1004">
        <f>IF(C$1000=C1004,B1004,0)</f>
        <v>0</v>
      </c>
      <c r="AG1004"/>
      <c r="AH1004"/>
    </row>
    <row r="1005" spans="1:34" ht="20" hidden="1" customHeight="1" thickTop="1" thickBot="1" x14ac:dyDescent="0.4">
      <c r="A1005" s="237"/>
      <c r="B1005" s="275">
        <v>4</v>
      </c>
      <c r="C1005" s="1063" t="str">
        <f>AD1005</f>
        <v>satisfaction</v>
      </c>
      <c r="D1005" s="1064"/>
      <c r="E1005" s="237"/>
      <c r="F1005" s="1"/>
      <c r="AD1005" s="276" t="s">
        <v>612</v>
      </c>
      <c r="AE1005"/>
      <c r="AF1005"/>
      <c r="AG1005">
        <f>IF(AND(C1005&lt;&gt;"",C1005=AD1005),0,1)</f>
        <v>0</v>
      </c>
      <c r="AH1005"/>
    </row>
    <row r="1006" spans="1:34" ht="12" hidden="1" customHeight="1" thickTop="1" x14ac:dyDescent="0.35">
      <c r="A1006" s="237"/>
      <c r="B1006" s="277">
        <v>0</v>
      </c>
      <c r="C1006" s="278" t="s">
        <v>613</v>
      </c>
      <c r="D1006" s="263"/>
      <c r="E1006" s="237"/>
      <c r="F1006" s="1"/>
      <c r="AD1006"/>
      <c r="AE1006"/>
      <c r="AF1006">
        <f>IF(C$1005=C1006,B1006,0)</f>
        <v>0</v>
      </c>
      <c r="AG1006"/>
      <c r="AH1006"/>
    </row>
    <row r="1007" spans="1:34" ht="12" hidden="1" customHeight="1" x14ac:dyDescent="0.35">
      <c r="A1007" s="237"/>
      <c r="B1007" s="277">
        <v>1</v>
      </c>
      <c r="C1007" s="278" t="s">
        <v>614</v>
      </c>
      <c r="D1007" s="263"/>
      <c r="E1007" s="237"/>
      <c r="F1007" s="1"/>
      <c r="AD1007"/>
      <c r="AE1007"/>
      <c r="AF1007">
        <f>IF(C$1005=C1007,B1007,0)</f>
        <v>0</v>
      </c>
      <c r="AG1007"/>
      <c r="AH1007"/>
    </row>
    <row r="1008" spans="1:34" ht="12" hidden="1" customHeight="1" x14ac:dyDescent="0.35">
      <c r="A1008" s="237"/>
      <c r="B1008" s="277">
        <v>2</v>
      </c>
      <c r="C1008" s="278" t="s">
        <v>615</v>
      </c>
      <c r="D1008" s="263"/>
      <c r="E1008" s="237"/>
      <c r="F1008" s="1"/>
      <c r="AD1008"/>
      <c r="AE1008"/>
      <c r="AF1008">
        <f>IF(C$1005=C1008,B1008,0)</f>
        <v>0</v>
      </c>
      <c r="AG1008"/>
      <c r="AH1008"/>
    </row>
    <row r="1009" spans="1:34" ht="12" hidden="1" customHeight="1" thickBot="1" x14ac:dyDescent="0.4">
      <c r="A1009" s="237"/>
      <c r="B1009" s="277">
        <v>3</v>
      </c>
      <c r="C1009" s="278" t="s">
        <v>616</v>
      </c>
      <c r="D1009" s="263"/>
      <c r="E1009" s="237"/>
      <c r="F1009" s="1"/>
      <c r="AD1009"/>
      <c r="AE1009"/>
      <c r="AF1009">
        <f>IF(C$1005=C1009,B1009,0)</f>
        <v>0</v>
      </c>
      <c r="AG1009"/>
      <c r="AH1009"/>
    </row>
    <row r="1010" spans="1:34" ht="20" hidden="1" customHeight="1" thickTop="1" thickBot="1" x14ac:dyDescent="0.4">
      <c r="A1010" s="237"/>
      <c r="B1010" s="275">
        <v>5</v>
      </c>
      <c r="C1010" s="1063" t="str">
        <f>AD1010</f>
        <v>guilt</v>
      </c>
      <c r="D1010" s="1064"/>
      <c r="E1010" s="237"/>
      <c r="F1010" s="1"/>
      <c r="AD1010" s="276" t="s">
        <v>617</v>
      </c>
      <c r="AE1010"/>
      <c r="AF1010"/>
      <c r="AG1010">
        <f>IF(AND(C1010&lt;&gt;"",C1010=AD1010),0,1)</f>
        <v>0</v>
      </c>
      <c r="AH1010"/>
    </row>
    <row r="1011" spans="1:34" ht="12" hidden="1" customHeight="1" thickTop="1" x14ac:dyDescent="0.35">
      <c r="A1011" s="237"/>
      <c r="B1011" s="277">
        <v>0</v>
      </c>
      <c r="C1011" s="278" t="s">
        <v>618</v>
      </c>
      <c r="D1011" s="263"/>
      <c r="E1011" s="237"/>
      <c r="F1011" s="1"/>
      <c r="AD1011"/>
      <c r="AE1011"/>
      <c r="AF1011">
        <f>IF(C$1010=C1011,B1011,0)</f>
        <v>0</v>
      </c>
      <c r="AG1011"/>
      <c r="AH1011"/>
    </row>
    <row r="1012" spans="1:34" ht="12" hidden="1" customHeight="1" x14ac:dyDescent="0.35">
      <c r="A1012" s="237"/>
      <c r="B1012" s="277">
        <v>1</v>
      </c>
      <c r="C1012" s="278" t="s">
        <v>619</v>
      </c>
      <c r="D1012" s="263"/>
      <c r="E1012" s="237"/>
      <c r="F1012" s="1"/>
      <c r="AD1012"/>
      <c r="AE1012"/>
      <c r="AF1012">
        <f>IF(C$1010=C1012,B1012,0)</f>
        <v>0</v>
      </c>
      <c r="AG1012"/>
      <c r="AH1012"/>
    </row>
    <row r="1013" spans="1:34" ht="12" hidden="1" customHeight="1" x14ac:dyDescent="0.35">
      <c r="A1013" s="237"/>
      <c r="B1013" s="277">
        <v>2</v>
      </c>
      <c r="C1013" s="278" t="s">
        <v>620</v>
      </c>
      <c r="D1013" s="263"/>
      <c r="E1013" s="237"/>
      <c r="F1013" s="1"/>
      <c r="AD1013"/>
      <c r="AE1013"/>
      <c r="AF1013">
        <f>IF(C$1010=C1013,B1013,0)</f>
        <v>0</v>
      </c>
      <c r="AG1013"/>
      <c r="AH1013"/>
    </row>
    <row r="1014" spans="1:34" ht="12" hidden="1" customHeight="1" thickBot="1" x14ac:dyDescent="0.4">
      <c r="A1014" s="237"/>
      <c r="B1014" s="277">
        <v>3</v>
      </c>
      <c r="C1014" s="278" t="s">
        <v>621</v>
      </c>
      <c r="D1014" s="263"/>
      <c r="E1014" s="237"/>
      <c r="F1014" s="1"/>
      <c r="AD1014"/>
      <c r="AE1014"/>
      <c r="AF1014">
        <f>IF(C$1010=C1014,B1014,0)</f>
        <v>0</v>
      </c>
      <c r="AG1014"/>
      <c r="AH1014"/>
    </row>
    <row r="1015" spans="1:34" ht="20" hidden="1" customHeight="1" thickTop="1" thickBot="1" x14ac:dyDescent="0.4">
      <c r="A1015" s="237"/>
      <c r="B1015" s="275">
        <v>6</v>
      </c>
      <c r="C1015" s="1063" t="str">
        <f>AD1015</f>
        <v>punished</v>
      </c>
      <c r="D1015" s="1064"/>
      <c r="E1015" s="237"/>
      <c r="F1015" s="1"/>
      <c r="AD1015" s="276" t="s">
        <v>622</v>
      </c>
      <c r="AE1015"/>
      <c r="AF1015"/>
      <c r="AG1015">
        <f>IF(AND(C1015&lt;&gt;"",C1015=AD1015),0,1)</f>
        <v>0</v>
      </c>
      <c r="AH1015"/>
    </row>
    <row r="1016" spans="1:34" ht="12" hidden="1" customHeight="1" thickTop="1" x14ac:dyDescent="0.35">
      <c r="A1016" s="237"/>
      <c r="B1016" s="277">
        <v>0</v>
      </c>
      <c r="C1016" s="278" t="s">
        <v>623</v>
      </c>
      <c r="D1016" s="263"/>
      <c r="E1016" s="237"/>
      <c r="F1016" s="1"/>
      <c r="AD1016"/>
      <c r="AE1016"/>
      <c r="AF1016">
        <f>IF(C$1015=C1016,B1016,0)</f>
        <v>0</v>
      </c>
      <c r="AG1016"/>
      <c r="AH1016"/>
    </row>
    <row r="1017" spans="1:34" ht="12" hidden="1" customHeight="1" x14ac:dyDescent="0.35">
      <c r="A1017" s="237"/>
      <c r="B1017" s="277">
        <v>1</v>
      </c>
      <c r="C1017" s="278" t="s">
        <v>624</v>
      </c>
      <c r="D1017" s="263"/>
      <c r="E1017" s="237"/>
      <c r="F1017" s="1"/>
      <c r="AD1017"/>
      <c r="AE1017"/>
      <c r="AF1017">
        <f>IF(C$1015=C1017,B1017,0)</f>
        <v>0</v>
      </c>
      <c r="AG1017"/>
      <c r="AH1017"/>
    </row>
    <row r="1018" spans="1:34" ht="12" hidden="1" customHeight="1" x14ac:dyDescent="0.35">
      <c r="A1018" s="237"/>
      <c r="B1018" s="277">
        <v>2</v>
      </c>
      <c r="C1018" s="278" t="s">
        <v>625</v>
      </c>
      <c r="D1018" s="263"/>
      <c r="E1018" s="237"/>
      <c r="F1018" s="1"/>
      <c r="AD1018"/>
      <c r="AE1018"/>
      <c r="AF1018">
        <f>IF(C$1015=C1018,B1018,0)</f>
        <v>0</v>
      </c>
      <c r="AG1018"/>
      <c r="AH1018"/>
    </row>
    <row r="1019" spans="1:34" ht="12" hidden="1" customHeight="1" thickBot="1" x14ac:dyDescent="0.4">
      <c r="A1019" s="237"/>
      <c r="B1019" s="277">
        <v>3</v>
      </c>
      <c r="C1019" s="278" t="s">
        <v>626</v>
      </c>
      <c r="D1019" s="263"/>
      <c r="E1019" s="237"/>
      <c r="F1019" s="1"/>
      <c r="AD1019"/>
      <c r="AE1019"/>
      <c r="AF1019">
        <f>IF(C$1015=C1019,B1019,0)</f>
        <v>0</v>
      </c>
      <c r="AG1019"/>
      <c r="AH1019"/>
    </row>
    <row r="1020" spans="1:34" ht="20" hidden="1" customHeight="1" thickTop="1" thickBot="1" x14ac:dyDescent="0.4">
      <c r="A1020" s="237"/>
      <c r="B1020" s="275">
        <v>7</v>
      </c>
      <c r="C1020" s="1063" t="str">
        <f>AD1020</f>
        <v>self-loath</v>
      </c>
      <c r="D1020" s="1064"/>
      <c r="E1020" s="237"/>
      <c r="F1020" s="1"/>
      <c r="AD1020" s="276" t="s">
        <v>627</v>
      </c>
      <c r="AE1020"/>
      <c r="AF1020"/>
      <c r="AG1020">
        <f>IF(AND(C1020&lt;&gt;"",C1020=AD1020),0,1)</f>
        <v>0</v>
      </c>
      <c r="AH1020"/>
    </row>
    <row r="1021" spans="1:34" ht="12" hidden="1" customHeight="1" thickTop="1" x14ac:dyDescent="0.35">
      <c r="A1021" s="237"/>
      <c r="B1021" s="277">
        <v>0</v>
      </c>
      <c r="C1021" s="278" t="s">
        <v>628</v>
      </c>
      <c r="D1021" s="263"/>
      <c r="E1021" s="237"/>
      <c r="F1021" s="1"/>
      <c r="AD1021"/>
      <c r="AE1021"/>
      <c r="AF1021">
        <f>IF(C$1020=C1021,B1021,0)</f>
        <v>0</v>
      </c>
      <c r="AG1021"/>
      <c r="AH1021"/>
    </row>
    <row r="1022" spans="1:34" ht="12" hidden="1" customHeight="1" x14ac:dyDescent="0.35">
      <c r="A1022" s="237"/>
      <c r="B1022" s="277">
        <v>1</v>
      </c>
      <c r="C1022" s="278" t="s">
        <v>629</v>
      </c>
      <c r="D1022" s="263"/>
      <c r="E1022" s="237"/>
      <c r="F1022" s="1"/>
      <c r="AD1022"/>
      <c r="AE1022"/>
      <c r="AF1022">
        <f>IF(C$1020=C1022,B1022,0)</f>
        <v>0</v>
      </c>
      <c r="AG1022"/>
      <c r="AH1022"/>
    </row>
    <row r="1023" spans="1:34" ht="12" hidden="1" customHeight="1" x14ac:dyDescent="0.35">
      <c r="A1023" s="237"/>
      <c r="B1023" s="277">
        <v>2</v>
      </c>
      <c r="C1023" s="278" t="s">
        <v>630</v>
      </c>
      <c r="D1023" s="263"/>
      <c r="E1023" s="237"/>
      <c r="F1023" s="1"/>
      <c r="AD1023"/>
      <c r="AE1023"/>
      <c r="AF1023">
        <f>IF(C$1020=C1023,B1023,0)</f>
        <v>0</v>
      </c>
      <c r="AG1023"/>
      <c r="AH1023"/>
    </row>
    <row r="1024" spans="1:34" ht="12" hidden="1" customHeight="1" thickBot="1" x14ac:dyDescent="0.4">
      <c r="A1024" s="237"/>
      <c r="B1024" s="277">
        <v>3</v>
      </c>
      <c r="C1024" s="278" t="s">
        <v>631</v>
      </c>
      <c r="D1024" s="263"/>
      <c r="E1024" s="237"/>
      <c r="F1024" s="1"/>
      <c r="AD1024"/>
      <c r="AE1024"/>
      <c r="AF1024">
        <f>IF(C$1020=C1024,B1024,0)</f>
        <v>0</v>
      </c>
      <c r="AG1024"/>
      <c r="AH1024"/>
    </row>
    <row r="1025" spans="1:34" ht="20" hidden="1" customHeight="1" thickTop="1" thickBot="1" x14ac:dyDescent="0.4">
      <c r="A1025" s="237"/>
      <c r="B1025" s="275">
        <v>8</v>
      </c>
      <c r="C1025" s="1063" t="str">
        <f>AD1025</f>
        <v>faults</v>
      </c>
      <c r="D1025" s="1064"/>
      <c r="E1025" s="237"/>
      <c r="F1025" s="1"/>
      <c r="AD1025" s="276" t="s">
        <v>632</v>
      </c>
      <c r="AE1025"/>
      <c r="AF1025"/>
      <c r="AG1025">
        <f>IF(AND(C1025&lt;&gt;"",C1025=AD1025),0,1)</f>
        <v>0</v>
      </c>
      <c r="AH1025"/>
    </row>
    <row r="1026" spans="1:34" ht="12" hidden="1" customHeight="1" thickTop="1" x14ac:dyDescent="0.35">
      <c r="A1026" s="237"/>
      <c r="B1026" s="277">
        <v>0</v>
      </c>
      <c r="C1026" s="278" t="s">
        <v>633</v>
      </c>
      <c r="D1026" s="263"/>
      <c r="E1026" s="237"/>
      <c r="F1026" s="1"/>
      <c r="AD1026"/>
      <c r="AE1026"/>
      <c r="AF1026">
        <f>IF(C$1025=C1026,B1026,0)</f>
        <v>0</v>
      </c>
      <c r="AG1026"/>
      <c r="AH1026"/>
    </row>
    <row r="1027" spans="1:34" ht="12" hidden="1" customHeight="1" x14ac:dyDescent="0.35">
      <c r="A1027" s="237"/>
      <c r="B1027" s="277">
        <v>1</v>
      </c>
      <c r="C1027" s="278" t="s">
        <v>634</v>
      </c>
      <c r="D1027" s="263"/>
      <c r="E1027" s="237"/>
      <c r="F1027" s="1"/>
      <c r="AD1027"/>
      <c r="AE1027"/>
      <c r="AF1027">
        <f>IF(C$1025=C1027,B1027,0)</f>
        <v>0</v>
      </c>
      <c r="AG1027"/>
      <c r="AH1027"/>
    </row>
    <row r="1028" spans="1:34" ht="12" hidden="1" customHeight="1" x14ac:dyDescent="0.35">
      <c r="A1028" s="237"/>
      <c r="B1028" s="277">
        <v>2</v>
      </c>
      <c r="C1028" s="278" t="s">
        <v>635</v>
      </c>
      <c r="D1028" s="263"/>
      <c r="E1028" s="237"/>
      <c r="F1028" s="1"/>
      <c r="AD1028"/>
      <c r="AE1028"/>
      <c r="AF1028">
        <f>IF(C$1025=C1028,B1028,0)</f>
        <v>0</v>
      </c>
      <c r="AG1028"/>
      <c r="AH1028"/>
    </row>
    <row r="1029" spans="1:34" ht="12" hidden="1" customHeight="1" thickBot="1" x14ac:dyDescent="0.4">
      <c r="A1029" s="237"/>
      <c r="B1029" s="277">
        <v>3</v>
      </c>
      <c r="C1029" s="278" t="s">
        <v>636</v>
      </c>
      <c r="D1029" s="263"/>
      <c r="E1029" s="237"/>
      <c r="F1029" s="1"/>
      <c r="AD1029"/>
      <c r="AE1029"/>
      <c r="AF1029">
        <f>IF(C$1025=C1029,B1029,0)</f>
        <v>0</v>
      </c>
      <c r="AG1029"/>
      <c r="AH1029"/>
    </row>
    <row r="1030" spans="1:34" ht="20" hidden="1" customHeight="1" thickTop="1" thickBot="1" x14ac:dyDescent="0.4">
      <c r="A1030" s="237"/>
      <c r="B1030" s="275">
        <v>9</v>
      </c>
      <c r="C1030" s="1063" t="str">
        <f>AD1030</f>
        <v>suicidal thoughts</v>
      </c>
      <c r="D1030" s="1064"/>
      <c r="E1030" s="237"/>
      <c r="F1030" s="1"/>
      <c r="AD1030" s="276" t="s">
        <v>637</v>
      </c>
      <c r="AE1030"/>
      <c r="AF1030"/>
      <c r="AG1030">
        <f>IF(AND(C1030&lt;&gt;"",C1030=AD1030),0,1)</f>
        <v>0</v>
      </c>
      <c r="AH1030"/>
    </row>
    <row r="1031" spans="1:34" ht="12" hidden="1" customHeight="1" thickTop="1" x14ac:dyDescent="0.35">
      <c r="A1031" s="237"/>
      <c r="B1031" s="277">
        <v>0</v>
      </c>
      <c r="C1031" s="278" t="s">
        <v>638</v>
      </c>
      <c r="D1031" s="263"/>
      <c r="E1031" s="237"/>
      <c r="F1031" s="1"/>
      <c r="AD1031"/>
      <c r="AE1031"/>
      <c r="AF1031">
        <f>IF(C$1030=C1031,B1031,0)</f>
        <v>0</v>
      </c>
      <c r="AG1031"/>
      <c r="AH1031"/>
    </row>
    <row r="1032" spans="1:34" ht="12" hidden="1" customHeight="1" x14ac:dyDescent="0.35">
      <c r="A1032" s="237"/>
      <c r="B1032" s="277">
        <v>1</v>
      </c>
      <c r="C1032" s="278" t="s">
        <v>639</v>
      </c>
      <c r="D1032" s="263"/>
      <c r="E1032" s="237"/>
      <c r="F1032" s="1"/>
      <c r="AD1032"/>
      <c r="AE1032"/>
      <c r="AF1032">
        <f>IF(C$1030=C1032,B1032,0)</f>
        <v>0</v>
      </c>
      <c r="AG1032"/>
      <c r="AH1032"/>
    </row>
    <row r="1033" spans="1:34" ht="12" hidden="1" customHeight="1" x14ac:dyDescent="0.35">
      <c r="A1033" s="237"/>
      <c r="B1033" s="277">
        <v>2</v>
      </c>
      <c r="C1033" s="278" t="s">
        <v>640</v>
      </c>
      <c r="D1033" s="263"/>
      <c r="E1033" s="237"/>
      <c r="F1033" s="1"/>
      <c r="AD1033"/>
      <c r="AE1033"/>
      <c r="AF1033">
        <f>IF(C$1030=C1033,B1033,0)</f>
        <v>0</v>
      </c>
      <c r="AG1033"/>
      <c r="AH1033"/>
    </row>
    <row r="1034" spans="1:34" ht="12" hidden="1" customHeight="1" thickBot="1" x14ac:dyDescent="0.4">
      <c r="A1034" s="237"/>
      <c r="B1034" s="277">
        <v>3</v>
      </c>
      <c r="C1034" s="278" t="s">
        <v>641</v>
      </c>
      <c r="D1034" s="263"/>
      <c r="E1034" s="237"/>
      <c r="F1034" s="1"/>
      <c r="AD1034"/>
      <c r="AE1034"/>
      <c r="AF1034">
        <f>IF(C$1030=C1034,B1034,0)</f>
        <v>0</v>
      </c>
      <c r="AG1034"/>
      <c r="AH1034"/>
    </row>
    <row r="1035" spans="1:34" ht="20" hidden="1" customHeight="1" thickTop="1" thickBot="1" x14ac:dyDescent="0.4">
      <c r="A1035" s="237"/>
      <c r="B1035" s="275">
        <v>10</v>
      </c>
      <c r="C1035" s="1063" t="str">
        <f>AD1035</f>
        <v>crying</v>
      </c>
      <c r="D1035" s="1064"/>
      <c r="E1035" s="237"/>
      <c r="F1035" s="1"/>
      <c r="AD1035" s="276" t="s">
        <v>642</v>
      </c>
      <c r="AE1035"/>
      <c r="AF1035"/>
      <c r="AG1035">
        <f>IF(AND(C1035&lt;&gt;"",C1035=AD1035),0,1)</f>
        <v>0</v>
      </c>
      <c r="AH1035"/>
    </row>
    <row r="1036" spans="1:34" ht="12" hidden="1" customHeight="1" thickTop="1" x14ac:dyDescent="0.35">
      <c r="A1036" s="237"/>
      <c r="B1036" s="277">
        <v>0</v>
      </c>
      <c r="C1036" s="278" t="s">
        <v>643</v>
      </c>
      <c r="D1036" s="263"/>
      <c r="E1036" s="237"/>
      <c r="F1036" s="1"/>
      <c r="AD1036"/>
      <c r="AE1036"/>
      <c r="AF1036">
        <f>IF(C$1035=C1036,B1036,0)</f>
        <v>0</v>
      </c>
      <c r="AG1036"/>
      <c r="AH1036"/>
    </row>
    <row r="1037" spans="1:34" ht="12" hidden="1" customHeight="1" x14ac:dyDescent="0.35">
      <c r="A1037" s="237"/>
      <c r="B1037" s="277">
        <v>1</v>
      </c>
      <c r="C1037" s="278" t="s">
        <v>644</v>
      </c>
      <c r="D1037" s="263"/>
      <c r="E1037" s="237"/>
      <c r="F1037" s="1"/>
      <c r="AD1037"/>
      <c r="AE1037"/>
      <c r="AF1037">
        <f>IF(C$1035=C1037,B1037,0)</f>
        <v>0</v>
      </c>
      <c r="AG1037"/>
      <c r="AH1037"/>
    </row>
    <row r="1038" spans="1:34" ht="12" hidden="1" customHeight="1" x14ac:dyDescent="0.35">
      <c r="A1038" s="237"/>
      <c r="B1038" s="277">
        <v>2</v>
      </c>
      <c r="C1038" s="278" t="s">
        <v>645</v>
      </c>
      <c r="D1038" s="263"/>
      <c r="E1038" s="237"/>
      <c r="F1038" s="1"/>
      <c r="AD1038"/>
      <c r="AE1038"/>
      <c r="AF1038">
        <f>IF(C$1035=C1038,B1038,0)</f>
        <v>0</v>
      </c>
      <c r="AG1038"/>
      <c r="AH1038"/>
    </row>
    <row r="1039" spans="1:34" ht="12" hidden="1" customHeight="1" thickBot="1" x14ac:dyDescent="0.4">
      <c r="A1039" s="237"/>
      <c r="B1039" s="277">
        <v>3</v>
      </c>
      <c r="C1039" s="278" t="s">
        <v>646</v>
      </c>
      <c r="D1039" s="263"/>
      <c r="E1039" s="237"/>
      <c r="F1039" s="1"/>
      <c r="AD1039"/>
      <c r="AE1039"/>
      <c r="AF1039">
        <f>IF(C$1035=C1039,B1039,0)</f>
        <v>0</v>
      </c>
      <c r="AG1039"/>
      <c r="AH1039"/>
    </row>
    <row r="1040" spans="1:34" ht="20" hidden="1" customHeight="1" thickTop="1" thickBot="1" x14ac:dyDescent="0.4">
      <c r="A1040" s="237"/>
      <c r="B1040" s="275">
        <v>11</v>
      </c>
      <c r="C1040" s="1063" t="str">
        <f>AD1040</f>
        <v>irritability</v>
      </c>
      <c r="D1040" s="1064"/>
      <c r="E1040" s="237"/>
      <c r="F1040" s="1"/>
      <c r="AD1040" s="276" t="s">
        <v>647</v>
      </c>
      <c r="AE1040"/>
      <c r="AF1040"/>
      <c r="AG1040">
        <f>IF(AND(C1040&lt;&gt;"",C1040=AD1040),0,1)</f>
        <v>0</v>
      </c>
      <c r="AH1040"/>
    </row>
    <row r="1041" spans="1:34" ht="12" hidden="1" customHeight="1" thickTop="1" x14ac:dyDescent="0.35">
      <c r="A1041" s="237"/>
      <c r="B1041" s="277">
        <v>0</v>
      </c>
      <c r="C1041" s="278" t="s">
        <v>648</v>
      </c>
      <c r="D1041" s="263"/>
      <c r="E1041" s="237"/>
      <c r="F1041" s="1"/>
      <c r="AD1041"/>
      <c r="AE1041"/>
      <c r="AF1041">
        <f>IF(C$1040=C1041,B1041,0)</f>
        <v>0</v>
      </c>
      <c r="AG1041"/>
      <c r="AH1041"/>
    </row>
    <row r="1042" spans="1:34" ht="12" hidden="1" customHeight="1" x14ac:dyDescent="0.35">
      <c r="A1042" s="237"/>
      <c r="B1042" s="277">
        <v>1</v>
      </c>
      <c r="C1042" s="278" t="s">
        <v>649</v>
      </c>
      <c r="D1042" s="263"/>
      <c r="E1042" s="237"/>
      <c r="F1042" s="1"/>
      <c r="AD1042"/>
      <c r="AE1042"/>
      <c r="AF1042">
        <f>IF(C$1040=C1042,B1042,0)</f>
        <v>0</v>
      </c>
      <c r="AG1042"/>
      <c r="AH1042"/>
    </row>
    <row r="1043" spans="1:34" ht="12" hidden="1" customHeight="1" x14ac:dyDescent="0.35">
      <c r="A1043" s="237"/>
      <c r="B1043" s="277">
        <v>2</v>
      </c>
      <c r="C1043" s="278" t="s">
        <v>650</v>
      </c>
      <c r="D1043" s="263"/>
      <c r="E1043" s="237"/>
      <c r="F1043" s="1"/>
      <c r="AD1043"/>
      <c r="AE1043"/>
      <c r="AF1043">
        <f>IF(C$1040=C1043,B1043,0)</f>
        <v>0</v>
      </c>
      <c r="AG1043"/>
      <c r="AH1043"/>
    </row>
    <row r="1044" spans="1:34" ht="12" hidden="1" customHeight="1" thickBot="1" x14ac:dyDescent="0.4">
      <c r="A1044" s="237"/>
      <c r="B1044" s="277">
        <v>3</v>
      </c>
      <c r="C1044" s="278" t="s">
        <v>651</v>
      </c>
      <c r="D1044" s="263"/>
      <c r="E1044" s="237"/>
      <c r="F1044" s="1"/>
      <c r="AD1044"/>
      <c r="AE1044"/>
      <c r="AF1044">
        <f>IF(C$1040=C1044,B1044,0)</f>
        <v>0</v>
      </c>
      <c r="AG1044"/>
      <c r="AH1044"/>
    </row>
    <row r="1045" spans="1:34" ht="20" hidden="1" customHeight="1" thickTop="1" thickBot="1" x14ac:dyDescent="0.4">
      <c r="A1045" s="237"/>
      <c r="B1045" s="275">
        <v>12</v>
      </c>
      <c r="C1045" s="1063" t="str">
        <f>AD1045</f>
        <v>socializing</v>
      </c>
      <c r="D1045" s="1064"/>
      <c r="E1045" s="237"/>
      <c r="F1045" s="1"/>
      <c r="AD1045" s="276" t="s">
        <v>652</v>
      </c>
      <c r="AE1045"/>
      <c r="AF1045"/>
      <c r="AG1045">
        <f>IF(AND(C1045&lt;&gt;"",C1045=AD1045),0,1)</f>
        <v>0</v>
      </c>
      <c r="AH1045"/>
    </row>
    <row r="1046" spans="1:34" ht="12" hidden="1" customHeight="1" thickTop="1" x14ac:dyDescent="0.35">
      <c r="A1046" s="237"/>
      <c r="B1046" s="277">
        <v>0</v>
      </c>
      <c r="C1046" s="278" t="s">
        <v>653</v>
      </c>
      <c r="D1046" s="263"/>
      <c r="E1046" s="237"/>
      <c r="F1046" s="1"/>
      <c r="AD1046"/>
      <c r="AE1046"/>
      <c r="AF1046">
        <f>IF(C$1045=C1046,B1046,0)</f>
        <v>0</v>
      </c>
      <c r="AG1046"/>
      <c r="AH1046"/>
    </row>
    <row r="1047" spans="1:34" ht="12" hidden="1" customHeight="1" x14ac:dyDescent="0.35">
      <c r="A1047" s="237"/>
      <c r="B1047" s="277">
        <v>1</v>
      </c>
      <c r="C1047" s="278" t="s">
        <v>654</v>
      </c>
      <c r="D1047" s="263"/>
      <c r="E1047" s="237"/>
      <c r="F1047" s="1"/>
      <c r="AD1047"/>
      <c r="AE1047"/>
      <c r="AF1047">
        <f>IF(C$1045=C1047,B1047,0)</f>
        <v>0</v>
      </c>
      <c r="AG1047"/>
      <c r="AH1047"/>
    </row>
    <row r="1048" spans="1:34" ht="12" hidden="1" customHeight="1" x14ac:dyDescent="0.35">
      <c r="A1048" s="237"/>
      <c r="B1048" s="277">
        <v>2</v>
      </c>
      <c r="C1048" s="278" t="s">
        <v>655</v>
      </c>
      <c r="D1048" s="263"/>
      <c r="E1048" s="237"/>
      <c r="F1048" s="1"/>
      <c r="AD1048"/>
      <c r="AE1048"/>
      <c r="AF1048">
        <f>IF(C$1045=C1048,B1048,0)</f>
        <v>0</v>
      </c>
      <c r="AG1048"/>
      <c r="AH1048"/>
    </row>
    <row r="1049" spans="1:34" ht="12" hidden="1" customHeight="1" thickBot="1" x14ac:dyDescent="0.4">
      <c r="A1049" s="237"/>
      <c r="B1049" s="277">
        <v>3</v>
      </c>
      <c r="C1049" s="278" t="s">
        <v>656</v>
      </c>
      <c r="D1049" s="263"/>
      <c r="E1049" s="237"/>
      <c r="F1049" s="1"/>
      <c r="AD1049"/>
      <c r="AE1049"/>
      <c r="AF1049">
        <f>IF(C$1045=C1049,B1049,0)</f>
        <v>0</v>
      </c>
      <c r="AG1049"/>
      <c r="AH1049"/>
    </row>
    <row r="1050" spans="1:34" ht="20" hidden="1" customHeight="1" thickTop="1" thickBot="1" x14ac:dyDescent="0.4">
      <c r="A1050" s="237"/>
      <c r="B1050" s="275">
        <v>13</v>
      </c>
      <c r="C1050" s="1063" t="str">
        <f>AD1050</f>
        <v>decisiveness</v>
      </c>
      <c r="D1050" s="1064"/>
      <c r="E1050" s="237"/>
      <c r="F1050" s="1"/>
      <c r="AD1050" s="276" t="s">
        <v>657</v>
      </c>
      <c r="AE1050"/>
      <c r="AF1050"/>
      <c r="AG1050">
        <f>IF(AND(C1050&lt;&gt;"",C1050=AD1050),0,1)</f>
        <v>0</v>
      </c>
      <c r="AH1050"/>
    </row>
    <row r="1051" spans="1:34" ht="12" hidden="1" customHeight="1" thickTop="1" x14ac:dyDescent="0.35">
      <c r="A1051" s="237"/>
      <c r="B1051" s="277">
        <v>0</v>
      </c>
      <c r="C1051" s="278" t="s">
        <v>658</v>
      </c>
      <c r="D1051" s="263"/>
      <c r="E1051" s="237"/>
      <c r="F1051" s="1"/>
      <c r="AD1051"/>
      <c r="AE1051"/>
      <c r="AF1051">
        <f>IF(C$1050=C1051,B1051,0)</f>
        <v>0</v>
      </c>
      <c r="AG1051"/>
      <c r="AH1051"/>
    </row>
    <row r="1052" spans="1:34" ht="12" hidden="1" customHeight="1" x14ac:dyDescent="0.35">
      <c r="A1052" s="237"/>
      <c r="B1052" s="277">
        <v>1</v>
      </c>
      <c r="C1052" s="278" t="s">
        <v>659</v>
      </c>
      <c r="D1052" s="263"/>
      <c r="E1052" s="237"/>
      <c r="F1052" s="1"/>
      <c r="AD1052"/>
      <c r="AE1052"/>
      <c r="AF1052">
        <f>IF(C$1050=C1052,B1052,0)</f>
        <v>0</v>
      </c>
      <c r="AG1052"/>
      <c r="AH1052"/>
    </row>
    <row r="1053" spans="1:34" ht="12" hidden="1" customHeight="1" x14ac:dyDescent="0.35">
      <c r="A1053" s="237"/>
      <c r="B1053" s="277">
        <v>2</v>
      </c>
      <c r="C1053" s="278" t="s">
        <v>660</v>
      </c>
      <c r="D1053" s="263"/>
      <c r="E1053" s="237"/>
      <c r="F1053" s="1"/>
      <c r="AD1053"/>
      <c r="AE1053"/>
      <c r="AF1053">
        <f>IF(C$1050=C1053,B1053,0)</f>
        <v>0</v>
      </c>
      <c r="AG1053"/>
      <c r="AH1053"/>
    </row>
    <row r="1054" spans="1:34" ht="12" hidden="1" customHeight="1" thickBot="1" x14ac:dyDescent="0.4">
      <c r="A1054" s="237"/>
      <c r="B1054" s="277">
        <v>3</v>
      </c>
      <c r="C1054" s="278" t="s">
        <v>661</v>
      </c>
      <c r="D1054" s="263"/>
      <c r="E1054" s="237"/>
      <c r="F1054" s="1"/>
      <c r="AD1054"/>
      <c r="AE1054"/>
      <c r="AF1054">
        <f>IF(C$1050=C1054,B1054,0)</f>
        <v>0</v>
      </c>
      <c r="AG1054"/>
      <c r="AH1054"/>
    </row>
    <row r="1055" spans="1:34" ht="20" hidden="1" customHeight="1" thickTop="1" thickBot="1" x14ac:dyDescent="0.4">
      <c r="A1055" s="237"/>
      <c r="B1055" s="275">
        <v>14</v>
      </c>
      <c r="C1055" s="1063" t="str">
        <f>AD1055</f>
        <v>self-image</v>
      </c>
      <c r="D1055" s="1064"/>
      <c r="E1055" s="237"/>
      <c r="F1055" s="1"/>
      <c r="AD1055" s="276" t="s">
        <v>662</v>
      </c>
      <c r="AE1055"/>
      <c r="AF1055"/>
      <c r="AG1055">
        <f>IF(AND(C1055&lt;&gt;"",C1055=AD1055),0,1)</f>
        <v>0</v>
      </c>
      <c r="AH1055"/>
    </row>
    <row r="1056" spans="1:34" ht="12" hidden="1" customHeight="1" thickTop="1" x14ac:dyDescent="0.35">
      <c r="A1056" s="237"/>
      <c r="B1056" s="277">
        <v>0</v>
      </c>
      <c r="C1056" s="278" t="s">
        <v>663</v>
      </c>
      <c r="D1056" s="263"/>
      <c r="E1056" s="237"/>
      <c r="F1056" s="1"/>
      <c r="AD1056"/>
      <c r="AE1056"/>
      <c r="AF1056">
        <f>IF(C$1055=C1056,B1056,0)</f>
        <v>0</v>
      </c>
      <c r="AG1056"/>
      <c r="AH1056"/>
    </row>
    <row r="1057" spans="1:34" ht="12" hidden="1" customHeight="1" x14ac:dyDescent="0.35">
      <c r="A1057" s="237"/>
      <c r="B1057" s="277">
        <v>1</v>
      </c>
      <c r="C1057" s="278" t="s">
        <v>664</v>
      </c>
      <c r="D1057" s="263"/>
      <c r="E1057" s="237"/>
      <c r="F1057" s="1"/>
      <c r="AD1057"/>
      <c r="AE1057"/>
      <c r="AF1057">
        <f>IF(C$1055=C1057,B1057,0)</f>
        <v>0</v>
      </c>
      <c r="AG1057"/>
      <c r="AH1057"/>
    </row>
    <row r="1058" spans="1:34" ht="12" hidden="1" customHeight="1" x14ac:dyDescent="0.35">
      <c r="A1058" s="237"/>
      <c r="B1058" s="277">
        <v>2</v>
      </c>
      <c r="C1058" s="278" t="s">
        <v>665</v>
      </c>
      <c r="D1058" s="263"/>
      <c r="E1058" s="237"/>
      <c r="F1058" s="1"/>
      <c r="AD1058"/>
      <c r="AE1058"/>
      <c r="AF1058">
        <f>IF(C$1055=C1058,B1058,0)</f>
        <v>0</v>
      </c>
      <c r="AG1058"/>
      <c r="AH1058"/>
    </row>
    <row r="1059" spans="1:34" ht="12" hidden="1" customHeight="1" thickBot="1" x14ac:dyDescent="0.4">
      <c r="A1059" s="237"/>
      <c r="B1059" s="277">
        <v>3</v>
      </c>
      <c r="C1059" s="278" t="s">
        <v>666</v>
      </c>
      <c r="D1059" s="263"/>
      <c r="E1059" s="237"/>
      <c r="F1059" s="1"/>
      <c r="AD1059"/>
      <c r="AE1059"/>
      <c r="AF1059">
        <f>IF(C$1055=C1059,B1059,0)</f>
        <v>0</v>
      </c>
      <c r="AG1059"/>
      <c r="AH1059"/>
    </row>
    <row r="1060" spans="1:34" ht="20" hidden="1" customHeight="1" thickTop="1" thickBot="1" x14ac:dyDescent="0.4">
      <c r="A1060" s="237"/>
      <c r="B1060" s="275">
        <v>15</v>
      </c>
      <c r="C1060" s="1063" t="str">
        <f>AD1060</f>
        <v>effort</v>
      </c>
      <c r="D1060" s="1064"/>
      <c r="E1060" s="237"/>
      <c r="F1060" s="1"/>
      <c r="AD1060" s="276" t="s">
        <v>667</v>
      </c>
      <c r="AE1060"/>
      <c r="AF1060"/>
      <c r="AG1060">
        <f>IF(AND(C1060&lt;&gt;"",C1060=AD1060),0,1)</f>
        <v>0</v>
      </c>
      <c r="AH1060"/>
    </row>
    <row r="1061" spans="1:34" ht="12" hidden="1" customHeight="1" thickTop="1" x14ac:dyDescent="0.35">
      <c r="A1061" s="237"/>
      <c r="B1061" s="277">
        <v>0</v>
      </c>
      <c r="C1061" s="278" t="s">
        <v>668</v>
      </c>
      <c r="D1061" s="263"/>
      <c r="E1061" s="237"/>
      <c r="F1061" s="1"/>
      <c r="AD1061"/>
      <c r="AE1061"/>
      <c r="AF1061">
        <f>IF(C$1060=C1061,B1061,0)</f>
        <v>0</v>
      </c>
      <c r="AG1061"/>
      <c r="AH1061"/>
    </row>
    <row r="1062" spans="1:34" ht="12" hidden="1" customHeight="1" x14ac:dyDescent="0.35">
      <c r="A1062" s="237"/>
      <c r="B1062" s="277">
        <v>1</v>
      </c>
      <c r="C1062" s="278" t="s">
        <v>669</v>
      </c>
      <c r="D1062" s="263"/>
      <c r="E1062" s="237"/>
      <c r="F1062" s="1"/>
      <c r="AD1062"/>
      <c r="AE1062"/>
      <c r="AF1062">
        <f>IF(C$1060=C1062,B1062,0)</f>
        <v>0</v>
      </c>
      <c r="AG1062"/>
      <c r="AH1062"/>
    </row>
    <row r="1063" spans="1:34" ht="12" hidden="1" customHeight="1" x14ac:dyDescent="0.35">
      <c r="A1063" s="237"/>
      <c r="B1063" s="277">
        <v>2</v>
      </c>
      <c r="C1063" s="278" t="s">
        <v>670</v>
      </c>
      <c r="D1063" s="263"/>
      <c r="E1063" s="237"/>
      <c r="F1063" s="1"/>
      <c r="AD1063"/>
      <c r="AE1063"/>
      <c r="AF1063">
        <f>IF(C$1060=C1063,B1063,0)</f>
        <v>0</v>
      </c>
      <c r="AG1063"/>
      <c r="AH1063"/>
    </row>
    <row r="1064" spans="1:34" ht="12" hidden="1" customHeight="1" thickBot="1" x14ac:dyDescent="0.4">
      <c r="A1064" s="237"/>
      <c r="B1064" s="277">
        <v>3</v>
      </c>
      <c r="C1064" s="278" t="s">
        <v>671</v>
      </c>
      <c r="D1064" s="263"/>
      <c r="E1064" s="237"/>
      <c r="F1064" s="1"/>
      <c r="AD1064"/>
      <c r="AE1064"/>
      <c r="AF1064">
        <f>IF(C$1060=C1064,B1064,0)</f>
        <v>0</v>
      </c>
      <c r="AG1064"/>
      <c r="AH1064"/>
    </row>
    <row r="1065" spans="1:34" ht="20" hidden="1" customHeight="1" thickTop="1" thickBot="1" x14ac:dyDescent="0.4">
      <c r="A1065" s="237"/>
      <c r="B1065" s="275">
        <v>16</v>
      </c>
      <c r="C1065" s="1063" t="str">
        <f>AD1065</f>
        <v>sleep</v>
      </c>
      <c r="D1065" s="1064"/>
      <c r="E1065" s="237"/>
      <c r="F1065" s="1"/>
      <c r="AD1065" s="276" t="s">
        <v>672</v>
      </c>
      <c r="AE1065"/>
      <c r="AF1065"/>
      <c r="AG1065">
        <f>IF(AND(C1065&lt;&gt;"",C1065=AD1065),0,1)</f>
        <v>0</v>
      </c>
      <c r="AH1065"/>
    </row>
    <row r="1066" spans="1:34" ht="12" hidden="1" customHeight="1" thickTop="1" x14ac:dyDescent="0.35">
      <c r="A1066" s="237"/>
      <c r="B1066" s="277">
        <v>0</v>
      </c>
      <c r="C1066" s="278" t="s">
        <v>673</v>
      </c>
      <c r="D1066" s="263"/>
      <c r="E1066" s="237"/>
      <c r="F1066" s="1"/>
      <c r="AD1066"/>
      <c r="AE1066"/>
      <c r="AF1066">
        <f>IF(C$1065=C1066,B1066,0)</f>
        <v>0</v>
      </c>
      <c r="AG1066"/>
      <c r="AH1066"/>
    </row>
    <row r="1067" spans="1:34" ht="12" hidden="1" customHeight="1" x14ac:dyDescent="0.35">
      <c r="A1067" s="237"/>
      <c r="B1067" s="277">
        <v>1</v>
      </c>
      <c r="C1067" s="278" t="s">
        <v>674</v>
      </c>
      <c r="D1067" s="263"/>
      <c r="E1067" s="237"/>
      <c r="F1067" s="1"/>
      <c r="AD1067"/>
      <c r="AE1067"/>
      <c r="AF1067">
        <f>IF(C$1065=C1067,B1067,0)</f>
        <v>0</v>
      </c>
      <c r="AG1067"/>
      <c r="AH1067"/>
    </row>
    <row r="1068" spans="1:34" ht="12" hidden="1" customHeight="1" x14ac:dyDescent="0.35">
      <c r="A1068" s="237"/>
      <c r="B1068" s="277">
        <v>2</v>
      </c>
      <c r="C1068" s="278" t="s">
        <v>675</v>
      </c>
      <c r="D1068" s="263"/>
      <c r="E1068" s="237"/>
      <c r="F1068" s="1"/>
      <c r="AD1068"/>
      <c r="AE1068"/>
      <c r="AF1068">
        <f>IF(C$1065=C1068,B1068,0)</f>
        <v>0</v>
      </c>
      <c r="AG1068"/>
      <c r="AH1068"/>
    </row>
    <row r="1069" spans="1:34" ht="12" hidden="1" customHeight="1" thickBot="1" x14ac:dyDescent="0.4">
      <c r="A1069" s="237"/>
      <c r="B1069" s="277">
        <v>3</v>
      </c>
      <c r="C1069" s="278" t="s">
        <v>676</v>
      </c>
      <c r="D1069" s="263"/>
      <c r="E1069" s="237"/>
      <c r="F1069" s="1"/>
      <c r="AD1069"/>
      <c r="AE1069"/>
      <c r="AF1069">
        <f>IF(C$1065=C1069,B1069,0)</f>
        <v>0</v>
      </c>
      <c r="AG1069"/>
      <c r="AH1069"/>
    </row>
    <row r="1070" spans="1:34" ht="20" hidden="1" customHeight="1" thickTop="1" thickBot="1" x14ac:dyDescent="0.4">
      <c r="A1070" s="237"/>
      <c r="B1070" s="275">
        <v>17</v>
      </c>
      <c r="C1070" s="1063" t="str">
        <f>AD1070</f>
        <v>tiredness</v>
      </c>
      <c r="D1070" s="1064"/>
      <c r="E1070" s="237"/>
      <c r="F1070" s="1"/>
      <c r="AD1070" s="276" t="s">
        <v>677</v>
      </c>
      <c r="AE1070"/>
      <c r="AF1070"/>
      <c r="AG1070">
        <f>IF(AND(C1070&lt;&gt;"",C1070=AD1070),0,1)</f>
        <v>0</v>
      </c>
      <c r="AH1070"/>
    </row>
    <row r="1071" spans="1:34" ht="12" hidden="1" customHeight="1" thickTop="1" x14ac:dyDescent="0.35">
      <c r="A1071" s="237"/>
      <c r="B1071" s="277">
        <v>0</v>
      </c>
      <c r="C1071" s="278" t="s">
        <v>678</v>
      </c>
      <c r="D1071" s="263"/>
      <c r="E1071" s="237"/>
      <c r="F1071" s="1"/>
      <c r="AD1071"/>
      <c r="AE1071"/>
      <c r="AF1071">
        <f>IF(C$1070=C1071,B1071,0)</f>
        <v>0</v>
      </c>
      <c r="AG1071"/>
      <c r="AH1071"/>
    </row>
    <row r="1072" spans="1:34" ht="12" hidden="1" customHeight="1" x14ac:dyDescent="0.35">
      <c r="A1072" s="237"/>
      <c r="B1072" s="277">
        <v>1</v>
      </c>
      <c r="C1072" s="278" t="s">
        <v>679</v>
      </c>
      <c r="D1072" s="263"/>
      <c r="E1072" s="237"/>
      <c r="F1072" s="1"/>
      <c r="AD1072"/>
      <c r="AE1072"/>
      <c r="AF1072">
        <f>IF(C$1070=C1072,B1072,0)</f>
        <v>0</v>
      </c>
      <c r="AG1072"/>
      <c r="AH1072"/>
    </row>
    <row r="1073" spans="1:34" ht="12" hidden="1" customHeight="1" x14ac:dyDescent="0.35">
      <c r="A1073" s="237"/>
      <c r="B1073" s="277">
        <v>2</v>
      </c>
      <c r="C1073" s="278" t="s">
        <v>680</v>
      </c>
      <c r="D1073" s="263"/>
      <c r="E1073" s="237"/>
      <c r="F1073" s="1"/>
      <c r="AD1073"/>
      <c r="AE1073"/>
      <c r="AF1073">
        <f>IF(C$1070=C1073,B1073,0)</f>
        <v>0</v>
      </c>
      <c r="AG1073"/>
      <c r="AH1073"/>
    </row>
    <row r="1074" spans="1:34" ht="12" hidden="1" customHeight="1" thickBot="1" x14ac:dyDescent="0.4">
      <c r="A1074" s="237"/>
      <c r="B1074" s="277">
        <v>3</v>
      </c>
      <c r="C1074" s="278" t="s">
        <v>681</v>
      </c>
      <c r="D1074" s="263"/>
      <c r="E1074" s="237"/>
      <c r="F1074" s="1"/>
      <c r="AD1074"/>
      <c r="AE1074"/>
      <c r="AF1074">
        <f>IF(C$1070=C1074,B1074,0)</f>
        <v>0</v>
      </c>
      <c r="AG1074"/>
      <c r="AH1074"/>
    </row>
    <row r="1075" spans="1:34" ht="20" hidden="1" customHeight="1" thickTop="1" thickBot="1" x14ac:dyDescent="0.4">
      <c r="A1075" s="237"/>
      <c r="B1075" s="275">
        <v>18</v>
      </c>
      <c r="C1075" s="1063" t="str">
        <f>AD1075</f>
        <v>appetite</v>
      </c>
      <c r="D1075" s="1064"/>
      <c r="E1075" s="237"/>
      <c r="F1075" s="1"/>
      <c r="AD1075" s="276" t="s">
        <v>682</v>
      </c>
      <c r="AE1075"/>
      <c r="AF1075"/>
      <c r="AG1075">
        <f>IF(AND(C1075&lt;&gt;"",C1075=AD1075),0,1)</f>
        <v>0</v>
      </c>
      <c r="AH1075"/>
    </row>
    <row r="1076" spans="1:34" ht="12" hidden="1" customHeight="1" thickTop="1" x14ac:dyDescent="0.35">
      <c r="A1076" s="237"/>
      <c r="B1076" s="277">
        <v>0</v>
      </c>
      <c r="C1076" s="278" t="s">
        <v>683</v>
      </c>
      <c r="D1076" s="263"/>
      <c r="E1076" s="237"/>
      <c r="F1076" s="1"/>
      <c r="AD1076"/>
      <c r="AE1076"/>
      <c r="AF1076">
        <f>IF(C$1075=C1076,B1076,0)</f>
        <v>0</v>
      </c>
      <c r="AG1076"/>
      <c r="AH1076"/>
    </row>
    <row r="1077" spans="1:34" ht="12" hidden="1" customHeight="1" x14ac:dyDescent="0.35">
      <c r="A1077" s="237"/>
      <c r="B1077" s="277">
        <v>1</v>
      </c>
      <c r="C1077" s="278" t="s">
        <v>684</v>
      </c>
      <c r="D1077" s="263"/>
      <c r="E1077" s="237"/>
      <c r="F1077" s="1"/>
      <c r="AD1077"/>
      <c r="AE1077"/>
      <c r="AF1077">
        <f>IF(C$1075=C1077,B1077,0)</f>
        <v>0</v>
      </c>
      <c r="AG1077"/>
      <c r="AH1077"/>
    </row>
    <row r="1078" spans="1:34" ht="12" hidden="1" customHeight="1" x14ac:dyDescent="0.35">
      <c r="A1078" s="237"/>
      <c r="B1078" s="277">
        <v>2</v>
      </c>
      <c r="C1078" s="278" t="s">
        <v>685</v>
      </c>
      <c r="D1078" s="263"/>
      <c r="E1078" s="237"/>
      <c r="F1078" s="1"/>
      <c r="AD1078"/>
      <c r="AE1078"/>
      <c r="AF1078">
        <f>IF(C$1075=C1078,B1078,0)</f>
        <v>0</v>
      </c>
      <c r="AG1078"/>
      <c r="AH1078"/>
    </row>
    <row r="1079" spans="1:34" ht="12" hidden="1" customHeight="1" thickBot="1" x14ac:dyDescent="0.4">
      <c r="A1079" s="237"/>
      <c r="B1079" s="277">
        <v>3</v>
      </c>
      <c r="C1079" s="278" t="s">
        <v>686</v>
      </c>
      <c r="D1079" s="263"/>
      <c r="E1079" s="237"/>
      <c r="F1079" s="1"/>
      <c r="AD1079"/>
      <c r="AE1079"/>
      <c r="AF1079">
        <f>IF(C$1075=C1079,B1079,0)</f>
        <v>0</v>
      </c>
      <c r="AG1079"/>
      <c r="AH1079"/>
    </row>
    <row r="1080" spans="1:34" ht="20" hidden="1" customHeight="1" thickTop="1" thickBot="1" x14ac:dyDescent="0.4">
      <c r="A1080" s="237"/>
      <c r="B1080" s="275">
        <v>19</v>
      </c>
      <c r="C1080" s="1063" t="str">
        <f>AD1080</f>
        <v>weight loss</v>
      </c>
      <c r="D1080" s="1064"/>
      <c r="E1080" s="237"/>
      <c r="F1080" s="1"/>
      <c r="AD1080" s="276" t="s">
        <v>687</v>
      </c>
      <c r="AE1080"/>
      <c r="AF1080"/>
      <c r="AG1080">
        <f>IF(AND(C1080&lt;&gt;"",C1080=AD1080),0,1)</f>
        <v>0</v>
      </c>
      <c r="AH1080"/>
    </row>
    <row r="1081" spans="1:34" ht="12" hidden="1" customHeight="1" thickTop="1" x14ac:dyDescent="0.35">
      <c r="A1081" s="237"/>
      <c r="B1081" s="277">
        <v>0</v>
      </c>
      <c r="C1081" s="278" t="s">
        <v>688</v>
      </c>
      <c r="D1081" s="263"/>
      <c r="E1081" s="237"/>
      <c r="F1081" s="1"/>
      <c r="AD1081"/>
      <c r="AE1081"/>
      <c r="AF1081">
        <f>IF(C$1080=C1081,B1081,0)</f>
        <v>0</v>
      </c>
      <c r="AG1081"/>
      <c r="AH1081"/>
    </row>
    <row r="1082" spans="1:34" ht="12" hidden="1" customHeight="1" x14ac:dyDescent="0.35">
      <c r="A1082" s="237"/>
      <c r="B1082" s="277">
        <v>1</v>
      </c>
      <c r="C1082" s="278" t="s">
        <v>689</v>
      </c>
      <c r="D1082" s="263"/>
      <c r="E1082" s="237"/>
      <c r="F1082" s="1"/>
      <c r="AD1082"/>
      <c r="AE1082"/>
      <c r="AF1082">
        <f>IF(C$1080=C1082,B1082,0)</f>
        <v>0</v>
      </c>
      <c r="AG1082"/>
      <c r="AH1082"/>
    </row>
    <row r="1083" spans="1:34" ht="12" hidden="1" customHeight="1" x14ac:dyDescent="0.35">
      <c r="A1083" s="237"/>
      <c r="B1083" s="277">
        <v>2</v>
      </c>
      <c r="C1083" s="278" t="s">
        <v>690</v>
      </c>
      <c r="D1083" s="263"/>
      <c r="E1083" s="237"/>
      <c r="F1083" s="1"/>
      <c r="AD1083"/>
      <c r="AE1083"/>
      <c r="AF1083">
        <f>IF(C$1080=C1083,B1083,0)</f>
        <v>0</v>
      </c>
      <c r="AG1083"/>
      <c r="AH1083"/>
    </row>
    <row r="1084" spans="1:34" ht="12" hidden="1" customHeight="1" thickBot="1" x14ac:dyDescent="0.4">
      <c r="A1084" s="237"/>
      <c r="B1084" s="277">
        <v>3</v>
      </c>
      <c r="C1084" s="278" t="s">
        <v>691</v>
      </c>
      <c r="D1084" s="263"/>
      <c r="E1084" s="237"/>
      <c r="F1084" s="1"/>
      <c r="AD1084"/>
      <c r="AE1084"/>
      <c r="AF1084">
        <f>IF(C$1080=C1084,B1084,0)</f>
        <v>0</v>
      </c>
      <c r="AG1084"/>
      <c r="AH1084"/>
    </row>
    <row r="1085" spans="1:34" ht="20" hidden="1" customHeight="1" thickTop="1" thickBot="1" x14ac:dyDescent="0.4">
      <c r="A1085" s="237"/>
      <c r="B1085" s="275">
        <v>20</v>
      </c>
      <c r="C1085" s="1063" t="str">
        <f>AD1085</f>
        <v>worries</v>
      </c>
      <c r="D1085" s="1064"/>
      <c r="E1085" s="237"/>
      <c r="F1085" s="1"/>
      <c r="AD1085" s="276" t="s">
        <v>692</v>
      </c>
      <c r="AE1085"/>
      <c r="AF1085"/>
      <c r="AG1085">
        <f>IF(AND(C1085&lt;&gt;"",C1085=AD1085),0,1)</f>
        <v>0</v>
      </c>
      <c r="AH1085"/>
    </row>
    <row r="1086" spans="1:34" ht="12" hidden="1" customHeight="1" thickTop="1" x14ac:dyDescent="0.35">
      <c r="A1086" s="237"/>
      <c r="B1086" s="277">
        <v>0</v>
      </c>
      <c r="C1086" s="278" t="s">
        <v>693</v>
      </c>
      <c r="D1086" s="263"/>
      <c r="E1086" s="237"/>
      <c r="F1086" s="1"/>
      <c r="AD1086"/>
      <c r="AE1086"/>
      <c r="AF1086">
        <f>IF(C$1085=C1086,B1086,0)</f>
        <v>0</v>
      </c>
      <c r="AG1086"/>
      <c r="AH1086"/>
    </row>
    <row r="1087" spans="1:34" ht="12" hidden="1" customHeight="1" x14ac:dyDescent="0.35">
      <c r="A1087" s="237"/>
      <c r="B1087" s="277">
        <v>1</v>
      </c>
      <c r="C1087" s="278" t="s">
        <v>694</v>
      </c>
      <c r="D1087" s="263"/>
      <c r="E1087" s="237"/>
      <c r="F1087" s="1"/>
      <c r="AD1087"/>
      <c r="AE1087"/>
      <c r="AF1087">
        <f>IF(C$1085=C1087,B1087,0)</f>
        <v>0</v>
      </c>
      <c r="AG1087"/>
      <c r="AH1087"/>
    </row>
    <row r="1088" spans="1:34" ht="12" hidden="1" customHeight="1" x14ac:dyDescent="0.35">
      <c r="A1088" s="237"/>
      <c r="B1088" s="277">
        <v>2</v>
      </c>
      <c r="C1088" s="278" t="s">
        <v>695</v>
      </c>
      <c r="D1088" s="263"/>
      <c r="E1088" s="237"/>
      <c r="F1088" s="1"/>
      <c r="AD1088"/>
      <c r="AE1088"/>
      <c r="AF1088">
        <f>IF(C$1085=C1088,B1088,0)</f>
        <v>0</v>
      </c>
      <c r="AG1088"/>
      <c r="AH1088"/>
    </row>
    <row r="1089" spans="1:54" ht="12" hidden="1" customHeight="1" thickBot="1" x14ac:dyDescent="0.4">
      <c r="A1089" s="237"/>
      <c r="B1089" s="277">
        <v>3</v>
      </c>
      <c r="C1089" s="278" t="s">
        <v>696</v>
      </c>
      <c r="D1089" s="263"/>
      <c r="E1089" s="237"/>
      <c r="F1089" s="1"/>
      <c r="AD1089"/>
      <c r="AE1089"/>
      <c r="AF1089">
        <f>IF(C$1085=C1089,B1089,0)</f>
        <v>0</v>
      </c>
      <c r="AG1089"/>
      <c r="AH1089"/>
    </row>
    <row r="1090" spans="1:54" ht="20" hidden="1" customHeight="1" thickTop="1" thickBot="1" x14ac:dyDescent="0.4">
      <c r="A1090" s="237"/>
      <c r="B1090" s="275">
        <v>21</v>
      </c>
      <c r="C1090" s="1063" t="str">
        <f>AD1090</f>
        <v>sexual interest</v>
      </c>
      <c r="D1090" s="1064"/>
      <c r="E1090" s="237"/>
      <c r="F1090" s="1"/>
      <c r="AD1090" s="276" t="s">
        <v>697</v>
      </c>
      <c r="AE1090"/>
      <c r="AF1090"/>
      <c r="AG1090">
        <f>IF(AND(C1090&lt;&gt;"",C1090=AD1090),0,1)</f>
        <v>0</v>
      </c>
      <c r="AH1090"/>
      <c r="AK1090" t="s">
        <v>582</v>
      </c>
      <c r="AL1090"/>
      <c r="AM1090" s="48" t="s">
        <v>698</v>
      </c>
      <c r="AY1090" s="48" t="str">
        <f>AT1103</f>
        <v/>
      </c>
      <c r="AZ1090" s="48" t="s">
        <v>699</v>
      </c>
    </row>
    <row r="1091" spans="1:54" ht="14.5" hidden="1" customHeight="1" thickTop="1" x14ac:dyDescent="0.35">
      <c r="A1091" s="237"/>
      <c r="B1091" s="277">
        <v>0</v>
      </c>
      <c r="C1091" s="278" t="s">
        <v>700</v>
      </c>
      <c r="D1091" s="263"/>
      <c r="E1091" s="237"/>
      <c r="F1091" s="1"/>
      <c r="AD1091"/>
      <c r="AE1091"/>
      <c r="AF1091">
        <f>IF(C$1090=C1091,B1091,0)</f>
        <v>0</v>
      </c>
      <c r="AG1091"/>
      <c r="AH1091"/>
    </row>
    <row r="1092" spans="1:54" ht="14.5" hidden="1" customHeight="1" x14ac:dyDescent="0.35">
      <c r="A1092" s="237"/>
      <c r="B1092" s="277">
        <v>1</v>
      </c>
      <c r="C1092" s="278" t="s">
        <v>701</v>
      </c>
      <c r="D1092" s="263"/>
      <c r="E1092" s="237"/>
      <c r="F1092" s="1"/>
      <c r="AD1092"/>
      <c r="AE1092"/>
      <c r="AF1092">
        <f>IF(C$1090=C1092,B1092,0)</f>
        <v>0</v>
      </c>
      <c r="AG1092"/>
      <c r="AH1092"/>
    </row>
    <row r="1093" spans="1:54" ht="14.5" hidden="1" customHeight="1" x14ac:dyDescent="0.35">
      <c r="A1093" s="237"/>
      <c r="B1093" s="277">
        <v>2</v>
      </c>
      <c r="C1093" s="278" t="s">
        <v>702</v>
      </c>
      <c r="D1093" s="263"/>
      <c r="E1093" s="237"/>
      <c r="F1093" s="1"/>
      <c r="AD1093"/>
      <c r="AE1093"/>
      <c r="AF1093">
        <f>IF(C$1090=C1093,B1093,0)</f>
        <v>0</v>
      </c>
      <c r="AG1093"/>
      <c r="AH1093"/>
    </row>
    <row r="1094" spans="1:54" ht="14.5" hidden="1" customHeight="1" x14ac:dyDescent="0.35">
      <c r="A1094" s="237"/>
      <c r="B1094" s="277">
        <v>3</v>
      </c>
      <c r="C1094" s="278" t="s">
        <v>703</v>
      </c>
      <c r="D1094" s="263"/>
      <c r="E1094" s="237"/>
      <c r="F1094" s="1"/>
      <c r="AD1094"/>
      <c r="AE1094"/>
      <c r="AF1094">
        <f>IF(C$1090=C1094,B1094,0)</f>
        <v>0</v>
      </c>
      <c r="AG1094"/>
      <c r="AH1094"/>
    </row>
    <row r="1095" spans="1:54" ht="14.5" hidden="1" customHeight="1" x14ac:dyDescent="0.35">
      <c r="A1095" s="237"/>
      <c r="B1095" s="263"/>
      <c r="C1095" s="263"/>
      <c r="D1095" s="263"/>
      <c r="E1095" s="237"/>
      <c r="F1095" s="1"/>
      <c r="AD1095"/>
      <c r="AE1095"/>
      <c r="AF1095"/>
      <c r="AG1095"/>
      <c r="AH1095"/>
    </row>
    <row r="1096" spans="1:54" ht="14.5" hidden="1" customHeight="1" x14ac:dyDescent="0.35">
      <c r="A1096" s="237"/>
      <c r="B1096" s="263"/>
      <c r="C1096" s="279" t="s">
        <v>704</v>
      </c>
      <c r="D1096" s="263"/>
      <c r="E1096" s="237"/>
      <c r="F1096" s="1"/>
      <c r="AD1096"/>
      <c r="AE1096"/>
      <c r="AF1096" s="52" t="s">
        <v>705</v>
      </c>
      <c r="AG1096"/>
      <c r="AH1096"/>
      <c r="AK1096" s="250">
        <f t="shared" ref="AK1096:AK1102" si="47">AH881</f>
        <v>0</v>
      </c>
      <c r="AL1096" s="250">
        <f t="shared" ref="AL1096:AL1102" si="48">AJ891</f>
        <v>0</v>
      </c>
      <c r="AN1096" s="48" t="str">
        <f>IF(AL1096&gt;=AK1096,B881,B891)</f>
        <v>Rate each item by how much the wrongful conviction appears to impact it in your current life.</v>
      </c>
    </row>
    <row r="1097" spans="1:54" ht="14.5" hidden="1" customHeight="1" x14ac:dyDescent="0.35">
      <c r="A1097" s="237"/>
      <c r="B1097" s="263"/>
      <c r="C1097" s="278" t="s">
        <v>706</v>
      </c>
      <c r="D1097" s="263"/>
      <c r="E1097" s="237"/>
      <c r="F1097" s="1"/>
      <c r="AD1097"/>
      <c r="AE1097"/>
      <c r="AF1097" s="109">
        <v>1</v>
      </c>
      <c r="AG1097" s="109">
        <v>10</v>
      </c>
      <c r="AH1097"/>
      <c r="AK1097" s="280">
        <f t="shared" si="47"/>
        <v>0</v>
      </c>
      <c r="AL1097" s="280">
        <f t="shared" si="48"/>
        <v>0</v>
      </c>
      <c r="AT1097" s="48" t="str">
        <f t="shared" ref="AT1097:AT1102" si="49">IF(AL1097&gt;=AK1097,B882,B892)</f>
        <v>1) economic</v>
      </c>
    </row>
    <row r="1098" spans="1:54" ht="14.5" hidden="1" customHeight="1" x14ac:dyDescent="0.35">
      <c r="A1098" s="237"/>
      <c r="B1098" s="263"/>
      <c r="C1098" s="278" t="s">
        <v>707</v>
      </c>
      <c r="D1098" s="263"/>
      <c r="E1098" s="237"/>
      <c r="F1098" s="1"/>
      <c r="AD1098"/>
      <c r="AE1098"/>
      <c r="AF1098" s="109">
        <v>11</v>
      </c>
      <c r="AG1098" s="109">
        <v>16</v>
      </c>
      <c r="AH1098"/>
      <c r="AK1098" s="280">
        <f t="shared" si="47"/>
        <v>0</v>
      </c>
      <c r="AL1098" s="280">
        <f t="shared" si="48"/>
        <v>0</v>
      </c>
      <c r="AT1098" s="48" t="str">
        <f t="shared" si="49"/>
        <v>2) physical health</v>
      </c>
    </row>
    <row r="1099" spans="1:54" ht="14.5" hidden="1" customHeight="1" x14ac:dyDescent="0.35">
      <c r="A1099" s="237"/>
      <c r="B1099" s="263"/>
      <c r="C1099" s="278" t="s">
        <v>708</v>
      </c>
      <c r="D1099" s="263"/>
      <c r="E1099" s="237"/>
      <c r="F1099" s="1"/>
      <c r="AD1099"/>
      <c r="AE1099"/>
      <c r="AF1099" s="109">
        <v>17</v>
      </c>
      <c r="AG1099" s="109">
        <v>20</v>
      </c>
      <c r="AH1099"/>
      <c r="AK1099" s="280">
        <f t="shared" si="47"/>
        <v>0</v>
      </c>
      <c r="AL1099" s="280">
        <f t="shared" si="48"/>
        <v>0</v>
      </c>
      <c r="AT1099" s="48" t="str">
        <f t="shared" si="49"/>
        <v>3) mental health</v>
      </c>
    </row>
    <row r="1100" spans="1:54" ht="14.5" hidden="1" customHeight="1" x14ac:dyDescent="0.35">
      <c r="A1100" s="237"/>
      <c r="B1100" s="263"/>
      <c r="C1100" s="278" t="s">
        <v>709</v>
      </c>
      <c r="D1100" s="263"/>
      <c r="E1100" s="237"/>
      <c r="F1100" s="1"/>
      <c r="AD1100"/>
      <c r="AE1100"/>
      <c r="AF1100" s="109">
        <v>21</v>
      </c>
      <c r="AG1100" s="109">
        <v>30</v>
      </c>
      <c r="AH1100"/>
      <c r="AK1100" s="280">
        <f t="shared" si="47"/>
        <v>0</v>
      </c>
      <c r="AL1100" s="280">
        <f t="shared" si="48"/>
        <v>0</v>
      </c>
      <c r="AT1100" s="48" t="str">
        <f t="shared" si="49"/>
        <v>4) relationships</v>
      </c>
    </row>
    <row r="1101" spans="1:54" ht="14.5" hidden="1" customHeight="1" x14ac:dyDescent="0.35">
      <c r="A1101" s="237"/>
      <c r="B1101" s="263"/>
      <c r="C1101" s="278" t="s">
        <v>710</v>
      </c>
      <c r="D1101" s="263"/>
      <c r="E1101" s="237"/>
      <c r="F1101" s="1"/>
      <c r="AD1101"/>
      <c r="AE1101"/>
      <c r="AF1101" s="109">
        <v>31</v>
      </c>
      <c r="AG1101" s="109">
        <v>40</v>
      </c>
      <c r="AH1101"/>
      <c r="AK1101" s="280">
        <f t="shared" si="47"/>
        <v>0</v>
      </c>
      <c r="AL1101" s="280">
        <f t="shared" si="48"/>
        <v>0</v>
      </c>
      <c r="AT1101" s="48" t="str">
        <f t="shared" si="49"/>
        <v>5) will-to-live</v>
      </c>
    </row>
    <row r="1102" spans="1:54" ht="14.5" hidden="1" customHeight="1" thickBot="1" x14ac:dyDescent="0.4">
      <c r="A1102" s="237"/>
      <c r="B1102" s="263"/>
      <c r="C1102" s="281" t="s">
        <v>711</v>
      </c>
      <c r="D1102" s="263"/>
      <c r="E1102" s="237"/>
      <c r="F1102" s="1"/>
      <c r="AD1102"/>
      <c r="AE1102"/>
      <c r="AF1102" s="109">
        <v>41</v>
      </c>
      <c r="AG1102" s="109">
        <f>21*3</f>
        <v>63</v>
      </c>
      <c r="AH1102"/>
      <c r="AK1102" s="280">
        <f t="shared" si="47"/>
        <v>0</v>
      </c>
      <c r="AL1102" s="280">
        <f t="shared" si="48"/>
        <v>0</v>
      </c>
      <c r="AT1102" s="48" t="str">
        <f t="shared" si="49"/>
        <v>6) OTHER:</v>
      </c>
    </row>
    <row r="1103" spans="1:54" ht="14.5" hidden="1" customHeight="1" thickTop="1" thickBot="1" x14ac:dyDescent="0.4">
      <c r="A1103" s="237"/>
      <c r="B1103" s="263"/>
      <c r="C1103" s="263"/>
      <c r="D1103" s="263"/>
      <c r="E1103" s="237"/>
      <c r="F1103" s="1"/>
      <c r="AE1103"/>
      <c r="AF1103" s="282">
        <f>SUM(AF990:AF1095)</f>
        <v>0</v>
      </c>
      <c r="AG1103" s="283">
        <f>SUM(AG990:AG1095)</f>
        <v>0</v>
      </c>
      <c r="AH1103">
        <v>21</v>
      </c>
      <c r="AN1103" s="1068" t="str">
        <f>IF(AG1103=AH1103,AT1103,"")</f>
        <v/>
      </c>
      <c r="AO1103" s="1069"/>
      <c r="AT1103" s="1070" t="str">
        <f>IF(AND(AF1103&gt;AF1097,AF1103&lt;AG1097),C1097,IF(AND(AF1103&gt;AF1098,AF1103&lt;AG1098),C1098,IF(AND(AF1103&gt;AF1099,AF1103&lt;AG1099),C1099,IF(AND(AF1103&gt;AF1100,AF1103&lt;AG1100),C1100,IF(AND(AF1103&gt;AF1101,AF1103&lt;AG1101),C1101,IF(AND(AF1103&gt;AF1102,AF1103&lt;AG1102),C1102,""))))))</f>
        <v/>
      </c>
      <c r="AU1103" s="927"/>
      <c r="AV1103" s="927"/>
      <c r="AW1103" s="927"/>
      <c r="AX1103" s="927"/>
      <c r="AY1103" s="927"/>
      <c r="AZ1103" s="927"/>
      <c r="BA1103" s="927"/>
      <c r="BB1103" s="927"/>
    </row>
    <row r="1104" spans="1:54" ht="48" hidden="1" customHeight="1" thickTop="1" x14ac:dyDescent="0.3">
      <c r="A1104" s="237"/>
      <c r="B1104" s="1071" t="str">
        <f>CONCATENATE(AG1104,AN1104,AO1104,AZ1104)</f>
        <v>You understandably experience some depression, considering the many challenges you face from such a conviction. You can rule out a purely biological source for such depression.</v>
      </c>
      <c r="C1104" s="1072"/>
      <c r="D1104" s="1073"/>
      <c r="E1104" s="237"/>
      <c r="F1104" s="1"/>
      <c r="AG1104" s="23" t="s">
        <v>589</v>
      </c>
      <c r="AN1104" s="48" t="str">
        <f>IF(AG1103&lt;AH1103,"some depression",AT1103)</f>
        <v>some depression</v>
      </c>
      <c r="AO1104" s="109" t="s">
        <v>590</v>
      </c>
      <c r="AZ1104" s="48" t="s">
        <v>712</v>
      </c>
    </row>
    <row r="1105" spans="1:58" ht="5" hidden="1" customHeight="1" x14ac:dyDescent="0.3">
      <c r="A1105" s="237"/>
      <c r="B1105" s="237"/>
      <c r="C1105" s="237"/>
      <c r="D1105" s="237"/>
      <c r="E1105" s="237"/>
      <c r="F1105" s="1"/>
    </row>
    <row r="1106" spans="1:58" ht="72" hidden="1" customHeight="1" x14ac:dyDescent="0.3">
      <c r="A1106" s="237"/>
      <c r="B1106" s="1071" t="s">
        <v>713</v>
      </c>
      <c r="C1106" s="1072"/>
      <c r="D1106" s="1073"/>
      <c r="E1106" s="237"/>
      <c r="F1106" s="1"/>
      <c r="AD1106" s="48" t="str">
        <f>IF(D202="","Claimant",AN202)</f>
        <v>Claimant</v>
      </c>
      <c r="AF1106" s="48" t="s">
        <v>593</v>
      </c>
      <c r="AM1106" s="48" t="str">
        <f>AN1104</f>
        <v>some depression</v>
      </c>
      <c r="AQ1106" s="48" t="s">
        <v>594</v>
      </c>
      <c r="AZ1106" s="48" t="str">
        <f>IF(AT1097="","","The wrongful conviction produces plenty of depressing economic conditions. ")</f>
        <v xml:space="preserve">The wrongful conviction produces plenty of depressing economic conditions. </v>
      </c>
      <c r="BB1106" s="48"/>
      <c r="BF1106" s="48" t="s">
        <v>595</v>
      </c>
    </row>
    <row r="1107" spans="1:58" ht="10" hidden="1" customHeight="1" x14ac:dyDescent="0.3">
      <c r="A1107" s="237"/>
      <c r="B1107" s="237"/>
      <c r="C1107" s="237"/>
      <c r="D1107" s="237"/>
      <c r="E1107" s="237"/>
      <c r="F1107" s="1"/>
      <c r="AD1107" s="48" t="str">
        <f>CONCATENATE(AD1106,AF1106,AM1106,AQ1106,AZ1106,BF1106)</f>
        <v>Claimant understandably experiences some depression from the wrongful conviction. The wrongful conviction produces plenty of depressing economic conditions. Once hired, much of that should clear up. If not, Value Relating can help.</v>
      </c>
    </row>
    <row r="1108" spans="1:58" ht="17.5" hidden="1" x14ac:dyDescent="0.3">
      <c r="A1108" s="237"/>
      <c r="B1108" s="248" t="s">
        <v>714</v>
      </c>
      <c r="C1108" s="248"/>
      <c r="D1108" s="248"/>
      <c r="E1108" s="237"/>
      <c r="F1108" s="1"/>
    </row>
    <row r="1109" spans="1:58" ht="30" hidden="1" customHeight="1" x14ac:dyDescent="0.3">
      <c r="A1109" s="237"/>
      <c r="B1109" s="1061"/>
      <c r="C1109" s="1061"/>
      <c r="D1109" s="1061"/>
      <c r="E1109" s="237"/>
      <c r="F1109" s="1"/>
    </row>
    <row r="1110" spans="1:58" ht="15" hidden="1" x14ac:dyDescent="0.3">
      <c r="A1110" s="237"/>
      <c r="B1110" s="284" t="s">
        <v>715</v>
      </c>
      <c r="C1110" s="237"/>
      <c r="D1110" s="284" t="s">
        <v>716</v>
      </c>
      <c r="E1110" s="237"/>
      <c r="F1110" s="1"/>
    </row>
    <row r="1111" spans="1:58" hidden="1" x14ac:dyDescent="0.3">
      <c r="A1111" s="237"/>
      <c r="B1111" s="237"/>
      <c r="C1111" s="281"/>
      <c r="D1111" s="237"/>
      <c r="E1111" s="237"/>
      <c r="F1111" s="1"/>
    </row>
    <row r="1112" spans="1:58" hidden="1" x14ac:dyDescent="0.3">
      <c r="A1112" s="237"/>
      <c r="B1112" s="237"/>
      <c r="C1112" s="237"/>
      <c r="D1112" s="237"/>
      <c r="E1112" s="237"/>
      <c r="F1112" s="1"/>
    </row>
    <row r="1113" spans="1:58" ht="15" hidden="1" x14ac:dyDescent="0.3">
      <c r="A1113" s="237"/>
      <c r="B1113" s="284" t="s">
        <v>717</v>
      </c>
      <c r="C1113" s="237"/>
      <c r="D1113" s="284" t="str">
        <f>D1110</f>
        <v>anticipated results</v>
      </c>
      <c r="E1113" s="237"/>
      <c r="F1113" s="1"/>
    </row>
    <row r="1114" spans="1:58" hidden="1" x14ac:dyDescent="0.3">
      <c r="A1114" s="237"/>
      <c r="B1114" s="237"/>
      <c r="C1114" s="237"/>
      <c r="D1114" s="237"/>
      <c r="E1114" s="237"/>
      <c r="F1114" s="1"/>
    </row>
    <row r="1115" spans="1:58" hidden="1" x14ac:dyDescent="0.3">
      <c r="A1115" s="237"/>
      <c r="B1115" s="237"/>
      <c r="C1115" s="237"/>
      <c r="D1115" s="237"/>
      <c r="E1115" s="237"/>
      <c r="F1115" s="1"/>
    </row>
    <row r="1116" spans="1:58" ht="15" hidden="1" x14ac:dyDescent="0.3">
      <c r="A1116" s="237"/>
      <c r="B1116" s="284" t="s">
        <v>718</v>
      </c>
      <c r="C1116" s="237"/>
      <c r="D1116" s="284" t="str">
        <f>D1113</f>
        <v>anticipated results</v>
      </c>
      <c r="E1116" s="237"/>
      <c r="F1116" s="1"/>
    </row>
    <row r="1117" spans="1:58" hidden="1" x14ac:dyDescent="0.3">
      <c r="A1117" s="237"/>
      <c r="B1117" s="237"/>
      <c r="C1117" s="237"/>
      <c r="D1117" s="237"/>
      <c r="E1117" s="237"/>
      <c r="F1117" s="1"/>
    </row>
    <row r="1118" spans="1:58" hidden="1" x14ac:dyDescent="0.3">
      <c r="A1118" s="237"/>
      <c r="B1118" s="237"/>
      <c r="C1118" s="237"/>
      <c r="D1118" s="237"/>
      <c r="E1118" s="237"/>
      <c r="F1118" s="1"/>
    </row>
    <row r="1119" spans="1:58" hidden="1" x14ac:dyDescent="0.3">
      <c r="A1119" s="237"/>
      <c r="B1119" s="237" t="s">
        <v>719</v>
      </c>
      <c r="C1119" s="237"/>
      <c r="D1119" s="285">
        <f>IF(AD265=0,0,AD265)</f>
        <v>0</v>
      </c>
      <c r="E1119" s="237"/>
      <c r="F1119" s="1"/>
    </row>
    <row r="1120" spans="1:58" hidden="1" x14ac:dyDescent="0.3">
      <c r="A1120" s="237"/>
      <c r="B1120" s="237"/>
      <c r="C1120" s="237"/>
      <c r="D1120" s="285" t="s">
        <v>720</v>
      </c>
      <c r="E1120" s="237"/>
      <c r="F1120" s="1"/>
    </row>
    <row r="1121" spans="1:54" hidden="1" x14ac:dyDescent="0.3">
      <c r="A1121" s="237"/>
      <c r="B1121" s="237"/>
      <c r="C1121" s="285" t="s">
        <v>721</v>
      </c>
      <c r="D1121" s="285">
        <f>D1119-50000</f>
        <v>-50000</v>
      </c>
      <c r="E1121" s="237"/>
      <c r="F1121" s="1"/>
    </row>
    <row r="1122" spans="1:54" hidden="1" x14ac:dyDescent="0.3">
      <c r="A1122" s="237"/>
      <c r="B1122" s="237"/>
      <c r="C1122" s="237"/>
      <c r="D1122" s="285" t="s">
        <v>722</v>
      </c>
      <c r="E1122" s="237"/>
      <c r="F1122" s="1"/>
    </row>
    <row r="1123" spans="1:54" hidden="1" x14ac:dyDescent="0.3">
      <c r="A1123" s="237"/>
      <c r="B1123" s="237"/>
      <c r="C1123" s="237"/>
      <c r="D1123" s="237"/>
      <c r="E1123" s="237"/>
      <c r="F1123" s="1"/>
      <c r="BB1123" s="48"/>
    </row>
    <row r="1124" spans="1:54" hidden="1" x14ac:dyDescent="0.3">
      <c r="A1124" s="82"/>
      <c r="B1124" s="237"/>
      <c r="C1124" s="237"/>
      <c r="D1124" s="237"/>
      <c r="E1124" s="237"/>
      <c r="F1124" s="1"/>
      <c r="BB1124" s="48"/>
    </row>
    <row r="1125" spans="1:54" ht="10" hidden="1" customHeight="1" x14ac:dyDescent="0.3">
      <c r="A1125" s="237"/>
      <c r="B1125" s="237"/>
      <c r="C1125" s="237"/>
      <c r="D1125" s="237"/>
      <c r="E1125" s="237"/>
      <c r="F1125" s="1"/>
      <c r="BB1125" s="48"/>
    </row>
    <row r="1126" spans="1:54" ht="30" customHeight="1" x14ac:dyDescent="0.3">
      <c r="A1126" s="40" t="s">
        <v>88</v>
      </c>
      <c r="B1126" s="1200" t="s">
        <v>723</v>
      </c>
      <c r="C1126" s="1200"/>
      <c r="D1126" s="1200"/>
      <c r="E1126" s="436"/>
      <c r="F1126" s="436" t="s">
        <v>869</v>
      </c>
      <c r="AE1126" s="48" t="str">
        <f>IF(AT1103="","",CONCATENATE(AG1104,AN1104,AO1104,AZ1104,AG1106,AO1106,BF1106))</f>
        <v/>
      </c>
      <c r="BB1126" s="48"/>
    </row>
    <row r="1127" spans="1:54" ht="17.399999999999999" customHeight="1" x14ac:dyDescent="0.3">
      <c r="A1127" s="41"/>
      <c r="B1127" s="1074" t="str">
        <f>CONCATENATE(AI1127,AJ1127)</f>
        <v>Info above, or select a state's compensation statue, along with some challenges to receive such a claim.</v>
      </c>
      <c r="C1127" s="1074"/>
      <c r="D1127" s="1074"/>
      <c r="E1127" s="1074"/>
      <c r="F1127" s="41"/>
      <c r="AC1127" s="52" t="str">
        <f>D1129</f>
        <v>Info above, or select a state</v>
      </c>
      <c r="AF1127" s="48" t="s">
        <v>724</v>
      </c>
      <c r="AI1127" s="48" t="str">
        <f>IF(AC1127=0,AF1127,AC1127)</f>
        <v>Info above, or select a state</v>
      </c>
      <c r="AJ1127" s="48" t="s">
        <v>725</v>
      </c>
      <c r="BB1127" s="48"/>
    </row>
    <row r="1128" spans="1:54" ht="14.5" thickBot="1" x14ac:dyDescent="0.35">
      <c r="A1128" s="286"/>
      <c r="B1128" s="286"/>
      <c r="C1128" s="286"/>
      <c r="D1128" s="286"/>
      <c r="E1128" s="286"/>
      <c r="F1128" s="1"/>
      <c r="BB1128" s="48"/>
    </row>
    <row r="1129" spans="1:54" ht="16" thickBot="1" x14ac:dyDescent="0.35">
      <c r="A1129" s="286"/>
      <c r="B1129" s="287" t="s">
        <v>1407</v>
      </c>
      <c r="C1129" s="453" t="str">
        <f>AF1129</f>
        <v>Enter info above, or select # of years</v>
      </c>
      <c r="D1129" s="454" t="str">
        <f>AJ1129</f>
        <v>Info above, or select a state</v>
      </c>
      <c r="E1129" s="286"/>
      <c r="F1129" s="1"/>
      <c r="AC1129" s="381">
        <f>IF(OR(C307="",D321=""),0,AE321)</f>
        <v>0</v>
      </c>
      <c r="AF1129" s="48" t="str">
        <f>IF(AC1129=0,AG1129,AC1129)</f>
        <v>Enter info above, or select # of years</v>
      </c>
      <c r="AG1129" s="48" t="s">
        <v>3915</v>
      </c>
      <c r="AJ1129" s="48" t="str">
        <f>IF(B265="",AK1129,B265)</f>
        <v>Info above, or select a state</v>
      </c>
      <c r="AK1129" s="48" t="s">
        <v>3916</v>
      </c>
      <c r="BB1129" s="48"/>
    </row>
    <row r="1130" spans="1:54" ht="14.5" thickBot="1" x14ac:dyDescent="0.35">
      <c r="A1130" s="286"/>
      <c r="B1130" s="286"/>
      <c r="C1130" s="286"/>
      <c r="D1130" s="286"/>
      <c r="E1130" s="286"/>
      <c r="F1130" s="1"/>
      <c r="BB1130" s="48"/>
    </row>
    <row r="1131" spans="1:54" ht="26" customHeight="1" thickBot="1" x14ac:dyDescent="0.35">
      <c r="A1131" s="286"/>
      <c r="B1131" s="287" t="s">
        <v>726</v>
      </c>
      <c r="C1131" s="1075" t="str">
        <f>IF($D$1129=AK1129,"",D3197)</f>
        <v/>
      </c>
      <c r="D1131" s="1076"/>
      <c r="E1131" s="286"/>
      <c r="F1131" s="1"/>
      <c r="BB1131" s="48"/>
    </row>
    <row r="1132" spans="1:54" ht="14.5" thickBot="1" x14ac:dyDescent="0.35">
      <c r="A1132" s="286"/>
      <c r="B1132" s="286"/>
      <c r="C1132" s="286"/>
      <c r="D1132" s="286"/>
      <c r="E1132" s="286"/>
      <c r="F1132" s="1"/>
      <c r="BB1132" s="48"/>
    </row>
    <row r="1133" spans="1:54" ht="15" customHeight="1" x14ac:dyDescent="0.35">
      <c r="A1133" s="286"/>
      <c r="B1133" s="288" t="s">
        <v>727</v>
      </c>
      <c r="C1133" s="1077" t="str">
        <f>IF($D$1129=AK1129,"",D3198)</f>
        <v/>
      </c>
      <c r="D1133" s="1078"/>
      <c r="E1133" s="286"/>
      <c r="F1133" s="1"/>
      <c r="BB1133" s="48"/>
    </row>
    <row r="1134" spans="1:54" x14ac:dyDescent="0.3">
      <c r="A1134" s="286"/>
      <c r="B1134" s="286"/>
      <c r="C1134" s="1079"/>
      <c r="D1134" s="1080"/>
      <c r="E1134" s="286"/>
      <c r="F1134" s="1"/>
      <c r="BB1134" s="48"/>
    </row>
    <row r="1135" spans="1:54" x14ac:dyDescent="0.3">
      <c r="A1135" s="286"/>
      <c r="B1135" s="286"/>
      <c r="C1135" s="1079"/>
      <c r="D1135" s="1080"/>
      <c r="E1135" s="286"/>
      <c r="F1135" s="1"/>
      <c r="BB1135" s="48"/>
    </row>
    <row r="1136" spans="1:54" x14ac:dyDescent="0.3">
      <c r="A1136" s="286"/>
      <c r="B1136" s="286"/>
      <c r="C1136" s="1079"/>
      <c r="D1136" s="1080"/>
      <c r="E1136" s="286"/>
      <c r="F1136" s="1"/>
      <c r="BB1136" s="48"/>
    </row>
    <row r="1137" spans="1:54" x14ac:dyDescent="0.3">
      <c r="A1137" s="286"/>
      <c r="B1137" s="286"/>
      <c r="C1137" s="1079"/>
      <c r="D1137" s="1080"/>
      <c r="E1137" s="286"/>
      <c r="F1137" s="1"/>
      <c r="BB1137" s="48"/>
    </row>
    <row r="1138" spans="1:54" x14ac:dyDescent="0.3">
      <c r="A1138" s="286"/>
      <c r="B1138" s="286"/>
      <c r="C1138" s="1079"/>
      <c r="D1138" s="1080"/>
      <c r="E1138" s="286"/>
      <c r="F1138" s="1"/>
      <c r="BB1138" s="48"/>
    </row>
    <row r="1139" spans="1:54" ht="14.5" thickBot="1" x14ac:dyDescent="0.35">
      <c r="A1139" s="286"/>
      <c r="B1139" s="286"/>
      <c r="C1139" s="1081"/>
      <c r="D1139" s="1082"/>
      <c r="E1139" s="286"/>
      <c r="F1139" s="1"/>
      <c r="BB1139" s="48"/>
    </row>
    <row r="1140" spans="1:54" ht="14.5" thickBot="1" x14ac:dyDescent="0.35">
      <c r="A1140" s="286"/>
      <c r="B1140" s="286"/>
      <c r="C1140" s="286"/>
      <c r="D1140" s="286"/>
      <c r="E1140" s="286"/>
      <c r="F1140" s="1"/>
      <c r="BB1140" s="48"/>
    </row>
    <row r="1141" spans="1:54" ht="15.5" x14ac:dyDescent="0.35">
      <c r="A1141" s="286"/>
      <c r="B1141" s="288" t="s">
        <v>728</v>
      </c>
      <c r="C1141" s="1077" t="str">
        <f>IF($D$1129=AK1129,"",D3199)</f>
        <v/>
      </c>
      <c r="D1141" s="1078"/>
      <c r="E1141" s="286"/>
      <c r="F1141" s="1"/>
      <c r="BB1141" s="48"/>
    </row>
    <row r="1142" spans="1:54" ht="15.5" x14ac:dyDescent="0.35">
      <c r="A1142" s="286"/>
      <c r="B1142" s="288" t="s">
        <v>729</v>
      </c>
      <c r="C1142" s="1079"/>
      <c r="D1142" s="1080"/>
      <c r="E1142" s="286"/>
      <c r="F1142" s="1"/>
      <c r="BB1142" s="48"/>
    </row>
    <row r="1143" spans="1:54" ht="14.5" thickBot="1" x14ac:dyDescent="0.35">
      <c r="A1143" s="286"/>
      <c r="B1143" s="286"/>
      <c r="C1143" s="1081"/>
      <c r="D1143" s="1082"/>
      <c r="E1143" s="286"/>
      <c r="F1143" s="1"/>
      <c r="BB1143" s="48"/>
    </row>
    <row r="1144" spans="1:54" ht="16" thickBot="1" x14ac:dyDescent="0.4">
      <c r="A1144" s="286"/>
      <c r="B1144" s="288"/>
      <c r="C1144" s="286"/>
      <c r="D1144" s="286"/>
      <c r="E1144" s="286"/>
      <c r="F1144" s="1"/>
      <c r="BB1144" s="48"/>
    </row>
    <row r="1145" spans="1:54" ht="15.5" x14ac:dyDescent="0.35">
      <c r="A1145" s="286"/>
      <c r="B1145" s="288" t="s">
        <v>730</v>
      </c>
      <c r="C1145" s="1077" t="str">
        <f>IF($D$1129=AK1129,"",D3200)</f>
        <v/>
      </c>
      <c r="D1145" s="1078"/>
      <c r="E1145" s="286"/>
      <c r="F1145" s="1"/>
      <c r="BB1145" s="48"/>
    </row>
    <row r="1146" spans="1:54" ht="16" thickBot="1" x14ac:dyDescent="0.4">
      <c r="A1146" s="286"/>
      <c r="B1146" s="288" t="s">
        <v>731</v>
      </c>
      <c r="C1146" s="1081"/>
      <c r="D1146" s="1082"/>
      <c r="E1146" s="286"/>
      <c r="F1146" s="1"/>
      <c r="BB1146" s="48"/>
    </row>
    <row r="1147" spans="1:54" ht="14.5" thickBot="1" x14ac:dyDescent="0.35">
      <c r="A1147" s="286"/>
      <c r="B1147" s="286"/>
      <c r="C1147" s="286"/>
      <c r="D1147" s="286"/>
      <c r="E1147" s="286"/>
      <c r="F1147" s="1"/>
      <c r="BB1147" s="48"/>
    </row>
    <row r="1148" spans="1:54" ht="16" thickBot="1" x14ac:dyDescent="0.4">
      <c r="A1148" s="286"/>
      <c r="B1148" s="288" t="s">
        <v>732</v>
      </c>
      <c r="C1148" s="289" t="str">
        <f>IF($D$1129=AK1129,"",D3201)</f>
        <v/>
      </c>
      <c r="D1148" s="290"/>
      <c r="E1148" s="286"/>
      <c r="F1148" s="1"/>
      <c r="BB1148" s="48"/>
    </row>
    <row r="1149" spans="1:54" ht="14.5" thickBot="1" x14ac:dyDescent="0.35">
      <c r="A1149" s="286"/>
      <c r="B1149" s="286"/>
      <c r="C1149" s="286"/>
      <c r="D1149" s="286"/>
      <c r="E1149" s="286"/>
      <c r="F1149" s="1"/>
      <c r="BB1149" s="48"/>
    </row>
    <row r="1150" spans="1:54" ht="15.5" x14ac:dyDescent="0.35">
      <c r="A1150" s="286"/>
      <c r="B1150" s="288" t="s">
        <v>733</v>
      </c>
      <c r="C1150" s="294" t="str">
        <f>IF($D$1129=AK1129,"",D3202)</f>
        <v/>
      </c>
      <c r="D1150" s="291"/>
      <c r="E1150" s="286"/>
      <c r="F1150" s="1"/>
      <c r="BB1150" s="48"/>
    </row>
    <row r="1151" spans="1:54" ht="16" thickBot="1" x14ac:dyDescent="0.4">
      <c r="A1151" s="286"/>
      <c r="B1151" s="288" t="s">
        <v>734</v>
      </c>
      <c r="C1151" s="292"/>
      <c r="D1151" s="293"/>
      <c r="E1151" s="286"/>
      <c r="F1151" s="1"/>
      <c r="BB1151" s="48"/>
    </row>
    <row r="1152" spans="1:54" ht="16" thickBot="1" x14ac:dyDescent="0.4">
      <c r="A1152" s="286"/>
      <c r="B1152" s="288"/>
      <c r="C1152" s="286"/>
      <c r="D1152" s="286"/>
      <c r="E1152" s="286"/>
      <c r="F1152" s="1"/>
      <c r="BB1152" s="48"/>
    </row>
    <row r="1153" spans="1:80" ht="15.5" x14ac:dyDescent="0.35">
      <c r="A1153" s="286"/>
      <c r="B1153" s="288" t="s">
        <v>735</v>
      </c>
      <c r="C1153" s="294" t="str">
        <f>IF($D$1129=AK1129,"",D3203)</f>
        <v/>
      </c>
      <c r="D1153" s="291"/>
      <c r="E1153" s="286"/>
      <c r="F1153" s="1"/>
      <c r="BB1153" s="48"/>
    </row>
    <row r="1154" spans="1:80" ht="16" thickBot="1" x14ac:dyDescent="0.4">
      <c r="A1154" s="286"/>
      <c r="B1154" s="288" t="s">
        <v>736</v>
      </c>
      <c r="C1154" s="292"/>
      <c r="D1154" s="293"/>
      <c r="E1154" s="286"/>
      <c r="F1154" s="1"/>
      <c r="AC1154" s="417" t="s">
        <v>1042</v>
      </c>
      <c r="AD1154" s="417" t="s">
        <v>1050</v>
      </c>
      <c r="AE1154" s="417" t="s">
        <v>1052</v>
      </c>
      <c r="AF1154" s="417" t="s">
        <v>1054</v>
      </c>
      <c r="AG1154" s="417" t="s">
        <v>1056</v>
      </c>
      <c r="AH1154" s="417" t="s">
        <v>1061</v>
      </c>
      <c r="AI1154" s="417" t="s">
        <v>1067</v>
      </c>
      <c r="AJ1154" s="417" t="s">
        <v>1074</v>
      </c>
      <c r="AK1154" s="424" t="s">
        <v>1076</v>
      </c>
      <c r="AL1154" s="417" t="s">
        <v>1082</v>
      </c>
      <c r="AM1154" s="417" t="s">
        <v>1090</v>
      </c>
      <c r="AN1154" s="417" t="s">
        <v>1092</v>
      </c>
      <c r="AO1154" s="417" t="s">
        <v>1097</v>
      </c>
      <c r="AP1154" s="417" t="s">
        <v>1099</v>
      </c>
      <c r="AQ1154" s="417" t="s">
        <v>1104</v>
      </c>
      <c r="AR1154" s="417" t="s">
        <v>1108</v>
      </c>
      <c r="AS1154" s="417" t="s">
        <v>1114</v>
      </c>
      <c r="AT1154" s="417" t="s">
        <v>1118</v>
      </c>
      <c r="AU1154" s="417" t="s">
        <v>1120</v>
      </c>
      <c r="AV1154" s="417" t="s">
        <v>1125</v>
      </c>
      <c r="AW1154" s="417" t="s">
        <v>1130</v>
      </c>
      <c r="AX1154" s="417" t="s">
        <v>1135</v>
      </c>
      <c r="AY1154" s="417" t="s">
        <v>1139</v>
      </c>
      <c r="AZ1154" s="417" t="s">
        <v>1143</v>
      </c>
      <c r="BA1154" s="417" t="s">
        <v>1148</v>
      </c>
      <c r="BB1154" s="417" t="s">
        <v>1153</v>
      </c>
      <c r="BC1154" s="417" t="s">
        <v>1159</v>
      </c>
      <c r="BD1154" s="417" t="s">
        <v>1165</v>
      </c>
      <c r="BE1154" s="417" t="s">
        <v>1169</v>
      </c>
      <c r="BF1154" s="417" t="s">
        <v>1171</v>
      </c>
      <c r="BG1154" s="417" t="s">
        <v>1177</v>
      </c>
      <c r="BH1154" s="417" t="s">
        <v>1182</v>
      </c>
      <c r="BI1154" s="417" t="s">
        <v>1184</v>
      </c>
      <c r="BJ1154" s="417" t="s">
        <v>1187</v>
      </c>
      <c r="BK1154" s="417" t="s">
        <v>1192</v>
      </c>
      <c r="BL1154" s="417" t="s">
        <v>1194</v>
      </c>
      <c r="BM1154" s="417" t="s">
        <v>1199</v>
      </c>
      <c r="BN1154" s="417" t="s">
        <v>1204</v>
      </c>
      <c r="BO1154" s="417" t="s">
        <v>1206</v>
      </c>
      <c r="BP1154" s="417" t="s">
        <v>1208</v>
      </c>
      <c r="BQ1154" s="417" t="s">
        <v>1210</v>
      </c>
      <c r="BR1154" s="417" t="s">
        <v>1212</v>
      </c>
      <c r="BS1154" s="417" t="s">
        <v>1214</v>
      </c>
      <c r="BT1154" s="417" t="s">
        <v>1219</v>
      </c>
      <c r="BU1154" s="417" t="s">
        <v>1225</v>
      </c>
      <c r="BV1154" s="417" t="s">
        <v>1230</v>
      </c>
      <c r="BW1154" s="417" t="s">
        <v>1236</v>
      </c>
      <c r="BX1154" s="417" t="s">
        <v>1241</v>
      </c>
      <c r="BY1154" s="417" t="s">
        <v>1245</v>
      </c>
      <c r="BZ1154" s="417" t="s">
        <v>1249</v>
      </c>
      <c r="CA1154" s="417" t="s">
        <v>1254</v>
      </c>
      <c r="CB1154" s="417" t="s">
        <v>1256</v>
      </c>
    </row>
    <row r="1155" spans="1:80" ht="14.5" thickBot="1" x14ac:dyDescent="0.35">
      <c r="A1155" s="286"/>
      <c r="B1155" s="286"/>
      <c r="C1155" s="286"/>
      <c r="D1155" s="286"/>
      <c r="E1155" s="286"/>
      <c r="F1155" s="1"/>
      <c r="AC1155" s="48">
        <v>1</v>
      </c>
      <c r="AD1155" s="48">
        <v>2</v>
      </c>
      <c r="AE1155" s="48">
        <v>3</v>
      </c>
      <c r="AF1155" s="48">
        <v>4</v>
      </c>
      <c r="AG1155" s="48">
        <v>5</v>
      </c>
      <c r="AH1155" s="48">
        <v>6</v>
      </c>
      <c r="AI1155" s="48">
        <v>7</v>
      </c>
      <c r="AJ1155" s="48">
        <v>8</v>
      </c>
      <c r="AK1155" s="48">
        <v>9</v>
      </c>
      <c r="AL1155" s="48">
        <v>10</v>
      </c>
      <c r="AM1155" s="48">
        <v>11</v>
      </c>
      <c r="AN1155" s="48">
        <v>12</v>
      </c>
      <c r="AO1155" s="48">
        <v>13</v>
      </c>
      <c r="AP1155" s="48">
        <v>14</v>
      </c>
      <c r="AQ1155" s="48">
        <v>15</v>
      </c>
      <c r="AR1155" s="48">
        <v>16</v>
      </c>
      <c r="AS1155" s="48">
        <v>17</v>
      </c>
      <c r="AT1155" s="48">
        <v>18</v>
      </c>
      <c r="AU1155" s="48">
        <v>19</v>
      </c>
      <c r="AV1155" s="48">
        <v>20</v>
      </c>
      <c r="AW1155" s="48">
        <v>21</v>
      </c>
      <c r="AX1155" s="48">
        <v>22</v>
      </c>
      <c r="AY1155" s="48">
        <v>23</v>
      </c>
      <c r="AZ1155" s="48">
        <v>24</v>
      </c>
      <c r="BA1155" s="48">
        <v>25</v>
      </c>
      <c r="BB1155" s="48">
        <v>26</v>
      </c>
      <c r="BC1155" s="48">
        <v>27</v>
      </c>
      <c r="BD1155" s="48">
        <v>28</v>
      </c>
      <c r="BE1155" s="48">
        <v>29</v>
      </c>
      <c r="BF1155" s="48">
        <v>30</v>
      </c>
      <c r="BG1155" s="48">
        <v>31</v>
      </c>
      <c r="BH1155" s="48">
        <v>32</v>
      </c>
      <c r="BI1155" s="48">
        <v>33</v>
      </c>
      <c r="BJ1155" s="48">
        <v>34</v>
      </c>
      <c r="BK1155" s="48">
        <v>35</v>
      </c>
      <c r="BL1155" s="48">
        <v>36</v>
      </c>
      <c r="BM1155" s="48">
        <v>37</v>
      </c>
      <c r="BN1155" s="48">
        <v>38</v>
      </c>
      <c r="BO1155" s="48">
        <v>39</v>
      </c>
      <c r="BP1155" s="48">
        <v>40</v>
      </c>
      <c r="BQ1155" s="48">
        <v>41</v>
      </c>
      <c r="BR1155" s="48">
        <v>42</v>
      </c>
      <c r="BS1155" s="48">
        <v>43</v>
      </c>
      <c r="BT1155" s="48">
        <v>44</v>
      </c>
      <c r="BU1155" s="48">
        <v>45</v>
      </c>
      <c r="BV1155" s="48">
        <v>46</v>
      </c>
      <c r="BW1155" s="48">
        <v>47</v>
      </c>
      <c r="BX1155" s="48">
        <v>48</v>
      </c>
      <c r="BY1155" s="48">
        <v>49</v>
      </c>
      <c r="BZ1155" s="48">
        <v>50</v>
      </c>
      <c r="CA1155" s="48">
        <v>51</v>
      </c>
      <c r="CB1155" s="48">
        <v>52</v>
      </c>
    </row>
    <row r="1156" spans="1:80" ht="15.5" x14ac:dyDescent="0.35">
      <c r="A1156" s="286"/>
      <c r="B1156" s="288" t="s">
        <v>737</v>
      </c>
      <c r="C1156" s="294" t="str">
        <f>IF($D$1129=AK1129,"",D3204)</f>
        <v/>
      </c>
      <c r="D1156" s="295"/>
      <c r="E1156" s="286"/>
      <c r="F1156" s="1"/>
      <c r="AC1156" s="452" t="s">
        <v>1405</v>
      </c>
      <c r="AD1156" s="452">
        <f>IF(OR($AC$1127=0,$C$1153=""),0,$C$1153*$C$1129)</f>
        <v>0</v>
      </c>
      <c r="AE1156" s="452">
        <f>IF(OR($AC$1127=0,$C$1153=""),0,$C$1153*$C$1129)</f>
        <v>0</v>
      </c>
      <c r="AF1156" s="452">
        <f>IF(OR($AC$1127=0,$C$1153=""),0,$C$1153*$C$1129)</f>
        <v>0</v>
      </c>
      <c r="AG1156" s="452">
        <f>IF(OR($AC$1127=0,$C$1153=""),0,$C$1153*$C$1129)</f>
        <v>0</v>
      </c>
      <c r="AP1156" s="452" t="s">
        <v>1404</v>
      </c>
      <c r="BB1156" s="48"/>
    </row>
    <row r="1157" spans="1:80" ht="16" thickBot="1" x14ac:dyDescent="0.4">
      <c r="A1157" s="286"/>
      <c r="B1157" s="288" t="s">
        <v>738</v>
      </c>
      <c r="C1157" s="296"/>
      <c r="D1157" s="297"/>
      <c r="E1157" s="286"/>
      <c r="F1157" s="1"/>
    </row>
    <row r="1158" spans="1:80" ht="14.5" thickBot="1" x14ac:dyDescent="0.35">
      <c r="A1158" s="286"/>
      <c r="B1158" s="286"/>
      <c r="C1158" s="300"/>
      <c r="D1158" s="300"/>
      <c r="E1158" s="286"/>
      <c r="F1158" s="1"/>
    </row>
    <row r="1159" spans="1:80" ht="15.5" x14ac:dyDescent="0.35">
      <c r="A1159" s="286"/>
      <c r="B1159" s="288" t="s">
        <v>739</v>
      </c>
      <c r="C1159" s="451">
        <f>D3205</f>
        <v>0</v>
      </c>
      <c r="D1159" s="295"/>
      <c r="E1159" s="286"/>
      <c r="F1159" s="1"/>
      <c r="AC1159" s="446" t="s">
        <v>1403</v>
      </c>
    </row>
    <row r="1160" spans="1:80" ht="16" thickBot="1" x14ac:dyDescent="0.4">
      <c r="A1160" s="286"/>
      <c r="B1160" s="288" t="s">
        <v>740</v>
      </c>
      <c r="C1160" s="296"/>
      <c r="D1160" s="297"/>
      <c r="E1160" s="286"/>
      <c r="F1160" s="1"/>
    </row>
    <row r="1161" spans="1:80" x14ac:dyDescent="0.3">
      <c r="A1161" s="286"/>
      <c r="B1161" s="286"/>
      <c r="C1161" s="286"/>
      <c r="D1161" s="286"/>
      <c r="E1161" s="286"/>
      <c r="F1161" s="1"/>
    </row>
    <row r="1162" spans="1:80" ht="3" customHeight="1" x14ac:dyDescent="0.3">
      <c r="A1162" s="286"/>
      <c r="B1162" s="286"/>
      <c r="C1162" s="286"/>
      <c r="D1162" s="286"/>
      <c r="E1162" s="286"/>
      <c r="F1162" s="1"/>
    </row>
    <row r="1163" spans="1:80" ht="5" customHeight="1" x14ac:dyDescent="0.3">
      <c r="A1163" s="286"/>
      <c r="B1163" s="286"/>
      <c r="C1163" s="286"/>
      <c r="D1163" s="286"/>
      <c r="E1163" s="286"/>
      <c r="F1163" s="1"/>
    </row>
    <row r="1164" spans="1:80" ht="5" customHeight="1" x14ac:dyDescent="0.3">
      <c r="A1164" s="286"/>
      <c r="B1164" s="286"/>
      <c r="C1164" s="286"/>
      <c r="D1164" s="286"/>
      <c r="E1164" s="286"/>
      <c r="F1164" s="1"/>
    </row>
    <row r="1165" spans="1:80" ht="20.5" x14ac:dyDescent="0.45">
      <c r="A1165" s="286"/>
      <c r="B1165" s="298"/>
      <c r="C1165" s="299" t="s">
        <v>741</v>
      </c>
      <c r="D1165" s="286"/>
      <c r="E1165" s="286"/>
      <c r="F1165" s="1"/>
    </row>
    <row r="1166" spans="1:80" ht="60" customHeight="1" x14ac:dyDescent="0.3">
      <c r="A1166" s="286"/>
      <c r="B1166" s="1083" t="str">
        <f>CONCATENATE(AC1166,AJ1166,AK1166,AS1166,BI1166,AC1167,AJ1167,AK1167,AO1167,BD1167)</f>
        <v>you can potentially earn around 100% more than your current income. By removing employment discrimination from this wrongful conviction, you could earn up to $2407 more per month. That's about $556 more per week. Hidden costs of anxiety and depression could also drop significantly. Share that with your supporters!</v>
      </c>
      <c r="C1166" s="1083"/>
      <c r="D1166" s="1083"/>
      <c r="E1166" s="286"/>
      <c r="F1166" s="1"/>
      <c r="AC1166" s="48" t="s">
        <v>742</v>
      </c>
      <c r="AJ1166" s="142">
        <f>ROUND((BJ1167*100),0)</f>
        <v>100</v>
      </c>
      <c r="AK1166" s="48" t="s">
        <v>743</v>
      </c>
      <c r="AS1166" s="48" t="s">
        <v>744</v>
      </c>
      <c r="BI1166" s="301">
        <f>ROUND(BH1167,0)</f>
        <v>2407</v>
      </c>
      <c r="BL1166" s="928">
        <f>BG1167</f>
        <v>28889</v>
      </c>
      <c r="BM1166" s="928"/>
      <c r="BN1166" s="928"/>
      <c r="BO1166" s="706">
        <f ca="1">AE321</f>
        <v>125</v>
      </c>
      <c r="BP1166" s="475"/>
      <c r="BQ1166" s="929">
        <f>IF(B1165="",0,B1165)</f>
        <v>0</v>
      </c>
      <c r="BR1166" s="929"/>
      <c r="BS1166" s="930">
        <f ca="1">(BL1166*BO1166)</f>
        <v>3611125</v>
      </c>
      <c r="BT1166" s="930"/>
      <c r="BU1166" s="930"/>
    </row>
    <row r="1167" spans="1:80" ht="14.4" customHeight="1" x14ac:dyDescent="0.3">
      <c r="A1167" s="286"/>
      <c r="B1167" s="286"/>
      <c r="C1167" s="286"/>
      <c r="D1167" s="286"/>
      <c r="E1167" s="286"/>
      <c r="F1167" s="1"/>
      <c r="AC1167" s="48" t="s">
        <v>745</v>
      </c>
      <c r="AF1167" s="302"/>
      <c r="AJ1167" s="302" t="str">
        <f>FIXED(BI1167,0,0)</f>
        <v>556</v>
      </c>
      <c r="AK1167" s="48" t="s">
        <v>746</v>
      </c>
      <c r="AO1167" s="48" t="s">
        <v>747</v>
      </c>
      <c r="BD1167" s="48" t="s">
        <v>748</v>
      </c>
      <c r="BG1167" s="302">
        <f>IF(BH3277=0,BH3329,BH3277)</f>
        <v>28889</v>
      </c>
      <c r="BH1167" s="302">
        <f>IF(BI3277=0,BI3329,BI3277)</f>
        <v>2407.4166666666665</v>
      </c>
      <c r="BI1167" s="302">
        <f>IF(BJ3277=0,BJ3329,BJ3277)</f>
        <v>555.55769230769226</v>
      </c>
      <c r="BJ1167" s="102">
        <f>IF(BK3277=0,BK3329,BK3277)</f>
        <v>1</v>
      </c>
      <c r="BL1167" s="911">
        <f ca="1">TODAY()</f>
        <v>45774</v>
      </c>
      <c r="BM1167" s="910"/>
      <c r="BN1167" s="909">
        <f ca="1">YEAR(BL1167)</f>
        <v>2025</v>
      </c>
      <c r="BO1167" s="909"/>
      <c r="BP1167" s="910">
        <f>C307</f>
        <v>0</v>
      </c>
      <c r="BQ1167" s="910"/>
      <c r="BR1167" s="909">
        <f>YEAR(BP1167)</f>
        <v>1900</v>
      </c>
      <c r="BS1167" s="909"/>
      <c r="BT1167" s="693"/>
      <c r="BU1167" s="705">
        <f ca="1">BN1167-BR1167</f>
        <v>125</v>
      </c>
    </row>
    <row r="1168" spans="1:80" ht="30" customHeight="1" x14ac:dyDescent="0.3">
      <c r="A1168" s="40" t="s">
        <v>89</v>
      </c>
      <c r="B1168" s="1200" t="s">
        <v>876</v>
      </c>
      <c r="C1168" s="1200"/>
      <c r="D1168" s="1200"/>
      <c r="E1168" s="436"/>
      <c r="F1168" s="436" t="s">
        <v>869</v>
      </c>
      <c r="BB1168" s="48"/>
    </row>
    <row r="1169" spans="1:84" ht="17.399999999999999" customHeight="1" x14ac:dyDescent="0.3">
      <c r="A1169" s="41"/>
      <c r="B1169" s="1016" t="s">
        <v>877</v>
      </c>
      <c r="C1169" s="1016"/>
      <c r="D1169" s="1016"/>
      <c r="E1169" s="1016"/>
      <c r="F1169" s="97"/>
      <c r="BB1169" s="48"/>
    </row>
    <row r="1170" spans="1:84" ht="6" customHeight="1" x14ac:dyDescent="0.3">
      <c r="A1170" s="49"/>
      <c r="B1170" s="49"/>
      <c r="C1170" s="49"/>
      <c r="D1170" s="49"/>
      <c r="E1170" s="49"/>
      <c r="F1170" s="1"/>
    </row>
    <row r="1171" spans="1:84" ht="6" customHeight="1" x14ac:dyDescent="0.3">
      <c r="A1171" s="49"/>
      <c r="B1171" s="49"/>
      <c r="C1171" s="49"/>
      <c r="D1171" s="49"/>
      <c r="E1171" s="49"/>
      <c r="F1171" s="1"/>
      <c r="AC1171" s="366" t="str">
        <f>IF(B1174=AF1172,AR1172,IF(B1174=AF1173,AR1173,IF(B1174=AF1174,AR1174,IF(B1174=AF1175,AR1175,IF(B1174=AF1176,AR1176,"")))))</f>
        <v/>
      </c>
      <c r="AD1171" s="366"/>
      <c r="AE1171" s="366"/>
      <c r="AF1171" s="366"/>
      <c r="AG1171" s="366"/>
      <c r="AH1171" s="367"/>
      <c r="AI1171" s="367"/>
      <c r="AJ1171" s="367"/>
      <c r="AK1171" s="367"/>
      <c r="AL1171" s="366"/>
      <c r="AM1171" s="366"/>
      <c r="AN1171" s="366"/>
      <c r="AO1171" s="366"/>
      <c r="AP1171" s="366"/>
      <c r="AQ1171" s="366"/>
      <c r="AR1171" s="366"/>
      <c r="AU1171" s="48" t="s">
        <v>878</v>
      </c>
      <c r="AX1171" s="368" t="str">
        <f>IF(B1174=AF1172,AI1172,IF(B1174=AF1173,AI1173,IF(B1174=AF1174,AI1174,IF(B1174=AF1175,AI1175,IF(B1174=AF1176,AI1176,"")))))</f>
        <v/>
      </c>
      <c r="BD1171" s="48" t="s">
        <v>879</v>
      </c>
    </row>
    <row r="1172" spans="1:84" ht="14.5" x14ac:dyDescent="0.35">
      <c r="A1172" s="49"/>
      <c r="B1172" s="369">
        <v>4000</v>
      </c>
      <c r="C1172" s="500" t="str">
        <f>IF(B1172="","click for the current exoneration total:","latest total exonerated according to the")</f>
        <v>latest total exonerated according to the</v>
      </c>
      <c r="D1172" s="501" t="s">
        <v>3516</v>
      </c>
      <c r="E1172" s="49"/>
      <c r="F1172" s="1"/>
      <c r="AC1172" s="1067">
        <v>20000000</v>
      </c>
      <c r="AD1172" s="968"/>
      <c r="AE1172" s="968"/>
      <c r="AF1172" s="48" t="s">
        <v>880</v>
      </c>
      <c r="AI1172" s="48" t="s">
        <v>881</v>
      </c>
      <c r="AK1172" s="370" t="s">
        <v>882</v>
      </c>
      <c r="AL1172" s="371">
        <f>AC1172/1000000</f>
        <v>20</v>
      </c>
      <c r="AM1172" s="48" t="s">
        <v>883</v>
      </c>
      <c r="AO1172" s="372" t="s">
        <v>884</v>
      </c>
      <c r="AQ1172" s="245" t="s">
        <v>885</v>
      </c>
      <c r="AR1172" s="48" t="str">
        <f>CONCATENATE(AK1172,AL1172,AM1172,AO1172)</f>
        <v>of 20 million applied to various estimated rates of wrongful conviction</v>
      </c>
      <c r="BB1172" s="48"/>
    </row>
    <row r="1173" spans="1:84" ht="14.5" x14ac:dyDescent="0.35">
      <c r="A1173" s="49"/>
      <c r="B1173" s="49"/>
      <c r="C1173" s="49"/>
      <c r="D1173" s="49"/>
      <c r="E1173" s="49"/>
      <c r="F1173" s="1"/>
      <c r="AC1173" s="1067">
        <v>9700000</v>
      </c>
      <c r="AD1173" s="968"/>
      <c r="AE1173" s="968"/>
      <c r="AF1173" s="48" t="s">
        <v>886</v>
      </c>
      <c r="AI1173" s="48" t="s">
        <v>887</v>
      </c>
      <c r="AK1173" s="370" t="s">
        <v>882</v>
      </c>
      <c r="AL1173" s="373">
        <f>AC1173/1000000</f>
        <v>9.6999999999999993</v>
      </c>
      <c r="AM1173" s="48" t="s">
        <v>883</v>
      </c>
      <c r="AO1173" s="372" t="s">
        <v>884</v>
      </c>
      <c r="AQ1173" s="245" t="s">
        <v>885</v>
      </c>
      <c r="AR1173" s="48" t="str">
        <f>CONCATENATE(AK1173,AL1173,AM1173,AO1173)</f>
        <v>of 9.7 million applied to various estimated rates of wrongful conviction</v>
      </c>
      <c r="BB1173" s="48"/>
    </row>
    <row r="1174" spans="1:84" ht="14.5" x14ac:dyDescent="0.35">
      <c r="A1174" s="49"/>
      <c r="B1174" s="374"/>
      <c r="C1174" s="502" t="str">
        <f>IF(B1174="","select an adjudicated population from the dropdown list at left",AC1171)</f>
        <v>select an adjudicated population from the dropdown list at left</v>
      </c>
      <c r="D1174" s="49"/>
      <c r="E1174" s="49"/>
      <c r="F1174" s="1"/>
      <c r="AC1174" s="1067">
        <v>6900000</v>
      </c>
      <c r="AD1174" s="968"/>
      <c r="AE1174" s="968"/>
      <c r="AF1174" s="48" t="s">
        <v>889</v>
      </c>
      <c r="AI1174" s="48" t="s">
        <v>890</v>
      </c>
      <c r="AK1174" s="370" t="s">
        <v>882</v>
      </c>
      <c r="AL1174" s="373">
        <f>AC1174/1000000</f>
        <v>6.9</v>
      </c>
      <c r="AM1174" s="48" t="s">
        <v>883</v>
      </c>
      <c r="AO1174" s="372" t="s">
        <v>884</v>
      </c>
      <c r="AQ1174" s="245" t="s">
        <v>885</v>
      </c>
      <c r="AR1174" s="48" t="str">
        <f>CONCATENATE(AK1174,AL1174,AM1174,AO1174)</f>
        <v>of 6.9 million applied to various estimated rates of wrongful conviction</v>
      </c>
      <c r="BB1174" s="48"/>
    </row>
    <row r="1175" spans="1:84" ht="14.5" x14ac:dyDescent="0.35">
      <c r="A1175" s="49"/>
      <c r="B1175" s="49"/>
      <c r="C1175" s="49"/>
      <c r="D1175" s="49"/>
      <c r="E1175" s="49"/>
      <c r="F1175" s="1"/>
      <c r="AC1175" s="1067">
        <v>2200000</v>
      </c>
      <c r="AD1175" s="968"/>
      <c r="AE1175" s="968"/>
      <c r="AF1175" s="48" t="s">
        <v>891</v>
      </c>
      <c r="AI1175" s="48" t="s">
        <v>892</v>
      </c>
      <c r="AK1175" s="370" t="s">
        <v>882</v>
      </c>
      <c r="AL1175" s="373">
        <f>AC1175/1000000</f>
        <v>2.2000000000000002</v>
      </c>
      <c r="AM1175" s="48" t="s">
        <v>883</v>
      </c>
      <c r="AO1175" s="372" t="s">
        <v>884</v>
      </c>
      <c r="AQ1175" s="245" t="s">
        <v>885</v>
      </c>
      <c r="AR1175" s="48" t="str">
        <f>CONCATENATE(AK1175,AL1175,AM1175,AO1175)</f>
        <v>of 2.2 million applied to various estimated rates of wrongful conviction</v>
      </c>
      <c r="BB1175" s="48"/>
    </row>
    <row r="1176" spans="1:84" ht="14.5" x14ac:dyDescent="0.35">
      <c r="A1176" s="49"/>
      <c r="B1176" s="49" t="s">
        <v>893</v>
      </c>
      <c r="C1176" s="49"/>
      <c r="D1176" s="49"/>
      <c r="E1176" s="49"/>
      <c r="F1176" s="1"/>
      <c r="AC1176" s="919">
        <v>917771</v>
      </c>
      <c r="AD1176" s="920"/>
      <c r="AE1176" s="920"/>
      <c r="AF1176" s="48" t="s">
        <v>888</v>
      </c>
      <c r="AI1176" s="48" t="s">
        <v>894</v>
      </c>
      <c r="AK1176" s="370" t="s">
        <v>882</v>
      </c>
      <c r="AL1176" s="373">
        <f>AC1176/1000000</f>
        <v>0.917771</v>
      </c>
      <c r="AM1176" s="48" t="s">
        <v>883</v>
      </c>
      <c r="AO1176" s="372" t="s">
        <v>884</v>
      </c>
      <c r="AQ1176" s="245">
        <v>0.9</v>
      </c>
      <c r="AR1176" s="48" t="str">
        <f>CONCATENATE(AK1176,AQ1176,AM1176,AO1176)</f>
        <v>of 0.9 million applied to various estimated rates of wrongful conviction</v>
      </c>
      <c r="BB1176" s="48"/>
    </row>
    <row r="1177" spans="1:84" x14ac:dyDescent="0.3">
      <c r="A1177" s="49"/>
      <c r="B1177" s="49"/>
      <c r="C1177" s="49"/>
      <c r="D1177" s="49"/>
      <c r="E1177" s="49"/>
      <c r="F1177" s="1"/>
    </row>
    <row r="1178" spans="1:84" ht="14.5" x14ac:dyDescent="0.35">
      <c r="A1178" s="375">
        <v>1</v>
      </c>
      <c r="B1178" s="376" t="str">
        <f>AM1178</f>
        <v>0.0016% to 1.95%</v>
      </c>
      <c r="C1178" s="921" t="str">
        <f>IF(OR($B$1172="",$B$1174=""),"",BO1178)</f>
        <v/>
      </c>
      <c r="D1178" s="921"/>
      <c r="E1178" s="49"/>
      <c r="F1178" s="1"/>
      <c r="AC1178" s="922">
        <v>1.5999999999999999E-5</v>
      </c>
      <c r="AD1178" s="923"/>
      <c r="AE1178" s="924">
        <v>1.95E-2</v>
      </c>
      <c r="AF1178" s="925"/>
      <c r="AH1178" s="926" t="str">
        <f>TEXT(AC1178,"0.0000%")</f>
        <v>0.0016%</v>
      </c>
      <c r="AI1178" s="927"/>
      <c r="AJ1178" s="926" t="str">
        <f>TEXT(AE1178,"0.00%")</f>
        <v>1.95%</v>
      </c>
      <c r="AK1178" s="927"/>
      <c r="AM1178" s="48" t="str">
        <f>CONCATENATE(AH1178," to ",AJ1178)</f>
        <v>0.0016% to 1.95%</v>
      </c>
      <c r="AR1178" s="48" t="str">
        <f>CONCATENATE($AU$1171,$AX$1171,$BD$1171,$BF$1171)</f>
        <v xml:space="preserve">applied to  totals </v>
      </c>
      <c r="BB1178" s="386" t="e">
        <f>ROUND(BB1179,0)</f>
        <v>#VALUE!</v>
      </c>
      <c r="BC1178" s="48" t="s">
        <v>895</v>
      </c>
      <c r="BD1178" s="1067" t="e">
        <f>TEXT(ROUND(BD1179,0),"00,000")</f>
        <v>#VALUE!</v>
      </c>
      <c r="BE1178" s="1086"/>
      <c r="BF1178" s="1086"/>
      <c r="BG1178" s="48" t="s">
        <v>896</v>
      </c>
      <c r="BH1178" s="378" t="e">
        <f>IF($B$1172&gt;BB1178,"over 100%",TEXT($B$1172/BB1178,"00.00%"))</f>
        <v>#VALUE!</v>
      </c>
      <c r="BI1178" s="48" t="s">
        <v>895</v>
      </c>
      <c r="BJ1178" s="378" t="e">
        <f>IF(B1174=AF1176,TEXT(($B$1172*0.47)/BD1178,"0.00%"),TEXT($B$1172/BD1178,"0.00%"))</f>
        <v>#VALUE!</v>
      </c>
      <c r="BK1178" s="48" t="s">
        <v>897</v>
      </c>
      <c r="BO1178" s="366" t="e">
        <f>CONCATENATE(AR1178,BB1178,BC1178,BD1178,BG1178,BH1178,BI1178,BJ1178,BK1178)</f>
        <v>#VALUE!</v>
      </c>
      <c r="BP1178" s="366"/>
      <c r="BQ1178" s="366"/>
      <c r="BR1178" s="366"/>
      <c r="BS1178" s="366"/>
      <c r="BT1178" s="366"/>
      <c r="BU1178" s="366"/>
      <c r="BV1178" s="366"/>
      <c r="BW1178" s="366"/>
      <c r="BX1178" s="366"/>
      <c r="BY1178" s="366"/>
      <c r="BZ1178" s="366"/>
      <c r="CA1178" s="366"/>
      <c r="CB1178" s="366"/>
      <c r="CC1178" s="366"/>
      <c r="CD1178" s="366"/>
      <c r="CE1178" s="366"/>
      <c r="CF1178" s="366"/>
    </row>
    <row r="1179" spans="1:84" ht="14.5" x14ac:dyDescent="0.35">
      <c r="A1179" s="375"/>
      <c r="B1179" s="379" t="s">
        <v>898</v>
      </c>
      <c r="C1179" s="921"/>
      <c r="D1179" s="921"/>
      <c r="E1179" s="49"/>
      <c r="F1179" s="1"/>
      <c r="BB1179" s="14" t="str">
        <f>IF($B$1174=$AF$1172,AC$1172*AC1178,IF($B$1174=$AF$1173,AC1178*AC$1173,IF($B$1174=$AF$1174,AC1178*AC$1174,IF($B$1174=$AF$1175,AC1178*AC$1175,IF($B$1174=$AF$1176,AC1178*AC$1176,"")))))</f>
        <v/>
      </c>
      <c r="BD1179" s="1087" t="str">
        <f>IF($B$1174=$AF$1172,AC$1172*AE1178,IF($B$1174=$AF$1173,AE1178*AC$1173,IF($B$1174=$AF$1174,AE1178*AC$1174,IF($B$1174=$AF$1175,AE1178*AC$1175,IF($B$1174=$AF$1176,AE1178*AC$1176,"")))))</f>
        <v/>
      </c>
      <c r="BE1179" s="1088"/>
      <c r="BF1179" s="1088"/>
    </row>
    <row r="1180" spans="1:84" ht="9" customHeight="1" x14ac:dyDescent="0.35">
      <c r="A1180" s="375"/>
      <c r="B1180" s="380"/>
      <c r="C1180" s="380"/>
      <c r="D1180" s="380"/>
      <c r="E1180" s="49"/>
      <c r="F1180" s="1"/>
      <c r="BD1180" s="14"/>
      <c r="BE1180"/>
      <c r="BF1180"/>
    </row>
    <row r="1181" spans="1:84" ht="14.4" customHeight="1" x14ac:dyDescent="0.35">
      <c r="A1181" s="375">
        <v>2</v>
      </c>
      <c r="B1181" s="376" t="str">
        <f>AM1181</f>
        <v>0.016% to 0.062%</v>
      </c>
      <c r="C1181" s="921" t="str">
        <f>IF(OR($B$1172="",$B$1174=""),"",BO1181)</f>
        <v/>
      </c>
      <c r="D1181" s="921"/>
      <c r="E1181" s="49"/>
      <c r="F1181" s="1"/>
      <c r="AC1181" s="1089">
        <v>1.6000000000000001E-4</v>
      </c>
      <c r="AD1181" s="1090"/>
      <c r="AE1181" s="924">
        <v>6.2E-4</v>
      </c>
      <c r="AF1181" s="925"/>
      <c r="AH1181" s="926" t="str">
        <f>TEXT(AC1181,"0.000%")</f>
        <v>0.016%</v>
      </c>
      <c r="AI1181" s="927"/>
      <c r="AJ1181" s="926" t="str">
        <f>TEXT(AE1181,"0.000%")</f>
        <v>0.062%</v>
      </c>
      <c r="AK1181" s="927"/>
      <c r="AM1181" s="48" t="str">
        <f>CONCATENATE(AH1181," to ",AJ1181)</f>
        <v>0.016% to 0.062%</v>
      </c>
      <c r="AR1181" s="48" t="str">
        <f>CONCATENATE($AU$1171,$AX$1171,$BD$1171,$BF$1171)</f>
        <v xml:space="preserve">applied to  totals </v>
      </c>
      <c r="BB1181" s="386" t="e">
        <f>ROUND(BB1182,0)</f>
        <v>#VALUE!</v>
      </c>
      <c r="BC1181" s="48" t="s">
        <v>895</v>
      </c>
      <c r="BD1181" s="1091" t="e">
        <f>IF(BD1182&lt;1000,TEXT(BD1182,"000"),TEXT(ROUND(BD1182,0),"0,000"))</f>
        <v>#VALUE!</v>
      </c>
      <c r="BE1181" s="1092"/>
      <c r="BF1181" s="1092"/>
      <c r="BG1181" s="48" t="s">
        <v>896</v>
      </c>
      <c r="BH1181" s="378" t="e">
        <f>IF($B$1172&gt;BB1181,"over 100%",TEXT($B$1172/BB1181,"00.00%"))</f>
        <v>#VALUE!</v>
      </c>
      <c r="BI1181" s="48" t="s">
        <v>895</v>
      </c>
      <c r="BJ1181" s="378" t="e">
        <f>IF(B1172&gt;BD1182,"over 100%",TEXT($B$1172/BD1181,"0.00%"))</f>
        <v>#VALUE!</v>
      </c>
      <c r="BK1181" s="48" t="s">
        <v>897</v>
      </c>
      <c r="BO1181" s="366" t="e">
        <f>CONCATENATE(AR1181,BB1181,BC1181,BD1181,BG1181,BH1181,BI1181,BJ1181,BK1181)</f>
        <v>#VALUE!</v>
      </c>
      <c r="BP1181" s="366"/>
      <c r="BQ1181" s="366"/>
      <c r="BR1181" s="366"/>
      <c r="BS1181" s="366"/>
      <c r="BT1181" s="366"/>
      <c r="BU1181" s="366"/>
      <c r="BV1181" s="366"/>
      <c r="BW1181" s="366"/>
      <c r="BX1181" s="366"/>
      <c r="BY1181" s="366"/>
      <c r="BZ1181" s="366"/>
      <c r="CA1181" s="366"/>
      <c r="CB1181" s="366"/>
      <c r="CC1181" s="366"/>
      <c r="CD1181" s="366"/>
      <c r="CE1181" s="366"/>
      <c r="CF1181" s="366"/>
    </row>
    <row r="1182" spans="1:84" ht="14.5" x14ac:dyDescent="0.35">
      <c r="A1182" s="379"/>
      <c r="B1182" s="379" t="s">
        <v>899</v>
      </c>
      <c r="C1182" s="921"/>
      <c r="D1182" s="921"/>
      <c r="E1182" s="379"/>
      <c r="F1182" s="1"/>
      <c r="BB1182" s="381" t="str">
        <f>IF($B$1174=$AF$1172,AC$1172*AC1181,IF($B$1174=$AF$1173,AC1181*AC$1173,IF($B$1174=$AF$1174,AC1181*AC$1174,IF($B$1174=$AF$1175,AC1181*AC$1175,IF($B$1174=$AF$1176,AC1181*AC$1176,"")))))</f>
        <v/>
      </c>
      <c r="BD1182" s="1087" t="str">
        <f>IF($B$1174=$AF$1172,AC$1172*AE1181,IF($B$1174=$AF$1173,AE1181*AC$1173,IF($B$1174=$AF$1174,AE1181*AC$1174,IF($B$1174=$AF$1175,AE1181*AC$1175,IF($B$1174=$AF$1176,AE1181*AC$1176,"")))))</f>
        <v/>
      </c>
      <c r="BE1182" s="1088"/>
      <c r="BF1182" s="1088"/>
    </row>
    <row r="1183" spans="1:84" ht="9" customHeight="1" x14ac:dyDescent="0.35">
      <c r="A1183" s="375"/>
      <c r="B1183" s="49"/>
      <c r="C1183" s="49"/>
      <c r="D1183" s="49"/>
      <c r="E1183" s="49"/>
      <c r="F1183" s="1"/>
      <c r="BD1183" s="14"/>
      <c r="BE1183"/>
      <c r="BF1183"/>
    </row>
    <row r="1184" spans="1:84" ht="14.4" customHeight="1" x14ac:dyDescent="0.35">
      <c r="A1184" s="375">
        <v>3</v>
      </c>
      <c r="B1184" s="376" t="str">
        <f>AM1184</f>
        <v>0.027%</v>
      </c>
      <c r="C1184" s="921" t="str">
        <f>IF(OR($B$1172="",$B$1174=""),"",BO1184)</f>
        <v/>
      </c>
      <c r="D1184" s="921"/>
      <c r="E1184" s="49"/>
      <c r="F1184" s="1"/>
      <c r="AC1184" s="1089">
        <v>2.7E-4</v>
      </c>
      <c r="AD1184" s="1090"/>
      <c r="AH1184" s="926" t="str">
        <f>TEXT(AC1184,"0.000%")</f>
        <v>0.027%</v>
      </c>
      <c r="AI1184" s="927"/>
      <c r="AM1184" s="48" t="str">
        <f>CONCATENATE(AH1184,AJ1184)</f>
        <v>0.027%</v>
      </c>
      <c r="AR1184" s="48" t="str">
        <f>CONCATENATE($AU$1171,$AX$1171,$BD$1171,$BF$1171)</f>
        <v xml:space="preserve">applied to  totals </v>
      </c>
      <c r="BB1184" s="386" t="e">
        <f>ROUND(BB1185,0)</f>
        <v>#VALUE!</v>
      </c>
      <c r="BD1184" s="1067"/>
      <c r="BE1184" s="1086"/>
      <c r="BF1184" s="1086"/>
      <c r="BG1184" s="48" t="s">
        <v>896</v>
      </c>
      <c r="BH1184" s="378" t="e">
        <f>IF($B$1172&gt;BB1184,"over 100%",TEXT($B$1172/BB1184,"00.00%"))</f>
        <v>#VALUE!</v>
      </c>
      <c r="BJ1184" s="378"/>
      <c r="BK1184" s="48" t="s">
        <v>897</v>
      </c>
      <c r="BO1184" s="366" t="e">
        <f>CONCATENATE(AR1184,BB1184,BC1184,BD1184,BG1184,BH1184,BI1184,BJ1184,BK1184)</f>
        <v>#VALUE!</v>
      </c>
      <c r="BP1184" s="366"/>
      <c r="BQ1184" s="366"/>
      <c r="BR1184" s="366"/>
      <c r="BS1184" s="366"/>
      <c r="BT1184" s="366"/>
      <c r="BU1184" s="366"/>
      <c r="BV1184" s="366"/>
      <c r="BW1184" s="366"/>
      <c r="BX1184" s="366"/>
      <c r="BY1184" s="366"/>
      <c r="BZ1184" s="366"/>
      <c r="CA1184" s="366"/>
      <c r="CB1184" s="366"/>
      <c r="CC1184" s="366"/>
      <c r="CD1184" s="366"/>
      <c r="CE1184" s="366"/>
      <c r="CF1184" s="366"/>
    </row>
    <row r="1185" spans="1:84" ht="14.5" x14ac:dyDescent="0.35">
      <c r="A1185" s="379"/>
      <c r="B1185" s="379" t="s">
        <v>900</v>
      </c>
      <c r="C1185" s="921"/>
      <c r="D1185" s="921"/>
      <c r="E1185" s="49"/>
      <c r="F1185" s="1"/>
      <c r="AC1185" s="382"/>
      <c r="AD1185" s="383"/>
      <c r="AH1185" s="384"/>
      <c r="AI1185" s="385"/>
      <c r="BB1185" s="381" t="str">
        <f>IF($B$1174=$AF$1172,AC$1172*AC1184,IF($B$1174=$AF$1173,AC1184*AC$1173,IF($B$1174=$AF$1174,AC1184*AC$1174,IF($B$1174=$AF$1175,AC1184*AC$1175,IF($B$1174=$AF$1176,AC1184*AC$1176,"")))))</f>
        <v/>
      </c>
      <c r="BD1185" s="1093"/>
      <c r="BE1185" s="1094"/>
      <c r="BF1185" s="1094"/>
    </row>
    <row r="1186" spans="1:84" ht="9" customHeight="1" x14ac:dyDescent="0.3">
      <c r="A1186" s="375"/>
      <c r="B1186" s="49"/>
      <c r="C1186" s="49"/>
      <c r="D1186" s="49"/>
      <c r="E1186" s="49"/>
      <c r="F1186" s="1"/>
    </row>
    <row r="1187" spans="1:84" ht="14.4" customHeight="1" x14ac:dyDescent="0.35">
      <c r="A1187" s="375">
        <v>4</v>
      </c>
      <c r="B1187" s="376" t="str">
        <f>AM1187</f>
        <v>0.5% to 1%</v>
      </c>
      <c r="C1187" s="921" t="str">
        <f>IF(OR($B$1172="",$B$1174=""),"",BO1187)</f>
        <v/>
      </c>
      <c r="D1187" s="921"/>
      <c r="E1187" s="49"/>
      <c r="F1187" s="1"/>
      <c r="AC1187" s="387">
        <v>5.0000000000000001E-3</v>
      </c>
      <c r="AD1187" s="142"/>
      <c r="AE1187" s="387">
        <v>0.01</v>
      </c>
      <c r="AH1187" s="926" t="str">
        <f>TEXT(AC1187,"0.0%")</f>
        <v>0.5%</v>
      </c>
      <c r="AI1187" s="927"/>
      <c r="AJ1187" s="926" t="str">
        <f>TEXT(AE1187,"0%")</f>
        <v>1%</v>
      </c>
      <c r="AK1187" s="927"/>
      <c r="AM1187" s="48" t="str">
        <f>CONCATENATE(AH1187," to ",AJ1187)</f>
        <v>0.5% to 1%</v>
      </c>
      <c r="AR1187" s="48" t="str">
        <f>CONCATENATE($AU$1171,$AX$1171,$BD$1171,$BF$1171)</f>
        <v xml:space="preserve">applied to  totals </v>
      </c>
      <c r="BB1187" s="386" t="str">
        <f>TEXT(BB1188,"00,000")</f>
        <v/>
      </c>
      <c r="BC1187" s="48" t="s">
        <v>895</v>
      </c>
      <c r="BD1187" s="1067" t="e">
        <f>TEXT(ROUND(BD1188,0),"00,000")</f>
        <v>#VALUE!</v>
      </c>
      <c r="BE1187" s="1086"/>
      <c r="BF1187" s="1086"/>
      <c r="BG1187" s="48" t="s">
        <v>896</v>
      </c>
      <c r="BH1187" s="378" t="e">
        <f>IF($B$1172&gt;BB1187,"over 100%",TEXT($B$1172/BB1187,"00.00%"))</f>
        <v>#VALUE!</v>
      </c>
      <c r="BI1187" s="48" t="s">
        <v>895</v>
      </c>
      <c r="BJ1187" s="790" t="e">
        <f>IF(AE1187&gt;BD1188,"over 100%",TEXT($B$1172/BD1187,"0.00%"))</f>
        <v>#VALUE!</v>
      </c>
      <c r="BK1187" s="48" t="s">
        <v>897</v>
      </c>
      <c r="BO1187" s="366" t="e">
        <f>CONCATENATE(AR1187,BB1187,BC1187,BD1187,BG1187,BH1187,BI1187,BJ1187,BK1187)</f>
        <v>#VALUE!</v>
      </c>
      <c r="BP1187" s="366"/>
      <c r="BQ1187" s="366"/>
      <c r="BR1187" s="366"/>
      <c r="BS1187" s="366"/>
      <c r="BT1187" s="366"/>
      <c r="BU1187" s="366"/>
      <c r="BV1187" s="366"/>
      <c r="BW1187" s="366"/>
      <c r="BX1187" s="366"/>
      <c r="BY1187" s="366"/>
      <c r="BZ1187" s="366"/>
      <c r="CA1187" s="366"/>
      <c r="CB1187" s="366"/>
      <c r="CC1187" s="366"/>
      <c r="CD1187" s="366"/>
      <c r="CE1187" s="366"/>
      <c r="CF1187" s="366"/>
    </row>
    <row r="1188" spans="1:84" ht="14.5" x14ac:dyDescent="0.35">
      <c r="A1188" s="379"/>
      <c r="B1188" s="379" t="s">
        <v>901</v>
      </c>
      <c r="C1188" s="921"/>
      <c r="D1188" s="921"/>
      <c r="E1188" s="49"/>
      <c r="F1188" s="1"/>
      <c r="AE1188" s="387"/>
      <c r="AH1188" s="384"/>
      <c r="AI1188" s="385"/>
      <c r="BB1188" s="381" t="str">
        <f>IF($B$1174=$AF$1172,AC$1172*AC1187,IF($B$1174=$AF$1173,AC1187*AC$1173,IF($B$1174=$AF$1174,AC1187*AC$1174,IF($B$1174=$AF$1175,AC1187*AC$1175,IF($B$1174=$AF$1176,AC1187*AC$1176,"")))))</f>
        <v/>
      </c>
      <c r="BD1188" s="1087" t="str">
        <f>IF($B$1174=$AF$1172,AC$1172*AE1187,IF($B$1174=$AF$1173,AE1187*AC$1173,IF($B$1174=$AF$1174,AE1187*AC$1174,IF($B$1174=$AF$1175,AE1187*AC$1175,IF($B$1174=$AF$1176,AE1187*AC$1176,"")))))</f>
        <v/>
      </c>
      <c r="BE1188" s="1088"/>
      <c r="BF1188" s="1088"/>
    </row>
    <row r="1189" spans="1:84" ht="9" customHeight="1" x14ac:dyDescent="0.3">
      <c r="A1189" s="375"/>
      <c r="B1189" s="49"/>
      <c r="C1189" s="49"/>
      <c r="D1189" s="49"/>
      <c r="E1189" s="49"/>
      <c r="F1189" s="1"/>
      <c r="AE1189" s="387"/>
    </row>
    <row r="1190" spans="1:84" ht="14.4" customHeight="1" x14ac:dyDescent="0.35">
      <c r="A1190" s="375">
        <v>5</v>
      </c>
      <c r="B1190" s="376" t="str">
        <f>AM1190</f>
        <v>0.5% to 3%</v>
      </c>
      <c r="C1190" s="921" t="str">
        <f>IF(OR($B$1172="",$B$1174=""),"",BO1190)</f>
        <v/>
      </c>
      <c r="D1190" s="921"/>
      <c r="E1190" s="49"/>
      <c r="F1190" s="1"/>
      <c r="AC1190" s="387">
        <v>5.0000000000000001E-3</v>
      </c>
      <c r="AE1190" s="387">
        <v>0.03</v>
      </c>
      <c r="AH1190" s="926" t="str">
        <f>TEXT(AC1190,"0.0%")</f>
        <v>0.5%</v>
      </c>
      <c r="AI1190" s="927"/>
      <c r="AJ1190" s="926" t="str">
        <f>TEXT(AE1190,"0%")</f>
        <v>3%</v>
      </c>
      <c r="AK1190" s="927"/>
      <c r="AM1190" s="48" t="str">
        <f>CONCATENATE(AH1190," to ",AJ1190)</f>
        <v>0.5% to 3%</v>
      </c>
      <c r="AR1190" s="48" t="str">
        <f>CONCATENATE($AU$1171,$AX$1171,$BD$1171,$BF$1171)</f>
        <v xml:space="preserve">applied to  totals </v>
      </c>
      <c r="BB1190" s="386" t="str">
        <f>TEXT(BB1191,"00,000")</f>
        <v/>
      </c>
      <c r="BC1190" s="48" t="s">
        <v>895</v>
      </c>
      <c r="BD1190" s="1067" t="e">
        <f>TEXT(ROUND(BD1191,0),"00,000")</f>
        <v>#VALUE!</v>
      </c>
      <c r="BE1190" s="1086"/>
      <c r="BF1190" s="1086"/>
      <c r="BG1190" s="48" t="s">
        <v>896</v>
      </c>
      <c r="BH1190" s="378" t="e">
        <f>IF($B$1172&gt;BB1190,"over 100%",TEXT($B$1172/BB1190,"00.00%"))</f>
        <v>#VALUE!</v>
      </c>
      <c r="BI1190" s="48" t="s">
        <v>895</v>
      </c>
      <c r="BJ1190" s="790" t="e">
        <f>IF(AE1190&gt;BD1191,"over 100%",TEXT($B$1172/BD1190,"0.00%"))</f>
        <v>#VALUE!</v>
      </c>
      <c r="BK1190" s="48" t="s">
        <v>897</v>
      </c>
      <c r="BO1190" s="366" t="e">
        <f>CONCATENATE(AR1190,BB1190,BC1190,BD1190,BG1190,BH1190,BI1190,BJ1190,BK1190)</f>
        <v>#VALUE!</v>
      </c>
      <c r="BP1190" s="366"/>
      <c r="BQ1190" s="366"/>
      <c r="BR1190" s="366"/>
      <c r="BS1190" s="366"/>
      <c r="BT1190" s="366"/>
      <c r="BU1190" s="366"/>
      <c r="BV1190" s="366"/>
      <c r="BW1190" s="366"/>
      <c r="BX1190" s="366"/>
      <c r="BY1190" s="366"/>
      <c r="BZ1190" s="366"/>
      <c r="CA1190" s="366"/>
      <c r="CB1190" s="366"/>
      <c r="CC1190" s="366"/>
      <c r="CD1190" s="366"/>
      <c r="CE1190" s="366"/>
      <c r="CF1190" s="366"/>
    </row>
    <row r="1191" spans="1:84" ht="14.5" x14ac:dyDescent="0.35">
      <c r="A1191" s="379"/>
      <c r="B1191" s="379" t="s">
        <v>902</v>
      </c>
      <c r="C1191" s="921"/>
      <c r="D1191" s="921"/>
      <c r="E1191" s="49"/>
      <c r="F1191" s="1"/>
      <c r="AC1191" s="387"/>
      <c r="AE1191" s="387"/>
      <c r="AH1191" s="384"/>
      <c r="AI1191" s="385"/>
      <c r="BB1191" s="381" t="str">
        <f>IF($B$1174=$AF$1172,AC$1172*AC1190,IF($B$1174=$AF$1173,AC1190*AC$1173,IF($B$1174=$AF$1174,AC1190*AC$1174,IF($B$1174=$AF$1175,AC1190*AC$1175,IF($B$1174=$AF$1176,AC1190*AC$1176,"")))))</f>
        <v/>
      </c>
      <c r="BD1191" s="1087" t="str">
        <f>IF($B$1174=$AF$1172,AC$1172*AE1190,IF($B$1174=$AF$1173,AE1190*AC$1173,IF($B$1174=$AF$1174,AE1190*AC$1174,IF($B$1174=$AF$1175,AE1190*AC$1175,IF($B$1174=$AF$1176,AE1190*AC$1176,"")))))</f>
        <v/>
      </c>
      <c r="BE1191" s="1088"/>
      <c r="BF1191" s="1088"/>
    </row>
    <row r="1192" spans="1:84" ht="9" customHeight="1" x14ac:dyDescent="0.3">
      <c r="A1192" s="375"/>
      <c r="B1192" s="49"/>
      <c r="C1192" s="49"/>
      <c r="D1192" s="49"/>
      <c r="E1192" s="49"/>
      <c r="F1192" s="1"/>
      <c r="AC1192" s="387"/>
      <c r="AE1192" s="387"/>
    </row>
    <row r="1193" spans="1:84" ht="14.4" customHeight="1" x14ac:dyDescent="0.35">
      <c r="A1193" s="375">
        <v>6</v>
      </c>
      <c r="B1193" s="376" t="str">
        <f>AM1193</f>
        <v>2.3%</v>
      </c>
      <c r="C1193" s="921" t="str">
        <f>IF(OR($B$1172="",$B$1174=""),"",BO1193)</f>
        <v/>
      </c>
      <c r="D1193" s="921"/>
      <c r="E1193" s="49"/>
      <c r="F1193" s="1"/>
      <c r="AC1193" s="387">
        <v>2.3E-2</v>
      </c>
      <c r="AE1193" s="387"/>
      <c r="AH1193" s="926" t="str">
        <f>TEXT(AC1193,"0.0%")</f>
        <v>2.3%</v>
      </c>
      <c r="AI1193" s="927"/>
      <c r="AM1193" s="48" t="str">
        <f>CONCATENATE(AH1193,AJ1193)</f>
        <v>2.3%</v>
      </c>
      <c r="AR1193" s="48" t="str">
        <f>CONCATENATE($AU$1171,$AX$1171,$BD$1171,$BF$1171)</f>
        <v xml:space="preserve">applied to  totals </v>
      </c>
      <c r="BB1193" s="386" t="str">
        <f>TEXT(BB1194,"00,000")</f>
        <v/>
      </c>
      <c r="BG1193" s="48" t="s">
        <v>896</v>
      </c>
      <c r="BH1193" s="378" t="e">
        <f>IF($B$1172&gt;BB1193,"over 100%",TEXT($B$1172/BB1193,"0.00%"))</f>
        <v>#VALUE!</v>
      </c>
      <c r="BK1193" s="48" t="s">
        <v>897</v>
      </c>
      <c r="BO1193" s="366" t="e">
        <f>CONCATENATE(AR1193,BB1193,BC1193,BD1193,BG1193,BH1193,BI1193,BJ1193,BK1193)</f>
        <v>#VALUE!</v>
      </c>
      <c r="BP1193" s="366"/>
      <c r="BQ1193" s="366"/>
      <c r="BR1193" s="366"/>
      <c r="BS1193" s="366"/>
      <c r="BT1193" s="366"/>
      <c r="BU1193" s="366"/>
      <c r="BV1193" s="366"/>
      <c r="BW1193" s="366"/>
      <c r="BX1193" s="366"/>
      <c r="BY1193" s="366"/>
      <c r="BZ1193" s="366"/>
      <c r="CA1193" s="366"/>
      <c r="CB1193" s="366"/>
      <c r="CC1193" s="366"/>
      <c r="CD1193" s="366"/>
      <c r="CE1193" s="366"/>
      <c r="CF1193" s="366"/>
    </row>
    <row r="1194" spans="1:84" ht="14.5" x14ac:dyDescent="0.35">
      <c r="A1194" s="379"/>
      <c r="B1194" s="379" t="s">
        <v>903</v>
      </c>
      <c r="C1194" s="921"/>
      <c r="D1194" s="921"/>
      <c r="E1194" s="49"/>
      <c r="F1194" s="1"/>
      <c r="AC1194" s="387"/>
      <c r="AE1194" s="387"/>
      <c r="AH1194" s="384"/>
      <c r="AI1194" s="385"/>
      <c r="BB1194" s="381" t="str">
        <f>IF($B$1174=$AF$1172,AC$1172*AC1193,IF($B$1174=$AF$1173,AC1193*AC$1173,IF($B$1174=$AF$1174,AC1193*AC$1174,IF($B$1174=$AF$1175,AC1193*AC$1175,IF($B$1174=$AF$1176,AC1193*AC$1176,"")))))</f>
        <v/>
      </c>
    </row>
    <row r="1195" spans="1:84" ht="9" customHeight="1" x14ac:dyDescent="0.3">
      <c r="A1195" s="375"/>
      <c r="B1195" s="49"/>
      <c r="C1195" s="49"/>
      <c r="D1195" s="49"/>
      <c r="E1195" s="49"/>
      <c r="F1195" s="1"/>
      <c r="AC1195" s="387"/>
      <c r="AE1195" s="387"/>
    </row>
    <row r="1196" spans="1:84" ht="14.4" customHeight="1" x14ac:dyDescent="0.35">
      <c r="A1196" s="375">
        <v>7</v>
      </c>
      <c r="B1196" s="376" t="str">
        <f>AM1196</f>
        <v>3.3% to 5.0%</v>
      </c>
      <c r="C1196" s="921" t="str">
        <f>IF(OR($B$1172="",$B$1174=""),"",BO1196)</f>
        <v/>
      </c>
      <c r="D1196" s="921"/>
      <c r="E1196" s="49"/>
      <c r="F1196" s="1"/>
      <c r="AC1196" s="387">
        <v>3.3000000000000002E-2</v>
      </c>
      <c r="AE1196" s="387">
        <v>0.05</v>
      </c>
      <c r="AH1196" s="926" t="str">
        <f>TEXT(AC1196,"0.0%")</f>
        <v>3.3%</v>
      </c>
      <c r="AI1196" s="927"/>
      <c r="AJ1196" s="926" t="str">
        <f>TEXT(AE1196,"0.0%")</f>
        <v>5.0%</v>
      </c>
      <c r="AK1196" s="927"/>
      <c r="AM1196" s="48" t="str">
        <f>CONCATENATE(AH1196," to ",AJ1196)</f>
        <v>3.3% to 5.0%</v>
      </c>
      <c r="AR1196" s="48" t="str">
        <f>CONCATENATE($AU$1171,$AX$1171,$BD$1171,$BF$1171)</f>
        <v xml:space="preserve">applied to  totals </v>
      </c>
      <c r="BB1196" s="386" t="str">
        <f>TEXT(BB1197,"00,000")</f>
        <v/>
      </c>
      <c r="BC1196" s="48" t="s">
        <v>895</v>
      </c>
      <c r="BD1196" s="1067" t="e">
        <f>TEXT(ROUND(BD1197,0),"00,000")</f>
        <v>#VALUE!</v>
      </c>
      <c r="BE1196" s="1086"/>
      <c r="BF1196" s="1086"/>
      <c r="BG1196" s="48" t="s">
        <v>896</v>
      </c>
      <c r="BH1196" s="378" t="e">
        <f>IF($B$1172&gt;BB1196,"over 100%",TEXT($B$1172/BB1196,"0.00%"))</f>
        <v>#VALUE!</v>
      </c>
      <c r="BI1196" s="48" t="s">
        <v>895</v>
      </c>
      <c r="BJ1196" s="378" t="e">
        <f>IF($B$1172&gt;BD1196,"over 100%",TEXT($B$1172/BD1196,"0.00%"))</f>
        <v>#VALUE!</v>
      </c>
      <c r="BK1196" s="48" t="s">
        <v>897</v>
      </c>
      <c r="BO1196" s="366" t="e">
        <f>CONCATENATE(AR1196,BB1196,BC1196,BD1196,BG1196,BH1196,BI1196,BJ1196,BK1196)</f>
        <v>#VALUE!</v>
      </c>
      <c r="BP1196" s="366"/>
      <c r="BQ1196" s="366"/>
      <c r="BR1196" s="366"/>
      <c r="BS1196" s="366"/>
      <c r="BT1196" s="366"/>
      <c r="BU1196" s="366"/>
      <c r="BV1196" s="366"/>
      <c r="BW1196" s="366"/>
      <c r="BX1196" s="366"/>
      <c r="BY1196" s="366"/>
      <c r="BZ1196" s="366"/>
      <c r="CA1196" s="366"/>
      <c r="CB1196" s="366"/>
      <c r="CC1196" s="366"/>
      <c r="CD1196" s="366"/>
      <c r="CE1196" s="366"/>
      <c r="CF1196" s="366"/>
    </row>
    <row r="1197" spans="1:84" ht="14.5" x14ac:dyDescent="0.35">
      <c r="A1197" s="379"/>
      <c r="B1197" s="379" t="s">
        <v>904</v>
      </c>
      <c r="C1197" s="921"/>
      <c r="D1197" s="921"/>
      <c r="E1197" s="49"/>
      <c r="F1197" s="1"/>
      <c r="AC1197" s="387"/>
      <c r="AE1197" s="387"/>
      <c r="AH1197" s="384"/>
      <c r="AI1197" s="385"/>
      <c r="BB1197" s="381" t="str">
        <f>IF($B$1174=$AF$1172,AC$1172*AC1196,IF($B$1174=$AF$1173,AC1196*AC$1173,IF($B$1174=$AF$1174,AC1196*AC$1174,IF($B$1174=$AF$1175,AC1196*AC$1175,IF($B$1174=$AF$1176,AC1196*AC$1176,"")))))</f>
        <v/>
      </c>
      <c r="BD1197" s="1087" t="str">
        <f>IF($B$1174=$AF$1172,AC$1172*AE1196,IF($B$1174=$AF$1173,AE1196*AC$1173,IF($B$1174=$AF$1174,AE1196*AC$1174,IF($B$1174=$AF$1175,AE1196*AC$1175,IF($B$1174=$AF$1176,AE1196*AC$1176,"")))))</f>
        <v/>
      </c>
      <c r="BE1197" s="1088"/>
      <c r="BF1197" s="1088"/>
    </row>
    <row r="1198" spans="1:84" ht="9" customHeight="1" x14ac:dyDescent="0.3">
      <c r="A1198" s="375"/>
      <c r="B1198" s="49"/>
      <c r="C1198" s="49"/>
      <c r="D1198" s="49"/>
      <c r="E1198" s="49"/>
      <c r="F1198" s="1"/>
      <c r="AC1198" s="387"/>
      <c r="AE1198" s="387"/>
    </row>
    <row r="1199" spans="1:84" ht="14.4" customHeight="1" x14ac:dyDescent="0.35">
      <c r="A1199" s="375">
        <v>8</v>
      </c>
      <c r="B1199" s="376" t="str">
        <f>AM1199</f>
        <v>4.1%</v>
      </c>
      <c r="C1199" s="921" t="str">
        <f>IF(OR($B$1172="",$B$1174=""),"",BO1199)</f>
        <v/>
      </c>
      <c r="D1199" s="921"/>
      <c r="E1199" s="49"/>
      <c r="F1199" s="1"/>
      <c r="AC1199" s="387">
        <v>4.1000000000000002E-2</v>
      </c>
      <c r="AE1199" s="387"/>
      <c r="AH1199" s="926" t="str">
        <f>TEXT(AC1199,"0.0%")</f>
        <v>4.1%</v>
      </c>
      <c r="AI1199" s="927"/>
      <c r="AM1199" s="48" t="str">
        <f>CONCATENATE(AH1199,AJ1199)</f>
        <v>4.1%</v>
      </c>
      <c r="AR1199" s="48" t="str">
        <f>CONCATENATE($AU$1171,$AX$1171,$BD$1171,$BF$1171)</f>
        <v xml:space="preserve">applied to  totals </v>
      </c>
      <c r="BB1199" s="386" t="str">
        <f>TEXT(BB1200,"00,000")</f>
        <v/>
      </c>
      <c r="BG1199" s="48" t="s">
        <v>896</v>
      </c>
      <c r="BH1199" s="378" t="e">
        <f>IF($B$1172&gt;BB1199,"over 100%",TEXT($B$1172/BB1199,"0.00%"))</f>
        <v>#VALUE!</v>
      </c>
      <c r="BK1199" s="48" t="s">
        <v>897</v>
      </c>
      <c r="BO1199" s="366" t="e">
        <f>CONCATENATE(AR1199,BB1199,BC1199,BD1199,BG1199,BH1199,BI1199,BJ1199,BK1199)</f>
        <v>#VALUE!</v>
      </c>
      <c r="BP1199" s="366"/>
      <c r="BQ1199" s="366"/>
      <c r="BR1199" s="366"/>
      <c r="BS1199" s="366"/>
      <c r="BT1199" s="366"/>
      <c r="BU1199" s="366"/>
      <c r="BV1199" s="366"/>
      <c r="BW1199" s="366"/>
      <c r="BX1199" s="366"/>
      <c r="BY1199" s="366"/>
      <c r="BZ1199" s="366"/>
      <c r="CA1199" s="366"/>
      <c r="CB1199" s="366"/>
      <c r="CC1199" s="366"/>
      <c r="CD1199" s="366"/>
      <c r="CE1199" s="366"/>
      <c r="CF1199" s="366"/>
    </row>
    <row r="1200" spans="1:84" ht="14.5" x14ac:dyDescent="0.35">
      <c r="A1200" s="379"/>
      <c r="B1200" s="379" t="s">
        <v>905</v>
      </c>
      <c r="C1200" s="921"/>
      <c r="D1200" s="921"/>
      <c r="E1200" s="49"/>
      <c r="F1200" s="1"/>
      <c r="AC1200" s="387"/>
      <c r="AE1200" s="387"/>
      <c r="AH1200" s="384"/>
      <c r="AI1200" s="385"/>
      <c r="BB1200" s="381" t="str">
        <f>IF($B$1174=$AF$1172,AC$1172*AC1199,IF($B$1174=$AF$1173,AC1199*AC$1173,IF($B$1174=$AF$1174,AC1199*AC$1174,IF($B$1174=$AF$1175,AC1199*AC$1175,IF($B$1174=$AF$1176,AC1199*AC$1176,"")))))</f>
        <v/>
      </c>
    </row>
    <row r="1201" spans="1:84" ht="9" customHeight="1" x14ac:dyDescent="0.3">
      <c r="A1201" s="375"/>
      <c r="B1201" s="49"/>
      <c r="C1201" s="49"/>
      <c r="D1201" s="49"/>
      <c r="E1201" s="49"/>
      <c r="F1201" s="1"/>
      <c r="AC1201" s="387"/>
      <c r="AE1201" s="387"/>
    </row>
    <row r="1202" spans="1:84" ht="14.4" customHeight="1" x14ac:dyDescent="0.35">
      <c r="A1202" s="375">
        <v>9</v>
      </c>
      <c r="B1202" s="376" t="str">
        <f>AM1202</f>
        <v>5% to 15.0%</v>
      </c>
      <c r="C1202" s="921" t="str">
        <f>IF(OR($B$1172="",$B$1174=""),"",BO1202)</f>
        <v/>
      </c>
      <c r="D1202" s="921"/>
      <c r="E1202" s="49"/>
      <c r="F1202" s="1"/>
      <c r="AC1202" s="387">
        <v>0.05</v>
      </c>
      <c r="AE1202" s="387">
        <v>0.15</v>
      </c>
      <c r="AH1202" s="926" t="str">
        <f>TEXT(AC1202,"0%")</f>
        <v>5%</v>
      </c>
      <c r="AI1202" s="927"/>
      <c r="AJ1202" s="926" t="str">
        <f>TEXT(AE1202,"0.0%")</f>
        <v>15.0%</v>
      </c>
      <c r="AK1202" s="927"/>
      <c r="AM1202" s="48" t="str">
        <f>CONCATENATE(AH1202," to ",AJ1202)</f>
        <v>5% to 15.0%</v>
      </c>
      <c r="AR1202" s="48" t="str">
        <f>CONCATENATE($AU$1171,$AX$1171,$BD$1171,$BF$1171)</f>
        <v xml:space="preserve">applied to  totals </v>
      </c>
      <c r="BB1202" s="386" t="str">
        <f>TEXT(BB1203,"00,000")</f>
        <v/>
      </c>
      <c r="BC1202" s="48" t="s">
        <v>895</v>
      </c>
      <c r="BD1202" s="1067" t="e">
        <f>TEXT(ROUND(BD1203,0),"00,000")</f>
        <v>#VALUE!</v>
      </c>
      <c r="BE1202" s="1086"/>
      <c r="BF1202" s="1086"/>
      <c r="BG1202" s="48" t="s">
        <v>896</v>
      </c>
      <c r="BH1202" s="378" t="e">
        <f>IF($B$1172&gt;BB1202,"over 100%",TEXT($B$1172/BB1202,"0.00%"))</f>
        <v>#VALUE!</v>
      </c>
      <c r="BI1202" s="48" t="s">
        <v>895</v>
      </c>
      <c r="BJ1202" s="378" t="e">
        <f>IF($B$1172&gt;BD1202,"over 100%",TEXT($B$1172/BD1202,"0.00%"))</f>
        <v>#VALUE!</v>
      </c>
      <c r="BK1202" s="48" t="s">
        <v>897</v>
      </c>
      <c r="BO1202" s="366" t="e">
        <f>CONCATENATE(AR1202,BB1202,BC1202,BD1202,BG1202,BH1202,BI1202,BJ1202,BK1202)</f>
        <v>#VALUE!</v>
      </c>
      <c r="BP1202" s="366"/>
      <c r="BQ1202" s="366"/>
      <c r="BR1202" s="366"/>
      <c r="BS1202" s="366"/>
      <c r="BT1202" s="366"/>
      <c r="BU1202" s="366"/>
      <c r="BV1202" s="366"/>
      <c r="BW1202" s="366"/>
      <c r="BX1202" s="366"/>
      <c r="BY1202" s="366"/>
      <c r="BZ1202" s="366"/>
      <c r="CA1202" s="366"/>
      <c r="CB1202" s="366"/>
      <c r="CC1202" s="366"/>
      <c r="CD1202" s="366"/>
      <c r="CE1202" s="366"/>
      <c r="CF1202" s="366"/>
    </row>
    <row r="1203" spans="1:84" ht="14.5" x14ac:dyDescent="0.35">
      <c r="A1203" s="379"/>
      <c r="B1203" s="379" t="s">
        <v>906</v>
      </c>
      <c r="C1203" s="921"/>
      <c r="D1203" s="921"/>
      <c r="E1203" s="49"/>
      <c r="F1203" s="1"/>
      <c r="AC1203" s="387"/>
      <c r="AE1203" s="387"/>
      <c r="AH1203" s="384"/>
      <c r="AI1203" s="385"/>
      <c r="BB1203" s="381" t="str">
        <f>IF($B$1174=$AF$1172,AC$1172*AC1202,IF($B$1174=$AF$1173,AC1202*AC$1173,IF($B$1174=$AF$1174,AC1202*AC$1174,IF($B$1174=$AF$1175,AC1202*AC$1175,IF($B$1174=$AF$1176,AC1202*AC$1176,"")))))</f>
        <v/>
      </c>
      <c r="BD1203" s="1087" t="str">
        <f>IF($B$1174=$AF$1172,AC$1172*AE1202,IF($B$1174=$AF$1173,AE1202*AC$1173,IF($B$1174=$AF$1174,AE1202*AC$1174,IF($B$1174=$AF$1175,AE1202*AC$1175,IF($B$1174=$AF$1176,AE1202*AC$1176,"")))))</f>
        <v/>
      </c>
      <c r="BE1203" s="1088"/>
      <c r="BF1203" s="1088"/>
      <c r="BG1203" s="378"/>
    </row>
    <row r="1204" spans="1:84" ht="9" customHeight="1" x14ac:dyDescent="0.3">
      <c r="A1204" s="375"/>
      <c r="B1204" s="49"/>
      <c r="C1204" s="49"/>
      <c r="D1204" s="49"/>
      <c r="E1204" s="49"/>
      <c r="F1204" s="1"/>
      <c r="AC1204" s="387"/>
      <c r="AE1204" s="387"/>
    </row>
    <row r="1205" spans="1:84" ht="14.4" customHeight="1" x14ac:dyDescent="0.35">
      <c r="A1205" s="375">
        <v>10</v>
      </c>
      <c r="B1205" s="376" t="str">
        <f>AM1205</f>
        <v>6%</v>
      </c>
      <c r="C1205" s="921" t="str">
        <f>IF(OR($B$1172="",$B$1174=""),"",BO1205)</f>
        <v/>
      </c>
      <c r="D1205" s="921"/>
      <c r="E1205" s="49"/>
      <c r="F1205" s="1"/>
      <c r="AC1205" s="387">
        <v>0.06</v>
      </c>
      <c r="AE1205" s="387"/>
      <c r="AH1205" s="926" t="str">
        <f>TEXT(AC1205,"0%")</f>
        <v>6%</v>
      </c>
      <c r="AI1205" s="927"/>
      <c r="AM1205" s="48" t="str">
        <f>CONCATENATE(AH1205,AJ1205)</f>
        <v>6%</v>
      </c>
      <c r="AR1205" s="48" t="str">
        <f>CONCATENATE($AU$1171,$AX$1171,$BD$1171,$BF$1171)</f>
        <v xml:space="preserve">applied to  totals </v>
      </c>
      <c r="BB1205" s="386" t="str">
        <f>TEXT(BB1206,"00,000")</f>
        <v/>
      </c>
      <c r="BG1205" s="48" t="s">
        <v>896</v>
      </c>
      <c r="BH1205" s="378" t="e">
        <f>IF($B$1172&gt;BB1205,"over 100%",TEXT($B$1172/BB1205,"0.00%"))</f>
        <v>#VALUE!</v>
      </c>
      <c r="BK1205" s="48" t="s">
        <v>897</v>
      </c>
      <c r="BO1205" s="366" t="e">
        <f>CONCATENATE(AR1205,BB1205,BC1205,BD1205,BG1205,BH1205,BI1205,BJ1205,BK1205)</f>
        <v>#VALUE!</v>
      </c>
      <c r="BP1205" s="366"/>
      <c r="BQ1205" s="366"/>
      <c r="BR1205" s="366"/>
      <c r="BS1205" s="366"/>
      <c r="BT1205" s="366"/>
      <c r="BU1205" s="366"/>
      <c r="BV1205" s="366"/>
      <c r="BW1205" s="366"/>
      <c r="BX1205" s="366"/>
      <c r="BY1205" s="366"/>
      <c r="BZ1205" s="366"/>
      <c r="CA1205" s="366"/>
      <c r="CB1205" s="366"/>
      <c r="CC1205" s="366"/>
      <c r="CD1205" s="366"/>
      <c r="CE1205" s="366"/>
      <c r="CF1205" s="366"/>
    </row>
    <row r="1206" spans="1:84" ht="14.5" x14ac:dyDescent="0.35">
      <c r="A1206" s="379"/>
      <c r="B1206" s="379" t="s">
        <v>907</v>
      </c>
      <c r="C1206" s="921"/>
      <c r="D1206" s="921"/>
      <c r="E1206" s="49"/>
      <c r="F1206" s="1"/>
      <c r="AC1206" s="387"/>
      <c r="AE1206" s="387"/>
      <c r="AH1206" s="384"/>
      <c r="AI1206" s="385"/>
      <c r="BB1206" s="381" t="str">
        <f>IF($B$1174=$AF$1172,AC$1172*AC1205,IF($B$1174=$AF$1173,AC1205*AC$1173,IF($B$1174=$AF$1174,AC1205*AC$1174,IF($B$1174=$AF$1175,AC1205*AC$1175,IF($B$1174=$AF$1176,AC1205*AC$1176,"")))))</f>
        <v/>
      </c>
    </row>
    <row r="1207" spans="1:84" ht="9" customHeight="1" x14ac:dyDescent="0.3">
      <c r="A1207" s="375"/>
      <c r="B1207" s="49"/>
      <c r="C1207" s="49"/>
      <c r="D1207" s="49"/>
      <c r="E1207" s="49"/>
      <c r="F1207" s="1"/>
      <c r="AC1207" s="387"/>
      <c r="AE1207" s="387"/>
    </row>
    <row r="1208" spans="1:84" ht="14.4" customHeight="1" x14ac:dyDescent="0.35">
      <c r="A1208" s="375">
        <v>11</v>
      </c>
      <c r="B1208" s="376" t="str">
        <f>AM1208</f>
        <v>11.60%</v>
      </c>
      <c r="C1208" s="921" t="str">
        <f>IF(OR($B$1172="",$B$1174=""),"",BO1208)</f>
        <v/>
      </c>
      <c r="D1208" s="921"/>
      <c r="E1208" s="49"/>
      <c r="F1208" s="1"/>
      <c r="AC1208" s="387">
        <v>0.11600000000000001</v>
      </c>
      <c r="AE1208" s="387"/>
      <c r="AH1208" s="926" t="str">
        <f>TEXT(AC1208,"0.00%")</f>
        <v>11.60%</v>
      </c>
      <c r="AI1208" s="927"/>
      <c r="AM1208" s="48" t="str">
        <f>CONCATENATE(AH1208,AJ1208)</f>
        <v>11.60%</v>
      </c>
      <c r="AR1208" s="48" t="str">
        <f>CONCATENATE($AU$1171,$AX$1171,$BD$1171,$BF$1171)</f>
        <v xml:space="preserve">applied to  totals </v>
      </c>
      <c r="BB1208" s="386" t="str">
        <f>TEXT(BB1209,"00,000")</f>
        <v/>
      </c>
      <c r="BG1208" s="48" t="s">
        <v>896</v>
      </c>
      <c r="BH1208" s="378" t="e">
        <f>IF($B$1172&gt;BB1208,"over 100%",TEXT($B$1172/BB1208,"0.00%"))</f>
        <v>#VALUE!</v>
      </c>
      <c r="BK1208" s="48" t="s">
        <v>897</v>
      </c>
      <c r="BO1208" s="366" t="e">
        <f>CONCATENATE(AR1208,BB1208,BC1208,BD1208,BG1208,BH1208,BI1208,BJ1208,BK1208)</f>
        <v>#VALUE!</v>
      </c>
      <c r="BP1208" s="366"/>
      <c r="BQ1208" s="366"/>
      <c r="BR1208" s="366"/>
      <c r="BS1208" s="366"/>
      <c r="BT1208" s="366"/>
      <c r="BU1208" s="366"/>
      <c r="BV1208" s="366"/>
      <c r="BW1208" s="366"/>
      <c r="BX1208" s="366"/>
      <c r="BY1208" s="366"/>
      <c r="BZ1208" s="366"/>
      <c r="CA1208" s="366"/>
      <c r="CB1208" s="366"/>
      <c r="CC1208" s="366"/>
      <c r="CD1208" s="366"/>
      <c r="CE1208" s="366"/>
      <c r="CF1208" s="366"/>
    </row>
    <row r="1209" spans="1:84" ht="14.5" x14ac:dyDescent="0.35">
      <c r="A1209" s="379"/>
      <c r="B1209" s="379" t="s">
        <v>908</v>
      </c>
      <c r="C1209" s="921"/>
      <c r="D1209" s="921"/>
      <c r="E1209" s="49"/>
      <c r="F1209" s="1"/>
      <c r="AH1209" s="384"/>
      <c r="AI1209" s="385"/>
      <c r="BB1209" s="381" t="str">
        <f>IF($B$1174=$AF$1172,AC$1172*AC1208,IF($B$1174=$AF$1173,AC1208*AC$1173,IF($B$1174=$AF$1174,AC1208*AC$1174,IF($B$1174=$AF$1175,AC1208*AC$1175,IF($B$1174=$AF$1176,AC1208*AC$1176,"")))))</f>
        <v/>
      </c>
    </row>
    <row r="1210" spans="1:84" ht="9" customHeight="1" x14ac:dyDescent="0.3">
      <c r="A1210" s="49"/>
      <c r="B1210" s="49"/>
      <c r="C1210" s="49"/>
      <c r="D1210" s="49"/>
      <c r="E1210" s="49"/>
      <c r="F1210" s="1"/>
    </row>
    <row r="1211" spans="1:84" ht="14.4" customHeight="1" x14ac:dyDescent="0.35">
      <c r="A1211" s="375">
        <v>12</v>
      </c>
      <c r="B1211" s="376" t="str">
        <f>AM1211</f>
        <v>15.4%</v>
      </c>
      <c r="C1211" s="921" t="str">
        <f>IF(OR($B$1172="",$B$1174=""),"",BO1211)</f>
        <v/>
      </c>
      <c r="D1211" s="921"/>
      <c r="E1211" s="49"/>
      <c r="F1211" s="1"/>
      <c r="AC1211" s="387">
        <v>0.154</v>
      </c>
      <c r="AD1211" s="387"/>
      <c r="AH1211" s="926" t="str">
        <f>TEXT(AC1211,"0.0%")</f>
        <v>15.4%</v>
      </c>
      <c r="AI1211" s="927"/>
      <c r="AM1211" s="48" t="str">
        <f>CONCATENATE(AH1211,AJ1211)</f>
        <v>15.4%</v>
      </c>
      <c r="AR1211" s="48" t="str">
        <f>CONCATENATE($AU$1171,$AX$1171,$BD$1171,$BF$1171)</f>
        <v xml:space="preserve">applied to  totals </v>
      </c>
      <c r="BB1211" s="386" t="str">
        <f>TEXT(BB1212,"00,000")</f>
        <v/>
      </c>
      <c r="BG1211" s="48" t="s">
        <v>896</v>
      </c>
      <c r="BH1211" s="378" t="e">
        <f>IF($B$1172&gt;BB1211,"over 100%",TEXT($B$1172/BB1211,"0.00%"))</f>
        <v>#VALUE!</v>
      </c>
      <c r="BK1211" s="48" t="s">
        <v>897</v>
      </c>
      <c r="BO1211" s="366" t="e">
        <f>CONCATENATE(AR1211,BB1211,BC1211,BD1211,BG1211,BH1211,BI1211,BJ1211,BK1211)</f>
        <v>#VALUE!</v>
      </c>
      <c r="BP1211" s="366"/>
      <c r="BQ1211" s="366"/>
      <c r="BR1211" s="366"/>
      <c r="BS1211" s="366"/>
      <c r="BT1211" s="366"/>
      <c r="BU1211" s="366"/>
      <c r="BV1211" s="366"/>
      <c r="BW1211" s="366"/>
      <c r="BX1211" s="366"/>
      <c r="BY1211" s="366"/>
      <c r="BZ1211" s="366"/>
      <c r="CA1211" s="366"/>
      <c r="CB1211" s="366"/>
      <c r="CC1211" s="366"/>
      <c r="CD1211" s="366"/>
      <c r="CE1211" s="366"/>
      <c r="CF1211" s="366"/>
    </row>
    <row r="1212" spans="1:84" x14ac:dyDescent="0.3">
      <c r="A1212" s="379"/>
      <c r="B1212" s="379" t="s">
        <v>909</v>
      </c>
      <c r="C1212" s="921"/>
      <c r="D1212" s="921"/>
      <c r="E1212" s="49"/>
      <c r="F1212" s="1"/>
      <c r="BB1212" s="381" t="str">
        <f>IF($B$1174=$AF$1172,AC$1172*AC1211,IF($B$1174=$AF$1173,AC1211*AC$1173,IF($B$1174=$AF$1174,AC1211*AC$1174,IF($B$1174=$AF$1175,AC1211*AC$1175,IF($B$1174=$AF$1176,AC1211*AC$1176,"")))))</f>
        <v/>
      </c>
    </row>
    <row r="1213" spans="1:84" ht="15" customHeight="1" x14ac:dyDescent="0.3">
      <c r="A1213" s="49"/>
      <c r="B1213" s="49"/>
      <c r="C1213" s="49"/>
      <c r="D1213" s="49"/>
      <c r="E1213" s="49"/>
      <c r="F1213" s="1"/>
    </row>
    <row r="1214" spans="1:84" ht="20" customHeight="1" x14ac:dyDescent="0.3">
      <c r="A1214" s="1129" t="s">
        <v>1398</v>
      </c>
      <c r="B1214" s="1129"/>
      <c r="C1214" s="1129"/>
      <c r="D1214" s="1129"/>
      <c r="E1214" s="1129"/>
      <c r="F1214" s="1"/>
    </row>
    <row r="1215" spans="1:84" ht="20" customHeight="1" x14ac:dyDescent="0.3">
      <c r="A1215" s="1129"/>
      <c r="B1215" s="1129"/>
      <c r="C1215" s="1129"/>
      <c r="D1215" s="1129"/>
      <c r="E1215" s="1129"/>
      <c r="F1215" s="1"/>
    </row>
    <row r="1216" spans="1:84" ht="20" customHeight="1" x14ac:dyDescent="0.3">
      <c r="A1216" s="1129"/>
      <c r="B1216" s="1129"/>
      <c r="C1216" s="1129"/>
      <c r="D1216" s="1129"/>
      <c r="E1216" s="1129"/>
      <c r="F1216" s="1"/>
      <c r="AP1216" s="14"/>
    </row>
    <row r="1217" spans="1:33" ht="13.75" customHeight="1" x14ac:dyDescent="0.3">
      <c r="A1217" s="444"/>
      <c r="B1217" s="444"/>
      <c r="C1217" s="444"/>
      <c r="D1217" s="444"/>
      <c r="E1217" s="444"/>
      <c r="F1217" s="1"/>
    </row>
    <row r="1218" spans="1:33" ht="45" customHeight="1" x14ac:dyDescent="0.3">
      <c r="A1218" s="861"/>
      <c r="B1218" s="947" t="s">
        <v>5470</v>
      </c>
      <c r="C1218" s="947"/>
      <c r="D1218" s="947"/>
      <c r="E1218" s="861"/>
      <c r="F1218" s="861"/>
    </row>
    <row r="1219" spans="1:33" ht="17" customHeight="1" x14ac:dyDescent="0.3">
      <c r="A1219" s="303"/>
      <c r="B1219" s="303"/>
      <c r="C1219" s="303"/>
      <c r="D1219" s="303"/>
      <c r="E1219" s="303"/>
      <c r="F1219" s="303"/>
    </row>
    <row r="1220" spans="1:33" ht="17" customHeight="1" x14ac:dyDescent="0.4">
      <c r="A1220" s="303"/>
      <c r="B1220" s="877" t="s">
        <v>5475</v>
      </c>
      <c r="C1220" s="303"/>
      <c r="D1220" s="303"/>
      <c r="E1220" s="303"/>
      <c r="F1220" s="303"/>
      <c r="AG1220" s="874" t="s">
        <v>5471</v>
      </c>
    </row>
    <row r="1221" spans="1:33" x14ac:dyDescent="0.3">
      <c r="A1221" s="303"/>
      <c r="B1221" s="876" t="str">
        <f>AG1221</f>
        <v>Here are the steps again for saving each tab as a sharable PDF.</v>
      </c>
      <c r="C1221" s="303"/>
      <c r="D1221" s="303"/>
      <c r="E1221" s="303"/>
      <c r="F1221" s="303"/>
      <c r="AG1221" s="48" t="s">
        <v>5562</v>
      </c>
    </row>
    <row r="1222" spans="1:33" x14ac:dyDescent="0.3">
      <c r="A1222" s="303"/>
      <c r="B1222" s="876" t="str">
        <f>AG1222</f>
        <v>1. Start with the NOVI tab. Select the NOVI tab below. Review to spot any mistakes.</v>
      </c>
      <c r="C1222" s="303"/>
      <c r="D1222" s="303"/>
      <c r="E1222" s="303"/>
      <c r="F1222" s="303"/>
      <c r="AG1222" s="48" t="str">
        <f t="shared" ref="AG1222:AG1229" si="50">AF15</f>
        <v>1. Start with the NOVI tab. Select the NOVI tab below. Review to spot any mistakes.</v>
      </c>
    </row>
    <row r="1223" spans="1:33" x14ac:dyDescent="0.3">
      <c r="A1223" s="303"/>
      <c r="B1223" s="876" t="str">
        <f t="shared" ref="B1223:B1228" si="51">AG1223</f>
        <v>2. Come back here to correct any mistakes you find. Then click Save.</v>
      </c>
      <c r="C1223" s="303"/>
      <c r="D1223" s="303"/>
      <c r="E1223" s="303"/>
      <c r="F1223" s="303"/>
      <c r="AG1223" s="48" t="str">
        <f t="shared" si="50"/>
        <v>2. Come back here to correct any mistakes you find. Then click Save.</v>
      </c>
    </row>
    <row r="1224" spans="1:33" x14ac:dyDescent="0.3">
      <c r="A1224" s="303"/>
      <c r="B1224" s="876" t="str">
        <f t="shared" si="51"/>
        <v>3. Select the File menu. Click on Save As. Choose a location on your device.</v>
      </c>
      <c r="C1224" s="303"/>
      <c r="D1224" s="303"/>
      <c r="E1224" s="303"/>
      <c r="F1224" s="303"/>
      <c r="AG1224" s="48" t="str">
        <f t="shared" si="50"/>
        <v>3. Select the File menu. Click on Save As. Choose a location on your device.</v>
      </c>
    </row>
    <row r="1225" spans="1:33" x14ac:dyDescent="0.3">
      <c r="A1225" s="303"/>
      <c r="B1225" s="876" t="str">
        <f t="shared" si="51"/>
        <v>4. Below File name, click Save as type dropdown list and select “PDF (*.pdf)”.</v>
      </c>
      <c r="C1225" s="303"/>
      <c r="D1225" s="303"/>
      <c r="E1225" s="303"/>
      <c r="F1225" s="303"/>
      <c r="AG1225" s="48" t="str">
        <f t="shared" si="50"/>
        <v>4. Below File name, click Save as type dropdown list and select “PDF (*.pdf)”.</v>
      </c>
    </row>
    <row r="1226" spans="1:33" x14ac:dyDescent="0.3">
      <c r="A1226" s="303"/>
      <c r="B1226" s="876" t="str">
        <f t="shared" si="51"/>
        <v>5. Click the Save button at the lower right of the dialog box.</v>
      </c>
      <c r="C1226" s="303"/>
      <c r="D1226" s="303"/>
      <c r="E1226" s="303"/>
      <c r="F1226" s="303"/>
      <c r="AG1226" s="48" t="str">
        <f t="shared" si="50"/>
        <v>5. Click the Save button at the lower right of the dialog box.</v>
      </c>
    </row>
    <row r="1227" spans="1:33" x14ac:dyDescent="0.3">
      <c r="A1227" s="303"/>
      <c r="B1227" s="876" t="str">
        <f t="shared" si="51"/>
        <v xml:space="preserve">6. Review your saved version in your Acrobat PDF Reader. </v>
      </c>
      <c r="C1227" s="303"/>
      <c r="D1227" s="303"/>
      <c r="E1227" s="303"/>
      <c r="F1227" s="303"/>
      <c r="AG1227" s="48" t="str">
        <f t="shared" si="50"/>
        <v xml:space="preserve">6. Review your saved version in your Acrobat PDF Reader. </v>
      </c>
    </row>
    <row r="1228" spans="1:33" x14ac:dyDescent="0.3">
      <c r="A1228" s="303"/>
      <c r="B1228" s="876" t="str">
        <f t="shared" si="51"/>
        <v>Repeat these step to save the other tabs as a PDF: COVI, EIR, &amp; CQR.</v>
      </c>
      <c r="C1228" s="303"/>
      <c r="D1228" s="303"/>
      <c r="E1228" s="303"/>
      <c r="F1228" s="303"/>
      <c r="AG1228" s="48" t="str">
        <f t="shared" si="50"/>
        <v>Repeat these step to save the other tabs as a PDF: COVI, EIR, &amp; CQR.</v>
      </c>
    </row>
    <row r="1229" spans="1:33" x14ac:dyDescent="0.3">
      <c r="A1229" s="303"/>
      <c r="B1229" s="876" t="str">
        <f>AG1229</f>
        <v>The default setting here lets you print this whole spreadsheet through the last page.</v>
      </c>
      <c r="C1229" s="303"/>
      <c r="D1229" s="303"/>
      <c r="E1229" s="303"/>
      <c r="F1229" s="303"/>
      <c r="AG1229" s="48" t="str">
        <f t="shared" si="50"/>
        <v>The default setting here lets you print this whole spreadsheet through the last page.</v>
      </c>
    </row>
    <row r="1230" spans="1:33" x14ac:dyDescent="0.3">
      <c r="A1230" s="303"/>
      <c r="B1230" s="303"/>
      <c r="C1230" s="303"/>
      <c r="D1230" s="303"/>
      <c r="E1230" s="303"/>
      <c r="F1230" s="303"/>
    </row>
    <row r="1231" spans="1:33" ht="17" customHeight="1" x14ac:dyDescent="0.4">
      <c r="A1231" s="303"/>
      <c r="B1231" s="877" t="s">
        <v>5473</v>
      </c>
      <c r="C1231" s="303"/>
      <c r="D1231" s="303"/>
      <c r="E1231" s="303"/>
      <c r="F1231" s="303"/>
      <c r="AC1231" s="52"/>
      <c r="AG1231" s="874" t="s">
        <v>5466</v>
      </c>
    </row>
    <row r="1232" spans="1:33" ht="12" customHeight="1" x14ac:dyDescent="0.3">
      <c r="A1232" s="303"/>
      <c r="B1232" s="303"/>
      <c r="C1232" s="303"/>
      <c r="D1232" s="303"/>
      <c r="E1232" s="303"/>
      <c r="F1232" s="303"/>
    </row>
    <row r="1233" spans="1:33" ht="17" customHeight="1" x14ac:dyDescent="0.35">
      <c r="A1233" s="303"/>
      <c r="B1233" s="877" t="s">
        <v>5547</v>
      </c>
      <c r="C1233" s="303"/>
      <c r="D1233" s="303"/>
      <c r="E1233" s="303"/>
      <c r="F1233" s="303"/>
      <c r="AG1233" s="875" t="s">
        <v>5467</v>
      </c>
    </row>
    <row r="1234" spans="1:33" ht="17" customHeight="1" x14ac:dyDescent="0.3">
      <c r="A1234" s="303"/>
      <c r="B1234" s="876" t="str">
        <f>AG1234</f>
        <v>Receive support how to best use this tool. Exchange ideas with others using this tool.</v>
      </c>
      <c r="C1234" s="303"/>
      <c r="D1234" s="303"/>
      <c r="E1234" s="303"/>
      <c r="F1234" s="303"/>
      <c r="AG1234" s="48" t="s">
        <v>5468</v>
      </c>
    </row>
    <row r="1235" spans="1:33" ht="17" customHeight="1" x14ac:dyDescent="0.3">
      <c r="A1235" s="303"/>
      <c r="B1235" s="876" t="str">
        <f t="shared" ref="B1235:B1237" si="52">AG1235</f>
        <v>1. Join our online forum “Estimated Innocence” to engage others interested in this tool.</v>
      </c>
      <c r="C1235" s="303"/>
      <c r="D1235" s="303"/>
      <c r="E1235" s="303"/>
      <c r="F1235" s="303"/>
      <c r="AG1235" s="48" t="str">
        <f>AF32</f>
        <v>1. Join our online forum “Estimated Innocence” to engage others interested in this tool.</v>
      </c>
    </row>
    <row r="1236" spans="1:33" ht="17" customHeight="1" x14ac:dyDescent="0.3">
      <c r="A1236" s="303"/>
      <c r="B1236" s="876" t="str">
        <f t="shared" si="52"/>
        <v>2. Listen to the Need-Response podcast for insights from the creator of this tool.</v>
      </c>
      <c r="C1236" s="303"/>
      <c r="D1236" s="303"/>
      <c r="E1236" s="303"/>
      <c r="F1236" s="303"/>
      <c r="AG1236" s="48" t="str">
        <f>AF33</f>
        <v>2. Listen to the Need-Response podcast for insights from the creator of this tool.</v>
      </c>
    </row>
    <row r="1237" spans="1:33" ht="17" customHeight="1" x14ac:dyDescent="0.3">
      <c r="A1237" s="303"/>
      <c r="B1237" s="876" t="str">
        <f t="shared" si="52"/>
        <v>3. Book a free online session with this tool's creator; donate afterwards.</v>
      </c>
      <c r="C1237" s="303"/>
      <c r="D1237" s="303"/>
      <c r="E1237" s="303"/>
      <c r="F1237" s="303"/>
      <c r="AG1237" s="48" t="s">
        <v>5553</v>
      </c>
    </row>
    <row r="1238" spans="1:33" ht="17" customHeight="1" x14ac:dyDescent="0.3">
      <c r="A1238" s="303"/>
      <c r="B1238" s="303"/>
      <c r="C1238" s="303"/>
      <c r="D1238" s="303"/>
      <c r="E1238" s="303"/>
      <c r="F1238" s="303"/>
    </row>
    <row r="1239" spans="1:33" ht="17" customHeight="1" x14ac:dyDescent="0.3">
      <c r="A1239" s="303"/>
      <c r="B1239" s="303"/>
      <c r="C1239" s="303"/>
      <c r="D1239" s="303"/>
      <c r="E1239" s="303"/>
      <c r="F1239" s="303"/>
    </row>
    <row r="1240" spans="1:33" ht="17" customHeight="1" x14ac:dyDescent="0.3">
      <c r="A1240" s="303"/>
      <c r="B1240" s="303"/>
      <c r="C1240" s="303"/>
      <c r="D1240" s="303"/>
      <c r="E1240" s="303"/>
      <c r="F1240" s="303"/>
    </row>
    <row r="1241" spans="1:33" ht="12" customHeight="1" x14ac:dyDescent="0.3">
      <c r="A1241" s="303"/>
      <c r="B1241" s="303"/>
      <c r="C1241" s="303"/>
      <c r="D1241" s="303"/>
      <c r="E1241" s="303"/>
      <c r="F1241" s="303"/>
    </row>
    <row r="1242" spans="1:33" ht="17" customHeight="1" x14ac:dyDescent="0.35">
      <c r="A1242" s="303"/>
      <c r="B1242" s="877" t="s">
        <v>5469</v>
      </c>
      <c r="C1242" s="303"/>
      <c r="D1242" s="303"/>
      <c r="E1242" s="303"/>
      <c r="F1242" s="303"/>
      <c r="AG1242" s="875" t="s">
        <v>5563</v>
      </c>
    </row>
    <row r="1243" spans="1:33" ht="17" customHeight="1" x14ac:dyDescent="0.3">
      <c r="A1243" s="303"/>
      <c r="B1243" s="876" t="str">
        <f>AG1243</f>
        <v>We personally explore how you can go beyond adversarial legalism to demonstrate your innocence.</v>
      </c>
      <c r="C1243" s="303"/>
      <c r="D1243" s="303"/>
      <c r="E1243" s="303"/>
      <c r="F1243" s="303"/>
      <c r="AG1243" s="48" t="s">
        <v>5549</v>
      </c>
    </row>
    <row r="1244" spans="1:33" ht="17" customHeight="1" x14ac:dyDescent="0.3">
      <c r="A1244" s="303"/>
      <c r="B1244" s="876" t="str">
        <f t="shared" ref="B1244:B1246" si="53">AG1244</f>
        <v>-- Identify the needs of all involved: the accuser, the authorities, and yourself.</v>
      </c>
      <c r="C1244" s="303"/>
      <c r="D1244" s="303"/>
      <c r="E1244" s="303"/>
      <c r="F1244" s="303"/>
      <c r="AG1244" s="245" t="s">
        <v>5565</v>
      </c>
    </row>
    <row r="1245" spans="1:33" ht="17" customHeight="1" x14ac:dyDescent="0.3">
      <c r="A1245" s="303"/>
      <c r="B1245" s="876" t="str">
        <f t="shared" si="53"/>
        <v>-- We directly address each other's needs for which laws ostensibly exist to serve.</v>
      </c>
      <c r="C1245" s="303"/>
      <c r="D1245" s="303"/>
      <c r="E1245" s="303"/>
      <c r="F1245" s="303"/>
      <c r="AG1245" s="245" t="s">
        <v>5566</v>
      </c>
    </row>
    <row r="1246" spans="1:33" ht="17" customHeight="1" x14ac:dyDescent="0.3">
      <c r="A1246" s="303"/>
      <c r="B1246" s="876" t="str">
        <f t="shared" si="53"/>
        <v>-- Then we demonstrate the higher standard of properly resolving needs, better than adversarial law.</v>
      </c>
      <c r="C1246" s="303"/>
      <c r="D1246" s="303"/>
      <c r="E1246" s="303"/>
      <c r="F1246" s="303"/>
      <c r="AG1246" s="245" t="s">
        <v>5567</v>
      </c>
    </row>
    <row r="1247" spans="1:33" ht="17" customHeight="1" x14ac:dyDescent="0.3">
      <c r="A1247" s="303"/>
      <c r="B1247" s="303"/>
      <c r="C1247" s="303"/>
      <c r="D1247" s="303"/>
      <c r="E1247" s="303"/>
      <c r="F1247" s="303"/>
    </row>
    <row r="1248" spans="1:33" ht="17" customHeight="1" x14ac:dyDescent="0.3">
      <c r="A1248" s="303"/>
      <c r="B1248" s="303"/>
      <c r="C1248" s="303"/>
      <c r="D1248" s="303"/>
      <c r="E1248" s="303"/>
      <c r="F1248" s="303"/>
    </row>
    <row r="1249" spans="1:62" ht="12" customHeight="1" x14ac:dyDescent="0.3">
      <c r="A1249" s="303"/>
      <c r="B1249" s="303"/>
      <c r="C1249" s="303"/>
      <c r="D1249" s="303"/>
      <c r="E1249" s="303"/>
      <c r="F1249" s="303"/>
    </row>
    <row r="1250" spans="1:62" ht="17" customHeight="1" x14ac:dyDescent="0.35">
      <c r="A1250" s="303"/>
      <c r="B1250" s="877" t="s">
        <v>5476</v>
      </c>
      <c r="C1250" s="303"/>
      <c r="D1250" s="303"/>
      <c r="E1250" s="303"/>
      <c r="F1250" s="303"/>
      <c r="AG1250" s="875" t="s">
        <v>5568</v>
      </c>
    </row>
    <row r="1251" spans="1:62" ht="17" customHeight="1" x14ac:dyDescent="0.3">
      <c r="A1251" s="303"/>
      <c r="B1251" s="876" t="str">
        <f>AG1251</f>
        <v>We build an advocacy campaign to publicly support your independently established innocence.</v>
      </c>
      <c r="C1251" s="303"/>
      <c r="D1251" s="303"/>
      <c r="E1251" s="303"/>
      <c r="F1251" s="303"/>
      <c r="AG1251" s="48" t="s">
        <v>5569</v>
      </c>
    </row>
    <row r="1252" spans="1:62" ht="17" customHeight="1" x14ac:dyDescent="0.3">
      <c r="A1252" s="303"/>
      <c r="B1252" s="876" t="str">
        <f t="shared" ref="B1252:B1254" si="54">AG1252</f>
        <v>-- We impeach the legitimacy of any authority found benefiting from this injustice.</v>
      </c>
      <c r="C1252" s="303"/>
      <c r="D1252" s="303"/>
      <c r="E1252" s="303"/>
      <c r="F1252" s="303"/>
      <c r="AG1252" s="245" t="s">
        <v>5570</v>
      </c>
    </row>
    <row r="1253" spans="1:62" ht="17" customHeight="1" x14ac:dyDescent="0.3">
      <c r="A1253" s="303"/>
      <c r="B1253" s="876" t="str">
        <f t="shared" si="54"/>
        <v>-- We improve the legitimacy of any authority who properly responds to your justice needs.</v>
      </c>
      <c r="C1253" s="303"/>
      <c r="D1253" s="303"/>
      <c r="E1253" s="303"/>
      <c r="F1253" s="303"/>
      <c r="AG1253" s="245" t="s">
        <v>5571</v>
      </c>
    </row>
    <row r="1254" spans="1:62" ht="17" customHeight="1" x14ac:dyDescent="0.3">
      <c r="A1254" s="303"/>
      <c r="B1254" s="876" t="str">
        <f t="shared" si="54"/>
        <v>-- We publicly exonerate you with a grassroots campaign, enforced with the power of love.</v>
      </c>
      <c r="C1254" s="303"/>
      <c r="D1254" s="303"/>
      <c r="E1254" s="303"/>
      <c r="F1254" s="303"/>
      <c r="AG1254" s="245" t="s">
        <v>5572</v>
      </c>
    </row>
    <row r="1255" spans="1:62" ht="17" customHeight="1" x14ac:dyDescent="0.3">
      <c r="A1255" s="303"/>
      <c r="B1255" s="303"/>
      <c r="C1255" s="303"/>
      <c r="D1255" s="303"/>
      <c r="E1255" s="303"/>
      <c r="F1255" s="303"/>
    </row>
    <row r="1256" spans="1:62" x14ac:dyDescent="0.3">
      <c r="A1256" s="303"/>
      <c r="B1256" s="303"/>
      <c r="C1256" s="303"/>
      <c r="D1256" s="303"/>
      <c r="E1256" s="303"/>
      <c r="F1256" s="303"/>
    </row>
    <row r="1257" spans="1:62" ht="30" customHeight="1" x14ac:dyDescent="0.3">
      <c r="A1257" s="303"/>
      <c r="B1257" s="303"/>
      <c r="C1257" s="303"/>
      <c r="D1257" s="303"/>
      <c r="E1257" s="303"/>
      <c r="F1257" s="303"/>
    </row>
    <row r="1258" spans="1:62" ht="30" customHeight="1" x14ac:dyDescent="0.3">
      <c r="A1258" s="861" t="s">
        <v>94</v>
      </c>
      <c r="B1258" s="862" t="s">
        <v>4499</v>
      </c>
      <c r="C1258" s="861"/>
      <c r="D1258" s="861"/>
      <c r="E1258" s="861"/>
      <c r="F1258" s="861"/>
      <c r="AF1258" s="302"/>
      <c r="AJ1258" s="302"/>
      <c r="BG1258" s="302"/>
      <c r="BH1258" s="302"/>
      <c r="BI1258" s="302"/>
      <c r="BJ1258" s="102"/>
    </row>
    <row r="1259" spans="1:62" ht="13.75" customHeight="1" x14ac:dyDescent="0.3">
      <c r="A1259" s="303"/>
      <c r="B1259" s="303"/>
      <c r="C1259" s="303"/>
      <c r="D1259" s="303"/>
      <c r="E1259" s="303"/>
      <c r="F1259" s="303"/>
    </row>
    <row r="1260" spans="1:62" ht="20" customHeight="1" x14ac:dyDescent="0.45">
      <c r="A1260" s="879" t="s">
        <v>5477</v>
      </c>
      <c r="B1260" s="878"/>
      <c r="C1260" s="303"/>
      <c r="D1260" s="303"/>
      <c r="E1260" s="303"/>
      <c r="F1260" s="303"/>
      <c r="AF1260" s="672" t="s">
        <v>4500</v>
      </c>
    </row>
    <row r="1261" spans="1:62" ht="13.75" customHeight="1" x14ac:dyDescent="0.3">
      <c r="A1261" s="303"/>
      <c r="B1261" s="303"/>
      <c r="C1261" s="303"/>
      <c r="D1261" s="303"/>
      <c r="E1261" s="303"/>
      <c r="F1261" s="303"/>
    </row>
    <row r="1262" spans="1:62" x14ac:dyDescent="0.3">
      <c r="A1262" s="303"/>
      <c r="B1262" s="303"/>
      <c r="C1262" s="303"/>
      <c r="D1262" s="303"/>
      <c r="E1262" s="303"/>
      <c r="F1262" s="303"/>
      <c r="AF1262" s="302"/>
      <c r="AJ1262" s="302"/>
      <c r="BG1262" s="302"/>
      <c r="BH1262" s="302"/>
      <c r="BI1262" s="302"/>
      <c r="BJ1262" s="102"/>
    </row>
    <row r="1263" spans="1:62" x14ac:dyDescent="0.3">
      <c r="A1263" s="303"/>
      <c r="B1263" s="303"/>
      <c r="C1263" s="303"/>
      <c r="D1263" s="303"/>
      <c r="E1263" s="303"/>
      <c r="F1263" s="303"/>
      <c r="AF1263" s="302"/>
      <c r="AJ1263" s="302"/>
      <c r="BG1263" s="302"/>
      <c r="BH1263" s="302"/>
      <c r="BI1263" s="302"/>
      <c r="BJ1263" s="102"/>
    </row>
    <row r="1264" spans="1:62" x14ac:dyDescent="0.3">
      <c r="A1264" s="303"/>
      <c r="B1264" s="303"/>
      <c r="C1264" s="303"/>
      <c r="D1264" s="303"/>
      <c r="E1264" s="303"/>
      <c r="F1264" s="303"/>
      <c r="AF1264" s="302"/>
      <c r="AJ1264" s="302"/>
      <c r="BG1264" s="302"/>
      <c r="BH1264" s="302"/>
      <c r="BI1264" s="302"/>
      <c r="BJ1264" s="102"/>
    </row>
    <row r="1265" spans="1:62" x14ac:dyDescent="0.3">
      <c r="A1265" s="303"/>
      <c r="B1265" s="303"/>
      <c r="C1265" s="303"/>
      <c r="D1265" s="303"/>
      <c r="E1265" s="303"/>
      <c r="F1265" s="303"/>
      <c r="AF1265" s="302"/>
      <c r="AJ1265" s="302"/>
      <c r="BG1265" s="302"/>
      <c r="BH1265" s="302"/>
      <c r="BI1265" s="302"/>
      <c r="BJ1265" s="102"/>
    </row>
    <row r="1266" spans="1:62" x14ac:dyDescent="0.3">
      <c r="A1266" s="303"/>
      <c r="B1266" s="303"/>
      <c r="C1266" s="303"/>
      <c r="D1266" s="303"/>
      <c r="E1266" s="303"/>
      <c r="F1266" s="303"/>
      <c r="AF1266" s="302"/>
      <c r="AJ1266" s="302"/>
      <c r="BG1266" s="302"/>
      <c r="BH1266" s="302"/>
      <c r="BI1266" s="302"/>
      <c r="BJ1266" s="102"/>
    </row>
    <row r="1267" spans="1:62" x14ac:dyDescent="0.3">
      <c r="A1267" s="303"/>
      <c r="B1267" s="303"/>
      <c r="C1267" s="303"/>
      <c r="D1267" s="303"/>
      <c r="E1267" s="303"/>
      <c r="F1267" s="303"/>
      <c r="AF1267" s="302"/>
      <c r="AJ1267" s="302"/>
      <c r="BG1267" s="302"/>
      <c r="BH1267" s="302"/>
      <c r="BI1267" s="302"/>
      <c r="BJ1267" s="102"/>
    </row>
    <row r="1268" spans="1:62" x14ac:dyDescent="0.3">
      <c r="A1268" s="303"/>
      <c r="B1268" s="303"/>
      <c r="C1268" s="303"/>
      <c r="D1268" s="303"/>
      <c r="E1268" s="303"/>
      <c r="F1268" s="303"/>
      <c r="AF1268" s="302"/>
      <c r="AJ1268" s="302"/>
      <c r="BG1268" s="302"/>
      <c r="BH1268" s="302"/>
      <c r="BI1268" s="302"/>
      <c r="BJ1268" s="102"/>
    </row>
    <row r="1269" spans="1:62" x14ac:dyDescent="0.3">
      <c r="A1269" s="303"/>
      <c r="B1269" s="303"/>
      <c r="C1269" s="303"/>
      <c r="D1269" s="303"/>
      <c r="E1269" s="303"/>
      <c r="F1269" s="303"/>
      <c r="AF1269" s="302"/>
      <c r="AJ1269" s="302"/>
      <c r="BG1269" s="302"/>
      <c r="BH1269" s="302"/>
      <c r="BI1269" s="302"/>
      <c r="BJ1269" s="102"/>
    </row>
    <row r="1270" spans="1:62" x14ac:dyDescent="0.3">
      <c r="A1270" s="303"/>
      <c r="B1270" s="303"/>
      <c r="C1270" s="303"/>
      <c r="D1270" s="303"/>
      <c r="E1270" s="303"/>
      <c r="F1270" s="303"/>
      <c r="AF1270" s="302"/>
      <c r="AJ1270" s="302"/>
      <c r="BG1270" s="302"/>
      <c r="BH1270" s="302"/>
      <c r="BI1270" s="302"/>
      <c r="BJ1270" s="102"/>
    </row>
    <row r="1271" spans="1:62" x14ac:dyDescent="0.3">
      <c r="A1271" s="303"/>
      <c r="B1271" s="303"/>
      <c r="C1271" s="303"/>
      <c r="D1271" s="303"/>
      <c r="E1271" s="303"/>
      <c r="F1271" s="303"/>
      <c r="AF1271" s="302"/>
      <c r="AJ1271" s="302"/>
      <c r="BG1271" s="302"/>
      <c r="BH1271" s="302"/>
      <c r="BI1271" s="302"/>
      <c r="BJ1271" s="102"/>
    </row>
    <row r="1272" spans="1:62" x14ac:dyDescent="0.3">
      <c r="A1272" s="303"/>
      <c r="B1272" s="303"/>
      <c r="C1272" s="303"/>
      <c r="D1272" s="303"/>
      <c r="E1272" s="303"/>
      <c r="F1272" s="303"/>
      <c r="AF1272" s="302"/>
      <c r="AJ1272" s="302"/>
      <c r="BG1272" s="302"/>
      <c r="BH1272" s="302"/>
      <c r="BI1272" s="302"/>
      <c r="BJ1272" s="102"/>
    </row>
    <row r="1273" spans="1:62" x14ac:dyDescent="0.3">
      <c r="A1273" s="303"/>
      <c r="B1273" s="303"/>
      <c r="C1273" s="303"/>
      <c r="D1273" s="303"/>
      <c r="E1273" s="303"/>
      <c r="F1273" s="303"/>
      <c r="AF1273" s="302"/>
      <c r="AJ1273" s="302"/>
      <c r="BG1273" s="302"/>
      <c r="BH1273" s="302"/>
      <c r="BI1273" s="302"/>
      <c r="BJ1273" s="102"/>
    </row>
    <row r="1274" spans="1:62" x14ac:dyDescent="0.3">
      <c r="A1274" s="303"/>
      <c r="B1274" s="303"/>
      <c r="C1274" s="303"/>
      <c r="D1274" s="303"/>
      <c r="E1274" s="303"/>
      <c r="F1274" s="303"/>
      <c r="AF1274" s="302"/>
      <c r="AJ1274" s="302"/>
      <c r="BG1274" s="302"/>
      <c r="BH1274" s="302"/>
      <c r="BI1274" s="302"/>
      <c r="BJ1274" s="102"/>
    </row>
    <row r="1275" spans="1:62" x14ac:dyDescent="0.3">
      <c r="A1275" s="303"/>
      <c r="B1275" s="303"/>
      <c r="C1275" s="303"/>
      <c r="D1275" s="303"/>
      <c r="E1275" s="303"/>
      <c r="F1275" s="303"/>
      <c r="AF1275" s="302"/>
      <c r="AJ1275" s="302"/>
      <c r="BG1275" s="302"/>
      <c r="BH1275" s="302"/>
      <c r="BI1275" s="302"/>
      <c r="BJ1275" s="102"/>
    </row>
    <row r="1276" spans="1:62" ht="5" customHeight="1" x14ac:dyDescent="0.3">
      <c r="A1276" s="303"/>
      <c r="B1276" s="96"/>
      <c r="C1276" s="96"/>
      <c r="D1276" s="96"/>
      <c r="E1276" s="96"/>
      <c r="F1276" s="303"/>
      <c r="AF1276" s="302"/>
      <c r="AJ1276" s="302"/>
      <c r="BG1276" s="302"/>
      <c r="BH1276" s="302"/>
      <c r="BI1276" s="302"/>
      <c r="BJ1276" s="102"/>
    </row>
    <row r="1277" spans="1:62" x14ac:dyDescent="0.3">
      <c r="A1277" s="303"/>
      <c r="B1277" s="303"/>
      <c r="C1277" s="303"/>
      <c r="D1277" s="303"/>
      <c r="E1277" s="303"/>
      <c r="F1277" s="303"/>
      <c r="AF1277" s="302"/>
      <c r="AJ1277" s="302"/>
      <c r="BG1277" s="302"/>
      <c r="BH1277" s="302"/>
      <c r="BI1277" s="302"/>
      <c r="BJ1277" s="102"/>
    </row>
    <row r="1278" spans="1:62" x14ac:dyDescent="0.3">
      <c r="A1278" s="303"/>
      <c r="B1278" s="303"/>
      <c r="C1278" s="303"/>
      <c r="D1278" s="303"/>
      <c r="E1278" s="303"/>
      <c r="F1278" s="303"/>
      <c r="AF1278" s="302"/>
      <c r="AJ1278" s="302"/>
      <c r="BG1278" s="302"/>
      <c r="BH1278" s="302"/>
      <c r="BI1278" s="302"/>
      <c r="BJ1278" s="102"/>
    </row>
    <row r="1279" spans="1:62" x14ac:dyDescent="0.3">
      <c r="A1279" s="303"/>
      <c r="B1279" s="303"/>
      <c r="C1279" s="303"/>
      <c r="D1279" s="303"/>
      <c r="E1279" s="303"/>
      <c r="F1279" s="303"/>
      <c r="AF1279" s="302"/>
      <c r="AJ1279" s="302"/>
      <c r="BG1279" s="302"/>
      <c r="BH1279" s="302"/>
      <c r="BI1279" s="302"/>
      <c r="BJ1279" s="102"/>
    </row>
    <row r="1280" spans="1:62" x14ac:dyDescent="0.3">
      <c r="A1280" s="303"/>
      <c r="B1280" s="303"/>
      <c r="C1280" s="303"/>
      <c r="D1280" s="303"/>
      <c r="E1280" s="303"/>
      <c r="F1280" s="303"/>
      <c r="AF1280" s="302"/>
      <c r="AJ1280" s="302"/>
      <c r="BG1280" s="302"/>
      <c r="BH1280" s="302"/>
      <c r="BI1280" s="302"/>
      <c r="BJ1280" s="102"/>
    </row>
    <row r="1281" spans="1:62" x14ac:dyDescent="0.3">
      <c r="A1281" s="303"/>
      <c r="B1281" s="303"/>
      <c r="C1281" s="303"/>
      <c r="D1281" s="303"/>
      <c r="E1281" s="303"/>
      <c r="F1281" s="303"/>
      <c r="AF1281" s="302"/>
      <c r="AJ1281" s="302"/>
      <c r="BG1281" s="302"/>
      <c r="BH1281" s="302"/>
      <c r="BI1281" s="302"/>
      <c r="BJ1281" s="102"/>
    </row>
    <row r="1282" spans="1:62" x14ac:dyDescent="0.3">
      <c r="A1282" s="303"/>
      <c r="B1282" s="303"/>
      <c r="C1282" s="303"/>
      <c r="D1282" s="303"/>
      <c r="E1282" s="303"/>
      <c r="F1282" s="303"/>
      <c r="AF1282" s="302"/>
      <c r="AJ1282" s="302"/>
      <c r="BG1282" s="302"/>
      <c r="BH1282" s="302"/>
      <c r="BI1282" s="302"/>
      <c r="BJ1282" s="102"/>
    </row>
    <row r="1283" spans="1:62" x14ac:dyDescent="0.3">
      <c r="A1283" s="303"/>
      <c r="B1283" s="303"/>
      <c r="C1283" s="303"/>
      <c r="D1283" s="303"/>
      <c r="E1283" s="303"/>
      <c r="F1283" s="303"/>
      <c r="AF1283" s="302"/>
      <c r="AJ1283" s="302"/>
      <c r="BG1283" s="302"/>
      <c r="BH1283" s="302"/>
      <c r="BI1283" s="302"/>
      <c r="BJ1283" s="102"/>
    </row>
    <row r="1284" spans="1:62" x14ac:dyDescent="0.3">
      <c r="A1284" s="303"/>
      <c r="B1284" s="303"/>
      <c r="C1284" s="303"/>
      <c r="D1284" s="303"/>
      <c r="E1284" s="303"/>
      <c r="F1284" s="303"/>
      <c r="AF1284" s="302"/>
      <c r="AJ1284" s="302"/>
      <c r="BG1284" s="302"/>
      <c r="BH1284" s="302"/>
      <c r="BI1284" s="302"/>
      <c r="BJ1284" s="102"/>
    </row>
    <row r="1285" spans="1:62" x14ac:dyDescent="0.3">
      <c r="A1285" s="303"/>
      <c r="B1285" s="303"/>
      <c r="C1285" s="303"/>
      <c r="D1285" s="303"/>
      <c r="E1285" s="303"/>
      <c r="F1285" s="303"/>
      <c r="AF1285" s="302"/>
      <c r="AJ1285" s="302"/>
      <c r="BG1285" s="302"/>
      <c r="BH1285" s="302"/>
      <c r="BI1285" s="302"/>
      <c r="BJ1285" s="102"/>
    </row>
    <row r="1286" spans="1:62" x14ac:dyDescent="0.3">
      <c r="A1286" s="303"/>
      <c r="B1286" s="303"/>
      <c r="C1286" s="303"/>
      <c r="D1286" s="303"/>
      <c r="E1286" s="303"/>
      <c r="F1286" s="303"/>
      <c r="AF1286" s="302"/>
      <c r="AJ1286" s="302"/>
      <c r="BG1286" s="302"/>
      <c r="BH1286" s="302"/>
      <c r="BI1286" s="302"/>
      <c r="BJ1286" s="102"/>
    </row>
    <row r="1287" spans="1:62" x14ac:dyDescent="0.3">
      <c r="A1287" s="303"/>
      <c r="B1287" s="303"/>
      <c r="C1287" s="303"/>
      <c r="D1287" s="303"/>
      <c r="E1287" s="303"/>
      <c r="F1287" s="303"/>
      <c r="AF1287" s="302"/>
      <c r="AJ1287" s="302"/>
      <c r="BG1287" s="302"/>
      <c r="BH1287" s="302"/>
      <c r="BI1287" s="302"/>
      <c r="BJ1287" s="102"/>
    </row>
    <row r="1288" spans="1:62" x14ac:dyDescent="0.3">
      <c r="A1288" s="303"/>
      <c r="B1288" s="303"/>
      <c r="C1288" s="303"/>
      <c r="D1288" s="303"/>
      <c r="E1288" s="303"/>
      <c r="F1288" s="303"/>
      <c r="AF1288" s="302"/>
      <c r="AJ1288" s="302"/>
      <c r="BG1288" s="302"/>
      <c r="BH1288" s="302"/>
      <c r="BI1288" s="302"/>
      <c r="BJ1288" s="102"/>
    </row>
    <row r="1289" spans="1:62" x14ac:dyDescent="0.3">
      <c r="A1289" s="303"/>
      <c r="B1289" s="303"/>
      <c r="C1289" s="303"/>
      <c r="D1289" s="303"/>
      <c r="E1289" s="303"/>
      <c r="F1289" s="303"/>
      <c r="AF1289" s="302"/>
      <c r="AJ1289" s="302"/>
      <c r="BG1289" s="302"/>
      <c r="BH1289" s="302"/>
      <c r="BI1289" s="302"/>
      <c r="BJ1289" s="102"/>
    </row>
    <row r="1290" spans="1:62" x14ac:dyDescent="0.3">
      <c r="A1290" s="303"/>
      <c r="B1290" s="303"/>
      <c r="C1290" s="303"/>
      <c r="D1290" s="303"/>
      <c r="E1290" s="303"/>
      <c r="F1290" s="303"/>
      <c r="AF1290" s="302"/>
      <c r="AJ1290" s="302"/>
      <c r="BG1290" s="302"/>
      <c r="BH1290" s="302"/>
      <c r="BI1290" s="302"/>
      <c r="BJ1290" s="102"/>
    </row>
    <row r="1291" spans="1:62" x14ac:dyDescent="0.3">
      <c r="A1291" s="303"/>
      <c r="B1291" s="303"/>
      <c r="C1291" s="303"/>
      <c r="D1291" s="303"/>
      <c r="E1291" s="303"/>
      <c r="F1291" s="303"/>
      <c r="AF1291" s="302"/>
      <c r="AJ1291" s="302"/>
      <c r="BG1291" s="302"/>
      <c r="BH1291" s="302"/>
      <c r="BI1291" s="302"/>
      <c r="BJ1291" s="102"/>
    </row>
    <row r="1292" spans="1:62" x14ac:dyDescent="0.3">
      <c r="A1292" s="303"/>
      <c r="B1292" s="303"/>
      <c r="C1292" s="303"/>
      <c r="D1292" s="303"/>
      <c r="E1292" s="303"/>
      <c r="F1292" s="303"/>
      <c r="AF1292" s="302"/>
      <c r="AJ1292" s="302"/>
      <c r="BG1292" s="302"/>
      <c r="BH1292" s="302"/>
      <c r="BI1292" s="302"/>
      <c r="BJ1292" s="102"/>
    </row>
    <row r="1293" spans="1:62" ht="20" x14ac:dyDescent="0.4">
      <c r="A1293" s="306"/>
      <c r="B1293" s="307"/>
      <c r="C1293" s="303"/>
      <c r="D1293" s="303"/>
      <c r="E1293" s="303"/>
      <c r="F1293" s="303"/>
      <c r="AF1293" s="302"/>
      <c r="AJ1293" s="302"/>
      <c r="BG1293" s="302"/>
      <c r="BH1293" s="302"/>
      <c r="BI1293" s="302"/>
      <c r="BJ1293" s="102"/>
    </row>
    <row r="1294" spans="1:62" x14ac:dyDescent="0.3">
      <c r="A1294" s="303"/>
      <c r="B1294" s="303"/>
      <c r="C1294" s="303"/>
      <c r="D1294" s="303"/>
      <c r="E1294" s="303"/>
      <c r="F1294" s="303"/>
      <c r="AF1294" s="302"/>
      <c r="AJ1294" s="302"/>
      <c r="BG1294" s="302"/>
      <c r="BH1294" s="302"/>
      <c r="BI1294" s="302"/>
      <c r="BJ1294" s="102"/>
    </row>
    <row r="1295" spans="1:62" x14ac:dyDescent="0.3">
      <c r="A1295" s="303"/>
      <c r="B1295" s="303"/>
      <c r="C1295" s="303"/>
      <c r="D1295" s="303"/>
      <c r="E1295" s="303"/>
      <c r="F1295" s="303"/>
      <c r="AF1295" s="302"/>
      <c r="AJ1295" s="302"/>
      <c r="BG1295" s="302"/>
      <c r="BH1295" s="302"/>
      <c r="BI1295" s="302"/>
      <c r="BJ1295" s="102"/>
    </row>
    <row r="1296" spans="1:62" x14ac:dyDescent="0.3">
      <c r="A1296" s="303"/>
      <c r="B1296" s="303"/>
      <c r="C1296" s="303"/>
      <c r="D1296" s="303"/>
      <c r="E1296" s="303"/>
      <c r="F1296" s="303"/>
      <c r="AF1296" s="302"/>
      <c r="AJ1296" s="302"/>
      <c r="BG1296" s="302"/>
      <c r="BH1296" s="302"/>
      <c r="BI1296" s="302"/>
      <c r="BJ1296" s="102"/>
    </row>
    <row r="1297" spans="1:62" x14ac:dyDescent="0.3">
      <c r="A1297" s="303"/>
      <c r="B1297" s="303"/>
      <c r="C1297" s="303"/>
      <c r="D1297" s="303"/>
      <c r="E1297" s="303"/>
      <c r="F1297" s="303"/>
      <c r="AF1297" s="302"/>
      <c r="AJ1297" s="302"/>
      <c r="BG1297" s="302"/>
      <c r="BH1297" s="302"/>
      <c r="BI1297" s="302"/>
      <c r="BJ1297" s="102"/>
    </row>
    <row r="1298" spans="1:62" x14ac:dyDescent="0.3">
      <c r="A1298" s="303"/>
      <c r="B1298" s="303"/>
      <c r="C1298" s="303"/>
      <c r="D1298" s="303"/>
      <c r="E1298" s="303"/>
      <c r="F1298" s="303"/>
      <c r="AF1298" s="302"/>
      <c r="AJ1298" s="302"/>
      <c r="BG1298" s="302"/>
      <c r="BH1298" s="302"/>
      <c r="BI1298" s="302"/>
      <c r="BJ1298" s="102"/>
    </row>
    <row r="1299" spans="1:62" x14ac:dyDescent="0.3">
      <c r="A1299" s="303"/>
      <c r="B1299" s="303"/>
      <c r="C1299" s="303"/>
      <c r="D1299" s="303"/>
      <c r="E1299" s="303"/>
      <c r="F1299" s="303"/>
      <c r="AF1299" s="302"/>
      <c r="AJ1299" s="302"/>
      <c r="BG1299" s="302"/>
      <c r="BH1299" s="302"/>
      <c r="BI1299" s="302"/>
      <c r="BJ1299" s="102"/>
    </row>
    <row r="1300" spans="1:62" x14ac:dyDescent="0.3">
      <c r="A1300" s="303"/>
      <c r="B1300" s="303"/>
      <c r="C1300" s="303"/>
      <c r="D1300" s="303"/>
      <c r="E1300" s="303"/>
      <c r="F1300" s="303"/>
      <c r="AF1300" s="302"/>
      <c r="AJ1300" s="302"/>
      <c r="BG1300" s="302"/>
      <c r="BH1300" s="302"/>
      <c r="BI1300" s="302"/>
      <c r="BJ1300" s="102"/>
    </row>
    <row r="1301" spans="1:62" x14ac:dyDescent="0.3">
      <c r="A1301" s="303"/>
      <c r="B1301" s="303"/>
      <c r="C1301" s="303"/>
      <c r="D1301" s="303"/>
      <c r="E1301" s="303"/>
      <c r="F1301" s="303"/>
      <c r="AF1301" s="302"/>
      <c r="AJ1301" s="302"/>
      <c r="BG1301" s="302"/>
      <c r="BH1301" s="302"/>
      <c r="BI1301" s="302"/>
      <c r="BJ1301" s="102"/>
    </row>
    <row r="1302" spans="1:62" x14ac:dyDescent="0.3">
      <c r="A1302" s="303"/>
      <c r="B1302" s="303"/>
      <c r="C1302" s="303"/>
      <c r="D1302" s="303"/>
      <c r="E1302" s="303"/>
      <c r="F1302" s="303"/>
      <c r="AF1302" s="302"/>
      <c r="AJ1302" s="302"/>
      <c r="BG1302" s="302"/>
      <c r="BH1302" s="302"/>
      <c r="BI1302" s="302"/>
      <c r="BJ1302" s="102"/>
    </row>
    <row r="1303" spans="1:62" x14ac:dyDescent="0.3">
      <c r="A1303" s="303"/>
      <c r="B1303" s="303"/>
      <c r="C1303" s="303"/>
      <c r="D1303" s="303"/>
      <c r="E1303" s="303"/>
      <c r="F1303" s="303"/>
      <c r="AF1303" s="302"/>
      <c r="AJ1303" s="302"/>
      <c r="BG1303" s="302"/>
      <c r="BH1303" s="302"/>
      <c r="BI1303" s="302"/>
      <c r="BJ1303" s="102"/>
    </row>
    <row r="1304" spans="1:62" x14ac:dyDescent="0.3">
      <c r="A1304" s="303"/>
      <c r="B1304" s="303"/>
      <c r="C1304" s="303"/>
      <c r="D1304" s="303"/>
      <c r="E1304" s="303"/>
      <c r="F1304" s="303"/>
      <c r="AF1304" s="302"/>
      <c r="AJ1304" s="302"/>
      <c r="BG1304" s="302"/>
      <c r="BH1304" s="302"/>
      <c r="BI1304" s="302"/>
      <c r="BJ1304" s="102"/>
    </row>
    <row r="1305" spans="1:62" hidden="1" x14ac:dyDescent="0.3">
      <c r="A1305" s="303"/>
      <c r="B1305" s="303"/>
      <c r="C1305" s="303"/>
      <c r="D1305" s="303"/>
      <c r="E1305" s="303"/>
      <c r="F1305" s="1"/>
      <c r="AF1305" s="302"/>
      <c r="AJ1305" s="302"/>
      <c r="BG1305" s="302"/>
      <c r="BH1305" s="302"/>
      <c r="BI1305" s="302"/>
      <c r="BJ1305" s="102"/>
    </row>
    <row r="1306" spans="1:62" hidden="1" x14ac:dyDescent="0.3">
      <c r="A1306" s="303"/>
      <c r="B1306" s="303"/>
      <c r="C1306" s="303"/>
      <c r="D1306" s="303"/>
      <c r="E1306" s="303"/>
      <c r="F1306" s="1"/>
      <c r="AC1306" s="96" t="s">
        <v>749</v>
      </c>
      <c r="AF1306" s="302"/>
      <c r="AG1306" s="308"/>
      <c r="AJ1306" s="302"/>
      <c r="BG1306" s="302"/>
      <c r="BH1306" s="302"/>
      <c r="BI1306" s="302"/>
      <c r="BJ1306" s="102"/>
    </row>
    <row r="1307" spans="1:62" hidden="1" x14ac:dyDescent="0.3">
      <c r="A1307" s="303"/>
      <c r="B1307" s="303"/>
      <c r="C1307" s="303"/>
      <c r="D1307" s="303"/>
      <c r="E1307" s="303"/>
      <c r="F1307" s="1"/>
      <c r="AC1307" s="96" t="s">
        <v>750</v>
      </c>
      <c r="AF1307" s="302"/>
      <c r="AG1307" s="309">
        <v>5</v>
      </c>
      <c r="AJ1307" s="302"/>
      <c r="BG1307" s="302"/>
      <c r="BH1307" s="302"/>
      <c r="BI1307" s="302"/>
      <c r="BJ1307" s="102"/>
    </row>
    <row r="1308" spans="1:62" hidden="1" x14ac:dyDescent="0.3">
      <c r="A1308" s="303"/>
      <c r="B1308" s="303"/>
      <c r="C1308" s="303"/>
      <c r="D1308" s="303"/>
      <c r="E1308" s="303"/>
      <c r="F1308" s="1"/>
      <c r="AC1308" s="96" t="s">
        <v>751</v>
      </c>
      <c r="AF1308" s="302"/>
      <c r="AG1308" s="308"/>
      <c r="AJ1308" s="302"/>
      <c r="BG1308" s="302"/>
      <c r="BH1308" s="302"/>
      <c r="BI1308" s="302"/>
      <c r="BJ1308" s="102"/>
    </row>
    <row r="1309" spans="1:62" hidden="1" x14ac:dyDescent="0.3">
      <c r="A1309" s="303"/>
      <c r="B1309" s="303"/>
      <c r="C1309" s="303"/>
      <c r="D1309" s="303"/>
      <c r="E1309" s="303"/>
      <c r="F1309" s="1"/>
      <c r="AC1309" s="96" t="s">
        <v>752</v>
      </c>
      <c r="AF1309" s="302"/>
      <c r="AG1309" s="308"/>
      <c r="AJ1309" s="302"/>
      <c r="BG1309" s="302"/>
      <c r="BH1309" s="302"/>
      <c r="BI1309" s="302"/>
      <c r="BJ1309" s="102"/>
    </row>
    <row r="1310" spans="1:62" hidden="1" x14ac:dyDescent="0.3">
      <c r="A1310" s="303"/>
      <c r="B1310" s="303"/>
      <c r="C1310" s="303"/>
      <c r="D1310" s="303"/>
      <c r="E1310" s="303"/>
      <c r="F1310" s="1"/>
      <c r="AC1310" s="304" t="s">
        <v>753</v>
      </c>
      <c r="AF1310" s="302"/>
      <c r="AG1310" s="309">
        <v>25</v>
      </c>
      <c r="AJ1310" s="302"/>
      <c r="BG1310" s="302"/>
      <c r="BH1310" s="302"/>
      <c r="BI1310" s="302"/>
      <c r="BJ1310" s="102"/>
    </row>
    <row r="1311" spans="1:62" hidden="1" x14ac:dyDescent="0.3">
      <c r="A1311" s="303"/>
      <c r="B1311" s="303"/>
      <c r="C1311" s="303"/>
      <c r="D1311" s="303"/>
      <c r="E1311" s="303"/>
      <c r="F1311" s="1"/>
      <c r="AC1311" s="304" t="s">
        <v>754</v>
      </c>
      <c r="AF1311" s="302"/>
      <c r="AG1311" s="308"/>
      <c r="AJ1311" s="302"/>
      <c r="BG1311" s="302"/>
      <c r="BH1311" s="302"/>
      <c r="BI1311" s="302"/>
      <c r="BJ1311" s="102"/>
    </row>
    <row r="1312" spans="1:62" hidden="1" x14ac:dyDescent="0.3">
      <c r="A1312" s="303"/>
      <c r="B1312" s="303"/>
      <c r="C1312" s="303"/>
      <c r="D1312" s="303"/>
      <c r="E1312" s="303"/>
      <c r="F1312" s="1"/>
      <c r="AC1312" s="304" t="s">
        <v>755</v>
      </c>
      <c r="AF1312" s="302"/>
      <c r="AG1312" s="309">
        <v>50</v>
      </c>
      <c r="AJ1312" s="302"/>
      <c r="BG1312" s="302"/>
      <c r="BH1312" s="302"/>
      <c r="BI1312" s="302"/>
      <c r="BJ1312" s="102"/>
    </row>
    <row r="1313" spans="1:62" hidden="1" x14ac:dyDescent="0.3">
      <c r="A1313" s="303"/>
      <c r="B1313" s="303"/>
      <c r="C1313" s="303"/>
      <c r="D1313" s="303"/>
      <c r="E1313" s="303"/>
      <c r="F1313" s="1"/>
      <c r="AC1313" s="304" t="s">
        <v>756</v>
      </c>
      <c r="AF1313" s="302"/>
      <c r="AG1313" s="308"/>
      <c r="AJ1313" s="302"/>
      <c r="BG1313" s="302"/>
      <c r="BH1313" s="302"/>
      <c r="BI1313" s="302"/>
      <c r="BJ1313" s="102"/>
    </row>
    <row r="1314" spans="1:62" hidden="1" x14ac:dyDescent="0.3">
      <c r="A1314" s="303"/>
      <c r="B1314" s="303"/>
      <c r="C1314" s="303"/>
      <c r="D1314" s="303"/>
      <c r="E1314" s="303"/>
      <c r="F1314" s="1"/>
      <c r="AC1314" s="304" t="s">
        <v>757</v>
      </c>
      <c r="AF1314" s="302"/>
      <c r="AG1314" s="309">
        <v>100</v>
      </c>
      <c r="AJ1314" s="302"/>
      <c r="BG1314" s="302"/>
      <c r="BH1314" s="302"/>
      <c r="BI1314" s="302"/>
      <c r="BJ1314" s="102"/>
    </row>
    <row r="1315" spans="1:62" hidden="1" x14ac:dyDescent="0.3">
      <c r="A1315" s="303"/>
      <c r="B1315" s="303"/>
      <c r="C1315" s="303"/>
      <c r="D1315" s="303"/>
      <c r="E1315" s="303"/>
      <c r="F1315" s="1"/>
      <c r="AC1315" s="304" t="s">
        <v>758</v>
      </c>
      <c r="AF1315" s="302"/>
      <c r="AJ1315" s="302"/>
      <c r="BG1315" s="302"/>
      <c r="BH1315" s="302"/>
      <c r="BI1315" s="302"/>
      <c r="BJ1315" s="102"/>
    </row>
    <row r="1316" spans="1:62" hidden="1" x14ac:dyDescent="0.3">
      <c r="A1316" s="303"/>
      <c r="B1316" s="303"/>
      <c r="C1316" s="303"/>
      <c r="D1316" s="303"/>
      <c r="E1316" s="303"/>
      <c r="F1316" s="1"/>
      <c r="AC1316" s="305" t="s">
        <v>759</v>
      </c>
      <c r="AF1316" s="302"/>
      <c r="AJ1316" s="302"/>
      <c r="BG1316" s="302"/>
      <c r="BH1316" s="302"/>
      <c r="BI1316" s="302"/>
      <c r="BJ1316" s="102"/>
    </row>
    <row r="1317" spans="1:62" hidden="1" x14ac:dyDescent="0.3">
      <c r="A1317" s="303"/>
      <c r="B1317" s="303"/>
      <c r="C1317" s="303"/>
      <c r="D1317" s="303"/>
      <c r="E1317" s="303"/>
      <c r="F1317" s="1"/>
      <c r="AC1317" s="96" t="s">
        <v>760</v>
      </c>
      <c r="AF1317" s="302"/>
      <c r="AJ1317" s="302"/>
      <c r="BG1317" s="302"/>
      <c r="BH1317" s="302"/>
      <c r="BI1317" s="302"/>
      <c r="BJ1317" s="102"/>
    </row>
    <row r="1318" spans="1:62" hidden="1" x14ac:dyDescent="0.3">
      <c r="A1318" s="303"/>
      <c r="B1318" s="303"/>
      <c r="C1318" s="303"/>
      <c r="D1318" s="303"/>
      <c r="E1318" s="303"/>
      <c r="F1318" s="1"/>
      <c r="AC1318" s="96" t="s">
        <v>761</v>
      </c>
      <c r="AF1318" s="302"/>
      <c r="AJ1318" s="302"/>
      <c r="BG1318" s="302"/>
      <c r="BH1318" s="302"/>
      <c r="BI1318" s="302"/>
      <c r="BJ1318" s="102"/>
    </row>
    <row r="1319" spans="1:62" hidden="1" x14ac:dyDescent="0.3">
      <c r="A1319" s="303"/>
      <c r="B1319" s="303"/>
      <c r="C1319" s="303"/>
      <c r="D1319" s="303"/>
      <c r="E1319" s="303"/>
      <c r="F1319" s="1"/>
      <c r="AC1319" s="96" t="s">
        <v>762</v>
      </c>
      <c r="AF1319" s="302"/>
      <c r="AJ1319" s="302"/>
      <c r="BG1319" s="302"/>
      <c r="BH1319" s="302"/>
      <c r="BI1319" s="302"/>
      <c r="BJ1319" s="102"/>
    </row>
    <row r="1320" spans="1:62" hidden="1" x14ac:dyDescent="0.3">
      <c r="A1320" s="303"/>
      <c r="B1320" s="303"/>
      <c r="C1320" s="303"/>
      <c r="D1320" s="303"/>
      <c r="E1320" s="303"/>
      <c r="F1320" s="1"/>
      <c r="AC1320" s="96"/>
      <c r="AF1320" s="302"/>
      <c r="AJ1320" s="302"/>
      <c r="BG1320" s="302"/>
      <c r="BH1320" s="302"/>
      <c r="BI1320" s="302"/>
      <c r="BJ1320" s="102"/>
    </row>
    <row r="1321" spans="1:62" hidden="1" x14ac:dyDescent="0.3">
      <c r="A1321" s="303"/>
      <c r="B1321" s="303"/>
      <c r="C1321" s="303"/>
      <c r="D1321" s="303"/>
      <c r="E1321" s="303"/>
      <c r="F1321" s="1"/>
      <c r="AF1321" s="302"/>
      <c r="AJ1321" s="302"/>
      <c r="BG1321" s="302"/>
      <c r="BH1321" s="302"/>
      <c r="BI1321" s="302"/>
      <c r="BJ1321" s="102"/>
    </row>
    <row r="1322" spans="1:62" hidden="1" x14ac:dyDescent="0.3">
      <c r="A1322" s="303"/>
      <c r="B1322" s="303"/>
      <c r="C1322" s="303"/>
      <c r="D1322" s="303"/>
      <c r="E1322" s="303"/>
      <c r="F1322" s="1"/>
      <c r="AF1322" s="302"/>
      <c r="AJ1322" s="302"/>
      <c r="BG1322" s="302"/>
      <c r="BH1322" s="302"/>
      <c r="BI1322" s="302"/>
      <c r="BJ1322" s="102"/>
    </row>
    <row r="1323" spans="1:62" hidden="1" x14ac:dyDescent="0.3">
      <c r="A1323" s="303"/>
      <c r="B1323" s="303"/>
      <c r="C1323" s="303"/>
      <c r="D1323" s="303"/>
      <c r="E1323" s="303"/>
      <c r="F1323" s="1"/>
      <c r="AF1323" s="302"/>
      <c r="AJ1323" s="302"/>
      <c r="BG1323" s="302"/>
      <c r="BH1323" s="302"/>
      <c r="BI1323" s="302"/>
      <c r="BJ1323" s="102"/>
    </row>
    <row r="1324" spans="1:62" hidden="1" x14ac:dyDescent="0.3">
      <c r="A1324" s="303"/>
      <c r="B1324" s="303"/>
      <c r="C1324" s="303"/>
      <c r="D1324" s="303"/>
      <c r="E1324" s="303"/>
      <c r="F1324" s="1"/>
      <c r="AF1324" s="302"/>
      <c r="AJ1324" s="302"/>
      <c r="BG1324" s="302"/>
      <c r="BH1324" s="302"/>
      <c r="BI1324" s="302"/>
      <c r="BJ1324" s="102"/>
    </row>
    <row r="1325" spans="1:62" hidden="1" x14ac:dyDescent="0.3">
      <c r="A1325" s="303"/>
      <c r="B1325" s="303"/>
      <c r="C1325" s="303"/>
      <c r="D1325" s="303"/>
      <c r="E1325" s="303"/>
      <c r="F1325" s="1"/>
      <c r="AF1325" s="302"/>
      <c r="AJ1325" s="302"/>
      <c r="BG1325" s="302"/>
      <c r="BH1325" s="302"/>
      <c r="BI1325" s="302"/>
      <c r="BJ1325" s="102"/>
    </row>
    <row r="1326" spans="1:62" hidden="1" x14ac:dyDescent="0.3">
      <c r="A1326" s="303"/>
      <c r="B1326" s="303"/>
      <c r="C1326" s="303"/>
      <c r="D1326" s="303"/>
      <c r="E1326" s="303"/>
      <c r="F1326" s="1"/>
      <c r="AF1326" s="302"/>
      <c r="AJ1326" s="302"/>
      <c r="BG1326" s="302"/>
      <c r="BH1326" s="302"/>
      <c r="BI1326" s="302"/>
      <c r="BJ1326" s="102"/>
    </row>
    <row r="1327" spans="1:62" hidden="1" x14ac:dyDescent="0.3">
      <c r="A1327" s="303"/>
      <c r="B1327" s="303"/>
      <c r="C1327" s="303"/>
      <c r="D1327" s="303"/>
      <c r="E1327" s="303"/>
      <c r="F1327" s="1"/>
      <c r="AF1327" s="302"/>
      <c r="AJ1327" s="302"/>
      <c r="BG1327" s="302"/>
      <c r="BH1327" s="302"/>
      <c r="BI1327" s="302"/>
      <c r="BJ1327" s="102"/>
    </row>
    <row r="1328" spans="1:62" hidden="1" x14ac:dyDescent="0.3">
      <c r="A1328" s="303"/>
      <c r="B1328" s="303"/>
      <c r="C1328" s="303"/>
      <c r="D1328" s="303"/>
      <c r="E1328" s="303"/>
      <c r="F1328" s="1"/>
      <c r="AF1328" s="302"/>
      <c r="AJ1328" s="302"/>
      <c r="BG1328" s="302"/>
      <c r="BH1328" s="302"/>
      <c r="BI1328" s="302"/>
      <c r="BJ1328" s="102"/>
    </row>
    <row r="1329" spans="1:62" hidden="1" x14ac:dyDescent="0.3">
      <c r="A1329" s="303"/>
      <c r="B1329" s="303"/>
      <c r="C1329" s="303"/>
      <c r="D1329" s="303"/>
      <c r="E1329" s="303"/>
      <c r="F1329" s="1"/>
      <c r="AF1329" s="302"/>
      <c r="AJ1329" s="302"/>
      <c r="BG1329" s="302"/>
      <c r="BH1329" s="302"/>
      <c r="BI1329" s="302"/>
      <c r="BJ1329" s="102"/>
    </row>
    <row r="1330" spans="1:62" hidden="1" x14ac:dyDescent="0.3">
      <c r="A1330" s="303"/>
      <c r="B1330" s="303"/>
      <c r="C1330" s="303"/>
      <c r="D1330" s="303"/>
      <c r="E1330" s="303"/>
      <c r="F1330" s="1"/>
      <c r="AF1330" s="302"/>
      <c r="AJ1330" s="302"/>
      <c r="BG1330" s="302"/>
      <c r="BH1330" s="302"/>
      <c r="BI1330" s="302"/>
      <c r="BJ1330" s="102"/>
    </row>
    <row r="1331" spans="1:62" hidden="1" x14ac:dyDescent="0.3">
      <c r="A1331" s="303"/>
      <c r="B1331" s="303"/>
      <c r="C1331" s="303"/>
      <c r="D1331" s="303"/>
      <c r="E1331" s="303"/>
      <c r="F1331" s="1"/>
      <c r="AF1331" s="302"/>
      <c r="AJ1331" s="302"/>
      <c r="BG1331" s="302"/>
      <c r="BH1331" s="302"/>
      <c r="BI1331" s="302"/>
      <c r="BJ1331" s="102"/>
    </row>
    <row r="1332" spans="1:62" hidden="1" x14ac:dyDescent="0.3">
      <c r="A1332" s="303"/>
      <c r="B1332" s="303"/>
      <c r="C1332" s="303"/>
      <c r="D1332" s="303"/>
      <c r="E1332" s="303"/>
      <c r="F1332" s="1"/>
      <c r="AF1332" s="302"/>
      <c r="AJ1332" s="302"/>
      <c r="BG1332" s="302"/>
      <c r="BH1332" s="302"/>
      <c r="BI1332" s="302"/>
      <c r="BJ1332" s="102"/>
    </row>
    <row r="1333" spans="1:62" hidden="1" x14ac:dyDescent="0.3">
      <c r="A1333" s="303"/>
      <c r="B1333" s="303"/>
      <c r="C1333" s="303"/>
      <c r="D1333" s="303"/>
      <c r="E1333" s="303"/>
      <c r="F1333" s="1"/>
      <c r="AF1333" s="302"/>
      <c r="AJ1333" s="302"/>
      <c r="BG1333" s="302"/>
      <c r="BH1333" s="302"/>
      <c r="BI1333" s="302"/>
      <c r="BJ1333" s="102"/>
    </row>
    <row r="1334" spans="1:62" hidden="1" x14ac:dyDescent="0.3">
      <c r="A1334" s="303"/>
      <c r="B1334" s="303"/>
      <c r="C1334" s="303"/>
      <c r="D1334" s="303"/>
      <c r="E1334" s="303"/>
      <c r="F1334" s="1"/>
      <c r="AF1334" s="302"/>
      <c r="AJ1334" s="302"/>
      <c r="BG1334" s="302"/>
      <c r="BH1334" s="302"/>
      <c r="BI1334" s="302"/>
      <c r="BJ1334" s="102"/>
    </row>
    <row r="1335" spans="1:62" hidden="1" x14ac:dyDescent="0.3">
      <c r="A1335" s="303"/>
      <c r="B1335" s="303"/>
      <c r="C1335" s="303"/>
      <c r="D1335" s="303"/>
      <c r="E1335" s="303"/>
      <c r="F1335" s="1"/>
      <c r="AF1335" s="302"/>
      <c r="AJ1335" s="302"/>
      <c r="BG1335" s="302"/>
      <c r="BH1335" s="302"/>
      <c r="BI1335" s="302"/>
      <c r="BJ1335" s="102"/>
    </row>
    <row r="1336" spans="1:62" hidden="1" x14ac:dyDescent="0.3">
      <c r="A1336" s="303"/>
      <c r="B1336" s="303"/>
      <c r="C1336" s="303"/>
      <c r="D1336" s="303"/>
      <c r="E1336" s="303"/>
      <c r="F1336" s="1"/>
      <c r="AF1336" s="302"/>
      <c r="AJ1336" s="302"/>
      <c r="BG1336" s="302"/>
      <c r="BH1336" s="302"/>
      <c r="BI1336" s="302"/>
      <c r="BJ1336" s="102"/>
    </row>
    <row r="1337" spans="1:62" hidden="1" x14ac:dyDescent="0.3">
      <c r="A1337" s="303"/>
      <c r="B1337" s="303"/>
      <c r="C1337" s="303"/>
      <c r="D1337" s="303"/>
      <c r="E1337" s="303"/>
      <c r="F1337" s="1"/>
      <c r="AF1337" s="302"/>
      <c r="AJ1337" s="302"/>
      <c r="BG1337" s="302"/>
      <c r="BH1337" s="302"/>
      <c r="BI1337" s="302"/>
      <c r="BJ1337" s="102"/>
    </row>
    <row r="1338" spans="1:62" hidden="1" x14ac:dyDescent="0.3">
      <c r="A1338" s="303"/>
      <c r="B1338" s="303"/>
      <c r="C1338" s="303"/>
      <c r="D1338" s="303"/>
      <c r="E1338" s="303"/>
      <c r="F1338" s="1"/>
      <c r="AF1338" s="302"/>
      <c r="AJ1338" s="302"/>
      <c r="BG1338" s="302"/>
      <c r="BH1338" s="302"/>
      <c r="BI1338" s="302"/>
      <c r="BJ1338" s="102"/>
    </row>
    <row r="1339" spans="1:62" hidden="1" x14ac:dyDescent="0.3">
      <c r="A1339" s="303"/>
      <c r="B1339" s="303"/>
      <c r="C1339" s="303"/>
      <c r="D1339" s="303"/>
      <c r="E1339" s="303"/>
      <c r="F1339" s="1"/>
      <c r="AF1339" s="302"/>
      <c r="AJ1339" s="302"/>
      <c r="BG1339" s="302"/>
      <c r="BH1339" s="302"/>
      <c r="BI1339" s="302"/>
      <c r="BJ1339" s="102"/>
    </row>
    <row r="1340" spans="1:62" hidden="1" x14ac:dyDescent="0.3">
      <c r="A1340" s="303"/>
      <c r="B1340" s="303"/>
      <c r="C1340" s="303"/>
      <c r="D1340" s="303"/>
      <c r="E1340" s="303"/>
      <c r="F1340" s="1"/>
      <c r="AF1340" s="302"/>
      <c r="AJ1340" s="302"/>
      <c r="BG1340" s="302"/>
      <c r="BH1340" s="302"/>
      <c r="BI1340" s="302"/>
      <c r="BJ1340" s="102"/>
    </row>
    <row r="1341" spans="1:62" hidden="1" x14ac:dyDescent="0.3">
      <c r="A1341" s="303"/>
      <c r="B1341" s="303"/>
      <c r="C1341" s="303"/>
      <c r="D1341" s="303"/>
      <c r="E1341" s="303"/>
      <c r="F1341" s="1"/>
      <c r="AF1341" s="302"/>
      <c r="AJ1341" s="302"/>
      <c r="BG1341" s="302"/>
      <c r="BH1341" s="302"/>
      <c r="BI1341" s="302"/>
      <c r="BJ1341" s="102"/>
    </row>
    <row r="1342" spans="1:62" hidden="1" x14ac:dyDescent="0.3">
      <c r="A1342" s="303"/>
      <c r="B1342" s="303"/>
      <c r="C1342" s="303"/>
      <c r="D1342" s="303"/>
      <c r="E1342" s="303"/>
      <c r="F1342" s="1"/>
      <c r="AF1342" s="302"/>
      <c r="AJ1342" s="302"/>
      <c r="BG1342" s="302"/>
      <c r="BH1342" s="302"/>
      <c r="BI1342" s="302"/>
      <c r="BJ1342" s="102"/>
    </row>
    <row r="1343" spans="1:62" hidden="1" x14ac:dyDescent="0.3">
      <c r="A1343" s="303"/>
      <c r="B1343" s="303"/>
      <c r="C1343" s="303"/>
      <c r="D1343" s="303"/>
      <c r="E1343" s="303"/>
      <c r="F1343" s="1"/>
      <c r="AF1343" s="302"/>
      <c r="AJ1343" s="302"/>
      <c r="BG1343" s="302"/>
      <c r="BH1343" s="302"/>
      <c r="BI1343" s="302"/>
      <c r="BJ1343" s="102"/>
    </row>
    <row r="1344" spans="1:62" hidden="1" x14ac:dyDescent="0.3">
      <c r="A1344" s="303"/>
      <c r="B1344" s="303"/>
      <c r="C1344" s="303"/>
      <c r="D1344" s="303"/>
      <c r="E1344" s="303"/>
      <c r="F1344" s="1"/>
      <c r="AF1344" s="302"/>
      <c r="AJ1344" s="302"/>
      <c r="BG1344" s="302"/>
      <c r="BH1344" s="302"/>
      <c r="BI1344" s="302"/>
      <c r="BJ1344" s="102"/>
    </row>
    <row r="1345" spans="1:66" hidden="1" x14ac:dyDescent="0.3">
      <c r="A1345" s="303"/>
      <c r="B1345" s="303"/>
      <c r="C1345" s="303"/>
      <c r="D1345" s="303"/>
      <c r="E1345" s="303"/>
      <c r="F1345" s="1"/>
      <c r="AF1345" s="302"/>
      <c r="AJ1345" s="302"/>
      <c r="BG1345" s="302"/>
      <c r="BH1345" s="302"/>
      <c r="BI1345" s="302"/>
      <c r="BJ1345" s="102"/>
    </row>
    <row r="1346" spans="1:66" hidden="1" x14ac:dyDescent="0.3">
      <c r="A1346" s="303"/>
      <c r="B1346" s="303"/>
      <c r="C1346" s="303"/>
      <c r="D1346" s="303"/>
      <c r="E1346" s="303"/>
      <c r="F1346" s="1"/>
      <c r="AF1346" s="302"/>
      <c r="AJ1346" s="302"/>
      <c r="BG1346" s="302"/>
      <c r="BH1346" s="302"/>
      <c r="BI1346" s="302"/>
      <c r="BJ1346" s="102"/>
    </row>
    <row r="1347" spans="1:66" hidden="1" x14ac:dyDescent="0.3">
      <c r="A1347" s="303"/>
      <c r="B1347" s="303"/>
      <c r="C1347" s="303"/>
      <c r="D1347" s="303"/>
      <c r="E1347" s="303"/>
      <c r="F1347" s="1"/>
      <c r="AF1347" s="302"/>
      <c r="AJ1347" s="302"/>
      <c r="BG1347" s="302"/>
      <c r="BH1347" s="302"/>
      <c r="BI1347" s="302"/>
      <c r="BJ1347" s="102"/>
    </row>
    <row r="1348" spans="1:66" hidden="1" x14ac:dyDescent="0.3">
      <c r="A1348" s="303"/>
      <c r="B1348" s="303"/>
      <c r="C1348" s="303"/>
      <c r="D1348" s="303"/>
      <c r="E1348" s="303"/>
      <c r="F1348" s="1"/>
      <c r="AF1348" s="302"/>
      <c r="AJ1348" s="302"/>
      <c r="BG1348" s="302"/>
      <c r="BH1348" s="302"/>
      <c r="BI1348" s="302"/>
      <c r="BJ1348" s="102"/>
    </row>
    <row r="1349" spans="1:66" hidden="1" x14ac:dyDescent="0.3">
      <c r="A1349" s="303"/>
      <c r="B1349" s="303"/>
      <c r="C1349" s="303"/>
      <c r="D1349" s="303"/>
      <c r="E1349" s="303"/>
      <c r="F1349" s="1"/>
      <c r="AF1349" s="302"/>
      <c r="AJ1349" s="302"/>
      <c r="BG1349" s="302"/>
      <c r="BH1349" s="302"/>
      <c r="BI1349" s="302"/>
      <c r="BJ1349" s="102"/>
    </row>
    <row r="1350" spans="1:66" ht="20" hidden="1" customHeight="1" x14ac:dyDescent="0.3">
      <c r="A1350" s="303"/>
      <c r="B1350" s="303"/>
      <c r="C1350" s="303"/>
      <c r="D1350" s="303"/>
      <c r="E1350" s="303"/>
      <c r="F1350" s="1"/>
      <c r="AF1350" s="302"/>
      <c r="AJ1350" s="302"/>
      <c r="BG1350" s="302"/>
      <c r="BH1350" s="302"/>
      <c r="BI1350" s="302"/>
      <c r="BJ1350" s="102"/>
    </row>
    <row r="1351" spans="1:66" ht="10" hidden="1" customHeight="1" x14ac:dyDescent="0.3">
      <c r="A1351" s="303"/>
      <c r="B1351" s="303"/>
      <c r="C1351" s="303"/>
      <c r="D1351" s="303"/>
      <c r="E1351" s="303"/>
      <c r="F1351" s="1"/>
      <c r="AF1351" s="302"/>
      <c r="AJ1351" s="302"/>
      <c r="BG1351" s="302"/>
      <c r="BH1351" s="302"/>
      <c r="BI1351" s="302"/>
      <c r="BJ1351" s="102"/>
    </row>
    <row r="1352" spans="1:66" ht="30" hidden="1" customHeight="1" x14ac:dyDescent="0.3">
      <c r="A1352" s="39" t="s">
        <v>91</v>
      </c>
      <c r="B1352" s="39" t="s">
        <v>763</v>
      </c>
      <c r="C1352" s="39"/>
      <c r="D1352" s="39"/>
      <c r="E1352" s="39"/>
      <c r="F1352" s="39"/>
      <c r="AC1352" s="52">
        <f>AC1358+AC1368+AC1378+AC1388+AC1398+AC1408+AC1418+AC1428+AC1438+AC1448+AC1458+AC1468+AC1478+AC1488+AC1498+AC1508+AC1518+AC1528+AC1538+AC1548+AC1558+AC1568+AC1578+AC1588</f>
        <v>1</v>
      </c>
      <c r="AD1352" s="48" t="s">
        <v>764</v>
      </c>
      <c r="AL1352" s="310" t="str">
        <f>TEXT(AC1352,"0")</f>
        <v>1</v>
      </c>
      <c r="AM1352" s="310"/>
      <c r="BN1352" s="311" t="str">
        <f>IF(NOT(C1361=AM1361),C1361,"")</f>
        <v/>
      </c>
    </row>
    <row r="1353" spans="1:66" ht="20" hidden="1" customHeight="1" x14ac:dyDescent="0.3">
      <c r="A1353" s="41"/>
      <c r="B1353" s="1045" t="str">
        <f>BD1353</f>
        <v>Build up your Support Team, one supporter at a time.</v>
      </c>
      <c r="C1353" s="1045"/>
      <c r="D1353" s="1045"/>
      <c r="E1353" s="42"/>
      <c r="F1353" s="97"/>
      <c r="AC1353" s="312">
        <f>(AJ1353)/AC1352</f>
        <v>45</v>
      </c>
      <c r="AD1353" s="48" t="s">
        <v>765</v>
      </c>
      <c r="AJ1353" s="402">
        <f>50-5</f>
        <v>45</v>
      </c>
      <c r="AL1353" s="48">
        <v>50</v>
      </c>
      <c r="AO1353" s="48" t="s">
        <v>766</v>
      </c>
      <c r="BD1353" s="48" t="s">
        <v>767</v>
      </c>
    </row>
    <row r="1354" spans="1:66" ht="5" hidden="1" customHeight="1" x14ac:dyDescent="0.3">
      <c r="A1354" s="313"/>
      <c r="B1354" s="314"/>
      <c r="C1354" s="314"/>
      <c r="D1354" s="314"/>
      <c r="E1354" s="315"/>
      <c r="F1354" s="1"/>
      <c r="AC1354" s="312"/>
      <c r="AJ1354" s="402"/>
    </row>
    <row r="1355" spans="1:66" ht="75" hidden="1" customHeight="1" x14ac:dyDescent="0.3">
      <c r="A1355" s="315"/>
      <c r="B1355" s="316" t="s">
        <v>768</v>
      </c>
      <c r="C1355" s="1126" t="e">
        <f>AC1356</f>
        <v>#REF!</v>
      </c>
      <c r="D1355" s="1126"/>
      <c r="E1355" s="315"/>
      <c r="F1355" s="1"/>
      <c r="AC1355" s="916">
        <f ca="1">TODAY()</f>
        <v>45774</v>
      </c>
      <c r="AD1355" s="916"/>
      <c r="AE1355" s="916"/>
      <c r="AF1355" s="917">
        <f ca="1">AC1355-365</f>
        <v>45409</v>
      </c>
      <c r="AG1355" s="917"/>
      <c r="AH1355" s="917"/>
      <c r="AI1355" s="917">
        <f ca="1">AC1355+365</f>
        <v>46139</v>
      </c>
      <c r="AJ1355" s="918"/>
      <c r="AK1355" s="918"/>
      <c r="AO1355" s="50" t="e">
        <f>IF(BD1357&lt;0,"Once over that amount, you can cover the possibility of attrition, when you may lose some supporters.","")</f>
        <v>#REF!</v>
      </c>
      <c r="BH1355" s="50" t="s">
        <v>769</v>
      </c>
    </row>
    <row r="1356" spans="1:66" ht="15" hidden="1" customHeight="1" thickBot="1" x14ac:dyDescent="0.45">
      <c r="A1356" s="315"/>
      <c r="B1356" s="317"/>
      <c r="C1356" s="318"/>
      <c r="D1356" s="319"/>
      <c r="E1356" s="315"/>
      <c r="F1356" s="1"/>
      <c r="AC1356" s="320" t="e">
        <f>CONCATENATE(AE1356,AZ1356)</f>
        <v>#REF!</v>
      </c>
      <c r="AD1356" s="321"/>
      <c r="AE1356" s="320" t="s">
        <v>770</v>
      </c>
      <c r="AF1356" s="321"/>
      <c r="AG1356" s="321"/>
      <c r="AH1356" s="321"/>
      <c r="AI1356" s="321"/>
      <c r="AJ1356" s="322"/>
      <c r="AK1356" s="322"/>
      <c r="AZ1356" s="48" t="e">
        <f>IF(BD1357&gt;=0,CONCATENATE(BB1356,BF1356),AO1355)</f>
        <v>#REF!</v>
      </c>
      <c r="BB1356" s="48" t="s">
        <v>771</v>
      </c>
      <c r="BD1356" s="323" t="e">
        <f>DOLLAR(AJ1353-(SUM(BD1363:BD1594)),0)</f>
        <v>#REF!</v>
      </c>
      <c r="BF1356" s="320" t="e">
        <f>CONCATENATE(BD1356,BH1355)</f>
        <v>#REF!</v>
      </c>
    </row>
    <row r="1357" spans="1:66" ht="16" hidden="1" thickTop="1" thickBot="1" x14ac:dyDescent="0.4">
      <c r="A1357" s="324">
        <f>IF(C1357="",0,1+A1353)</f>
        <v>1</v>
      </c>
      <c r="B1357" s="325" t="s">
        <v>772</v>
      </c>
      <c r="C1357" s="326" t="str">
        <f>AM1357</f>
        <v>FIRST NAME</v>
      </c>
      <c r="D1357" s="327" t="str">
        <f>AQ1357</f>
        <v>LAST NAME</v>
      </c>
      <c r="E1357" s="315"/>
      <c r="F1357" s="1"/>
      <c r="AC1357" s="311" t="str">
        <f>IF(NOT(C1357=AM1357),C1357,"")</f>
        <v/>
      </c>
      <c r="AH1357" s="311" t="str">
        <f>IF(NOT(D1357=AQ1357),D1357,"")</f>
        <v/>
      </c>
      <c r="AM1357" s="328" t="s">
        <v>773</v>
      </c>
      <c r="AQ1357" s="328" t="s">
        <v>100</v>
      </c>
      <c r="BB1357" s="48"/>
      <c r="BD1357" s="302" t="e">
        <f>AJ1353-(SUM(BD1363:BD1595))</f>
        <v>#REF!</v>
      </c>
      <c r="BM1357" s="329" t="s">
        <v>774</v>
      </c>
      <c r="BN1357" s="272" t="s">
        <v>775</v>
      </c>
    </row>
    <row r="1358" spans="1:66" ht="15.5" hidden="1" thickTop="1" thickBot="1" x14ac:dyDescent="0.4">
      <c r="A1358" s="313"/>
      <c r="B1358" s="315" t="s">
        <v>776</v>
      </c>
      <c r="C1358" s="330"/>
      <c r="D1358" s="4"/>
      <c r="E1358" s="315"/>
      <c r="F1358" s="1"/>
      <c r="AC1358" s="48">
        <f>IF(C1358="",0,1)</f>
        <v>0</v>
      </c>
      <c r="AE1358" s="48">
        <f>IF($AC$1358=1,AC$1353,0)</f>
        <v>0</v>
      </c>
      <c r="BB1358" s="48"/>
      <c r="BM1358" s="329" t="s">
        <v>777</v>
      </c>
      <c r="BN1358" s="272" t="s">
        <v>778</v>
      </c>
    </row>
    <row r="1359" spans="1:66" ht="14" hidden="1" customHeight="1" thickTop="1" thickBot="1" x14ac:dyDescent="0.4">
      <c r="A1359" s="313"/>
      <c r="B1359" s="331" t="s">
        <v>779</v>
      </c>
      <c r="C1359" s="330"/>
      <c r="D1359" s="332" t="str">
        <f>AS1359</f>
        <v>AWARENESS OF ISSUE</v>
      </c>
      <c r="E1359" s="315"/>
      <c r="F1359" s="1"/>
      <c r="AM1359" s="333"/>
      <c r="AN1359" s="333"/>
      <c r="AO1359" s="333"/>
      <c r="AP1359" s="333"/>
      <c r="AS1359" s="48" t="s">
        <v>780</v>
      </c>
      <c r="BB1359" s="48"/>
      <c r="BM1359" s="329" t="s">
        <v>781</v>
      </c>
      <c r="BN1359" s="272" t="s">
        <v>782</v>
      </c>
    </row>
    <row r="1360" spans="1:66" ht="14" hidden="1" customHeight="1" thickTop="1" thickBot="1" x14ac:dyDescent="0.4">
      <c r="A1360" s="313"/>
      <c r="B1360" s="325" t="s">
        <v>783</v>
      </c>
      <c r="C1360" s="334" t="s">
        <v>784</v>
      </c>
      <c r="D1360" s="334" t="s">
        <v>785</v>
      </c>
      <c r="E1360" s="315"/>
      <c r="F1360" s="1"/>
      <c r="AS1360" s="48" t="str">
        <f>CONCATENATE(AS1361,AX1361,AZ1361)</f>
        <v>This contribution is 0% of the average contribution.</v>
      </c>
      <c r="BB1360" s="48"/>
      <c r="BM1360" s="329" t="s">
        <v>786</v>
      </c>
      <c r="BN1360" s="272" t="s">
        <v>787</v>
      </c>
    </row>
    <row r="1361" spans="1:69" ht="14" hidden="1" customHeight="1" thickTop="1" thickBot="1" x14ac:dyDescent="0.4">
      <c r="A1361" s="313"/>
      <c r="B1361" s="314" t="s">
        <v>788</v>
      </c>
      <c r="C1361" s="335" t="str">
        <f>AM1361</f>
        <v>YYYY-MM-DD</v>
      </c>
      <c r="D1361" s="335" t="str">
        <f>AM1361</f>
        <v>YYYY-MM-DD</v>
      </c>
      <c r="E1361" s="315"/>
      <c r="F1361" s="1"/>
      <c r="AH1361" s="918" t="str">
        <f>IF(NOT(D1361=AQ1361),D1361,"")</f>
        <v>YYYY-MM-DD</v>
      </c>
      <c r="AI1361" s="918"/>
      <c r="AM1361" s="328" t="s">
        <v>789</v>
      </c>
      <c r="AQ1361" s="328"/>
      <c r="AS1361" s="48" t="s">
        <v>790</v>
      </c>
      <c r="AX1361" s="336">
        <f>ROUND((BB1363*100),0)</f>
        <v>0</v>
      </c>
      <c r="AZ1361" s="48" t="s">
        <v>791</v>
      </c>
      <c r="BB1361" s="48"/>
      <c r="BM1361" s="329" t="s">
        <v>792</v>
      </c>
      <c r="BN1361" s="272" t="s">
        <v>793</v>
      </c>
    </row>
    <row r="1362" spans="1:69" ht="14" hidden="1" customHeight="1" thickTop="1" thickBot="1" x14ac:dyDescent="0.35">
      <c r="A1362" s="313"/>
      <c r="B1362" s="314" t="s">
        <v>794</v>
      </c>
      <c r="C1362" s="337"/>
      <c r="D1362" s="338" t="str">
        <f>AC1362</f>
        <v/>
      </c>
      <c r="E1362" s="315"/>
      <c r="F1362" s="1"/>
      <c r="AC1362" s="50" t="str">
        <f>IF(AND(AC$1352&gt;0,C1362=BN$1357),BM$1357,IF(AND(AC$1352&gt;0,C1362=BN$1358),BM$1358,IF(AND(AC$1352&gt;0,C1362=BN$1359),BM$1359,IF(AND(AC$1352&gt;0,C1362=BN$1360),BM$1360,IF(AND(AC$1352&gt;0,C1362=BN$1361),BM$1361,"")))))</f>
        <v/>
      </c>
      <c r="AI1362" s="1084" t="e">
        <f>AV1363/AL$1353</f>
        <v>#REF!</v>
      </c>
      <c r="AJ1362" s="1084"/>
      <c r="AK1362" s="48" t="s">
        <v>795</v>
      </c>
      <c r="AO1362" s="9" t="e">
        <f>IF(AI1362=0,"none",(AI1362*100))</f>
        <v>#REF!</v>
      </c>
      <c r="AP1362" s="48" t="e">
        <f>IF(AO1362="none"," of weekly support cost.","% of weekly support cost.")</f>
        <v>#REF!</v>
      </c>
      <c r="BB1362" s="48"/>
      <c r="BQ1362" s="48" t="s">
        <v>796</v>
      </c>
    </row>
    <row r="1363" spans="1:69" ht="14" hidden="1" customHeight="1" thickTop="1" thickBot="1" x14ac:dyDescent="0.35">
      <c r="A1363" s="313"/>
      <c r="B1363" s="314" t="s">
        <v>797</v>
      </c>
      <c r="C1363" s="339"/>
      <c r="D1363" s="314" t="e">
        <f>IF(NOT(AV1363&gt;0),"",AC1363)</f>
        <v>#REF!</v>
      </c>
      <c r="E1363" s="315"/>
      <c r="F1363" s="1"/>
      <c r="AC1363" s="246" t="e">
        <f>CONCATENATE(AO1363,AT1363)</f>
        <v>#REF!</v>
      </c>
      <c r="AO1363" s="48" t="s">
        <v>798</v>
      </c>
      <c r="AT1363" s="246" t="e">
        <f>DOLLAR(AV1363)</f>
        <v>#REF!</v>
      </c>
      <c r="AV1363" s="315" t="e">
        <f>IF(AND(D1362=BM$1361,C1363=#REF!),#REF!,IF(AND(D1362=BM$1361,C1363=#REF!),#REF!,IF(AND(D1362=BM$1361,C1363=#REF!),#REF!,IF(AND(D1362=BM$1361,C1363=#REF!),#REF!,IF(AND(D1362=BM$1361,C1363=#REF!),#REF!,IF(AND(D1362=BM$1361,C1363=#REF!),#REF!,0))))))</f>
        <v>#REF!</v>
      </c>
      <c r="AX1363" s="9" t="e">
        <f>DOLLAR(AZ1363)</f>
        <v>#REF!</v>
      </c>
      <c r="AZ1363" s="340" t="e">
        <f>$AJ$1353-AV1363</f>
        <v>#REF!</v>
      </c>
      <c r="BB1363" s="336"/>
      <c r="BD1363" s="302" t="e">
        <f>AV1363</f>
        <v>#REF!</v>
      </c>
      <c r="BQ1363" s="48" t="s">
        <v>799</v>
      </c>
    </row>
    <row r="1364" spans="1:69" ht="14" hidden="1" customHeight="1" thickTop="1" x14ac:dyDescent="0.3">
      <c r="A1364" s="313"/>
      <c r="B1364" s="314"/>
      <c r="C1364" s="314" t="e">
        <f>CONCATENATE(AK1362,AO1362,AP1362)</f>
        <v>#REF!</v>
      </c>
      <c r="D1364" s="314" t="e">
        <f>BF$1356</f>
        <v>#REF!</v>
      </c>
      <c r="E1364" s="315"/>
      <c r="F1364" s="1"/>
      <c r="AC1364" s="48" t="s">
        <v>800</v>
      </c>
      <c r="AI1364" s="142">
        <f>MIN(D1362,AE1358)</f>
        <v>0</v>
      </c>
      <c r="AJ1364" s="48">
        <f>ROUND(AI1364,2)</f>
        <v>0</v>
      </c>
      <c r="AK1364" s="48" t="str">
        <f>CONCATENATE(AC1364,AJ1364)</f>
        <v>contribution per exchange: $0</v>
      </c>
      <c r="BQ1364" s="48" t="s">
        <v>801</v>
      </c>
    </row>
    <row r="1365" spans="1:69" ht="14" hidden="1" customHeight="1" x14ac:dyDescent="0.3">
      <c r="A1365" s="313"/>
      <c r="B1365" s="314"/>
      <c r="C1365" s="314"/>
      <c r="D1365" s="314"/>
      <c r="E1365" s="315"/>
      <c r="F1365" s="1"/>
      <c r="BQ1365" s="48" t="s">
        <v>802</v>
      </c>
    </row>
    <row r="1366" spans="1:69" ht="5" hidden="1" customHeight="1" thickBot="1" x14ac:dyDescent="0.35">
      <c r="A1366" s="315"/>
      <c r="B1366" s="317"/>
      <c r="C1366" s="318"/>
      <c r="D1366" s="315"/>
      <c r="E1366" s="315"/>
      <c r="F1366" s="1"/>
      <c r="AC1366" s="312"/>
      <c r="AJ1366" s="402"/>
      <c r="BB1366" s="48"/>
    </row>
    <row r="1367" spans="1:69" ht="16" hidden="1" thickTop="1" thickBot="1" x14ac:dyDescent="0.35">
      <c r="A1367" s="324">
        <f>IF(C1367="",0,1+A1357)</f>
        <v>2</v>
      </c>
      <c r="B1367" s="325" t="s">
        <v>803</v>
      </c>
      <c r="C1367" s="326" t="str">
        <f>AM1367</f>
        <v>FIRST NAME</v>
      </c>
      <c r="D1367" s="327" t="str">
        <f>AQ1367</f>
        <v>LAST NAME</v>
      </c>
      <c r="E1367" s="315"/>
      <c r="F1367" s="1"/>
      <c r="AC1367" s="311" t="str">
        <f>IF(NOT(C1367=AM1367),C1367,"")</f>
        <v/>
      </c>
      <c r="AH1367" s="311" t="str">
        <f>IF(NOT(D1367=AQ1367),D1367,"")</f>
        <v/>
      </c>
      <c r="AM1367" s="328" t="s">
        <v>773</v>
      </c>
      <c r="AQ1367" s="328" t="s">
        <v>100</v>
      </c>
      <c r="BB1367" s="48"/>
    </row>
    <row r="1368" spans="1:69" ht="15" hidden="1" thickTop="1" thickBot="1" x14ac:dyDescent="0.35">
      <c r="A1368" s="313"/>
      <c r="B1368" s="315" t="s">
        <v>776</v>
      </c>
      <c r="C1368" s="330" t="s">
        <v>804</v>
      </c>
      <c r="D1368" s="4"/>
      <c r="E1368" s="315"/>
      <c r="F1368" s="1"/>
      <c r="AC1368" s="48">
        <f>IF(C1368="",0,1)</f>
        <v>1</v>
      </c>
      <c r="AE1368" s="48">
        <f>IF($AC$1358=1,AC$1353,0)</f>
        <v>0</v>
      </c>
      <c r="BB1368" s="48"/>
    </row>
    <row r="1369" spans="1:69" ht="14" hidden="1" customHeight="1" thickTop="1" thickBot="1" x14ac:dyDescent="0.35">
      <c r="A1369" s="313"/>
      <c r="B1369" s="331" t="s">
        <v>779</v>
      </c>
      <c r="C1369" s="330"/>
      <c r="D1369" s="332" t="str">
        <f>AS1369</f>
        <v>AWARENESS OF ISSUE</v>
      </c>
      <c r="E1369" s="315"/>
      <c r="F1369" s="1"/>
      <c r="AM1369" s="333"/>
      <c r="AN1369" s="333"/>
      <c r="AO1369" s="333"/>
      <c r="AP1369" s="333"/>
      <c r="AS1369" s="48" t="str">
        <f>AS1359</f>
        <v>AWARENESS OF ISSUE</v>
      </c>
      <c r="BB1369" s="48"/>
    </row>
    <row r="1370" spans="1:69" ht="14" hidden="1" customHeight="1" thickTop="1" thickBot="1" x14ac:dyDescent="0.35">
      <c r="A1370" s="313"/>
      <c r="B1370" s="325" t="s">
        <v>783</v>
      </c>
      <c r="C1370" s="334" t="s">
        <v>784</v>
      </c>
      <c r="D1370" s="334" t="s">
        <v>785</v>
      </c>
      <c r="E1370" s="315"/>
      <c r="F1370" s="1"/>
      <c r="BB1370" s="48"/>
    </row>
    <row r="1371" spans="1:69" ht="14" hidden="1" customHeight="1" thickTop="1" thickBot="1" x14ac:dyDescent="0.35">
      <c r="A1371" s="313"/>
      <c r="B1371" s="314" t="s">
        <v>788</v>
      </c>
      <c r="C1371" s="335" t="str">
        <f>AM1371</f>
        <v>YYYY-MM-DD</v>
      </c>
      <c r="D1371" s="335" t="str">
        <f>AM1371</f>
        <v>YYYY-MM-DD</v>
      </c>
      <c r="E1371" s="315"/>
      <c r="F1371" s="1"/>
      <c r="AH1371" s="918" t="str">
        <f>IF(NOT(D1371=AQ1371),D1371,"")</f>
        <v>YYYY-MM-DD</v>
      </c>
      <c r="AI1371" s="918"/>
      <c r="AM1371" s="328" t="s">
        <v>789</v>
      </c>
      <c r="AQ1371" s="328"/>
      <c r="BB1371" s="48"/>
    </row>
    <row r="1372" spans="1:69" ht="14" hidden="1" customHeight="1" thickTop="1" thickBot="1" x14ac:dyDescent="0.35">
      <c r="A1372" s="313"/>
      <c r="B1372" s="314" t="s">
        <v>794</v>
      </c>
      <c r="C1372" s="337"/>
      <c r="D1372" s="338" t="str">
        <f>AC1372</f>
        <v/>
      </c>
      <c r="E1372" s="315"/>
      <c r="F1372" s="1"/>
      <c r="AC1372" s="50" t="str">
        <f>IF(AND(AC$1352&gt;0,C1372=BN$1357),BM$1357,IF(AND(AC$1352&gt;0,C1372=BN$1358),BM$1358,IF(AND(AC$1352&gt;0,C1372=BN$1359),BM$1359,IF(AND(AC$1352&gt;0,C1372=BN$1360),BM$1360,IF(AND(AC$1352&gt;0,C1372=BN$1361),BM$1361,"")))))</f>
        <v/>
      </c>
      <c r="AI1372" s="1084" t="e">
        <f>AV1373/AL$1353</f>
        <v>#REF!</v>
      </c>
      <c r="AJ1372" s="1084"/>
      <c r="AK1372" s="48" t="s">
        <v>795</v>
      </c>
      <c r="AO1372" s="9" t="e">
        <f>IF(AI1372=0,"none",(AI1372*100))</f>
        <v>#REF!</v>
      </c>
      <c r="AP1372" s="48" t="e">
        <f>IF(AO1372="none"," of weekly support cost.","% of weekly support cost.")</f>
        <v>#REF!</v>
      </c>
      <c r="BB1372" s="48"/>
    </row>
    <row r="1373" spans="1:69" ht="14" hidden="1" customHeight="1" thickTop="1" thickBot="1" x14ac:dyDescent="0.35">
      <c r="A1373" s="313"/>
      <c r="B1373" s="314" t="s">
        <v>797</v>
      </c>
      <c r="C1373" s="339"/>
      <c r="D1373" s="314" t="e">
        <f>IF(NOT(AV1373&gt;0),"",AC1373)</f>
        <v>#REF!</v>
      </c>
      <c r="E1373" s="315"/>
      <c r="F1373" s="1"/>
      <c r="AC1373" s="246" t="e">
        <f>CONCATENATE(AO1373,AT1373)</f>
        <v>#REF!</v>
      </c>
      <c r="AO1373" s="48" t="s">
        <v>798</v>
      </c>
      <c r="AT1373" s="246" t="e">
        <f>DOLLAR(AV1373)</f>
        <v>#REF!</v>
      </c>
      <c r="AV1373" s="315" t="e">
        <f>IF(AND(D1372=BM$1361,C1373=#REF!),#REF!,IF(AND(D1372=BM$1361,C1373=#REF!),#REF!,IF(AND(D1372=BM$1361,C1373=#REF!),#REF!,IF(AND(D1372=BM$1361,C1373=#REF!),#REF!,IF(AND(D1372=BM$1361,C1373=#REF!),#REF!,IF(AND(D1372=BM$1361,C1373=#REF!),#REF!,0))))))</f>
        <v>#REF!</v>
      </c>
      <c r="AX1373" s="9" t="e">
        <f>DOLLAR(AZ1373)</f>
        <v>#REF!</v>
      </c>
      <c r="AZ1373" s="340" t="e">
        <f>$AJ$1353-AV1373</f>
        <v>#REF!</v>
      </c>
      <c r="BB1373" s="336"/>
      <c r="BD1373" s="302" t="e">
        <f>AV1373</f>
        <v>#REF!</v>
      </c>
    </row>
    <row r="1374" spans="1:69" ht="14" hidden="1" customHeight="1" thickTop="1" x14ac:dyDescent="0.3">
      <c r="A1374" s="313"/>
      <c r="B1374" s="314"/>
      <c r="C1374" s="314" t="e">
        <f>CONCATENATE(AK1372,AO1372,AP1372)</f>
        <v>#REF!</v>
      </c>
      <c r="D1374" s="314" t="e">
        <f>BF$1356</f>
        <v>#REF!</v>
      </c>
      <c r="E1374" s="315"/>
      <c r="F1374" s="1"/>
      <c r="AC1374" s="48" t="s">
        <v>800</v>
      </c>
      <c r="AI1374" s="142">
        <f>MIN(D1372,AE1368)</f>
        <v>0</v>
      </c>
      <c r="AJ1374" s="48">
        <f>ROUND(AI1374,2)</f>
        <v>0</v>
      </c>
      <c r="AK1374" s="48" t="str">
        <f>CONCATENATE(AC1374,AJ1374)</f>
        <v>contribution per exchange: $0</v>
      </c>
    </row>
    <row r="1375" spans="1:69" ht="14" hidden="1" customHeight="1" x14ac:dyDescent="0.3">
      <c r="A1375" s="313"/>
      <c r="B1375" s="314"/>
      <c r="C1375" s="314"/>
      <c r="D1375" s="314"/>
      <c r="E1375" s="315"/>
      <c r="F1375" s="1"/>
    </row>
    <row r="1376" spans="1:69" ht="5" hidden="1" customHeight="1" thickBot="1" x14ac:dyDescent="0.35">
      <c r="A1376" s="315"/>
      <c r="B1376" s="317"/>
      <c r="C1376" s="318"/>
      <c r="D1376" s="315"/>
      <c r="E1376" s="315"/>
      <c r="F1376" s="1"/>
      <c r="AC1376" s="312"/>
      <c r="AJ1376" s="402"/>
      <c r="BB1376" s="48"/>
    </row>
    <row r="1377" spans="1:56" ht="16" hidden="1" thickTop="1" thickBot="1" x14ac:dyDescent="0.35">
      <c r="A1377" s="324">
        <f>IF(C1377="",0,1+A1367)</f>
        <v>3</v>
      </c>
      <c r="B1377" s="325" t="s">
        <v>805</v>
      </c>
      <c r="C1377" s="326" t="str">
        <f>AM1377</f>
        <v>FIRST NAME</v>
      </c>
      <c r="D1377" s="327" t="str">
        <f>AQ1377</f>
        <v>LAST NAME</v>
      </c>
      <c r="E1377" s="315"/>
      <c r="F1377" s="1"/>
      <c r="AC1377" s="311" t="str">
        <f>IF(NOT(C1377=AM1377),C1377,"")</f>
        <v/>
      </c>
      <c r="AH1377" s="311" t="str">
        <f>IF(NOT(D1377=AQ1377),D1377,"")</f>
        <v/>
      </c>
      <c r="AM1377" s="328" t="s">
        <v>773</v>
      </c>
      <c r="AQ1377" s="328" t="s">
        <v>100</v>
      </c>
      <c r="BB1377" s="48"/>
    </row>
    <row r="1378" spans="1:56" ht="15" hidden="1" thickTop="1" thickBot="1" x14ac:dyDescent="0.35">
      <c r="A1378" s="313"/>
      <c r="B1378" s="315" t="s">
        <v>776</v>
      </c>
      <c r="C1378" s="330"/>
      <c r="D1378" s="4"/>
      <c r="E1378" s="315"/>
      <c r="F1378" s="1"/>
      <c r="AC1378" s="48">
        <f>IF(C1378="",0,1)</f>
        <v>0</v>
      </c>
      <c r="AE1378" s="48">
        <f>IF($AC$1358=1,AC$1353,0)</f>
        <v>0</v>
      </c>
      <c r="BB1378" s="48"/>
    </row>
    <row r="1379" spans="1:56" ht="14" hidden="1" customHeight="1" thickTop="1" thickBot="1" x14ac:dyDescent="0.35">
      <c r="A1379" s="313"/>
      <c r="B1379" s="331" t="s">
        <v>779</v>
      </c>
      <c r="C1379" s="330"/>
      <c r="D1379" s="332" t="str">
        <f>AS1379</f>
        <v>AWARENESS OF ISSUE</v>
      </c>
      <c r="E1379" s="315"/>
      <c r="F1379" s="1"/>
      <c r="AM1379" s="333"/>
      <c r="AN1379" s="333"/>
      <c r="AO1379" s="333"/>
      <c r="AP1379" s="333"/>
      <c r="AS1379" s="48" t="str">
        <f>AS1369</f>
        <v>AWARENESS OF ISSUE</v>
      </c>
      <c r="BB1379" s="48"/>
    </row>
    <row r="1380" spans="1:56" ht="14" hidden="1" customHeight="1" thickTop="1" thickBot="1" x14ac:dyDescent="0.35">
      <c r="A1380" s="313"/>
      <c r="B1380" s="325" t="s">
        <v>783</v>
      </c>
      <c r="C1380" s="334" t="s">
        <v>784</v>
      </c>
      <c r="D1380" s="334" t="s">
        <v>785</v>
      </c>
      <c r="E1380" s="315"/>
      <c r="F1380" s="1"/>
      <c r="BB1380" s="48"/>
    </row>
    <row r="1381" spans="1:56" ht="14" hidden="1" customHeight="1" thickTop="1" thickBot="1" x14ac:dyDescent="0.35">
      <c r="A1381" s="313"/>
      <c r="B1381" s="314" t="s">
        <v>788</v>
      </c>
      <c r="C1381" s="335" t="str">
        <f>AM1381</f>
        <v>YYYY-MM-DD</v>
      </c>
      <c r="D1381" s="335" t="str">
        <f>AM1381</f>
        <v>YYYY-MM-DD</v>
      </c>
      <c r="E1381" s="315"/>
      <c r="F1381" s="1"/>
      <c r="AH1381" s="918" t="str">
        <f>IF(NOT(D1381=AQ1381),D1381,"")</f>
        <v>YYYY-MM-DD</v>
      </c>
      <c r="AI1381" s="918"/>
      <c r="AM1381" s="328" t="s">
        <v>789</v>
      </c>
      <c r="AQ1381" s="328"/>
      <c r="BB1381" s="48"/>
    </row>
    <row r="1382" spans="1:56" ht="14" hidden="1" customHeight="1" thickTop="1" thickBot="1" x14ac:dyDescent="0.35">
      <c r="A1382" s="313"/>
      <c r="B1382" s="314" t="s">
        <v>794</v>
      </c>
      <c r="C1382" s="337"/>
      <c r="D1382" s="338" t="str">
        <f>AC1382</f>
        <v/>
      </c>
      <c r="E1382" s="315"/>
      <c r="F1382" s="1"/>
      <c r="AC1382" s="50" t="str">
        <f>IF(AND(AC$1352&gt;0,C1382=BN$1357),BM$1357,IF(AND(AC$1352&gt;0,C1382=BN$1358),BM$1358,IF(AND(AC$1352&gt;0,C1382=BN$1359),BM$1359,IF(AND(AC$1352&gt;0,C1382=BN$1360),BM$1360,IF(AND(AC$1352&gt;0,C1382=BN$1361),BM$1361,"")))))</f>
        <v/>
      </c>
      <c r="AI1382" s="1084" t="e">
        <f>AV1383/AL$1353</f>
        <v>#REF!</v>
      </c>
      <c r="AJ1382" s="1084"/>
      <c r="AK1382" s="48" t="s">
        <v>795</v>
      </c>
      <c r="AO1382" s="9" t="e">
        <f>IF(AI1382=0,"none",(AI1382*100))</f>
        <v>#REF!</v>
      </c>
      <c r="AP1382" s="48" t="e">
        <f>IF(AO1382="none"," of weekly support cost.","% of weekly support cost.")</f>
        <v>#REF!</v>
      </c>
      <c r="BB1382" s="48"/>
    </row>
    <row r="1383" spans="1:56" ht="14" hidden="1" customHeight="1" thickTop="1" thickBot="1" x14ac:dyDescent="0.35">
      <c r="A1383" s="313"/>
      <c r="B1383" s="314" t="s">
        <v>797</v>
      </c>
      <c r="C1383" s="339"/>
      <c r="D1383" s="314" t="e">
        <f>IF(NOT(AV1383&gt;0),"",AC1383)</f>
        <v>#REF!</v>
      </c>
      <c r="E1383" s="315"/>
      <c r="F1383" s="1"/>
      <c r="AC1383" s="246" t="e">
        <f>CONCATENATE(AO1383,AT1383)</f>
        <v>#REF!</v>
      </c>
      <c r="AO1383" s="48" t="s">
        <v>798</v>
      </c>
      <c r="AT1383" s="246" t="e">
        <f>DOLLAR(AV1383)</f>
        <v>#REF!</v>
      </c>
      <c r="AV1383" s="315" t="e">
        <f>IF(AND(D1382=BM$1361,C1383=#REF!),#REF!,IF(AND(D1382=BM$1361,C1383=#REF!),#REF!,IF(AND(D1382=BM$1361,C1383=#REF!),#REF!,IF(AND(D1382=BM$1361,C1383=#REF!),#REF!,IF(AND(D1382=BM$1361,C1383=#REF!),#REF!,IF(AND(D1382=BM$1361,C1383=#REF!),#REF!,0))))))</f>
        <v>#REF!</v>
      </c>
      <c r="AX1383" s="9" t="e">
        <f>DOLLAR(AZ1383)</f>
        <v>#REF!</v>
      </c>
      <c r="AZ1383" s="340" t="e">
        <f>$AJ$1353-AV1383</f>
        <v>#REF!</v>
      </c>
      <c r="BB1383" s="48"/>
      <c r="BD1383" s="302" t="e">
        <f>AV1383</f>
        <v>#REF!</v>
      </c>
    </row>
    <row r="1384" spans="1:56" ht="14" hidden="1" customHeight="1" thickTop="1" x14ac:dyDescent="0.3">
      <c r="A1384" s="313"/>
      <c r="B1384" s="314"/>
      <c r="C1384" s="314" t="e">
        <f>CONCATENATE(AK1382,AO1382,AP1382)</f>
        <v>#REF!</v>
      </c>
      <c r="D1384" s="314" t="e">
        <f>BF$1356</f>
        <v>#REF!</v>
      </c>
      <c r="E1384" s="315"/>
      <c r="F1384" s="1"/>
      <c r="AC1384" s="48" t="s">
        <v>800</v>
      </c>
      <c r="AI1384" s="142">
        <f>MIN(D1382,AE1378)</f>
        <v>0</v>
      </c>
      <c r="AJ1384" s="48">
        <f>ROUND(AI1384,2)</f>
        <v>0</v>
      </c>
      <c r="AK1384" s="48" t="str">
        <f>CONCATENATE(AC1384,AJ1384)</f>
        <v>contribution per exchange: $0</v>
      </c>
    </row>
    <row r="1385" spans="1:56" ht="14" hidden="1" customHeight="1" x14ac:dyDescent="0.3">
      <c r="A1385" s="313"/>
      <c r="B1385" s="314"/>
      <c r="C1385" s="314"/>
      <c r="D1385" s="314"/>
      <c r="E1385" s="315"/>
      <c r="F1385" s="1"/>
    </row>
    <row r="1386" spans="1:56" ht="5" hidden="1" customHeight="1" thickBot="1" x14ac:dyDescent="0.35">
      <c r="A1386" s="315"/>
      <c r="B1386" s="317"/>
      <c r="C1386" s="318"/>
      <c r="D1386" s="315"/>
      <c r="E1386" s="315"/>
      <c r="F1386" s="1"/>
      <c r="AC1386" s="312"/>
      <c r="AJ1386" s="402"/>
      <c r="BB1386" s="48"/>
    </row>
    <row r="1387" spans="1:56" ht="16" hidden="1" thickTop="1" thickBot="1" x14ac:dyDescent="0.35">
      <c r="A1387" s="324">
        <f>IF(C1387="",0,1+A1377)</f>
        <v>4</v>
      </c>
      <c r="B1387" s="325" t="s">
        <v>806</v>
      </c>
      <c r="C1387" s="326" t="str">
        <f>AM1387</f>
        <v>FIRST NAME</v>
      </c>
      <c r="D1387" s="327" t="str">
        <f>AQ1387</f>
        <v>LAST NAME</v>
      </c>
      <c r="E1387" s="315"/>
      <c r="F1387" s="1"/>
      <c r="AC1387" s="311" t="str">
        <f>IF(NOT(C1387=AM1387),C1387,"")</f>
        <v/>
      </c>
      <c r="AH1387" s="311" t="str">
        <f>IF(NOT(D1387=AQ1387),D1387,"")</f>
        <v/>
      </c>
      <c r="AM1387" s="328" t="s">
        <v>773</v>
      </c>
      <c r="AQ1387" s="328" t="s">
        <v>100</v>
      </c>
      <c r="BB1387" s="48"/>
    </row>
    <row r="1388" spans="1:56" ht="15" hidden="1" thickTop="1" thickBot="1" x14ac:dyDescent="0.35">
      <c r="A1388" s="313"/>
      <c r="B1388" s="315" t="s">
        <v>776</v>
      </c>
      <c r="C1388" s="330"/>
      <c r="D1388" s="4"/>
      <c r="E1388" s="315"/>
      <c r="F1388" s="1"/>
      <c r="AC1388" s="48">
        <f>IF(C1388="",0,1)</f>
        <v>0</v>
      </c>
      <c r="AE1388" s="48">
        <f>IF($AC$1358=1,AC$1353,0)</f>
        <v>0</v>
      </c>
      <c r="BB1388" s="48"/>
    </row>
    <row r="1389" spans="1:56" ht="14" hidden="1" customHeight="1" thickTop="1" thickBot="1" x14ac:dyDescent="0.35">
      <c r="A1389" s="313"/>
      <c r="B1389" s="331" t="s">
        <v>779</v>
      </c>
      <c r="C1389" s="330"/>
      <c r="D1389" s="332" t="str">
        <f>AS1389</f>
        <v>AWARENESS OF ISSUE</v>
      </c>
      <c r="E1389" s="315"/>
      <c r="F1389" s="1"/>
      <c r="AM1389" s="333"/>
      <c r="AN1389" s="333"/>
      <c r="AO1389" s="333"/>
      <c r="AP1389" s="333"/>
      <c r="AS1389" s="48" t="str">
        <f>AS1379</f>
        <v>AWARENESS OF ISSUE</v>
      </c>
      <c r="BB1389" s="48"/>
    </row>
    <row r="1390" spans="1:56" ht="14" hidden="1" customHeight="1" thickTop="1" thickBot="1" x14ac:dyDescent="0.35">
      <c r="A1390" s="313"/>
      <c r="B1390" s="325" t="s">
        <v>783</v>
      </c>
      <c r="C1390" s="334" t="s">
        <v>784</v>
      </c>
      <c r="D1390" s="334" t="s">
        <v>785</v>
      </c>
      <c r="E1390" s="315"/>
      <c r="F1390" s="1"/>
      <c r="BB1390" s="48"/>
    </row>
    <row r="1391" spans="1:56" ht="14" hidden="1" customHeight="1" thickTop="1" thickBot="1" x14ac:dyDescent="0.35">
      <c r="A1391" s="313"/>
      <c r="B1391" s="314" t="s">
        <v>788</v>
      </c>
      <c r="C1391" s="335" t="str">
        <f>AM1391</f>
        <v>YYYY-MM-DD</v>
      </c>
      <c r="D1391" s="335" t="str">
        <f>AM1391</f>
        <v>YYYY-MM-DD</v>
      </c>
      <c r="E1391" s="315"/>
      <c r="F1391" s="1"/>
      <c r="AH1391" s="918" t="str">
        <f>IF(NOT(D1391=AQ1391),D1391,"")</f>
        <v>YYYY-MM-DD</v>
      </c>
      <c r="AI1391" s="918"/>
      <c r="AM1391" s="328" t="s">
        <v>789</v>
      </c>
      <c r="AQ1391" s="328"/>
      <c r="BB1391" s="48"/>
    </row>
    <row r="1392" spans="1:56" ht="14" hidden="1" customHeight="1" thickTop="1" thickBot="1" x14ac:dyDescent="0.35">
      <c r="A1392" s="313"/>
      <c r="B1392" s="314" t="s">
        <v>794</v>
      </c>
      <c r="C1392" s="337"/>
      <c r="D1392" s="338" t="str">
        <f>AC1392</f>
        <v/>
      </c>
      <c r="E1392" s="315"/>
      <c r="F1392" s="1"/>
      <c r="AC1392" s="50" t="str">
        <f>IF(AND(AC$1352&gt;0,C1392=BN$1357),BM$1357,IF(AND(AC$1352&gt;0,C1392=BN$1358),BM$1358,IF(AND(AC$1352&gt;0,C1392=BN$1359),BM$1359,IF(AND(AC$1352&gt;0,C1392=BN$1360),BM$1360,IF(AND(AC$1352&gt;0,C1392=BN$1361),BM$1361,"")))))</f>
        <v/>
      </c>
      <c r="AI1392" s="1084" t="e">
        <f>AV1393/AL$1353</f>
        <v>#REF!</v>
      </c>
      <c r="AJ1392" s="1084"/>
      <c r="AK1392" s="48" t="s">
        <v>795</v>
      </c>
      <c r="AO1392" s="9" t="e">
        <f>IF(AI1392=0,"none",(AI1392*100))</f>
        <v>#REF!</v>
      </c>
      <c r="AP1392" s="48" t="e">
        <f>IF(AO1392="none"," of weekly support cost.","% of weekly support cost.")</f>
        <v>#REF!</v>
      </c>
      <c r="BB1392" s="48"/>
    </row>
    <row r="1393" spans="1:56" ht="14" hidden="1" customHeight="1" thickTop="1" thickBot="1" x14ac:dyDescent="0.35">
      <c r="A1393" s="313"/>
      <c r="B1393" s="314" t="s">
        <v>797</v>
      </c>
      <c r="C1393" s="339"/>
      <c r="D1393" s="314" t="e">
        <f>IF(NOT(AV1393&gt;0),"",AC1393)</f>
        <v>#REF!</v>
      </c>
      <c r="E1393" s="315"/>
      <c r="F1393" s="1"/>
      <c r="AC1393" s="246" t="e">
        <f>CONCATENATE(AO1393,AT1393)</f>
        <v>#REF!</v>
      </c>
      <c r="AO1393" s="48" t="s">
        <v>798</v>
      </c>
      <c r="AT1393" s="246" t="e">
        <f>DOLLAR(AV1393)</f>
        <v>#REF!</v>
      </c>
      <c r="AV1393" s="315" t="e">
        <f>IF(AND(D1392=BM$1361,C1393=#REF!),#REF!,IF(AND(D1392=BM$1361,C1393=#REF!),#REF!,IF(AND(D1392=BM$1361,C1393=#REF!),#REF!,IF(AND(D1392=BM$1361,C1393=#REF!),#REF!,IF(AND(D1392=BM$1361,C1393=#REF!),#REF!,IF(AND(D1392=BM$1361,C1393=#REF!),#REF!,0))))))</f>
        <v>#REF!</v>
      </c>
      <c r="AX1393" s="9" t="e">
        <f>DOLLAR(AZ1393)</f>
        <v>#REF!</v>
      </c>
      <c r="AZ1393" s="340" t="e">
        <f>$AJ$1353-AV1393</f>
        <v>#REF!</v>
      </c>
      <c r="BB1393" s="48"/>
      <c r="BD1393" s="302" t="e">
        <f>AV1393</f>
        <v>#REF!</v>
      </c>
    </row>
    <row r="1394" spans="1:56" ht="14" hidden="1" customHeight="1" thickTop="1" x14ac:dyDescent="0.3">
      <c r="A1394" s="313"/>
      <c r="B1394" s="314"/>
      <c r="C1394" s="314" t="e">
        <f>CONCATENATE(AK1392,AO1392,AP1392)</f>
        <v>#REF!</v>
      </c>
      <c r="D1394" s="314" t="e">
        <f>BF$1356</f>
        <v>#REF!</v>
      </c>
      <c r="E1394" s="315"/>
      <c r="F1394" s="1"/>
      <c r="AC1394" s="48" t="s">
        <v>800</v>
      </c>
      <c r="AI1394" s="142">
        <f>MIN(D1392,AE1388)</f>
        <v>0</v>
      </c>
      <c r="AJ1394" s="48">
        <f>ROUND(AI1394,2)</f>
        <v>0</v>
      </c>
      <c r="AK1394" s="48" t="str">
        <f>CONCATENATE(AC1394,AJ1394)</f>
        <v>contribution per exchange: $0</v>
      </c>
    </row>
    <row r="1395" spans="1:56" ht="14" hidden="1" customHeight="1" x14ac:dyDescent="0.3">
      <c r="A1395" s="313"/>
      <c r="B1395" s="314"/>
      <c r="C1395" s="314"/>
      <c r="D1395" s="314"/>
      <c r="E1395" s="315"/>
      <c r="F1395" s="1"/>
    </row>
    <row r="1396" spans="1:56" ht="5" hidden="1" customHeight="1" thickBot="1" x14ac:dyDescent="0.35">
      <c r="A1396" s="315"/>
      <c r="B1396" s="317"/>
      <c r="C1396" s="318"/>
      <c r="D1396" s="315"/>
      <c r="E1396" s="315"/>
      <c r="F1396" s="1"/>
      <c r="AC1396" s="312"/>
      <c r="AJ1396" s="402"/>
      <c r="BB1396" s="48"/>
    </row>
    <row r="1397" spans="1:56" ht="16" hidden="1" thickTop="1" thickBot="1" x14ac:dyDescent="0.35">
      <c r="A1397" s="324">
        <f>IF(C1397="",0,1+A1387)</f>
        <v>5</v>
      </c>
      <c r="B1397" s="325" t="s">
        <v>807</v>
      </c>
      <c r="C1397" s="326" t="str">
        <f>AM1397</f>
        <v>FIRST NAME</v>
      </c>
      <c r="D1397" s="327" t="str">
        <f>AQ1397</f>
        <v>LAST NAME</v>
      </c>
      <c r="E1397" s="315"/>
      <c r="F1397" s="1"/>
      <c r="AC1397" s="311" t="str">
        <f>IF(NOT(C1397=AM1397),C1397,"")</f>
        <v/>
      </c>
      <c r="AH1397" s="311" t="str">
        <f>IF(NOT(D1397=AQ1397),D1397,"")</f>
        <v/>
      </c>
      <c r="AM1397" s="328" t="s">
        <v>773</v>
      </c>
      <c r="AQ1397" s="328" t="s">
        <v>100</v>
      </c>
      <c r="BB1397" s="48"/>
    </row>
    <row r="1398" spans="1:56" ht="15" hidden="1" thickTop="1" thickBot="1" x14ac:dyDescent="0.35">
      <c r="A1398" s="313"/>
      <c r="B1398" s="315" t="s">
        <v>776</v>
      </c>
      <c r="C1398" s="330"/>
      <c r="D1398" s="4"/>
      <c r="E1398" s="315"/>
      <c r="F1398" s="1"/>
      <c r="AC1398" s="48">
        <f>IF(C1398="",0,1)</f>
        <v>0</v>
      </c>
      <c r="AE1398" s="48">
        <f>IF($AC$1358=1,AC$1353,0)</f>
        <v>0</v>
      </c>
      <c r="BB1398" s="48"/>
    </row>
    <row r="1399" spans="1:56" ht="14" hidden="1" customHeight="1" thickTop="1" thickBot="1" x14ac:dyDescent="0.35">
      <c r="A1399" s="313"/>
      <c r="B1399" s="331" t="s">
        <v>779</v>
      </c>
      <c r="C1399" s="330"/>
      <c r="D1399" s="332" t="str">
        <f>AS1399</f>
        <v>AWARENESS OF ISSUE</v>
      </c>
      <c r="E1399" s="315"/>
      <c r="F1399" s="1"/>
      <c r="AM1399" s="333"/>
      <c r="AN1399" s="333"/>
      <c r="AO1399" s="333"/>
      <c r="AP1399" s="333"/>
      <c r="AS1399" s="48" t="str">
        <f>AS1389</f>
        <v>AWARENESS OF ISSUE</v>
      </c>
      <c r="BB1399" s="48"/>
    </row>
    <row r="1400" spans="1:56" ht="14" hidden="1" customHeight="1" thickTop="1" thickBot="1" x14ac:dyDescent="0.35">
      <c r="A1400" s="313"/>
      <c r="B1400" s="325" t="s">
        <v>783</v>
      </c>
      <c r="C1400" s="334" t="s">
        <v>784</v>
      </c>
      <c r="D1400" s="334" t="s">
        <v>785</v>
      </c>
      <c r="E1400" s="315"/>
      <c r="F1400" s="1"/>
      <c r="BB1400" s="48"/>
    </row>
    <row r="1401" spans="1:56" ht="14" hidden="1" customHeight="1" thickTop="1" thickBot="1" x14ac:dyDescent="0.35">
      <c r="A1401" s="313"/>
      <c r="B1401" s="314" t="s">
        <v>788</v>
      </c>
      <c r="C1401" s="335" t="str">
        <f>AM1401</f>
        <v>YYYY-MM-DD</v>
      </c>
      <c r="D1401" s="335" t="str">
        <f>AM1401</f>
        <v>YYYY-MM-DD</v>
      </c>
      <c r="E1401" s="315"/>
      <c r="F1401" s="1"/>
      <c r="AH1401" s="918" t="str">
        <f>IF(NOT(D1401=AQ1401),D1401,"")</f>
        <v>YYYY-MM-DD</v>
      </c>
      <c r="AI1401" s="918"/>
      <c r="AM1401" s="328" t="s">
        <v>789</v>
      </c>
      <c r="AQ1401" s="328"/>
      <c r="BB1401" s="48"/>
    </row>
    <row r="1402" spans="1:56" ht="14" hidden="1" customHeight="1" thickTop="1" thickBot="1" x14ac:dyDescent="0.35">
      <c r="A1402" s="313"/>
      <c r="B1402" s="314" t="s">
        <v>794</v>
      </c>
      <c r="C1402" s="337"/>
      <c r="D1402" s="338" t="str">
        <f>AC1402</f>
        <v/>
      </c>
      <c r="E1402" s="315"/>
      <c r="F1402" s="1"/>
      <c r="AC1402" s="50" t="str">
        <f>IF(AND(AC$1352&gt;0,C1402=BN$1357),BM$1357,IF(AND(AC$1352&gt;0,C1402=BN$1358),BM$1358,IF(AND(AC$1352&gt;0,C1402=BN$1359),BM$1359,IF(AND(AC$1352&gt;0,C1402=BN$1360),BM$1360,IF(AND(AC$1352&gt;0,C1402=BN$1361),BM$1361,"")))))</f>
        <v/>
      </c>
      <c r="AI1402" s="1084" t="e">
        <f>AV1403/AL$1353</f>
        <v>#REF!</v>
      </c>
      <c r="AJ1402" s="1084"/>
      <c r="AK1402" s="48" t="s">
        <v>795</v>
      </c>
      <c r="AO1402" s="9" t="e">
        <f>IF(AI1402=0,"none",(AI1402*100))</f>
        <v>#REF!</v>
      </c>
      <c r="AP1402" s="48" t="e">
        <f>IF(AO1402="none"," of weekly support cost.","% of weekly support cost.")</f>
        <v>#REF!</v>
      </c>
      <c r="BB1402" s="48"/>
    </row>
    <row r="1403" spans="1:56" ht="14" hidden="1" customHeight="1" thickTop="1" thickBot="1" x14ac:dyDescent="0.35">
      <c r="A1403" s="313"/>
      <c r="B1403" s="314" t="s">
        <v>797</v>
      </c>
      <c r="C1403" s="339"/>
      <c r="D1403" s="314" t="e">
        <f>IF(NOT(AV1403&gt;0),"",AC1403)</f>
        <v>#REF!</v>
      </c>
      <c r="E1403" s="315"/>
      <c r="F1403" s="1"/>
      <c r="AC1403" s="246" t="e">
        <f>CONCATENATE(AO1403,AT1403)</f>
        <v>#REF!</v>
      </c>
      <c r="AO1403" s="48" t="s">
        <v>798</v>
      </c>
      <c r="AT1403" s="246" t="e">
        <f>DOLLAR(AV1403)</f>
        <v>#REF!</v>
      </c>
      <c r="AV1403" s="315" t="e">
        <f>IF(AND(D1402=BM$1361,C1403=#REF!),#REF!,IF(AND(D1402=BM$1361,C1403=#REF!),#REF!,IF(AND(D1402=BM$1361,C1403=#REF!),#REF!,IF(AND(D1402=BM$1361,C1403=#REF!),#REF!,IF(AND(D1402=BM$1361,C1403=#REF!),#REF!,IF(AND(D1402=BM$1361,C1403=#REF!),#REF!,0))))))</f>
        <v>#REF!</v>
      </c>
      <c r="AX1403" s="9" t="e">
        <f>DOLLAR(AZ1403)</f>
        <v>#REF!</v>
      </c>
      <c r="AZ1403" s="340" t="e">
        <f>$AJ$1353-AV1403</f>
        <v>#REF!</v>
      </c>
      <c r="BB1403" s="48"/>
      <c r="BD1403" s="302" t="e">
        <f>AV1403</f>
        <v>#REF!</v>
      </c>
    </row>
    <row r="1404" spans="1:56" ht="14" hidden="1" customHeight="1" thickTop="1" x14ac:dyDescent="0.3">
      <c r="A1404" s="313"/>
      <c r="B1404" s="314"/>
      <c r="C1404" s="314" t="e">
        <f>CONCATENATE(AK1402,AO1402,AP1402)</f>
        <v>#REF!</v>
      </c>
      <c r="D1404" s="314" t="e">
        <f>BF$1356</f>
        <v>#REF!</v>
      </c>
      <c r="E1404" s="315"/>
      <c r="F1404" s="1"/>
      <c r="AC1404" s="48" t="s">
        <v>800</v>
      </c>
      <c r="AI1404" s="142">
        <f>MIN(D1402,AE1398)</f>
        <v>0</v>
      </c>
      <c r="AJ1404" s="48">
        <f>ROUND(AI1404,2)</f>
        <v>0</v>
      </c>
      <c r="AK1404" s="48" t="str">
        <f>CONCATENATE(AC1404,AJ1404)</f>
        <v>contribution per exchange: $0</v>
      </c>
    </row>
    <row r="1405" spans="1:56" ht="14" hidden="1" customHeight="1" x14ac:dyDescent="0.3">
      <c r="A1405" s="313"/>
      <c r="B1405" s="314"/>
      <c r="C1405" s="314"/>
      <c r="D1405" s="314"/>
      <c r="E1405" s="315"/>
      <c r="F1405" s="1"/>
    </row>
    <row r="1406" spans="1:56" ht="5" hidden="1" customHeight="1" thickBot="1" x14ac:dyDescent="0.35">
      <c r="A1406" s="315"/>
      <c r="B1406" s="317"/>
      <c r="C1406" s="318"/>
      <c r="D1406" s="315"/>
      <c r="E1406" s="315"/>
      <c r="F1406" s="1"/>
      <c r="AC1406" s="312"/>
      <c r="AJ1406" s="402"/>
      <c r="BB1406" s="48"/>
    </row>
    <row r="1407" spans="1:56" ht="16" hidden="1" thickTop="1" thickBot="1" x14ac:dyDescent="0.35">
      <c r="A1407" s="324">
        <f>IF(C1407="",0,1+A1397)</f>
        <v>6</v>
      </c>
      <c r="B1407" s="325" t="s">
        <v>808</v>
      </c>
      <c r="C1407" s="326" t="str">
        <f>AM1407</f>
        <v>FIRST NAME</v>
      </c>
      <c r="D1407" s="327" t="str">
        <f>AQ1407</f>
        <v>LAST NAME</v>
      </c>
      <c r="E1407" s="315"/>
      <c r="F1407" s="1"/>
      <c r="AC1407" s="311" t="str">
        <f>IF(NOT(C1407=AM1407),C1407,"")</f>
        <v/>
      </c>
      <c r="AH1407" s="311" t="str">
        <f>IF(NOT(D1407=AQ1407),D1407,"")</f>
        <v/>
      </c>
      <c r="AM1407" s="328" t="s">
        <v>773</v>
      </c>
      <c r="AQ1407" s="328" t="s">
        <v>100</v>
      </c>
      <c r="BB1407" s="48"/>
    </row>
    <row r="1408" spans="1:56" ht="15" hidden="1" thickTop="1" thickBot="1" x14ac:dyDescent="0.35">
      <c r="A1408" s="313"/>
      <c r="B1408" s="315" t="s">
        <v>776</v>
      </c>
      <c r="C1408" s="330"/>
      <c r="D1408" s="4"/>
      <c r="E1408" s="315"/>
      <c r="F1408" s="1"/>
      <c r="AC1408" s="48">
        <f>IF(C1408="",0,1)</f>
        <v>0</v>
      </c>
      <c r="AE1408" s="48">
        <f>IF($AC$1358=1,AC$1353,0)</f>
        <v>0</v>
      </c>
      <c r="BB1408" s="48"/>
    </row>
    <row r="1409" spans="1:56" ht="14" hidden="1" customHeight="1" thickTop="1" thickBot="1" x14ac:dyDescent="0.35">
      <c r="A1409" s="313"/>
      <c r="B1409" s="331" t="s">
        <v>779</v>
      </c>
      <c r="C1409" s="330"/>
      <c r="D1409" s="332" t="str">
        <f>AS1409</f>
        <v>AWARENESS OF ISSUE</v>
      </c>
      <c r="E1409" s="315"/>
      <c r="F1409" s="1"/>
      <c r="AM1409" s="333"/>
      <c r="AN1409" s="333"/>
      <c r="AO1409" s="333"/>
      <c r="AP1409" s="333"/>
      <c r="AS1409" s="48" t="str">
        <f>AS1399</f>
        <v>AWARENESS OF ISSUE</v>
      </c>
      <c r="BB1409" s="48"/>
    </row>
    <row r="1410" spans="1:56" ht="14" hidden="1" customHeight="1" thickTop="1" thickBot="1" x14ac:dyDescent="0.35">
      <c r="A1410" s="313"/>
      <c r="B1410" s="325" t="s">
        <v>783</v>
      </c>
      <c r="C1410" s="334" t="s">
        <v>784</v>
      </c>
      <c r="D1410" s="334" t="s">
        <v>785</v>
      </c>
      <c r="E1410" s="315"/>
      <c r="F1410" s="1"/>
      <c r="BB1410" s="48"/>
    </row>
    <row r="1411" spans="1:56" ht="14" hidden="1" customHeight="1" thickTop="1" thickBot="1" x14ac:dyDescent="0.35">
      <c r="A1411" s="313"/>
      <c r="B1411" s="314" t="s">
        <v>788</v>
      </c>
      <c r="C1411" s="335" t="str">
        <f>AM1411</f>
        <v>YYYY-MM-DD</v>
      </c>
      <c r="D1411" s="335" t="str">
        <f>AM1411</f>
        <v>YYYY-MM-DD</v>
      </c>
      <c r="E1411" s="315"/>
      <c r="F1411" s="1"/>
      <c r="AH1411" s="918" t="str">
        <f>IF(NOT(D1411=AQ1411),D1411,"")</f>
        <v>YYYY-MM-DD</v>
      </c>
      <c r="AI1411" s="918"/>
      <c r="AM1411" s="328" t="s">
        <v>789</v>
      </c>
      <c r="AQ1411" s="328"/>
      <c r="BB1411" s="48"/>
    </row>
    <row r="1412" spans="1:56" ht="14" hidden="1" customHeight="1" thickTop="1" thickBot="1" x14ac:dyDescent="0.35">
      <c r="A1412" s="313"/>
      <c r="B1412" s="314" t="s">
        <v>794</v>
      </c>
      <c r="C1412" s="337"/>
      <c r="D1412" s="338" t="str">
        <f>AC1412</f>
        <v/>
      </c>
      <c r="E1412" s="315"/>
      <c r="F1412" s="1"/>
      <c r="AC1412" s="50" t="str">
        <f>IF(AND(AC$1352&gt;0,C1412=BN$1357),BM$1357,IF(AND(AC$1352&gt;0,C1412=BN$1358),BM$1358,IF(AND(AC$1352&gt;0,C1412=BN$1359),BM$1359,IF(AND(AC$1352&gt;0,C1412=BN$1360),BM$1360,IF(AND(AC$1352&gt;0,C1412=BN$1361),BM$1361,"")))))</f>
        <v/>
      </c>
      <c r="AI1412" s="1084" t="e">
        <f>AV1413/AL$1353</f>
        <v>#REF!</v>
      </c>
      <c r="AJ1412" s="1084"/>
      <c r="AK1412" s="48" t="s">
        <v>795</v>
      </c>
      <c r="AO1412" s="9" t="e">
        <f>IF(AI1412=0,"none",(AI1412*100))</f>
        <v>#REF!</v>
      </c>
      <c r="AP1412" s="48" t="e">
        <f>IF(AO1412="none"," of weekly support cost.","% of weekly support cost.")</f>
        <v>#REF!</v>
      </c>
      <c r="BB1412" s="48"/>
    </row>
    <row r="1413" spans="1:56" ht="14" hidden="1" customHeight="1" thickTop="1" thickBot="1" x14ac:dyDescent="0.35">
      <c r="A1413" s="313"/>
      <c r="B1413" s="314" t="s">
        <v>797</v>
      </c>
      <c r="C1413" s="339"/>
      <c r="D1413" s="314" t="e">
        <f>IF(NOT(AV1413&gt;0),"",AC1413)</f>
        <v>#REF!</v>
      </c>
      <c r="E1413" s="315"/>
      <c r="F1413" s="1"/>
      <c r="AC1413" s="246" t="e">
        <f>CONCATENATE(AO1413,AT1413)</f>
        <v>#REF!</v>
      </c>
      <c r="AO1413" s="48" t="s">
        <v>798</v>
      </c>
      <c r="AT1413" s="246" t="e">
        <f>DOLLAR(AV1413)</f>
        <v>#REF!</v>
      </c>
      <c r="AV1413" s="315" t="e">
        <f>IF(AND(D1412=BM$1361,C1413=#REF!),#REF!,IF(AND(D1412=BM$1361,C1413=#REF!),#REF!,IF(AND(D1412=BM$1361,C1413=#REF!),#REF!,IF(AND(D1412=BM$1361,C1413=#REF!),#REF!,IF(AND(D1412=BM$1361,C1413=#REF!),#REF!,IF(AND(D1412=BM$1361,C1413=#REF!),#REF!,0))))))</f>
        <v>#REF!</v>
      </c>
      <c r="AX1413" s="9" t="e">
        <f>DOLLAR(AZ1413)</f>
        <v>#REF!</v>
      </c>
      <c r="AZ1413" s="340" t="e">
        <f>$AJ$1353-AV1413</f>
        <v>#REF!</v>
      </c>
      <c r="BB1413" s="336" t="e">
        <f>AV1413/AC$1353</f>
        <v>#REF!</v>
      </c>
      <c r="BD1413" s="302" t="e">
        <f>AV1413</f>
        <v>#REF!</v>
      </c>
    </row>
    <row r="1414" spans="1:56" ht="14" hidden="1" customHeight="1" thickTop="1" x14ac:dyDescent="0.3">
      <c r="A1414" s="313"/>
      <c r="B1414" s="314"/>
      <c r="C1414" s="314" t="e">
        <f>CONCATENATE(AK1412,AO1412,AP1412)</f>
        <v>#REF!</v>
      </c>
      <c r="D1414" s="314" t="e">
        <f>BF$1356</f>
        <v>#REF!</v>
      </c>
      <c r="E1414" s="315"/>
      <c r="F1414" s="1"/>
      <c r="AC1414" s="48" t="s">
        <v>800</v>
      </c>
      <c r="AI1414" s="142">
        <f>MIN(D1412,AE1408)</f>
        <v>0</v>
      </c>
      <c r="AJ1414" s="48">
        <f>ROUND(AI1414,2)</f>
        <v>0</v>
      </c>
      <c r="AK1414" s="48" t="str">
        <f>CONCATENATE(AC1414,AJ1414)</f>
        <v>contribution per exchange: $0</v>
      </c>
    </row>
    <row r="1415" spans="1:56" ht="14" hidden="1" customHeight="1" x14ac:dyDescent="0.3">
      <c r="A1415" s="313"/>
      <c r="B1415" s="314"/>
      <c r="C1415" s="314"/>
      <c r="D1415" s="314"/>
      <c r="E1415" s="315"/>
      <c r="F1415" s="1"/>
    </row>
    <row r="1416" spans="1:56" ht="5" hidden="1" customHeight="1" thickBot="1" x14ac:dyDescent="0.35">
      <c r="A1416" s="315"/>
      <c r="B1416" s="317"/>
      <c r="C1416" s="318"/>
      <c r="D1416" s="315"/>
      <c r="E1416" s="315"/>
      <c r="F1416" s="1"/>
      <c r="AC1416" s="312"/>
      <c r="AJ1416" s="402"/>
      <c r="BB1416" s="48"/>
    </row>
    <row r="1417" spans="1:56" ht="16" hidden="1" thickTop="1" thickBot="1" x14ac:dyDescent="0.35">
      <c r="A1417" s="324">
        <f>IF(C1417="",0,1+A1407)</f>
        <v>7</v>
      </c>
      <c r="B1417" s="325" t="s">
        <v>809</v>
      </c>
      <c r="C1417" s="326" t="str">
        <f>AM1417</f>
        <v>FIRST NAME</v>
      </c>
      <c r="D1417" s="327" t="str">
        <f>AQ1417</f>
        <v>LAST NAME</v>
      </c>
      <c r="E1417" s="315"/>
      <c r="F1417" s="1"/>
      <c r="AC1417" s="311" t="str">
        <f>IF(NOT(C1417=AM1417),C1417,"")</f>
        <v/>
      </c>
      <c r="AH1417" s="311" t="str">
        <f>IF(NOT(D1417=AQ1417),D1417,"")</f>
        <v/>
      </c>
      <c r="AM1417" s="328" t="s">
        <v>773</v>
      </c>
      <c r="AQ1417" s="328" t="s">
        <v>100</v>
      </c>
      <c r="BB1417" s="48"/>
    </row>
    <row r="1418" spans="1:56" ht="15" hidden="1" thickTop="1" thickBot="1" x14ac:dyDescent="0.35">
      <c r="A1418" s="313"/>
      <c r="B1418" s="315" t="s">
        <v>776</v>
      </c>
      <c r="C1418" s="330"/>
      <c r="D1418" s="4"/>
      <c r="E1418" s="315"/>
      <c r="F1418" s="1"/>
      <c r="AC1418" s="48">
        <f>IF(C1418="",0,1)</f>
        <v>0</v>
      </c>
      <c r="AE1418" s="48">
        <f>IF($AC$1358=1,AC$1353,0)</f>
        <v>0</v>
      </c>
      <c r="BB1418" s="48"/>
    </row>
    <row r="1419" spans="1:56" ht="14" hidden="1" customHeight="1" thickTop="1" thickBot="1" x14ac:dyDescent="0.35">
      <c r="A1419" s="313"/>
      <c r="B1419" s="331" t="s">
        <v>779</v>
      </c>
      <c r="C1419" s="330"/>
      <c r="D1419" s="332" t="str">
        <f>AS1419</f>
        <v>AWARENESS OF ISSUE</v>
      </c>
      <c r="E1419" s="315"/>
      <c r="F1419" s="1"/>
      <c r="AM1419" s="333"/>
      <c r="AN1419" s="333"/>
      <c r="AO1419" s="333"/>
      <c r="AP1419" s="333"/>
      <c r="AS1419" s="48" t="str">
        <f>AS1409</f>
        <v>AWARENESS OF ISSUE</v>
      </c>
      <c r="BB1419" s="48"/>
    </row>
    <row r="1420" spans="1:56" ht="14" hidden="1" customHeight="1" thickTop="1" thickBot="1" x14ac:dyDescent="0.35">
      <c r="A1420" s="313"/>
      <c r="B1420" s="325" t="s">
        <v>783</v>
      </c>
      <c r="C1420" s="334" t="s">
        <v>784</v>
      </c>
      <c r="D1420" s="334" t="s">
        <v>785</v>
      </c>
      <c r="E1420" s="315"/>
      <c r="F1420" s="1"/>
      <c r="BB1420" s="48"/>
    </row>
    <row r="1421" spans="1:56" ht="14" hidden="1" customHeight="1" thickTop="1" thickBot="1" x14ac:dyDescent="0.35">
      <c r="A1421" s="313"/>
      <c r="B1421" s="314" t="s">
        <v>788</v>
      </c>
      <c r="C1421" s="335" t="str">
        <f>AM1421</f>
        <v>YYYY-MM-DD</v>
      </c>
      <c r="D1421" s="335" t="str">
        <f>AM1421</f>
        <v>YYYY-MM-DD</v>
      </c>
      <c r="E1421" s="315"/>
      <c r="F1421" s="1"/>
      <c r="AH1421" s="918" t="str">
        <f>IF(NOT(D1421=AQ1421),D1421,"")</f>
        <v>YYYY-MM-DD</v>
      </c>
      <c r="AI1421" s="918"/>
      <c r="AM1421" s="328" t="s">
        <v>789</v>
      </c>
      <c r="AQ1421" s="328"/>
      <c r="BB1421" s="48"/>
    </row>
    <row r="1422" spans="1:56" ht="14" hidden="1" customHeight="1" thickTop="1" thickBot="1" x14ac:dyDescent="0.35">
      <c r="A1422" s="313"/>
      <c r="B1422" s="314" t="s">
        <v>794</v>
      </c>
      <c r="C1422" s="337"/>
      <c r="D1422" s="338" t="str">
        <f>AC1422</f>
        <v/>
      </c>
      <c r="E1422" s="315"/>
      <c r="F1422" s="1"/>
      <c r="AC1422" s="50" t="str">
        <f>IF(AND(AC$1352&gt;0,C1422=BN$1357),BM$1357,IF(AND(AC$1352&gt;0,C1422=BN$1358),BM$1358,IF(AND(AC$1352&gt;0,C1422=BN$1359),BM$1359,IF(AND(AC$1352&gt;0,C1422=BN$1360),BM$1360,IF(AND(AC$1352&gt;0,C1422=BN$1361),BM$1361,"")))))</f>
        <v/>
      </c>
      <c r="AI1422" s="1084" t="e">
        <f>AV1423/AL$1353</f>
        <v>#REF!</v>
      </c>
      <c r="AJ1422" s="1084"/>
      <c r="AK1422" s="48" t="s">
        <v>795</v>
      </c>
      <c r="AO1422" s="9" t="e">
        <f>IF(AI1422=0,"none",(AI1422*100))</f>
        <v>#REF!</v>
      </c>
      <c r="AP1422" s="48" t="e">
        <f>IF(AO1422="none"," of weekly support cost.","% of weekly support cost.")</f>
        <v>#REF!</v>
      </c>
      <c r="BB1422" s="48"/>
    </row>
    <row r="1423" spans="1:56" ht="14" hidden="1" customHeight="1" thickTop="1" thickBot="1" x14ac:dyDescent="0.35">
      <c r="A1423" s="313"/>
      <c r="B1423" s="314" t="s">
        <v>797</v>
      </c>
      <c r="C1423" s="339"/>
      <c r="D1423" s="314" t="e">
        <f>IF(NOT(AV1423&gt;0),"",AC1423)</f>
        <v>#REF!</v>
      </c>
      <c r="E1423" s="315"/>
      <c r="F1423" s="1"/>
      <c r="AC1423" s="246" t="e">
        <f>CONCATENATE(AO1423,AT1423)</f>
        <v>#REF!</v>
      </c>
      <c r="AO1423" s="48" t="s">
        <v>798</v>
      </c>
      <c r="AT1423" s="246" t="e">
        <f>DOLLAR(AV1423)</f>
        <v>#REF!</v>
      </c>
      <c r="AV1423" s="315" t="e">
        <f>IF(AND(D1422=BM$1361,C1423=#REF!),#REF!,IF(AND(D1422=BM$1361,C1423=#REF!),#REF!,IF(AND(D1422=BM$1361,C1423=#REF!),#REF!,IF(AND(D1422=BM$1361,C1423=#REF!),#REF!,IF(AND(D1422=BM$1361,C1423=#REF!),#REF!,IF(AND(D1422=BM$1361,C1423=#REF!),#REF!,0))))))</f>
        <v>#REF!</v>
      </c>
      <c r="AX1423" s="9" t="e">
        <f>DOLLAR(AZ1423)</f>
        <v>#REF!</v>
      </c>
      <c r="AZ1423" s="340" t="e">
        <f>$AJ$1353-AV1423</f>
        <v>#REF!</v>
      </c>
      <c r="BB1423" s="48"/>
      <c r="BD1423" s="302" t="e">
        <f>AV1423</f>
        <v>#REF!</v>
      </c>
    </row>
    <row r="1424" spans="1:56" ht="14" hidden="1" customHeight="1" thickTop="1" x14ac:dyDescent="0.3">
      <c r="A1424" s="313"/>
      <c r="B1424" s="314"/>
      <c r="C1424" s="314" t="e">
        <f>CONCATENATE(AK1422,AO1422,AP1422)</f>
        <v>#REF!</v>
      </c>
      <c r="D1424" s="314" t="e">
        <f>BF$1356</f>
        <v>#REF!</v>
      </c>
      <c r="E1424" s="315"/>
      <c r="F1424" s="1"/>
      <c r="AC1424" s="48" t="s">
        <v>800</v>
      </c>
      <c r="AI1424" s="142">
        <f>MIN(D1422,AE1418)</f>
        <v>0</v>
      </c>
      <c r="AJ1424" s="48">
        <f>ROUND(AI1424,2)</f>
        <v>0</v>
      </c>
      <c r="AK1424" s="48" t="str">
        <f>CONCATENATE(AC1424,AJ1424)</f>
        <v>contribution per exchange: $0</v>
      </c>
    </row>
    <row r="1425" spans="1:56" ht="14" hidden="1" customHeight="1" x14ac:dyDescent="0.3">
      <c r="A1425" s="313"/>
      <c r="B1425" s="314"/>
      <c r="C1425" s="314"/>
      <c r="D1425" s="314"/>
      <c r="E1425" s="315"/>
      <c r="F1425" s="1"/>
    </row>
    <row r="1426" spans="1:56" ht="5" hidden="1" customHeight="1" thickBot="1" x14ac:dyDescent="0.35">
      <c r="A1426" s="315"/>
      <c r="B1426" s="317"/>
      <c r="C1426" s="318"/>
      <c r="D1426" s="315"/>
      <c r="E1426" s="315"/>
      <c r="F1426" s="1"/>
      <c r="AC1426" s="312"/>
      <c r="AJ1426" s="402"/>
      <c r="BB1426" s="48"/>
    </row>
    <row r="1427" spans="1:56" ht="16" hidden="1" thickTop="1" thickBot="1" x14ac:dyDescent="0.35">
      <c r="A1427" s="324">
        <f>IF(C1427="",0,1+A1417)</f>
        <v>8</v>
      </c>
      <c r="B1427" s="325" t="s">
        <v>810</v>
      </c>
      <c r="C1427" s="326" t="str">
        <f>AM1427</f>
        <v>FIRST NAME</v>
      </c>
      <c r="D1427" s="327" t="str">
        <f>AQ1427</f>
        <v>LAST NAME</v>
      </c>
      <c r="E1427" s="315"/>
      <c r="F1427" s="1"/>
      <c r="AC1427" s="311" t="str">
        <f>IF(NOT(C1427=AM1427),C1427,"")</f>
        <v/>
      </c>
      <c r="AH1427" s="311" t="str">
        <f>IF(NOT(D1427=AQ1427),D1427,"")</f>
        <v/>
      </c>
      <c r="AM1427" s="328" t="s">
        <v>773</v>
      </c>
      <c r="AQ1427" s="328" t="s">
        <v>100</v>
      </c>
      <c r="BB1427" s="48"/>
    </row>
    <row r="1428" spans="1:56" ht="15" hidden="1" thickTop="1" thickBot="1" x14ac:dyDescent="0.35">
      <c r="A1428" s="313"/>
      <c r="B1428" s="315" t="s">
        <v>776</v>
      </c>
      <c r="C1428" s="330"/>
      <c r="D1428" s="4"/>
      <c r="E1428" s="315"/>
      <c r="F1428" s="1"/>
      <c r="AC1428" s="48">
        <f>IF(C1428="",0,1)</f>
        <v>0</v>
      </c>
      <c r="AE1428" s="48">
        <f>IF($AC$1358=1,AC$1353,0)</f>
        <v>0</v>
      </c>
      <c r="BB1428" s="48"/>
    </row>
    <row r="1429" spans="1:56" ht="14" hidden="1" customHeight="1" thickTop="1" thickBot="1" x14ac:dyDescent="0.35">
      <c r="A1429" s="313"/>
      <c r="B1429" s="331" t="s">
        <v>779</v>
      </c>
      <c r="C1429" s="330"/>
      <c r="D1429" s="332" t="str">
        <f>AS1429</f>
        <v>AWARENESS OF ISSUE</v>
      </c>
      <c r="E1429" s="315"/>
      <c r="F1429" s="1"/>
      <c r="AM1429" s="333"/>
      <c r="AN1429" s="333"/>
      <c r="AO1429" s="333"/>
      <c r="AP1429" s="333"/>
      <c r="AS1429" s="48" t="str">
        <f>AS1419</f>
        <v>AWARENESS OF ISSUE</v>
      </c>
      <c r="BB1429" s="48"/>
    </row>
    <row r="1430" spans="1:56" ht="14" hidden="1" customHeight="1" thickTop="1" thickBot="1" x14ac:dyDescent="0.35">
      <c r="A1430" s="313"/>
      <c r="B1430" s="325" t="s">
        <v>783</v>
      </c>
      <c r="C1430" s="334" t="s">
        <v>784</v>
      </c>
      <c r="D1430" s="334" t="s">
        <v>785</v>
      </c>
      <c r="E1430" s="315"/>
      <c r="F1430" s="1"/>
      <c r="BB1430" s="48"/>
    </row>
    <row r="1431" spans="1:56" ht="14" hidden="1" customHeight="1" thickTop="1" thickBot="1" x14ac:dyDescent="0.35">
      <c r="A1431" s="313"/>
      <c r="B1431" s="314" t="s">
        <v>788</v>
      </c>
      <c r="C1431" s="335" t="str">
        <f>AM1431</f>
        <v>YYYY-MM-DD</v>
      </c>
      <c r="D1431" s="335" t="str">
        <f>AM1431</f>
        <v>YYYY-MM-DD</v>
      </c>
      <c r="E1431" s="315"/>
      <c r="F1431" s="1"/>
      <c r="AH1431" s="918" t="str">
        <f>IF(NOT(D1431=AQ1431),D1431,"")</f>
        <v>YYYY-MM-DD</v>
      </c>
      <c r="AI1431" s="918"/>
      <c r="AM1431" s="328" t="s">
        <v>789</v>
      </c>
      <c r="AQ1431" s="328"/>
      <c r="BB1431" s="48"/>
    </row>
    <row r="1432" spans="1:56" ht="14" hidden="1" customHeight="1" thickTop="1" thickBot="1" x14ac:dyDescent="0.35">
      <c r="A1432" s="313"/>
      <c r="B1432" s="314" t="s">
        <v>794</v>
      </c>
      <c r="C1432" s="337"/>
      <c r="D1432" s="338" t="str">
        <f>AC1432</f>
        <v/>
      </c>
      <c r="E1432" s="315"/>
      <c r="F1432" s="1"/>
      <c r="AC1432" s="50" t="str">
        <f>IF(AND(AC$1352&gt;0,C1432=BN$1357),BM$1357,IF(AND(AC$1352&gt;0,C1432=BN$1358),BM$1358,IF(AND(AC$1352&gt;0,C1432=BN$1359),BM$1359,IF(AND(AC$1352&gt;0,C1432=BN$1360),BM$1360,IF(AND(AC$1352&gt;0,C1432=BN$1361),BM$1361,"")))))</f>
        <v/>
      </c>
      <c r="AI1432" s="1084" t="e">
        <f>AV1433/AL$1353</f>
        <v>#REF!</v>
      </c>
      <c r="AJ1432" s="1084"/>
      <c r="AK1432" s="48" t="s">
        <v>795</v>
      </c>
      <c r="AO1432" s="9" t="e">
        <f>IF(AI1432=0,"none",(AI1432*100))</f>
        <v>#REF!</v>
      </c>
      <c r="AP1432" s="48" t="e">
        <f>IF(AO1432="none"," of weekly support cost.","% of weekly support cost.")</f>
        <v>#REF!</v>
      </c>
      <c r="BB1432" s="48"/>
    </row>
    <row r="1433" spans="1:56" ht="14" hidden="1" customHeight="1" thickTop="1" thickBot="1" x14ac:dyDescent="0.35">
      <c r="A1433" s="313"/>
      <c r="B1433" s="314" t="s">
        <v>797</v>
      </c>
      <c r="C1433" s="339"/>
      <c r="D1433" s="314" t="e">
        <f>IF(NOT(AV1433&gt;0),"",AC1433)</f>
        <v>#REF!</v>
      </c>
      <c r="E1433" s="315"/>
      <c r="F1433" s="1"/>
      <c r="AC1433" s="246" t="e">
        <f>CONCATENATE(AO1433,AT1433)</f>
        <v>#REF!</v>
      </c>
      <c r="AO1433" s="48" t="s">
        <v>798</v>
      </c>
      <c r="AT1433" s="246" t="e">
        <f>DOLLAR(AV1433)</f>
        <v>#REF!</v>
      </c>
      <c r="AV1433" s="315" t="e">
        <f>IF(AND(D1432=BM$1361,C1433=#REF!),#REF!,IF(AND(D1432=BM$1361,C1433=#REF!),#REF!,IF(AND(D1432=BM$1361,C1433=#REF!),#REF!,IF(AND(D1432=BM$1361,C1433=#REF!),#REF!,IF(AND(D1432=BM$1361,C1433=#REF!),#REF!,IF(AND(D1432=BM$1361,C1433=#REF!),#REF!,0))))))</f>
        <v>#REF!</v>
      </c>
      <c r="AX1433" s="9" t="e">
        <f>DOLLAR(AZ1433)</f>
        <v>#REF!</v>
      </c>
      <c r="AZ1433" s="340" t="e">
        <f>$AJ$1353-AV1433</f>
        <v>#REF!</v>
      </c>
      <c r="BB1433" s="48"/>
      <c r="BD1433" s="302" t="e">
        <f>AV1433</f>
        <v>#REF!</v>
      </c>
    </row>
    <row r="1434" spans="1:56" ht="14" hidden="1" customHeight="1" thickTop="1" x14ac:dyDescent="0.3">
      <c r="A1434" s="313"/>
      <c r="B1434" s="314"/>
      <c r="C1434" s="314" t="e">
        <f>CONCATENATE(AK1432,AO1432,AP1432)</f>
        <v>#REF!</v>
      </c>
      <c r="D1434" s="314" t="e">
        <f>BF$1356</f>
        <v>#REF!</v>
      </c>
      <c r="E1434" s="315"/>
      <c r="F1434" s="1"/>
      <c r="AC1434" s="48" t="s">
        <v>800</v>
      </c>
      <c r="AI1434" s="142">
        <f>MIN(D1432,AE1428)</f>
        <v>0</v>
      </c>
      <c r="AJ1434" s="48">
        <f>ROUND(AI1434,2)</f>
        <v>0</v>
      </c>
      <c r="AK1434" s="48" t="str">
        <f>CONCATENATE(AC1434,AJ1434)</f>
        <v>contribution per exchange: $0</v>
      </c>
    </row>
    <row r="1435" spans="1:56" ht="14" hidden="1" customHeight="1" x14ac:dyDescent="0.3">
      <c r="A1435" s="313"/>
      <c r="B1435" s="314"/>
      <c r="C1435" s="314"/>
      <c r="D1435" s="314"/>
      <c r="E1435" s="315"/>
      <c r="F1435" s="1"/>
    </row>
    <row r="1436" spans="1:56" ht="5" hidden="1" customHeight="1" thickBot="1" x14ac:dyDescent="0.35">
      <c r="A1436" s="315"/>
      <c r="B1436" s="317"/>
      <c r="C1436" s="318"/>
      <c r="D1436" s="315"/>
      <c r="E1436" s="315"/>
      <c r="F1436" s="1"/>
      <c r="AC1436" s="312"/>
      <c r="AJ1436" s="402"/>
      <c r="BB1436" s="48"/>
    </row>
    <row r="1437" spans="1:56" ht="16" hidden="1" thickTop="1" thickBot="1" x14ac:dyDescent="0.35">
      <c r="A1437" s="324">
        <f>IF(C1437="",0,1+A1427)</f>
        <v>9</v>
      </c>
      <c r="B1437" s="325" t="s">
        <v>811</v>
      </c>
      <c r="C1437" s="326" t="str">
        <f>AM1437</f>
        <v>FIRST NAME</v>
      </c>
      <c r="D1437" s="327" t="str">
        <f>AQ1437</f>
        <v>LAST NAME</v>
      </c>
      <c r="E1437" s="315"/>
      <c r="F1437" s="1"/>
      <c r="AC1437" s="311" t="str">
        <f>IF(NOT(C1437=AM1437),C1437,"")</f>
        <v/>
      </c>
      <c r="AH1437" s="311" t="str">
        <f>IF(NOT(D1437=AQ1437),D1437,"")</f>
        <v/>
      </c>
      <c r="AM1437" s="328" t="s">
        <v>773</v>
      </c>
      <c r="AQ1437" s="328" t="s">
        <v>100</v>
      </c>
      <c r="BB1437" s="48"/>
    </row>
    <row r="1438" spans="1:56" ht="15" hidden="1" thickTop="1" thickBot="1" x14ac:dyDescent="0.35">
      <c r="A1438" s="313"/>
      <c r="B1438" s="315" t="s">
        <v>776</v>
      </c>
      <c r="C1438" s="330"/>
      <c r="D1438" s="4"/>
      <c r="E1438" s="315"/>
      <c r="F1438" s="1"/>
      <c r="AC1438" s="48">
        <f>IF(C1438="",0,1)</f>
        <v>0</v>
      </c>
      <c r="AE1438" s="48">
        <f>IF($AC$1358=1,AC$1353,0)</f>
        <v>0</v>
      </c>
      <c r="BB1438" s="48"/>
    </row>
    <row r="1439" spans="1:56" ht="14" hidden="1" customHeight="1" thickTop="1" thickBot="1" x14ac:dyDescent="0.35">
      <c r="A1439" s="313"/>
      <c r="B1439" s="331" t="s">
        <v>779</v>
      </c>
      <c r="C1439" s="330"/>
      <c r="D1439" s="332" t="str">
        <f>AS1439</f>
        <v>AWARENESS OF ISSUE</v>
      </c>
      <c r="E1439" s="315"/>
      <c r="F1439" s="1"/>
      <c r="AM1439" s="333"/>
      <c r="AN1439" s="333"/>
      <c r="AO1439" s="333"/>
      <c r="AP1439" s="333"/>
      <c r="AS1439" s="48" t="str">
        <f>AS1429</f>
        <v>AWARENESS OF ISSUE</v>
      </c>
      <c r="BB1439" s="48"/>
    </row>
    <row r="1440" spans="1:56" ht="14" hidden="1" customHeight="1" thickTop="1" thickBot="1" x14ac:dyDescent="0.35">
      <c r="A1440" s="313"/>
      <c r="B1440" s="325" t="s">
        <v>783</v>
      </c>
      <c r="C1440" s="334" t="s">
        <v>784</v>
      </c>
      <c r="D1440" s="334" t="s">
        <v>785</v>
      </c>
      <c r="E1440" s="315"/>
      <c r="F1440" s="1"/>
      <c r="BB1440" s="48"/>
    </row>
    <row r="1441" spans="1:56" ht="14" hidden="1" customHeight="1" thickTop="1" thickBot="1" x14ac:dyDescent="0.35">
      <c r="A1441" s="313"/>
      <c r="B1441" s="314" t="s">
        <v>788</v>
      </c>
      <c r="C1441" s="335" t="str">
        <f>AM1441</f>
        <v>YYYY-MM-DD</v>
      </c>
      <c r="D1441" s="335" t="str">
        <f>AM1441</f>
        <v>YYYY-MM-DD</v>
      </c>
      <c r="E1441" s="315"/>
      <c r="F1441" s="1"/>
      <c r="AH1441" s="918" t="str">
        <f>IF(NOT(D1441=AQ1441),D1441,"")</f>
        <v>YYYY-MM-DD</v>
      </c>
      <c r="AI1441" s="918"/>
      <c r="AM1441" s="328" t="s">
        <v>789</v>
      </c>
      <c r="AQ1441" s="328"/>
      <c r="BB1441" s="48"/>
    </row>
    <row r="1442" spans="1:56" ht="14" hidden="1" customHeight="1" thickTop="1" thickBot="1" x14ac:dyDescent="0.35">
      <c r="A1442" s="313"/>
      <c r="B1442" s="314" t="s">
        <v>794</v>
      </c>
      <c r="C1442" s="337"/>
      <c r="D1442" s="338" t="str">
        <f>AC1442</f>
        <v/>
      </c>
      <c r="E1442" s="315"/>
      <c r="F1442" s="1"/>
      <c r="AC1442" s="50" t="str">
        <f>IF(AND(AC$1352&gt;0,C1442=BN$1357),BM$1357,IF(AND(AC$1352&gt;0,C1442=BN$1358),BM$1358,IF(AND(AC$1352&gt;0,C1442=BN$1359),BM$1359,IF(AND(AC$1352&gt;0,C1442=BN$1360),BM$1360,IF(AND(AC$1352&gt;0,C1442=BN$1361),BM$1361,"")))))</f>
        <v/>
      </c>
      <c r="AI1442" s="1084" t="e">
        <f>AV1443/AL$1353</f>
        <v>#REF!</v>
      </c>
      <c r="AJ1442" s="1084"/>
      <c r="AK1442" s="48" t="s">
        <v>795</v>
      </c>
      <c r="AO1442" s="9" t="e">
        <f>IF(AI1442=0,"none",(AI1442*100))</f>
        <v>#REF!</v>
      </c>
      <c r="AP1442" s="48" t="e">
        <f>IF(AO1442="none"," of weekly support cost.","% of weekly support cost.")</f>
        <v>#REF!</v>
      </c>
      <c r="BB1442" s="48"/>
    </row>
    <row r="1443" spans="1:56" ht="14" hidden="1" customHeight="1" thickTop="1" thickBot="1" x14ac:dyDescent="0.35">
      <c r="A1443" s="313"/>
      <c r="B1443" s="314" t="s">
        <v>797</v>
      </c>
      <c r="C1443" s="339"/>
      <c r="D1443" s="314" t="e">
        <f>IF(NOT(AV1443&gt;0),"",AC1443)</f>
        <v>#REF!</v>
      </c>
      <c r="E1443" s="315"/>
      <c r="F1443" s="1"/>
      <c r="AC1443" s="246" t="e">
        <f>CONCATENATE(AO1443,AT1443)</f>
        <v>#REF!</v>
      </c>
      <c r="AO1443" s="48" t="s">
        <v>798</v>
      </c>
      <c r="AT1443" s="246" t="e">
        <f>DOLLAR(AV1443)</f>
        <v>#REF!</v>
      </c>
      <c r="AV1443" s="315" t="e">
        <f>IF(AND(D1442=BM$1361,C1443=#REF!),#REF!,IF(AND(D1442=BM$1361,C1443=#REF!),#REF!,IF(AND(D1442=BM$1361,C1443=#REF!),#REF!,IF(AND(D1442=BM$1361,C1443=#REF!),#REF!,IF(AND(D1442=BM$1361,C1443=#REF!),#REF!,IF(AND(D1442=BM$1361,C1443=#REF!),#REF!,0))))))</f>
        <v>#REF!</v>
      </c>
      <c r="AX1443" s="9" t="e">
        <f>DOLLAR(AZ1443)</f>
        <v>#REF!</v>
      </c>
      <c r="AZ1443" s="340" t="e">
        <f>$AJ$1353-AV1443</f>
        <v>#REF!</v>
      </c>
      <c r="BB1443" s="48"/>
      <c r="BD1443" s="302" t="e">
        <f>AV1443</f>
        <v>#REF!</v>
      </c>
    </row>
    <row r="1444" spans="1:56" ht="14" hidden="1" customHeight="1" thickTop="1" x14ac:dyDescent="0.3">
      <c r="A1444" s="313"/>
      <c r="B1444" s="314"/>
      <c r="C1444" s="314" t="e">
        <f>CONCATENATE(AK1442,AO1442,AP1442)</f>
        <v>#REF!</v>
      </c>
      <c r="D1444" s="314" t="e">
        <f>BF$1356</f>
        <v>#REF!</v>
      </c>
      <c r="E1444" s="315"/>
      <c r="F1444" s="1"/>
      <c r="AC1444" s="48" t="s">
        <v>800</v>
      </c>
      <c r="AI1444" s="142">
        <f>MIN(D1442,AE1438)</f>
        <v>0</v>
      </c>
      <c r="AJ1444" s="48">
        <f>ROUND(AI1444,2)</f>
        <v>0</v>
      </c>
      <c r="AK1444" s="48" t="str">
        <f>CONCATENATE(AC1444,AJ1444)</f>
        <v>contribution per exchange: $0</v>
      </c>
    </row>
    <row r="1445" spans="1:56" ht="18" hidden="1" customHeight="1" x14ac:dyDescent="0.3">
      <c r="A1445" s="313"/>
      <c r="B1445" s="314"/>
      <c r="C1445" s="314"/>
      <c r="D1445" s="314"/>
      <c r="E1445" s="315"/>
      <c r="F1445" s="1"/>
    </row>
    <row r="1446" spans="1:56" ht="5" hidden="1" customHeight="1" thickBot="1" x14ac:dyDescent="0.35">
      <c r="A1446" s="315"/>
      <c r="B1446" s="317"/>
      <c r="C1446" s="318"/>
      <c r="D1446" s="315"/>
      <c r="E1446" s="315"/>
      <c r="F1446" s="1"/>
      <c r="AC1446" s="312"/>
      <c r="AJ1446" s="402"/>
      <c r="BB1446" s="48"/>
    </row>
    <row r="1447" spans="1:56" ht="16" hidden="1" thickTop="1" thickBot="1" x14ac:dyDescent="0.35">
      <c r="A1447" s="324">
        <f>IF(C1447="",0,1+A1437)</f>
        <v>10</v>
      </c>
      <c r="B1447" s="325" t="s">
        <v>812</v>
      </c>
      <c r="C1447" s="326" t="str">
        <f>AM1447</f>
        <v>FIRST NAME</v>
      </c>
      <c r="D1447" s="327" t="str">
        <f>AQ1447</f>
        <v>LAST NAME</v>
      </c>
      <c r="E1447" s="315"/>
      <c r="F1447" s="1"/>
      <c r="AC1447" s="311" t="str">
        <f>IF(NOT(C1447=AM1447),C1447,"")</f>
        <v/>
      </c>
      <c r="AH1447" s="311" t="str">
        <f>IF(NOT(D1447=AQ1447),D1447,"")</f>
        <v/>
      </c>
      <c r="AM1447" s="328" t="s">
        <v>773</v>
      </c>
      <c r="AQ1447" s="328" t="s">
        <v>100</v>
      </c>
      <c r="BB1447" s="48"/>
    </row>
    <row r="1448" spans="1:56" ht="15" hidden="1" thickTop="1" thickBot="1" x14ac:dyDescent="0.35">
      <c r="A1448" s="313"/>
      <c r="B1448" s="315" t="s">
        <v>776</v>
      </c>
      <c r="C1448" s="330"/>
      <c r="D1448" s="4"/>
      <c r="E1448" s="315"/>
      <c r="F1448" s="1"/>
      <c r="AC1448" s="48">
        <f>IF(C1448="",0,1)</f>
        <v>0</v>
      </c>
      <c r="AE1448" s="48">
        <f>IF($AC$1358=1,AC$1353,0)</f>
        <v>0</v>
      </c>
      <c r="BB1448" s="48"/>
    </row>
    <row r="1449" spans="1:56" ht="14" hidden="1" customHeight="1" thickTop="1" thickBot="1" x14ac:dyDescent="0.35">
      <c r="A1449" s="313"/>
      <c r="B1449" s="331" t="s">
        <v>779</v>
      </c>
      <c r="C1449" s="330"/>
      <c r="D1449" s="332" t="str">
        <f>AS1449</f>
        <v>AWARENESS OF ISSUE</v>
      </c>
      <c r="E1449" s="315"/>
      <c r="F1449" s="1"/>
      <c r="AM1449" s="333"/>
      <c r="AN1449" s="333"/>
      <c r="AO1449" s="333"/>
      <c r="AP1449" s="333"/>
      <c r="AS1449" s="48" t="str">
        <f>AS1439</f>
        <v>AWARENESS OF ISSUE</v>
      </c>
      <c r="BB1449" s="48"/>
    </row>
    <row r="1450" spans="1:56" ht="14" hidden="1" customHeight="1" thickTop="1" thickBot="1" x14ac:dyDescent="0.35">
      <c r="A1450" s="313"/>
      <c r="B1450" s="325" t="s">
        <v>783</v>
      </c>
      <c r="C1450" s="334" t="s">
        <v>784</v>
      </c>
      <c r="D1450" s="334" t="s">
        <v>785</v>
      </c>
      <c r="E1450" s="315"/>
      <c r="F1450" s="1"/>
      <c r="BB1450" s="48"/>
    </row>
    <row r="1451" spans="1:56" ht="14" hidden="1" customHeight="1" thickTop="1" thickBot="1" x14ac:dyDescent="0.35">
      <c r="A1451" s="313"/>
      <c r="B1451" s="314" t="s">
        <v>788</v>
      </c>
      <c r="C1451" s="335" t="str">
        <f>AM1451</f>
        <v>YYYY-MM-DD</v>
      </c>
      <c r="D1451" s="335" t="str">
        <f>AM1451</f>
        <v>YYYY-MM-DD</v>
      </c>
      <c r="E1451" s="315"/>
      <c r="F1451" s="1"/>
      <c r="AH1451" s="918" t="str">
        <f>IF(NOT(D1451=AQ1451),D1451,"")</f>
        <v>YYYY-MM-DD</v>
      </c>
      <c r="AI1451" s="918"/>
      <c r="AM1451" s="328" t="s">
        <v>789</v>
      </c>
      <c r="AQ1451" s="328"/>
      <c r="BB1451" s="48"/>
    </row>
    <row r="1452" spans="1:56" ht="14" hidden="1" customHeight="1" thickTop="1" thickBot="1" x14ac:dyDescent="0.35">
      <c r="A1452" s="313"/>
      <c r="B1452" s="314" t="s">
        <v>794</v>
      </c>
      <c r="C1452" s="337"/>
      <c r="D1452" s="338" t="str">
        <f>AC1452</f>
        <v/>
      </c>
      <c r="E1452" s="315"/>
      <c r="F1452" s="1"/>
      <c r="AC1452" s="50" t="str">
        <f>IF(AND(AC$1352&gt;0,C1452=BN$1357),BM$1357,IF(AND(AC$1352&gt;0,C1452=BN$1358),BM$1358,IF(AND(AC$1352&gt;0,C1452=BN$1359),BM$1359,IF(AND(AC$1352&gt;0,C1452=BN$1360),BM$1360,IF(AND(AC$1352&gt;0,C1452=BN$1361),BM$1361,"")))))</f>
        <v/>
      </c>
      <c r="AI1452" s="1084" t="e">
        <f>AV1453/AL$1353</f>
        <v>#REF!</v>
      </c>
      <c r="AJ1452" s="1084"/>
      <c r="AK1452" s="48" t="s">
        <v>795</v>
      </c>
      <c r="AO1452" s="9" t="e">
        <f>IF(AI1452=0,"none",(AI1452*100))</f>
        <v>#REF!</v>
      </c>
      <c r="AP1452" s="48" t="e">
        <f>IF(AO1452="none"," of weekly support cost.","% of weekly support cost.")</f>
        <v>#REF!</v>
      </c>
      <c r="BB1452" s="48"/>
    </row>
    <row r="1453" spans="1:56" ht="14" hidden="1" customHeight="1" thickTop="1" thickBot="1" x14ac:dyDescent="0.35">
      <c r="A1453" s="313"/>
      <c r="B1453" s="314" t="s">
        <v>797</v>
      </c>
      <c r="C1453" s="339"/>
      <c r="D1453" s="314" t="e">
        <f>IF(NOT(AV1453&gt;0),"",AC1453)</f>
        <v>#REF!</v>
      </c>
      <c r="E1453" s="315"/>
      <c r="F1453" s="1"/>
      <c r="AC1453" s="246" t="e">
        <f>CONCATENATE(AO1453,AT1453)</f>
        <v>#REF!</v>
      </c>
      <c r="AO1453" s="48" t="s">
        <v>798</v>
      </c>
      <c r="AT1453" s="246" t="e">
        <f>DOLLAR(AV1453)</f>
        <v>#REF!</v>
      </c>
      <c r="AV1453" s="315" t="e">
        <f>IF(AND(D1452=BM$1361,C1453=#REF!),#REF!,IF(AND(D1452=BM$1361,C1453=#REF!),#REF!,IF(AND(D1452=BM$1361,C1453=#REF!),#REF!,IF(AND(D1452=BM$1361,C1453=#REF!),#REF!,IF(AND(D1452=BM$1361,C1453=#REF!),#REF!,IF(AND(D1452=BM$1361,C1453=#REF!),#REF!,0))))))</f>
        <v>#REF!</v>
      </c>
      <c r="AX1453" s="9" t="e">
        <f>DOLLAR(AZ1453)</f>
        <v>#REF!</v>
      </c>
      <c r="AZ1453" s="340" t="e">
        <f>$AJ$1353-AV1453</f>
        <v>#REF!</v>
      </c>
      <c r="BB1453" s="336" t="e">
        <f>AV1453/AC$1353</f>
        <v>#REF!</v>
      </c>
      <c r="BD1453" s="302" t="e">
        <f>AV1453</f>
        <v>#REF!</v>
      </c>
    </row>
    <row r="1454" spans="1:56" ht="14" hidden="1" customHeight="1" thickTop="1" x14ac:dyDescent="0.3">
      <c r="A1454" s="313"/>
      <c r="B1454" s="314"/>
      <c r="C1454" s="314" t="e">
        <f>CONCATENATE(AK1452,AO1452,AP1452)</f>
        <v>#REF!</v>
      </c>
      <c r="D1454" s="314" t="e">
        <f>BF$1356</f>
        <v>#REF!</v>
      </c>
      <c r="E1454" s="315"/>
      <c r="F1454" s="1"/>
      <c r="AC1454" s="48" t="s">
        <v>800</v>
      </c>
      <c r="AI1454" s="142">
        <f>MIN(D1452,AE1448)</f>
        <v>0</v>
      </c>
      <c r="AJ1454" s="48">
        <f>ROUND(AI1454,2)</f>
        <v>0</v>
      </c>
      <c r="AK1454" s="48" t="str">
        <f>CONCATENATE(AC1454,AJ1454)</f>
        <v>contribution per exchange: $0</v>
      </c>
    </row>
    <row r="1455" spans="1:56" ht="14" hidden="1" customHeight="1" x14ac:dyDescent="0.3">
      <c r="A1455" s="313"/>
      <c r="B1455" s="314"/>
      <c r="C1455" s="314"/>
      <c r="D1455" s="314"/>
      <c r="E1455" s="315"/>
      <c r="F1455" s="1"/>
    </row>
    <row r="1456" spans="1:56" ht="5" hidden="1" customHeight="1" thickBot="1" x14ac:dyDescent="0.35">
      <c r="A1456" s="315"/>
      <c r="B1456" s="317"/>
      <c r="C1456" s="318"/>
      <c r="D1456" s="315"/>
      <c r="E1456" s="315"/>
      <c r="F1456" s="1"/>
      <c r="AC1456" s="312"/>
      <c r="AJ1456" s="402"/>
      <c r="BB1456" s="48"/>
    </row>
    <row r="1457" spans="1:56" ht="16" hidden="1" thickTop="1" thickBot="1" x14ac:dyDescent="0.35">
      <c r="A1457" s="324">
        <f>IF(C1457="",0,1+A1447)</f>
        <v>11</v>
      </c>
      <c r="B1457" s="325" t="s">
        <v>813</v>
      </c>
      <c r="C1457" s="326" t="str">
        <f>AM1457</f>
        <v>FIRST NAME</v>
      </c>
      <c r="D1457" s="327" t="str">
        <f>AQ1457</f>
        <v>LAST NAME</v>
      </c>
      <c r="E1457" s="315"/>
      <c r="F1457" s="1"/>
      <c r="AC1457" s="311" t="str">
        <f>IF(NOT(C1457=AM1457),C1457,"")</f>
        <v/>
      </c>
      <c r="AH1457" s="311" t="str">
        <f>IF(NOT(D1457=AQ1457),D1457,"")</f>
        <v/>
      </c>
      <c r="AM1457" s="328" t="s">
        <v>773</v>
      </c>
      <c r="AQ1457" s="328" t="s">
        <v>100</v>
      </c>
      <c r="BB1457" s="48"/>
    </row>
    <row r="1458" spans="1:56" ht="15" hidden="1" thickTop="1" thickBot="1" x14ac:dyDescent="0.35">
      <c r="A1458" s="313"/>
      <c r="B1458" s="315" t="s">
        <v>776</v>
      </c>
      <c r="C1458" s="330"/>
      <c r="D1458" s="4"/>
      <c r="E1458" s="315"/>
      <c r="F1458" s="1"/>
      <c r="AC1458" s="48">
        <f>IF(C1458="",0,1)</f>
        <v>0</v>
      </c>
      <c r="AE1458" s="48">
        <f>IF($AC$1358=1,AC$1353,0)</f>
        <v>0</v>
      </c>
      <c r="BB1458" s="48"/>
    </row>
    <row r="1459" spans="1:56" ht="14" hidden="1" customHeight="1" thickTop="1" thickBot="1" x14ac:dyDescent="0.35">
      <c r="A1459" s="313"/>
      <c r="B1459" s="331" t="s">
        <v>779</v>
      </c>
      <c r="C1459" s="330"/>
      <c r="D1459" s="332" t="str">
        <f>AS1459</f>
        <v>AWARENESS OF ISSUE</v>
      </c>
      <c r="E1459" s="315"/>
      <c r="F1459" s="1"/>
      <c r="AM1459" s="333"/>
      <c r="AN1459" s="333"/>
      <c r="AO1459" s="333"/>
      <c r="AP1459" s="333"/>
      <c r="AS1459" s="48" t="str">
        <f>AS1449</f>
        <v>AWARENESS OF ISSUE</v>
      </c>
      <c r="BB1459" s="48"/>
    </row>
    <row r="1460" spans="1:56" ht="14" hidden="1" customHeight="1" thickTop="1" thickBot="1" x14ac:dyDescent="0.35">
      <c r="A1460" s="313"/>
      <c r="B1460" s="325" t="s">
        <v>783</v>
      </c>
      <c r="C1460" s="334" t="s">
        <v>784</v>
      </c>
      <c r="D1460" s="334" t="s">
        <v>785</v>
      </c>
      <c r="E1460" s="315"/>
      <c r="F1460" s="1"/>
      <c r="BB1460" s="48"/>
    </row>
    <row r="1461" spans="1:56" ht="14" hidden="1" customHeight="1" thickTop="1" thickBot="1" x14ac:dyDescent="0.35">
      <c r="A1461" s="313"/>
      <c r="B1461" s="314" t="s">
        <v>788</v>
      </c>
      <c r="C1461" s="335" t="str">
        <f>AM1461</f>
        <v>YYYY-MM-DD</v>
      </c>
      <c r="D1461" s="335" t="str">
        <f>AM1461</f>
        <v>YYYY-MM-DD</v>
      </c>
      <c r="E1461" s="315"/>
      <c r="F1461" s="1"/>
      <c r="AH1461" s="918" t="str">
        <f>IF(NOT(D1461=AQ1461),D1461,"")</f>
        <v>YYYY-MM-DD</v>
      </c>
      <c r="AI1461" s="918"/>
      <c r="AM1461" s="328" t="s">
        <v>789</v>
      </c>
      <c r="AQ1461" s="328"/>
      <c r="BB1461" s="48"/>
    </row>
    <row r="1462" spans="1:56" ht="14" hidden="1" customHeight="1" thickTop="1" thickBot="1" x14ac:dyDescent="0.35">
      <c r="A1462" s="313"/>
      <c r="B1462" s="314" t="s">
        <v>794</v>
      </c>
      <c r="C1462" s="337"/>
      <c r="D1462" s="338" t="str">
        <f>AC1462</f>
        <v/>
      </c>
      <c r="E1462" s="315"/>
      <c r="F1462" s="1"/>
      <c r="AC1462" s="50" t="str">
        <f>IF(AND(AC$1352&gt;0,C1462=BN$1357),BM$1357,IF(AND(AC$1352&gt;0,C1462=BN$1358),BM$1358,IF(AND(AC$1352&gt;0,C1462=BN$1359),BM$1359,IF(AND(AC$1352&gt;0,C1462=BN$1360),BM$1360,IF(AND(AC$1352&gt;0,C1462=BN$1361),BM$1361,"")))))</f>
        <v/>
      </c>
      <c r="AI1462" s="1084" t="e">
        <f>AV1463/AL$1353</f>
        <v>#REF!</v>
      </c>
      <c r="AJ1462" s="1084"/>
      <c r="AK1462" s="48" t="s">
        <v>795</v>
      </c>
      <c r="AO1462" s="9" t="e">
        <f>IF(AI1462=0,"none",(AI1462*100))</f>
        <v>#REF!</v>
      </c>
      <c r="AP1462" s="48" t="e">
        <f>IF(AO1462="none"," of weekly support cost.","% of weekly support cost.")</f>
        <v>#REF!</v>
      </c>
      <c r="BB1462" s="48"/>
    </row>
    <row r="1463" spans="1:56" ht="14" hidden="1" customHeight="1" thickTop="1" thickBot="1" x14ac:dyDescent="0.35">
      <c r="A1463" s="313"/>
      <c r="B1463" s="314" t="s">
        <v>797</v>
      </c>
      <c r="C1463" s="339"/>
      <c r="D1463" s="314" t="e">
        <f>IF(NOT(AV1463&gt;0),"",AC1463)</f>
        <v>#REF!</v>
      </c>
      <c r="E1463" s="315"/>
      <c r="F1463" s="1"/>
      <c r="AC1463" s="246" t="e">
        <f>CONCATENATE(AO1463,AT1463)</f>
        <v>#REF!</v>
      </c>
      <c r="AO1463" s="48" t="s">
        <v>798</v>
      </c>
      <c r="AT1463" s="246" t="e">
        <f>DOLLAR(AV1463)</f>
        <v>#REF!</v>
      </c>
      <c r="AV1463" s="315" t="e">
        <f>IF(AND(D1462=BM$1361,C1463=#REF!),#REF!,IF(AND(D1462=BM$1361,C1463=#REF!),#REF!,IF(AND(D1462=BM$1361,C1463=#REF!),#REF!,IF(AND(D1462=BM$1361,C1463=#REF!),#REF!,IF(AND(D1462=BM$1361,C1463=#REF!),#REF!,IF(AND(D1462=BM$1361,C1463=#REF!),#REF!,0))))))</f>
        <v>#REF!</v>
      </c>
      <c r="AX1463" s="9" t="e">
        <f>DOLLAR(AZ1463)</f>
        <v>#REF!</v>
      </c>
      <c r="AZ1463" s="340" t="e">
        <f>$AJ$1353-AV1463</f>
        <v>#REF!</v>
      </c>
      <c r="BB1463" s="48"/>
      <c r="BD1463" s="302" t="e">
        <f>AV1463</f>
        <v>#REF!</v>
      </c>
    </row>
    <row r="1464" spans="1:56" ht="14" hidden="1" customHeight="1" thickTop="1" x14ac:dyDescent="0.3">
      <c r="A1464" s="313"/>
      <c r="B1464" s="314"/>
      <c r="C1464" s="314" t="e">
        <f>CONCATENATE(AK1462,AO1462,AP1462)</f>
        <v>#REF!</v>
      </c>
      <c r="D1464" s="314" t="e">
        <f>BF$1356</f>
        <v>#REF!</v>
      </c>
      <c r="E1464" s="315"/>
      <c r="F1464" s="1"/>
      <c r="AC1464" s="48" t="s">
        <v>800</v>
      </c>
      <c r="AI1464" s="142">
        <f>MIN(D1462,AE1458)</f>
        <v>0</v>
      </c>
      <c r="AJ1464" s="48">
        <f>ROUND(AI1464,2)</f>
        <v>0</v>
      </c>
      <c r="AK1464" s="48" t="str">
        <f>CONCATENATE(AC1464,AJ1464)</f>
        <v>contribution per exchange: $0</v>
      </c>
    </row>
    <row r="1465" spans="1:56" ht="14" hidden="1" customHeight="1" x14ac:dyDescent="0.3">
      <c r="A1465" s="313"/>
      <c r="B1465" s="314"/>
      <c r="C1465" s="314"/>
      <c r="D1465" s="314"/>
      <c r="E1465" s="315"/>
      <c r="F1465" s="1"/>
    </row>
    <row r="1466" spans="1:56" ht="5" hidden="1" customHeight="1" thickBot="1" x14ac:dyDescent="0.35">
      <c r="A1466" s="315"/>
      <c r="B1466" s="317"/>
      <c r="C1466" s="318"/>
      <c r="D1466" s="315"/>
      <c r="E1466" s="315"/>
      <c r="F1466" s="1"/>
      <c r="AC1466" s="312"/>
      <c r="AJ1466" s="402"/>
      <c r="BB1466" s="48"/>
    </row>
    <row r="1467" spans="1:56" ht="16" hidden="1" thickTop="1" thickBot="1" x14ac:dyDescent="0.35">
      <c r="A1467" s="324">
        <f>IF(C1467="",0,1+A1457)</f>
        <v>12</v>
      </c>
      <c r="B1467" s="325" t="s">
        <v>814</v>
      </c>
      <c r="C1467" s="326" t="str">
        <f>AM1467</f>
        <v>FIRST NAME</v>
      </c>
      <c r="D1467" s="327" t="str">
        <f>AQ1467</f>
        <v>LAST NAME</v>
      </c>
      <c r="E1467" s="315"/>
      <c r="F1467" s="1"/>
      <c r="AC1467" s="311" t="str">
        <f>IF(NOT(C1467=AM1467),C1467,"")</f>
        <v/>
      </c>
      <c r="AH1467" s="311" t="str">
        <f>IF(NOT(D1467=AQ1467),D1467,"")</f>
        <v/>
      </c>
      <c r="AM1467" s="328" t="s">
        <v>773</v>
      </c>
      <c r="AQ1467" s="328" t="s">
        <v>100</v>
      </c>
      <c r="BB1467" s="48"/>
    </row>
    <row r="1468" spans="1:56" ht="15" hidden="1" thickTop="1" thickBot="1" x14ac:dyDescent="0.35">
      <c r="A1468" s="313"/>
      <c r="B1468" s="315" t="s">
        <v>776</v>
      </c>
      <c r="C1468" s="330"/>
      <c r="D1468" s="4"/>
      <c r="E1468" s="315"/>
      <c r="F1468" s="1"/>
      <c r="AC1468" s="48">
        <f>IF(C1468="",0,1)</f>
        <v>0</v>
      </c>
      <c r="AE1468" s="48">
        <f>IF($AC$1358=1,AC$1353,0)</f>
        <v>0</v>
      </c>
      <c r="BB1468" s="48"/>
    </row>
    <row r="1469" spans="1:56" ht="14" hidden="1" customHeight="1" thickTop="1" thickBot="1" x14ac:dyDescent="0.35">
      <c r="A1469" s="313"/>
      <c r="B1469" s="331" t="s">
        <v>779</v>
      </c>
      <c r="C1469" s="330"/>
      <c r="D1469" s="332" t="str">
        <f>AS1469</f>
        <v>AWARENESS OF ISSUE</v>
      </c>
      <c r="E1469" s="315"/>
      <c r="F1469" s="1"/>
      <c r="AM1469" s="333"/>
      <c r="AN1469" s="333"/>
      <c r="AO1469" s="333"/>
      <c r="AP1469" s="333"/>
      <c r="AS1469" s="48" t="str">
        <f>AS1459</f>
        <v>AWARENESS OF ISSUE</v>
      </c>
      <c r="BB1469" s="48"/>
    </row>
    <row r="1470" spans="1:56" ht="14" hidden="1" customHeight="1" thickTop="1" thickBot="1" x14ac:dyDescent="0.35">
      <c r="A1470" s="313"/>
      <c r="B1470" s="325" t="s">
        <v>783</v>
      </c>
      <c r="C1470" s="334" t="s">
        <v>784</v>
      </c>
      <c r="D1470" s="334" t="s">
        <v>785</v>
      </c>
      <c r="E1470" s="315"/>
      <c r="F1470" s="1"/>
      <c r="BB1470" s="48"/>
    </row>
    <row r="1471" spans="1:56" ht="14" hidden="1" customHeight="1" thickTop="1" thickBot="1" x14ac:dyDescent="0.35">
      <c r="A1471" s="313"/>
      <c r="B1471" s="314" t="s">
        <v>788</v>
      </c>
      <c r="C1471" s="335" t="str">
        <f>AM1471</f>
        <v>YYYY-MM-DD</v>
      </c>
      <c r="D1471" s="335" t="str">
        <f>AM1471</f>
        <v>YYYY-MM-DD</v>
      </c>
      <c r="E1471" s="315"/>
      <c r="F1471" s="1"/>
      <c r="AH1471" s="918" t="str">
        <f>IF(NOT(D1471=AQ1471),D1471,"")</f>
        <v>YYYY-MM-DD</v>
      </c>
      <c r="AI1471" s="918"/>
      <c r="AM1471" s="328" t="s">
        <v>789</v>
      </c>
      <c r="AQ1471" s="328"/>
      <c r="BB1471" s="48"/>
    </row>
    <row r="1472" spans="1:56" ht="14" hidden="1" customHeight="1" thickTop="1" thickBot="1" x14ac:dyDescent="0.35">
      <c r="A1472" s="313"/>
      <c r="B1472" s="314" t="s">
        <v>794</v>
      </c>
      <c r="C1472" s="337"/>
      <c r="D1472" s="338" t="str">
        <f>AC1472</f>
        <v/>
      </c>
      <c r="E1472" s="315"/>
      <c r="F1472" s="1"/>
      <c r="AC1472" s="50" t="str">
        <f>IF(AND(AC$1352&gt;0,C1472=BN$1357),BM$1357,IF(AND(AC$1352&gt;0,C1472=BN$1358),BM$1358,IF(AND(AC$1352&gt;0,C1472=BN$1359),BM$1359,IF(AND(AC$1352&gt;0,C1472=BN$1360),BM$1360,IF(AND(AC$1352&gt;0,C1472=BN$1361),BM$1361,"")))))</f>
        <v/>
      </c>
      <c r="AI1472" s="1084" t="e">
        <f>AV1473/AL$1353</f>
        <v>#REF!</v>
      </c>
      <c r="AJ1472" s="1084"/>
      <c r="AK1472" s="48" t="s">
        <v>795</v>
      </c>
      <c r="AO1472" s="9" t="e">
        <f>IF(AI1472=0,"none",(AI1472*100))</f>
        <v>#REF!</v>
      </c>
      <c r="AP1472" s="48" t="e">
        <f>IF(AO1472="none"," of weekly support cost.","% of weekly support cost.")</f>
        <v>#REF!</v>
      </c>
      <c r="BB1472" s="48"/>
    </row>
    <row r="1473" spans="1:56" ht="14" hidden="1" customHeight="1" thickTop="1" thickBot="1" x14ac:dyDescent="0.35">
      <c r="A1473" s="313"/>
      <c r="B1473" s="314" t="s">
        <v>797</v>
      </c>
      <c r="C1473" s="339"/>
      <c r="D1473" s="314" t="e">
        <f>IF(NOT(AV1473&gt;0),"",AC1473)</f>
        <v>#REF!</v>
      </c>
      <c r="E1473" s="315"/>
      <c r="F1473" s="1"/>
      <c r="AC1473" s="246" t="e">
        <f>CONCATENATE(AO1473,AT1473)</f>
        <v>#REF!</v>
      </c>
      <c r="AO1473" s="48" t="s">
        <v>798</v>
      </c>
      <c r="AT1473" s="246" t="e">
        <f>DOLLAR(AV1473)</f>
        <v>#REF!</v>
      </c>
      <c r="AV1473" s="315" t="e">
        <f>IF(AND(D1472=BM$1361,C1473=#REF!),#REF!,IF(AND(D1472=BM$1361,C1473=#REF!),#REF!,IF(AND(D1472=BM$1361,C1473=#REF!),#REF!,IF(AND(D1472=BM$1361,C1473=#REF!),#REF!,IF(AND(D1472=BM$1361,C1473=#REF!),#REF!,IF(AND(D1472=BM$1361,C1473=#REF!),#REF!,0))))))</f>
        <v>#REF!</v>
      </c>
      <c r="AX1473" s="9" t="e">
        <f>DOLLAR(AZ1473)</f>
        <v>#REF!</v>
      </c>
      <c r="AZ1473" s="340" t="e">
        <f>$AJ$1353-AV1473</f>
        <v>#REF!</v>
      </c>
      <c r="BB1473" s="48"/>
      <c r="BD1473" s="302" t="e">
        <f>AV1473</f>
        <v>#REF!</v>
      </c>
    </row>
    <row r="1474" spans="1:56" ht="14" hidden="1" customHeight="1" thickTop="1" x14ac:dyDescent="0.3">
      <c r="A1474" s="313"/>
      <c r="B1474" s="314"/>
      <c r="C1474" s="314" t="e">
        <f>CONCATENATE(AK1472,AO1472,AP1472)</f>
        <v>#REF!</v>
      </c>
      <c r="D1474" s="314" t="e">
        <f>BF$1356</f>
        <v>#REF!</v>
      </c>
      <c r="E1474" s="315"/>
      <c r="F1474" s="1"/>
      <c r="AC1474" s="48" t="s">
        <v>800</v>
      </c>
      <c r="AI1474" s="142">
        <f>MIN(D1472,AE1468)</f>
        <v>0</v>
      </c>
      <c r="AJ1474" s="48">
        <f>ROUND(AI1474,2)</f>
        <v>0</v>
      </c>
      <c r="AK1474" s="48" t="str">
        <f>CONCATENATE(AC1474,AJ1474)</f>
        <v>contribution per exchange: $0</v>
      </c>
    </row>
    <row r="1475" spans="1:56" ht="14" hidden="1" customHeight="1" x14ac:dyDescent="0.3">
      <c r="A1475" s="313"/>
      <c r="B1475" s="314"/>
      <c r="C1475" s="314"/>
      <c r="D1475" s="314"/>
      <c r="E1475" s="315"/>
      <c r="F1475" s="1"/>
    </row>
    <row r="1476" spans="1:56" ht="5" hidden="1" customHeight="1" thickBot="1" x14ac:dyDescent="0.35">
      <c r="A1476" s="315"/>
      <c r="B1476" s="317"/>
      <c r="C1476" s="318"/>
      <c r="D1476" s="315"/>
      <c r="E1476" s="315"/>
      <c r="F1476" s="1"/>
      <c r="AC1476" s="312"/>
      <c r="AJ1476" s="402"/>
      <c r="BB1476" s="48"/>
    </row>
    <row r="1477" spans="1:56" ht="16" hidden="1" thickTop="1" thickBot="1" x14ac:dyDescent="0.35">
      <c r="A1477" s="324">
        <f>IF(C1477="",0,1+A1467)</f>
        <v>13</v>
      </c>
      <c r="B1477" s="325" t="s">
        <v>815</v>
      </c>
      <c r="C1477" s="326" t="str">
        <f>AM1477</f>
        <v>FIRST NAME</v>
      </c>
      <c r="D1477" s="327" t="str">
        <f>AQ1477</f>
        <v>LAST NAME</v>
      </c>
      <c r="E1477" s="315"/>
      <c r="F1477" s="1"/>
      <c r="AC1477" s="311" t="str">
        <f>IF(NOT(C1477=AM1477),C1477,"")</f>
        <v/>
      </c>
      <c r="AH1477" s="311" t="str">
        <f>IF(NOT(D1477=AQ1477),D1477,"")</f>
        <v/>
      </c>
      <c r="AM1477" s="328" t="s">
        <v>773</v>
      </c>
      <c r="AQ1477" s="328" t="s">
        <v>100</v>
      </c>
      <c r="BB1477" s="48"/>
    </row>
    <row r="1478" spans="1:56" ht="15" hidden="1" thickTop="1" thickBot="1" x14ac:dyDescent="0.35">
      <c r="A1478" s="313"/>
      <c r="B1478" s="315" t="s">
        <v>776</v>
      </c>
      <c r="C1478" s="330"/>
      <c r="D1478" s="4"/>
      <c r="E1478" s="315"/>
      <c r="F1478" s="1"/>
      <c r="AC1478" s="48">
        <f>IF(C1478="",0,1)</f>
        <v>0</v>
      </c>
      <c r="AE1478" s="48">
        <f>IF($AC$1358=1,AC$1353,0)</f>
        <v>0</v>
      </c>
      <c r="BB1478" s="48"/>
    </row>
    <row r="1479" spans="1:56" ht="14" hidden="1" customHeight="1" thickTop="1" thickBot="1" x14ac:dyDescent="0.35">
      <c r="A1479" s="313"/>
      <c r="B1479" s="331" t="s">
        <v>779</v>
      </c>
      <c r="C1479" s="330"/>
      <c r="D1479" s="332" t="str">
        <f>AS1479</f>
        <v>AWARENESS OF ISSUE</v>
      </c>
      <c r="E1479" s="315"/>
      <c r="F1479" s="1"/>
      <c r="AM1479" s="333"/>
      <c r="AN1479" s="333"/>
      <c r="AO1479" s="333"/>
      <c r="AP1479" s="333"/>
      <c r="AS1479" s="48" t="str">
        <f>AS1469</f>
        <v>AWARENESS OF ISSUE</v>
      </c>
      <c r="BB1479" s="48"/>
    </row>
    <row r="1480" spans="1:56" ht="14" hidden="1" customHeight="1" thickTop="1" thickBot="1" x14ac:dyDescent="0.35">
      <c r="A1480" s="313"/>
      <c r="B1480" s="325" t="s">
        <v>783</v>
      </c>
      <c r="C1480" s="334" t="s">
        <v>784</v>
      </c>
      <c r="D1480" s="334" t="s">
        <v>785</v>
      </c>
      <c r="E1480" s="315"/>
      <c r="F1480" s="1"/>
      <c r="BB1480" s="48"/>
    </row>
    <row r="1481" spans="1:56" ht="14" hidden="1" customHeight="1" thickTop="1" thickBot="1" x14ac:dyDescent="0.35">
      <c r="A1481" s="313"/>
      <c r="B1481" s="314" t="s">
        <v>788</v>
      </c>
      <c r="C1481" s="335" t="str">
        <f>AM1481</f>
        <v>YYYY-MM-DD</v>
      </c>
      <c r="D1481" s="335" t="str">
        <f>AM1481</f>
        <v>YYYY-MM-DD</v>
      </c>
      <c r="E1481" s="315"/>
      <c r="F1481" s="1"/>
      <c r="AH1481" s="918" t="str">
        <f>IF(NOT(D1481=AQ1481),D1481,"")</f>
        <v>YYYY-MM-DD</v>
      </c>
      <c r="AI1481" s="918"/>
      <c r="AM1481" s="328" t="s">
        <v>789</v>
      </c>
      <c r="AQ1481" s="328"/>
      <c r="BB1481" s="48"/>
    </row>
    <row r="1482" spans="1:56" ht="14" hidden="1" customHeight="1" thickTop="1" thickBot="1" x14ac:dyDescent="0.35">
      <c r="A1482" s="313"/>
      <c r="B1482" s="314" t="s">
        <v>794</v>
      </c>
      <c r="C1482" s="337"/>
      <c r="D1482" s="338" t="str">
        <f>AC1482</f>
        <v/>
      </c>
      <c r="E1482" s="315"/>
      <c r="F1482" s="1"/>
      <c r="AC1482" s="50" t="str">
        <f>IF(AND(AC$1352&gt;0,C1482=BN$1357),BM$1357,IF(AND(AC$1352&gt;0,C1482=BN$1358),BM$1358,IF(AND(AC$1352&gt;0,C1482=BN$1359),BM$1359,IF(AND(AC$1352&gt;0,C1482=BN$1360),BM$1360,IF(AND(AC$1352&gt;0,C1482=BN$1361),BM$1361,"")))))</f>
        <v/>
      </c>
      <c r="AI1482" s="1084" t="e">
        <f>AV1483/AL$1353</f>
        <v>#REF!</v>
      </c>
      <c r="AJ1482" s="1084"/>
      <c r="AK1482" s="48" t="s">
        <v>795</v>
      </c>
      <c r="AO1482" s="9" t="e">
        <f>IF(AI1482=0,"none",(AI1482*100))</f>
        <v>#REF!</v>
      </c>
      <c r="AP1482" s="48" t="e">
        <f>IF(AO1482="none"," of weekly support cost.","% of weekly support cost.")</f>
        <v>#REF!</v>
      </c>
      <c r="BB1482" s="48"/>
    </row>
    <row r="1483" spans="1:56" ht="14" hidden="1" customHeight="1" thickTop="1" thickBot="1" x14ac:dyDescent="0.35">
      <c r="A1483" s="313"/>
      <c r="B1483" s="314" t="s">
        <v>797</v>
      </c>
      <c r="C1483" s="339"/>
      <c r="D1483" s="314" t="e">
        <f>IF(NOT(AV1483&gt;0),"",AC1483)</f>
        <v>#REF!</v>
      </c>
      <c r="E1483" s="315"/>
      <c r="F1483" s="1"/>
      <c r="AC1483" s="246" t="e">
        <f>CONCATENATE(AO1483,AT1483)</f>
        <v>#REF!</v>
      </c>
      <c r="AO1483" s="48" t="s">
        <v>798</v>
      </c>
      <c r="AT1483" s="246" t="e">
        <f>DOLLAR(AV1483)</f>
        <v>#REF!</v>
      </c>
      <c r="AV1483" s="315" t="e">
        <f>IF(AND(D1482=BM$1361,C1483=#REF!),#REF!,IF(AND(D1482=BM$1361,C1483=#REF!),#REF!,IF(AND(D1482=BM$1361,C1483=#REF!),#REF!,IF(AND(D1482=BM$1361,C1483=#REF!),#REF!,IF(AND(D1482=BM$1361,C1483=#REF!),#REF!,IF(AND(D1482=BM$1361,C1483=#REF!),#REF!,0))))))</f>
        <v>#REF!</v>
      </c>
      <c r="AX1483" s="9" t="e">
        <f>DOLLAR(AZ1483)</f>
        <v>#REF!</v>
      </c>
      <c r="AZ1483" s="340" t="e">
        <f>$AJ$1353-AV1483</f>
        <v>#REF!</v>
      </c>
      <c r="BB1483" s="48"/>
      <c r="BD1483" s="302" t="e">
        <f>AV1483</f>
        <v>#REF!</v>
      </c>
    </row>
    <row r="1484" spans="1:56" ht="14" hidden="1" customHeight="1" thickTop="1" x14ac:dyDescent="0.3">
      <c r="A1484" s="313"/>
      <c r="B1484" s="314"/>
      <c r="C1484" s="314" t="e">
        <f>CONCATENATE(AK1482,AO1482,AP1482)</f>
        <v>#REF!</v>
      </c>
      <c r="D1484" s="314" t="e">
        <f>BF$1356</f>
        <v>#REF!</v>
      </c>
      <c r="E1484" s="315"/>
      <c r="F1484" s="1"/>
      <c r="AC1484" s="48" t="s">
        <v>800</v>
      </c>
      <c r="AI1484" s="142">
        <f>MIN(D1482,AE1478)</f>
        <v>0</v>
      </c>
      <c r="AJ1484" s="48">
        <f>ROUND(AI1484,2)</f>
        <v>0</v>
      </c>
      <c r="AK1484" s="48" t="str">
        <f>CONCATENATE(AC1484,AJ1484)</f>
        <v>contribution per exchange: $0</v>
      </c>
    </row>
    <row r="1485" spans="1:56" ht="14" hidden="1" customHeight="1" x14ac:dyDescent="0.3">
      <c r="A1485" s="313"/>
      <c r="B1485" s="314"/>
      <c r="C1485" s="314"/>
      <c r="D1485" s="314"/>
      <c r="E1485" s="315"/>
      <c r="F1485" s="1"/>
    </row>
    <row r="1486" spans="1:56" ht="5" hidden="1" customHeight="1" thickBot="1" x14ac:dyDescent="0.35">
      <c r="A1486" s="315"/>
      <c r="B1486" s="317"/>
      <c r="C1486" s="318"/>
      <c r="D1486" s="315"/>
      <c r="E1486" s="315"/>
      <c r="F1486" s="1"/>
      <c r="AC1486" s="312"/>
      <c r="AJ1486" s="402"/>
      <c r="BB1486" s="48"/>
    </row>
    <row r="1487" spans="1:56" ht="16" hidden="1" thickTop="1" thickBot="1" x14ac:dyDescent="0.35">
      <c r="A1487" s="324">
        <f>IF(C1487="",0,1+A1477)</f>
        <v>14</v>
      </c>
      <c r="B1487" s="325" t="s">
        <v>816</v>
      </c>
      <c r="C1487" s="326" t="str">
        <f>AM1487</f>
        <v>FIRST NAME</v>
      </c>
      <c r="D1487" s="327" t="str">
        <f>AQ1487</f>
        <v>LAST NAME</v>
      </c>
      <c r="E1487" s="315"/>
      <c r="F1487" s="1"/>
      <c r="AC1487" s="311" t="str">
        <f>IF(NOT(C1487=AM1487),C1487,"")</f>
        <v/>
      </c>
      <c r="AH1487" s="311" t="str">
        <f>IF(NOT(D1487=AQ1487),D1487,"")</f>
        <v/>
      </c>
      <c r="AM1487" s="328" t="s">
        <v>773</v>
      </c>
      <c r="AQ1487" s="328" t="s">
        <v>100</v>
      </c>
      <c r="BB1487" s="48"/>
    </row>
    <row r="1488" spans="1:56" ht="15" hidden="1" thickTop="1" thickBot="1" x14ac:dyDescent="0.35">
      <c r="A1488" s="313"/>
      <c r="B1488" s="315" t="s">
        <v>776</v>
      </c>
      <c r="C1488" s="330"/>
      <c r="D1488" s="4"/>
      <c r="E1488" s="315"/>
      <c r="F1488" s="1"/>
      <c r="AC1488" s="48">
        <f>IF(C1488="",0,1)</f>
        <v>0</v>
      </c>
      <c r="AE1488" s="48">
        <f>IF($AC$1358=1,AC$1353,0)</f>
        <v>0</v>
      </c>
      <c r="BB1488" s="48"/>
    </row>
    <row r="1489" spans="1:56" ht="14" hidden="1" customHeight="1" thickTop="1" thickBot="1" x14ac:dyDescent="0.35">
      <c r="A1489" s="313"/>
      <c r="B1489" s="331" t="s">
        <v>779</v>
      </c>
      <c r="C1489" s="330"/>
      <c r="D1489" s="332" t="str">
        <f>AS1489</f>
        <v>AWARENESS OF ISSUE</v>
      </c>
      <c r="E1489" s="315"/>
      <c r="F1489" s="1"/>
      <c r="AM1489" s="333"/>
      <c r="AN1489" s="333"/>
      <c r="AO1489" s="333"/>
      <c r="AP1489" s="333"/>
      <c r="AS1489" s="48" t="str">
        <f>AS1479</f>
        <v>AWARENESS OF ISSUE</v>
      </c>
      <c r="BB1489" s="48"/>
    </row>
    <row r="1490" spans="1:56" ht="14" hidden="1" customHeight="1" thickTop="1" thickBot="1" x14ac:dyDescent="0.35">
      <c r="A1490" s="313"/>
      <c r="B1490" s="325" t="s">
        <v>783</v>
      </c>
      <c r="C1490" s="334" t="s">
        <v>784</v>
      </c>
      <c r="D1490" s="334" t="s">
        <v>785</v>
      </c>
      <c r="E1490" s="315"/>
      <c r="F1490" s="1"/>
      <c r="BB1490" s="48"/>
    </row>
    <row r="1491" spans="1:56" ht="14" hidden="1" customHeight="1" thickTop="1" thickBot="1" x14ac:dyDescent="0.35">
      <c r="A1491" s="313"/>
      <c r="B1491" s="314" t="s">
        <v>788</v>
      </c>
      <c r="C1491" s="335" t="str">
        <f>AM1491</f>
        <v>YYYY-MM-DD</v>
      </c>
      <c r="D1491" s="335" t="str">
        <f>AM1491</f>
        <v>YYYY-MM-DD</v>
      </c>
      <c r="E1491" s="315"/>
      <c r="F1491" s="1"/>
      <c r="AH1491" s="918" t="str">
        <f>IF(NOT(D1491=AQ1491),D1491,"")</f>
        <v>YYYY-MM-DD</v>
      </c>
      <c r="AI1491" s="918"/>
      <c r="AM1491" s="328" t="s">
        <v>789</v>
      </c>
      <c r="AQ1491" s="328"/>
      <c r="BB1491" s="48"/>
    </row>
    <row r="1492" spans="1:56" ht="14" hidden="1" customHeight="1" thickTop="1" thickBot="1" x14ac:dyDescent="0.35">
      <c r="A1492" s="313"/>
      <c r="B1492" s="314" t="s">
        <v>794</v>
      </c>
      <c r="C1492" s="337"/>
      <c r="D1492" s="338" t="str">
        <f>AC1492</f>
        <v/>
      </c>
      <c r="E1492" s="315"/>
      <c r="F1492" s="1"/>
      <c r="AC1492" s="50" t="str">
        <f>IF(AND(AC$1352&gt;0,C1492=BN$1357),BM$1357,IF(AND(AC$1352&gt;0,C1492=BN$1358),BM$1358,IF(AND(AC$1352&gt;0,C1492=BN$1359),BM$1359,IF(AND(AC$1352&gt;0,C1492=BN$1360),BM$1360,IF(AND(AC$1352&gt;0,C1492=BN$1361),BM$1361,"")))))</f>
        <v/>
      </c>
      <c r="AI1492" s="1084" t="e">
        <f>AV1493/AL$1353</f>
        <v>#REF!</v>
      </c>
      <c r="AJ1492" s="1084"/>
      <c r="AK1492" s="48" t="s">
        <v>795</v>
      </c>
      <c r="AO1492" s="9" t="e">
        <f>IF(AI1492=0,"none",(AI1492*100))</f>
        <v>#REF!</v>
      </c>
      <c r="AP1492" s="48" t="e">
        <f>IF(AO1492="none"," of weekly support cost.","% of weekly support cost.")</f>
        <v>#REF!</v>
      </c>
      <c r="BB1492" s="48"/>
    </row>
    <row r="1493" spans="1:56" ht="14" hidden="1" customHeight="1" thickTop="1" thickBot="1" x14ac:dyDescent="0.35">
      <c r="A1493" s="313"/>
      <c r="B1493" s="314" t="s">
        <v>797</v>
      </c>
      <c r="C1493" s="339"/>
      <c r="D1493" s="314" t="e">
        <f>IF(NOT(AV1493&gt;0),"",AC1493)</f>
        <v>#REF!</v>
      </c>
      <c r="E1493" s="315"/>
      <c r="F1493" s="1"/>
      <c r="AC1493" s="246" t="e">
        <f>CONCATENATE(AO1493,AT1493)</f>
        <v>#REF!</v>
      </c>
      <c r="AO1493" s="48" t="s">
        <v>798</v>
      </c>
      <c r="AT1493" s="246" t="e">
        <f>DOLLAR(AV1493)</f>
        <v>#REF!</v>
      </c>
      <c r="AV1493" s="315" t="e">
        <f>IF(AND(D1492=BM$1361,C1493=#REF!),#REF!,IF(AND(D1492=BM$1361,C1493=#REF!),#REF!,IF(AND(D1492=BM$1361,C1493=#REF!),#REF!,IF(AND(D1492=BM$1361,C1493=#REF!),#REF!,IF(AND(D1492=BM$1361,C1493=#REF!),#REF!,IF(AND(D1492=BM$1361,C1493=#REF!),#REF!,0))))))</f>
        <v>#REF!</v>
      </c>
      <c r="AX1493" s="9" t="e">
        <f>DOLLAR(AZ1493)</f>
        <v>#REF!</v>
      </c>
      <c r="AZ1493" s="340" t="e">
        <f>$AJ$1353-AV1493</f>
        <v>#REF!</v>
      </c>
      <c r="BB1493" s="336" t="e">
        <f>AV1493/AC$1353</f>
        <v>#REF!</v>
      </c>
      <c r="BD1493" s="302" t="e">
        <f>AV1493</f>
        <v>#REF!</v>
      </c>
    </row>
    <row r="1494" spans="1:56" ht="14" hidden="1" customHeight="1" thickTop="1" x14ac:dyDescent="0.3">
      <c r="A1494" s="313"/>
      <c r="B1494" s="314"/>
      <c r="C1494" s="314" t="e">
        <f>CONCATENATE(AK1492,AO1492,AP1492)</f>
        <v>#REF!</v>
      </c>
      <c r="D1494" s="314" t="e">
        <f>BF$1356</f>
        <v>#REF!</v>
      </c>
      <c r="E1494" s="315"/>
      <c r="F1494" s="1"/>
      <c r="AC1494" s="48" t="s">
        <v>800</v>
      </c>
      <c r="AI1494" s="142">
        <f>MIN(D1492,AE1488)</f>
        <v>0</v>
      </c>
      <c r="AJ1494" s="48">
        <f>ROUND(AI1494,2)</f>
        <v>0</v>
      </c>
      <c r="AK1494" s="48" t="str">
        <f>CONCATENATE(AC1494,AJ1494)</f>
        <v>contribution per exchange: $0</v>
      </c>
    </row>
    <row r="1495" spans="1:56" ht="18" hidden="1" customHeight="1" x14ac:dyDescent="0.3">
      <c r="A1495" s="313"/>
      <c r="B1495" s="314"/>
      <c r="C1495" s="314"/>
      <c r="D1495" s="314"/>
      <c r="E1495" s="315"/>
      <c r="F1495" s="1"/>
    </row>
    <row r="1496" spans="1:56" ht="5" hidden="1" customHeight="1" thickBot="1" x14ac:dyDescent="0.35">
      <c r="A1496" s="315"/>
      <c r="B1496" s="317"/>
      <c r="C1496" s="318"/>
      <c r="D1496" s="315"/>
      <c r="E1496" s="315"/>
      <c r="F1496" s="1"/>
      <c r="AC1496" s="312"/>
      <c r="AJ1496" s="402"/>
      <c r="BB1496" s="48"/>
    </row>
    <row r="1497" spans="1:56" ht="16" hidden="1" thickTop="1" thickBot="1" x14ac:dyDescent="0.35">
      <c r="A1497" s="324">
        <f>IF(C1497="",0,1+A1487)</f>
        <v>15</v>
      </c>
      <c r="B1497" s="325" t="s">
        <v>817</v>
      </c>
      <c r="C1497" s="326" t="str">
        <f>AM1497</f>
        <v>FIRST NAME</v>
      </c>
      <c r="D1497" s="327" t="str">
        <f>AQ1497</f>
        <v>LAST NAME</v>
      </c>
      <c r="E1497" s="315"/>
      <c r="F1497" s="1"/>
      <c r="AC1497" s="311" t="str">
        <f>IF(NOT(C1497=AM1497),C1497,"")</f>
        <v/>
      </c>
      <c r="AH1497" s="311" t="str">
        <f>IF(NOT(D1497=AQ1497),D1497,"")</f>
        <v/>
      </c>
      <c r="AM1497" s="328" t="s">
        <v>773</v>
      </c>
      <c r="AQ1497" s="328" t="s">
        <v>100</v>
      </c>
      <c r="BB1497" s="48"/>
    </row>
    <row r="1498" spans="1:56" ht="15" hidden="1" thickTop="1" thickBot="1" x14ac:dyDescent="0.35">
      <c r="A1498" s="313"/>
      <c r="B1498" s="315" t="s">
        <v>776</v>
      </c>
      <c r="C1498" s="330"/>
      <c r="D1498" s="4"/>
      <c r="E1498" s="315"/>
      <c r="F1498" s="1"/>
      <c r="AC1498" s="48">
        <f>IF(C1498="",0,1)</f>
        <v>0</v>
      </c>
      <c r="AE1498" s="48">
        <f>IF($AC$1358=1,AC$1353,0)</f>
        <v>0</v>
      </c>
      <c r="BB1498" s="48"/>
    </row>
    <row r="1499" spans="1:56" ht="14" hidden="1" customHeight="1" thickTop="1" thickBot="1" x14ac:dyDescent="0.35">
      <c r="A1499" s="313"/>
      <c r="B1499" s="331" t="s">
        <v>779</v>
      </c>
      <c r="C1499" s="330"/>
      <c r="D1499" s="332" t="str">
        <f>AS1499</f>
        <v>AWARENESS OF ISSUE</v>
      </c>
      <c r="E1499" s="315"/>
      <c r="F1499" s="1"/>
      <c r="AM1499" s="333"/>
      <c r="AN1499" s="333"/>
      <c r="AO1499" s="333"/>
      <c r="AP1499" s="333"/>
      <c r="AS1499" s="48" t="str">
        <f>AS1489</f>
        <v>AWARENESS OF ISSUE</v>
      </c>
      <c r="BB1499" s="48"/>
    </row>
    <row r="1500" spans="1:56" ht="14" hidden="1" customHeight="1" thickTop="1" thickBot="1" x14ac:dyDescent="0.35">
      <c r="A1500" s="313"/>
      <c r="B1500" s="325" t="s">
        <v>783</v>
      </c>
      <c r="C1500" s="334" t="s">
        <v>784</v>
      </c>
      <c r="D1500" s="334" t="s">
        <v>785</v>
      </c>
      <c r="E1500" s="315"/>
      <c r="F1500" s="1"/>
      <c r="BB1500" s="48"/>
    </row>
    <row r="1501" spans="1:56" ht="14" hidden="1" customHeight="1" thickTop="1" thickBot="1" x14ac:dyDescent="0.35">
      <c r="A1501" s="313"/>
      <c r="B1501" s="314" t="s">
        <v>788</v>
      </c>
      <c r="C1501" s="335" t="str">
        <f>AM1501</f>
        <v>YYYY-MM-DD</v>
      </c>
      <c r="D1501" s="335" t="str">
        <f>AM1501</f>
        <v>YYYY-MM-DD</v>
      </c>
      <c r="E1501" s="315"/>
      <c r="F1501" s="1"/>
      <c r="AH1501" s="918" t="str">
        <f>IF(NOT(D1501=AQ1501),D1501,"")</f>
        <v>YYYY-MM-DD</v>
      </c>
      <c r="AI1501" s="918"/>
      <c r="AM1501" s="328" t="s">
        <v>789</v>
      </c>
      <c r="AQ1501" s="328"/>
      <c r="BB1501" s="48"/>
    </row>
    <row r="1502" spans="1:56" ht="14" hidden="1" customHeight="1" thickTop="1" thickBot="1" x14ac:dyDescent="0.35">
      <c r="A1502" s="313"/>
      <c r="B1502" s="314" t="s">
        <v>794</v>
      </c>
      <c r="C1502" s="337"/>
      <c r="D1502" s="338" t="str">
        <f>AC1502</f>
        <v/>
      </c>
      <c r="E1502" s="315"/>
      <c r="F1502" s="1"/>
      <c r="AC1502" s="50" t="str">
        <f>IF(AND(AC$1352&gt;0,C1502=BN$1357),BM$1357,IF(AND(AC$1352&gt;0,C1502=BN$1358),BM$1358,IF(AND(AC$1352&gt;0,C1502=BN$1359),BM$1359,IF(AND(AC$1352&gt;0,C1502=BN$1360),BM$1360,IF(AND(AC$1352&gt;0,C1502=BN$1361),BM$1361,"")))))</f>
        <v/>
      </c>
      <c r="AI1502" s="1084" t="e">
        <f>AV1503/AL$1353</f>
        <v>#REF!</v>
      </c>
      <c r="AJ1502" s="1084"/>
      <c r="AK1502" s="48" t="s">
        <v>795</v>
      </c>
      <c r="AO1502" s="9" t="e">
        <f>IF(AI1502=0,"none",(AI1502*100))</f>
        <v>#REF!</v>
      </c>
      <c r="AP1502" s="48" t="e">
        <f>IF(AO1502="none"," of weekly support cost.","% of weekly support cost.")</f>
        <v>#REF!</v>
      </c>
      <c r="BB1502" s="48"/>
    </row>
    <row r="1503" spans="1:56" ht="14" hidden="1" customHeight="1" thickTop="1" thickBot="1" x14ac:dyDescent="0.35">
      <c r="A1503" s="313"/>
      <c r="B1503" s="314" t="s">
        <v>797</v>
      </c>
      <c r="C1503" s="339"/>
      <c r="D1503" s="314" t="e">
        <f>IF(NOT(AV1503&gt;0),"",AC1503)</f>
        <v>#REF!</v>
      </c>
      <c r="E1503" s="315"/>
      <c r="F1503" s="1"/>
      <c r="AC1503" s="246" t="e">
        <f>CONCATENATE(AO1503,AT1503)</f>
        <v>#REF!</v>
      </c>
      <c r="AO1503" s="48" t="s">
        <v>798</v>
      </c>
      <c r="AT1503" s="246" t="e">
        <f>DOLLAR(AV1503)</f>
        <v>#REF!</v>
      </c>
      <c r="AV1503" s="315" t="e">
        <f>IF(AND(D1502=BM$1361,C1503=#REF!),#REF!,IF(AND(D1502=BM$1361,C1503=#REF!),#REF!,IF(AND(D1502=BM$1361,C1503=#REF!),#REF!,IF(AND(D1502=BM$1361,C1503=#REF!),#REF!,IF(AND(D1502=BM$1361,C1503=#REF!),#REF!,IF(AND(D1502=BM$1361,C1503=#REF!),#REF!,0))))))</f>
        <v>#REF!</v>
      </c>
      <c r="AX1503" s="9" t="e">
        <f>DOLLAR(AZ1503)</f>
        <v>#REF!</v>
      </c>
      <c r="AZ1503" s="340" t="e">
        <f>$AJ$1353-AV1503</f>
        <v>#REF!</v>
      </c>
      <c r="BB1503" s="48"/>
      <c r="BD1503" s="302" t="e">
        <f>AV1503</f>
        <v>#REF!</v>
      </c>
    </row>
    <row r="1504" spans="1:56" ht="14" hidden="1" customHeight="1" thickTop="1" x14ac:dyDescent="0.3">
      <c r="A1504" s="313"/>
      <c r="B1504" s="314"/>
      <c r="C1504" s="314" t="e">
        <f>CONCATENATE(AK1502,AO1502,AP1502)</f>
        <v>#REF!</v>
      </c>
      <c r="D1504" s="314" t="e">
        <f>BF$1356</f>
        <v>#REF!</v>
      </c>
      <c r="E1504" s="315"/>
      <c r="F1504" s="1"/>
      <c r="AC1504" s="48" t="s">
        <v>800</v>
      </c>
      <c r="AI1504" s="142">
        <f>MIN(D1502,AE1498)</f>
        <v>0</v>
      </c>
      <c r="AJ1504" s="48">
        <f>ROUND(AI1504,2)</f>
        <v>0</v>
      </c>
      <c r="AK1504" s="48" t="str">
        <f>CONCATENATE(AC1504,AJ1504)</f>
        <v>contribution per exchange: $0</v>
      </c>
    </row>
    <row r="1505" spans="1:56" ht="14" hidden="1" customHeight="1" x14ac:dyDescent="0.3">
      <c r="A1505" s="313"/>
      <c r="B1505" s="314"/>
      <c r="C1505" s="314"/>
      <c r="D1505" s="314"/>
      <c r="E1505" s="315"/>
      <c r="F1505" s="1"/>
    </row>
    <row r="1506" spans="1:56" ht="5" hidden="1" customHeight="1" thickBot="1" x14ac:dyDescent="0.35">
      <c r="A1506" s="315"/>
      <c r="B1506" s="317"/>
      <c r="C1506" s="318"/>
      <c r="D1506" s="315"/>
      <c r="E1506" s="315"/>
      <c r="F1506" s="1"/>
      <c r="AC1506" s="312"/>
      <c r="AJ1506" s="402"/>
      <c r="BB1506" s="48"/>
    </row>
    <row r="1507" spans="1:56" ht="16" hidden="1" thickTop="1" thickBot="1" x14ac:dyDescent="0.35">
      <c r="A1507" s="324">
        <f>IF(C1507="",0,1+A1497)</f>
        <v>16</v>
      </c>
      <c r="B1507" s="325" t="s">
        <v>818</v>
      </c>
      <c r="C1507" s="326" t="str">
        <f>AM1507</f>
        <v>FIRST NAME</v>
      </c>
      <c r="D1507" s="327" t="str">
        <f>AQ1507</f>
        <v>LAST NAME</v>
      </c>
      <c r="E1507" s="315"/>
      <c r="F1507" s="1"/>
      <c r="AC1507" s="311" t="str">
        <f>IF(NOT(C1507=AM1507),C1507,"")</f>
        <v/>
      </c>
      <c r="AH1507" s="311" t="str">
        <f>IF(NOT(D1507=AQ1507),D1507,"")</f>
        <v/>
      </c>
      <c r="AM1507" s="328" t="s">
        <v>773</v>
      </c>
      <c r="AQ1507" s="328" t="s">
        <v>100</v>
      </c>
      <c r="BB1507" s="48"/>
    </row>
    <row r="1508" spans="1:56" ht="15" hidden="1" thickTop="1" thickBot="1" x14ac:dyDescent="0.35">
      <c r="A1508" s="313"/>
      <c r="B1508" s="315" t="s">
        <v>776</v>
      </c>
      <c r="C1508" s="330"/>
      <c r="D1508" s="4"/>
      <c r="E1508" s="315"/>
      <c r="F1508" s="1"/>
      <c r="AC1508" s="48">
        <f>IF(C1508="",0,1)</f>
        <v>0</v>
      </c>
      <c r="AE1508" s="48">
        <f>IF($AC$1358=1,AC$1353,0)</f>
        <v>0</v>
      </c>
      <c r="BB1508" s="48"/>
    </row>
    <row r="1509" spans="1:56" ht="14" hidden="1" customHeight="1" thickTop="1" thickBot="1" x14ac:dyDescent="0.35">
      <c r="A1509" s="313"/>
      <c r="B1509" s="331" t="s">
        <v>779</v>
      </c>
      <c r="C1509" s="330"/>
      <c r="D1509" s="332" t="str">
        <f>AS1509</f>
        <v>AWARENESS OF ISSUE</v>
      </c>
      <c r="E1509" s="315"/>
      <c r="F1509" s="1"/>
      <c r="AM1509" s="333"/>
      <c r="AN1509" s="333"/>
      <c r="AO1509" s="333"/>
      <c r="AP1509" s="333"/>
      <c r="AS1509" s="48" t="str">
        <f>AS1499</f>
        <v>AWARENESS OF ISSUE</v>
      </c>
      <c r="BB1509" s="48"/>
    </row>
    <row r="1510" spans="1:56" ht="14" hidden="1" customHeight="1" thickTop="1" thickBot="1" x14ac:dyDescent="0.35">
      <c r="A1510" s="313"/>
      <c r="B1510" s="325" t="s">
        <v>783</v>
      </c>
      <c r="C1510" s="334" t="s">
        <v>784</v>
      </c>
      <c r="D1510" s="334" t="s">
        <v>785</v>
      </c>
      <c r="E1510" s="315"/>
      <c r="F1510" s="1"/>
      <c r="BB1510" s="48"/>
    </row>
    <row r="1511" spans="1:56" ht="14" hidden="1" customHeight="1" thickTop="1" thickBot="1" x14ac:dyDescent="0.35">
      <c r="A1511" s="313"/>
      <c r="B1511" s="314" t="s">
        <v>788</v>
      </c>
      <c r="C1511" s="335" t="str">
        <f>AM1511</f>
        <v>YYYY-MM-DD</v>
      </c>
      <c r="D1511" s="335" t="str">
        <f>AM1511</f>
        <v>YYYY-MM-DD</v>
      </c>
      <c r="E1511" s="315"/>
      <c r="F1511" s="1"/>
      <c r="AH1511" s="918" t="str">
        <f>IF(NOT(D1511=AQ1511),D1511,"")</f>
        <v>YYYY-MM-DD</v>
      </c>
      <c r="AI1511" s="918"/>
      <c r="AM1511" s="328" t="s">
        <v>789</v>
      </c>
      <c r="AQ1511" s="328"/>
      <c r="BB1511" s="48"/>
    </row>
    <row r="1512" spans="1:56" ht="14" hidden="1" customHeight="1" thickTop="1" thickBot="1" x14ac:dyDescent="0.35">
      <c r="A1512" s="313"/>
      <c r="B1512" s="314" t="s">
        <v>794</v>
      </c>
      <c r="C1512" s="337"/>
      <c r="D1512" s="338" t="str">
        <f>AC1512</f>
        <v/>
      </c>
      <c r="E1512" s="315"/>
      <c r="F1512" s="1"/>
      <c r="AC1512" s="50" t="str">
        <f>IF(AND(AC$1352&gt;0,C1512=BN$1357),BM$1357,IF(AND(AC$1352&gt;0,C1512=BN$1358),BM$1358,IF(AND(AC$1352&gt;0,C1512=BN$1359),BM$1359,IF(AND(AC$1352&gt;0,C1512=BN$1360),BM$1360,IF(AND(AC$1352&gt;0,C1512=BN$1361),BM$1361,"")))))</f>
        <v/>
      </c>
      <c r="AI1512" s="1084" t="e">
        <f>AV1513/AL$1353</f>
        <v>#REF!</v>
      </c>
      <c r="AJ1512" s="1084"/>
      <c r="AK1512" s="48" t="s">
        <v>795</v>
      </c>
      <c r="AO1512" s="9" t="e">
        <f>IF(AI1512=0,"none",(AI1512*100))</f>
        <v>#REF!</v>
      </c>
      <c r="AP1512" s="48" t="e">
        <f>IF(AO1512="none"," of weekly support cost.","% of weekly support cost.")</f>
        <v>#REF!</v>
      </c>
      <c r="BB1512" s="48"/>
    </row>
    <row r="1513" spans="1:56" ht="14" hidden="1" customHeight="1" thickTop="1" thickBot="1" x14ac:dyDescent="0.35">
      <c r="A1513" s="313"/>
      <c r="B1513" s="314" t="s">
        <v>797</v>
      </c>
      <c r="C1513" s="339"/>
      <c r="D1513" s="314" t="e">
        <f>IF(NOT(AV1513&gt;0),"",AC1513)</f>
        <v>#REF!</v>
      </c>
      <c r="E1513" s="315"/>
      <c r="F1513" s="1"/>
      <c r="AC1513" s="246" t="e">
        <f>CONCATENATE(AO1513,AT1513)</f>
        <v>#REF!</v>
      </c>
      <c r="AO1513" s="48" t="s">
        <v>798</v>
      </c>
      <c r="AT1513" s="246" t="e">
        <f>DOLLAR(AV1513)</f>
        <v>#REF!</v>
      </c>
      <c r="AV1513" s="315" t="e">
        <f>IF(AND(D1512=BM$1361,C1513=#REF!),#REF!,IF(AND(D1512=BM$1361,C1513=#REF!),#REF!,IF(AND(D1512=BM$1361,C1513=#REF!),#REF!,IF(AND(D1512=BM$1361,C1513=#REF!),#REF!,IF(AND(D1512=BM$1361,C1513=#REF!),#REF!,IF(AND(D1512=BM$1361,C1513=#REF!),#REF!,0))))))</f>
        <v>#REF!</v>
      </c>
      <c r="AX1513" s="9" t="e">
        <f>DOLLAR(AZ1513)</f>
        <v>#REF!</v>
      </c>
      <c r="AZ1513" s="340" t="e">
        <f>$AJ$1353-AV1513</f>
        <v>#REF!</v>
      </c>
      <c r="BB1513" s="48"/>
      <c r="BD1513" s="302" t="e">
        <f>AV1513</f>
        <v>#REF!</v>
      </c>
    </row>
    <row r="1514" spans="1:56" ht="14" hidden="1" customHeight="1" thickTop="1" x14ac:dyDescent="0.3">
      <c r="A1514" s="313"/>
      <c r="B1514" s="314"/>
      <c r="C1514" s="314" t="e">
        <f>CONCATENATE(AK1512,AO1512,AP1512)</f>
        <v>#REF!</v>
      </c>
      <c r="D1514" s="314" t="e">
        <f>BF$1356</f>
        <v>#REF!</v>
      </c>
      <c r="E1514" s="315"/>
      <c r="F1514" s="1"/>
      <c r="AC1514" s="48" t="s">
        <v>800</v>
      </c>
      <c r="AI1514" s="142">
        <f>MIN(D1512,AE1508)</f>
        <v>0</v>
      </c>
      <c r="AJ1514" s="48">
        <f>ROUND(AI1514,2)</f>
        <v>0</v>
      </c>
      <c r="AK1514" s="48" t="str">
        <f>CONCATENATE(AC1514,AJ1514)</f>
        <v>contribution per exchange: $0</v>
      </c>
    </row>
    <row r="1515" spans="1:56" ht="14" hidden="1" customHeight="1" x14ac:dyDescent="0.3">
      <c r="A1515" s="313"/>
      <c r="B1515" s="314"/>
      <c r="C1515" s="314"/>
      <c r="D1515" s="314"/>
      <c r="E1515" s="315"/>
      <c r="F1515" s="1"/>
    </row>
    <row r="1516" spans="1:56" ht="5" hidden="1" customHeight="1" thickBot="1" x14ac:dyDescent="0.35">
      <c r="A1516" s="315"/>
      <c r="B1516" s="317"/>
      <c r="C1516" s="318"/>
      <c r="D1516" s="315"/>
      <c r="E1516" s="315"/>
      <c r="F1516" s="1"/>
      <c r="AC1516" s="312"/>
      <c r="AJ1516" s="402"/>
      <c r="BB1516" s="48"/>
    </row>
    <row r="1517" spans="1:56" ht="16" hidden="1" thickTop="1" thickBot="1" x14ac:dyDescent="0.35">
      <c r="A1517" s="324">
        <f>IF(C1517="",0,1+A1507)</f>
        <v>17</v>
      </c>
      <c r="B1517" s="325" t="s">
        <v>819</v>
      </c>
      <c r="C1517" s="326" t="str">
        <f>AM1517</f>
        <v>FIRST NAME</v>
      </c>
      <c r="D1517" s="327" t="str">
        <f>AQ1517</f>
        <v>LAST NAME</v>
      </c>
      <c r="E1517" s="315"/>
      <c r="F1517" s="1"/>
      <c r="AC1517" s="311" t="str">
        <f>IF(NOT(C1517=AM1517),C1517,"")</f>
        <v/>
      </c>
      <c r="AH1517" s="311" t="str">
        <f>IF(NOT(D1517=AQ1517),D1517,"")</f>
        <v/>
      </c>
      <c r="AM1517" s="328" t="s">
        <v>773</v>
      </c>
      <c r="AQ1517" s="328" t="s">
        <v>100</v>
      </c>
      <c r="BB1517" s="48"/>
    </row>
    <row r="1518" spans="1:56" ht="15" hidden="1" thickTop="1" thickBot="1" x14ac:dyDescent="0.35">
      <c r="A1518" s="313"/>
      <c r="B1518" s="315" t="s">
        <v>776</v>
      </c>
      <c r="C1518" s="330"/>
      <c r="D1518" s="4"/>
      <c r="E1518" s="315"/>
      <c r="F1518" s="1"/>
      <c r="AC1518" s="48">
        <f>IF(C1518="",0,1)</f>
        <v>0</v>
      </c>
      <c r="AE1518" s="48">
        <f>IF($AC$1358=1,AC$1353,0)</f>
        <v>0</v>
      </c>
      <c r="BB1518" s="48"/>
    </row>
    <row r="1519" spans="1:56" ht="14" hidden="1" customHeight="1" thickTop="1" thickBot="1" x14ac:dyDescent="0.35">
      <c r="A1519" s="313"/>
      <c r="B1519" s="331" t="s">
        <v>779</v>
      </c>
      <c r="C1519" s="330"/>
      <c r="D1519" s="332" t="str">
        <f>AS1519</f>
        <v>AWARENESS OF ISSUE</v>
      </c>
      <c r="E1519" s="315"/>
      <c r="F1519" s="1"/>
      <c r="AM1519" s="333"/>
      <c r="AN1519" s="333"/>
      <c r="AO1519" s="333"/>
      <c r="AP1519" s="333"/>
      <c r="AS1519" s="48" t="str">
        <f>AS1509</f>
        <v>AWARENESS OF ISSUE</v>
      </c>
      <c r="BB1519" s="48"/>
    </row>
    <row r="1520" spans="1:56" ht="14" hidden="1" customHeight="1" thickTop="1" thickBot="1" x14ac:dyDescent="0.35">
      <c r="A1520" s="313"/>
      <c r="B1520" s="325" t="s">
        <v>783</v>
      </c>
      <c r="C1520" s="334" t="s">
        <v>784</v>
      </c>
      <c r="D1520" s="334" t="s">
        <v>785</v>
      </c>
      <c r="E1520" s="315"/>
      <c r="F1520" s="1"/>
      <c r="BB1520" s="48"/>
    </row>
    <row r="1521" spans="1:56" ht="14" hidden="1" customHeight="1" thickTop="1" thickBot="1" x14ac:dyDescent="0.35">
      <c r="A1521" s="313"/>
      <c r="B1521" s="314" t="s">
        <v>788</v>
      </c>
      <c r="C1521" s="335" t="str">
        <f>AM1521</f>
        <v>YYYY-MM-DD</v>
      </c>
      <c r="D1521" s="335" t="str">
        <f>AM1521</f>
        <v>YYYY-MM-DD</v>
      </c>
      <c r="E1521" s="315"/>
      <c r="F1521" s="1"/>
      <c r="AH1521" s="918" t="str">
        <f>IF(NOT(D1521=AQ1521),D1521,"")</f>
        <v>YYYY-MM-DD</v>
      </c>
      <c r="AI1521" s="918"/>
      <c r="AM1521" s="328" t="s">
        <v>789</v>
      </c>
      <c r="AQ1521" s="328"/>
      <c r="BB1521" s="48"/>
    </row>
    <row r="1522" spans="1:56" ht="14" hidden="1" customHeight="1" thickTop="1" thickBot="1" x14ac:dyDescent="0.35">
      <c r="A1522" s="313"/>
      <c r="B1522" s="314" t="s">
        <v>794</v>
      </c>
      <c r="C1522" s="337"/>
      <c r="D1522" s="338" t="str">
        <f>AC1522</f>
        <v/>
      </c>
      <c r="E1522" s="315"/>
      <c r="F1522" s="1"/>
      <c r="AC1522" s="50" t="str">
        <f>IF(AND(AC$1352&gt;0,C1522=BN$1357),BM$1357,IF(AND(AC$1352&gt;0,C1522=BN$1358),BM$1358,IF(AND(AC$1352&gt;0,C1522=BN$1359),BM$1359,IF(AND(AC$1352&gt;0,C1522=BN$1360),BM$1360,IF(AND(AC$1352&gt;0,C1522=BN$1361),BM$1361,"")))))</f>
        <v/>
      </c>
      <c r="AI1522" s="1084" t="e">
        <f>AV1523/AL$1353</f>
        <v>#REF!</v>
      </c>
      <c r="AJ1522" s="1084"/>
      <c r="AK1522" s="48" t="s">
        <v>795</v>
      </c>
      <c r="AO1522" s="9" t="e">
        <f>IF(AI1522=0,"none",(AI1522*100))</f>
        <v>#REF!</v>
      </c>
      <c r="AP1522" s="48" t="e">
        <f>IF(AO1522="none"," of weekly support cost.","% of weekly support cost.")</f>
        <v>#REF!</v>
      </c>
      <c r="BB1522" s="48"/>
    </row>
    <row r="1523" spans="1:56" ht="14" hidden="1" customHeight="1" thickTop="1" thickBot="1" x14ac:dyDescent="0.35">
      <c r="A1523" s="313"/>
      <c r="B1523" s="314" t="s">
        <v>797</v>
      </c>
      <c r="C1523" s="339"/>
      <c r="D1523" s="314" t="e">
        <f>IF(NOT(AV1523&gt;0),"",AC1523)</f>
        <v>#REF!</v>
      </c>
      <c r="E1523" s="315"/>
      <c r="F1523" s="1"/>
      <c r="AC1523" s="246" t="e">
        <f>CONCATENATE(AO1523,AT1523)</f>
        <v>#REF!</v>
      </c>
      <c r="AO1523" s="48" t="s">
        <v>798</v>
      </c>
      <c r="AT1523" s="246" t="e">
        <f>DOLLAR(AV1523)</f>
        <v>#REF!</v>
      </c>
      <c r="AV1523" s="315" t="e">
        <f>IF(AND(D1522=BM$1361,C1523=#REF!),#REF!,IF(AND(D1522=BM$1361,C1523=#REF!),#REF!,IF(AND(D1522=BM$1361,C1523=#REF!),#REF!,IF(AND(D1522=BM$1361,C1523=#REF!),#REF!,IF(AND(D1522=BM$1361,C1523=#REF!),#REF!,IF(AND(D1522=BM$1361,C1523=#REF!),#REF!,0))))))</f>
        <v>#REF!</v>
      </c>
      <c r="AX1523" s="9" t="e">
        <f>DOLLAR(AZ1523)</f>
        <v>#REF!</v>
      </c>
      <c r="AZ1523" s="340" t="e">
        <f>$AJ$1353-AV1523</f>
        <v>#REF!</v>
      </c>
      <c r="BB1523" s="48"/>
      <c r="BD1523" s="302" t="e">
        <f>AV1523</f>
        <v>#REF!</v>
      </c>
    </row>
    <row r="1524" spans="1:56" ht="14" hidden="1" customHeight="1" thickTop="1" x14ac:dyDescent="0.3">
      <c r="A1524" s="313"/>
      <c r="B1524" s="314"/>
      <c r="C1524" s="314" t="e">
        <f>CONCATENATE(AK1522,AO1522,AP1522)</f>
        <v>#REF!</v>
      </c>
      <c r="D1524" s="314" t="e">
        <f>BF$1356</f>
        <v>#REF!</v>
      </c>
      <c r="E1524" s="315"/>
      <c r="F1524" s="1"/>
      <c r="AC1524" s="48" t="s">
        <v>800</v>
      </c>
      <c r="AI1524" s="142">
        <f>MIN(D1522,AE1518)</f>
        <v>0</v>
      </c>
      <c r="AJ1524" s="48">
        <f>ROUND(AI1524,2)</f>
        <v>0</v>
      </c>
      <c r="AK1524" s="48" t="str">
        <f>CONCATENATE(AC1524,AJ1524)</f>
        <v>contribution per exchange: $0</v>
      </c>
    </row>
    <row r="1525" spans="1:56" ht="14" hidden="1" customHeight="1" x14ac:dyDescent="0.3">
      <c r="A1525" s="313"/>
      <c r="B1525" s="314"/>
      <c r="C1525" s="314"/>
      <c r="D1525" s="314"/>
      <c r="E1525" s="315"/>
      <c r="F1525" s="1"/>
    </row>
    <row r="1526" spans="1:56" ht="5" hidden="1" customHeight="1" thickBot="1" x14ac:dyDescent="0.35">
      <c r="A1526" s="315"/>
      <c r="B1526" s="317"/>
      <c r="C1526" s="318"/>
      <c r="D1526" s="315"/>
      <c r="E1526" s="315"/>
      <c r="F1526" s="1"/>
      <c r="AC1526" s="312"/>
      <c r="AJ1526" s="402"/>
      <c r="BB1526" s="48"/>
    </row>
    <row r="1527" spans="1:56" ht="16" hidden="1" thickTop="1" thickBot="1" x14ac:dyDescent="0.35">
      <c r="A1527" s="324">
        <f>IF(C1527="",0,1+A1517)</f>
        <v>18</v>
      </c>
      <c r="B1527" s="325" t="s">
        <v>820</v>
      </c>
      <c r="C1527" s="326" t="str">
        <f>AM1527</f>
        <v>FIRST NAME</v>
      </c>
      <c r="D1527" s="327" t="str">
        <f>AQ1527</f>
        <v>LAST NAME</v>
      </c>
      <c r="E1527" s="315"/>
      <c r="F1527" s="1"/>
      <c r="AC1527" s="311" t="str">
        <f>IF(NOT(C1527=AM1527),C1527,"")</f>
        <v/>
      </c>
      <c r="AH1527" s="311" t="str">
        <f>IF(NOT(D1527=AQ1527),D1527,"")</f>
        <v/>
      </c>
      <c r="AM1527" s="328" t="s">
        <v>773</v>
      </c>
      <c r="AQ1527" s="328" t="s">
        <v>100</v>
      </c>
      <c r="BB1527" s="48"/>
    </row>
    <row r="1528" spans="1:56" ht="15" hidden="1" thickTop="1" thickBot="1" x14ac:dyDescent="0.35">
      <c r="A1528" s="313"/>
      <c r="B1528" s="315" t="s">
        <v>776</v>
      </c>
      <c r="C1528" s="330"/>
      <c r="D1528" s="4"/>
      <c r="E1528" s="315"/>
      <c r="F1528" s="1"/>
      <c r="AC1528" s="48">
        <f>IF(C1528="",0,1)</f>
        <v>0</v>
      </c>
      <c r="AE1528" s="48">
        <f>IF($AC$1358=1,AC$1353,0)</f>
        <v>0</v>
      </c>
      <c r="BB1528" s="48"/>
    </row>
    <row r="1529" spans="1:56" ht="14" hidden="1" customHeight="1" thickTop="1" thickBot="1" x14ac:dyDescent="0.35">
      <c r="A1529" s="313"/>
      <c r="B1529" s="331" t="s">
        <v>779</v>
      </c>
      <c r="C1529" s="330"/>
      <c r="D1529" s="332" t="str">
        <f>AS1529</f>
        <v>AWARENESS OF ISSUE</v>
      </c>
      <c r="E1529" s="315"/>
      <c r="F1529" s="1"/>
      <c r="AM1529" s="333"/>
      <c r="AN1529" s="333"/>
      <c r="AO1529" s="333"/>
      <c r="AP1529" s="333"/>
      <c r="AS1529" s="48" t="str">
        <f>AS1519</f>
        <v>AWARENESS OF ISSUE</v>
      </c>
      <c r="BB1529" s="48"/>
    </row>
    <row r="1530" spans="1:56" ht="14" hidden="1" customHeight="1" thickTop="1" thickBot="1" x14ac:dyDescent="0.35">
      <c r="A1530" s="313"/>
      <c r="B1530" s="325" t="s">
        <v>783</v>
      </c>
      <c r="C1530" s="334" t="s">
        <v>784</v>
      </c>
      <c r="D1530" s="334" t="s">
        <v>785</v>
      </c>
      <c r="E1530" s="315"/>
      <c r="F1530" s="1"/>
      <c r="BB1530" s="48"/>
    </row>
    <row r="1531" spans="1:56" ht="14" hidden="1" customHeight="1" thickTop="1" thickBot="1" x14ac:dyDescent="0.35">
      <c r="A1531" s="313"/>
      <c r="B1531" s="314" t="s">
        <v>788</v>
      </c>
      <c r="C1531" s="335" t="str">
        <f>AM1531</f>
        <v>YYYY-MM-DD</v>
      </c>
      <c r="D1531" s="335" t="str">
        <f>AM1531</f>
        <v>YYYY-MM-DD</v>
      </c>
      <c r="E1531" s="315"/>
      <c r="F1531" s="1"/>
      <c r="AH1531" s="918" t="str">
        <f>IF(NOT(D1531=AQ1531),D1531,"")</f>
        <v>YYYY-MM-DD</v>
      </c>
      <c r="AI1531" s="918"/>
      <c r="AM1531" s="328" t="s">
        <v>789</v>
      </c>
      <c r="AQ1531" s="328"/>
      <c r="BB1531" s="48"/>
    </row>
    <row r="1532" spans="1:56" ht="14" hidden="1" customHeight="1" thickTop="1" thickBot="1" x14ac:dyDescent="0.35">
      <c r="A1532" s="313"/>
      <c r="B1532" s="314" t="s">
        <v>794</v>
      </c>
      <c r="C1532" s="337"/>
      <c r="D1532" s="338" t="str">
        <f>AC1532</f>
        <v/>
      </c>
      <c r="E1532" s="315"/>
      <c r="F1532" s="1"/>
      <c r="AC1532" s="50" t="str">
        <f>IF(AND(AC$1352&gt;0,C1532=BN$1357),BM$1357,IF(AND(AC$1352&gt;0,C1532=BN$1358),BM$1358,IF(AND(AC$1352&gt;0,C1532=BN$1359),BM$1359,IF(AND(AC$1352&gt;0,C1532=BN$1360),BM$1360,IF(AND(AC$1352&gt;0,C1532=BN$1361),BM$1361,"")))))</f>
        <v/>
      </c>
      <c r="AI1532" s="1084" t="e">
        <f>AV1533/AL$1353</f>
        <v>#REF!</v>
      </c>
      <c r="AJ1532" s="1084"/>
      <c r="AK1532" s="48" t="s">
        <v>795</v>
      </c>
      <c r="AO1532" s="9" t="e">
        <f>IF(AI1532=0,"none",(AI1532*100))</f>
        <v>#REF!</v>
      </c>
      <c r="AP1532" s="48" t="e">
        <f>IF(AO1532="none"," of weekly support cost.","% of weekly support cost.")</f>
        <v>#REF!</v>
      </c>
      <c r="BB1532" s="48"/>
    </row>
    <row r="1533" spans="1:56" ht="14" hidden="1" customHeight="1" thickTop="1" thickBot="1" x14ac:dyDescent="0.35">
      <c r="A1533" s="313"/>
      <c r="B1533" s="314" t="s">
        <v>797</v>
      </c>
      <c r="C1533" s="339"/>
      <c r="D1533" s="314" t="e">
        <f>IF(NOT(AV1533&gt;0),"",AC1533)</f>
        <v>#REF!</v>
      </c>
      <c r="E1533" s="315"/>
      <c r="F1533" s="1"/>
      <c r="AC1533" s="246" t="e">
        <f>CONCATENATE(AO1533,AT1533)</f>
        <v>#REF!</v>
      </c>
      <c r="AO1533" s="48" t="s">
        <v>798</v>
      </c>
      <c r="AT1533" s="246" t="e">
        <f>DOLLAR(AV1533)</f>
        <v>#REF!</v>
      </c>
      <c r="AV1533" s="315" t="e">
        <f>IF(AND(D1532=BM$1361,C1533=#REF!),#REF!,IF(AND(D1532=BM$1361,C1533=#REF!),#REF!,IF(AND(D1532=BM$1361,C1533=#REF!),#REF!,IF(AND(D1532=BM$1361,C1533=#REF!),#REF!,IF(AND(D1532=BM$1361,C1533=#REF!),#REF!,IF(AND(D1532=BM$1361,C1533=#REF!),#REF!,0))))))</f>
        <v>#REF!</v>
      </c>
      <c r="AX1533" s="9" t="e">
        <f>DOLLAR(AZ1533)</f>
        <v>#REF!</v>
      </c>
      <c r="AZ1533" s="340" t="e">
        <f>$AJ$1353-AV1533</f>
        <v>#REF!</v>
      </c>
      <c r="BB1533" s="48"/>
      <c r="BD1533" s="302" t="e">
        <f>AV1533</f>
        <v>#REF!</v>
      </c>
    </row>
    <row r="1534" spans="1:56" ht="14" hidden="1" customHeight="1" thickTop="1" x14ac:dyDescent="0.3">
      <c r="A1534" s="313"/>
      <c r="B1534" s="314"/>
      <c r="C1534" s="314" t="e">
        <f>CONCATENATE(AK1532,AO1532,AP1532)</f>
        <v>#REF!</v>
      </c>
      <c r="D1534" s="314" t="e">
        <f>BF$1356</f>
        <v>#REF!</v>
      </c>
      <c r="E1534" s="315"/>
      <c r="F1534" s="1"/>
      <c r="AC1534" s="48" t="s">
        <v>800</v>
      </c>
      <c r="AI1534" s="142">
        <f>MIN(D1532,AE1528)</f>
        <v>0</v>
      </c>
      <c r="AJ1534" s="48">
        <f>ROUND(AI1534,2)</f>
        <v>0</v>
      </c>
      <c r="AK1534" s="48" t="str">
        <f>CONCATENATE(AC1534,AJ1534)</f>
        <v>contribution per exchange: $0</v>
      </c>
    </row>
    <row r="1535" spans="1:56" ht="14" hidden="1" customHeight="1" x14ac:dyDescent="0.3">
      <c r="A1535" s="313"/>
      <c r="B1535" s="314"/>
      <c r="C1535" s="314"/>
      <c r="D1535" s="314"/>
      <c r="E1535" s="315"/>
      <c r="F1535" s="1"/>
    </row>
    <row r="1536" spans="1:56" ht="5" hidden="1" customHeight="1" thickBot="1" x14ac:dyDescent="0.35">
      <c r="A1536" s="315"/>
      <c r="B1536" s="317"/>
      <c r="C1536" s="318"/>
      <c r="D1536" s="315"/>
      <c r="E1536" s="315"/>
      <c r="F1536" s="1"/>
      <c r="AC1536" s="312"/>
      <c r="AJ1536" s="402"/>
      <c r="BB1536" s="48"/>
    </row>
    <row r="1537" spans="1:56" ht="16" hidden="1" thickTop="1" thickBot="1" x14ac:dyDescent="0.35">
      <c r="A1537" s="324">
        <f>IF(C1537="",0,1+A1527)</f>
        <v>19</v>
      </c>
      <c r="B1537" s="325" t="s">
        <v>821</v>
      </c>
      <c r="C1537" s="326" t="str">
        <f>AM1537</f>
        <v>FIRST NAME</v>
      </c>
      <c r="D1537" s="327" t="str">
        <f>AQ1537</f>
        <v>LAST NAME</v>
      </c>
      <c r="E1537" s="315"/>
      <c r="F1537" s="1"/>
      <c r="AC1537" s="311" t="str">
        <f>IF(NOT(C1537=AM1537),C1537,"")</f>
        <v/>
      </c>
      <c r="AH1537" s="311" t="str">
        <f>IF(NOT(D1537=AQ1537),D1537,"")</f>
        <v/>
      </c>
      <c r="AM1537" s="328" t="s">
        <v>773</v>
      </c>
      <c r="AQ1537" s="328" t="s">
        <v>100</v>
      </c>
      <c r="BB1537" s="48"/>
    </row>
    <row r="1538" spans="1:56" ht="15" hidden="1" thickTop="1" thickBot="1" x14ac:dyDescent="0.35">
      <c r="A1538" s="313"/>
      <c r="B1538" s="315" t="s">
        <v>776</v>
      </c>
      <c r="C1538" s="330"/>
      <c r="D1538" s="4"/>
      <c r="E1538" s="315"/>
      <c r="F1538" s="1"/>
      <c r="AC1538" s="48">
        <f>IF(C1538="",0,1)</f>
        <v>0</v>
      </c>
      <c r="AE1538" s="48">
        <f>IF($AC$1358=1,AC$1353,0)</f>
        <v>0</v>
      </c>
      <c r="BB1538" s="48"/>
    </row>
    <row r="1539" spans="1:56" ht="14" hidden="1" customHeight="1" thickTop="1" thickBot="1" x14ac:dyDescent="0.35">
      <c r="A1539" s="313"/>
      <c r="B1539" s="331" t="s">
        <v>779</v>
      </c>
      <c r="C1539" s="330"/>
      <c r="D1539" s="332" t="str">
        <f>AS1539</f>
        <v>AWARENESS OF ISSUE</v>
      </c>
      <c r="E1539" s="315"/>
      <c r="F1539" s="1"/>
      <c r="AM1539" s="333"/>
      <c r="AN1539" s="333"/>
      <c r="AO1539" s="333"/>
      <c r="AP1539" s="333"/>
      <c r="AS1539" s="48" t="str">
        <f>AS1529</f>
        <v>AWARENESS OF ISSUE</v>
      </c>
      <c r="BB1539" s="48"/>
    </row>
    <row r="1540" spans="1:56" ht="14" hidden="1" customHeight="1" thickTop="1" thickBot="1" x14ac:dyDescent="0.35">
      <c r="A1540" s="313"/>
      <c r="B1540" s="325" t="s">
        <v>783</v>
      </c>
      <c r="C1540" s="334" t="s">
        <v>784</v>
      </c>
      <c r="D1540" s="334" t="s">
        <v>785</v>
      </c>
      <c r="E1540" s="315"/>
      <c r="F1540" s="1"/>
      <c r="BB1540" s="48"/>
    </row>
    <row r="1541" spans="1:56" ht="14" hidden="1" customHeight="1" thickTop="1" thickBot="1" x14ac:dyDescent="0.35">
      <c r="A1541" s="313"/>
      <c r="B1541" s="314" t="s">
        <v>788</v>
      </c>
      <c r="C1541" s="335" t="str">
        <f>AM1541</f>
        <v>YYYY-MM-DD</v>
      </c>
      <c r="D1541" s="335" t="str">
        <f>AM1541</f>
        <v>YYYY-MM-DD</v>
      </c>
      <c r="E1541" s="315"/>
      <c r="F1541" s="1"/>
      <c r="AH1541" s="918" t="str">
        <f>IF(NOT(D1541=AQ1541),D1541,"")</f>
        <v>YYYY-MM-DD</v>
      </c>
      <c r="AI1541" s="918"/>
      <c r="AM1541" s="328" t="s">
        <v>789</v>
      </c>
      <c r="AQ1541" s="328"/>
      <c r="BB1541" s="48"/>
    </row>
    <row r="1542" spans="1:56" ht="14" hidden="1" customHeight="1" thickTop="1" thickBot="1" x14ac:dyDescent="0.35">
      <c r="A1542" s="313"/>
      <c r="B1542" s="314" t="s">
        <v>794</v>
      </c>
      <c r="C1542" s="337"/>
      <c r="D1542" s="338" t="str">
        <f>AC1542</f>
        <v/>
      </c>
      <c r="E1542" s="315"/>
      <c r="F1542" s="1"/>
      <c r="AC1542" s="50" t="str">
        <f>IF(AND(AC$1352&gt;0,C1542=BN$1357),BM$1357,IF(AND(AC$1352&gt;0,C1542=BN$1358),BM$1358,IF(AND(AC$1352&gt;0,C1542=BN$1359),BM$1359,IF(AND(AC$1352&gt;0,C1542=BN$1360),BM$1360,IF(AND(AC$1352&gt;0,C1542=BN$1361),BM$1361,"")))))</f>
        <v/>
      </c>
      <c r="AI1542" s="1084" t="e">
        <f>AV1543/AL$1353</f>
        <v>#REF!</v>
      </c>
      <c r="AJ1542" s="1084"/>
      <c r="AK1542" s="48" t="s">
        <v>795</v>
      </c>
      <c r="AO1542" s="9" t="e">
        <f>IF(AI1542=0,"none",(AI1542*100))</f>
        <v>#REF!</v>
      </c>
      <c r="AP1542" s="48" t="e">
        <f>IF(AO1542="none"," of weekly support cost.","% of weekly support cost.")</f>
        <v>#REF!</v>
      </c>
      <c r="BB1542" s="48"/>
    </row>
    <row r="1543" spans="1:56" ht="14" hidden="1" customHeight="1" thickTop="1" thickBot="1" x14ac:dyDescent="0.35">
      <c r="A1543" s="313"/>
      <c r="B1543" s="314" t="s">
        <v>797</v>
      </c>
      <c r="C1543" s="339"/>
      <c r="D1543" s="314" t="e">
        <f>IF(NOT(AV1543&gt;0),"",AC1543)</f>
        <v>#REF!</v>
      </c>
      <c r="E1543" s="315"/>
      <c r="F1543" s="1"/>
      <c r="AC1543" s="246" t="e">
        <f>CONCATENATE(AO1543,AT1543)</f>
        <v>#REF!</v>
      </c>
      <c r="AO1543" s="48" t="s">
        <v>798</v>
      </c>
      <c r="AT1543" s="246" t="e">
        <f>DOLLAR(AV1543)</f>
        <v>#REF!</v>
      </c>
      <c r="AV1543" s="315" t="e">
        <f>IF(AND(D1542=BM$1361,C1543=#REF!),#REF!,IF(AND(D1542=BM$1361,C1543=#REF!),#REF!,IF(AND(D1542=BM$1361,C1543=#REF!),#REF!,IF(AND(D1542=BM$1361,C1543=#REF!),#REF!,IF(AND(D1542=BM$1361,C1543=#REF!),#REF!,IF(AND(D1542=BM$1361,C1543=#REF!),#REF!,0))))))</f>
        <v>#REF!</v>
      </c>
      <c r="AX1543" s="9" t="e">
        <f>DOLLAR(AZ1543)</f>
        <v>#REF!</v>
      </c>
      <c r="AZ1543" s="340" t="e">
        <f>$AJ$1353-AV1543</f>
        <v>#REF!</v>
      </c>
      <c r="BB1543" s="48"/>
      <c r="BD1543" s="302" t="e">
        <f>AV1543</f>
        <v>#REF!</v>
      </c>
    </row>
    <row r="1544" spans="1:56" ht="14" hidden="1" customHeight="1" thickTop="1" x14ac:dyDescent="0.3">
      <c r="A1544" s="313"/>
      <c r="B1544" s="314"/>
      <c r="C1544" s="314" t="e">
        <f>CONCATENATE(AK1542,AO1542,AP1542)</f>
        <v>#REF!</v>
      </c>
      <c r="D1544" s="314" t="e">
        <f>BF$1356</f>
        <v>#REF!</v>
      </c>
      <c r="E1544" s="315"/>
      <c r="F1544" s="1"/>
      <c r="AC1544" s="48" t="s">
        <v>800</v>
      </c>
      <c r="AI1544" s="142">
        <f>MIN(D1542,AE1538)</f>
        <v>0</v>
      </c>
      <c r="AJ1544" s="48">
        <f>ROUND(AI1544,2)</f>
        <v>0</v>
      </c>
      <c r="AK1544" s="48" t="str">
        <f>CONCATENATE(AC1544,AJ1544)</f>
        <v>contribution per exchange: $0</v>
      </c>
    </row>
    <row r="1545" spans="1:56" ht="18" hidden="1" customHeight="1" x14ac:dyDescent="0.3">
      <c r="A1545" s="313"/>
      <c r="B1545" s="314"/>
      <c r="C1545" s="314"/>
      <c r="D1545" s="314"/>
      <c r="E1545" s="315"/>
      <c r="F1545" s="1"/>
    </row>
    <row r="1546" spans="1:56" ht="5" hidden="1" customHeight="1" thickBot="1" x14ac:dyDescent="0.35">
      <c r="A1546" s="315"/>
      <c r="B1546" s="317"/>
      <c r="C1546" s="318"/>
      <c r="D1546" s="315"/>
      <c r="E1546" s="315"/>
      <c r="F1546" s="1"/>
      <c r="AC1546" s="312"/>
      <c r="AJ1546" s="402"/>
      <c r="BB1546" s="48"/>
    </row>
    <row r="1547" spans="1:56" ht="16" hidden="1" thickTop="1" thickBot="1" x14ac:dyDescent="0.35">
      <c r="A1547" s="324">
        <f>IF(C1547="",0,1+A1537)</f>
        <v>20</v>
      </c>
      <c r="B1547" s="325" t="s">
        <v>822</v>
      </c>
      <c r="C1547" s="326" t="str">
        <f>AM1547</f>
        <v>FIRST NAME</v>
      </c>
      <c r="D1547" s="327" t="str">
        <f>AQ1547</f>
        <v>LAST NAME</v>
      </c>
      <c r="E1547" s="315"/>
      <c r="F1547" s="1"/>
      <c r="AC1547" s="311" t="str">
        <f>IF(NOT(C1547=AM1547),C1547,"")</f>
        <v/>
      </c>
      <c r="AH1547" s="311" t="str">
        <f>IF(NOT(D1547=AQ1547),D1547,"")</f>
        <v/>
      </c>
      <c r="AM1547" s="328" t="s">
        <v>773</v>
      </c>
      <c r="AQ1547" s="328" t="s">
        <v>100</v>
      </c>
      <c r="BB1547" s="48"/>
    </row>
    <row r="1548" spans="1:56" ht="15" hidden="1" thickTop="1" thickBot="1" x14ac:dyDescent="0.35">
      <c r="A1548" s="313"/>
      <c r="B1548" s="315" t="s">
        <v>776</v>
      </c>
      <c r="C1548" s="330"/>
      <c r="D1548" s="4"/>
      <c r="E1548" s="315"/>
      <c r="F1548" s="1"/>
      <c r="AC1548" s="48">
        <f>IF(C1548="",0,1)</f>
        <v>0</v>
      </c>
      <c r="AE1548" s="48">
        <f>IF($AC$1358=1,AC$1353,0)</f>
        <v>0</v>
      </c>
      <c r="BB1548" s="48"/>
    </row>
    <row r="1549" spans="1:56" ht="14" hidden="1" customHeight="1" thickTop="1" thickBot="1" x14ac:dyDescent="0.35">
      <c r="A1549" s="313"/>
      <c r="B1549" s="331" t="s">
        <v>779</v>
      </c>
      <c r="C1549" s="330"/>
      <c r="D1549" s="332" t="str">
        <f>AS1549</f>
        <v>AWARENESS OF ISSUE</v>
      </c>
      <c r="E1549" s="315"/>
      <c r="F1549" s="1"/>
      <c r="AM1549" s="333"/>
      <c r="AN1549" s="333"/>
      <c r="AO1549" s="333"/>
      <c r="AP1549" s="333"/>
      <c r="AS1549" s="48" t="str">
        <f>AS1539</f>
        <v>AWARENESS OF ISSUE</v>
      </c>
      <c r="BB1549" s="48"/>
    </row>
    <row r="1550" spans="1:56" ht="14" hidden="1" customHeight="1" thickTop="1" thickBot="1" x14ac:dyDescent="0.35">
      <c r="A1550" s="313"/>
      <c r="B1550" s="325" t="s">
        <v>783</v>
      </c>
      <c r="C1550" s="334" t="s">
        <v>784</v>
      </c>
      <c r="D1550" s="334" t="s">
        <v>785</v>
      </c>
      <c r="E1550" s="315"/>
      <c r="F1550" s="1"/>
      <c r="BB1550" s="48"/>
    </row>
    <row r="1551" spans="1:56" ht="14" hidden="1" customHeight="1" thickTop="1" thickBot="1" x14ac:dyDescent="0.35">
      <c r="A1551" s="313"/>
      <c r="B1551" s="314" t="s">
        <v>788</v>
      </c>
      <c r="C1551" s="335" t="str">
        <f>AM1551</f>
        <v>YYYY-MM-DD</v>
      </c>
      <c r="D1551" s="335" t="str">
        <f>AM1551</f>
        <v>YYYY-MM-DD</v>
      </c>
      <c r="E1551" s="315"/>
      <c r="F1551" s="1"/>
      <c r="AH1551" s="918" t="str">
        <f>IF(NOT(D1551=AQ1551),D1551,"")</f>
        <v>YYYY-MM-DD</v>
      </c>
      <c r="AI1551" s="918"/>
      <c r="AM1551" s="328" t="s">
        <v>789</v>
      </c>
      <c r="AQ1551" s="328"/>
      <c r="BB1551" s="48"/>
    </row>
    <row r="1552" spans="1:56" ht="14" hidden="1" customHeight="1" thickTop="1" thickBot="1" x14ac:dyDescent="0.35">
      <c r="A1552" s="313"/>
      <c r="B1552" s="314" t="s">
        <v>794</v>
      </c>
      <c r="C1552" s="337"/>
      <c r="D1552" s="338" t="str">
        <f>AC1552</f>
        <v/>
      </c>
      <c r="E1552" s="315"/>
      <c r="F1552" s="1"/>
      <c r="AC1552" s="50" t="str">
        <f>IF(AND(AC$1352&gt;0,C1552=BN$1357),BM$1357,IF(AND(AC$1352&gt;0,C1552=BN$1358),BM$1358,IF(AND(AC$1352&gt;0,C1552=BN$1359),BM$1359,IF(AND(AC$1352&gt;0,C1552=BN$1360),BM$1360,IF(AND(AC$1352&gt;0,C1552=BN$1361),BM$1361,"")))))</f>
        <v/>
      </c>
      <c r="AI1552" s="1084" t="e">
        <f>AV1553/AL$1353</f>
        <v>#REF!</v>
      </c>
      <c r="AJ1552" s="1084"/>
      <c r="AK1552" s="48" t="s">
        <v>795</v>
      </c>
      <c r="AO1552" s="9" t="e">
        <f>IF(AI1552=0,"none",(AI1552*100))</f>
        <v>#REF!</v>
      </c>
      <c r="AP1552" s="48" t="e">
        <f>IF(AO1552="none"," of weekly support cost.","% of weekly support cost.")</f>
        <v>#REF!</v>
      </c>
      <c r="BB1552" s="48"/>
    </row>
    <row r="1553" spans="1:56" ht="14" hidden="1" customHeight="1" thickTop="1" thickBot="1" x14ac:dyDescent="0.35">
      <c r="A1553" s="313"/>
      <c r="B1553" s="314" t="s">
        <v>797</v>
      </c>
      <c r="C1553" s="339"/>
      <c r="D1553" s="314" t="e">
        <f>IF(NOT(AV1553&gt;0),"",AC1553)</f>
        <v>#REF!</v>
      </c>
      <c r="E1553" s="315"/>
      <c r="F1553" s="1"/>
      <c r="AC1553" s="246" t="e">
        <f>CONCATENATE(AO1553,AT1553)</f>
        <v>#REF!</v>
      </c>
      <c r="AO1553" s="48" t="s">
        <v>798</v>
      </c>
      <c r="AT1553" s="246" t="e">
        <f>DOLLAR(AV1553)</f>
        <v>#REF!</v>
      </c>
      <c r="AV1553" s="315" t="e">
        <f>IF(AND(D1552=BM$1361,C1553=#REF!),#REF!,IF(AND(D1552=BM$1361,C1553=#REF!),#REF!,IF(AND(D1552=BM$1361,C1553=#REF!),#REF!,IF(AND(D1552=BM$1361,C1553=#REF!),#REF!,IF(AND(D1552=BM$1361,C1553=#REF!),#REF!,IF(AND(D1552=BM$1361,C1553=#REF!),#REF!,0))))))</f>
        <v>#REF!</v>
      </c>
      <c r="AX1553" s="9" t="e">
        <f>DOLLAR(AZ1553)</f>
        <v>#REF!</v>
      </c>
      <c r="AZ1553" s="340" t="e">
        <f>$AJ$1353-AV1553</f>
        <v>#REF!</v>
      </c>
      <c r="BB1553" s="48"/>
      <c r="BD1553" s="302" t="e">
        <f>AV1553</f>
        <v>#REF!</v>
      </c>
    </row>
    <row r="1554" spans="1:56" ht="14" hidden="1" customHeight="1" thickTop="1" x14ac:dyDescent="0.3">
      <c r="A1554" s="313"/>
      <c r="B1554" s="314"/>
      <c r="C1554" s="314" t="e">
        <f>CONCATENATE(AK1552,AO1552,AP1552)</f>
        <v>#REF!</v>
      </c>
      <c r="D1554" s="314" t="e">
        <f>BF$1356</f>
        <v>#REF!</v>
      </c>
      <c r="E1554" s="315"/>
      <c r="F1554" s="1"/>
      <c r="AC1554" s="48" t="s">
        <v>800</v>
      </c>
      <c r="AI1554" s="142">
        <f>MIN(D1552,AE1548)</f>
        <v>0</v>
      </c>
      <c r="AJ1554" s="48">
        <f>ROUND(AI1554,2)</f>
        <v>0</v>
      </c>
      <c r="AK1554" s="48" t="str">
        <f>CONCATENATE(AC1554,AJ1554)</f>
        <v>contribution per exchange: $0</v>
      </c>
    </row>
    <row r="1555" spans="1:56" ht="14" hidden="1" customHeight="1" x14ac:dyDescent="0.3">
      <c r="A1555" s="313"/>
      <c r="B1555" s="314"/>
      <c r="C1555" s="314"/>
      <c r="D1555" s="314"/>
      <c r="E1555" s="315"/>
      <c r="F1555" s="1"/>
    </row>
    <row r="1556" spans="1:56" ht="5" hidden="1" customHeight="1" thickBot="1" x14ac:dyDescent="0.35">
      <c r="A1556" s="315"/>
      <c r="B1556" s="317"/>
      <c r="C1556" s="318"/>
      <c r="D1556" s="315"/>
      <c r="E1556" s="315"/>
      <c r="F1556" s="1"/>
      <c r="AC1556" s="312"/>
      <c r="AJ1556" s="402"/>
      <c r="BB1556" s="48"/>
    </row>
    <row r="1557" spans="1:56" ht="16" hidden="1" thickTop="1" thickBot="1" x14ac:dyDescent="0.35">
      <c r="A1557" s="324">
        <f>IF(C1557="",0,1+A1547)</f>
        <v>21</v>
      </c>
      <c r="B1557" s="325" t="s">
        <v>823</v>
      </c>
      <c r="C1557" s="326" t="str">
        <f>AM1557</f>
        <v>FIRST NAME</v>
      </c>
      <c r="D1557" s="327" t="str">
        <f>AQ1557</f>
        <v>LAST NAME</v>
      </c>
      <c r="E1557" s="315"/>
      <c r="F1557" s="1"/>
      <c r="AC1557" s="311" t="str">
        <f>IF(NOT(C1557=AM1557),C1557,"")</f>
        <v/>
      </c>
      <c r="AH1557" s="311" t="str">
        <f>IF(NOT(D1557=AQ1557),D1557,"")</f>
        <v/>
      </c>
      <c r="AM1557" s="328" t="s">
        <v>773</v>
      </c>
      <c r="AQ1557" s="328" t="s">
        <v>100</v>
      </c>
      <c r="BB1557" s="48"/>
    </row>
    <row r="1558" spans="1:56" ht="15" hidden="1" thickTop="1" thickBot="1" x14ac:dyDescent="0.35">
      <c r="A1558" s="313"/>
      <c r="B1558" s="315" t="s">
        <v>776</v>
      </c>
      <c r="C1558" s="330"/>
      <c r="D1558" s="4"/>
      <c r="E1558" s="315"/>
      <c r="F1558" s="1"/>
      <c r="AC1558" s="48">
        <f>IF(C1558="",0,1)</f>
        <v>0</v>
      </c>
      <c r="AE1558" s="48">
        <f>IF($AC$1358=1,AC$1353,0)</f>
        <v>0</v>
      </c>
      <c r="BB1558" s="48"/>
    </row>
    <row r="1559" spans="1:56" ht="14" hidden="1" customHeight="1" thickTop="1" thickBot="1" x14ac:dyDescent="0.35">
      <c r="A1559" s="313"/>
      <c r="B1559" s="331" t="s">
        <v>779</v>
      </c>
      <c r="C1559" s="330"/>
      <c r="D1559" s="332" t="str">
        <f>AS1559</f>
        <v>AWARENESS OF ISSUE</v>
      </c>
      <c r="E1559" s="315"/>
      <c r="F1559" s="1"/>
      <c r="AM1559" s="333"/>
      <c r="AN1559" s="333"/>
      <c r="AO1559" s="333"/>
      <c r="AP1559" s="333"/>
      <c r="AS1559" s="48" t="str">
        <f>AS1549</f>
        <v>AWARENESS OF ISSUE</v>
      </c>
      <c r="BB1559" s="48"/>
    </row>
    <row r="1560" spans="1:56" ht="14" hidden="1" customHeight="1" thickTop="1" thickBot="1" x14ac:dyDescent="0.35">
      <c r="A1560" s="313"/>
      <c r="B1560" s="325" t="s">
        <v>783</v>
      </c>
      <c r="C1560" s="334" t="s">
        <v>784</v>
      </c>
      <c r="D1560" s="334" t="s">
        <v>785</v>
      </c>
      <c r="E1560" s="315"/>
      <c r="F1560" s="1"/>
      <c r="BB1560" s="48"/>
    </row>
    <row r="1561" spans="1:56" ht="14" hidden="1" customHeight="1" thickTop="1" thickBot="1" x14ac:dyDescent="0.35">
      <c r="A1561" s="313"/>
      <c r="B1561" s="314" t="s">
        <v>788</v>
      </c>
      <c r="C1561" s="335" t="str">
        <f>AM1561</f>
        <v>YYYY-MM-DD</v>
      </c>
      <c r="D1561" s="335" t="str">
        <f>AM1561</f>
        <v>YYYY-MM-DD</v>
      </c>
      <c r="E1561" s="315"/>
      <c r="F1561" s="1"/>
      <c r="AH1561" s="918" t="str">
        <f>IF(NOT(D1561=AQ1561),D1561,"")</f>
        <v>YYYY-MM-DD</v>
      </c>
      <c r="AI1561" s="918"/>
      <c r="AM1561" s="328" t="s">
        <v>789</v>
      </c>
      <c r="AQ1561" s="328"/>
      <c r="BB1561" s="48"/>
    </row>
    <row r="1562" spans="1:56" ht="14" hidden="1" customHeight="1" thickTop="1" thickBot="1" x14ac:dyDescent="0.35">
      <c r="A1562" s="313"/>
      <c r="B1562" s="314" t="s">
        <v>794</v>
      </c>
      <c r="C1562" s="337"/>
      <c r="D1562" s="338" t="str">
        <f>AC1562</f>
        <v/>
      </c>
      <c r="E1562" s="315"/>
      <c r="F1562" s="1"/>
      <c r="AC1562" s="50" t="str">
        <f>IF(AND(AC$1352&gt;0,C1562=BN$1357),BM$1357,IF(AND(AC$1352&gt;0,C1562=BN$1358),BM$1358,IF(AND(AC$1352&gt;0,C1562=BN$1359),BM$1359,IF(AND(AC$1352&gt;0,C1562=BN$1360),BM$1360,IF(AND(AC$1352&gt;0,C1562=BN$1361),BM$1361,"")))))</f>
        <v/>
      </c>
      <c r="AI1562" s="1084" t="e">
        <f>AV1563/AL$1353</f>
        <v>#REF!</v>
      </c>
      <c r="AJ1562" s="1084"/>
      <c r="AK1562" s="48" t="s">
        <v>795</v>
      </c>
      <c r="AO1562" s="9" t="e">
        <f>IF(AI1562=0,"none",(AI1562*100))</f>
        <v>#REF!</v>
      </c>
      <c r="AP1562" s="48" t="e">
        <f>IF(AO1562="none"," of weekly support cost.","% of weekly support cost.")</f>
        <v>#REF!</v>
      </c>
      <c r="BB1562" s="48"/>
    </row>
    <row r="1563" spans="1:56" ht="14" hidden="1" customHeight="1" thickTop="1" thickBot="1" x14ac:dyDescent="0.35">
      <c r="A1563" s="313"/>
      <c r="B1563" s="314" t="s">
        <v>797</v>
      </c>
      <c r="C1563" s="339"/>
      <c r="D1563" s="314" t="e">
        <f>IF(NOT(AV1563&gt;0),"",AC1563)</f>
        <v>#REF!</v>
      </c>
      <c r="E1563" s="315"/>
      <c r="F1563" s="1"/>
      <c r="AC1563" s="246" t="e">
        <f>CONCATENATE(AO1563,AT1563)</f>
        <v>#REF!</v>
      </c>
      <c r="AO1563" s="48" t="s">
        <v>798</v>
      </c>
      <c r="AT1563" s="246" t="e">
        <f>DOLLAR(AV1563)</f>
        <v>#REF!</v>
      </c>
      <c r="AV1563" s="315" t="e">
        <f>IF(AND(D1562=BM$1361,C1563=#REF!),#REF!,IF(AND(D1562=BM$1361,C1563=#REF!),#REF!,IF(AND(D1562=BM$1361,C1563=#REF!),#REF!,IF(AND(D1562=BM$1361,C1563=#REF!),#REF!,IF(AND(D1562=BM$1361,C1563=#REF!),#REF!,IF(AND(D1562=BM$1361,C1563=#REF!),#REF!,0))))))</f>
        <v>#REF!</v>
      </c>
      <c r="AX1563" s="9" t="e">
        <f>DOLLAR(AZ1563)</f>
        <v>#REF!</v>
      </c>
      <c r="AZ1563" s="340" t="e">
        <f>$AJ$1353-AV1563</f>
        <v>#REF!</v>
      </c>
      <c r="BB1563" s="48"/>
      <c r="BD1563" s="302" t="e">
        <f>AV1563</f>
        <v>#REF!</v>
      </c>
    </row>
    <row r="1564" spans="1:56" ht="14" hidden="1" customHeight="1" thickTop="1" x14ac:dyDescent="0.3">
      <c r="A1564" s="313"/>
      <c r="B1564" s="314"/>
      <c r="C1564" s="314" t="e">
        <f>CONCATENATE(AK1562,AO1562,AP1562)</f>
        <v>#REF!</v>
      </c>
      <c r="D1564" s="314" t="e">
        <f>BF$1356</f>
        <v>#REF!</v>
      </c>
      <c r="E1564" s="315"/>
      <c r="F1564" s="1"/>
      <c r="AC1564" s="48" t="s">
        <v>800</v>
      </c>
      <c r="AI1564" s="142">
        <f>MIN(D1562,AE1558)</f>
        <v>0</v>
      </c>
      <c r="AJ1564" s="48">
        <f>ROUND(AI1564,2)</f>
        <v>0</v>
      </c>
      <c r="AK1564" s="48" t="str">
        <f>CONCATENATE(AC1564,AJ1564)</f>
        <v>contribution per exchange: $0</v>
      </c>
    </row>
    <row r="1565" spans="1:56" ht="14" hidden="1" customHeight="1" x14ac:dyDescent="0.3">
      <c r="A1565" s="313"/>
      <c r="B1565" s="314"/>
      <c r="C1565" s="314"/>
      <c r="D1565" s="314"/>
      <c r="E1565" s="315"/>
      <c r="F1565" s="1"/>
    </row>
    <row r="1566" spans="1:56" ht="5" hidden="1" customHeight="1" thickBot="1" x14ac:dyDescent="0.35">
      <c r="A1566" s="315"/>
      <c r="B1566" s="317"/>
      <c r="C1566" s="318"/>
      <c r="D1566" s="315"/>
      <c r="E1566" s="315"/>
      <c r="F1566" s="1"/>
      <c r="AC1566" s="312"/>
      <c r="AJ1566" s="402"/>
      <c r="BB1566" s="48"/>
    </row>
    <row r="1567" spans="1:56" ht="16" hidden="1" thickTop="1" thickBot="1" x14ac:dyDescent="0.35">
      <c r="A1567" s="324">
        <f>IF(C1567="",0,1+A1557)</f>
        <v>22</v>
      </c>
      <c r="B1567" s="325" t="s">
        <v>824</v>
      </c>
      <c r="C1567" s="326" t="str">
        <f>AM1567</f>
        <v>FIRST NAME</v>
      </c>
      <c r="D1567" s="327" t="str">
        <f>AQ1567</f>
        <v>LAST NAME</v>
      </c>
      <c r="E1567" s="315"/>
      <c r="F1567" s="1"/>
      <c r="AC1567" s="311" t="str">
        <f>IF(NOT(C1567=AM1567),C1567,"")</f>
        <v/>
      </c>
      <c r="AH1567" s="311" t="str">
        <f>IF(NOT(D1567=AQ1567),D1567,"")</f>
        <v/>
      </c>
      <c r="AM1567" s="328" t="s">
        <v>773</v>
      </c>
      <c r="AQ1567" s="328" t="s">
        <v>100</v>
      </c>
      <c r="BB1567" s="48"/>
    </row>
    <row r="1568" spans="1:56" ht="15" hidden="1" thickTop="1" thickBot="1" x14ac:dyDescent="0.35">
      <c r="A1568" s="313"/>
      <c r="B1568" s="315" t="s">
        <v>776</v>
      </c>
      <c r="C1568" s="330"/>
      <c r="D1568" s="4"/>
      <c r="E1568" s="315"/>
      <c r="F1568" s="1"/>
      <c r="AC1568" s="48">
        <f>IF(C1568="",0,1)</f>
        <v>0</v>
      </c>
      <c r="AE1568" s="48">
        <f>IF($AC$1358=1,AC$1353,0)</f>
        <v>0</v>
      </c>
      <c r="BB1568" s="48"/>
    </row>
    <row r="1569" spans="1:56" ht="14" hidden="1" customHeight="1" thickTop="1" thickBot="1" x14ac:dyDescent="0.35">
      <c r="A1569" s="313"/>
      <c r="B1569" s="331" t="s">
        <v>779</v>
      </c>
      <c r="C1569" s="330"/>
      <c r="D1569" s="332" t="str">
        <f>AS1569</f>
        <v>AWARENESS OF ISSUE</v>
      </c>
      <c r="E1569" s="315"/>
      <c r="F1569" s="1"/>
      <c r="AM1569" s="333"/>
      <c r="AN1569" s="333"/>
      <c r="AO1569" s="333"/>
      <c r="AP1569" s="333"/>
      <c r="AS1569" s="48" t="str">
        <f>AS1559</f>
        <v>AWARENESS OF ISSUE</v>
      </c>
      <c r="BB1569" s="48"/>
    </row>
    <row r="1570" spans="1:56" ht="14" hidden="1" customHeight="1" thickTop="1" thickBot="1" x14ac:dyDescent="0.35">
      <c r="A1570" s="313"/>
      <c r="B1570" s="325" t="s">
        <v>783</v>
      </c>
      <c r="C1570" s="334" t="s">
        <v>784</v>
      </c>
      <c r="D1570" s="334" t="s">
        <v>785</v>
      </c>
      <c r="E1570" s="315"/>
      <c r="F1570" s="1"/>
      <c r="BB1570" s="48"/>
    </row>
    <row r="1571" spans="1:56" ht="14" hidden="1" customHeight="1" thickTop="1" thickBot="1" x14ac:dyDescent="0.35">
      <c r="A1571" s="313"/>
      <c r="B1571" s="314" t="s">
        <v>788</v>
      </c>
      <c r="C1571" s="335" t="str">
        <f>AM1571</f>
        <v>YYYY-MM-DD</v>
      </c>
      <c r="D1571" s="335" t="str">
        <f>AM1571</f>
        <v>YYYY-MM-DD</v>
      </c>
      <c r="E1571" s="315"/>
      <c r="F1571" s="1"/>
      <c r="AH1571" s="918" t="str">
        <f>IF(NOT(D1571=AQ1571),D1571,"")</f>
        <v>YYYY-MM-DD</v>
      </c>
      <c r="AI1571" s="918"/>
      <c r="AM1571" s="328" t="s">
        <v>789</v>
      </c>
      <c r="AQ1571" s="328"/>
      <c r="BB1571" s="48"/>
    </row>
    <row r="1572" spans="1:56" ht="14" hidden="1" customHeight="1" thickTop="1" thickBot="1" x14ac:dyDescent="0.35">
      <c r="A1572" s="313"/>
      <c r="B1572" s="314" t="s">
        <v>794</v>
      </c>
      <c r="C1572" s="337"/>
      <c r="D1572" s="338" t="str">
        <f>AC1572</f>
        <v/>
      </c>
      <c r="E1572" s="315"/>
      <c r="F1572" s="1"/>
      <c r="AC1572" s="50" t="str">
        <f>IF(AND(AC$1352&gt;0,C1572=BN$1357),BM$1357,IF(AND(AC$1352&gt;0,C1572=BN$1358),BM$1358,IF(AND(AC$1352&gt;0,C1572=BN$1359),BM$1359,IF(AND(AC$1352&gt;0,C1572=BN$1360),BM$1360,IF(AND(AC$1352&gt;0,C1572=BN$1361),BM$1361,"")))))</f>
        <v/>
      </c>
      <c r="AI1572" s="1084" t="e">
        <f>AV1573/AL$1353</f>
        <v>#REF!</v>
      </c>
      <c r="AJ1572" s="1084"/>
      <c r="AK1572" s="48" t="s">
        <v>795</v>
      </c>
      <c r="AO1572" s="9" t="e">
        <f>IF(AI1572=0,"none",(AI1572*100))</f>
        <v>#REF!</v>
      </c>
      <c r="AP1572" s="48" t="e">
        <f>IF(AO1572="none"," of weekly support cost.","% of weekly support cost.")</f>
        <v>#REF!</v>
      </c>
      <c r="BB1572" s="48"/>
    </row>
    <row r="1573" spans="1:56" ht="14" hidden="1" customHeight="1" thickTop="1" thickBot="1" x14ac:dyDescent="0.35">
      <c r="A1573" s="313"/>
      <c r="B1573" s="314" t="s">
        <v>797</v>
      </c>
      <c r="C1573" s="339"/>
      <c r="D1573" s="314" t="e">
        <f>IF(NOT(AV1573&gt;0),"",AC1573)</f>
        <v>#REF!</v>
      </c>
      <c r="E1573" s="315"/>
      <c r="F1573" s="1"/>
      <c r="AC1573" s="246" t="e">
        <f>CONCATENATE(AO1573,AT1573)</f>
        <v>#REF!</v>
      </c>
      <c r="AO1573" s="48" t="s">
        <v>798</v>
      </c>
      <c r="AT1573" s="246" t="e">
        <f>DOLLAR(AV1573)</f>
        <v>#REF!</v>
      </c>
      <c r="AV1573" s="315" t="e">
        <f>IF(AND(D1572=BM$1361,C1573=#REF!),#REF!,IF(AND(D1572=BM$1361,C1573=#REF!),#REF!,IF(AND(D1572=BM$1361,C1573=#REF!),#REF!,IF(AND(D1572=BM$1361,C1573=#REF!),#REF!,IF(AND(D1572=BM$1361,C1573=#REF!),#REF!,IF(AND(D1572=BM$1361,C1573=#REF!),#REF!,0))))))</f>
        <v>#REF!</v>
      </c>
      <c r="AX1573" s="9" t="e">
        <f>DOLLAR(AZ1573)</f>
        <v>#REF!</v>
      </c>
      <c r="AZ1573" s="340" t="e">
        <f>$AJ$1353-AV1573</f>
        <v>#REF!</v>
      </c>
      <c r="BB1573" s="48"/>
      <c r="BD1573" s="302" t="e">
        <f>AV1573</f>
        <v>#REF!</v>
      </c>
    </row>
    <row r="1574" spans="1:56" ht="14" hidden="1" customHeight="1" thickTop="1" x14ac:dyDescent="0.3">
      <c r="A1574" s="313"/>
      <c r="B1574" s="314"/>
      <c r="C1574" s="314" t="e">
        <f>CONCATENATE(AK1572,AO1572,AP1572)</f>
        <v>#REF!</v>
      </c>
      <c r="D1574" s="314" t="e">
        <f>BF$1356</f>
        <v>#REF!</v>
      </c>
      <c r="E1574" s="315"/>
      <c r="F1574" s="1"/>
      <c r="AC1574" s="48" t="s">
        <v>800</v>
      </c>
      <c r="AI1574" s="142">
        <f>MIN(D1572,AE1568)</f>
        <v>0</v>
      </c>
      <c r="AJ1574" s="48">
        <f>ROUND(AI1574,2)</f>
        <v>0</v>
      </c>
      <c r="AK1574" s="48" t="str">
        <f>CONCATENATE(AC1574,AJ1574)</f>
        <v>contribution per exchange: $0</v>
      </c>
    </row>
    <row r="1575" spans="1:56" ht="14" hidden="1" customHeight="1" x14ac:dyDescent="0.3">
      <c r="A1575" s="313"/>
      <c r="B1575" s="314"/>
      <c r="C1575" s="314"/>
      <c r="D1575" s="314"/>
      <c r="E1575" s="315"/>
      <c r="F1575" s="1"/>
    </row>
    <row r="1576" spans="1:56" ht="5" hidden="1" customHeight="1" thickBot="1" x14ac:dyDescent="0.35">
      <c r="A1576" s="315"/>
      <c r="B1576" s="317"/>
      <c r="C1576" s="318"/>
      <c r="D1576" s="315"/>
      <c r="E1576" s="315"/>
      <c r="F1576" s="1"/>
      <c r="AC1576" s="312"/>
      <c r="AJ1576" s="402"/>
      <c r="BB1576" s="48"/>
    </row>
    <row r="1577" spans="1:56" ht="16" hidden="1" thickTop="1" thickBot="1" x14ac:dyDescent="0.35">
      <c r="A1577" s="324">
        <f>IF(C1577="",0,1+A1567)</f>
        <v>23</v>
      </c>
      <c r="B1577" s="325" t="s">
        <v>825</v>
      </c>
      <c r="C1577" s="326" t="str">
        <f>AM1577</f>
        <v>FIRST NAME</v>
      </c>
      <c r="D1577" s="327" t="str">
        <f>AQ1577</f>
        <v>LAST NAME</v>
      </c>
      <c r="E1577" s="315"/>
      <c r="F1577" s="1"/>
      <c r="AC1577" s="311" t="str">
        <f>IF(NOT(C1577=AM1577),C1577,"")</f>
        <v/>
      </c>
      <c r="AH1577" s="311" t="str">
        <f>IF(NOT(D1577=AQ1577),D1577,"")</f>
        <v/>
      </c>
      <c r="AM1577" s="328" t="s">
        <v>773</v>
      </c>
      <c r="AQ1577" s="328" t="s">
        <v>100</v>
      </c>
      <c r="BB1577" s="48"/>
    </row>
    <row r="1578" spans="1:56" ht="15" hidden="1" thickTop="1" thickBot="1" x14ac:dyDescent="0.35">
      <c r="A1578" s="313"/>
      <c r="B1578" s="315" t="s">
        <v>776</v>
      </c>
      <c r="C1578" s="330"/>
      <c r="D1578" s="4"/>
      <c r="E1578" s="315"/>
      <c r="F1578" s="1"/>
      <c r="AC1578" s="48">
        <f>IF(C1578="",0,1)</f>
        <v>0</v>
      </c>
      <c r="AE1578" s="48">
        <f>IF($AC$1358=1,AC$1353,0)</f>
        <v>0</v>
      </c>
      <c r="BB1578" s="48"/>
    </row>
    <row r="1579" spans="1:56" ht="14" hidden="1" customHeight="1" thickTop="1" thickBot="1" x14ac:dyDescent="0.35">
      <c r="A1579" s="313"/>
      <c r="B1579" s="331" t="s">
        <v>779</v>
      </c>
      <c r="C1579" s="330"/>
      <c r="D1579" s="332" t="str">
        <f>AS1579</f>
        <v>AWARENESS OF ISSUE</v>
      </c>
      <c r="E1579" s="315"/>
      <c r="F1579" s="1"/>
      <c r="AM1579" s="333"/>
      <c r="AN1579" s="333"/>
      <c r="AO1579" s="333"/>
      <c r="AP1579" s="333"/>
      <c r="AS1579" s="48" t="str">
        <f>AS1569</f>
        <v>AWARENESS OF ISSUE</v>
      </c>
      <c r="BB1579" s="48"/>
    </row>
    <row r="1580" spans="1:56" ht="14" hidden="1" customHeight="1" thickTop="1" thickBot="1" x14ac:dyDescent="0.35">
      <c r="A1580" s="313"/>
      <c r="B1580" s="325" t="s">
        <v>783</v>
      </c>
      <c r="C1580" s="334" t="s">
        <v>784</v>
      </c>
      <c r="D1580" s="334" t="s">
        <v>785</v>
      </c>
      <c r="E1580" s="315"/>
      <c r="F1580" s="1"/>
      <c r="BB1580" s="48"/>
    </row>
    <row r="1581" spans="1:56" ht="14" hidden="1" customHeight="1" thickTop="1" thickBot="1" x14ac:dyDescent="0.35">
      <c r="A1581" s="313"/>
      <c r="B1581" s="314" t="s">
        <v>788</v>
      </c>
      <c r="C1581" s="335" t="str">
        <f>AM1581</f>
        <v>YYYY-MM-DD</v>
      </c>
      <c r="D1581" s="335" t="str">
        <f>AM1581</f>
        <v>YYYY-MM-DD</v>
      </c>
      <c r="E1581" s="315"/>
      <c r="F1581" s="1"/>
      <c r="AH1581" s="918" t="str">
        <f>IF(NOT(D1581=AQ1581),D1581,"")</f>
        <v>YYYY-MM-DD</v>
      </c>
      <c r="AI1581" s="918"/>
      <c r="AM1581" s="328" t="s">
        <v>789</v>
      </c>
      <c r="AQ1581" s="328"/>
      <c r="BB1581" s="48"/>
    </row>
    <row r="1582" spans="1:56" ht="14" hidden="1" customHeight="1" thickTop="1" thickBot="1" x14ac:dyDescent="0.35">
      <c r="A1582" s="313"/>
      <c r="B1582" s="314" t="s">
        <v>794</v>
      </c>
      <c r="C1582" s="337"/>
      <c r="D1582" s="338" t="str">
        <f>AC1582</f>
        <v/>
      </c>
      <c r="E1582" s="315"/>
      <c r="F1582" s="1"/>
      <c r="AC1582" s="50" t="str">
        <f>IF(AND(AC$1352&gt;0,C1582=BN$1357),BM$1357,IF(AND(AC$1352&gt;0,C1582=BN$1358),BM$1358,IF(AND(AC$1352&gt;0,C1582=BN$1359),BM$1359,IF(AND(AC$1352&gt;0,C1582=BN$1360),BM$1360,IF(AND(AC$1352&gt;0,C1582=BN$1361),BM$1361,"")))))</f>
        <v/>
      </c>
      <c r="AI1582" s="1084" t="e">
        <f>AV1583/AL$1353</f>
        <v>#REF!</v>
      </c>
      <c r="AJ1582" s="1084"/>
      <c r="AK1582" s="48" t="s">
        <v>795</v>
      </c>
      <c r="AO1582" s="9" t="e">
        <f>IF(AI1582=0,"none",(AI1582*100))</f>
        <v>#REF!</v>
      </c>
      <c r="AP1582" s="48" t="e">
        <f>IF(AO1582="none"," of weekly support cost.","% of weekly support cost.")</f>
        <v>#REF!</v>
      </c>
      <c r="BB1582" s="48"/>
    </row>
    <row r="1583" spans="1:56" ht="14" hidden="1" customHeight="1" thickTop="1" thickBot="1" x14ac:dyDescent="0.35">
      <c r="A1583" s="313"/>
      <c r="B1583" s="314" t="s">
        <v>797</v>
      </c>
      <c r="C1583" s="339"/>
      <c r="D1583" s="314" t="e">
        <f>IF(NOT(AV1583&gt;0),"",AC1583)</f>
        <v>#REF!</v>
      </c>
      <c r="E1583" s="315"/>
      <c r="F1583" s="1"/>
      <c r="AC1583" s="246" t="e">
        <f>CONCATENATE(AO1583,AT1583)</f>
        <v>#REF!</v>
      </c>
      <c r="AO1583" s="48" t="s">
        <v>798</v>
      </c>
      <c r="AT1583" s="246" t="e">
        <f>DOLLAR(AV1583)</f>
        <v>#REF!</v>
      </c>
      <c r="AV1583" s="315" t="e">
        <f>IF(AND(D1582=BM$1361,C1583=#REF!),#REF!,IF(AND(D1582=BM$1361,C1583=#REF!),#REF!,IF(AND(D1582=BM$1361,C1583=#REF!),#REF!,IF(AND(D1582=BM$1361,C1583=#REF!),#REF!,IF(AND(D1582=BM$1361,C1583=#REF!),#REF!,IF(AND(D1582=BM$1361,C1583=#REF!),#REF!,0))))))</f>
        <v>#REF!</v>
      </c>
      <c r="AX1583" s="9" t="e">
        <f>DOLLAR(AZ1583)</f>
        <v>#REF!</v>
      </c>
      <c r="AZ1583" s="340" t="e">
        <f>$AJ$1353-AV1583</f>
        <v>#REF!</v>
      </c>
      <c r="BB1583" s="48"/>
      <c r="BD1583" s="302" t="e">
        <f>AV1583</f>
        <v>#REF!</v>
      </c>
    </row>
    <row r="1584" spans="1:56" ht="14" hidden="1" customHeight="1" thickTop="1" x14ac:dyDescent="0.3">
      <c r="A1584" s="313"/>
      <c r="B1584" s="314"/>
      <c r="C1584" s="314" t="e">
        <f>CONCATENATE(AK1582,AO1582,AP1582)</f>
        <v>#REF!</v>
      </c>
      <c r="D1584" s="314" t="e">
        <f>BF$1356</f>
        <v>#REF!</v>
      </c>
      <c r="E1584" s="315"/>
      <c r="F1584" s="1"/>
      <c r="AC1584" s="48" t="s">
        <v>800</v>
      </c>
      <c r="AI1584" s="142">
        <f>MIN(D1582,AE1578)</f>
        <v>0</v>
      </c>
      <c r="AJ1584" s="48">
        <f>ROUND(AI1584,2)</f>
        <v>0</v>
      </c>
      <c r="AK1584" s="48" t="str">
        <f>CONCATENATE(AC1584,AJ1584)</f>
        <v>contribution per exchange: $0</v>
      </c>
    </row>
    <row r="1585" spans="1:56" ht="14" hidden="1" customHeight="1" x14ac:dyDescent="0.3">
      <c r="A1585" s="313"/>
      <c r="B1585" s="314"/>
      <c r="C1585" s="314"/>
      <c r="D1585" s="314"/>
      <c r="E1585" s="315"/>
      <c r="F1585" s="1"/>
    </row>
    <row r="1586" spans="1:56" ht="5" hidden="1" customHeight="1" thickBot="1" x14ac:dyDescent="0.35">
      <c r="A1586" s="315"/>
      <c r="B1586" s="317"/>
      <c r="C1586" s="318"/>
      <c r="D1586" s="315"/>
      <c r="E1586" s="315"/>
      <c r="F1586" s="1"/>
      <c r="AC1586" s="312"/>
      <c r="AJ1586" s="402"/>
      <c r="BB1586" s="48"/>
    </row>
    <row r="1587" spans="1:56" ht="16" hidden="1" thickTop="1" thickBot="1" x14ac:dyDescent="0.35">
      <c r="A1587" s="324">
        <f>IF(C1587="",0,1+A1577)</f>
        <v>24</v>
      </c>
      <c r="B1587" s="325" t="s">
        <v>826</v>
      </c>
      <c r="C1587" s="326" t="str">
        <f>AM1587</f>
        <v>FIRST NAME</v>
      </c>
      <c r="D1587" s="327" t="str">
        <f>AQ1587</f>
        <v>LAST NAME</v>
      </c>
      <c r="E1587" s="315"/>
      <c r="F1587" s="1"/>
      <c r="AC1587" s="311" t="str">
        <f>IF(NOT(C1587=AM1587),C1587,"")</f>
        <v/>
      </c>
      <c r="AH1587" s="311" t="str">
        <f>IF(NOT(D1587=AQ1587),D1587,"")</f>
        <v/>
      </c>
      <c r="AM1587" s="328" t="s">
        <v>773</v>
      </c>
      <c r="AQ1587" s="328" t="s">
        <v>100</v>
      </c>
      <c r="BB1587" s="48"/>
    </row>
    <row r="1588" spans="1:56" ht="15" hidden="1" thickTop="1" thickBot="1" x14ac:dyDescent="0.35">
      <c r="A1588" s="313"/>
      <c r="B1588" s="315" t="s">
        <v>776</v>
      </c>
      <c r="C1588" s="330"/>
      <c r="D1588" s="4"/>
      <c r="E1588" s="315"/>
      <c r="F1588" s="1"/>
      <c r="AC1588" s="48">
        <f>IF(C1588="",0,1)</f>
        <v>0</v>
      </c>
      <c r="AE1588" s="48">
        <f>IF($AC$1358=1,AC$1353,0)</f>
        <v>0</v>
      </c>
      <c r="BB1588" s="48"/>
    </row>
    <row r="1589" spans="1:56" ht="14" hidden="1" customHeight="1" thickTop="1" thickBot="1" x14ac:dyDescent="0.35">
      <c r="A1589" s="313"/>
      <c r="B1589" s="331" t="s">
        <v>779</v>
      </c>
      <c r="C1589" s="330"/>
      <c r="D1589" s="332" t="str">
        <f>AS1589</f>
        <v>AWARENESS OF ISSUE</v>
      </c>
      <c r="E1589" s="315"/>
      <c r="F1589" s="1"/>
      <c r="AM1589" s="333"/>
      <c r="AN1589" s="333"/>
      <c r="AO1589" s="333"/>
      <c r="AP1589" s="333"/>
      <c r="AS1589" s="48" t="str">
        <f>AS1579</f>
        <v>AWARENESS OF ISSUE</v>
      </c>
      <c r="BB1589" s="48"/>
    </row>
    <row r="1590" spans="1:56" ht="14" hidden="1" customHeight="1" thickTop="1" thickBot="1" x14ac:dyDescent="0.35">
      <c r="A1590" s="313"/>
      <c r="B1590" s="325" t="s">
        <v>783</v>
      </c>
      <c r="C1590" s="334" t="s">
        <v>784</v>
      </c>
      <c r="D1590" s="334" t="s">
        <v>785</v>
      </c>
      <c r="E1590" s="315"/>
      <c r="F1590" s="1"/>
      <c r="BB1590" s="48"/>
    </row>
    <row r="1591" spans="1:56" ht="14" hidden="1" customHeight="1" thickTop="1" thickBot="1" x14ac:dyDescent="0.35">
      <c r="A1591" s="313"/>
      <c r="B1591" s="314" t="s">
        <v>788</v>
      </c>
      <c r="C1591" s="335" t="str">
        <f>AM1591</f>
        <v>YYYY-MM-DD</v>
      </c>
      <c r="D1591" s="335" t="str">
        <f>AM1591</f>
        <v>YYYY-MM-DD</v>
      </c>
      <c r="E1591" s="315"/>
      <c r="F1591" s="1"/>
      <c r="AH1591" s="918" t="str">
        <f>IF(NOT(D1591=AQ1591),D1591,"")</f>
        <v>YYYY-MM-DD</v>
      </c>
      <c r="AI1591" s="918"/>
      <c r="AM1591" s="328" t="s">
        <v>789</v>
      </c>
      <c r="AQ1591" s="328"/>
      <c r="BB1591" s="48"/>
    </row>
    <row r="1592" spans="1:56" ht="14" hidden="1" customHeight="1" thickTop="1" thickBot="1" x14ac:dyDescent="0.35">
      <c r="A1592" s="313"/>
      <c r="B1592" s="314" t="s">
        <v>794</v>
      </c>
      <c r="C1592" s="337"/>
      <c r="D1592" s="338" t="str">
        <f>AC1592</f>
        <v/>
      </c>
      <c r="E1592" s="315"/>
      <c r="F1592" s="1"/>
      <c r="AC1592" s="50" t="str">
        <f>IF(AND(AC$1352&gt;0,C1592=BN$1357),BM$1357,IF(AND(AC$1352&gt;0,C1592=BN$1358),BM$1358,IF(AND(AC$1352&gt;0,C1592=BN$1359),BM$1359,IF(AND(AC$1352&gt;0,C1592=BN$1360),BM$1360,IF(AND(AC$1352&gt;0,C1592=BN$1361),BM$1361,"")))))</f>
        <v/>
      </c>
      <c r="AI1592" s="1084" t="e">
        <f>AV1593/AL$1353</f>
        <v>#REF!</v>
      </c>
      <c r="AJ1592" s="1084"/>
      <c r="AK1592" s="48" t="s">
        <v>795</v>
      </c>
      <c r="AO1592" s="9" t="e">
        <f>IF(AI1592=0,"none",(AI1592*100))</f>
        <v>#REF!</v>
      </c>
      <c r="AP1592" s="48" t="e">
        <f>IF(AO1592="none"," of weekly support cost.","% of weekly support cost.")</f>
        <v>#REF!</v>
      </c>
      <c r="BB1592" s="48"/>
    </row>
    <row r="1593" spans="1:56" ht="14" hidden="1" customHeight="1" thickTop="1" thickBot="1" x14ac:dyDescent="0.35">
      <c r="A1593" s="313"/>
      <c r="B1593" s="314" t="s">
        <v>797</v>
      </c>
      <c r="C1593" s="339"/>
      <c r="D1593" s="314" t="e">
        <f>IF(NOT(AV1593&gt;0),"",AC1593)</f>
        <v>#REF!</v>
      </c>
      <c r="E1593" s="315"/>
      <c r="F1593" s="1"/>
      <c r="AC1593" s="246" t="e">
        <f>CONCATENATE(AO1593,AT1593)</f>
        <v>#REF!</v>
      </c>
      <c r="AO1593" s="48" t="s">
        <v>798</v>
      </c>
      <c r="AT1593" s="246" t="e">
        <f>DOLLAR(AV1593)</f>
        <v>#REF!</v>
      </c>
      <c r="AV1593" s="315" t="e">
        <f>IF(AND(D1592=BM$1361,C1593=#REF!),#REF!,IF(AND(D1592=BM$1361,C1593=#REF!),#REF!,IF(AND(D1592=BM$1361,C1593=#REF!),#REF!,IF(AND(D1592=BM$1361,C1593=#REF!),#REF!,IF(AND(D1592=BM$1361,C1593=#REF!),#REF!,IF(AND(D1592=BM$1361,C1593=#REF!),#REF!,0))))))</f>
        <v>#REF!</v>
      </c>
      <c r="AX1593" s="9" t="e">
        <f>DOLLAR(AZ1593)</f>
        <v>#REF!</v>
      </c>
      <c r="AZ1593" s="340" t="e">
        <f>$AJ$1353-AV1593</f>
        <v>#REF!</v>
      </c>
      <c r="BB1593" s="48"/>
      <c r="BD1593" s="302" t="e">
        <f>AV1593</f>
        <v>#REF!</v>
      </c>
    </row>
    <row r="1594" spans="1:56" ht="14" hidden="1" customHeight="1" thickTop="1" x14ac:dyDescent="0.3">
      <c r="A1594" s="313"/>
      <c r="B1594" s="314"/>
      <c r="C1594" s="314" t="e">
        <f>CONCATENATE(AK1592,AO1592,AP1592)</f>
        <v>#REF!</v>
      </c>
      <c r="D1594" s="314" t="e">
        <f>BF$1356</f>
        <v>#REF!</v>
      </c>
      <c r="E1594" s="315"/>
      <c r="F1594" s="1"/>
      <c r="AC1594" s="48" t="s">
        <v>800</v>
      </c>
      <c r="AI1594" s="142">
        <f>MIN(D1592,AE1588)</f>
        <v>0</v>
      </c>
      <c r="AJ1594" s="48">
        <f>ROUND(AI1594,2)</f>
        <v>0</v>
      </c>
      <c r="AK1594" s="48" t="str">
        <f>CONCATENATE(AC1594,AJ1594)</f>
        <v>contribution per exchange: $0</v>
      </c>
    </row>
    <row r="1595" spans="1:56" ht="14" hidden="1" customHeight="1" x14ac:dyDescent="0.3">
      <c r="A1595" s="313"/>
      <c r="B1595" s="314"/>
      <c r="C1595" s="314"/>
      <c r="D1595" s="314"/>
      <c r="E1595" s="315"/>
      <c r="F1595" s="1"/>
    </row>
    <row r="1596" spans="1:56" ht="5" hidden="1" customHeight="1" x14ac:dyDescent="0.3">
      <c r="A1596" s="315"/>
      <c r="B1596" s="317"/>
      <c r="C1596" s="318"/>
      <c r="D1596" s="315"/>
      <c r="E1596" s="315"/>
      <c r="F1596" s="1"/>
      <c r="BB1596" s="48"/>
    </row>
    <row r="1597" spans="1:56" ht="30" hidden="1" customHeight="1" x14ac:dyDescent="0.3">
      <c r="A1597" s="317"/>
      <c r="B1597" s="317"/>
      <c r="C1597" s="318"/>
      <c r="D1597" s="315"/>
      <c r="E1597" s="315"/>
      <c r="F1597" s="315"/>
      <c r="BB1597" s="48"/>
    </row>
    <row r="1598" spans="1:56" ht="45" hidden="1" customHeight="1" x14ac:dyDescent="0.3">
      <c r="A1598" s="317"/>
      <c r="B1598" s="316"/>
      <c r="C1598" s="1126"/>
      <c r="D1598" s="1126"/>
      <c r="E1598" s="315"/>
      <c r="F1598" s="315"/>
      <c r="BB1598" s="48"/>
    </row>
    <row r="1599" spans="1:56" ht="18" hidden="1" customHeight="1" x14ac:dyDescent="0.3">
      <c r="A1599" s="317"/>
      <c r="B1599" s="317"/>
      <c r="C1599" s="318"/>
      <c r="D1599" s="315"/>
      <c r="E1599" s="315"/>
      <c r="F1599" s="315"/>
      <c r="BB1599" s="48"/>
    </row>
    <row r="1600" spans="1:56" ht="18" hidden="1" customHeight="1" x14ac:dyDescent="0.3">
      <c r="A1600" s="317"/>
      <c r="B1600" s="317"/>
      <c r="C1600" s="318"/>
      <c r="D1600" s="315"/>
      <c r="E1600" s="315"/>
      <c r="F1600" s="315"/>
      <c r="BB1600" s="48"/>
    </row>
    <row r="1601" spans="1:54" ht="18" hidden="1" customHeight="1" x14ac:dyDescent="0.3">
      <c r="A1601" s="317"/>
      <c r="B1601" s="317"/>
      <c r="C1601" s="318"/>
      <c r="D1601" s="315"/>
      <c r="E1601" s="315"/>
      <c r="F1601" s="315"/>
      <c r="BB1601" s="48"/>
    </row>
    <row r="1602" spans="1:54" ht="18" hidden="1" customHeight="1" x14ac:dyDescent="0.3">
      <c r="A1602" s="317"/>
      <c r="B1602" s="317"/>
      <c r="C1602" s="318"/>
      <c r="D1602" s="315"/>
      <c r="E1602" s="315"/>
      <c r="F1602" s="315"/>
      <c r="BB1602" s="48"/>
    </row>
    <row r="1603" spans="1:54" ht="18" hidden="1" customHeight="1" x14ac:dyDescent="0.3">
      <c r="A1603" s="317"/>
      <c r="B1603" s="317"/>
      <c r="C1603" s="318"/>
      <c r="D1603" s="315"/>
      <c r="E1603" s="315"/>
      <c r="F1603" s="315"/>
      <c r="BB1603" s="48"/>
    </row>
    <row r="1604" spans="1:54" ht="18" hidden="1" customHeight="1" x14ac:dyDescent="0.3">
      <c r="A1604" s="317"/>
      <c r="B1604" s="317"/>
      <c r="C1604" s="318"/>
      <c r="D1604" s="315"/>
      <c r="E1604" s="315"/>
      <c r="F1604" s="315"/>
      <c r="BB1604" s="48"/>
    </row>
    <row r="1605" spans="1:54" ht="18" hidden="1" customHeight="1" x14ac:dyDescent="0.3">
      <c r="A1605" s="317"/>
      <c r="B1605" s="317"/>
      <c r="C1605" s="318"/>
      <c r="D1605" s="315"/>
      <c r="E1605" s="315"/>
      <c r="F1605" s="315"/>
      <c r="BB1605" s="48"/>
    </row>
    <row r="1606" spans="1:54" ht="18" hidden="1" customHeight="1" x14ac:dyDescent="0.3">
      <c r="A1606" s="317"/>
      <c r="B1606" s="317"/>
      <c r="C1606" s="318"/>
      <c r="D1606" s="315"/>
      <c r="E1606" s="315"/>
      <c r="F1606" s="315"/>
      <c r="BB1606" s="48"/>
    </row>
    <row r="1607" spans="1:54" ht="18" hidden="1" customHeight="1" x14ac:dyDescent="0.3">
      <c r="A1607" s="317"/>
      <c r="B1607" s="317"/>
      <c r="C1607" s="318"/>
      <c r="D1607" s="315"/>
      <c r="E1607" s="315"/>
      <c r="F1607" s="315"/>
      <c r="AI1607" s="317" t="s">
        <v>827</v>
      </c>
      <c r="BB1607" s="48"/>
    </row>
    <row r="1608" spans="1:54" ht="18" hidden="1" customHeight="1" x14ac:dyDescent="0.3">
      <c r="A1608" s="317"/>
      <c r="B1608" s="317"/>
      <c r="C1608" s="318"/>
      <c r="D1608" s="315"/>
      <c r="E1608" s="315"/>
      <c r="F1608" s="315"/>
      <c r="AI1608" s="317" t="s">
        <v>827</v>
      </c>
      <c r="BB1608" s="48"/>
    </row>
    <row r="1609" spans="1:54" ht="18" hidden="1" customHeight="1" x14ac:dyDescent="0.3">
      <c r="A1609" s="317"/>
      <c r="B1609" s="317"/>
      <c r="C1609" s="318"/>
      <c r="D1609" s="315"/>
      <c r="E1609" s="315"/>
      <c r="F1609" s="315"/>
      <c r="AI1609" s="341" t="s">
        <v>828</v>
      </c>
      <c r="BB1609" s="48"/>
    </row>
    <row r="1610" spans="1:54" ht="18" hidden="1" customHeight="1" x14ac:dyDescent="0.3">
      <c r="A1610" s="317"/>
      <c r="B1610" s="341"/>
      <c r="C1610" s="318"/>
      <c r="D1610" s="315"/>
      <c r="E1610" s="315"/>
      <c r="F1610" s="315"/>
      <c r="BB1610" s="48"/>
    </row>
    <row r="1611" spans="1:54" ht="18" hidden="1" customHeight="1" x14ac:dyDescent="0.3">
      <c r="A1611" s="317"/>
      <c r="B1611" s="317"/>
      <c r="C1611" s="318"/>
      <c r="D1611" s="315"/>
      <c r="E1611" s="315"/>
      <c r="F1611" s="315"/>
      <c r="BB1611" s="48"/>
    </row>
    <row r="1612" spans="1:54" ht="18" hidden="1" customHeight="1" x14ac:dyDescent="0.3">
      <c r="A1612" s="317"/>
      <c r="B1612" s="317"/>
      <c r="C1612" s="318"/>
      <c r="D1612" s="315"/>
      <c r="E1612" s="315"/>
      <c r="F1612" s="315"/>
      <c r="BB1612" s="48"/>
    </row>
    <row r="1613" spans="1:54" ht="18" hidden="1" customHeight="1" x14ac:dyDescent="0.3">
      <c r="A1613" s="317"/>
      <c r="B1613" s="317"/>
      <c r="C1613" s="318"/>
      <c r="D1613" s="315"/>
      <c r="E1613" s="315"/>
      <c r="F1613" s="315"/>
      <c r="BB1613" s="48"/>
    </row>
    <row r="1614" spans="1:54" ht="18" hidden="1" customHeight="1" x14ac:dyDescent="0.3">
      <c r="A1614" s="317"/>
      <c r="B1614" s="317"/>
      <c r="C1614" s="318"/>
      <c r="D1614" s="315"/>
      <c r="E1614" s="315"/>
      <c r="F1614" s="315"/>
      <c r="BB1614" s="48"/>
    </row>
    <row r="1615" spans="1:54" ht="18" hidden="1" customHeight="1" x14ac:dyDescent="0.3">
      <c r="A1615" s="317"/>
      <c r="B1615" s="317"/>
      <c r="C1615" s="318"/>
      <c r="D1615" s="315"/>
      <c r="E1615" s="315"/>
      <c r="F1615" s="315"/>
      <c r="BB1615" s="48"/>
    </row>
    <row r="1616" spans="1:54" ht="18" hidden="1" customHeight="1" x14ac:dyDescent="0.3">
      <c r="A1616" s="317"/>
      <c r="B1616" s="317"/>
      <c r="C1616" s="318"/>
      <c r="D1616" s="315"/>
      <c r="E1616" s="315"/>
      <c r="F1616" s="315"/>
      <c r="BB1616" s="48"/>
    </row>
    <row r="1617" spans="1:86" ht="18" hidden="1" customHeight="1" x14ac:dyDescent="0.3">
      <c r="A1617" s="317"/>
      <c r="B1617" s="317"/>
      <c r="C1617" s="318"/>
      <c r="D1617" s="315"/>
      <c r="E1617" s="315"/>
      <c r="F1617" s="315"/>
      <c r="BB1617" s="48"/>
    </row>
    <row r="1618" spans="1:86" ht="18" hidden="1" customHeight="1" x14ac:dyDescent="0.3">
      <c r="A1618" s="317"/>
      <c r="B1618" s="317"/>
      <c r="C1618" s="318"/>
      <c r="D1618" s="315"/>
      <c r="E1618" s="315"/>
      <c r="F1618" s="315"/>
      <c r="BB1618" s="48"/>
    </row>
    <row r="1619" spans="1:86" ht="18" hidden="1" customHeight="1" x14ac:dyDescent="0.3">
      <c r="A1619" s="317"/>
      <c r="B1619" s="317"/>
      <c r="C1619" s="318"/>
      <c r="D1619" s="315"/>
      <c r="E1619" s="315"/>
      <c r="F1619" s="315"/>
      <c r="BB1619" s="48"/>
    </row>
    <row r="1620" spans="1:86" ht="18" hidden="1" customHeight="1" x14ac:dyDescent="0.3">
      <c r="A1620" s="317"/>
      <c r="B1620" s="317"/>
      <c r="C1620" s="318"/>
      <c r="D1620" s="315"/>
      <c r="E1620" s="315"/>
      <c r="F1620" s="315"/>
      <c r="BB1620" s="48"/>
    </row>
    <row r="1621" spans="1:86" ht="18" hidden="1" customHeight="1" x14ac:dyDescent="0.3">
      <c r="A1621" s="317"/>
      <c r="B1621" s="317"/>
      <c r="C1621" s="318"/>
      <c r="D1621" s="315"/>
      <c r="E1621" s="315"/>
      <c r="F1621" s="315"/>
      <c r="BB1621" s="48"/>
    </row>
    <row r="1622" spans="1:86" ht="18" hidden="1" customHeight="1" x14ac:dyDescent="0.3">
      <c r="A1622" s="317"/>
      <c r="B1622" s="317"/>
      <c r="C1622" s="318"/>
      <c r="D1622" s="315"/>
      <c r="E1622" s="315"/>
      <c r="F1622" s="315"/>
      <c r="BB1622" s="48"/>
      <c r="CH1622" s="348"/>
    </row>
    <row r="1623" spans="1:86" ht="18" hidden="1" customHeight="1" x14ac:dyDescent="0.3">
      <c r="A1623" s="317"/>
      <c r="B1623" s="317"/>
      <c r="C1623" s="318"/>
      <c r="D1623" s="315"/>
      <c r="E1623" s="315"/>
      <c r="F1623" s="315"/>
      <c r="BB1623" s="48"/>
    </row>
    <row r="1624" spans="1:86" ht="18" hidden="1" customHeight="1" x14ac:dyDescent="0.3">
      <c r="A1624" s="317"/>
      <c r="B1624" s="317"/>
      <c r="C1624" s="318"/>
      <c r="D1624" s="315"/>
      <c r="E1624" s="315"/>
      <c r="F1624" s="315"/>
      <c r="BB1624" s="48"/>
    </row>
    <row r="1625" spans="1:86" ht="18" hidden="1" customHeight="1" x14ac:dyDescent="0.3">
      <c r="A1625" s="317"/>
      <c r="B1625" s="317"/>
      <c r="C1625" s="318"/>
      <c r="D1625" s="315"/>
      <c r="E1625" s="315"/>
      <c r="F1625" s="315"/>
      <c r="BB1625" s="48"/>
    </row>
    <row r="1626" spans="1:86" ht="18" hidden="1" customHeight="1" x14ac:dyDescent="0.3">
      <c r="A1626" s="317"/>
      <c r="B1626" s="317"/>
      <c r="C1626" s="318"/>
      <c r="D1626" s="315"/>
      <c r="E1626" s="315"/>
      <c r="F1626" s="315"/>
      <c r="BB1626" s="48"/>
    </row>
    <row r="1627" spans="1:86" ht="18" hidden="1" customHeight="1" x14ac:dyDescent="0.3">
      <c r="A1627" s="317"/>
      <c r="B1627" s="317"/>
      <c r="C1627" s="318"/>
      <c r="D1627" s="315"/>
      <c r="E1627" s="315"/>
      <c r="F1627" s="315"/>
      <c r="BB1627" s="48"/>
    </row>
    <row r="1628" spans="1:86" ht="18" hidden="1" customHeight="1" x14ac:dyDescent="0.3">
      <c r="A1628" s="317"/>
      <c r="B1628" s="317"/>
      <c r="C1628" s="318"/>
      <c r="D1628" s="315"/>
      <c r="E1628" s="315"/>
      <c r="F1628" s="315"/>
      <c r="BB1628" s="48"/>
      <c r="CH1628" s="48" t="s">
        <v>851</v>
      </c>
    </row>
    <row r="1629" spans="1:86" ht="18" hidden="1" customHeight="1" x14ac:dyDescent="0.3">
      <c r="A1629" s="317"/>
      <c r="B1629" s="317"/>
      <c r="C1629" s="318"/>
      <c r="D1629" s="315"/>
      <c r="E1629" s="315"/>
      <c r="F1629" s="315"/>
      <c r="BB1629" s="48"/>
      <c r="CH1629" s="48" t="s">
        <v>851</v>
      </c>
    </row>
    <row r="1630" spans="1:86" ht="18" hidden="1" customHeight="1" x14ac:dyDescent="0.3">
      <c r="A1630" s="317"/>
      <c r="B1630" s="317"/>
      <c r="C1630" s="318"/>
      <c r="D1630" s="315"/>
      <c r="E1630" s="315"/>
      <c r="F1630" s="315"/>
      <c r="BB1630" s="48"/>
    </row>
    <row r="1631" spans="1:86" ht="18" hidden="1" customHeight="1" x14ac:dyDescent="0.3">
      <c r="A1631" s="317"/>
      <c r="B1631" s="317"/>
      <c r="C1631" s="318"/>
      <c r="D1631" s="315"/>
      <c r="E1631" s="315"/>
      <c r="F1631" s="315"/>
      <c r="BB1631" s="48"/>
    </row>
    <row r="1632" spans="1:86" ht="30" hidden="1" customHeight="1" x14ac:dyDescent="0.3">
      <c r="A1632" s="317"/>
      <c r="B1632" s="342" t="s">
        <v>21</v>
      </c>
      <c r="C1632" s="343"/>
      <c r="D1632" s="343"/>
      <c r="E1632" s="343"/>
      <c r="F1632" s="343"/>
      <c r="BB1632" s="48"/>
    </row>
    <row r="1633" spans="1:87" ht="65" hidden="1" customHeight="1" x14ac:dyDescent="0.3">
      <c r="A1633" s="317"/>
      <c r="B1633" s="1123" t="s">
        <v>553</v>
      </c>
      <c r="C1633" s="1123"/>
      <c r="D1633" s="1123"/>
      <c r="E1633" s="344"/>
      <c r="F1633" s="345"/>
      <c r="BB1633" s="48"/>
    </row>
    <row r="1634" spans="1:87" s="348" customFormat="1" ht="30" hidden="1" customHeight="1" x14ac:dyDescent="0.3">
      <c r="A1634" s="317"/>
      <c r="B1634" s="1124" t="s">
        <v>829</v>
      </c>
      <c r="C1634" s="1124"/>
      <c r="D1634" s="1124"/>
      <c r="E1634" s="346"/>
      <c r="F1634" s="346"/>
      <c r="G1634" s="347"/>
      <c r="H1634" s="347"/>
      <c r="I1634" s="347"/>
      <c r="J1634" s="347"/>
      <c r="K1634" s="347"/>
      <c r="L1634" s="347"/>
      <c r="M1634" s="347"/>
      <c r="N1634" s="347"/>
      <c r="O1634" s="347"/>
      <c r="P1634" s="347"/>
      <c r="Q1634" s="347"/>
      <c r="R1634" s="347"/>
      <c r="S1634" s="347"/>
      <c r="T1634" s="347"/>
      <c r="U1634" s="347"/>
      <c r="V1634" s="347"/>
      <c r="W1634" s="347"/>
      <c r="X1634" s="347"/>
      <c r="Y1634" s="347"/>
      <c r="Z1634" s="347"/>
      <c r="AJ1634" s="348" t="s">
        <v>554</v>
      </c>
      <c r="CH1634" s="48"/>
    </row>
    <row r="1635" spans="1:87" ht="28" hidden="1" customHeight="1" x14ac:dyDescent="0.3">
      <c r="A1635" s="317"/>
      <c r="B1635" s="1125" t="s">
        <v>830</v>
      </c>
      <c r="C1635" s="1125"/>
      <c r="D1635" s="1125"/>
      <c r="E1635" s="315"/>
      <c r="F1635" s="315"/>
      <c r="BB1635" s="48"/>
    </row>
    <row r="1636" spans="1:87" ht="5" hidden="1" customHeight="1" x14ac:dyDescent="0.3">
      <c r="A1636" s="317"/>
      <c r="B1636" s="315"/>
      <c r="C1636" s="315"/>
      <c r="D1636" s="315"/>
      <c r="E1636" s="315"/>
      <c r="F1636" s="315"/>
      <c r="AJ1636" s="48" t="s">
        <v>831</v>
      </c>
    </row>
    <row r="1637" spans="1:87" ht="25" hidden="1" customHeight="1" x14ac:dyDescent="0.3">
      <c r="A1637" s="317"/>
      <c r="B1637" s="349" t="s">
        <v>832</v>
      </c>
      <c r="C1637" s="349"/>
      <c r="D1637" s="350" t="str">
        <f>AJ1637</f>
        <v>Accumulative total: $5</v>
      </c>
      <c r="E1637" s="315"/>
      <c r="F1637" s="315"/>
      <c r="AD1637" s="52">
        <f>SUM(AE1637:AG1637)</f>
        <v>5</v>
      </c>
      <c r="AE1637" s="48">
        <f>IF(B1638=CI$1639,BY$1639,0)</f>
        <v>0</v>
      </c>
      <c r="AF1637" s="48">
        <f>IF(C1638=CI$1640,BY$1640,0)</f>
        <v>5</v>
      </c>
      <c r="AG1637" s="48">
        <f>IF(C1638=CI$1641,BY$1641,0)</f>
        <v>0</v>
      </c>
      <c r="AJ1637" s="48" t="str">
        <f>CONCATENATE(AS1637,AT1637)</f>
        <v>Accumulative total: $5</v>
      </c>
      <c r="AS1637" s="351" t="s">
        <v>833</v>
      </c>
      <c r="AT1637" s="48" t="str">
        <f>DOLLAR(AU1637,0)</f>
        <v>$5</v>
      </c>
      <c r="AU1637" s="48">
        <f>AD1637+AK1636</f>
        <v>5</v>
      </c>
    </row>
    <row r="1638" spans="1:87" ht="15" hidden="1" customHeight="1" x14ac:dyDescent="0.3">
      <c r="A1638" s="317"/>
      <c r="B1638" s="352" t="s">
        <v>834</v>
      </c>
      <c r="C1638" s="1106" t="s">
        <v>835</v>
      </c>
      <c r="D1638" s="1106"/>
      <c r="E1638" s="315"/>
      <c r="F1638" s="315"/>
      <c r="AC1638" s="353" t="s">
        <v>836</v>
      </c>
      <c r="AD1638" s="353"/>
      <c r="AE1638" s="353"/>
      <c r="AF1638" s="353"/>
      <c r="AG1638" s="353"/>
      <c r="AH1638" s="353"/>
      <c r="AI1638" s="353"/>
      <c r="AJ1638" s="353"/>
      <c r="BB1638" s="48"/>
      <c r="BN1638" s="48" t="s">
        <v>836</v>
      </c>
      <c r="CB1638" s="48" t="s">
        <v>837</v>
      </c>
    </row>
    <row r="1639" spans="1:87" ht="15" hidden="1" customHeight="1" thickBot="1" x14ac:dyDescent="0.35">
      <c r="A1639" s="317"/>
      <c r="B1639" s="354" t="s">
        <v>838</v>
      </c>
      <c r="C1639" s="1104" t="str">
        <f>AC1639</f>
        <v>click to go to N1</v>
      </c>
      <c r="D1639" s="1104"/>
      <c r="E1639" s="315"/>
      <c r="F1639" s="315"/>
      <c r="AC1639" s="48" t="str">
        <f>IF(SUM(AD1640,AD1641,AD1642,AD1643,AD1644,AC1645,AD1645,AE1645)&lt;8,"click to go to N1",AI1639)</f>
        <v>click to go to N1</v>
      </c>
      <c r="AI1639" s="48" t="str">
        <f>CONCATENATE(AO1639,AQ1639,AT1639)</f>
        <v>Go to Employer 1  tab &gt;&gt;</v>
      </c>
      <c r="AO1639" s="48" t="s">
        <v>839</v>
      </c>
      <c r="AQ1639" s="48" t="str">
        <f>IF(C1640="","Employer 1 ",C1640)</f>
        <v xml:space="preserve">Employer 1 </v>
      </c>
      <c r="AT1639" s="48" t="s">
        <v>840</v>
      </c>
      <c r="BB1639" s="48" t="s">
        <v>832</v>
      </c>
      <c r="BE1639" s="355">
        <v>1</v>
      </c>
      <c r="BF1639" s="355" t="s">
        <v>832</v>
      </c>
      <c r="BG1639" s="355"/>
      <c r="BH1639" s="355" t="str">
        <f>IF(B1637=BF1640,"",CONCATENATE(BF$1639,BE1639))</f>
        <v>Employer 1</v>
      </c>
      <c r="BI1639" s="355"/>
      <c r="BJ1639" s="355" t="str">
        <f>CONCATENATE(BF$1639,BE1639)</f>
        <v>Employer 1</v>
      </c>
      <c r="BK1639" s="355"/>
      <c r="BO1639" s="48" t="s">
        <v>841</v>
      </c>
      <c r="BX1639" s="245" t="s">
        <v>842</v>
      </c>
      <c r="BY1639" s="96">
        <v>0</v>
      </c>
      <c r="BZ1639" s="48" t="s">
        <v>843</v>
      </c>
      <c r="CA1639" s="245" t="s">
        <v>844</v>
      </c>
      <c r="CI1639" s="48" t="str">
        <f>CONCATENATE(BO1639,BX1639,BZ1639,CA1639)</f>
        <v>Send notification yourself [DIY FREE]</v>
      </c>
    </row>
    <row r="1640" spans="1:87" ht="17" hidden="1" customHeight="1" thickTop="1" thickBot="1" x14ac:dyDescent="0.35">
      <c r="A1640" s="317"/>
      <c r="B1640" s="315" t="s">
        <v>845</v>
      </c>
      <c r="C1640" s="356"/>
      <c r="D1640" s="357"/>
      <c r="E1640" s="315"/>
      <c r="F1640" s="315"/>
      <c r="AD1640" s="48">
        <f t="shared" ref="AD1640:AD1645" si="55">IF(C1640&lt;&gt;"",1,0)</f>
        <v>0</v>
      </c>
      <c r="BB1640" s="48" t="s">
        <v>846</v>
      </c>
      <c r="BE1640" s="355">
        <v>2</v>
      </c>
      <c r="BF1640" s="355" t="str">
        <f>IF(B1637=BJ1639,BF1641,CONCATENATE(BF$1639,BE1639))</f>
        <v>Employer 1</v>
      </c>
      <c r="BG1640" s="355"/>
      <c r="BH1640" s="355" t="str">
        <f>CONCATENATE(BF$1639,BE1640)</f>
        <v>Employer 2</v>
      </c>
      <c r="BI1640" s="355"/>
      <c r="BJ1640" s="355" t="str">
        <f>CONCATENATE(BF$1639,BE1640)</f>
        <v>Employer 2</v>
      </c>
      <c r="BK1640" s="355"/>
      <c r="BO1640" s="48" t="s">
        <v>847</v>
      </c>
      <c r="BX1640" s="48" t="s">
        <v>842</v>
      </c>
      <c r="BY1640" s="96">
        <v>5</v>
      </c>
      <c r="BZ1640" s="351" t="str">
        <f>DOLLAR(BY1640,0)</f>
        <v>$5</v>
      </c>
      <c r="CA1640" s="48" t="s">
        <v>844</v>
      </c>
      <c r="CB1640" s="48" t="str">
        <f>IF(CB$1638="Y",CONCATENATE(CC1640,CE1640,CF1640,CG1640,CH1628),"")</f>
        <v>. Only $1 if done by Jan 1st.</v>
      </c>
      <c r="CC1640" s="48" t="s">
        <v>848</v>
      </c>
      <c r="CD1640" s="96">
        <f>BY1640/5</f>
        <v>1</v>
      </c>
      <c r="CE1640" s="351" t="str">
        <f>DOLLAR(CD1640,0)</f>
        <v>$1</v>
      </c>
      <c r="CF1640" s="48" t="s">
        <v>849</v>
      </c>
      <c r="CG1640" s="48" t="s">
        <v>850</v>
      </c>
      <c r="CI1640" s="48" t="str">
        <f>CONCATENATE(BO1640,BX1640,BZ1640,CA1640,CB1640)</f>
        <v>We send notification on your behalf [$5]. Only $1 if done by Jan 1st.</v>
      </c>
    </row>
    <row r="1641" spans="1:87" ht="17" hidden="1" customHeight="1" thickTop="1" thickBot="1" x14ac:dyDescent="0.35">
      <c r="A1641" s="317"/>
      <c r="B1641" s="315" t="s">
        <v>852</v>
      </c>
      <c r="C1641" s="356"/>
      <c r="D1641" s="357"/>
      <c r="E1641" s="315"/>
      <c r="F1641" s="315"/>
      <c r="AD1641" s="48">
        <f t="shared" si="55"/>
        <v>0</v>
      </c>
      <c r="BB1641" s="48" t="s">
        <v>853</v>
      </c>
      <c r="BE1641" s="355">
        <v>3</v>
      </c>
      <c r="BF1641" s="355" t="str">
        <f>CONCATENATE(BF$1639,BE1640)</f>
        <v>Employer 2</v>
      </c>
      <c r="BG1641" s="355"/>
      <c r="BH1641" s="355" t="str">
        <f>CONCATENATE(BF$1639,BE1641)</f>
        <v>Employer 3</v>
      </c>
      <c r="BI1641" s="355"/>
      <c r="BJ1641" s="355" t="str">
        <f>CONCATENATE(BF$1639,BE1641)</f>
        <v>Employer 3</v>
      </c>
      <c r="BK1641" s="355"/>
      <c r="BO1641" s="48" t="s">
        <v>854</v>
      </c>
      <c r="BX1641" s="48" t="s">
        <v>842</v>
      </c>
      <c r="BY1641" s="96">
        <v>15</v>
      </c>
      <c r="BZ1641" s="351" t="str">
        <f>DOLLAR(BY1641,0)</f>
        <v>$15</v>
      </c>
      <c r="CA1641" s="48" t="s">
        <v>844</v>
      </c>
      <c r="CB1641" s="48" t="str">
        <f>IF(CB$1638="Y",CONCATENATE(CC1641,CE1641,CF1641,CG1641,CH1629),"")</f>
        <v>. Only $3 if done by Jan 1st.</v>
      </c>
      <c r="CC1641" s="48" t="s">
        <v>848</v>
      </c>
      <c r="CD1641" s="96">
        <f>BY1641/5</f>
        <v>3</v>
      </c>
      <c r="CE1641" s="351" t="str">
        <f>DOLLAR(CD1641,0)</f>
        <v>$3</v>
      </c>
      <c r="CF1641" s="48" t="s">
        <v>849</v>
      </c>
      <c r="CG1641" s="48" t="str">
        <f>CG1640</f>
        <v>Jan 1st</v>
      </c>
      <c r="CI1641" s="48" t="str">
        <f>CONCATENATE(BO1641,BX1641,BZ1641,CA1641,CB1641)</f>
        <v>We qualify then notify them [$15]. Only $3 if done by Jan 1st.</v>
      </c>
    </row>
    <row r="1642" spans="1:87" ht="17" hidden="1" customHeight="1" thickTop="1" thickBot="1" x14ac:dyDescent="0.35">
      <c r="A1642" s="317"/>
      <c r="B1642" s="315" t="s">
        <v>855</v>
      </c>
      <c r="C1642" s="356"/>
      <c r="D1642" s="357"/>
      <c r="E1642" s="315"/>
      <c r="F1642" s="315"/>
      <c r="AD1642" s="48">
        <f t="shared" si="55"/>
        <v>0</v>
      </c>
      <c r="BB1642" s="48"/>
      <c r="BE1642" s="355">
        <v>4</v>
      </c>
      <c r="BF1642" s="355" t="str">
        <f>CONCATENATE(BF$1639,BE1641)</f>
        <v>Employer 3</v>
      </c>
      <c r="BG1642" s="355"/>
      <c r="BH1642" s="355" t="str">
        <f>CONCATENATE(BF$1639,BE1642)</f>
        <v>Employer 4</v>
      </c>
      <c r="BI1642" s="355"/>
      <c r="BJ1642" s="355" t="str">
        <f>CONCATENATE(BF$1639,BE1642)</f>
        <v>Employer 4</v>
      </c>
      <c r="BK1642" s="355"/>
    </row>
    <row r="1643" spans="1:87" ht="17" hidden="1" customHeight="1" thickTop="1" thickBot="1" x14ac:dyDescent="0.35">
      <c r="A1643" s="317"/>
      <c r="B1643" s="315" t="s">
        <v>856</v>
      </c>
      <c r="C1643" s="356"/>
      <c r="D1643" s="356"/>
      <c r="E1643" s="315"/>
      <c r="F1643" s="315"/>
      <c r="AD1643" s="48">
        <f t="shared" si="55"/>
        <v>0</v>
      </c>
      <c r="BE1643" s="355"/>
      <c r="BF1643" s="355" t="str">
        <f>CONCATENATE(BF$1639,BE1642)</f>
        <v>Employer 4</v>
      </c>
      <c r="BG1643" s="355"/>
      <c r="BH1643" s="355" t="str">
        <f>CONCATENATE(BF$1644,BE1639)</f>
        <v>Housing 1</v>
      </c>
      <c r="BI1643" s="355"/>
      <c r="BJ1643" s="355" t="str">
        <f>CONCATENATE(BF$1644,BE1639)</f>
        <v>Housing 1</v>
      </c>
      <c r="BK1643" s="355"/>
    </row>
    <row r="1644" spans="1:87" ht="17" hidden="1" customHeight="1" thickTop="1" thickBot="1" x14ac:dyDescent="0.35">
      <c r="A1644" s="317"/>
      <c r="B1644" s="315" t="s">
        <v>857</v>
      </c>
      <c r="C1644" s="359"/>
      <c r="D1644" s="359"/>
      <c r="E1644" s="315"/>
      <c r="F1644" s="315"/>
      <c r="AD1644" s="48">
        <f t="shared" si="55"/>
        <v>0</v>
      </c>
      <c r="BE1644" s="355"/>
      <c r="BF1644" s="355" t="s">
        <v>846</v>
      </c>
      <c r="BG1644" s="355"/>
      <c r="BH1644" s="355" t="str">
        <f>CONCATENATE(BF$1644,BE1640)</f>
        <v>Housing 2</v>
      </c>
      <c r="BI1644" s="355"/>
      <c r="BJ1644" s="355" t="str">
        <f>CONCATENATE(BF$1644,BE1640)</f>
        <v>Housing 2</v>
      </c>
      <c r="BK1644" s="355"/>
    </row>
    <row r="1645" spans="1:87" ht="17" hidden="1" customHeight="1" thickTop="1" thickBot="1" x14ac:dyDescent="0.35">
      <c r="A1645" s="317"/>
      <c r="B1645" s="358"/>
      <c r="C1645" s="359"/>
      <c r="D1645" s="359"/>
      <c r="E1645" s="315"/>
      <c r="F1645" s="315"/>
      <c r="AC1645" s="48">
        <f>IF(B1645&lt;&gt;"",1,0)</f>
        <v>0</v>
      </c>
      <c r="AD1645" s="48">
        <f t="shared" si="55"/>
        <v>0</v>
      </c>
      <c r="AE1645" s="48">
        <f>IF(D1645&lt;&gt;"",1,0)</f>
        <v>0</v>
      </c>
      <c r="BE1645" s="355"/>
      <c r="BF1645" s="355" t="str">
        <f>CONCATENATE(BF$1644,BE1639)</f>
        <v>Housing 1</v>
      </c>
      <c r="BG1645" s="355"/>
      <c r="BH1645" s="355" t="str">
        <f>CONCATENATE(BF$1644,BE1641)</f>
        <v>Housing 3</v>
      </c>
      <c r="BI1645" s="355"/>
      <c r="BJ1645" s="355" t="str">
        <f>CONCATENATE(BF$1644,BE1641)</f>
        <v>Housing 3</v>
      </c>
      <c r="BK1645" s="355"/>
    </row>
    <row r="1646" spans="1:87" ht="14.5" hidden="1" thickTop="1" x14ac:dyDescent="0.3">
      <c r="A1646" s="317"/>
      <c r="B1646" s="315"/>
      <c r="C1646" s="315"/>
      <c r="D1646" s="315"/>
      <c r="E1646" s="315"/>
      <c r="F1646" s="315"/>
      <c r="BE1646" s="355"/>
      <c r="BF1646" s="355" t="str">
        <f>CONCATENATE(BF$1644,BE1640)</f>
        <v>Housing 2</v>
      </c>
      <c r="BG1646" s="355"/>
      <c r="BH1646" s="355" t="str">
        <f>CONCATENATE(BF$1644,BE1642)</f>
        <v>Housing 4</v>
      </c>
      <c r="BI1646" s="355"/>
      <c r="BJ1646" s="355" t="str">
        <f>CONCATENATE(BF$1644,BE1642)</f>
        <v>Housing 4</v>
      </c>
      <c r="BK1646" s="355"/>
    </row>
    <row r="1647" spans="1:87" ht="25" hidden="1" customHeight="1" x14ac:dyDescent="0.3">
      <c r="A1647" s="317"/>
      <c r="B1647" s="349" t="s">
        <v>832</v>
      </c>
      <c r="C1647" s="349"/>
      <c r="D1647" s="350" t="str">
        <f>AJ1647</f>
        <v>Accumulative total: $10</v>
      </c>
      <c r="E1647" s="315"/>
      <c r="F1647" s="315"/>
      <c r="AD1647" s="52">
        <f>SUM(AE1647:AG1647)</f>
        <v>5</v>
      </c>
      <c r="AE1647" s="48">
        <f>IF(B1648=CI$1639,BY$1639,0)</f>
        <v>0</v>
      </c>
      <c r="AF1647" s="48">
        <f>IF(C1648=CI$1640,BY$1640,0)</f>
        <v>5</v>
      </c>
      <c r="AG1647" s="48">
        <f>IF(C1648=CI$1641,BY$1641,0)</f>
        <v>0</v>
      </c>
      <c r="AJ1647" s="48" t="str">
        <f>CONCATENATE(AS1647,AT1647)</f>
        <v>Accumulative total: $10</v>
      </c>
      <c r="AS1647" s="351" t="s">
        <v>833</v>
      </c>
      <c r="AT1647" s="48" t="str">
        <f>DOLLAR(AU1647,0)</f>
        <v>$10</v>
      </c>
      <c r="AU1647" s="48">
        <f>AD1647+AU1637</f>
        <v>10</v>
      </c>
      <c r="BE1647" s="355"/>
      <c r="BF1647" s="355" t="str">
        <f>CONCATENATE(BF$1644,BE1641)</f>
        <v>Housing 3</v>
      </c>
      <c r="BG1647" s="355"/>
      <c r="BH1647" s="355" t="str">
        <f>CONCATENATE(BF$1649,BE1639)</f>
        <v>Debt collector 1</v>
      </c>
      <c r="BI1647" s="355"/>
      <c r="BJ1647" s="355" t="str">
        <f>CONCATENATE(BF$1649,BE1639)</f>
        <v>Debt collector 1</v>
      </c>
      <c r="BK1647" s="355"/>
    </row>
    <row r="1648" spans="1:87" ht="15" hidden="1" x14ac:dyDescent="0.3">
      <c r="A1648" s="317"/>
      <c r="B1648" s="352" t="s">
        <v>834</v>
      </c>
      <c r="C1648" s="1106" t="s">
        <v>835</v>
      </c>
      <c r="D1648" s="1106"/>
      <c r="E1648" s="315"/>
      <c r="F1648" s="315"/>
      <c r="AC1648" s="353" t="s">
        <v>836</v>
      </c>
      <c r="AD1648" s="353"/>
      <c r="AE1648" s="353"/>
      <c r="AF1648" s="353"/>
      <c r="AG1648" s="353"/>
      <c r="AH1648" s="353"/>
      <c r="AI1648" s="353"/>
      <c r="AJ1648" s="353"/>
      <c r="BE1648" s="355"/>
      <c r="BF1648" s="355" t="str">
        <f>CONCATENATE(BF$1644,BE1642)</f>
        <v>Housing 4</v>
      </c>
      <c r="BG1648" s="355"/>
      <c r="BH1648" s="355" t="str">
        <f>CONCATENATE(BF$1649,BE1640)</f>
        <v>Debt collector 2</v>
      </c>
      <c r="BI1648" s="355"/>
      <c r="BJ1648" s="355" t="str">
        <f>CONCATENATE(BF$1649,BE1640)</f>
        <v>Debt collector 2</v>
      </c>
      <c r="BK1648" s="355"/>
    </row>
    <row r="1649" spans="1:63" ht="14.5" hidden="1" thickBot="1" x14ac:dyDescent="0.35">
      <c r="A1649" s="317"/>
      <c r="B1649" s="354" t="s">
        <v>858</v>
      </c>
      <c r="C1649" s="1104" t="str">
        <f>AC1649</f>
        <v>click to go to N2</v>
      </c>
      <c r="D1649" s="1104"/>
      <c r="E1649" s="315"/>
      <c r="F1649" s="315"/>
      <c r="AC1649" s="48" t="str">
        <f>IF(SUM(AD1650,AD1651,AD1652,AD1653,AD1654,AC1655,AD1655,AE1655)&lt;8,"click to go to N2",AI1649)</f>
        <v>click to go to N2</v>
      </c>
      <c r="AI1649" s="48" t="str">
        <f>CONCATENATE(AO1649,AQ1649,AT1649)</f>
        <v>Go to Employer 1  tab &gt;&gt;</v>
      </c>
      <c r="AO1649" s="48" t="s">
        <v>839</v>
      </c>
      <c r="AQ1649" s="48" t="str">
        <f>IF(C1650="","Employer 1 ",C1650)</f>
        <v xml:space="preserve">Employer 1 </v>
      </c>
      <c r="AT1649" s="48" t="s">
        <v>840</v>
      </c>
      <c r="BE1649" s="355"/>
      <c r="BF1649" s="355" t="s">
        <v>853</v>
      </c>
      <c r="BG1649" s="355"/>
      <c r="BH1649" s="355" t="str">
        <f>CONCATENATE(BF$1649,BE1641)</f>
        <v>Debt collector 3</v>
      </c>
      <c r="BI1649" s="355"/>
      <c r="BJ1649" s="355" t="str">
        <f>CONCATENATE(BF$1649,BE1641)</f>
        <v>Debt collector 3</v>
      </c>
      <c r="BK1649" s="355"/>
    </row>
    <row r="1650" spans="1:63" ht="17" hidden="1" customHeight="1" thickTop="1" thickBot="1" x14ac:dyDescent="0.35">
      <c r="A1650" s="317"/>
      <c r="B1650" s="315" t="s">
        <v>845</v>
      </c>
      <c r="C1650" s="356"/>
      <c r="D1650" s="357"/>
      <c r="E1650" s="315"/>
      <c r="F1650" s="315"/>
      <c r="AD1650" s="48">
        <f t="shared" ref="AD1650:AD1655" si="56">IF(C1650&lt;&gt;"",1,0)</f>
        <v>0</v>
      </c>
      <c r="BE1650" s="355"/>
      <c r="BF1650" s="355" t="str">
        <f>CONCATENATE(BF$1649,BE1639)</f>
        <v>Debt collector 1</v>
      </c>
      <c r="BG1650" s="355"/>
      <c r="BH1650" s="355" t="str">
        <f>CONCATENATE(BF$1649,BE1642)</f>
        <v>Debt collector 4</v>
      </c>
      <c r="BI1650" s="355"/>
      <c r="BJ1650" s="355" t="str">
        <f>CONCATENATE(BF$1649,BE1642)</f>
        <v>Debt collector 4</v>
      </c>
      <c r="BK1650" s="355"/>
    </row>
    <row r="1651" spans="1:63" ht="17" hidden="1" customHeight="1" thickTop="1" thickBot="1" x14ac:dyDescent="0.35">
      <c r="A1651" s="317"/>
      <c r="B1651" s="315" t="s">
        <v>852</v>
      </c>
      <c r="C1651" s="356"/>
      <c r="D1651" s="357"/>
      <c r="E1651" s="315"/>
      <c r="F1651" s="315"/>
      <c r="AD1651" s="48">
        <f t="shared" si="56"/>
        <v>0</v>
      </c>
      <c r="BE1651" s="355"/>
      <c r="BF1651" s="355" t="str">
        <f>CONCATENATE(BF$1649,BE1640)</f>
        <v>Debt collector 2</v>
      </c>
      <c r="BG1651" s="355"/>
      <c r="BH1651" s="355"/>
      <c r="BI1651" s="355"/>
      <c r="BJ1651" s="355"/>
      <c r="BK1651" s="355"/>
    </row>
    <row r="1652" spans="1:63" ht="17" hidden="1" customHeight="1" thickTop="1" thickBot="1" x14ac:dyDescent="0.35">
      <c r="A1652" s="317"/>
      <c r="B1652" s="315" t="s">
        <v>855</v>
      </c>
      <c r="C1652" s="356"/>
      <c r="D1652" s="357"/>
      <c r="E1652" s="315"/>
      <c r="F1652" s="315"/>
      <c r="AD1652" s="48">
        <f t="shared" si="56"/>
        <v>0</v>
      </c>
      <c r="BE1652" s="355"/>
      <c r="BF1652" s="355" t="str">
        <f>CONCATENATE(BF$1649,BE1641)</f>
        <v>Debt collector 3</v>
      </c>
      <c r="BG1652" s="355"/>
      <c r="BH1652" s="355"/>
      <c r="BI1652" s="355"/>
      <c r="BJ1652" s="355"/>
      <c r="BK1652" s="355"/>
    </row>
    <row r="1653" spans="1:63" ht="17" hidden="1" customHeight="1" thickTop="1" thickBot="1" x14ac:dyDescent="0.35">
      <c r="A1653" s="317"/>
      <c r="B1653" s="315" t="s">
        <v>856</v>
      </c>
      <c r="C1653" s="1105"/>
      <c r="D1653" s="1105"/>
      <c r="E1653" s="315"/>
      <c r="F1653" s="315"/>
      <c r="AD1653" s="48">
        <f t="shared" si="56"/>
        <v>0</v>
      </c>
      <c r="BE1653" s="355"/>
      <c r="BF1653" s="355" t="str">
        <f>CONCATENATE(BF$1649,BE1642)</f>
        <v>Debt collector 4</v>
      </c>
      <c r="BG1653" s="355"/>
      <c r="BH1653" s="355"/>
      <c r="BI1653" s="355"/>
      <c r="BJ1653" s="355"/>
      <c r="BK1653" s="355"/>
    </row>
    <row r="1654" spans="1:63" ht="17" hidden="1" customHeight="1" thickTop="1" thickBot="1" x14ac:dyDescent="0.35">
      <c r="A1654" s="317"/>
      <c r="B1654" s="315" t="s">
        <v>857</v>
      </c>
      <c r="C1654" s="359"/>
      <c r="D1654" s="359"/>
      <c r="E1654" s="315"/>
      <c r="F1654" s="315"/>
      <c r="AD1654" s="48">
        <f t="shared" si="56"/>
        <v>0</v>
      </c>
    </row>
    <row r="1655" spans="1:63" ht="17" hidden="1" customHeight="1" thickTop="1" thickBot="1" x14ac:dyDescent="0.35">
      <c r="A1655" s="317"/>
      <c r="B1655" s="358"/>
      <c r="C1655" s="359"/>
      <c r="D1655" s="359"/>
      <c r="E1655" s="315"/>
      <c r="F1655" s="315"/>
      <c r="AC1655" s="48">
        <f>IF(B1655&lt;&gt;"",1,0)</f>
        <v>0</v>
      </c>
      <c r="AD1655" s="48">
        <f t="shared" si="56"/>
        <v>0</v>
      </c>
      <c r="AE1655" s="48">
        <f>IF(D1655&lt;&gt;"",1,0)</f>
        <v>0</v>
      </c>
    </row>
    <row r="1656" spans="1:63" ht="14.5" hidden="1" thickTop="1" x14ac:dyDescent="0.3">
      <c r="A1656" s="317"/>
      <c r="B1656" s="315"/>
      <c r="C1656" s="315"/>
      <c r="D1656" s="315"/>
      <c r="E1656" s="315"/>
      <c r="F1656" s="315"/>
    </row>
    <row r="1657" spans="1:63" ht="25" hidden="1" customHeight="1" x14ac:dyDescent="0.3">
      <c r="A1657" s="317"/>
      <c r="B1657" s="349" t="s">
        <v>846</v>
      </c>
      <c r="C1657" s="349"/>
      <c r="D1657" s="350" t="str">
        <f>AJ1657</f>
        <v>Accumulative total: $10</v>
      </c>
      <c r="E1657" s="315"/>
      <c r="F1657" s="315"/>
      <c r="AD1657" s="52">
        <f>SUM(AE1657:AG1657)</f>
        <v>0</v>
      </c>
      <c r="AE1657" s="48">
        <f>IF(B1658=CI$1639,BY$1639,0)</f>
        <v>0</v>
      </c>
      <c r="AF1657" s="48">
        <f>IF(C1658=CI$1640,BY$1640,0)</f>
        <v>0</v>
      </c>
      <c r="AG1657" s="48">
        <f>IF(C1658=CI$1641,BY$1641,0)</f>
        <v>0</v>
      </c>
      <c r="AJ1657" s="48" t="str">
        <f>CONCATENATE(AS1657,AT1657)</f>
        <v>Accumulative total: $10</v>
      </c>
      <c r="AS1657" s="351" t="s">
        <v>833</v>
      </c>
      <c r="AT1657" s="48" t="str">
        <f>DOLLAR(AU1657,0)</f>
        <v>$10</v>
      </c>
      <c r="AU1657" s="48">
        <f>AD1657+AU1647</f>
        <v>10</v>
      </c>
    </row>
    <row r="1658" spans="1:63" ht="15" hidden="1" x14ac:dyDescent="0.3">
      <c r="A1658" s="317"/>
      <c r="B1658" s="352" t="s">
        <v>834</v>
      </c>
      <c r="C1658" s="1106" t="str">
        <f>AC1658</f>
        <v>PICK AN OPTION BEST FOR YOU</v>
      </c>
      <c r="D1658" s="1106"/>
      <c r="E1658" s="315"/>
      <c r="F1658" s="315"/>
      <c r="AC1658" s="353" t="s">
        <v>836</v>
      </c>
      <c r="AD1658" s="353"/>
      <c r="AE1658" s="353"/>
      <c r="AF1658" s="353"/>
      <c r="AG1658" s="353"/>
      <c r="AH1658" s="353"/>
      <c r="AI1658" s="353"/>
      <c r="AJ1658" s="353"/>
    </row>
    <row r="1659" spans="1:63" ht="14.5" hidden="1" thickBot="1" x14ac:dyDescent="0.35">
      <c r="A1659" s="317"/>
      <c r="B1659" s="354" t="s">
        <v>859</v>
      </c>
      <c r="C1659" s="1104" t="str">
        <f>AC1659</f>
        <v>click to go to N3</v>
      </c>
      <c r="D1659" s="1104"/>
      <c r="E1659" s="315"/>
      <c r="F1659" s="315"/>
      <c r="AC1659" s="48" t="str">
        <f>IF(SUM(AD1660,AD1661,AD1662,AD1663,AD1664,AC1665,AD1665,AE1665)&lt;8,"click to go to N3",AI1659)</f>
        <v>click to go to N3</v>
      </c>
      <c r="AI1659" s="48" t="str">
        <f>CONCATENATE(AO1659,AQ1659,AT1659)</f>
        <v>Go to Employer 1  tab &gt;&gt;</v>
      </c>
      <c r="AO1659" s="48" t="s">
        <v>839</v>
      </c>
      <c r="AQ1659" s="48" t="str">
        <f>IF(C1660="","Employer 1 ",C1660)</f>
        <v xml:space="preserve">Employer 1 </v>
      </c>
      <c r="AT1659" s="48" t="s">
        <v>840</v>
      </c>
    </row>
    <row r="1660" spans="1:63" ht="17" hidden="1" customHeight="1" thickTop="1" thickBot="1" x14ac:dyDescent="0.35">
      <c r="A1660" s="317"/>
      <c r="B1660" s="315" t="s">
        <v>845</v>
      </c>
      <c r="C1660" s="356"/>
      <c r="D1660" s="357"/>
      <c r="E1660" s="315"/>
      <c r="F1660" s="315"/>
      <c r="AD1660" s="48">
        <f t="shared" ref="AD1660:AD1665" si="57">IF(C1660&lt;&gt;"",1,0)</f>
        <v>0</v>
      </c>
    </row>
    <row r="1661" spans="1:63" ht="17" hidden="1" customHeight="1" thickTop="1" thickBot="1" x14ac:dyDescent="0.35">
      <c r="A1661" s="317"/>
      <c r="B1661" s="315" t="s">
        <v>852</v>
      </c>
      <c r="C1661" s="356"/>
      <c r="D1661" s="357"/>
      <c r="E1661" s="315"/>
      <c r="F1661" s="315"/>
      <c r="AD1661" s="48">
        <f t="shared" si="57"/>
        <v>0</v>
      </c>
    </row>
    <row r="1662" spans="1:63" ht="17" hidden="1" customHeight="1" thickTop="1" thickBot="1" x14ac:dyDescent="0.35">
      <c r="A1662" s="317"/>
      <c r="B1662" s="315" t="s">
        <v>855</v>
      </c>
      <c r="C1662" s="356"/>
      <c r="D1662" s="357"/>
      <c r="E1662" s="315"/>
      <c r="F1662" s="315"/>
      <c r="AD1662" s="48">
        <f t="shared" si="57"/>
        <v>0</v>
      </c>
    </row>
    <row r="1663" spans="1:63" ht="17" hidden="1" customHeight="1" thickTop="1" thickBot="1" x14ac:dyDescent="0.35">
      <c r="A1663" s="317"/>
      <c r="B1663" s="315" t="s">
        <v>856</v>
      </c>
      <c r="C1663" s="1105"/>
      <c r="D1663" s="1105"/>
      <c r="E1663" s="315"/>
      <c r="F1663" s="315"/>
      <c r="AD1663" s="48">
        <f t="shared" si="57"/>
        <v>0</v>
      </c>
    </row>
    <row r="1664" spans="1:63" ht="17" hidden="1" customHeight="1" thickTop="1" thickBot="1" x14ac:dyDescent="0.35">
      <c r="A1664" s="317"/>
      <c r="B1664" s="315" t="s">
        <v>857</v>
      </c>
      <c r="C1664" s="359"/>
      <c r="D1664" s="359"/>
      <c r="E1664" s="315"/>
      <c r="F1664" s="315"/>
      <c r="AD1664" s="48">
        <f t="shared" si="57"/>
        <v>0</v>
      </c>
    </row>
    <row r="1665" spans="1:80" ht="17" hidden="1" customHeight="1" thickTop="1" thickBot="1" x14ac:dyDescent="0.35">
      <c r="A1665" s="317"/>
      <c r="B1665" s="358"/>
      <c r="C1665" s="359"/>
      <c r="D1665" s="359"/>
      <c r="E1665" s="315"/>
      <c r="F1665" s="315"/>
      <c r="AC1665" s="48">
        <f>IF(B1665&lt;&gt;"",1,0)</f>
        <v>0</v>
      </c>
      <c r="AD1665" s="48">
        <f t="shared" si="57"/>
        <v>0</v>
      </c>
      <c r="AE1665" s="48">
        <f>IF(D1665&lt;&gt;"",1,0)</f>
        <v>0</v>
      </c>
    </row>
    <row r="1666" spans="1:80" ht="14.5" hidden="1" thickTop="1" x14ac:dyDescent="0.3">
      <c r="A1666" s="317"/>
      <c r="B1666" s="315"/>
      <c r="C1666" s="315"/>
      <c r="D1666" s="315"/>
      <c r="E1666" s="315"/>
      <c r="F1666" s="315"/>
    </row>
    <row r="1667" spans="1:80" ht="25" hidden="1" customHeight="1" x14ac:dyDescent="0.3">
      <c r="A1667" s="317"/>
      <c r="B1667" s="349" t="s">
        <v>846</v>
      </c>
      <c r="C1667" s="349"/>
      <c r="D1667" s="350" t="str">
        <f>AJ1667</f>
        <v>Accumulative total: $10</v>
      </c>
      <c r="E1667" s="315"/>
      <c r="F1667" s="315"/>
      <c r="AD1667" s="52">
        <f>SUM(AE1667:AG1667)</f>
        <v>0</v>
      </c>
      <c r="AE1667" s="48">
        <f>IF(B1668=CI$1639,BY$1639,0)</f>
        <v>0</v>
      </c>
      <c r="AF1667" s="48">
        <f>IF(C1668=CI$1640,BY$1640,0)</f>
        <v>0</v>
      </c>
      <c r="AG1667" s="48">
        <f>IF(C1668=CI$1641,BY$1641,0)</f>
        <v>0</v>
      </c>
      <c r="AJ1667" s="48" t="str">
        <f>CONCATENATE(AS1667,AT1667)</f>
        <v>Accumulative total: $10</v>
      </c>
      <c r="AS1667" s="351" t="s">
        <v>833</v>
      </c>
      <c r="AT1667" s="48" t="str">
        <f>DOLLAR(AU1667,0)</f>
        <v>$10</v>
      </c>
      <c r="AU1667" s="48">
        <f>AD1667+AU1657</f>
        <v>10</v>
      </c>
    </row>
    <row r="1668" spans="1:80" ht="15" hidden="1" customHeight="1" x14ac:dyDescent="0.3">
      <c r="A1668" s="317"/>
      <c r="B1668" s="352" t="s">
        <v>834</v>
      </c>
      <c r="C1668" s="1106" t="str">
        <f>AC1668</f>
        <v>PICK AN OPTION BEST FOR YOU</v>
      </c>
      <c r="D1668" s="1106"/>
      <c r="E1668" s="315"/>
      <c r="F1668" s="315"/>
      <c r="AC1668" s="353" t="s">
        <v>836</v>
      </c>
      <c r="AD1668" s="353"/>
      <c r="AE1668" s="353"/>
      <c r="AF1668" s="353"/>
      <c r="AG1668" s="353"/>
      <c r="AH1668" s="353"/>
      <c r="AI1668" s="353"/>
      <c r="AJ1668" s="353"/>
    </row>
    <row r="1669" spans="1:80" ht="15" hidden="1" customHeight="1" thickBot="1" x14ac:dyDescent="0.35">
      <c r="A1669" s="317"/>
      <c r="B1669" s="354" t="s">
        <v>860</v>
      </c>
      <c r="C1669" s="1104" t="str">
        <f>AC1669</f>
        <v>click to go to AI04</v>
      </c>
      <c r="D1669" s="1104"/>
      <c r="E1669" s="315"/>
      <c r="F1669" s="315"/>
      <c r="AC1669" s="48" t="str">
        <f>IF(SUM(AD1670,AD1671,AD1672,AD1673,AD1674,AC1675,AD1675,AE1675)&lt;8,"click to go to AI04",AI1669)</f>
        <v>click to go to AI04</v>
      </c>
      <c r="AI1669" s="48" t="str">
        <f>CONCATENATE(AO1669,AQ1669,AT1669)</f>
        <v>Go to Employer 1  tab &gt;&gt;</v>
      </c>
      <c r="AO1669" s="48" t="s">
        <v>839</v>
      </c>
      <c r="AQ1669" s="48" t="str">
        <f>IF(C1670="","Employer 1 ",C1670)</f>
        <v xml:space="preserve">Employer 1 </v>
      </c>
      <c r="AT1669" s="48" t="s">
        <v>840</v>
      </c>
      <c r="BX1669" s="245" t="s">
        <v>842</v>
      </c>
      <c r="BY1669" s="48">
        <v>0</v>
      </c>
      <c r="BZ1669" s="48" t="s">
        <v>843</v>
      </c>
      <c r="CA1669" s="245" t="s">
        <v>844</v>
      </c>
      <c r="CB1669" s="48" t="str">
        <f>CONCATENATE(BO1669,BX1669,BZ1669,CA1669)</f>
        <v>[DIY FREE]</v>
      </c>
    </row>
    <row r="1670" spans="1:80" ht="17" hidden="1" customHeight="1" thickTop="1" thickBot="1" x14ac:dyDescent="0.35">
      <c r="A1670" s="317"/>
      <c r="B1670" s="315" t="s">
        <v>845</v>
      </c>
      <c r="C1670" s="356"/>
      <c r="D1670" s="357"/>
      <c r="E1670" s="315"/>
      <c r="F1670" s="315"/>
      <c r="AD1670" s="48">
        <f t="shared" ref="AD1670:AD1675" si="58">IF(C1670&lt;&gt;"",1,0)</f>
        <v>0</v>
      </c>
      <c r="BX1670" s="48" t="s">
        <v>842</v>
      </c>
      <c r="BY1670" s="48">
        <v>5</v>
      </c>
      <c r="BZ1670" s="351" t="str">
        <f>DOLLAR(BY1670,0)</f>
        <v>$5</v>
      </c>
      <c r="CA1670" s="48" t="s">
        <v>844</v>
      </c>
      <c r="CB1670" s="48" t="str">
        <f>CONCATENATE(BO1670,BX1670,BZ1670,CA1670)</f>
        <v>[$5]</v>
      </c>
    </row>
    <row r="1671" spans="1:80" ht="17" hidden="1" customHeight="1" thickTop="1" thickBot="1" x14ac:dyDescent="0.35">
      <c r="A1671" s="317"/>
      <c r="B1671" s="315" t="s">
        <v>852</v>
      </c>
      <c r="C1671" s="356"/>
      <c r="D1671" s="357"/>
      <c r="E1671" s="315"/>
      <c r="F1671" s="315"/>
      <c r="AD1671" s="48">
        <f t="shared" si="58"/>
        <v>0</v>
      </c>
      <c r="BX1671" s="48" t="s">
        <v>842</v>
      </c>
      <c r="BY1671" s="48">
        <v>15</v>
      </c>
      <c r="BZ1671" s="351" t="str">
        <f>DOLLAR(BY1671,0)</f>
        <v>$15</v>
      </c>
      <c r="CA1671" s="48" t="s">
        <v>844</v>
      </c>
      <c r="CB1671" s="48" t="str">
        <f>CONCATENATE(BO1671,BX1671,BZ1671,CA1671)</f>
        <v>[$15]</v>
      </c>
    </row>
    <row r="1672" spans="1:80" ht="17" hidden="1" customHeight="1" thickTop="1" thickBot="1" x14ac:dyDescent="0.35">
      <c r="A1672" s="317"/>
      <c r="B1672" s="315" t="s">
        <v>855</v>
      </c>
      <c r="C1672" s="356"/>
      <c r="D1672" s="357"/>
      <c r="E1672" s="315"/>
      <c r="F1672" s="315"/>
      <c r="AD1672" s="48">
        <f t="shared" si="58"/>
        <v>0</v>
      </c>
    </row>
    <row r="1673" spans="1:80" ht="17" hidden="1" customHeight="1" thickTop="1" thickBot="1" x14ac:dyDescent="0.35">
      <c r="A1673" s="317"/>
      <c r="B1673" s="315" t="s">
        <v>856</v>
      </c>
      <c r="C1673" s="1105"/>
      <c r="D1673" s="1105"/>
      <c r="E1673" s="315"/>
      <c r="F1673" s="315"/>
      <c r="AD1673" s="48">
        <f t="shared" si="58"/>
        <v>0</v>
      </c>
    </row>
    <row r="1674" spans="1:80" ht="17" hidden="1" customHeight="1" thickTop="1" thickBot="1" x14ac:dyDescent="0.35">
      <c r="A1674" s="317"/>
      <c r="B1674" s="315" t="s">
        <v>857</v>
      </c>
      <c r="C1674" s="359"/>
      <c r="D1674" s="359"/>
      <c r="E1674" s="315"/>
      <c r="F1674" s="315"/>
      <c r="AD1674" s="48">
        <f t="shared" si="58"/>
        <v>0</v>
      </c>
    </row>
    <row r="1675" spans="1:80" ht="17" hidden="1" customHeight="1" thickTop="1" thickBot="1" x14ac:dyDescent="0.35">
      <c r="A1675" s="317"/>
      <c r="B1675" s="358"/>
      <c r="C1675" s="359"/>
      <c r="D1675" s="359"/>
      <c r="E1675" s="315"/>
      <c r="F1675" s="315"/>
      <c r="AC1675" s="48">
        <f>IF(B1675&lt;&gt;"",1,0)</f>
        <v>0</v>
      </c>
      <c r="AD1675" s="48">
        <f t="shared" si="58"/>
        <v>0</v>
      </c>
      <c r="AE1675" s="48">
        <f>IF(D1675&lt;&gt;"",1,0)</f>
        <v>0</v>
      </c>
    </row>
    <row r="1676" spans="1:80" ht="14.5" hidden="1" thickTop="1" x14ac:dyDescent="0.3">
      <c r="A1676" s="317"/>
      <c r="B1676" s="315"/>
      <c r="C1676" s="315"/>
      <c r="D1676" s="315"/>
      <c r="E1676" s="315"/>
      <c r="F1676" s="315"/>
    </row>
    <row r="1677" spans="1:80" ht="25" hidden="1" customHeight="1" x14ac:dyDescent="0.3">
      <c r="A1677" s="317"/>
      <c r="B1677" s="349" t="s">
        <v>853</v>
      </c>
      <c r="C1677" s="349"/>
      <c r="D1677" s="350" t="str">
        <f>AJ1677</f>
        <v>Accumulative total: $10</v>
      </c>
      <c r="E1677" s="315"/>
      <c r="F1677" s="315"/>
      <c r="AD1677" s="52">
        <f>SUM(AE1677:AG1677)</f>
        <v>0</v>
      </c>
      <c r="AE1677" s="48">
        <f>IF(B1678=CI$1639,BY$1639,0)</f>
        <v>0</v>
      </c>
      <c r="AF1677" s="48">
        <f>IF(C1678=CI$1640,BY$1640,0)</f>
        <v>0</v>
      </c>
      <c r="AG1677" s="48">
        <f>IF(C1678=CI$1641,BY$1641,0)</f>
        <v>0</v>
      </c>
      <c r="AJ1677" s="48" t="str">
        <f>CONCATENATE(AS1677,AT1677)</f>
        <v>Accumulative total: $10</v>
      </c>
      <c r="AS1677" s="351" t="s">
        <v>833</v>
      </c>
      <c r="AT1677" s="48" t="str">
        <f>DOLLAR(AU1677,0)</f>
        <v>$10</v>
      </c>
      <c r="AU1677" s="48">
        <f>AD1677+AU1667</f>
        <v>10</v>
      </c>
    </row>
    <row r="1678" spans="1:80" ht="15" hidden="1" x14ac:dyDescent="0.3">
      <c r="A1678" s="317"/>
      <c r="B1678" s="352" t="s">
        <v>834</v>
      </c>
      <c r="C1678" s="1106" t="str">
        <f>AC1678</f>
        <v>PICK AN OPTION BEST FOR YOU</v>
      </c>
      <c r="D1678" s="1106"/>
      <c r="E1678" s="315"/>
      <c r="F1678" s="315"/>
      <c r="AC1678" s="353" t="s">
        <v>836</v>
      </c>
      <c r="AD1678" s="353"/>
      <c r="AE1678" s="353"/>
      <c r="AF1678" s="353"/>
      <c r="AG1678" s="353"/>
      <c r="AH1678" s="353"/>
      <c r="AI1678" s="353"/>
      <c r="AJ1678" s="353"/>
    </row>
    <row r="1679" spans="1:80" ht="14.5" hidden="1" thickBot="1" x14ac:dyDescent="0.35">
      <c r="A1679" s="317"/>
      <c r="B1679" s="354" t="s">
        <v>861</v>
      </c>
      <c r="C1679" s="1104" t="str">
        <f>AC1679</f>
        <v>click to go to AI05</v>
      </c>
      <c r="D1679" s="1104"/>
      <c r="E1679" s="315"/>
      <c r="F1679" s="315"/>
      <c r="AC1679" s="48" t="str">
        <f>IF(SUM(AD1680,AD1681,AD1682,AD1683,AD1684,AC1685,AD1685,AE1685)&lt;8,"click to go to AI05",AI1679)</f>
        <v>click to go to AI05</v>
      </c>
      <c r="AI1679" s="48" t="str">
        <f>CONCATENATE(AO1679,AQ1679,AT1679)</f>
        <v>Go to Employer 1  tab &gt;&gt;</v>
      </c>
      <c r="AO1679" s="48" t="s">
        <v>839</v>
      </c>
      <c r="AQ1679" s="48" t="str">
        <f>IF(C1680="","Employer 1 ",C1680)</f>
        <v xml:space="preserve">Employer 1 </v>
      </c>
      <c r="AT1679" s="48" t="s">
        <v>840</v>
      </c>
    </row>
    <row r="1680" spans="1:80" ht="17" hidden="1" customHeight="1" thickTop="1" thickBot="1" x14ac:dyDescent="0.35">
      <c r="A1680" s="317"/>
      <c r="B1680" s="315" t="s">
        <v>845</v>
      </c>
      <c r="C1680" s="356"/>
      <c r="D1680" s="357"/>
      <c r="E1680" s="315"/>
      <c r="F1680" s="315"/>
      <c r="AD1680" s="48">
        <f t="shared" ref="AD1680:AD1685" si="59">IF(C1680&lt;&gt;"",1,0)</f>
        <v>0</v>
      </c>
    </row>
    <row r="1681" spans="1:47" ht="17" hidden="1" customHeight="1" thickTop="1" thickBot="1" x14ac:dyDescent="0.35">
      <c r="A1681" s="317"/>
      <c r="B1681" s="315" t="s">
        <v>852</v>
      </c>
      <c r="C1681" s="356"/>
      <c r="D1681" s="357"/>
      <c r="E1681" s="315"/>
      <c r="F1681" s="315"/>
      <c r="AD1681" s="48">
        <f t="shared" si="59"/>
        <v>0</v>
      </c>
    </row>
    <row r="1682" spans="1:47" ht="17" hidden="1" customHeight="1" thickTop="1" thickBot="1" x14ac:dyDescent="0.35">
      <c r="A1682" s="317"/>
      <c r="B1682" s="315" t="s">
        <v>855</v>
      </c>
      <c r="C1682" s="356"/>
      <c r="D1682" s="357"/>
      <c r="E1682" s="315"/>
      <c r="F1682" s="315"/>
      <c r="AD1682" s="48">
        <f t="shared" si="59"/>
        <v>0</v>
      </c>
    </row>
    <row r="1683" spans="1:47" ht="17" hidden="1" customHeight="1" thickTop="1" thickBot="1" x14ac:dyDescent="0.35">
      <c r="A1683" s="317"/>
      <c r="B1683" s="315" t="s">
        <v>856</v>
      </c>
      <c r="C1683" s="1105"/>
      <c r="D1683" s="1105"/>
      <c r="E1683" s="315"/>
      <c r="F1683" s="315"/>
      <c r="AD1683" s="48">
        <f t="shared" si="59"/>
        <v>0</v>
      </c>
    </row>
    <row r="1684" spans="1:47" ht="17" hidden="1" customHeight="1" thickTop="1" thickBot="1" x14ac:dyDescent="0.35">
      <c r="A1684" s="317"/>
      <c r="B1684" s="315" t="s">
        <v>857</v>
      </c>
      <c r="C1684" s="359"/>
      <c r="D1684" s="359"/>
      <c r="E1684" s="315"/>
      <c r="F1684" s="315"/>
      <c r="AD1684" s="48">
        <f t="shared" si="59"/>
        <v>0</v>
      </c>
    </row>
    <row r="1685" spans="1:47" ht="17" hidden="1" customHeight="1" thickTop="1" thickBot="1" x14ac:dyDescent="0.35">
      <c r="A1685" s="317"/>
      <c r="B1685" s="358"/>
      <c r="C1685" s="359"/>
      <c r="D1685" s="359"/>
      <c r="E1685" s="315"/>
      <c r="F1685" s="315"/>
      <c r="AC1685" s="48">
        <f>IF(B1685&lt;&gt;"",1,0)</f>
        <v>0</v>
      </c>
      <c r="AD1685" s="48">
        <f t="shared" si="59"/>
        <v>0</v>
      </c>
      <c r="AE1685" s="48">
        <f>IF(D1685&lt;&gt;"",1,0)</f>
        <v>0</v>
      </c>
    </row>
    <row r="1686" spans="1:47" ht="14.5" hidden="1" thickTop="1" x14ac:dyDescent="0.3">
      <c r="A1686" s="317"/>
      <c r="B1686" s="315"/>
      <c r="C1686" s="315"/>
      <c r="D1686" s="315"/>
      <c r="E1686" s="315"/>
      <c r="F1686" s="315"/>
    </row>
    <row r="1687" spans="1:47" ht="25" hidden="1" customHeight="1" x14ac:dyDescent="0.3">
      <c r="A1687" s="317"/>
      <c r="B1687" s="349" t="s">
        <v>853</v>
      </c>
      <c r="C1687" s="349"/>
      <c r="D1687" s="350" t="str">
        <f>AJ1687</f>
        <v>Accumulative total: $10</v>
      </c>
      <c r="E1687" s="315"/>
      <c r="F1687" s="315"/>
      <c r="AD1687" s="52">
        <f>SUM(AE1687:AG1687)</f>
        <v>0</v>
      </c>
      <c r="AE1687" s="48">
        <f>IF(B1688=CI$1639,BY$1639,0)</f>
        <v>0</v>
      </c>
      <c r="AF1687" s="48">
        <f>IF(C1688=CI$1640,BY$1640,0)</f>
        <v>0</v>
      </c>
      <c r="AG1687" s="48">
        <f>IF(C1688=CI$1641,BY$1641,0)</f>
        <v>0</v>
      </c>
      <c r="AJ1687" s="48" t="str">
        <f>CONCATENATE(AS1687,AT1687)</f>
        <v>Accumulative total: $10</v>
      </c>
      <c r="AS1687" s="351" t="s">
        <v>833</v>
      </c>
      <c r="AT1687" s="48" t="str">
        <f>DOLLAR(AU1687,0)</f>
        <v>$10</v>
      </c>
      <c r="AU1687" s="48">
        <f>AD1687+AU1677</f>
        <v>10</v>
      </c>
    </row>
    <row r="1688" spans="1:47" ht="15" hidden="1" x14ac:dyDescent="0.3">
      <c r="A1688" s="317"/>
      <c r="B1688" s="352" t="s">
        <v>834</v>
      </c>
      <c r="C1688" s="1106" t="str">
        <f>AC1688</f>
        <v>PICK AN OPTION BEST FOR YOU</v>
      </c>
      <c r="D1688" s="1106"/>
      <c r="E1688" s="315"/>
      <c r="F1688" s="315"/>
      <c r="AC1688" s="353" t="s">
        <v>836</v>
      </c>
      <c r="AD1688" s="353"/>
      <c r="AE1688" s="353"/>
      <c r="AF1688" s="353"/>
      <c r="AG1688" s="353"/>
      <c r="AH1688" s="353"/>
      <c r="AI1688" s="353"/>
      <c r="AJ1688" s="353"/>
    </row>
    <row r="1689" spans="1:47" ht="14.5" hidden="1" thickBot="1" x14ac:dyDescent="0.35">
      <c r="A1689" s="317"/>
      <c r="B1689" s="354" t="s">
        <v>862</v>
      </c>
      <c r="C1689" s="1104" t="str">
        <f>AC1689</f>
        <v>click to go to AI06</v>
      </c>
      <c r="D1689" s="1104"/>
      <c r="E1689" s="315"/>
      <c r="F1689" s="315"/>
      <c r="AC1689" s="48" t="str">
        <f>IF(SUM(AD1690,AD1691,AD1692,AD1693,AD1694,AC1695,AD1695,AE1695)&lt;8,"click to go to AI06",AI1689)</f>
        <v>click to go to AI06</v>
      </c>
      <c r="AI1689" s="48" t="str">
        <f>CONCATENATE(AO1689,AQ1689,AT1689)</f>
        <v>Go to Employer 1  tab &gt;&gt;</v>
      </c>
      <c r="AO1689" s="48" t="s">
        <v>839</v>
      </c>
      <c r="AQ1689" s="48" t="str">
        <f>IF(C1690="","Employer 1 ",C1690)</f>
        <v xml:space="preserve">Employer 1 </v>
      </c>
      <c r="AT1689" s="48" t="s">
        <v>840</v>
      </c>
    </row>
    <row r="1690" spans="1:47" ht="17" hidden="1" customHeight="1" thickTop="1" thickBot="1" x14ac:dyDescent="0.35">
      <c r="A1690" s="317"/>
      <c r="B1690" s="315" t="s">
        <v>845</v>
      </c>
      <c r="C1690" s="356"/>
      <c r="D1690" s="357"/>
      <c r="E1690" s="315"/>
      <c r="F1690" s="315"/>
      <c r="AD1690" s="48">
        <f t="shared" ref="AD1690:AD1695" si="60">IF(C1690&lt;&gt;"",1,0)</f>
        <v>0</v>
      </c>
    </row>
    <row r="1691" spans="1:47" ht="17" hidden="1" customHeight="1" thickTop="1" thickBot="1" x14ac:dyDescent="0.35">
      <c r="A1691" s="317"/>
      <c r="B1691" s="315" t="s">
        <v>852</v>
      </c>
      <c r="C1691" s="356"/>
      <c r="D1691" s="357"/>
      <c r="E1691" s="315"/>
      <c r="F1691" s="315"/>
      <c r="AD1691" s="48">
        <f t="shared" si="60"/>
        <v>0</v>
      </c>
    </row>
    <row r="1692" spans="1:47" ht="17" hidden="1" customHeight="1" thickTop="1" thickBot="1" x14ac:dyDescent="0.35">
      <c r="A1692" s="317"/>
      <c r="B1692" s="315" t="s">
        <v>855</v>
      </c>
      <c r="C1692" s="356"/>
      <c r="D1692" s="357"/>
      <c r="E1692" s="315"/>
      <c r="F1692" s="315"/>
      <c r="AD1692" s="48">
        <f t="shared" si="60"/>
        <v>0</v>
      </c>
    </row>
    <row r="1693" spans="1:47" ht="17" hidden="1" customHeight="1" thickTop="1" thickBot="1" x14ac:dyDescent="0.35">
      <c r="A1693" s="317"/>
      <c r="B1693" s="315" t="s">
        <v>856</v>
      </c>
      <c r="C1693" s="1105"/>
      <c r="D1693" s="1105"/>
      <c r="E1693" s="315"/>
      <c r="F1693" s="315"/>
      <c r="AD1693" s="48">
        <f t="shared" si="60"/>
        <v>0</v>
      </c>
    </row>
    <row r="1694" spans="1:47" ht="17" hidden="1" customHeight="1" thickTop="1" thickBot="1" x14ac:dyDescent="0.35">
      <c r="A1694" s="317"/>
      <c r="B1694" s="315" t="s">
        <v>857</v>
      </c>
      <c r="C1694" s="359"/>
      <c r="D1694" s="359"/>
      <c r="E1694" s="315"/>
      <c r="F1694" s="315"/>
      <c r="AD1694" s="48">
        <f t="shared" si="60"/>
        <v>0</v>
      </c>
    </row>
    <row r="1695" spans="1:47" ht="17" hidden="1" customHeight="1" thickTop="1" thickBot="1" x14ac:dyDescent="0.35">
      <c r="A1695" s="317"/>
      <c r="B1695" s="358"/>
      <c r="C1695" s="359"/>
      <c r="D1695" s="359"/>
      <c r="E1695" s="315"/>
      <c r="F1695" s="315"/>
      <c r="AC1695" s="48">
        <f>IF(B1695&lt;&gt;"",1,0)</f>
        <v>0</v>
      </c>
      <c r="AD1695" s="48">
        <f t="shared" si="60"/>
        <v>0</v>
      </c>
      <c r="AE1695" s="48">
        <f>IF(D1695&lt;&gt;"",1,0)</f>
        <v>0</v>
      </c>
    </row>
    <row r="1696" spans="1:47" ht="14.5" hidden="1" thickTop="1" x14ac:dyDescent="0.3">
      <c r="A1696" s="317"/>
      <c r="B1696" s="315"/>
      <c r="C1696" s="315"/>
      <c r="D1696" s="315"/>
      <c r="E1696" s="315"/>
      <c r="F1696" s="315"/>
    </row>
    <row r="1697" spans="1:54" hidden="1" x14ac:dyDescent="0.3">
      <c r="A1697" s="317"/>
      <c r="B1697" s="315"/>
      <c r="C1697" s="315"/>
      <c r="D1697" s="315"/>
      <c r="E1697" s="315"/>
      <c r="F1697" s="315"/>
    </row>
    <row r="1698" spans="1:54" ht="15" hidden="1" customHeight="1" x14ac:dyDescent="0.3">
      <c r="A1698" s="317"/>
      <c r="B1698" s="315"/>
      <c r="C1698" s="360"/>
      <c r="D1698" s="360"/>
      <c r="E1698" s="315"/>
      <c r="F1698" s="315"/>
    </row>
    <row r="1699" spans="1:54" hidden="1" x14ac:dyDescent="0.3">
      <c r="A1699" s="317"/>
      <c r="B1699" s="315"/>
      <c r="C1699" s="315"/>
      <c r="D1699" s="315"/>
      <c r="E1699" s="315"/>
      <c r="F1699" s="315"/>
    </row>
    <row r="1700" spans="1:54" hidden="1" x14ac:dyDescent="0.3">
      <c r="A1700" s="317"/>
      <c r="B1700" s="315"/>
      <c r="C1700" s="315"/>
      <c r="D1700" s="315"/>
      <c r="E1700" s="315"/>
      <c r="F1700" s="315"/>
    </row>
    <row r="1701" spans="1:54" hidden="1" x14ac:dyDescent="0.3">
      <c r="A1701" s="317"/>
      <c r="B1701" s="315"/>
      <c r="C1701" s="315"/>
      <c r="D1701" s="315"/>
      <c r="E1701" s="315"/>
      <c r="F1701" s="315"/>
    </row>
    <row r="1702" spans="1:54" hidden="1" x14ac:dyDescent="0.3">
      <c r="A1702" s="317"/>
      <c r="B1702" s="315"/>
      <c r="C1702" s="315"/>
      <c r="D1702" s="315"/>
      <c r="E1702" s="315"/>
      <c r="F1702" s="315"/>
    </row>
    <row r="1703" spans="1:54" hidden="1" x14ac:dyDescent="0.3">
      <c r="A1703" s="317"/>
      <c r="B1703" s="315"/>
      <c r="C1703" s="315"/>
      <c r="D1703" s="315"/>
      <c r="E1703" s="315"/>
      <c r="F1703" s="315"/>
    </row>
    <row r="1704" spans="1:54" ht="30" hidden="1" customHeight="1" x14ac:dyDescent="0.3">
      <c r="A1704" s="317"/>
      <c r="B1704" s="315"/>
      <c r="C1704" s="315"/>
      <c r="D1704" s="315"/>
      <c r="E1704" s="315"/>
      <c r="F1704" s="315"/>
    </row>
    <row r="1705" spans="1:54" ht="10" hidden="1" customHeight="1" x14ac:dyDescent="0.3">
      <c r="A1705" s="317"/>
      <c r="B1705" s="361"/>
      <c r="C1705" s="315"/>
      <c r="D1705" s="315"/>
      <c r="E1705" s="315"/>
      <c r="F1705" s="315"/>
    </row>
    <row r="1706" spans="1:54" ht="30" hidden="1" customHeight="1" x14ac:dyDescent="0.3">
      <c r="A1706" s="39" t="s">
        <v>92</v>
      </c>
      <c r="B1706" s="40" t="s">
        <v>863</v>
      </c>
      <c r="C1706" s="39"/>
      <c r="D1706" s="39"/>
      <c r="E1706" s="39"/>
      <c r="F1706" s="39"/>
      <c r="BB1706" s="48"/>
    </row>
    <row r="1707" spans="1:54" ht="17.5" hidden="1" x14ac:dyDescent="0.3">
      <c r="A1707" s="41"/>
      <c r="B1707" s="1016"/>
      <c r="C1707" s="1016"/>
      <c r="D1707" s="1016"/>
      <c r="E1707" s="42"/>
      <c r="F1707" s="97"/>
      <c r="BB1707" s="48"/>
    </row>
    <row r="1708" spans="1:54" hidden="1" x14ac:dyDescent="0.3">
      <c r="A1708" s="362"/>
      <c r="B1708" s="362"/>
      <c r="C1708" s="362"/>
      <c r="D1708" s="362"/>
      <c r="E1708" s="362"/>
      <c r="F1708" s="1"/>
      <c r="AC1708" s="48" t="s">
        <v>239</v>
      </c>
      <c r="AE1708" s="48" t="s">
        <v>864</v>
      </c>
      <c r="AJ1708" s="48">
        <v>200</v>
      </c>
      <c r="BB1708" s="48"/>
    </row>
    <row r="1709" spans="1:54" hidden="1" x14ac:dyDescent="0.3">
      <c r="A1709" s="362"/>
      <c r="B1709" s="234" t="s">
        <v>865</v>
      </c>
      <c r="C1709" s="234" t="s">
        <v>866</v>
      </c>
      <c r="D1709" s="234" t="s">
        <v>867</v>
      </c>
      <c r="E1709" s="362"/>
      <c r="F1709" s="1"/>
      <c r="BB1709" s="48"/>
    </row>
    <row r="1710" spans="1:54" hidden="1" x14ac:dyDescent="0.3">
      <c r="A1710" s="362"/>
      <c r="B1710" s="4"/>
      <c r="C1710" s="4"/>
      <c r="D1710" s="4"/>
      <c r="E1710" s="362"/>
      <c r="F1710" s="1"/>
      <c r="BB1710" s="48"/>
    </row>
    <row r="1711" spans="1:54" hidden="1" x14ac:dyDescent="0.3">
      <c r="A1711" s="362"/>
      <c r="B1711" s="363" t="s">
        <v>868</v>
      </c>
      <c r="C1711" s="363" t="str">
        <f>CONCATENATE(AD1711,AE1711)</f>
        <v>0 hours</v>
      </c>
      <c r="D1711" s="151"/>
      <c r="E1711" s="362"/>
      <c r="F1711" s="1"/>
      <c r="AD1711" s="48">
        <f>ROUND($AX$499,0)</f>
        <v>0</v>
      </c>
      <c r="AE1711" s="48" t="str">
        <f>AL499</f>
        <v xml:space="preserve"> hours</v>
      </c>
      <c r="BB1711" s="48"/>
    </row>
    <row r="1712" spans="1:54" ht="14.5" hidden="1" x14ac:dyDescent="0.35">
      <c r="A1712" s="362"/>
      <c r="B1712" s="364" t="str">
        <f>CONCATENATE(AE1712,AB1712,AC1712)</f>
        <v>Min. rate $10</v>
      </c>
      <c r="C1712" s="364" t="str">
        <f>CONCATENATE(AL1712,AB1712,AI1712)</f>
        <v xml:space="preserve"> low bid  $0</v>
      </c>
      <c r="D1712" s="364" t="str">
        <f>CONCATENATE(AO1712,AU1712,AQ1712)</f>
        <v>10% down to start</v>
      </c>
      <c r="E1712" s="362"/>
      <c r="F1712" s="1"/>
      <c r="AB1712" s="48" t="s">
        <v>869</v>
      </c>
      <c r="AC1712" s="1085">
        <v>10</v>
      </c>
      <c r="AD1712" s="968"/>
      <c r="AE1712" s="337" t="s">
        <v>870</v>
      </c>
      <c r="AI1712" s="1085">
        <f>AD1711*AC1712</f>
        <v>0</v>
      </c>
      <c r="AJ1712" s="968"/>
      <c r="AK1712" s="968"/>
      <c r="AL1712" s="48" t="s">
        <v>871</v>
      </c>
      <c r="AO1712" s="1005">
        <f>$BH$356*100</f>
        <v>10</v>
      </c>
      <c r="AP1712" s="968"/>
      <c r="AQ1712" s="48" t="s">
        <v>872</v>
      </c>
      <c r="BB1712" s="48"/>
    </row>
    <row r="1713" spans="1:54" ht="14.5" hidden="1" x14ac:dyDescent="0.35">
      <c r="A1713" s="362"/>
      <c r="B1713" s="364" t="str">
        <f>CONCATENATE(AE1713,AB1713,AC1713)</f>
        <v>Max. rate $25</v>
      </c>
      <c r="C1713" s="364" t="str">
        <f>CONCATENATE(AL1713,AB1713,AI1713)</f>
        <v xml:space="preserve"> high bid  $0</v>
      </c>
      <c r="D1713" s="364" t="str">
        <f>CONCATENATE(AQ1713,AB1713,AO1713)</f>
        <v>minimum to start:  $0</v>
      </c>
      <c r="E1713" s="362"/>
      <c r="F1713" s="1"/>
      <c r="AB1713" s="48" t="s">
        <v>869</v>
      </c>
      <c r="AC1713" s="1085">
        <v>25</v>
      </c>
      <c r="AD1713" s="968"/>
      <c r="AE1713" s="337" t="s">
        <v>873</v>
      </c>
      <c r="AI1713" s="1085">
        <f>AD1711*AC1713</f>
        <v>0</v>
      </c>
      <c r="AJ1713" s="968"/>
      <c r="AK1713" s="968"/>
      <c r="AL1713" s="48" t="s">
        <v>874</v>
      </c>
      <c r="AO1713" s="1024">
        <f>AI1712*(AO1712*0.01)</f>
        <v>0</v>
      </c>
      <c r="AP1713" s="927"/>
      <c r="AQ1713" s="48" t="s">
        <v>875</v>
      </c>
      <c r="BB1713" s="48"/>
    </row>
    <row r="1714" spans="1:54" hidden="1" x14ac:dyDescent="0.3">
      <c r="A1714" s="362"/>
      <c r="B1714" s="362"/>
      <c r="C1714" s="362"/>
      <c r="D1714" s="362"/>
      <c r="E1714" s="362"/>
      <c r="F1714" s="1"/>
      <c r="BB1714" s="48"/>
    </row>
    <row r="1715" spans="1:54" hidden="1" x14ac:dyDescent="0.3">
      <c r="A1715" s="362"/>
      <c r="B1715" s="234" t="s">
        <v>865</v>
      </c>
      <c r="C1715" s="234" t="s">
        <v>866</v>
      </c>
      <c r="D1715" s="234" t="s">
        <v>867</v>
      </c>
      <c r="E1715" s="362"/>
      <c r="F1715" s="1"/>
      <c r="BB1715" s="48"/>
    </row>
    <row r="1716" spans="1:54" hidden="1" x14ac:dyDescent="0.3">
      <c r="A1716" s="362"/>
      <c r="B1716" s="4"/>
      <c r="C1716" s="4"/>
      <c r="D1716" s="4"/>
      <c r="E1716" s="362"/>
      <c r="F1716" s="1"/>
      <c r="BB1716" s="48"/>
    </row>
    <row r="1717" spans="1:54" hidden="1" x14ac:dyDescent="0.3">
      <c r="A1717" s="362"/>
      <c r="B1717" s="363" t="s">
        <v>868</v>
      </c>
      <c r="C1717" s="363" t="str">
        <f>CONCATENATE(AD1717,AE1717)</f>
        <v>0 hours</v>
      </c>
      <c r="D1717" s="151"/>
      <c r="E1717" s="362"/>
      <c r="F1717" s="1"/>
      <c r="AD1717" s="48">
        <f>ROUND($AX$499,0)</f>
        <v>0</v>
      </c>
      <c r="AE1717" s="48" t="str">
        <f>AE1711</f>
        <v xml:space="preserve"> hours</v>
      </c>
      <c r="BB1717" s="48"/>
    </row>
    <row r="1718" spans="1:54" ht="14.5" hidden="1" x14ac:dyDescent="0.35">
      <c r="A1718" s="362"/>
      <c r="B1718" s="364" t="str">
        <f>CONCATENATE(AE1718,AB1718,AC1718)</f>
        <v>Min. rate $10</v>
      </c>
      <c r="C1718" s="364" t="str">
        <f>CONCATENATE(AL1718,AB1718,AI1718)</f>
        <v xml:space="preserve"> low bid  $0</v>
      </c>
      <c r="D1718" s="364" t="str">
        <f>CONCATENATE(AO1718,AU1718,AQ1718)</f>
        <v>10% down to start</v>
      </c>
      <c r="E1718" s="362"/>
      <c r="F1718" s="1"/>
      <c r="AB1718" s="48" t="s">
        <v>869</v>
      </c>
      <c r="AC1718" s="1085">
        <v>10</v>
      </c>
      <c r="AD1718" s="968"/>
      <c r="AE1718" s="337" t="s">
        <v>870</v>
      </c>
      <c r="AI1718" s="1085">
        <f>AD1717*AC1718</f>
        <v>0</v>
      </c>
      <c r="AJ1718" s="968"/>
      <c r="AK1718" s="968"/>
      <c r="AL1718" s="48" t="s">
        <v>871</v>
      </c>
      <c r="AO1718" s="1005">
        <f>$BH$356*100</f>
        <v>10</v>
      </c>
      <c r="AP1718" s="968"/>
      <c r="AQ1718" s="48" t="s">
        <v>872</v>
      </c>
      <c r="BB1718" s="48"/>
    </row>
    <row r="1719" spans="1:54" ht="14.5" hidden="1" x14ac:dyDescent="0.35">
      <c r="A1719" s="362"/>
      <c r="B1719" s="364" t="str">
        <f>CONCATENATE(AE1719,AB1719,AC1719)</f>
        <v>Max. rate $25</v>
      </c>
      <c r="C1719" s="364" t="str">
        <f>CONCATENATE(AL1719,AB1719,AI1719)</f>
        <v xml:space="preserve"> high bid  $0</v>
      </c>
      <c r="D1719" s="364" t="str">
        <f>CONCATENATE(AQ1719,AB1719,AO1719)</f>
        <v>minimum to start:  $0</v>
      </c>
      <c r="E1719" s="362"/>
      <c r="F1719" s="1"/>
      <c r="AB1719" s="48" t="s">
        <v>869</v>
      </c>
      <c r="AC1719" s="1085">
        <v>25</v>
      </c>
      <c r="AD1719" s="968"/>
      <c r="AE1719" s="337" t="s">
        <v>873</v>
      </c>
      <c r="AI1719" s="1085">
        <f>AD1717*AC1719</f>
        <v>0</v>
      </c>
      <c r="AJ1719" s="968"/>
      <c r="AK1719" s="968"/>
      <c r="AL1719" s="48" t="s">
        <v>874</v>
      </c>
      <c r="AO1719" s="1024">
        <f>AI1718*(AO1718*0.01)</f>
        <v>0</v>
      </c>
      <c r="AP1719" s="927"/>
      <c r="AQ1719" s="48" t="s">
        <v>875</v>
      </c>
      <c r="BB1719" s="48"/>
    </row>
    <row r="1720" spans="1:54" hidden="1" x14ac:dyDescent="0.3">
      <c r="A1720" s="362"/>
      <c r="B1720" s="362"/>
      <c r="C1720" s="362"/>
      <c r="D1720" s="362"/>
      <c r="E1720" s="362"/>
      <c r="F1720" s="1"/>
      <c r="BB1720" s="48"/>
    </row>
    <row r="1721" spans="1:54" hidden="1" x14ac:dyDescent="0.3">
      <c r="A1721" s="362"/>
      <c r="B1721" s="234" t="s">
        <v>865</v>
      </c>
      <c r="C1721" s="234" t="s">
        <v>866</v>
      </c>
      <c r="D1721" s="234" t="s">
        <v>867</v>
      </c>
      <c r="E1721" s="362"/>
      <c r="F1721" s="1"/>
      <c r="BB1721" s="48"/>
    </row>
    <row r="1722" spans="1:54" hidden="1" x14ac:dyDescent="0.3">
      <c r="A1722" s="362"/>
      <c r="B1722" s="4"/>
      <c r="C1722" s="4"/>
      <c r="D1722" s="4"/>
      <c r="E1722" s="362"/>
      <c r="F1722" s="1"/>
      <c r="BB1722" s="48"/>
    </row>
    <row r="1723" spans="1:54" hidden="1" x14ac:dyDescent="0.3">
      <c r="A1723" s="362"/>
      <c r="B1723" s="363" t="s">
        <v>868</v>
      </c>
      <c r="C1723" s="363" t="str">
        <f>CONCATENATE(AD1723,AE1723)</f>
        <v>0 hours</v>
      </c>
      <c r="D1723" s="151"/>
      <c r="E1723" s="362"/>
      <c r="F1723" s="1"/>
      <c r="AD1723" s="48">
        <f>ROUND($AX$499,0)</f>
        <v>0</v>
      </c>
      <c r="AE1723" s="48" t="str">
        <f>AE1717</f>
        <v xml:space="preserve"> hours</v>
      </c>
      <c r="BB1723" s="48"/>
    </row>
    <row r="1724" spans="1:54" ht="14.5" hidden="1" x14ac:dyDescent="0.35">
      <c r="A1724" s="362"/>
      <c r="B1724" s="364" t="str">
        <f>CONCATENATE(AE1724,AB1724,AC1724)</f>
        <v>Min. rate $40</v>
      </c>
      <c r="C1724" s="364" t="str">
        <f>CONCATENATE(AL1724,AB1724,AI1724)</f>
        <v xml:space="preserve"> low bid  $0</v>
      </c>
      <c r="D1724" s="364" t="str">
        <f>CONCATENATE(AO1724,AU1724,AQ1724)</f>
        <v>10% down to start</v>
      </c>
      <c r="E1724" s="362"/>
      <c r="F1724" s="1"/>
      <c r="AB1724" s="48" t="s">
        <v>869</v>
      </c>
      <c r="AC1724" s="1085">
        <v>40</v>
      </c>
      <c r="AD1724" s="968"/>
      <c r="AE1724" s="337" t="s">
        <v>870</v>
      </c>
      <c r="AI1724" s="1085">
        <f>AD1723*AC1724</f>
        <v>0</v>
      </c>
      <c r="AJ1724" s="968"/>
      <c r="AK1724" s="968"/>
      <c r="AL1724" s="48" t="s">
        <v>871</v>
      </c>
      <c r="AO1724" s="1005">
        <f>$BH$356*100</f>
        <v>10</v>
      </c>
      <c r="AP1724" s="968"/>
      <c r="AQ1724" s="48" t="s">
        <v>872</v>
      </c>
      <c r="BB1724" s="48"/>
    </row>
    <row r="1725" spans="1:54" ht="14.5" hidden="1" x14ac:dyDescent="0.35">
      <c r="A1725" s="362"/>
      <c r="B1725" s="364" t="str">
        <f>CONCATENATE(AE1725,AB1725,AC1725)</f>
        <v>Max. rate $55</v>
      </c>
      <c r="C1725" s="364" t="str">
        <f>CONCATENATE(AL1725,AB1725,AI1725)</f>
        <v xml:space="preserve"> high bid  $0</v>
      </c>
      <c r="D1725" s="364" t="str">
        <f>CONCATENATE(AQ1725,AB1725,AO1725)</f>
        <v>minimum to start:  $0</v>
      </c>
      <c r="E1725" s="362"/>
      <c r="F1725" s="1"/>
      <c r="AB1725" s="48" t="s">
        <v>869</v>
      </c>
      <c r="AC1725" s="1085">
        <v>55</v>
      </c>
      <c r="AD1725" s="968"/>
      <c r="AE1725" s="337" t="s">
        <v>873</v>
      </c>
      <c r="AI1725" s="1085">
        <f>AD1723*AC1725</f>
        <v>0</v>
      </c>
      <c r="AJ1725" s="968"/>
      <c r="AK1725" s="968"/>
      <c r="AL1725" s="48" t="s">
        <v>874</v>
      </c>
      <c r="AO1725" s="1024">
        <f>AI1724*(AO1724*0.01)</f>
        <v>0</v>
      </c>
      <c r="AP1725" s="927"/>
      <c r="AQ1725" s="48" t="s">
        <v>875</v>
      </c>
      <c r="BB1725" s="48"/>
    </row>
    <row r="1726" spans="1:54" hidden="1" x14ac:dyDescent="0.3">
      <c r="A1726" s="362"/>
      <c r="B1726" s="362"/>
      <c r="C1726" s="362"/>
      <c r="D1726" s="362"/>
      <c r="E1726" s="362"/>
      <c r="F1726" s="1"/>
      <c r="BB1726" s="48"/>
    </row>
    <row r="1727" spans="1:54" hidden="1" x14ac:dyDescent="0.3">
      <c r="A1727" s="362"/>
      <c r="B1727" s="234" t="s">
        <v>865</v>
      </c>
      <c r="C1727" s="234" t="s">
        <v>866</v>
      </c>
      <c r="D1727" s="234" t="s">
        <v>867</v>
      </c>
      <c r="E1727" s="362"/>
      <c r="F1727" s="1"/>
      <c r="BB1727" s="48"/>
    </row>
    <row r="1728" spans="1:54" hidden="1" x14ac:dyDescent="0.3">
      <c r="A1728" s="362"/>
      <c r="B1728" s="4"/>
      <c r="C1728" s="4"/>
      <c r="D1728" s="4"/>
      <c r="E1728" s="362"/>
      <c r="F1728" s="1"/>
      <c r="BB1728" s="48"/>
    </row>
    <row r="1729" spans="1:54" hidden="1" x14ac:dyDescent="0.3">
      <c r="A1729" s="362"/>
      <c r="B1729" s="363" t="s">
        <v>868</v>
      </c>
      <c r="C1729" s="363" t="str">
        <f>CONCATENATE(AD1729,AE1729)</f>
        <v>0 hours</v>
      </c>
      <c r="D1729" s="151"/>
      <c r="E1729" s="362"/>
      <c r="F1729" s="1"/>
      <c r="AD1729" s="48">
        <f>ROUND($AX$499,0)</f>
        <v>0</v>
      </c>
      <c r="AE1729" s="48" t="str">
        <f>AE1723</f>
        <v xml:space="preserve"> hours</v>
      </c>
      <c r="BB1729" s="48"/>
    </row>
    <row r="1730" spans="1:54" ht="14.5" hidden="1" x14ac:dyDescent="0.35">
      <c r="A1730" s="362"/>
      <c r="B1730" s="364" t="str">
        <f>CONCATENATE(AE1730,AB1730,AC1730)</f>
        <v>Min. rate $70</v>
      </c>
      <c r="C1730" s="364" t="str">
        <f>CONCATENATE(AL1730,AB1730,AI1730)</f>
        <v xml:space="preserve"> low bid  $0</v>
      </c>
      <c r="D1730" s="364" t="str">
        <f>CONCATENATE(AO1730,AU1730,AQ1730)</f>
        <v>10% down to start</v>
      </c>
      <c r="E1730" s="362"/>
      <c r="F1730" s="1"/>
      <c r="AB1730" s="48" t="s">
        <v>869</v>
      </c>
      <c r="AC1730" s="1085">
        <v>70</v>
      </c>
      <c r="AD1730" s="968"/>
      <c r="AE1730" s="337" t="s">
        <v>870</v>
      </c>
      <c r="AI1730" s="1085">
        <f>AD1729*AC1730</f>
        <v>0</v>
      </c>
      <c r="AJ1730" s="968"/>
      <c r="AK1730" s="968"/>
      <c r="AL1730" s="48" t="s">
        <v>871</v>
      </c>
      <c r="AO1730" s="1005">
        <f>$BH$356*100</f>
        <v>10</v>
      </c>
      <c r="AP1730" s="968"/>
      <c r="AQ1730" s="48" t="s">
        <v>872</v>
      </c>
      <c r="BB1730" s="48"/>
    </row>
    <row r="1731" spans="1:54" ht="14.5" hidden="1" x14ac:dyDescent="0.35">
      <c r="A1731" s="362"/>
      <c r="B1731" s="364" t="str">
        <f>CONCATENATE(AE1731,AB1731,AC1731)</f>
        <v>Max. rate $85</v>
      </c>
      <c r="C1731" s="364" t="str">
        <f>CONCATENATE(AL1731,AB1731,AI1731)</f>
        <v xml:space="preserve"> high bid  $0</v>
      </c>
      <c r="D1731" s="364" t="str">
        <f>CONCATENATE(AQ1731,AB1731,AO1731)</f>
        <v>minimum to start:  $0</v>
      </c>
      <c r="E1731" s="362"/>
      <c r="F1731" s="1"/>
      <c r="AB1731" s="48" t="s">
        <v>869</v>
      </c>
      <c r="AC1731" s="1085">
        <v>85</v>
      </c>
      <c r="AD1731" s="968"/>
      <c r="AE1731" s="337" t="s">
        <v>873</v>
      </c>
      <c r="AI1731" s="1085">
        <f>AD1729*AC1731</f>
        <v>0</v>
      </c>
      <c r="AJ1731" s="968"/>
      <c r="AK1731" s="968"/>
      <c r="AL1731" s="48" t="s">
        <v>874</v>
      </c>
      <c r="AO1731" s="1024">
        <f>AI1730*(AO1730*0.01)</f>
        <v>0</v>
      </c>
      <c r="AP1731" s="927"/>
      <c r="AQ1731" s="48" t="s">
        <v>875</v>
      </c>
      <c r="BB1731" s="48"/>
    </row>
    <row r="1732" spans="1:54" hidden="1" x14ac:dyDescent="0.3">
      <c r="A1732" s="362"/>
      <c r="B1732" s="362"/>
      <c r="C1732" s="362"/>
      <c r="D1732" s="362"/>
      <c r="E1732" s="362"/>
      <c r="F1732" s="1"/>
      <c r="BB1732" s="48"/>
    </row>
    <row r="1733" spans="1:54" hidden="1" x14ac:dyDescent="0.3">
      <c r="A1733" s="362"/>
      <c r="B1733" s="234" t="s">
        <v>865</v>
      </c>
      <c r="C1733" s="234" t="s">
        <v>866</v>
      </c>
      <c r="D1733" s="234" t="s">
        <v>867</v>
      </c>
      <c r="E1733" s="362"/>
      <c r="F1733" s="1"/>
      <c r="BB1733" s="48"/>
    </row>
    <row r="1734" spans="1:54" hidden="1" x14ac:dyDescent="0.3">
      <c r="A1734" s="362"/>
      <c r="B1734" s="4"/>
      <c r="C1734" s="4"/>
      <c r="D1734" s="4"/>
      <c r="E1734" s="362"/>
      <c r="F1734" s="1"/>
      <c r="BB1734" s="48"/>
    </row>
    <row r="1735" spans="1:54" hidden="1" x14ac:dyDescent="0.3">
      <c r="A1735" s="362"/>
      <c r="B1735" s="363" t="s">
        <v>868</v>
      </c>
      <c r="C1735" s="363" t="str">
        <f>CONCATENATE(AD1735,AE1735)</f>
        <v>0 hours</v>
      </c>
      <c r="D1735" s="151"/>
      <c r="E1735" s="362"/>
      <c r="F1735" s="1"/>
      <c r="AD1735" s="48">
        <f>ROUND($AX$499,0)</f>
        <v>0</v>
      </c>
      <c r="AE1735" s="48" t="str">
        <f>AE1729</f>
        <v xml:space="preserve"> hours</v>
      </c>
      <c r="BB1735" s="48"/>
    </row>
    <row r="1736" spans="1:54" ht="14.5" hidden="1" x14ac:dyDescent="0.35">
      <c r="A1736" s="362"/>
      <c r="B1736" s="364" t="str">
        <f>CONCATENATE(AE1736,AB1736,AC1736)</f>
        <v>Min. rate $100</v>
      </c>
      <c r="C1736" s="364" t="str">
        <f>CONCATENATE(AL1736,AB1736,AI1736)</f>
        <v xml:space="preserve"> low bid  $0</v>
      </c>
      <c r="D1736" s="364" t="str">
        <f>CONCATENATE(AO1736,AU1736,AQ1736)</f>
        <v>10% down to start</v>
      </c>
      <c r="E1736" s="362"/>
      <c r="F1736" s="1"/>
      <c r="AB1736" s="48" t="s">
        <v>869</v>
      </c>
      <c r="AC1736" s="1085">
        <v>100</v>
      </c>
      <c r="AD1736" s="968"/>
      <c r="AE1736" s="337" t="s">
        <v>870</v>
      </c>
      <c r="AI1736" s="1085">
        <f>AD1735*AC1736</f>
        <v>0</v>
      </c>
      <c r="AJ1736" s="968"/>
      <c r="AK1736" s="968"/>
      <c r="AL1736" s="48" t="s">
        <v>871</v>
      </c>
      <c r="AO1736" s="1005">
        <f>$BH$356*100</f>
        <v>10</v>
      </c>
      <c r="AP1736" s="968"/>
      <c r="AQ1736" s="48" t="s">
        <v>872</v>
      </c>
      <c r="BB1736" s="48"/>
    </row>
    <row r="1737" spans="1:54" ht="14.5" hidden="1" x14ac:dyDescent="0.35">
      <c r="A1737" s="362"/>
      <c r="B1737" s="364" t="str">
        <f>CONCATENATE(AE1737,AB1737,AC1737)</f>
        <v>Max. rate $115</v>
      </c>
      <c r="C1737" s="364" t="str">
        <f>CONCATENATE(AL1737,AB1737,AI1737)</f>
        <v xml:space="preserve"> high bid  $0</v>
      </c>
      <c r="D1737" s="364" t="str">
        <f>CONCATENATE(AQ1737,AB1737,AO1737)</f>
        <v>minimum to start:  $0</v>
      </c>
      <c r="E1737" s="362"/>
      <c r="F1737" s="1"/>
      <c r="AB1737" s="48" t="s">
        <v>869</v>
      </c>
      <c r="AC1737" s="1085">
        <v>115</v>
      </c>
      <c r="AD1737" s="968"/>
      <c r="AE1737" s="337" t="s">
        <v>873</v>
      </c>
      <c r="AI1737" s="1085">
        <f>AD1735*AC1737</f>
        <v>0</v>
      </c>
      <c r="AJ1737" s="968"/>
      <c r="AK1737" s="968"/>
      <c r="AL1737" s="48" t="s">
        <v>874</v>
      </c>
      <c r="AO1737" s="1024">
        <f>AI1736*(AO1736*0.01)</f>
        <v>0</v>
      </c>
      <c r="AP1737" s="927"/>
      <c r="AQ1737" s="48" t="s">
        <v>875</v>
      </c>
      <c r="BB1737" s="48"/>
    </row>
    <row r="1738" spans="1:54" hidden="1" x14ac:dyDescent="0.3">
      <c r="A1738" s="362"/>
      <c r="B1738" s="362"/>
      <c r="C1738" s="362"/>
      <c r="D1738" s="362"/>
      <c r="E1738" s="362"/>
      <c r="F1738" s="1"/>
      <c r="BB1738" s="48"/>
    </row>
    <row r="1739" spans="1:54" hidden="1" x14ac:dyDescent="0.3">
      <c r="A1739" s="362"/>
      <c r="B1739" s="362"/>
      <c r="C1739" s="362"/>
      <c r="D1739" s="362"/>
      <c r="E1739" s="362"/>
      <c r="F1739" s="1"/>
      <c r="BB1739" s="48"/>
    </row>
    <row r="1740" spans="1:54" hidden="1" x14ac:dyDescent="0.3">
      <c r="A1740" s="362"/>
      <c r="B1740" s="362"/>
      <c r="C1740" s="362"/>
      <c r="D1740" s="362"/>
      <c r="E1740" s="362"/>
      <c r="F1740" s="1"/>
      <c r="BB1740" s="48"/>
    </row>
    <row r="1741" spans="1:54" hidden="1" x14ac:dyDescent="0.3">
      <c r="A1741" s="362"/>
      <c r="B1741" s="362"/>
      <c r="C1741" s="362"/>
      <c r="D1741" s="362"/>
      <c r="E1741" s="362"/>
      <c r="F1741" s="1"/>
      <c r="BB1741" s="48"/>
    </row>
    <row r="1742" spans="1:54" hidden="1" x14ac:dyDescent="0.3">
      <c r="A1742" s="362"/>
      <c r="B1742" s="362"/>
      <c r="C1742" s="362"/>
      <c r="D1742" s="362"/>
      <c r="E1742" s="362"/>
      <c r="F1742" s="1"/>
      <c r="BB1742" s="48"/>
    </row>
    <row r="1743" spans="1:54" hidden="1" x14ac:dyDescent="0.3">
      <c r="A1743" s="362"/>
      <c r="B1743" s="362"/>
      <c r="C1743" s="362"/>
      <c r="D1743" s="362"/>
      <c r="E1743" s="362"/>
      <c r="F1743" s="1"/>
    </row>
    <row r="1744" spans="1:54" hidden="1" x14ac:dyDescent="0.3">
      <c r="A1744" s="362"/>
      <c r="B1744" s="362"/>
      <c r="C1744" s="362"/>
      <c r="D1744" s="362"/>
      <c r="E1744" s="362"/>
      <c r="F1744" s="1"/>
    </row>
    <row r="1745" spans="1:6" hidden="1" x14ac:dyDescent="0.3">
      <c r="A1745" s="362"/>
      <c r="B1745" s="362"/>
      <c r="C1745" s="362"/>
      <c r="D1745" s="362"/>
      <c r="E1745" s="362"/>
      <c r="F1745" s="1"/>
    </row>
    <row r="1746" spans="1:6" hidden="1" x14ac:dyDescent="0.3">
      <c r="A1746" s="362"/>
      <c r="B1746" s="362"/>
      <c r="C1746" s="362"/>
      <c r="D1746" s="362"/>
      <c r="E1746" s="362"/>
      <c r="F1746" s="1"/>
    </row>
    <row r="1747" spans="1:6" hidden="1" x14ac:dyDescent="0.3">
      <c r="A1747" s="362"/>
      <c r="B1747" s="362"/>
      <c r="C1747" s="362"/>
      <c r="D1747" s="362"/>
      <c r="E1747" s="362"/>
      <c r="F1747" s="1"/>
    </row>
    <row r="1748" spans="1:6" hidden="1" x14ac:dyDescent="0.3">
      <c r="A1748" s="362"/>
      <c r="B1748" s="362"/>
      <c r="C1748" s="362"/>
      <c r="D1748" s="362"/>
      <c r="E1748" s="362"/>
      <c r="F1748" s="1"/>
    </row>
    <row r="1749" spans="1:6" hidden="1" x14ac:dyDescent="0.3">
      <c r="A1749" s="362"/>
      <c r="B1749" s="362"/>
      <c r="C1749" s="362"/>
      <c r="D1749" s="362"/>
      <c r="E1749" s="362"/>
      <c r="F1749" s="1"/>
    </row>
    <row r="1750" spans="1:6" hidden="1" x14ac:dyDescent="0.3">
      <c r="A1750" s="362"/>
      <c r="B1750" s="362"/>
      <c r="C1750" s="362"/>
      <c r="D1750" s="362"/>
      <c r="E1750" s="362"/>
      <c r="F1750" s="1"/>
    </row>
    <row r="1751" spans="1:6" hidden="1" x14ac:dyDescent="0.3">
      <c r="A1751" s="362"/>
      <c r="B1751" s="362"/>
      <c r="C1751" s="362"/>
      <c r="D1751" s="362"/>
      <c r="E1751" s="362"/>
      <c r="F1751" s="1"/>
    </row>
    <row r="1752" spans="1:6" hidden="1" x14ac:dyDescent="0.3">
      <c r="A1752" s="362"/>
      <c r="B1752" s="362"/>
      <c r="C1752" s="362"/>
      <c r="D1752" s="362"/>
      <c r="E1752" s="362"/>
      <c r="F1752" s="1"/>
    </row>
    <row r="1753" spans="1:6" ht="30" customHeight="1" x14ac:dyDescent="0.3">
      <c r="A1753" s="862" t="s">
        <v>228</v>
      </c>
      <c r="B1753" s="862" t="s">
        <v>5573</v>
      </c>
      <c r="C1753" s="862"/>
      <c r="D1753" s="872"/>
      <c r="E1753" s="864"/>
      <c r="F1753" s="864"/>
    </row>
    <row r="1754" spans="1:6" ht="13.75" customHeight="1" x14ac:dyDescent="0.3">
      <c r="A1754" s="485"/>
      <c r="B1754" s="485"/>
      <c r="C1754" s="485"/>
      <c r="D1754" s="485"/>
      <c r="E1754" s="485"/>
      <c r="F1754" s="475"/>
    </row>
    <row r="1755" spans="1:6" ht="15" customHeight="1" x14ac:dyDescent="0.3">
      <c r="A1755" s="485"/>
      <c r="B1755" s="587"/>
      <c r="C1755" s="485"/>
      <c r="D1755" s="485"/>
      <c r="E1755" s="485"/>
      <c r="F1755" s="475"/>
    </row>
    <row r="1756" spans="1:6" ht="15" customHeight="1" x14ac:dyDescent="0.3">
      <c r="A1756" s="485"/>
      <c r="B1756" s="587"/>
      <c r="C1756" s="485"/>
      <c r="D1756" s="485"/>
      <c r="E1756" s="485"/>
      <c r="F1756" s="475"/>
    </row>
    <row r="1757" spans="1:6" ht="13.75" customHeight="1" x14ac:dyDescent="0.3">
      <c r="A1757" s="485"/>
      <c r="B1757" s="587"/>
      <c r="C1757" s="485"/>
      <c r="D1757" s="485"/>
      <c r="E1757" s="485"/>
      <c r="F1757" s="475"/>
    </row>
    <row r="1758" spans="1:6" ht="13.75" customHeight="1" x14ac:dyDescent="0.3">
      <c r="A1758" s="485"/>
      <c r="B1758" s="587"/>
      <c r="C1758" s="485"/>
      <c r="D1758" s="485"/>
      <c r="E1758" s="485"/>
      <c r="F1758" s="475"/>
    </row>
    <row r="1759" spans="1:6" ht="13.75" customHeight="1" x14ac:dyDescent="0.3">
      <c r="A1759" s="485"/>
      <c r="B1759" s="587"/>
      <c r="C1759" s="485"/>
      <c r="D1759" s="485"/>
      <c r="E1759" s="485"/>
      <c r="F1759" s="475"/>
    </row>
    <row r="1760" spans="1:6" ht="18" customHeight="1" x14ac:dyDescent="0.3">
      <c r="A1760" s="485"/>
      <c r="B1760" s="587"/>
      <c r="C1760" s="485"/>
      <c r="D1760" s="485"/>
      <c r="E1760" s="485"/>
      <c r="F1760" s="475"/>
    </row>
    <row r="1761" spans="1:64" ht="18" customHeight="1" x14ac:dyDescent="0.3">
      <c r="A1761" s="485"/>
      <c r="B1761" s="587"/>
      <c r="C1761" s="485"/>
      <c r="D1761" s="485"/>
      <c r="E1761" s="485"/>
      <c r="F1761" s="475"/>
    </row>
    <row r="1762" spans="1:64" ht="16.75" customHeight="1" x14ac:dyDescent="0.3">
      <c r="A1762" s="485"/>
      <c r="B1762" s="587"/>
      <c r="C1762" s="485"/>
      <c r="D1762" s="485"/>
      <c r="E1762" s="485"/>
      <c r="F1762" s="475"/>
    </row>
    <row r="1763" spans="1:64" ht="25" customHeight="1" x14ac:dyDescent="0.3">
      <c r="A1763" s="485"/>
      <c r="B1763" s="587"/>
      <c r="C1763" s="485"/>
      <c r="D1763" s="485"/>
      <c r="E1763" s="485"/>
      <c r="F1763" s="475"/>
    </row>
    <row r="1764" spans="1:64" ht="13.75" customHeight="1" x14ac:dyDescent="0.3">
      <c r="A1764" s="485"/>
      <c r="B1764" s="587"/>
      <c r="C1764" s="485"/>
      <c r="D1764" s="485"/>
      <c r="E1764" s="485"/>
      <c r="F1764" s="475"/>
      <c r="BI1764" s="505" t="s">
        <v>4502</v>
      </c>
      <c r="BJ1764" s="4"/>
      <c r="BK1764" s="4"/>
      <c r="BL1764" s="4"/>
    </row>
    <row r="1765" spans="1:64" ht="13.75" customHeight="1" x14ac:dyDescent="0.3">
      <c r="A1765" s="485"/>
      <c r="B1765" s="587"/>
      <c r="C1765" s="485"/>
      <c r="D1765" s="485"/>
      <c r="E1765" s="485"/>
      <c r="F1765" s="475"/>
      <c r="O1765" s="503"/>
      <c r="BI1765" s="485" t="s">
        <v>3459</v>
      </c>
      <c r="BJ1765" s="4"/>
      <c r="BK1765" s="505" t="s">
        <v>3912</v>
      </c>
      <c r="BL1765" s="4"/>
    </row>
    <row r="1766" spans="1:64" ht="13.75" customHeight="1" x14ac:dyDescent="0.3">
      <c r="A1766" s="485"/>
      <c r="B1766" s="587"/>
      <c r="C1766" s="485"/>
      <c r="D1766" s="485"/>
      <c r="E1766" s="485"/>
      <c r="F1766" s="475"/>
      <c r="BI1766" s="4"/>
      <c r="BJ1766" s="504" t="s">
        <v>3520</v>
      </c>
      <c r="BK1766" s="486"/>
      <c r="BL1766" s="485" t="s">
        <v>3521</v>
      </c>
    </row>
    <row r="1767" spans="1:64" ht="13.75" customHeight="1" x14ac:dyDescent="0.3">
      <c r="A1767" s="485"/>
      <c r="B1767" s="587"/>
      <c r="C1767" s="485"/>
      <c r="D1767" s="485"/>
      <c r="E1767" s="1191"/>
      <c r="F1767" s="475"/>
      <c r="BI1767" s="4"/>
      <c r="BJ1767" s="4"/>
      <c r="BK1767" s="4"/>
      <c r="BL1767" s="4"/>
    </row>
    <row r="1768" spans="1:64" ht="13.75" customHeight="1" x14ac:dyDescent="0.3">
      <c r="A1768" s="485"/>
      <c r="B1768" s="587"/>
      <c r="C1768" s="485"/>
      <c r="D1768" s="485"/>
      <c r="E1768" s="588"/>
      <c r="F1768" s="588"/>
      <c r="N1768" s="48"/>
      <c r="O1768" s="48"/>
      <c r="AG1768" s="4" t="s">
        <v>3753</v>
      </c>
      <c r="AH1768" s="4"/>
      <c r="AL1768" s="503" t="str">
        <f>IF(C1768="","",IF(C1768=AG1768,AQ1768,IF(AND(C1768&lt;&gt;"",C1768&lt;&gt;AG1768),AV1768,"")))</f>
        <v/>
      </c>
      <c r="AQ1768" s="48" t="s">
        <v>3751</v>
      </c>
      <c r="AV1768" s="48" t="s">
        <v>3752</v>
      </c>
      <c r="BD1768" s="48">
        <f>IF(C1768=AG1768,1,0)</f>
        <v>0</v>
      </c>
      <c r="BI1768" s="4"/>
      <c r="BJ1768" s="476" t="s">
        <v>3476</v>
      </c>
      <c r="BK1768" s="4"/>
      <c r="BL1768" s="4"/>
    </row>
    <row r="1769" spans="1:64" ht="10" customHeight="1" x14ac:dyDescent="0.3">
      <c r="A1769" s="485"/>
      <c r="B1769" s="587"/>
      <c r="C1769" s="485"/>
      <c r="D1769" s="485"/>
      <c r="E1769" s="588"/>
      <c r="F1769" s="588"/>
      <c r="BI1769" s="4"/>
      <c r="BJ1769" s="476" t="s">
        <v>3910</v>
      </c>
      <c r="BK1769" s="4"/>
      <c r="BL1769" s="4"/>
    </row>
    <row r="1770" spans="1:64" ht="13.75" customHeight="1" x14ac:dyDescent="0.3">
      <c r="A1770" s="485"/>
      <c r="B1770" s="587"/>
      <c r="C1770" s="485"/>
      <c r="D1770" s="485"/>
      <c r="E1770" s="485"/>
      <c r="F1770" s="475"/>
      <c r="AG1770" s="4" t="s">
        <v>3754</v>
      </c>
      <c r="AH1770" s="4"/>
      <c r="AL1770" s="503" t="str">
        <f>IF(C1770="","",IF(C1770=AG1770,AQ1770,IF(AND(C1770&lt;&gt;"",C1770&lt;&gt;AG1770),AV1770,"")))</f>
        <v/>
      </c>
      <c r="AQ1770" s="48" t="s">
        <v>3751</v>
      </c>
      <c r="AV1770" s="48" t="s">
        <v>3752</v>
      </c>
      <c r="BD1770" s="48">
        <f>IF(C1770=AG1770,1,0)</f>
        <v>0</v>
      </c>
      <c r="BI1770" s="4"/>
      <c r="BJ1770" s="4"/>
      <c r="BK1770" s="4"/>
      <c r="BL1770" s="4"/>
    </row>
    <row r="1771" spans="1:64" ht="13.75" customHeight="1" x14ac:dyDescent="0.3">
      <c r="A1771" s="485"/>
      <c r="B1771" s="587"/>
      <c r="C1771" s="485"/>
      <c r="D1771" s="485"/>
      <c r="E1771" s="485"/>
      <c r="F1771" s="475"/>
      <c r="BI1771" s="4"/>
      <c r="BJ1771" s="4"/>
      <c r="BK1771" s="4"/>
      <c r="BL1771" s="4"/>
    </row>
    <row r="1772" spans="1:64" ht="13.75" customHeight="1" x14ac:dyDescent="0.3">
      <c r="A1772" s="485"/>
      <c r="B1772" s="587"/>
      <c r="C1772" s="485"/>
      <c r="D1772" s="485"/>
      <c r="E1772" s="1190"/>
      <c r="F1772" s="475"/>
      <c r="BI1772" s="4"/>
      <c r="BJ1772" s="476" t="s">
        <v>3911</v>
      </c>
      <c r="BK1772" s="4"/>
      <c r="BL1772" s="4"/>
    </row>
    <row r="1773" spans="1:64" ht="13.75" customHeight="1" x14ac:dyDescent="0.3">
      <c r="A1773" s="485"/>
      <c r="B1773" s="587"/>
      <c r="C1773" s="485"/>
      <c r="D1773" s="485"/>
      <c r="E1773" s="1190"/>
      <c r="F1773" s="475"/>
      <c r="BI1773" s="4"/>
      <c r="BJ1773" s="476" t="s">
        <v>3477</v>
      </c>
      <c r="BK1773" s="4"/>
      <c r="BL1773" s="4"/>
    </row>
    <row r="1774" spans="1:64" ht="13.75" customHeight="1" x14ac:dyDescent="0.3">
      <c r="A1774" s="485"/>
      <c r="B1774" s="587"/>
      <c r="C1774" s="485"/>
      <c r="D1774" s="485"/>
      <c r="E1774" s="1190"/>
      <c r="F1774" s="475"/>
      <c r="BI1774" s="4"/>
      <c r="BJ1774" s="4"/>
      <c r="BK1774" s="4"/>
      <c r="BL1774" s="4"/>
    </row>
    <row r="1775" spans="1:64" ht="13.75" customHeight="1" x14ac:dyDescent="0.3">
      <c r="A1775" s="485"/>
      <c r="B1775" s="587"/>
      <c r="C1775" s="485"/>
      <c r="D1775" s="485"/>
      <c r="E1775" s="1190"/>
      <c r="F1775" s="475"/>
      <c r="BB1775" s="48"/>
      <c r="BI1775" s="4"/>
      <c r="BJ1775" s="4"/>
      <c r="BK1775" s="4"/>
      <c r="BL1775" s="4"/>
    </row>
    <row r="1776" spans="1:64" ht="13.75" customHeight="1" x14ac:dyDescent="0.3">
      <c r="A1776" s="485"/>
      <c r="B1776" s="587"/>
      <c r="C1776" s="485"/>
      <c r="D1776" s="485"/>
      <c r="E1776" s="485"/>
      <c r="F1776" s="475"/>
      <c r="BI1776" s="4"/>
      <c r="BJ1776" s="476" t="s">
        <v>3477</v>
      </c>
      <c r="BK1776" s="4"/>
      <c r="BL1776" s="4"/>
    </row>
    <row r="1777" spans="1:64" ht="13.75" customHeight="1" x14ac:dyDescent="0.3">
      <c r="A1777" s="485"/>
      <c r="B1777" s="587"/>
      <c r="C1777" s="485"/>
      <c r="D1777" s="485"/>
      <c r="E1777" s="485"/>
      <c r="F1777" s="475"/>
      <c r="BI1777" s="4"/>
      <c r="BJ1777" s="4"/>
      <c r="BK1777" s="4"/>
      <c r="BL1777" s="4"/>
    </row>
    <row r="1778" spans="1:64" ht="13.75" customHeight="1" x14ac:dyDescent="0.3">
      <c r="A1778" s="485"/>
      <c r="B1778" s="587"/>
      <c r="C1778" s="485"/>
      <c r="D1778" s="485"/>
      <c r="E1778" s="485"/>
      <c r="F1778" s="475"/>
      <c r="BI1778" s="4"/>
      <c r="BJ1778" s="476" t="s">
        <v>3515</v>
      </c>
      <c r="BK1778" s="4"/>
      <c r="BL1778" s="4"/>
    </row>
    <row r="1779" spans="1:64" ht="13.75" customHeight="1" x14ac:dyDescent="0.3">
      <c r="A1779" s="485"/>
      <c r="B1779" s="587"/>
      <c r="C1779" s="485"/>
      <c r="D1779" s="485"/>
      <c r="E1779" s="485"/>
      <c r="F1779" s="475"/>
      <c r="BI1779" s="4"/>
      <c r="BJ1779" s="476" t="s">
        <v>3478</v>
      </c>
      <c r="BK1779" s="4"/>
      <c r="BL1779" s="4"/>
    </row>
    <row r="1780" spans="1:64" ht="13.75" customHeight="1" x14ac:dyDescent="0.3">
      <c r="A1780" s="485"/>
      <c r="B1780" s="587"/>
      <c r="C1780" s="485"/>
      <c r="D1780" s="485"/>
      <c r="E1780" s="485"/>
      <c r="F1780" s="475"/>
      <c r="BI1780" s="4"/>
      <c r="BJ1780" s="476" t="s">
        <v>3479</v>
      </c>
      <c r="BK1780" s="4"/>
      <c r="BL1780" s="4"/>
    </row>
    <row r="1781" spans="1:64" ht="13.75" customHeight="1" x14ac:dyDescent="0.3">
      <c r="A1781" s="485"/>
      <c r="B1781" s="587"/>
      <c r="C1781" s="485"/>
      <c r="D1781" s="485"/>
      <c r="E1781" s="485"/>
      <c r="F1781" s="475"/>
    </row>
    <row r="1782" spans="1:64" ht="13.75" customHeight="1" x14ac:dyDescent="0.3">
      <c r="A1782" s="485"/>
      <c r="B1782" s="587"/>
      <c r="C1782" s="485"/>
      <c r="D1782" s="485"/>
      <c r="E1782" s="485"/>
      <c r="F1782" s="475"/>
      <c r="L1782" s="48"/>
      <c r="AF1782" s="484" t="s">
        <v>3488</v>
      </c>
    </row>
    <row r="1783" spans="1:64" ht="13.75" customHeight="1" x14ac:dyDescent="0.3">
      <c r="A1783" s="485"/>
      <c r="B1783" s="587"/>
      <c r="C1783" s="485"/>
      <c r="D1783" s="485"/>
      <c r="E1783" s="485"/>
      <c r="F1783" s="475"/>
    </row>
    <row r="1784" spans="1:64" ht="13.75" customHeight="1" x14ac:dyDescent="0.3">
      <c r="A1784" s="485"/>
      <c r="B1784" s="587"/>
      <c r="C1784" s="485"/>
      <c r="D1784" s="485"/>
      <c r="E1784" s="485"/>
      <c r="F1784" s="475"/>
      <c r="AF1784" s="52" t="str">
        <f>CONCATENATE(AG1784,AH1784,AI1784,AJ1784,AK1784)</f>
        <v>You lay the foundation for a campaign to champion Claimant's innocence</v>
      </c>
      <c r="AG1784" s="663" t="s">
        <v>4503</v>
      </c>
      <c r="AH1784" s="48" t="str">
        <f>AN202</f>
        <v>Claimant</v>
      </c>
      <c r="AI1784" s="446" t="s">
        <v>4367</v>
      </c>
      <c r="BD1784" s="663" t="s">
        <v>4414</v>
      </c>
      <c r="BE1784" s="245" t="s">
        <v>885</v>
      </c>
    </row>
    <row r="1785" spans="1:64" ht="13.75" customHeight="1" x14ac:dyDescent="0.3">
      <c r="A1785" s="485"/>
      <c r="B1785" s="587"/>
      <c r="C1785" s="485"/>
      <c r="D1785" s="485"/>
      <c r="E1785" s="485"/>
      <c r="F1785" s="475"/>
      <c r="AF1785" s="52" t="str">
        <f>CONCATENATE(AG1785,AH1785,AI1785,AJ1785,AK1785)</f>
        <v>We build a support team of supporters to champion Claimant's innocence</v>
      </c>
      <c r="AG1785" s="475" t="s">
        <v>4506</v>
      </c>
      <c r="AH1785" s="48" t="str">
        <f>AH1784</f>
        <v>Claimant</v>
      </c>
      <c r="AI1785" s="673" t="s">
        <v>4367</v>
      </c>
      <c r="BD1785" s="475" t="s">
        <v>4415</v>
      </c>
      <c r="BE1785" s="245" t="s">
        <v>885</v>
      </c>
    </row>
    <row r="1786" spans="1:64" ht="13.75" customHeight="1" x14ac:dyDescent="0.3">
      <c r="A1786" s="485"/>
      <c r="B1786" s="587"/>
      <c r="C1786" s="485"/>
      <c r="D1786" s="485"/>
      <c r="E1786" s="485"/>
      <c r="F1786" s="475"/>
      <c r="AF1786" s="52" t="str">
        <f>CONCATENATE(AG1786,AH1786,AI1786,AJ1786,AK1786)</f>
        <v>We put your team to work to help Claimant's innocence claim to be heard</v>
      </c>
      <c r="AG1786" s="475" t="s">
        <v>4507</v>
      </c>
      <c r="AH1786" s="48" t="str">
        <f>AH1785</f>
        <v>Claimant</v>
      </c>
      <c r="AI1786" s="673" t="s">
        <v>4508</v>
      </c>
      <c r="BD1786" s="475" t="s">
        <v>4416</v>
      </c>
      <c r="BE1786" s="245" t="s">
        <v>885</v>
      </c>
    </row>
    <row r="1787" spans="1:64" ht="13.75" customHeight="1" x14ac:dyDescent="0.3">
      <c r="A1787" s="485"/>
      <c r="B1787" s="587"/>
      <c r="C1787" s="485"/>
      <c r="D1787" s="485"/>
      <c r="E1787" s="485"/>
      <c r="F1787" s="475"/>
      <c r="AF1787" s="52" t="str">
        <f>CONCATENATE(AG1787,AH1787,AI1787,AJ1787,AK1787)</f>
        <v>We network with professionals with the power to help make a difference</v>
      </c>
      <c r="AG1787" s="475" t="s">
        <v>4418</v>
      </c>
      <c r="BD1787" s="475" t="s">
        <v>4418</v>
      </c>
      <c r="BE1787" s="245" t="s">
        <v>885</v>
      </c>
    </row>
    <row r="1788" spans="1:64" ht="13.75" customHeight="1" x14ac:dyDescent="0.3">
      <c r="A1788" s="485"/>
      <c r="B1788" s="587"/>
      <c r="C1788" s="485"/>
      <c r="D1788" s="485"/>
      <c r="E1788" s="485"/>
      <c r="F1788" s="475"/>
      <c r="J1788" s="48"/>
      <c r="AF1788" s="52" t="str">
        <f>CONCATENATE(AG1788,AH1788,AI1788,AJ1788,AK1788)</f>
        <v>We affirm the DA's legitimacy when reviewing Claimant's case</v>
      </c>
      <c r="AG1788" s="475" t="s">
        <v>4504</v>
      </c>
      <c r="AH1788" s="48" t="str">
        <f>DZ3224</f>
        <v>DA</v>
      </c>
      <c r="AI1788" s="673" t="s">
        <v>4509</v>
      </c>
      <c r="AJ1788" s="48" t="str">
        <f>AH1786</f>
        <v>Claimant</v>
      </c>
      <c r="AK1788" s="673" t="s">
        <v>4505</v>
      </c>
      <c r="BD1788" s="475" t="s">
        <v>4417</v>
      </c>
      <c r="BE1788" s="245" t="s">
        <v>885</v>
      </c>
    </row>
    <row r="1789" spans="1:64" ht="13.75" customHeight="1" x14ac:dyDescent="0.3">
      <c r="A1789" s="485"/>
      <c r="B1789" s="587"/>
      <c r="C1789" s="485"/>
      <c r="D1789" s="485"/>
      <c r="E1789" s="1192"/>
      <c r="F1789" s="475"/>
    </row>
    <row r="1790" spans="1:64" ht="13.75" customHeight="1" x14ac:dyDescent="0.3">
      <c r="A1790" s="485"/>
      <c r="B1790" s="587"/>
      <c r="C1790" s="485"/>
      <c r="D1790" s="485"/>
      <c r="E1790" s="1192"/>
      <c r="F1790" s="475"/>
      <c r="AF1790" s="475" t="s">
        <v>4419</v>
      </c>
      <c r="AG1790" s="4"/>
    </row>
    <row r="1791" spans="1:64" ht="13.75" customHeight="1" x14ac:dyDescent="0.3">
      <c r="A1791" s="485"/>
      <c r="B1791" s="587"/>
      <c r="C1791" s="485"/>
      <c r="D1791" s="485"/>
      <c r="E1791" s="1192"/>
      <c r="F1791" s="475"/>
      <c r="AF1791" s="475" t="s">
        <v>3480</v>
      </c>
      <c r="AG1791" s="4"/>
    </row>
    <row r="1792" spans="1:64" ht="13.75" customHeight="1" x14ac:dyDescent="0.3">
      <c r="A1792" s="485"/>
      <c r="B1792" s="587"/>
      <c r="C1792" s="485"/>
      <c r="D1792" s="485"/>
      <c r="E1792" s="1192"/>
      <c r="F1792" s="475"/>
      <c r="AF1792" s="475" t="s">
        <v>3481</v>
      </c>
      <c r="AG1792" s="4"/>
    </row>
    <row r="1793" spans="1:50" ht="13.75" customHeight="1" x14ac:dyDescent="0.3">
      <c r="A1793" s="485"/>
      <c r="B1793" s="587"/>
      <c r="C1793" s="485"/>
      <c r="D1793" s="485"/>
      <c r="E1793" s="485"/>
      <c r="F1793" s="475"/>
      <c r="AG1793" s="4"/>
    </row>
    <row r="1794" spans="1:50" ht="13.75" customHeight="1" x14ac:dyDescent="0.3">
      <c r="A1794" s="485"/>
      <c r="B1794" s="587"/>
      <c r="C1794" s="485"/>
      <c r="D1794" s="485"/>
      <c r="E1794" s="485"/>
      <c r="F1794" s="475"/>
      <c r="AF1794" s="475" t="s">
        <v>3489</v>
      </c>
      <c r="AG1794" s="4"/>
    </row>
    <row r="1795" spans="1:50" ht="13.75" customHeight="1" x14ac:dyDescent="0.3">
      <c r="A1795" s="485"/>
      <c r="B1795" s="475"/>
      <c r="C1795" s="475"/>
      <c r="D1795" s="485"/>
      <c r="E1795" s="485"/>
      <c r="F1795" s="475"/>
    </row>
    <row r="1796" spans="1:50" ht="13.75" customHeight="1" x14ac:dyDescent="0.3">
      <c r="A1796" s="485"/>
      <c r="B1796" s="475"/>
      <c r="C1796" s="475"/>
      <c r="D1796" s="485"/>
      <c r="E1796" s="485"/>
      <c r="F1796" s="475"/>
    </row>
    <row r="1797" spans="1:50" ht="13.75" customHeight="1" x14ac:dyDescent="0.3">
      <c r="A1797" s="485"/>
      <c r="B1797" s="485"/>
      <c r="C1797" s="485"/>
      <c r="D1797" s="485"/>
      <c r="E1797" s="485"/>
      <c r="F1797" s="475"/>
    </row>
    <row r="1798" spans="1:50" ht="13.75" customHeight="1" x14ac:dyDescent="0.3">
      <c r="A1798" s="485"/>
      <c r="B1798" s="485"/>
      <c r="C1798" s="485"/>
      <c r="D1798" s="485"/>
      <c r="E1798" s="485"/>
      <c r="F1798" s="475"/>
      <c r="AL1798" s="52" t="str">
        <f>CONCATENATE(AO1801,AP1801,AQ1801,AR1801)</f>
        <v>Prepare your campaign by inviting supporters to invest in Claimant's innocence.</v>
      </c>
    </row>
    <row r="1799" spans="1:50" ht="30" customHeight="1" x14ac:dyDescent="0.3">
      <c r="A1799" s="862" t="s">
        <v>3874</v>
      </c>
      <c r="B1799" s="862" t="s">
        <v>5574</v>
      </c>
      <c r="C1799" s="862"/>
      <c r="D1799" s="872"/>
      <c r="E1799" s="864"/>
      <c r="F1799" s="864"/>
    </row>
    <row r="1800" spans="1:50" ht="13.75" customHeight="1" x14ac:dyDescent="0.3">
      <c r="A1800" s="485"/>
      <c r="B1800" s="485"/>
      <c r="C1800" s="485"/>
      <c r="D1800" s="485"/>
      <c r="E1800" s="485"/>
      <c r="F1800" s="475"/>
      <c r="AD1800" s="48" t="s">
        <v>3546</v>
      </c>
    </row>
    <row r="1801" spans="1:50" ht="20" customHeight="1" x14ac:dyDescent="0.3">
      <c r="A1801" s="485"/>
      <c r="B1801" s="674" t="str">
        <f>AL1798</f>
        <v>Prepare your campaign by inviting supporters to invest in Claimant's innocence.</v>
      </c>
      <c r="C1801" s="485"/>
      <c r="D1801" s="485"/>
      <c r="E1801" s="485"/>
      <c r="F1801" s="475"/>
      <c r="AD1801" s="48" t="s">
        <v>3542</v>
      </c>
      <c r="AO1801" s="48" t="s">
        <v>4510</v>
      </c>
      <c r="AP1801" s="48" t="str">
        <f>AH1784</f>
        <v>Claimant</v>
      </c>
      <c r="AQ1801" s="245" t="s">
        <v>4511</v>
      </c>
    </row>
    <row r="1802" spans="1:50" ht="13.75" customHeight="1" x14ac:dyDescent="0.3">
      <c r="A1802" s="485"/>
      <c r="B1802" s="485"/>
      <c r="C1802" s="485"/>
      <c r="D1802" s="485"/>
      <c r="E1802" s="485"/>
      <c r="F1802" s="475"/>
      <c r="AD1802" s="48" t="s">
        <v>3543</v>
      </c>
      <c r="AO1802" s="351"/>
      <c r="AP1802" s="351"/>
      <c r="AQ1802" s="351"/>
      <c r="AR1802" s="351"/>
      <c r="AS1802" s="351"/>
      <c r="AT1802" s="351"/>
    </row>
    <row r="1803" spans="1:50" ht="13.75" customHeight="1" x14ac:dyDescent="0.3">
      <c r="A1803" s="485"/>
      <c r="B1803" s="490" t="s">
        <v>3504</v>
      </c>
      <c r="C1803" s="485"/>
      <c r="D1803" s="485"/>
      <c r="E1803" s="485"/>
      <c r="F1803" s="475"/>
      <c r="AD1803" s="48" t="s">
        <v>3541</v>
      </c>
      <c r="AO1803" s="351"/>
      <c r="AP1803" s="351"/>
      <c r="AQ1803" s="351"/>
      <c r="AR1803" s="351"/>
      <c r="AS1803" s="351"/>
      <c r="AT1803" s="351"/>
    </row>
    <row r="1804" spans="1:50" ht="13.75" customHeight="1" thickBot="1" x14ac:dyDescent="0.35">
      <c r="A1804" s="485"/>
      <c r="B1804" s="488" t="s">
        <v>3506</v>
      </c>
      <c r="C1804" s="488" t="s">
        <v>3507</v>
      </c>
      <c r="D1804" s="488" t="s">
        <v>776</v>
      </c>
      <c r="E1804" s="485"/>
      <c r="F1804" s="475"/>
      <c r="AO1804" s="514" t="s">
        <v>3547</v>
      </c>
      <c r="AP1804" s="515"/>
      <c r="AQ1804" s="515" t="s">
        <v>3508</v>
      </c>
      <c r="AR1804" s="515"/>
      <c r="AS1804" s="515" t="s">
        <v>3509</v>
      </c>
      <c r="AT1804" s="515"/>
      <c r="AU1804" s="516" t="s">
        <v>3294</v>
      </c>
    </row>
    <row r="1805" spans="1:50" ht="13.75" customHeight="1" thickBot="1" x14ac:dyDescent="0.35">
      <c r="A1805" s="487">
        <v>1</v>
      </c>
      <c r="B1805" s="491"/>
      <c r="C1805" s="492"/>
      <c r="D1805" s="493"/>
      <c r="E1805" s="489"/>
      <c r="F1805" s="475"/>
      <c r="AC1805" s="506">
        <f>A1805</f>
        <v>1</v>
      </c>
      <c r="AD1805" s="48" t="str">
        <f>IF(B1805="","",B1805)</f>
        <v/>
      </c>
      <c r="AE1805" s="48" t="str">
        <f>IF(C1805="","",C1805)</f>
        <v/>
      </c>
      <c r="AF1805" s="48" t="str">
        <f>IF(D1805="","",D1805)</f>
        <v/>
      </c>
      <c r="AH1805" s="48" t="str">
        <f>CONCATENATE(AD1805," ",AE1805)</f>
        <v xml:space="preserve"> </v>
      </c>
      <c r="AO1805" s="48">
        <f>IF($E1805=$AD$1800,1,0)</f>
        <v>0</v>
      </c>
      <c r="AQ1805" s="48">
        <f>IF($E1805=$AD$1801,1,0)</f>
        <v>0</v>
      </c>
      <c r="AS1805" s="48">
        <f>IF($E1805=$AD$1802,1,0)</f>
        <v>0</v>
      </c>
      <c r="AU1805" s="48">
        <f>IF($E1805=$AD$1803,1,0)</f>
        <v>0</v>
      </c>
      <c r="AX1805" s="48">
        <f>AQ1805+AS1805+AU1805</f>
        <v>0</v>
      </c>
    </row>
    <row r="1806" spans="1:50" ht="13.75" customHeight="1" thickTop="1" thickBot="1" x14ac:dyDescent="0.35">
      <c r="A1806" s="487">
        <v>2</v>
      </c>
      <c r="B1806" s="494"/>
      <c r="C1806" s="495"/>
      <c r="D1806" s="496"/>
      <c r="E1806" s="489"/>
      <c r="F1806" s="475"/>
      <c r="AC1806" s="506">
        <f t="shared" ref="AC1806:AC1844" si="61">A1806</f>
        <v>2</v>
      </c>
      <c r="AD1806" s="48" t="str">
        <f t="shared" ref="AD1806:AD1844" si="62">IF(B1806="","",B1806)</f>
        <v/>
      </c>
      <c r="AE1806" s="48" t="str">
        <f t="shared" ref="AE1806:AE1844" si="63">IF(C1806="","",C1806)</f>
        <v/>
      </c>
      <c r="AF1806" s="48" t="s">
        <v>3540</v>
      </c>
      <c r="AH1806" s="48" t="str">
        <f t="shared" ref="AH1806:AH1844" si="64">CONCATENATE(AD1806," ",AE1806)</f>
        <v xml:space="preserve"> </v>
      </c>
      <c r="AO1806" s="48">
        <f t="shared" ref="AO1806:AO1844" si="65">IF($E1806=$AD$1800,1,0)</f>
        <v>0</v>
      </c>
      <c r="AQ1806" s="48">
        <f t="shared" ref="AQ1806:AQ1844" si="66">IF($E1806=$AD$1801,1,0)</f>
        <v>0</v>
      </c>
      <c r="AS1806" s="48">
        <f t="shared" ref="AS1806:AS1844" si="67">IF($E1806=$AD$1802,1,0)</f>
        <v>0</v>
      </c>
      <c r="AU1806" s="48">
        <f t="shared" ref="AU1806:AU1844" si="68">IF($E1806=$AD$1803,1,0)</f>
        <v>0</v>
      </c>
      <c r="AX1806" s="48">
        <f t="shared" ref="AX1806:AX1844" si="69">AQ1806+AS1806+AU1806</f>
        <v>0</v>
      </c>
    </row>
    <row r="1807" spans="1:50" ht="13.75" customHeight="1" thickTop="1" thickBot="1" x14ac:dyDescent="0.35">
      <c r="A1807" s="487">
        <v>3</v>
      </c>
      <c r="B1807" s="494"/>
      <c r="C1807" s="495"/>
      <c r="D1807" s="496"/>
      <c r="E1807" s="489"/>
      <c r="F1807" s="475"/>
      <c r="AC1807" s="506">
        <f t="shared" si="61"/>
        <v>3</v>
      </c>
      <c r="AD1807" s="48" t="str">
        <f t="shared" si="62"/>
        <v/>
      </c>
      <c r="AE1807" s="48" t="str">
        <f t="shared" si="63"/>
        <v/>
      </c>
      <c r="AF1807" s="48" t="str">
        <f t="shared" ref="AF1807:AF1844" si="70">IF(D1807="","",D1807)</f>
        <v/>
      </c>
      <c r="AH1807" s="48" t="str">
        <f t="shared" si="64"/>
        <v xml:space="preserve"> </v>
      </c>
      <c r="AO1807" s="48">
        <f t="shared" si="65"/>
        <v>0</v>
      </c>
      <c r="AQ1807" s="48">
        <f t="shared" si="66"/>
        <v>0</v>
      </c>
      <c r="AS1807" s="48">
        <f t="shared" si="67"/>
        <v>0</v>
      </c>
      <c r="AU1807" s="48">
        <f t="shared" si="68"/>
        <v>0</v>
      </c>
      <c r="AX1807" s="48">
        <f t="shared" si="69"/>
        <v>0</v>
      </c>
    </row>
    <row r="1808" spans="1:50" ht="13.75" customHeight="1" thickTop="1" thickBot="1" x14ac:dyDescent="0.35">
      <c r="A1808" s="487">
        <v>4</v>
      </c>
      <c r="B1808" s="494"/>
      <c r="C1808" s="495"/>
      <c r="D1808" s="496"/>
      <c r="E1808" s="489"/>
      <c r="F1808" s="475"/>
      <c r="AC1808" s="506">
        <f t="shared" si="61"/>
        <v>4</v>
      </c>
      <c r="AD1808" s="48" t="str">
        <f t="shared" si="62"/>
        <v/>
      </c>
      <c r="AE1808" s="48" t="str">
        <f t="shared" si="63"/>
        <v/>
      </c>
      <c r="AF1808" s="48" t="str">
        <f t="shared" si="70"/>
        <v/>
      </c>
      <c r="AH1808" s="48" t="str">
        <f t="shared" si="64"/>
        <v xml:space="preserve"> </v>
      </c>
      <c r="AO1808" s="48">
        <f t="shared" si="65"/>
        <v>0</v>
      </c>
      <c r="AQ1808" s="48">
        <f t="shared" si="66"/>
        <v>0</v>
      </c>
      <c r="AS1808" s="48">
        <f t="shared" si="67"/>
        <v>0</v>
      </c>
      <c r="AU1808" s="48">
        <f t="shared" si="68"/>
        <v>0</v>
      </c>
      <c r="AX1808" s="48">
        <f t="shared" si="69"/>
        <v>0</v>
      </c>
    </row>
    <row r="1809" spans="1:50" ht="13.75" customHeight="1" thickTop="1" thickBot="1" x14ac:dyDescent="0.35">
      <c r="A1809" s="487">
        <v>5</v>
      </c>
      <c r="B1809" s="494"/>
      <c r="C1809" s="495"/>
      <c r="D1809" s="496"/>
      <c r="E1809" s="489"/>
      <c r="F1809" s="475"/>
      <c r="AC1809" s="506">
        <f t="shared" si="61"/>
        <v>5</v>
      </c>
      <c r="AD1809" s="48" t="str">
        <f t="shared" si="62"/>
        <v/>
      </c>
      <c r="AE1809" s="48" t="str">
        <f t="shared" si="63"/>
        <v/>
      </c>
      <c r="AF1809" s="48" t="str">
        <f t="shared" si="70"/>
        <v/>
      </c>
      <c r="AH1809" s="48" t="str">
        <f t="shared" si="64"/>
        <v xml:space="preserve"> </v>
      </c>
      <c r="AO1809" s="48">
        <f t="shared" si="65"/>
        <v>0</v>
      </c>
      <c r="AQ1809" s="48">
        <f t="shared" si="66"/>
        <v>0</v>
      </c>
      <c r="AS1809" s="48">
        <f t="shared" si="67"/>
        <v>0</v>
      </c>
      <c r="AU1809" s="48">
        <f t="shared" si="68"/>
        <v>0</v>
      </c>
      <c r="AX1809" s="48">
        <f t="shared" si="69"/>
        <v>0</v>
      </c>
    </row>
    <row r="1810" spans="1:50" ht="13.75" customHeight="1" thickTop="1" thickBot="1" x14ac:dyDescent="0.35">
      <c r="A1810" s="487">
        <v>6</v>
      </c>
      <c r="B1810" s="494"/>
      <c r="C1810" s="495"/>
      <c r="D1810" s="496"/>
      <c r="E1810" s="489"/>
      <c r="F1810" s="475"/>
      <c r="AC1810" s="506">
        <f t="shared" si="61"/>
        <v>6</v>
      </c>
      <c r="AD1810" s="48" t="str">
        <f t="shared" si="62"/>
        <v/>
      </c>
      <c r="AE1810" s="48" t="str">
        <f t="shared" si="63"/>
        <v/>
      </c>
      <c r="AF1810" s="48" t="str">
        <f t="shared" si="70"/>
        <v/>
      </c>
      <c r="AH1810" s="48" t="str">
        <f t="shared" si="64"/>
        <v xml:space="preserve"> </v>
      </c>
      <c r="AO1810" s="48">
        <f t="shared" si="65"/>
        <v>0</v>
      </c>
      <c r="AQ1810" s="48">
        <f t="shared" si="66"/>
        <v>0</v>
      </c>
      <c r="AS1810" s="48">
        <f t="shared" si="67"/>
        <v>0</v>
      </c>
      <c r="AU1810" s="48">
        <f t="shared" si="68"/>
        <v>0</v>
      </c>
      <c r="AX1810" s="48">
        <f t="shared" si="69"/>
        <v>0</v>
      </c>
    </row>
    <row r="1811" spans="1:50" ht="13.75" customHeight="1" thickTop="1" thickBot="1" x14ac:dyDescent="0.35">
      <c r="A1811" s="487">
        <v>7</v>
      </c>
      <c r="B1811" s="494"/>
      <c r="C1811" s="495"/>
      <c r="D1811" s="496"/>
      <c r="E1811" s="489"/>
      <c r="F1811" s="475"/>
      <c r="AC1811" s="506">
        <f t="shared" si="61"/>
        <v>7</v>
      </c>
      <c r="AD1811" s="48" t="str">
        <f t="shared" si="62"/>
        <v/>
      </c>
      <c r="AE1811" s="48" t="str">
        <f t="shared" si="63"/>
        <v/>
      </c>
      <c r="AF1811" s="48" t="str">
        <f t="shared" si="70"/>
        <v/>
      </c>
      <c r="AH1811" s="48" t="str">
        <f t="shared" si="64"/>
        <v xml:space="preserve"> </v>
      </c>
      <c r="AO1811" s="48">
        <f t="shared" si="65"/>
        <v>0</v>
      </c>
      <c r="AQ1811" s="48">
        <f t="shared" si="66"/>
        <v>0</v>
      </c>
      <c r="AS1811" s="48">
        <f t="shared" si="67"/>
        <v>0</v>
      </c>
      <c r="AU1811" s="48">
        <f t="shared" si="68"/>
        <v>0</v>
      </c>
      <c r="AX1811" s="48">
        <f t="shared" si="69"/>
        <v>0</v>
      </c>
    </row>
    <row r="1812" spans="1:50" ht="13.75" customHeight="1" thickTop="1" thickBot="1" x14ac:dyDescent="0.35">
      <c r="A1812" s="487">
        <v>8</v>
      </c>
      <c r="B1812" s="494"/>
      <c r="C1812" s="495"/>
      <c r="D1812" s="496"/>
      <c r="E1812" s="489"/>
      <c r="F1812" s="475"/>
      <c r="AC1812" s="506">
        <f t="shared" si="61"/>
        <v>8</v>
      </c>
      <c r="AD1812" s="48" t="str">
        <f t="shared" si="62"/>
        <v/>
      </c>
      <c r="AE1812" s="48" t="str">
        <f t="shared" si="63"/>
        <v/>
      </c>
      <c r="AF1812" s="48" t="str">
        <f t="shared" si="70"/>
        <v/>
      </c>
      <c r="AH1812" s="48" t="str">
        <f t="shared" si="64"/>
        <v xml:space="preserve"> </v>
      </c>
      <c r="AO1812" s="48">
        <f t="shared" si="65"/>
        <v>0</v>
      </c>
      <c r="AQ1812" s="48">
        <f t="shared" si="66"/>
        <v>0</v>
      </c>
      <c r="AS1812" s="48">
        <f t="shared" si="67"/>
        <v>0</v>
      </c>
      <c r="AU1812" s="48">
        <f t="shared" si="68"/>
        <v>0</v>
      </c>
      <c r="AX1812" s="48">
        <f t="shared" si="69"/>
        <v>0</v>
      </c>
    </row>
    <row r="1813" spans="1:50" ht="13.75" customHeight="1" thickTop="1" thickBot="1" x14ac:dyDescent="0.35">
      <c r="A1813" s="487">
        <v>9</v>
      </c>
      <c r="B1813" s="494"/>
      <c r="C1813" s="495"/>
      <c r="D1813" s="496"/>
      <c r="E1813" s="489"/>
      <c r="F1813" s="475"/>
      <c r="AC1813" s="506">
        <f t="shared" si="61"/>
        <v>9</v>
      </c>
      <c r="AD1813" s="48" t="str">
        <f t="shared" si="62"/>
        <v/>
      </c>
      <c r="AE1813" s="48" t="str">
        <f t="shared" si="63"/>
        <v/>
      </c>
      <c r="AF1813" s="48" t="str">
        <f t="shared" si="70"/>
        <v/>
      </c>
      <c r="AH1813" s="48" t="str">
        <f t="shared" si="64"/>
        <v xml:space="preserve"> </v>
      </c>
      <c r="AO1813" s="48">
        <f t="shared" si="65"/>
        <v>0</v>
      </c>
      <c r="AQ1813" s="48">
        <f t="shared" si="66"/>
        <v>0</v>
      </c>
      <c r="AS1813" s="48">
        <f t="shared" si="67"/>
        <v>0</v>
      </c>
      <c r="AU1813" s="48">
        <f t="shared" si="68"/>
        <v>0</v>
      </c>
      <c r="AX1813" s="48">
        <f t="shared" si="69"/>
        <v>0</v>
      </c>
    </row>
    <row r="1814" spans="1:50" ht="13.75" customHeight="1" thickTop="1" thickBot="1" x14ac:dyDescent="0.35">
      <c r="A1814" s="487">
        <v>10</v>
      </c>
      <c r="B1814" s="494"/>
      <c r="C1814" s="495"/>
      <c r="D1814" s="496"/>
      <c r="E1814" s="489"/>
      <c r="F1814" s="475"/>
      <c r="AC1814" s="506">
        <f t="shared" si="61"/>
        <v>10</v>
      </c>
      <c r="AD1814" s="48" t="str">
        <f t="shared" si="62"/>
        <v/>
      </c>
      <c r="AE1814" s="48" t="str">
        <f t="shared" si="63"/>
        <v/>
      </c>
      <c r="AF1814" s="48" t="str">
        <f t="shared" si="70"/>
        <v/>
      </c>
      <c r="AH1814" s="48" t="str">
        <f t="shared" si="64"/>
        <v xml:space="preserve"> </v>
      </c>
      <c r="AO1814" s="48">
        <f t="shared" si="65"/>
        <v>0</v>
      </c>
      <c r="AQ1814" s="48">
        <f t="shared" si="66"/>
        <v>0</v>
      </c>
      <c r="AS1814" s="48">
        <f t="shared" si="67"/>
        <v>0</v>
      </c>
      <c r="AU1814" s="48">
        <f t="shared" si="68"/>
        <v>0</v>
      </c>
      <c r="AX1814" s="48">
        <f t="shared" si="69"/>
        <v>0</v>
      </c>
    </row>
    <row r="1815" spans="1:50" ht="13.75" customHeight="1" thickTop="1" thickBot="1" x14ac:dyDescent="0.35">
      <c r="A1815" s="487">
        <v>11</v>
      </c>
      <c r="B1815" s="494"/>
      <c r="C1815" s="495"/>
      <c r="D1815" s="496"/>
      <c r="E1815" s="489"/>
      <c r="F1815" s="475"/>
      <c r="AC1815" s="506">
        <f t="shared" si="61"/>
        <v>11</v>
      </c>
      <c r="AD1815" s="48" t="str">
        <f t="shared" si="62"/>
        <v/>
      </c>
      <c r="AE1815" s="48" t="str">
        <f t="shared" si="63"/>
        <v/>
      </c>
      <c r="AF1815" s="48" t="str">
        <f t="shared" si="70"/>
        <v/>
      </c>
      <c r="AH1815" s="48" t="str">
        <f t="shared" si="64"/>
        <v xml:space="preserve"> </v>
      </c>
      <c r="AO1815" s="48">
        <f t="shared" si="65"/>
        <v>0</v>
      </c>
      <c r="AQ1815" s="48">
        <f t="shared" si="66"/>
        <v>0</v>
      </c>
      <c r="AS1815" s="48">
        <f t="shared" si="67"/>
        <v>0</v>
      </c>
      <c r="AU1815" s="48">
        <f t="shared" si="68"/>
        <v>0</v>
      </c>
      <c r="AX1815" s="48">
        <f t="shared" si="69"/>
        <v>0</v>
      </c>
    </row>
    <row r="1816" spans="1:50" ht="13.75" customHeight="1" thickTop="1" thickBot="1" x14ac:dyDescent="0.35">
      <c r="A1816" s="487">
        <v>12</v>
      </c>
      <c r="B1816" s="494"/>
      <c r="C1816" s="495"/>
      <c r="D1816" s="496"/>
      <c r="E1816" s="489"/>
      <c r="F1816" s="475"/>
      <c r="AC1816" s="506">
        <f t="shared" si="61"/>
        <v>12</v>
      </c>
      <c r="AD1816" s="48" t="str">
        <f t="shared" si="62"/>
        <v/>
      </c>
      <c r="AE1816" s="48" t="str">
        <f t="shared" si="63"/>
        <v/>
      </c>
      <c r="AF1816" s="48" t="str">
        <f t="shared" si="70"/>
        <v/>
      </c>
      <c r="AH1816" s="48" t="str">
        <f t="shared" si="64"/>
        <v xml:space="preserve"> </v>
      </c>
      <c r="AO1816" s="48">
        <f t="shared" si="65"/>
        <v>0</v>
      </c>
      <c r="AQ1816" s="48">
        <f t="shared" si="66"/>
        <v>0</v>
      </c>
      <c r="AS1816" s="48">
        <f t="shared" si="67"/>
        <v>0</v>
      </c>
      <c r="AU1816" s="48">
        <f t="shared" si="68"/>
        <v>0</v>
      </c>
      <c r="AX1816" s="48">
        <f t="shared" si="69"/>
        <v>0</v>
      </c>
    </row>
    <row r="1817" spans="1:50" ht="13.75" customHeight="1" thickTop="1" thickBot="1" x14ac:dyDescent="0.35">
      <c r="A1817" s="487">
        <v>13</v>
      </c>
      <c r="B1817" s="494"/>
      <c r="C1817" s="495"/>
      <c r="D1817" s="496"/>
      <c r="E1817" s="489"/>
      <c r="F1817" s="475"/>
      <c r="AC1817" s="506">
        <f t="shared" si="61"/>
        <v>13</v>
      </c>
      <c r="AD1817" s="48" t="str">
        <f t="shared" si="62"/>
        <v/>
      </c>
      <c r="AE1817" s="48" t="str">
        <f t="shared" si="63"/>
        <v/>
      </c>
      <c r="AF1817" s="48" t="str">
        <f t="shared" si="70"/>
        <v/>
      </c>
      <c r="AH1817" s="48" t="str">
        <f t="shared" si="64"/>
        <v xml:space="preserve"> </v>
      </c>
      <c r="AO1817" s="48">
        <f t="shared" si="65"/>
        <v>0</v>
      </c>
      <c r="AQ1817" s="48">
        <f t="shared" si="66"/>
        <v>0</v>
      </c>
      <c r="AS1817" s="48">
        <f t="shared" si="67"/>
        <v>0</v>
      </c>
      <c r="AU1817" s="48">
        <f t="shared" si="68"/>
        <v>0</v>
      </c>
      <c r="AX1817" s="48">
        <f t="shared" si="69"/>
        <v>0</v>
      </c>
    </row>
    <row r="1818" spans="1:50" ht="13.75" customHeight="1" thickTop="1" thickBot="1" x14ac:dyDescent="0.35">
      <c r="A1818" s="487">
        <v>14</v>
      </c>
      <c r="B1818" s="494"/>
      <c r="C1818" s="495"/>
      <c r="D1818" s="496"/>
      <c r="E1818" s="489"/>
      <c r="F1818" s="475"/>
      <c r="AC1818" s="506">
        <f t="shared" si="61"/>
        <v>14</v>
      </c>
      <c r="AD1818" s="48" t="str">
        <f t="shared" si="62"/>
        <v/>
      </c>
      <c r="AE1818" s="48" t="str">
        <f t="shared" si="63"/>
        <v/>
      </c>
      <c r="AF1818" s="48" t="str">
        <f t="shared" si="70"/>
        <v/>
      </c>
      <c r="AH1818" s="48" t="str">
        <f t="shared" si="64"/>
        <v xml:space="preserve"> </v>
      </c>
      <c r="AO1818" s="48">
        <f t="shared" si="65"/>
        <v>0</v>
      </c>
      <c r="AQ1818" s="48">
        <f t="shared" si="66"/>
        <v>0</v>
      </c>
      <c r="AS1818" s="48">
        <f t="shared" si="67"/>
        <v>0</v>
      </c>
      <c r="AU1818" s="48">
        <f t="shared" si="68"/>
        <v>0</v>
      </c>
      <c r="AX1818" s="48">
        <f t="shared" si="69"/>
        <v>0</v>
      </c>
    </row>
    <row r="1819" spans="1:50" ht="13.75" customHeight="1" thickTop="1" thickBot="1" x14ac:dyDescent="0.35">
      <c r="A1819" s="487">
        <v>15</v>
      </c>
      <c r="B1819" s="494"/>
      <c r="C1819" s="495"/>
      <c r="D1819" s="496"/>
      <c r="E1819" s="489"/>
      <c r="F1819" s="475"/>
      <c r="AC1819" s="506">
        <f t="shared" si="61"/>
        <v>15</v>
      </c>
      <c r="AD1819" s="48" t="str">
        <f t="shared" si="62"/>
        <v/>
      </c>
      <c r="AE1819" s="48" t="str">
        <f t="shared" si="63"/>
        <v/>
      </c>
      <c r="AF1819" s="48" t="str">
        <f t="shared" si="70"/>
        <v/>
      </c>
      <c r="AH1819" s="48" t="str">
        <f t="shared" si="64"/>
        <v xml:space="preserve"> </v>
      </c>
      <c r="AO1819" s="48">
        <f t="shared" si="65"/>
        <v>0</v>
      </c>
      <c r="AQ1819" s="48">
        <f t="shared" si="66"/>
        <v>0</v>
      </c>
      <c r="AS1819" s="48">
        <f t="shared" si="67"/>
        <v>0</v>
      </c>
      <c r="AU1819" s="48">
        <f t="shared" si="68"/>
        <v>0</v>
      </c>
      <c r="AX1819" s="48">
        <f t="shared" si="69"/>
        <v>0</v>
      </c>
    </row>
    <row r="1820" spans="1:50" ht="13.75" customHeight="1" thickTop="1" thickBot="1" x14ac:dyDescent="0.35">
      <c r="A1820" s="487">
        <v>16</v>
      </c>
      <c r="B1820" s="494"/>
      <c r="C1820" s="495"/>
      <c r="D1820" s="496"/>
      <c r="E1820" s="489"/>
      <c r="F1820" s="475"/>
      <c r="AC1820" s="506">
        <f t="shared" si="61"/>
        <v>16</v>
      </c>
      <c r="AD1820" s="48" t="str">
        <f t="shared" si="62"/>
        <v/>
      </c>
      <c r="AE1820" s="48" t="str">
        <f t="shared" si="63"/>
        <v/>
      </c>
      <c r="AF1820" s="48" t="str">
        <f t="shared" si="70"/>
        <v/>
      </c>
      <c r="AH1820" s="48" t="str">
        <f t="shared" si="64"/>
        <v xml:space="preserve"> </v>
      </c>
      <c r="AO1820" s="48">
        <f t="shared" si="65"/>
        <v>0</v>
      </c>
      <c r="AQ1820" s="48">
        <f t="shared" si="66"/>
        <v>0</v>
      </c>
      <c r="AS1820" s="48">
        <f t="shared" si="67"/>
        <v>0</v>
      </c>
      <c r="AU1820" s="48">
        <f t="shared" si="68"/>
        <v>0</v>
      </c>
      <c r="AX1820" s="48">
        <f t="shared" si="69"/>
        <v>0</v>
      </c>
    </row>
    <row r="1821" spans="1:50" ht="13.75" customHeight="1" thickTop="1" thickBot="1" x14ac:dyDescent="0.35">
      <c r="A1821" s="487">
        <v>17</v>
      </c>
      <c r="B1821" s="494"/>
      <c r="C1821" s="495"/>
      <c r="D1821" s="496"/>
      <c r="E1821" s="489"/>
      <c r="F1821" s="475"/>
      <c r="AC1821" s="506">
        <f t="shared" si="61"/>
        <v>17</v>
      </c>
      <c r="AD1821" s="48" t="str">
        <f t="shared" si="62"/>
        <v/>
      </c>
      <c r="AE1821" s="48" t="str">
        <f t="shared" si="63"/>
        <v/>
      </c>
      <c r="AF1821" s="48" t="str">
        <f t="shared" si="70"/>
        <v/>
      </c>
      <c r="AH1821" s="48" t="str">
        <f t="shared" si="64"/>
        <v xml:space="preserve"> </v>
      </c>
      <c r="AO1821" s="48">
        <f t="shared" si="65"/>
        <v>0</v>
      </c>
      <c r="AQ1821" s="48">
        <f t="shared" si="66"/>
        <v>0</v>
      </c>
      <c r="AS1821" s="48">
        <f t="shared" si="67"/>
        <v>0</v>
      </c>
      <c r="AU1821" s="48">
        <f t="shared" si="68"/>
        <v>0</v>
      </c>
      <c r="AX1821" s="48">
        <f t="shared" si="69"/>
        <v>0</v>
      </c>
    </row>
    <row r="1822" spans="1:50" ht="13.75" customHeight="1" thickTop="1" thickBot="1" x14ac:dyDescent="0.35">
      <c r="A1822" s="487">
        <v>18</v>
      </c>
      <c r="B1822" s="494"/>
      <c r="C1822" s="495"/>
      <c r="D1822" s="496"/>
      <c r="E1822" s="489"/>
      <c r="F1822" s="475"/>
      <c r="AC1822" s="506">
        <f t="shared" si="61"/>
        <v>18</v>
      </c>
      <c r="AD1822" s="48" t="str">
        <f t="shared" si="62"/>
        <v/>
      </c>
      <c r="AE1822" s="48" t="str">
        <f t="shared" si="63"/>
        <v/>
      </c>
      <c r="AF1822" s="48" t="str">
        <f t="shared" si="70"/>
        <v/>
      </c>
      <c r="AH1822" s="48" t="str">
        <f t="shared" si="64"/>
        <v xml:space="preserve"> </v>
      </c>
      <c r="AO1822" s="48">
        <f t="shared" si="65"/>
        <v>0</v>
      </c>
      <c r="AQ1822" s="48">
        <f t="shared" si="66"/>
        <v>0</v>
      </c>
      <c r="AS1822" s="48">
        <f t="shared" si="67"/>
        <v>0</v>
      </c>
      <c r="AU1822" s="48">
        <f t="shared" si="68"/>
        <v>0</v>
      </c>
      <c r="AX1822" s="48">
        <f t="shared" si="69"/>
        <v>0</v>
      </c>
    </row>
    <row r="1823" spans="1:50" ht="13.75" customHeight="1" thickTop="1" thickBot="1" x14ac:dyDescent="0.35">
      <c r="A1823" s="487">
        <v>19</v>
      </c>
      <c r="B1823" s="494"/>
      <c r="C1823" s="495"/>
      <c r="D1823" s="496"/>
      <c r="E1823" s="489"/>
      <c r="F1823" s="475"/>
      <c r="AC1823" s="506">
        <f t="shared" si="61"/>
        <v>19</v>
      </c>
      <c r="AD1823" s="48" t="str">
        <f t="shared" si="62"/>
        <v/>
      </c>
      <c r="AE1823" s="48" t="str">
        <f t="shared" si="63"/>
        <v/>
      </c>
      <c r="AF1823" s="48" t="str">
        <f t="shared" si="70"/>
        <v/>
      </c>
      <c r="AH1823" s="48" t="str">
        <f t="shared" si="64"/>
        <v xml:space="preserve"> </v>
      </c>
      <c r="AO1823" s="48">
        <f t="shared" si="65"/>
        <v>0</v>
      </c>
      <c r="AQ1823" s="48">
        <f t="shared" si="66"/>
        <v>0</v>
      </c>
      <c r="AS1823" s="48">
        <f t="shared" si="67"/>
        <v>0</v>
      </c>
      <c r="AU1823" s="48">
        <f t="shared" si="68"/>
        <v>0</v>
      </c>
      <c r="AX1823" s="48">
        <f t="shared" si="69"/>
        <v>0</v>
      </c>
    </row>
    <row r="1824" spans="1:50" ht="13.75" customHeight="1" thickTop="1" thickBot="1" x14ac:dyDescent="0.35">
      <c r="A1824" s="487">
        <v>20</v>
      </c>
      <c r="B1824" s="497"/>
      <c r="C1824" s="498"/>
      <c r="D1824" s="499"/>
      <c r="E1824" s="489"/>
      <c r="F1824" s="475"/>
      <c r="AC1824" s="506">
        <f t="shared" si="61"/>
        <v>20</v>
      </c>
      <c r="AD1824" s="48" t="str">
        <f t="shared" si="62"/>
        <v/>
      </c>
      <c r="AE1824" s="48" t="str">
        <f t="shared" si="63"/>
        <v/>
      </c>
      <c r="AF1824" s="48" t="str">
        <f t="shared" si="70"/>
        <v/>
      </c>
      <c r="AH1824" s="48" t="str">
        <f t="shared" si="64"/>
        <v xml:space="preserve"> </v>
      </c>
      <c r="AO1824" s="48">
        <f t="shared" si="65"/>
        <v>0</v>
      </c>
      <c r="AQ1824" s="48">
        <f t="shared" si="66"/>
        <v>0</v>
      </c>
      <c r="AS1824" s="48">
        <f t="shared" si="67"/>
        <v>0</v>
      </c>
      <c r="AU1824" s="48">
        <f t="shared" si="68"/>
        <v>0</v>
      </c>
      <c r="AX1824" s="48">
        <f t="shared" si="69"/>
        <v>0</v>
      </c>
    </row>
    <row r="1825" spans="1:63" ht="13.75" customHeight="1" thickTop="1" thickBot="1" x14ac:dyDescent="0.35">
      <c r="A1825" s="487">
        <v>21</v>
      </c>
      <c r="B1825" s="497"/>
      <c r="C1825" s="498"/>
      <c r="D1825" s="499"/>
      <c r="E1825" s="489"/>
      <c r="F1825" s="475"/>
      <c r="AC1825" s="506">
        <f t="shared" si="61"/>
        <v>21</v>
      </c>
      <c r="AD1825" s="48" t="str">
        <f t="shared" si="62"/>
        <v/>
      </c>
      <c r="AE1825" s="48" t="str">
        <f t="shared" si="63"/>
        <v/>
      </c>
      <c r="AF1825" s="48" t="str">
        <f t="shared" si="70"/>
        <v/>
      </c>
      <c r="AH1825" s="48" t="str">
        <f t="shared" si="64"/>
        <v xml:space="preserve"> </v>
      </c>
      <c r="AO1825" s="48">
        <f t="shared" si="65"/>
        <v>0</v>
      </c>
      <c r="AQ1825" s="48">
        <f t="shared" si="66"/>
        <v>0</v>
      </c>
      <c r="AS1825" s="48">
        <f t="shared" si="67"/>
        <v>0</v>
      </c>
      <c r="AU1825" s="48">
        <f t="shared" si="68"/>
        <v>0</v>
      </c>
      <c r="AX1825" s="48">
        <f t="shared" si="69"/>
        <v>0</v>
      </c>
    </row>
    <row r="1826" spans="1:63" ht="13.75" customHeight="1" thickTop="1" thickBot="1" x14ac:dyDescent="0.35">
      <c r="A1826" s="487">
        <v>22</v>
      </c>
      <c r="B1826" s="497"/>
      <c r="C1826" s="498"/>
      <c r="D1826" s="499"/>
      <c r="E1826" s="489"/>
      <c r="F1826" s="475"/>
      <c r="AC1826" s="506">
        <f t="shared" si="61"/>
        <v>22</v>
      </c>
      <c r="AD1826" s="48" t="str">
        <f t="shared" si="62"/>
        <v/>
      </c>
      <c r="AE1826" s="48" t="str">
        <f t="shared" si="63"/>
        <v/>
      </c>
      <c r="AF1826" s="48" t="str">
        <f t="shared" si="70"/>
        <v/>
      </c>
      <c r="AH1826" s="48" t="str">
        <f t="shared" si="64"/>
        <v xml:space="preserve"> </v>
      </c>
      <c r="AO1826" s="48">
        <f t="shared" si="65"/>
        <v>0</v>
      </c>
      <c r="AQ1826" s="48">
        <f t="shared" si="66"/>
        <v>0</v>
      </c>
      <c r="AS1826" s="48">
        <f t="shared" si="67"/>
        <v>0</v>
      </c>
      <c r="AU1826" s="48">
        <f t="shared" si="68"/>
        <v>0</v>
      </c>
      <c r="AX1826" s="48">
        <f t="shared" si="69"/>
        <v>0</v>
      </c>
    </row>
    <row r="1827" spans="1:63" ht="13.75" customHeight="1" thickTop="1" thickBot="1" x14ac:dyDescent="0.35">
      <c r="A1827" s="487">
        <v>23</v>
      </c>
      <c r="B1827" s="497"/>
      <c r="C1827" s="498"/>
      <c r="D1827" s="499"/>
      <c r="E1827" s="489"/>
      <c r="F1827" s="475"/>
      <c r="AC1827" s="506">
        <f t="shared" si="61"/>
        <v>23</v>
      </c>
      <c r="AD1827" s="48" t="str">
        <f t="shared" si="62"/>
        <v/>
      </c>
      <c r="AE1827" s="48" t="str">
        <f t="shared" si="63"/>
        <v/>
      </c>
      <c r="AF1827" s="48" t="str">
        <f t="shared" si="70"/>
        <v/>
      </c>
      <c r="AH1827" s="48" t="str">
        <f t="shared" si="64"/>
        <v xml:space="preserve"> </v>
      </c>
      <c r="AO1827" s="48">
        <f t="shared" si="65"/>
        <v>0</v>
      </c>
      <c r="AQ1827" s="48">
        <f t="shared" si="66"/>
        <v>0</v>
      </c>
      <c r="AS1827" s="48">
        <f t="shared" si="67"/>
        <v>0</v>
      </c>
      <c r="AU1827" s="48">
        <f t="shared" si="68"/>
        <v>0</v>
      </c>
      <c r="AX1827" s="48">
        <f t="shared" si="69"/>
        <v>0</v>
      </c>
    </row>
    <row r="1828" spans="1:63" ht="13.75" customHeight="1" thickTop="1" thickBot="1" x14ac:dyDescent="0.35">
      <c r="A1828" s="487">
        <v>24</v>
      </c>
      <c r="B1828" s="497"/>
      <c r="C1828" s="498"/>
      <c r="D1828" s="499"/>
      <c r="E1828" s="489"/>
      <c r="F1828" s="475"/>
      <c r="AC1828" s="506">
        <f t="shared" si="61"/>
        <v>24</v>
      </c>
      <c r="AD1828" s="48" t="str">
        <f t="shared" si="62"/>
        <v/>
      </c>
      <c r="AE1828" s="48" t="str">
        <f t="shared" si="63"/>
        <v/>
      </c>
      <c r="AF1828" s="48" t="str">
        <f t="shared" si="70"/>
        <v/>
      </c>
      <c r="AH1828" s="48" t="str">
        <f t="shared" si="64"/>
        <v xml:space="preserve"> </v>
      </c>
      <c r="AO1828" s="48">
        <f t="shared" si="65"/>
        <v>0</v>
      </c>
      <c r="AQ1828" s="48">
        <f t="shared" si="66"/>
        <v>0</v>
      </c>
      <c r="AS1828" s="48">
        <f t="shared" si="67"/>
        <v>0</v>
      </c>
      <c r="AU1828" s="48">
        <f t="shared" si="68"/>
        <v>0</v>
      </c>
      <c r="AX1828" s="48">
        <f t="shared" si="69"/>
        <v>0</v>
      </c>
    </row>
    <row r="1829" spans="1:63" ht="13.75" customHeight="1" thickTop="1" thickBot="1" x14ac:dyDescent="0.35">
      <c r="A1829" s="487">
        <v>25</v>
      </c>
      <c r="B1829" s="497"/>
      <c r="C1829" s="498"/>
      <c r="D1829" s="499"/>
      <c r="E1829" s="489"/>
      <c r="F1829" s="475"/>
      <c r="AC1829" s="506">
        <f t="shared" si="61"/>
        <v>25</v>
      </c>
      <c r="AD1829" s="48" t="str">
        <f t="shared" si="62"/>
        <v/>
      </c>
      <c r="AE1829" s="48" t="str">
        <f t="shared" si="63"/>
        <v/>
      </c>
      <c r="AF1829" s="48" t="str">
        <f t="shared" si="70"/>
        <v/>
      </c>
      <c r="AH1829" s="48" t="str">
        <f t="shared" si="64"/>
        <v xml:space="preserve"> </v>
      </c>
      <c r="AO1829" s="48">
        <f t="shared" si="65"/>
        <v>0</v>
      </c>
      <c r="AQ1829" s="48">
        <f t="shared" si="66"/>
        <v>0</v>
      </c>
      <c r="AS1829" s="48">
        <f t="shared" si="67"/>
        <v>0</v>
      </c>
      <c r="AU1829" s="48">
        <f t="shared" si="68"/>
        <v>0</v>
      </c>
      <c r="AX1829" s="48">
        <f t="shared" si="69"/>
        <v>0</v>
      </c>
    </row>
    <row r="1830" spans="1:63" ht="13.75" customHeight="1" thickTop="1" thickBot="1" x14ac:dyDescent="0.35">
      <c r="A1830" s="487">
        <v>26</v>
      </c>
      <c r="B1830" s="497"/>
      <c r="C1830" s="498"/>
      <c r="D1830" s="499"/>
      <c r="E1830" s="489"/>
      <c r="F1830" s="475"/>
      <c r="AC1830" s="506">
        <f t="shared" si="61"/>
        <v>26</v>
      </c>
      <c r="AD1830" s="48" t="str">
        <f t="shared" si="62"/>
        <v/>
      </c>
      <c r="AE1830" s="48" t="str">
        <f t="shared" si="63"/>
        <v/>
      </c>
      <c r="AF1830" s="48" t="str">
        <f t="shared" si="70"/>
        <v/>
      </c>
      <c r="AH1830" s="48" t="str">
        <f t="shared" si="64"/>
        <v xml:space="preserve"> </v>
      </c>
      <c r="AO1830" s="48">
        <f t="shared" si="65"/>
        <v>0</v>
      </c>
      <c r="AQ1830" s="48">
        <f t="shared" si="66"/>
        <v>0</v>
      </c>
      <c r="AS1830" s="48">
        <f t="shared" si="67"/>
        <v>0</v>
      </c>
      <c r="AU1830" s="48">
        <f t="shared" si="68"/>
        <v>0</v>
      </c>
      <c r="AX1830" s="48">
        <f t="shared" si="69"/>
        <v>0</v>
      </c>
    </row>
    <row r="1831" spans="1:63" ht="13.75" customHeight="1" thickTop="1" thickBot="1" x14ac:dyDescent="0.35">
      <c r="A1831" s="487">
        <v>27</v>
      </c>
      <c r="B1831" s="497"/>
      <c r="C1831" s="498"/>
      <c r="D1831" s="499"/>
      <c r="E1831" s="489"/>
      <c r="F1831" s="475"/>
      <c r="AC1831" s="506">
        <f t="shared" si="61"/>
        <v>27</v>
      </c>
      <c r="AD1831" s="48" t="str">
        <f t="shared" si="62"/>
        <v/>
      </c>
      <c r="AE1831" s="48" t="str">
        <f t="shared" si="63"/>
        <v/>
      </c>
      <c r="AF1831" s="48" t="str">
        <f t="shared" si="70"/>
        <v/>
      </c>
      <c r="AH1831" s="48" t="str">
        <f t="shared" si="64"/>
        <v xml:space="preserve"> </v>
      </c>
      <c r="AO1831" s="48">
        <f t="shared" si="65"/>
        <v>0</v>
      </c>
      <c r="AQ1831" s="48">
        <f t="shared" si="66"/>
        <v>0</v>
      </c>
      <c r="AS1831" s="48">
        <f t="shared" si="67"/>
        <v>0</v>
      </c>
      <c r="AU1831" s="48">
        <f t="shared" si="68"/>
        <v>0</v>
      </c>
      <c r="AX1831" s="48">
        <f t="shared" si="69"/>
        <v>0</v>
      </c>
    </row>
    <row r="1832" spans="1:63" ht="13.75" customHeight="1" thickTop="1" thickBot="1" x14ac:dyDescent="0.35">
      <c r="A1832" s="487">
        <v>28</v>
      </c>
      <c r="B1832" s="497"/>
      <c r="C1832" s="498"/>
      <c r="D1832" s="499"/>
      <c r="E1832" s="489"/>
      <c r="F1832" s="475"/>
      <c r="AC1832" s="506">
        <f t="shared" si="61"/>
        <v>28</v>
      </c>
      <c r="AD1832" s="48" t="str">
        <f t="shared" si="62"/>
        <v/>
      </c>
      <c r="AE1832" s="48" t="str">
        <f t="shared" si="63"/>
        <v/>
      </c>
      <c r="AF1832" s="48" t="str">
        <f t="shared" si="70"/>
        <v/>
      </c>
      <c r="AH1832" s="48" t="str">
        <f t="shared" si="64"/>
        <v xml:space="preserve"> </v>
      </c>
      <c r="AO1832" s="48">
        <f t="shared" si="65"/>
        <v>0</v>
      </c>
      <c r="AQ1832" s="48">
        <f t="shared" si="66"/>
        <v>0</v>
      </c>
      <c r="AS1832" s="48">
        <f t="shared" si="67"/>
        <v>0</v>
      </c>
      <c r="AU1832" s="48">
        <f t="shared" si="68"/>
        <v>0</v>
      </c>
      <c r="AX1832" s="48">
        <f t="shared" si="69"/>
        <v>0</v>
      </c>
    </row>
    <row r="1833" spans="1:63" ht="13.75" customHeight="1" thickTop="1" thickBot="1" x14ac:dyDescent="0.35">
      <c r="A1833" s="487">
        <v>29</v>
      </c>
      <c r="B1833" s="497"/>
      <c r="C1833" s="498"/>
      <c r="D1833" s="499"/>
      <c r="E1833" s="489"/>
      <c r="F1833" s="475"/>
      <c r="AC1833" s="506">
        <f t="shared" si="61"/>
        <v>29</v>
      </c>
      <c r="AD1833" s="48" t="str">
        <f t="shared" si="62"/>
        <v/>
      </c>
      <c r="AE1833" s="48" t="str">
        <f t="shared" si="63"/>
        <v/>
      </c>
      <c r="AF1833" s="48" t="str">
        <f t="shared" si="70"/>
        <v/>
      </c>
      <c r="AH1833" s="48" t="str">
        <f t="shared" si="64"/>
        <v xml:space="preserve"> </v>
      </c>
      <c r="AO1833" s="48">
        <f t="shared" si="65"/>
        <v>0</v>
      </c>
      <c r="AQ1833" s="48">
        <f t="shared" si="66"/>
        <v>0</v>
      </c>
      <c r="AS1833" s="48">
        <f t="shared" si="67"/>
        <v>0</v>
      </c>
      <c r="AU1833" s="48">
        <f t="shared" si="68"/>
        <v>0</v>
      </c>
      <c r="AX1833" s="48">
        <f t="shared" si="69"/>
        <v>0</v>
      </c>
    </row>
    <row r="1834" spans="1:63" ht="13.75" customHeight="1" thickTop="1" thickBot="1" x14ac:dyDescent="0.35">
      <c r="A1834" s="487">
        <v>30</v>
      </c>
      <c r="B1834" s="497"/>
      <c r="C1834" s="498"/>
      <c r="D1834" s="499"/>
      <c r="E1834" s="489"/>
      <c r="F1834" s="475"/>
      <c r="AC1834" s="506">
        <f t="shared" si="61"/>
        <v>30</v>
      </c>
      <c r="AD1834" s="48" t="str">
        <f t="shared" si="62"/>
        <v/>
      </c>
      <c r="AE1834" s="48" t="str">
        <f t="shared" si="63"/>
        <v/>
      </c>
      <c r="AF1834" s="48" t="str">
        <f t="shared" si="70"/>
        <v/>
      </c>
      <c r="AH1834" s="48" t="str">
        <f t="shared" si="64"/>
        <v xml:space="preserve"> </v>
      </c>
      <c r="AO1834" s="48">
        <f t="shared" si="65"/>
        <v>0</v>
      </c>
      <c r="AQ1834" s="48">
        <f t="shared" si="66"/>
        <v>0</v>
      </c>
      <c r="AS1834" s="48">
        <f t="shared" si="67"/>
        <v>0</v>
      </c>
      <c r="AU1834" s="48">
        <f t="shared" si="68"/>
        <v>0</v>
      </c>
      <c r="AX1834" s="48">
        <f t="shared" si="69"/>
        <v>0</v>
      </c>
    </row>
    <row r="1835" spans="1:63" ht="13.75" customHeight="1" thickTop="1" thickBot="1" x14ac:dyDescent="0.35">
      <c r="A1835" s="487">
        <v>31</v>
      </c>
      <c r="B1835" s="497"/>
      <c r="C1835" s="498"/>
      <c r="D1835" s="499"/>
      <c r="E1835" s="489"/>
      <c r="F1835" s="475"/>
      <c r="AC1835" s="506">
        <f t="shared" si="61"/>
        <v>31</v>
      </c>
      <c r="AD1835" s="48" t="str">
        <f t="shared" si="62"/>
        <v/>
      </c>
      <c r="AE1835" s="48" t="str">
        <f t="shared" si="63"/>
        <v/>
      </c>
      <c r="AF1835" s="48" t="str">
        <f t="shared" si="70"/>
        <v/>
      </c>
      <c r="AH1835" s="48" t="str">
        <f t="shared" si="64"/>
        <v xml:space="preserve"> </v>
      </c>
      <c r="AO1835" s="48">
        <f t="shared" si="65"/>
        <v>0</v>
      </c>
      <c r="AQ1835" s="48">
        <f t="shared" si="66"/>
        <v>0</v>
      </c>
      <c r="AS1835" s="48">
        <f t="shared" si="67"/>
        <v>0</v>
      </c>
      <c r="AU1835" s="48">
        <f t="shared" si="68"/>
        <v>0</v>
      </c>
      <c r="AX1835" s="48">
        <f t="shared" si="69"/>
        <v>0</v>
      </c>
    </row>
    <row r="1836" spans="1:63" ht="13.75" customHeight="1" thickTop="1" thickBot="1" x14ac:dyDescent="0.35">
      <c r="A1836" s="487">
        <v>32</v>
      </c>
      <c r="B1836" s="497"/>
      <c r="C1836" s="498"/>
      <c r="D1836" s="499"/>
      <c r="E1836" s="489"/>
      <c r="F1836" s="475"/>
      <c r="AC1836" s="506">
        <f t="shared" si="61"/>
        <v>32</v>
      </c>
      <c r="AD1836" s="48" t="str">
        <f t="shared" si="62"/>
        <v/>
      </c>
      <c r="AE1836" s="48" t="str">
        <f t="shared" si="63"/>
        <v/>
      </c>
      <c r="AF1836" s="48" t="str">
        <f t="shared" si="70"/>
        <v/>
      </c>
      <c r="AH1836" s="48" t="str">
        <f t="shared" si="64"/>
        <v xml:space="preserve"> </v>
      </c>
      <c r="AO1836" s="48">
        <f t="shared" si="65"/>
        <v>0</v>
      </c>
      <c r="AQ1836" s="48">
        <f t="shared" si="66"/>
        <v>0</v>
      </c>
      <c r="AS1836" s="48">
        <f t="shared" si="67"/>
        <v>0</v>
      </c>
      <c r="AU1836" s="48">
        <f t="shared" si="68"/>
        <v>0</v>
      </c>
      <c r="AX1836" s="48">
        <f t="shared" si="69"/>
        <v>0</v>
      </c>
    </row>
    <row r="1837" spans="1:63" ht="13.75" customHeight="1" thickTop="1" thickBot="1" x14ac:dyDescent="0.35">
      <c r="A1837" s="487">
        <v>33</v>
      </c>
      <c r="B1837" s="497"/>
      <c r="C1837" s="498"/>
      <c r="D1837" s="499"/>
      <c r="E1837" s="489"/>
      <c r="F1837" s="475"/>
      <c r="AC1837" s="506">
        <f t="shared" si="61"/>
        <v>33</v>
      </c>
      <c r="AD1837" s="48" t="str">
        <f t="shared" si="62"/>
        <v/>
      </c>
      <c r="AE1837" s="48" t="str">
        <f t="shared" si="63"/>
        <v/>
      </c>
      <c r="AF1837" s="48" t="str">
        <f t="shared" si="70"/>
        <v/>
      </c>
      <c r="AH1837" s="48" t="str">
        <f t="shared" si="64"/>
        <v xml:space="preserve"> </v>
      </c>
      <c r="AO1837" s="48">
        <f t="shared" si="65"/>
        <v>0</v>
      </c>
      <c r="AQ1837" s="48">
        <f t="shared" si="66"/>
        <v>0</v>
      </c>
      <c r="AS1837" s="48">
        <f t="shared" si="67"/>
        <v>0</v>
      </c>
      <c r="AU1837" s="48">
        <f t="shared" si="68"/>
        <v>0</v>
      </c>
      <c r="AX1837" s="48">
        <f t="shared" si="69"/>
        <v>0</v>
      </c>
    </row>
    <row r="1838" spans="1:63" ht="13.75" customHeight="1" thickTop="1" thickBot="1" x14ac:dyDescent="0.35">
      <c r="A1838" s="487">
        <v>34</v>
      </c>
      <c r="B1838" s="497"/>
      <c r="C1838" s="498"/>
      <c r="D1838" s="499"/>
      <c r="E1838" s="489"/>
      <c r="F1838" s="475"/>
      <c r="AC1838" s="506">
        <f t="shared" si="61"/>
        <v>34</v>
      </c>
      <c r="AD1838" s="48" t="str">
        <f t="shared" si="62"/>
        <v/>
      </c>
      <c r="AE1838" s="48" t="str">
        <f t="shared" si="63"/>
        <v/>
      </c>
      <c r="AF1838" s="48" t="str">
        <f t="shared" si="70"/>
        <v/>
      </c>
      <c r="AH1838" s="48" t="str">
        <f t="shared" si="64"/>
        <v xml:space="preserve"> </v>
      </c>
      <c r="AO1838" s="48">
        <f t="shared" si="65"/>
        <v>0</v>
      </c>
      <c r="AQ1838" s="48">
        <f t="shared" si="66"/>
        <v>0</v>
      </c>
      <c r="AS1838" s="48">
        <f t="shared" si="67"/>
        <v>0</v>
      </c>
      <c r="AU1838" s="48">
        <f t="shared" si="68"/>
        <v>0</v>
      </c>
      <c r="AX1838" s="48">
        <f t="shared" si="69"/>
        <v>0</v>
      </c>
      <c r="BK1838" s="535" t="s">
        <v>910</v>
      </c>
    </row>
    <row r="1839" spans="1:63" ht="13.75" customHeight="1" thickTop="1" thickBot="1" x14ac:dyDescent="0.35">
      <c r="A1839" s="487">
        <v>35</v>
      </c>
      <c r="B1839" s="497"/>
      <c r="C1839" s="498"/>
      <c r="D1839" s="499"/>
      <c r="E1839" s="489"/>
      <c r="F1839" s="475"/>
      <c r="AC1839" s="506">
        <f t="shared" si="61"/>
        <v>35</v>
      </c>
      <c r="AD1839" s="48" t="str">
        <f t="shared" si="62"/>
        <v/>
      </c>
      <c r="AE1839" s="48" t="str">
        <f t="shared" si="63"/>
        <v/>
      </c>
      <c r="AF1839" s="48" t="str">
        <f t="shared" si="70"/>
        <v/>
      </c>
      <c r="AH1839" s="48" t="str">
        <f t="shared" si="64"/>
        <v xml:space="preserve"> </v>
      </c>
      <c r="AO1839" s="48">
        <f t="shared" si="65"/>
        <v>0</v>
      </c>
      <c r="AQ1839" s="48">
        <f t="shared" si="66"/>
        <v>0</v>
      </c>
      <c r="AS1839" s="48">
        <f t="shared" si="67"/>
        <v>0</v>
      </c>
      <c r="AU1839" s="48">
        <f t="shared" si="68"/>
        <v>0</v>
      </c>
      <c r="AX1839" s="48">
        <f t="shared" si="69"/>
        <v>0</v>
      </c>
      <c r="BK1839" s="536" t="s">
        <v>19</v>
      </c>
    </row>
    <row r="1840" spans="1:63" ht="13.75" customHeight="1" thickTop="1" thickBot="1" x14ac:dyDescent="0.35">
      <c r="A1840" s="487">
        <v>36</v>
      </c>
      <c r="B1840" s="497"/>
      <c r="C1840" s="498"/>
      <c r="D1840" s="499"/>
      <c r="E1840" s="489"/>
      <c r="F1840" s="475"/>
      <c r="AC1840" s="506">
        <f t="shared" si="61"/>
        <v>36</v>
      </c>
      <c r="AD1840" s="48" t="str">
        <f t="shared" si="62"/>
        <v/>
      </c>
      <c r="AE1840" s="48" t="str">
        <f t="shared" si="63"/>
        <v/>
      </c>
      <c r="AF1840" s="48" t="str">
        <f t="shared" si="70"/>
        <v/>
      </c>
      <c r="AH1840" s="48" t="str">
        <f t="shared" si="64"/>
        <v xml:space="preserve"> </v>
      </c>
      <c r="AO1840" s="48">
        <f t="shared" si="65"/>
        <v>0</v>
      </c>
      <c r="AQ1840" s="48">
        <f t="shared" si="66"/>
        <v>0</v>
      </c>
      <c r="AS1840" s="48">
        <f t="shared" si="67"/>
        <v>0</v>
      </c>
      <c r="AU1840" s="48">
        <f t="shared" si="68"/>
        <v>0</v>
      </c>
      <c r="AX1840" s="48">
        <f t="shared" si="69"/>
        <v>0</v>
      </c>
      <c r="BK1840" s="536" t="s">
        <v>52</v>
      </c>
    </row>
    <row r="1841" spans="1:63" ht="13.75" customHeight="1" thickTop="1" thickBot="1" x14ac:dyDescent="0.35">
      <c r="A1841" s="487">
        <v>37</v>
      </c>
      <c r="B1841" s="497"/>
      <c r="C1841" s="498"/>
      <c r="D1841" s="499"/>
      <c r="E1841" s="489"/>
      <c r="F1841" s="475"/>
      <c r="AC1841" s="506">
        <f t="shared" si="61"/>
        <v>37</v>
      </c>
      <c r="AD1841" s="48" t="str">
        <f t="shared" si="62"/>
        <v/>
      </c>
      <c r="AE1841" s="48" t="str">
        <f t="shared" si="63"/>
        <v/>
      </c>
      <c r="AF1841" s="48" t="str">
        <f t="shared" si="70"/>
        <v/>
      </c>
      <c r="AH1841" s="48" t="str">
        <f t="shared" si="64"/>
        <v xml:space="preserve"> </v>
      </c>
      <c r="AO1841" s="48">
        <f t="shared" si="65"/>
        <v>0</v>
      </c>
      <c r="AQ1841" s="48">
        <f t="shared" si="66"/>
        <v>0</v>
      </c>
      <c r="AS1841" s="48">
        <f t="shared" si="67"/>
        <v>0</v>
      </c>
      <c r="AU1841" s="48">
        <f t="shared" si="68"/>
        <v>0</v>
      </c>
      <c r="AX1841" s="48">
        <f t="shared" si="69"/>
        <v>0</v>
      </c>
      <c r="BK1841" s="536" t="s">
        <v>56</v>
      </c>
    </row>
    <row r="1842" spans="1:63" ht="13.75" customHeight="1" thickTop="1" thickBot="1" x14ac:dyDescent="0.35">
      <c r="A1842" s="487">
        <v>38</v>
      </c>
      <c r="B1842" s="497"/>
      <c r="C1842" s="498"/>
      <c r="D1842" s="499"/>
      <c r="E1842" s="489"/>
      <c r="F1842" s="475"/>
      <c r="AC1842" s="506">
        <f t="shared" si="61"/>
        <v>38</v>
      </c>
      <c r="AD1842" s="48" t="str">
        <f t="shared" si="62"/>
        <v/>
      </c>
      <c r="AE1842" s="48" t="str">
        <f t="shared" si="63"/>
        <v/>
      </c>
      <c r="AF1842" s="48" t="str">
        <f t="shared" si="70"/>
        <v/>
      </c>
      <c r="AH1842" s="48" t="str">
        <f t="shared" si="64"/>
        <v xml:space="preserve"> </v>
      </c>
      <c r="AO1842" s="48">
        <f t="shared" si="65"/>
        <v>0</v>
      </c>
      <c r="AQ1842" s="48">
        <f t="shared" si="66"/>
        <v>0</v>
      </c>
      <c r="AS1842" s="48">
        <f t="shared" si="67"/>
        <v>0</v>
      </c>
      <c r="AU1842" s="48">
        <f t="shared" si="68"/>
        <v>0</v>
      </c>
      <c r="AX1842" s="48">
        <f t="shared" si="69"/>
        <v>0</v>
      </c>
      <c r="BK1842" s="536" t="s">
        <v>57</v>
      </c>
    </row>
    <row r="1843" spans="1:63" ht="13.75" customHeight="1" thickTop="1" thickBot="1" x14ac:dyDescent="0.35">
      <c r="A1843" s="487">
        <v>39</v>
      </c>
      <c r="B1843" s="497"/>
      <c r="C1843" s="498"/>
      <c r="D1843" s="499"/>
      <c r="E1843" s="489"/>
      <c r="F1843" s="475"/>
      <c r="AC1843" s="506">
        <f t="shared" si="61"/>
        <v>39</v>
      </c>
      <c r="AD1843" s="48" t="str">
        <f t="shared" si="62"/>
        <v/>
      </c>
      <c r="AE1843" s="48" t="str">
        <f t="shared" si="63"/>
        <v/>
      </c>
      <c r="AF1843" s="48" t="str">
        <f t="shared" si="70"/>
        <v/>
      </c>
      <c r="AH1843" s="48" t="str">
        <f t="shared" si="64"/>
        <v xml:space="preserve"> </v>
      </c>
      <c r="AO1843" s="48">
        <f t="shared" si="65"/>
        <v>0</v>
      </c>
      <c r="AQ1843" s="48">
        <f t="shared" si="66"/>
        <v>0</v>
      </c>
      <c r="AS1843" s="48">
        <f t="shared" si="67"/>
        <v>0</v>
      </c>
      <c r="AU1843" s="48">
        <f t="shared" si="68"/>
        <v>0</v>
      </c>
      <c r="AX1843" s="48">
        <f t="shared" si="69"/>
        <v>0</v>
      </c>
      <c r="BK1843" s="536" t="s">
        <v>911</v>
      </c>
    </row>
    <row r="1844" spans="1:63" ht="13.75" customHeight="1" thickTop="1" thickBot="1" x14ac:dyDescent="0.35">
      <c r="A1844" s="487">
        <v>40</v>
      </c>
      <c r="B1844" s="497"/>
      <c r="C1844" s="498"/>
      <c r="D1844" s="499"/>
      <c r="E1844" s="489"/>
      <c r="F1844" s="475"/>
      <c r="AC1844" s="506">
        <f t="shared" si="61"/>
        <v>40</v>
      </c>
      <c r="AD1844" s="48" t="str">
        <f t="shared" si="62"/>
        <v/>
      </c>
      <c r="AE1844" s="48" t="str">
        <f t="shared" si="63"/>
        <v/>
      </c>
      <c r="AF1844" s="48" t="str">
        <f t="shared" si="70"/>
        <v/>
      </c>
      <c r="AH1844" s="48" t="str">
        <f t="shared" si="64"/>
        <v xml:space="preserve"> </v>
      </c>
      <c r="AO1844" s="48">
        <f t="shared" si="65"/>
        <v>0</v>
      </c>
      <c r="AQ1844" s="48">
        <f t="shared" si="66"/>
        <v>0</v>
      </c>
      <c r="AS1844" s="48">
        <f t="shared" si="67"/>
        <v>0</v>
      </c>
      <c r="AU1844" s="48">
        <f t="shared" si="68"/>
        <v>0</v>
      </c>
      <c r="AX1844" s="48">
        <f t="shared" si="69"/>
        <v>0</v>
      </c>
    </row>
    <row r="1845" spans="1:63" ht="13.75" customHeight="1" x14ac:dyDescent="0.3">
      <c r="A1845" s="485"/>
      <c r="B1845" s="485"/>
      <c r="C1845" s="485"/>
      <c r="D1845" s="485"/>
      <c r="E1845" s="485"/>
      <c r="F1845" s="475"/>
      <c r="AO1845" s="52">
        <f>SUM(AO1805:AO1844)</f>
        <v>0</v>
      </c>
      <c r="AP1845" s="48" t="str">
        <f>AO1804</f>
        <v>d</v>
      </c>
      <c r="AQ1845" s="52">
        <f>SUM(AQ1805:AQ1844)</f>
        <v>0</v>
      </c>
      <c r="AR1845" s="48" t="str">
        <f>AQ1804</f>
        <v>f</v>
      </c>
      <c r="AS1845" s="52">
        <f>SUM(AS1805:AS1844)</f>
        <v>0</v>
      </c>
      <c r="AT1845" s="48" t="str">
        <f>AS1804</f>
        <v>s</v>
      </c>
      <c r="AU1845" s="52">
        <f>SUM(AU1805:AU1844)</f>
        <v>0</v>
      </c>
      <c r="AV1845" s="48" t="str">
        <f>AU1804</f>
        <v>n</v>
      </c>
      <c r="AX1845" s="52">
        <f>SUM(AX1805:AX1844)</f>
        <v>0</v>
      </c>
    </row>
    <row r="1846" spans="1:63" ht="30" customHeight="1" x14ac:dyDescent="0.3">
      <c r="A1846" s="862" t="s">
        <v>82</v>
      </c>
      <c r="B1846" s="862" t="s">
        <v>5286</v>
      </c>
      <c r="C1846" s="862"/>
      <c r="D1846" s="872"/>
      <c r="E1846" s="864"/>
      <c r="F1846" s="864"/>
      <c r="AO1846" s="52"/>
      <c r="AQ1846" s="52"/>
      <c r="AS1846" s="52"/>
      <c r="AU1846" s="52"/>
    </row>
    <row r="1847" spans="1:63" ht="13.75" customHeight="1" x14ac:dyDescent="0.3">
      <c r="A1847" s="833" t="s">
        <v>5306</v>
      </c>
      <c r="B1847" s="485"/>
      <c r="C1847" s="485"/>
      <c r="D1847" s="485"/>
      <c r="E1847" s="485"/>
      <c r="F1847" s="475"/>
      <c r="AO1847" s="52"/>
      <c r="AQ1847" s="52"/>
      <c r="AS1847" s="52"/>
      <c r="AU1847" s="52"/>
      <c r="BB1847" s="48"/>
    </row>
    <row r="1848" spans="1:63" ht="20" customHeight="1" x14ac:dyDescent="0.3">
      <c r="A1848" s="485"/>
      <c r="B1848" s="485"/>
      <c r="C1848" s="886" t="s">
        <v>5279</v>
      </c>
      <c r="D1848" s="886" t="s">
        <v>5280</v>
      </c>
      <c r="E1848" s="815"/>
      <c r="F1848" s="475"/>
      <c r="AO1848" s="52"/>
      <c r="AQ1848" s="52"/>
      <c r="AS1848" s="52"/>
      <c r="AU1848" s="52"/>
    </row>
    <row r="1849" spans="1:63" ht="15" customHeight="1" x14ac:dyDescent="0.3">
      <c r="A1849" s="485"/>
      <c r="B1849" s="819" t="s">
        <v>5291</v>
      </c>
      <c r="C1849" s="1130" t="str">
        <f>AG1849</f>
        <v>ENTER TAGLINE ABOVE</v>
      </c>
      <c r="D1849" s="1132" t="str">
        <f>AG1850</f>
        <v>ENTER TAGLINE ABOVE</v>
      </c>
      <c r="E1849" s="1133"/>
      <c r="F1849" s="475"/>
      <c r="AE1849" s="821" t="str">
        <f>B1849</f>
        <v>Cold open</v>
      </c>
      <c r="AF1849" s="818" t="s">
        <v>62</v>
      </c>
      <c r="AG1849" s="817" t="str">
        <f>CONCATENATE(AI1849,AJ1849,AK1849)</f>
        <v>ENTER TAGLINE ABOVE</v>
      </c>
      <c r="AI1849" s="48" t="str">
        <f>IF(C$922=AG$921,"ENTER TAGLINE ABOVE",C$922)</f>
        <v>ENTER TAGLINE ABOVE</v>
      </c>
      <c r="AO1849" s="52"/>
      <c r="AQ1849" s="52"/>
      <c r="AS1849" s="52"/>
      <c r="AU1849" s="52"/>
      <c r="BB1849" s="109" t="s">
        <v>5281</v>
      </c>
      <c r="BD1849" s="48" t="s">
        <v>4232</v>
      </c>
    </row>
    <row r="1850" spans="1:63" ht="15" customHeight="1" x14ac:dyDescent="0.3">
      <c r="A1850" s="485"/>
      <c r="B1850" s="819"/>
      <c r="C1850" s="1131"/>
      <c r="D1850" s="1134"/>
      <c r="E1850" s="1135"/>
      <c r="F1850" s="475"/>
      <c r="AF1850" s="818" t="s">
        <v>5288</v>
      </c>
      <c r="AG1850" s="816" t="str">
        <f>CONCATENATE(AI1850,AJ1850,AK1850)</f>
        <v>ENTER TAGLINE ABOVE</v>
      </c>
      <c r="AI1850" s="48" t="str">
        <f>IF(C$922=AG$921,"ENTER TAGLINE ABOVE",C$922)</f>
        <v>ENTER TAGLINE ABOVE</v>
      </c>
      <c r="AO1850" s="52"/>
      <c r="AQ1850" s="52"/>
      <c r="AS1850" s="52"/>
      <c r="AU1850" s="52"/>
      <c r="BB1850" s="109" t="s">
        <v>5282</v>
      </c>
      <c r="BD1850" s="48" t="s">
        <v>3547</v>
      </c>
    </row>
    <row r="1851" spans="1:63" ht="15" customHeight="1" x14ac:dyDescent="0.3">
      <c r="A1851" s="485"/>
      <c r="B1851" s="819"/>
      <c r="C1851" s="1136" t="str">
        <f>AG1851</f>
        <v>Compared to those already exonerated, Claimant shows a 0% chance of being actually innocent. While few felons claim “actual innocence”, Claimant’s case shows signs of a grave miscarriage of justice.</v>
      </c>
      <c r="D1851" s="1139" t="str">
        <f>AG1852</f>
        <v>0% chance of actual innocence</v>
      </c>
      <c r="E1851" s="1140"/>
      <c r="F1851" s="475"/>
      <c r="AF1851" s="818" t="s">
        <v>62</v>
      </c>
      <c r="AG1851" s="817" t="str">
        <f>CONCATENATE(AI1851,AJ1851,AK1851,AL1851,AM1851,AN1851,AO1851,AP1851,AQ1851,AR1851,AS1851,AT1851)</f>
        <v>Compared to those already exonerated, Claimant shows a 0% chance of being actually innocent. While few felons claim “actual innocence”, Claimant’s case shows signs of a grave miscarriage of justice.</v>
      </c>
      <c r="AI1851" s="48" t="s">
        <v>5312</v>
      </c>
      <c r="AJ1851" s="48" t="str">
        <f>BG202</f>
        <v>Claimant</v>
      </c>
      <c r="AK1851" s="48" t="s">
        <v>5363</v>
      </c>
      <c r="AL1851" s="48" t="str">
        <f>IF(AM1851=8,"an ",IF(AM1851=18,"an ",IF(AND(AM1851&gt;=80,AM1851&lt;=89),"an ","a ")))</f>
        <v xml:space="preserve">a </v>
      </c>
      <c r="AM1851" s="386">
        <f>AI1984</f>
        <v>0</v>
      </c>
      <c r="AN1851" s="48" t="s">
        <v>5313</v>
      </c>
      <c r="AO1851" s="233" t="str">
        <f>I2913</f>
        <v>felon</v>
      </c>
      <c r="AP1851" s="48" t="s">
        <v>5318</v>
      </c>
      <c r="AQ1851" s="48" t="str">
        <f>AN202</f>
        <v>Claimant</v>
      </c>
      <c r="AR1851" s="48" t="s">
        <v>5314</v>
      </c>
      <c r="AT1851" s="52"/>
      <c r="AV1851" s="52"/>
      <c r="BB1851" s="109" t="s">
        <v>5283</v>
      </c>
      <c r="BD1851" s="48" t="s">
        <v>5287</v>
      </c>
    </row>
    <row r="1852" spans="1:63" ht="15" customHeight="1" x14ac:dyDescent="0.3">
      <c r="A1852" s="485"/>
      <c r="B1852" s="819"/>
      <c r="C1852" s="1137"/>
      <c r="D1852" s="1134"/>
      <c r="E1852" s="1135"/>
      <c r="F1852" s="475"/>
      <c r="AF1852" s="818" t="s">
        <v>5288</v>
      </c>
      <c r="AG1852" s="816" t="str">
        <f>CONCATENATE(AI1852,AJ1852,AK1852,AL1852,AM1852)</f>
        <v>0% chance of actual innocence</v>
      </c>
      <c r="AI1852" s="386">
        <f>AM1851</f>
        <v>0</v>
      </c>
      <c r="AJ1852" s="48" t="s">
        <v>5361</v>
      </c>
      <c r="AK1852" s="48" t="str">
        <f>IF(BG51="","chance",BG51)</f>
        <v>chance</v>
      </c>
      <c r="AL1852" s="48" t="s">
        <v>5319</v>
      </c>
      <c r="AO1852" s="52"/>
      <c r="AQ1852" s="52"/>
      <c r="AS1852" s="52"/>
      <c r="AU1852" s="52"/>
      <c r="BB1852" s="109" t="s">
        <v>5284</v>
      </c>
      <c r="BD1852" s="48" t="s">
        <v>3509</v>
      </c>
    </row>
    <row r="1853" spans="1:63" ht="15" customHeight="1" x14ac:dyDescent="0.3">
      <c r="A1853" s="485"/>
      <c r="B1853" s="819"/>
      <c r="C1853" s="1138"/>
      <c r="D1853" s="1141"/>
      <c r="E1853" s="1142"/>
      <c r="F1853" s="475"/>
      <c r="AO1853" s="52"/>
      <c r="AQ1853" s="52"/>
      <c r="AS1853" s="52"/>
      <c r="AU1853" s="52"/>
      <c r="BB1853" s="109" t="s">
        <v>5285</v>
      </c>
      <c r="BD1853" s="48" t="s">
        <v>4236</v>
      </c>
    </row>
    <row r="1854" spans="1:63" ht="15" customHeight="1" x14ac:dyDescent="0.3">
      <c r="A1854" s="485"/>
      <c r="B1854" s="819" t="s">
        <v>5290</v>
      </c>
      <c r="C1854" s="1136" t="str">
        <f>AI1854</f>
        <v>ENTER SYNOPSIS ABOVE</v>
      </c>
      <c r="D1854" s="1139" t="str">
        <f>AG1855</f>
        <v>text of synopsis over moving background image of courtroom</v>
      </c>
      <c r="E1854" s="826"/>
      <c r="F1854" s="475"/>
      <c r="AE1854" s="821" t="str">
        <f>B1854</f>
        <v>Synopsis</v>
      </c>
      <c r="AF1854" s="818" t="s">
        <v>62</v>
      </c>
      <c r="AG1854" s="817" t="str">
        <f>CONCATENATE(AI1854,AJ1854,AK1854,AL1854,AM1854,AN1854,AO1854,AP1854,AQ1854,AR1854,AS1854,AT1854,AU1854,AV1854,AX1854,AY1854,AZ1854,BA1854,BB1854,BC1854)</f>
        <v>ENTER SYNOPSIS ABOVE</v>
      </c>
      <c r="AI1854" s="48" t="str">
        <f>IF(B909="","ENTER SYNOPSIS ABOVE",B909)</f>
        <v>ENTER SYNOPSIS ABOVE</v>
      </c>
      <c r="AO1854" s="52"/>
      <c r="AQ1854" s="52"/>
      <c r="AS1854" s="52"/>
      <c r="AU1854" s="52"/>
    </row>
    <row r="1855" spans="1:63" ht="15" customHeight="1" x14ac:dyDescent="0.3">
      <c r="A1855" s="485"/>
      <c r="B1855" s="819"/>
      <c r="C1855" s="1137"/>
      <c r="D1855" s="1134"/>
      <c r="E1855" s="826"/>
      <c r="F1855" s="475"/>
      <c r="AF1855" s="818" t="s">
        <v>5288</v>
      </c>
      <c r="AG1855" s="816" t="str">
        <f>CONCATENATE(AI1855,AJ1855,AK1855,AL1855,AM1855,AN1855,AO1855,AP1855,AQ1855,AR1855,AS1855,AT1855,AU1855,AV1855,AX1855,AY1855,AZ1855,BA1855,BB1855,BC1855)</f>
        <v>text of synopsis over moving background image of courtroom</v>
      </c>
      <c r="AI1855" s="48" t="s">
        <v>5307</v>
      </c>
      <c r="AO1855" s="52"/>
      <c r="AQ1855" s="52"/>
      <c r="AS1855" s="52"/>
      <c r="AU1855" s="52"/>
    </row>
    <row r="1856" spans="1:63" ht="15" customHeight="1" x14ac:dyDescent="0.3">
      <c r="A1856" s="485"/>
      <c r="B1856" s="819"/>
      <c r="C1856" s="1137"/>
      <c r="D1856" s="1134"/>
      <c r="E1856" s="826"/>
      <c r="F1856" s="475"/>
      <c r="AO1856" s="52"/>
      <c r="AQ1856" s="52"/>
      <c r="AS1856" s="52"/>
      <c r="AU1856" s="52"/>
    </row>
    <row r="1857" spans="1:60" ht="12" customHeight="1" x14ac:dyDescent="0.3">
      <c r="A1857" s="485"/>
      <c r="B1857" s="819" t="s">
        <v>5289</v>
      </c>
      <c r="C1857" s="823" t="s">
        <v>526</v>
      </c>
      <c r="D1857" s="827" t="str">
        <f>C1857</f>
        <v>Highlight 1</v>
      </c>
      <c r="E1857" s="826"/>
      <c r="F1857" s="475"/>
      <c r="AO1857" s="52"/>
      <c r="AQ1857" s="52"/>
      <c r="AS1857" s="52"/>
      <c r="AU1857" s="52"/>
    </row>
    <row r="1858" spans="1:60" ht="12" customHeight="1" x14ac:dyDescent="0.3">
      <c r="A1858" s="485"/>
      <c r="B1858" s="819"/>
      <c r="C1858" s="823" t="s">
        <v>528</v>
      </c>
      <c r="D1858" s="827" t="str">
        <f>C1858</f>
        <v>Highlight 2</v>
      </c>
      <c r="E1858" s="826"/>
      <c r="F1858" s="475"/>
      <c r="AO1858" s="52"/>
      <c r="AQ1858" s="52"/>
      <c r="AS1858" s="52"/>
      <c r="AU1858" s="52"/>
    </row>
    <row r="1859" spans="1:60" ht="12" customHeight="1" x14ac:dyDescent="0.3">
      <c r="A1859" s="485"/>
      <c r="B1859" s="819"/>
      <c r="C1859" s="823" t="s">
        <v>530</v>
      </c>
      <c r="D1859" s="827" t="str">
        <f>C1859</f>
        <v>Highlight 3</v>
      </c>
      <c r="E1859" s="826"/>
      <c r="F1859" s="475"/>
      <c r="AO1859" s="52"/>
      <c r="AQ1859" s="52"/>
      <c r="AS1859" s="52"/>
      <c r="AU1859" s="52"/>
    </row>
    <row r="1860" spans="1:60" ht="15" customHeight="1" x14ac:dyDescent="0.3">
      <c r="A1860" s="485"/>
      <c r="B1860" s="819" t="s">
        <v>5301</v>
      </c>
      <c r="C1860" s="1137" t="str">
        <f>AG1860</f>
        <v xml:space="preserve">Nobody is perfect. Claimant can admit some imperfections. </v>
      </c>
      <c r="D1860" s="1134" t="str">
        <f>AG1861</f>
        <v>It is now easer for the accused to admit to their imperfections than for police and prosecutors to admit theirs.</v>
      </c>
      <c r="E1860" s="826"/>
      <c r="F1860" s="475"/>
      <c r="AE1860" s="821" t="str">
        <f>B1860</f>
        <v>Humbly admit</v>
      </c>
      <c r="AF1860" s="818" t="s">
        <v>62</v>
      </c>
      <c r="AG1860" s="817" t="str">
        <f>CONCATENATE(AI1860,AJ1860,AK1860,AL1860,AM1860,AN1860,AO1860,AP1860,AQ1860,AR1860,AS1860,AT1860,AU1860,AV1860,AX1860,AY1860,AZ1860,BA1860,BB1860,BC1860)</f>
        <v xml:space="preserve">Nobody is perfect. Claimant can admit some imperfections. </v>
      </c>
      <c r="AI1860" s="48" t="s">
        <v>5320</v>
      </c>
      <c r="AJ1860" s="48" t="str">
        <f>AN202</f>
        <v>Claimant</v>
      </c>
      <c r="AK1860" s="48" t="s">
        <v>5321</v>
      </c>
      <c r="AL1860" s="48" t="str">
        <f>IF(B926="","",B926)</f>
        <v/>
      </c>
      <c r="AO1860" s="52"/>
      <c r="AQ1860" s="52"/>
      <c r="AS1860" s="52"/>
      <c r="AU1860" s="52"/>
    </row>
    <row r="1861" spans="1:60" ht="15" customHeight="1" x14ac:dyDescent="0.3">
      <c r="A1861" s="485"/>
      <c r="B1861" s="819"/>
      <c r="C1861" s="1137"/>
      <c r="D1861" s="1134"/>
      <c r="E1861" s="826"/>
      <c r="F1861" s="475"/>
      <c r="AF1861" s="818" t="s">
        <v>5288</v>
      </c>
      <c r="AG1861" s="816" t="str">
        <f>CONCATENATE(AI1861,AJ1861,AK1861,AL1861,AM1861,AN1861,AO1861,AP1861,AQ1861,AR1861,AS1861,AT1861,AU1861,AV1861,AX1861,AY1861,AZ1861,BA1861,BB1861,BC1861)</f>
        <v>It is now easer for the accused to admit to their imperfections than for police and prosecutors to admit theirs.</v>
      </c>
      <c r="AI1861" s="48" t="s">
        <v>5293</v>
      </c>
      <c r="AO1861" s="52"/>
      <c r="AQ1861" s="52"/>
      <c r="AS1861" s="52"/>
      <c r="AU1861" s="52"/>
    </row>
    <row r="1862" spans="1:60" ht="15" customHeight="1" x14ac:dyDescent="0.3">
      <c r="A1862" s="485"/>
      <c r="B1862" s="819"/>
      <c r="C1862" s="1137"/>
      <c r="D1862" s="1134"/>
      <c r="E1862" s="826"/>
      <c r="F1862" s="475"/>
      <c r="AO1862" s="52"/>
      <c r="AQ1862" s="52"/>
      <c r="AS1862" s="52"/>
      <c r="AU1862" s="52"/>
    </row>
    <row r="1863" spans="1:60" ht="15" customHeight="1" x14ac:dyDescent="0.3">
      <c r="A1863" s="485"/>
      <c r="B1863" s="824" t="s">
        <v>5292</v>
      </c>
      <c r="C1863" s="820" t="str">
        <f>AG1863</f>
        <v xml:space="preserve">Estimate innocence for yourself. Go to ValueRelating.com/sttp-eif and download the form for yourself. See how it's being used right here, to right a terrible wrong. </v>
      </c>
      <c r="D1863" s="835" t="s">
        <v>5492</v>
      </c>
      <c r="E1863" s="828"/>
      <c r="F1863" s="475"/>
      <c r="AF1863" s="818" t="s">
        <v>62</v>
      </c>
      <c r="AG1863" s="817" t="str">
        <f>CONCATENATE(AI1863,AJ1863,AK1863,AL1863,AM1863,AN1863,AO1863,AP1863,AQ1863,AR1863,AS1863,AT1863,AU1863,AV1863,AX1863,AY1863,AZ1863,BA1863,BB1863,BC1863)</f>
        <v xml:space="preserve">Estimate innocence for yourself. Go to ValueRelating.com/sttp-eif and download the form for yourself. See how it's being used right here, to right a terrible wrong. </v>
      </c>
      <c r="AI1863" s="48" t="s">
        <v>5311</v>
      </c>
      <c r="AO1863" s="52"/>
      <c r="AQ1863" s="52"/>
      <c r="AS1863" s="52"/>
      <c r="AU1863" s="52"/>
    </row>
    <row r="1864" spans="1:60" ht="15" customHeight="1" x14ac:dyDescent="0.3">
      <c r="A1864" s="485"/>
      <c r="B1864" s="819" t="s">
        <v>5303</v>
      </c>
      <c r="C1864" s="822" t="s">
        <v>5294</v>
      </c>
      <c r="D1864" s="829" t="s">
        <v>5305</v>
      </c>
      <c r="E1864" s="826"/>
      <c r="F1864" s="475"/>
      <c r="BB1864" s="48"/>
    </row>
    <row r="1865" spans="1:60" ht="15" customHeight="1" x14ac:dyDescent="0.3">
      <c r="A1865" s="485"/>
      <c r="B1865" s="825" t="s">
        <v>5304</v>
      </c>
      <c r="C1865" s="837" t="str">
        <f>AG1865</f>
        <v xml:space="preserve">You're invited to invest in Claimant’s innocence. </v>
      </c>
      <c r="D1865" s="830" t="str">
        <f>AG1866</f>
        <v>"Claimant needs your help" with claimant image</v>
      </c>
      <c r="E1865" s="826"/>
      <c r="F1865" s="475"/>
      <c r="AF1865" s="818" t="s">
        <v>62</v>
      </c>
      <c r="AG1865" s="817" t="str">
        <f>CONCATENATE(AI1865,AJ1865,AK1865,AL1865,AM1865,AN1865,AO1865,AP1865,AQ1865,AR1865,AS1865,AT1865)</f>
        <v xml:space="preserve">You're invited to invest in Claimant’s innocence. </v>
      </c>
      <c r="AI1865" s="48" t="s">
        <v>5323</v>
      </c>
      <c r="AJ1865" s="48" t="str">
        <f>AQ1851</f>
        <v>Claimant</v>
      </c>
      <c r="AK1865" s="48" t="s">
        <v>5322</v>
      </c>
      <c r="AO1865" s="52"/>
      <c r="AQ1865" s="52"/>
      <c r="AS1865" s="52"/>
      <c r="AU1865" s="52"/>
      <c r="BH1865" s="48" t="s">
        <v>5295</v>
      </c>
    </row>
    <row r="1866" spans="1:60" ht="15" customHeight="1" x14ac:dyDescent="0.3">
      <c r="A1866" s="485"/>
      <c r="B1866" s="1143" t="s">
        <v>5302</v>
      </c>
      <c r="C1866" s="1137" t="str">
        <f>AG1867</f>
        <v>We are launching an advocacy campaign to help free Claimant, and we need your help. With your support, we can convince others to take a closer look at Claimant’s 0% likely innocence.</v>
      </c>
      <c r="D1866" s="1134" t="str">
        <f>AG1868</f>
        <v>Invest in Claimant’s innocence.</v>
      </c>
      <c r="E1866" s="826"/>
      <c r="F1866" s="475"/>
      <c r="AF1866" s="818" t="s">
        <v>5288</v>
      </c>
      <c r="AG1866" s="816" t="str">
        <f>CONCATENATE(AI1866,AJ1866,AK1866,AL1866,AM1866,AN1866,AO1866,AP1866,AQ1866,AR1866,AS1866,AT1866,AU1866,AV1866,AX1866,AY1866,AZ1866,BA1866,BB1866,BC1866)</f>
        <v>"Claimant needs your help" with claimant image</v>
      </c>
      <c r="AI1866" s="48" t="s">
        <v>5324</v>
      </c>
      <c r="AJ1866" s="48" t="str">
        <f>AJ1865</f>
        <v>Claimant</v>
      </c>
      <c r="AK1866" s="48" t="s">
        <v>5325</v>
      </c>
      <c r="AO1866" s="52"/>
      <c r="AQ1866" s="52"/>
      <c r="AS1866" s="52"/>
      <c r="AU1866" s="52"/>
    </row>
    <row r="1867" spans="1:60" ht="15" customHeight="1" x14ac:dyDescent="0.3">
      <c r="A1867" s="485"/>
      <c r="B1867" s="1143"/>
      <c r="C1867" s="1137"/>
      <c r="D1867" s="1134"/>
      <c r="E1867" s="826"/>
      <c r="F1867" s="475"/>
      <c r="AF1867" s="818" t="s">
        <v>62</v>
      </c>
      <c r="AG1867" s="817" t="str">
        <f>CONCATENATE(AI1867,AJ1867,AK1867,AL1867,AM1867,AN1867,AO1867,AP1867,AQ1867,AR1867,AS1867,AT1867,AU1867,AV1867,AX1867,AY1867,AZ1867,BA1867,BB1867,BC1867)</f>
        <v>We are launching an advocacy campaign to help free Claimant, and we need your help. With your support, we can convince others to take a closer look at Claimant’s 0% likely innocence.</v>
      </c>
      <c r="AI1867" s="48" t="s">
        <v>5332</v>
      </c>
      <c r="AJ1867" s="48" t="str">
        <f>AN202</f>
        <v>Claimant</v>
      </c>
      <c r="AK1867" s="48" t="s">
        <v>5331</v>
      </c>
      <c r="AL1867" s="48" t="str">
        <f>AN202</f>
        <v>Claimant</v>
      </c>
      <c r="AM1867" s="245" t="s">
        <v>5330</v>
      </c>
      <c r="AN1867" s="386">
        <f>AI1984</f>
        <v>0</v>
      </c>
      <c r="AO1867" s="48" t="s">
        <v>5329</v>
      </c>
      <c r="AQ1867" s="52"/>
      <c r="AS1867" s="52"/>
      <c r="AU1867" s="52"/>
    </row>
    <row r="1868" spans="1:60" ht="15" customHeight="1" x14ac:dyDescent="0.3">
      <c r="A1868" s="485"/>
      <c r="B1868" s="1143"/>
      <c r="C1868" s="1137"/>
      <c r="D1868" s="1134"/>
      <c r="E1868" s="826"/>
      <c r="F1868" s="475"/>
      <c r="AF1868" s="818" t="s">
        <v>5288</v>
      </c>
      <c r="AG1868" s="816" t="str">
        <f>CONCATENATE(AI1868,AJ1868,AK1868,AL1868,AM1868,AN1868,AO1868,AP1868,AQ1868,AR1868,AS1868,AT1868,AU1868,AV1868,AX1868,AY1868,AZ1868,BA1868,BB1868,BC1868)</f>
        <v>Invest in Claimant’s innocence.</v>
      </c>
      <c r="AI1868" s="48" t="s">
        <v>5327</v>
      </c>
      <c r="AJ1868" s="48" t="str">
        <f>AN202</f>
        <v>Claimant</v>
      </c>
      <c r="AK1868" s="48" t="s">
        <v>5328</v>
      </c>
      <c r="AO1868" s="52"/>
      <c r="AQ1868" s="52"/>
      <c r="AS1868" s="52"/>
      <c r="AU1868" s="52"/>
    </row>
    <row r="1869" spans="1:60" ht="15" customHeight="1" x14ac:dyDescent="0.3">
      <c r="A1869" s="485"/>
      <c r="B1869" s="819"/>
      <c r="C1869" s="1156" t="str">
        <f>AG1869</f>
        <v>With your support, we can compel those in the media to take us seriously, to publicize Claimant for claimant's compelling story. We can then write to our elected representatives, pointing to your support for claimant's actual innocence. We can also write to innocence projects to take a closer look at Claimant’s claim. And with your support, we can transform any innocence deniers in the DA's office to recognize the need to process more viable claims like claimant's. These are just some of what this innocence campaign aims to accomplish, with your help.</v>
      </c>
      <c r="D1869" s="1134" t="str">
        <f>AG1870</f>
        <v>stock images of media, podcaster, journalist, politician, lawyer, judge.</v>
      </c>
      <c r="E1869" s="826"/>
      <c r="F1869" s="475"/>
      <c r="AF1869" s="818" t="s">
        <v>62</v>
      </c>
      <c r="AG1869" s="817" t="str">
        <f>CONCATENATE(AI1869,AJ1869,AK1869,AL1869,AM1869,AN1869,AO1869,AP1869,AQ1869,AR1869,AS1869,AT1869,AU1869,AV1869,AX1869,AY1869,AZ1869,BA1869,BB1869,BC1869)</f>
        <v>With your support, we can compel those in the media to take us seriously, to publicize Claimant for claimant's compelling story. We can then write to our elected representatives, pointing to your support for claimant's actual innocence. We can also write to innocence projects to take a closer look at Claimant’s claim. And with your support, we can transform any innocence deniers in the DA's office to recognize the need to process more viable claims like claimant's. These are just some of what this innocence campaign aims to accomplish, with your help.</v>
      </c>
      <c r="AI1869" s="48" t="s">
        <v>5333</v>
      </c>
      <c r="AJ1869" s="48" t="str">
        <f>AN202</f>
        <v>Claimant</v>
      </c>
      <c r="AK1869" s="48" t="s">
        <v>5334</v>
      </c>
      <c r="AL1869" s="48" t="str">
        <f>BJ206</f>
        <v>claimant's</v>
      </c>
      <c r="AM1869" s="48" t="s">
        <v>5335</v>
      </c>
      <c r="AN1869" s="48" t="str">
        <f>AL1869</f>
        <v>claimant's</v>
      </c>
      <c r="AO1869" s="48" t="s">
        <v>5336</v>
      </c>
      <c r="AP1869" s="48" t="str">
        <f>AN202</f>
        <v>Claimant</v>
      </c>
      <c r="AQ1869" s="48" t="s">
        <v>5338</v>
      </c>
      <c r="AR1869" s="48" t="str">
        <f>IF(BZ3211=FALSE,"DA",BZ3211)</f>
        <v>DA</v>
      </c>
      <c r="AS1869" s="245" t="s">
        <v>5339</v>
      </c>
      <c r="AT1869" s="48" t="str">
        <f>BJ206</f>
        <v>claimant's</v>
      </c>
      <c r="AU1869" s="48" t="s">
        <v>5337</v>
      </c>
    </row>
    <row r="1870" spans="1:60" ht="15" customHeight="1" x14ac:dyDescent="0.3">
      <c r="A1870" s="485"/>
      <c r="B1870" s="819"/>
      <c r="C1870" s="1156"/>
      <c r="D1870" s="1134"/>
      <c r="E1870" s="826"/>
      <c r="F1870" s="475"/>
      <c r="AF1870" s="818" t="s">
        <v>5288</v>
      </c>
      <c r="AG1870" s="816" t="str">
        <f>CONCATENATE(AI1870,AJ1870,AK1870,AL1870,AM1870,AN1870,AO1870,AP1870,AQ1870,AR1870,AS1870,AT1870,AU1870,AV1870,AX1870,AY1870,AZ1870,BA1870,BB1870,BC1870)</f>
        <v>stock images of media, podcaster, journalist, politician, lawyer, judge.</v>
      </c>
      <c r="AI1870" s="48" t="s">
        <v>5308</v>
      </c>
      <c r="AO1870" s="52"/>
      <c r="AQ1870" s="52"/>
      <c r="AS1870" s="52"/>
      <c r="AU1870" s="52"/>
    </row>
    <row r="1871" spans="1:60" ht="15" customHeight="1" x14ac:dyDescent="0.3">
      <c r="A1871" s="485"/>
      <c r="B1871" s="819"/>
      <c r="C1871" s="1156"/>
      <c r="D1871" s="1134"/>
      <c r="E1871" s="826"/>
      <c r="F1871" s="475"/>
      <c r="AO1871" s="52"/>
      <c r="AQ1871" s="52"/>
      <c r="AS1871" s="52"/>
      <c r="AU1871" s="52"/>
    </row>
    <row r="1872" spans="1:60" ht="15" customHeight="1" x14ac:dyDescent="0.3">
      <c r="A1872" s="485"/>
      <c r="B1872" s="819"/>
      <c r="C1872" s="1156"/>
      <c r="D1872" s="1134"/>
      <c r="E1872" s="826"/>
      <c r="F1872" s="475"/>
      <c r="AO1872" s="52"/>
      <c r="AQ1872" s="52"/>
      <c r="AS1872" s="52"/>
      <c r="AU1872" s="52"/>
    </row>
    <row r="1873" spans="1:54" ht="15" customHeight="1" x14ac:dyDescent="0.3">
      <c r="A1873" s="485"/>
      <c r="B1873" s="819"/>
      <c r="C1873" s="1156"/>
      <c r="D1873" s="1134"/>
      <c r="E1873" s="826"/>
      <c r="F1873" s="475"/>
      <c r="AO1873" s="52"/>
      <c r="AQ1873" s="52"/>
      <c r="AS1873" s="52"/>
      <c r="BB1873" s="48"/>
    </row>
    <row r="1874" spans="1:54" ht="15" customHeight="1" x14ac:dyDescent="0.3">
      <c r="A1874" s="485"/>
      <c r="B1874" s="819"/>
      <c r="C1874" s="1156"/>
      <c r="D1874" s="1134"/>
      <c r="E1874" s="826"/>
      <c r="F1874" s="475"/>
      <c r="AO1874" s="52"/>
      <c r="AQ1874" s="52"/>
      <c r="AS1874" s="52"/>
      <c r="BB1874" s="48"/>
    </row>
    <row r="1875" spans="1:54" ht="15" customHeight="1" x14ac:dyDescent="0.3">
      <c r="A1875" s="485"/>
      <c r="B1875" s="819"/>
      <c r="C1875" s="1156"/>
      <c r="D1875" s="831"/>
      <c r="E1875" s="826"/>
      <c r="F1875" s="475"/>
      <c r="AO1875" s="52"/>
      <c r="AQ1875" s="52"/>
      <c r="AS1875" s="52"/>
      <c r="AU1875" s="52"/>
    </row>
    <row r="1876" spans="1:54" ht="17" customHeight="1" x14ac:dyDescent="0.3">
      <c r="A1876" s="485"/>
      <c r="B1876" s="819" t="s">
        <v>5299</v>
      </c>
      <c r="C1876" s="1156" t="str">
        <f>AG1876</f>
        <v>You get to help rewrite this next chapter in Claimant’s life. You get a voice and a vote in how claimant's campaign for innocence unfolds. You get to help create historical change, by helping us introduce this fresh approach to justice—looking beyond the typical rush to judgment to evaluate the quality of a criminal investigation and the quality of any resulting conviction. You get to help us create meaningful change in the justice system.</v>
      </c>
      <c r="D1876" s="1134" t="str">
        <f>AG1877</f>
        <v>animation of a bookbinary win-lose vs. range win-win</v>
      </c>
      <c r="E1876" s="826"/>
      <c r="F1876" s="475"/>
      <c r="AF1876" s="818" t="s">
        <v>62</v>
      </c>
      <c r="AG1876" s="817" t="str">
        <f>CONCATENATE(AI1876,AJ1876,AK1876,AL1876,AM1876,AN1876,AO1876,AP1876,AQ1876,AR1876,AS1876,AT1876,AU1876,AV1876,AX1876,AY1876,AZ1876,BA1876,BB1876,BC1876)</f>
        <v>You get to help rewrite this next chapter in Claimant’s life. You get a voice and a vote in how claimant's campaign for innocence unfolds. You get to help create historical change, by helping us introduce this fresh approach to justice—looking beyond the typical rush to judgment to evaluate the quality of a criminal investigation and the quality of any resulting conviction. You get to help us create meaningful change in the justice system.</v>
      </c>
      <c r="AI1876" s="48" t="s">
        <v>5358</v>
      </c>
      <c r="AJ1876" s="48" t="str">
        <f>AN202</f>
        <v>Claimant</v>
      </c>
      <c r="AK1876" s="48" t="s">
        <v>5360</v>
      </c>
      <c r="AL1876" s="48" t="str">
        <f>BJ206</f>
        <v>claimant's</v>
      </c>
      <c r="AM1876" s="48" t="s">
        <v>5359</v>
      </c>
      <c r="AO1876" s="52"/>
      <c r="AQ1876" s="52"/>
      <c r="AS1876" s="52"/>
      <c r="AU1876" s="52"/>
    </row>
    <row r="1877" spans="1:54" ht="17" customHeight="1" x14ac:dyDescent="0.3">
      <c r="A1877" s="485"/>
      <c r="B1877" s="819"/>
      <c r="C1877" s="1156"/>
      <c r="D1877" s="1134"/>
      <c r="E1877" s="826"/>
      <c r="F1877" s="475"/>
      <c r="AF1877" s="818" t="s">
        <v>5288</v>
      </c>
      <c r="AG1877" s="816" t="str">
        <f>CONCATENATE(AI1877,AJ1877,AK1877,AL1877,AM1877,AN1877,AO1877,AP1877,AQ1877,AR1877,AS1877,AT1877,AU1877,AV1877,AX1877,AY1877,AZ1877,BA1877,BB1877,BC1877)</f>
        <v>animation of a bookbinary win-lose vs. range win-win</v>
      </c>
      <c r="AI1877" s="48" t="s">
        <v>5296</v>
      </c>
      <c r="AN1877" s="48" t="s">
        <v>5297</v>
      </c>
      <c r="AO1877" s="52"/>
      <c r="AQ1877" s="52"/>
      <c r="AS1877" s="52"/>
      <c r="AU1877" s="52"/>
    </row>
    <row r="1878" spans="1:54" ht="17" customHeight="1" x14ac:dyDescent="0.3">
      <c r="A1878" s="485"/>
      <c r="B1878" s="819"/>
      <c r="C1878" s="1156"/>
      <c r="D1878" s="1134"/>
      <c r="E1878" s="826"/>
      <c r="F1878" s="475"/>
      <c r="BB1878" s="48"/>
    </row>
    <row r="1879" spans="1:54" ht="17" customHeight="1" x14ac:dyDescent="0.3">
      <c r="A1879" s="485"/>
      <c r="B1879" s="819"/>
      <c r="C1879" s="1156"/>
      <c r="D1879" s="1134"/>
      <c r="E1879" s="826"/>
      <c r="F1879" s="475"/>
      <c r="AI1879" s="48" t="s">
        <v>5298</v>
      </c>
      <c r="AO1879" s="52"/>
      <c r="AQ1879" s="52"/>
      <c r="AS1879" s="52"/>
      <c r="AU1879" s="52"/>
    </row>
    <row r="1880" spans="1:54" ht="17" customHeight="1" x14ac:dyDescent="0.3">
      <c r="A1880" s="485"/>
      <c r="B1880" s="819"/>
      <c r="C1880" s="1156"/>
      <c r="D1880" s="831"/>
      <c r="E1880" s="826"/>
      <c r="F1880" s="475"/>
      <c r="AO1880" s="52"/>
      <c r="AQ1880" s="52"/>
      <c r="AS1880" s="52"/>
      <c r="AU1880" s="52"/>
    </row>
    <row r="1881" spans="1:54" ht="17" customHeight="1" x14ac:dyDescent="0.3">
      <c r="A1881" s="485"/>
      <c r="B1881" s="819"/>
      <c r="C1881" s="1156" t="str">
        <f>AG1881</f>
        <v xml:space="preserve">With your support, we can immediately pre-launch Claimant’s campaign for exoneration. Together, we can speak truth to judicial power. With your investment, we can finally free claimant from this miscarriage of justice and finally correct claimant's felony record. </v>
      </c>
      <c r="D1881" s="1134" t="str">
        <f>AG1882</f>
        <v>stock images of people feeling liberated</v>
      </c>
      <c r="E1881" s="826"/>
      <c r="F1881" s="475"/>
      <c r="AF1881" s="818" t="s">
        <v>62</v>
      </c>
      <c r="AG1881" s="817" t="str">
        <f>CONCATENATE(AI1881,AJ1881,AK1881,AL1881,AM1881,AN1881,AO1881,AP1881,AQ1881,AR1881,AS1881,AT1881,AU1881,AV1881,AX1881,AY1881,AZ1881,BA1881,BB1881,BC1881)</f>
        <v xml:space="preserve">With your support, we can immediately pre-launch Claimant’s campaign for exoneration. Together, we can speak truth to judicial power. With your investment, we can finally free claimant from this miscarriage of justice and finally correct claimant's felony record. </v>
      </c>
      <c r="AI1881" s="48" t="s">
        <v>5348</v>
      </c>
      <c r="AJ1881" s="48" t="str">
        <f>AN202</f>
        <v>Claimant</v>
      </c>
      <c r="AK1881" s="245" t="s">
        <v>5349</v>
      </c>
      <c r="AL1881" s="48" t="str">
        <f>BI206</f>
        <v>claimant</v>
      </c>
      <c r="AM1881" s="48" t="s">
        <v>5350</v>
      </c>
      <c r="AN1881" s="48" t="str">
        <f>AF2913</f>
        <v xml:space="preserve">correct claimant's felony record. </v>
      </c>
      <c r="AO1881" s="52"/>
      <c r="AQ1881" s="52"/>
      <c r="AS1881" s="52"/>
      <c r="AU1881" s="52"/>
    </row>
    <row r="1882" spans="1:54" ht="17" customHeight="1" x14ac:dyDescent="0.3">
      <c r="A1882" s="485"/>
      <c r="B1882" s="819"/>
      <c r="C1882" s="1156"/>
      <c r="D1882" s="1134"/>
      <c r="E1882" s="826"/>
      <c r="F1882" s="475"/>
      <c r="AF1882" s="818" t="s">
        <v>5288</v>
      </c>
      <c r="AG1882" s="816" t="str">
        <f>CONCATENATE(AI1882,AJ1882,AK1882,AL1882,AM1882,AN1882,AO1882,AP1882,AQ1882,AR1882,AS1882,AT1882,AU1882,AV1882,AX1882,AY1882,AZ1882,BA1882,BB1882,BC1882)</f>
        <v>stock images of people feeling liberated</v>
      </c>
      <c r="AI1882" s="48" t="s">
        <v>5309</v>
      </c>
      <c r="AO1882" s="52"/>
      <c r="AQ1882" s="52"/>
      <c r="AS1882" s="52"/>
      <c r="AU1882" s="52"/>
    </row>
    <row r="1883" spans="1:54" ht="17" customHeight="1" x14ac:dyDescent="0.3">
      <c r="A1883" s="485"/>
      <c r="B1883" s="819"/>
      <c r="C1883" s="1156"/>
      <c r="D1883" s="1134"/>
      <c r="E1883" s="826"/>
      <c r="F1883" s="475"/>
      <c r="AF1883" s="818"/>
      <c r="AG1883" s="818"/>
      <c r="AH1883" s="818"/>
      <c r="AI1883" s="818"/>
      <c r="AJ1883" s="818"/>
      <c r="AK1883" s="818"/>
      <c r="AO1883" s="52"/>
      <c r="AQ1883" s="52"/>
      <c r="AS1883" s="52"/>
      <c r="AU1883" s="52"/>
    </row>
    <row r="1884" spans="1:54" ht="20" customHeight="1" x14ac:dyDescent="0.3">
      <c r="A1884" s="485"/>
      <c r="B1884" s="819" t="s">
        <v>5300</v>
      </c>
      <c r="C1884" s="1156" t="str">
        <f>AG1884</f>
        <v>Click on the button below, I WANT TO HELP, to help us get started now. Give five, ten or twenty dollars to help us launch Claimant’s campaign. Claimant has waited long enough for justice. Let’s invest what we have to help Claimant find the freedom claimant has lost, and is now long overdue. Thank you.</v>
      </c>
      <c r="D1884" s="1134" t="str">
        <f>AG1885</f>
        <v>"I want to help" button, $5, $10, $20, or more. Image of Claimant, fade out to "Thank You!"</v>
      </c>
      <c r="E1884" s="826"/>
      <c r="F1884" s="475"/>
      <c r="AF1884" s="818" t="s">
        <v>62</v>
      </c>
      <c r="AG1884" s="817" t="str">
        <f>CONCATENATE(AI1884,AJ1884,AK1884,AL1884,AM1884,AN1884,AO1884,AP1884,AQ1884,AR1884,AS1884,AT1884,AU1884,AV1884,AX1884,AY1884,AZ1884,BA1884,BB1884,BC1884)</f>
        <v>Click on the button below, I WANT TO HELP, to help us get started now. Give five, ten or twenty dollars to help us launch Claimant’s campaign. Claimant has waited long enough for justice. Let’s invest what we have to help Claimant find the freedom claimant has lost, and is now long overdue. Thank you.</v>
      </c>
      <c r="AI1884" s="48" t="s">
        <v>5353</v>
      </c>
      <c r="AJ1884" s="48" t="str">
        <f>AN202</f>
        <v>Claimant</v>
      </c>
      <c r="AK1884" s="48" t="s">
        <v>5354</v>
      </c>
      <c r="AL1884" s="48" t="str">
        <f>BG206</f>
        <v>Claimant</v>
      </c>
      <c r="AM1884" s="48" t="s">
        <v>5356</v>
      </c>
      <c r="AN1884" s="48" t="str">
        <f>AN202</f>
        <v>Claimant</v>
      </c>
      <c r="AO1884" s="48" t="s">
        <v>5355</v>
      </c>
      <c r="AP1884" s="48" t="str">
        <f>BH206</f>
        <v>claimant</v>
      </c>
      <c r="AQ1884" s="48" t="s">
        <v>5357</v>
      </c>
      <c r="BB1884" s="48"/>
    </row>
    <row r="1885" spans="1:54" ht="20" customHeight="1" x14ac:dyDescent="0.3">
      <c r="A1885" s="485"/>
      <c r="B1885" s="819"/>
      <c r="C1885" s="1156"/>
      <c r="D1885" s="1134"/>
      <c r="E1885" s="826"/>
      <c r="F1885" s="475"/>
      <c r="AF1885" s="818" t="s">
        <v>5288</v>
      </c>
      <c r="AG1885" s="816" t="str">
        <f>CONCATENATE(AI1885,AJ1885,AK1885,AL1885,AM1885,AN1885,AO1885,AP1885,AQ1885,AR1885,AS1885,AT1885,AU1885,AV1885,AX1885,AY1885,AZ1885,BA1885,BB1885,BC1885)</f>
        <v>"I want to help" button, $5, $10, $20, or more. Image of Claimant, fade out to "Thank You!"</v>
      </c>
      <c r="AI1885" s="48" t="s">
        <v>5352</v>
      </c>
      <c r="AJ1885" s="48" t="str">
        <f>AN202</f>
        <v>Claimant</v>
      </c>
      <c r="AK1885" s="48" t="s">
        <v>5351</v>
      </c>
      <c r="AO1885" s="52"/>
      <c r="AQ1885" s="52"/>
      <c r="AS1885" s="52"/>
      <c r="AU1885" s="52"/>
    </row>
    <row r="1886" spans="1:54" ht="20" customHeight="1" x14ac:dyDescent="0.3">
      <c r="A1886" s="485"/>
      <c r="B1886" s="819"/>
      <c r="C1886" s="1157"/>
      <c r="D1886" s="1152"/>
      <c r="E1886" s="832"/>
      <c r="F1886" s="475"/>
      <c r="BB1886" s="48"/>
    </row>
    <row r="1887" spans="1:54" ht="5" customHeight="1" x14ac:dyDescent="0.3">
      <c r="A1887" s="485"/>
      <c r="B1887" s="485"/>
      <c r="C1887" s="485"/>
      <c r="D1887" s="485"/>
      <c r="E1887" s="485"/>
      <c r="F1887" s="475"/>
      <c r="AO1887" s="52"/>
      <c r="AQ1887" s="52"/>
      <c r="AS1887" s="52"/>
      <c r="AU1887" s="52"/>
    </row>
    <row r="1888" spans="1:54" s="4" customFormat="1" ht="30" customHeight="1" x14ac:dyDescent="0.3">
      <c r="A1888" s="862" t="s">
        <v>84</v>
      </c>
      <c r="B1888" s="862" t="str">
        <f>IF(OR(C1894=AG1898,C1894=AG1895,C1894=AG1896),"Welcome new members to your team",IF(OR(C1894=AG1894,C1894=AG1897),"Acknowledge your invitees",IF(C1894=AG1899,"Congratulate your team members","Invite your personal supporters")))</f>
        <v>Invite your personal supporters</v>
      </c>
      <c r="C1888" s="862"/>
      <c r="D1888" s="1175" t="s">
        <v>3511</v>
      </c>
      <c r="E1888" s="864"/>
      <c r="F1888" s="864"/>
      <c r="AU1888" s="512"/>
      <c r="BB1888" s="388"/>
    </row>
    <row r="1889" spans="1:78" s="4" customFormat="1" x14ac:dyDescent="0.3">
      <c r="A1889" s="246"/>
      <c r="B1889" s="246"/>
      <c r="C1889" s="246"/>
      <c r="D1889" s="246"/>
      <c r="E1889" s="246"/>
      <c r="F1889" s="246"/>
      <c r="AD1889" s="509" t="str">
        <f>IF($C$1891=AH1805,AF1805,IF($C$1891=AH1806,AF1806,IF($C$1891=AH1807,AF1807,IF($C$1891=AH1808,AF1808,IF($C$1891=AH1809,AF1809,IF($C$1891=AH1810,AF1810,IF($C$1891=AH1811,AF1811,IF($C$1891=AH1812,AF1812,IF($C$1891=AH1813,AF1813,IF($C$1891=AH1814,AF1814,IF($C$1891=AH1815,AF1815,IF($C$1891=AH1816,AF1816,IF($C$1891=AH1817,AF1817,IF($C$1891=AH1818,AF1818,IF($C$1891=AH1819,AF1819,IF($C$1891=AH1820,AF1820,IF($C$1891=AH1821,AF1821,IF($C$1891=AH1822,AF1822,IF($C$1891=AH1823,AF1823,IF($C$1891=AH1824,AF1824,IF($C$1891=AH1825,AF1825,IF($C$1891=AH1826,AF1826,IF($C$1891=AH1827,AF1827,IF($C$1891=AH1828,AF1828,IF($C$1891=AH1829,AF1829,IF($C$1891=AH1830,AF1830,IF($C$1891=AH1831,AF1831,IF($C$1891=AH1832,AF1832,IF($C$1891=AH1833,AF1833,IF($C$1891=AH1834,AF1834,IF($C$1891=AH1835,AF1835,IF($C$1891=AH1836,AF1836,IF($C$1891=AH1837,AF1837,IF($C$1891=AH1838,AF1838,IF($C$1891=AH1839,AF1839,IF($C$1891=AH1840,AF1840,IF($C$1891=AH1841,AF1841,IF($C$1891=AH1842,AF1842,IF($C$1891=AH1843,AF1843,IF($C$1891=AH1844,AF1844,""))))))))))))))))))))))))))))))))))))))))</f>
        <v/>
      </c>
      <c r="AJ1889" s="596" t="s">
        <v>3935</v>
      </c>
      <c r="AK1889" s="596" t="s">
        <v>3936</v>
      </c>
      <c r="AM1889" s="48" t="str">
        <f>IF(OR($C212=$AD212,$D212=$AH212),$AK1889,C212)</f>
        <v>Proxy</v>
      </c>
      <c r="AN1889" s="48" t="str">
        <f>IF(OR($C212=$AD212,$D212=$AH212),$AK1889,D212)</f>
        <v>Proxy</v>
      </c>
      <c r="AO1889" s="511"/>
      <c r="AP1889" s="511"/>
      <c r="AQ1889" s="4" t="str">
        <f>IF(C212="","Proxy",CONCATENATE(AM1889," ",AN1889))</f>
        <v>Proxy Proxy</v>
      </c>
      <c r="AR1889" s="510" t="str">
        <f>IF(C214="","Proxy's email address",C214)</f>
        <v>Proxy's email address</v>
      </c>
      <c r="AZ1889" s="4" t="s">
        <v>3592</v>
      </c>
      <c r="BA1889" s="503"/>
      <c r="BB1889" s="513">
        <f>AG259</f>
        <v>0</v>
      </c>
      <c r="BC1889" s="503" t="s">
        <v>3545</v>
      </c>
      <c r="BD1889" s="4" t="str">
        <f>BJ202</f>
        <v>first name</v>
      </c>
      <c r="BE1889" s="503" t="s">
        <v>3545</v>
      </c>
      <c r="BF1889" s="4" t="str">
        <f>BK202</f>
        <v>last name</v>
      </c>
      <c r="BG1889" s="800" t="str">
        <f>IF(OR(C202="",D202="",D259=""),"",CONCATENATE(AZ1889,BA1889,BB1889,BC1889,BD1889,BE1889,BF1889))</f>
        <v/>
      </c>
      <c r="BH1889" s="233"/>
      <c r="BI1889" s="233"/>
      <c r="BJ1889" s="233"/>
      <c r="BM1889" s="508" t="str">
        <f>IF(AG259=0,BN1889,CONCATENATE(BO1889,BV1889,BW1889,BX1889,BY1889,BZ1889))</f>
        <v>https://www.valuerelating.com/[YEAR OF CONVICTION]-[CLAIMANT'S FIRST NAME]-[CLAIMANT'S LAST NAME]</v>
      </c>
      <c r="BN1889" s="4" t="s">
        <v>4054</v>
      </c>
      <c r="BO1889" s="4" t="s">
        <v>3592</v>
      </c>
      <c r="BV1889" s="602">
        <f>AG259</f>
        <v>0</v>
      </c>
      <c r="BW1889" s="602" t="s">
        <v>3545</v>
      </c>
      <c r="BX1889" s="4" t="str">
        <f>C202</f>
        <v>FIRST NAME</v>
      </c>
      <c r="BY1889" s="4" t="s">
        <v>3545</v>
      </c>
      <c r="BZ1889" s="4" t="str">
        <f>D202</f>
        <v>LAST NAME</v>
      </c>
    </row>
    <row r="1890" spans="1:78" s="4" customFormat="1" ht="14.5" thickBot="1" x14ac:dyDescent="0.35">
      <c r="A1890" s="246"/>
      <c r="B1890" s="246"/>
      <c r="C1890" s="246"/>
      <c r="D1890" s="246"/>
      <c r="E1890" s="246"/>
      <c r="F1890" s="246"/>
      <c r="AD1890" s="507" t="str">
        <f>IF($C$1891=AH1805,AD1805,IF($C$1891=AH1806,AD1806,IF($C$1891=AH1807,AD1807,IF($C$1891=AH1808,AD1808,IF($C$1891=AH1809,AD1809,IF($C$1891=AH1810,AD1810,IF($C$1891=AH1811,AD1811,IF($C$1891=AH1812,AD1812,IF($C$1891=AH1813,AD1813,IF($C$1891=AH1814,AD1814,IF($C$1891=AH1815,AD1815,IF($C$1891=AH1816,AD1816,IF($C$1891=AH1817,AD1817,IF($C$1891=AH1818,AD1818,IF($C$1891=AH1819,AD1819,IF($C$1891=AH1820,AD1820,IF($C$1891=AH1821,AD1821,IF($C$1891=AH1822,AD1822,IF($C$1891=AH1823,AD1823,IF($C$1891=AH1824,AD1824,IF($C$1891=AH1825,AD1825,IF($C$1891=AH1826,AD1826,IF($C$1891=AH1827,AD1827,IF($C$1891=AH1828,AD1828,IF($C$1891=AH1829,AD1829,IF($C$1891=AH1830,AD1830,IF($C$1891=AH1831,AD1831,IF($C$1891=AH1832,AD1832,IF($C$1891=AH1833,AD1833,IF($C$1891=AH1834,AD1834,IF($C$1891=AH1835,AD1835,IF($C$1891=AH1836,AD1836,IF($C$1891=AH1837,AD1837,IF($C$1891=AH1838,AD1838,IF($C$1891=AH1839,AD1839,IF($C$1891=AH1840,AD1840,IF($C$1891=AH1841,AD1841,IF($C$1891=AH1842,AD1842,IF($C$1891=AH1843,AD1843,IF($C$1891=AH1844,AD1844,"my friend"))))))))))))))))))))))))))))))))))))))))</f>
        <v>my friend</v>
      </c>
      <c r="AG1890" s="510"/>
      <c r="AJ1890" s="596" t="s">
        <v>30</v>
      </c>
      <c r="AK1890" s="596" t="s">
        <v>3934</v>
      </c>
      <c r="AM1890" s="48" t="str">
        <f>C202</f>
        <v>FIRST NAME</v>
      </c>
      <c r="AN1890" s="4" t="str">
        <f>D202</f>
        <v>LAST NAME</v>
      </c>
      <c r="AQ1890" s="4" t="str">
        <f>IF(OR(C202="",C202=AD202),"Claimant",CONCATENATE(AM1890," ",AN1890))</f>
        <v>Claimant</v>
      </c>
      <c r="AR1890" s="510" t="str">
        <f>IF(C204="","Claimant's email address",C204)</f>
        <v>Claimant's email address</v>
      </c>
      <c r="BB1890" s="388"/>
    </row>
    <row r="1891" spans="1:78" s="4" customFormat="1" ht="14.5" thickBot="1" x14ac:dyDescent="0.35">
      <c r="A1891" s="246"/>
      <c r="B1891" s="477" t="s">
        <v>1408</v>
      </c>
      <c r="C1891" s="531"/>
      <c r="D1891" s="1098" t="str">
        <f>IF(C1890:C1891="","",AD1889)</f>
        <v/>
      </c>
      <c r="E1891" s="1098"/>
      <c r="F1891" s="246"/>
      <c r="AC1891" s="627" t="s">
        <v>62</v>
      </c>
      <c r="AD1891" s="559" t="str">
        <f>IF(OR($BD$1768&gt;0,$BD$1770&gt;0),AG1891,BG1891)</f>
        <v>You're invited</v>
      </c>
      <c r="AG1891" s="508" t="str">
        <f t="shared" ref="AG1891:AG1899" si="71">IF($AD$1890="",BG1891,CONCATENATE(AT1891,AU1891,AV1891))</f>
        <v>Hey, my friend, you're invited</v>
      </c>
      <c r="AH1891" s="508"/>
      <c r="AM1891" s="4" t="s">
        <v>3544</v>
      </c>
      <c r="AQ1891" s="4" t="str">
        <f>CONCATENATE(AM1891," ",AN1891)</f>
        <v xml:space="preserve">Value Relating </v>
      </c>
      <c r="AR1891" s="4" t="s">
        <v>102</v>
      </c>
      <c r="AT1891" s="4" t="s">
        <v>3530</v>
      </c>
      <c r="AU1891" s="4" t="str">
        <f>IF(AD1890="","friend",AD1890)</f>
        <v>my friend</v>
      </c>
      <c r="AV1891" s="4" t="s">
        <v>3531</v>
      </c>
      <c r="BB1891" s="388"/>
      <c r="BG1891" s="4" t="s">
        <v>3490</v>
      </c>
      <c r="BO1891" s="645" t="s">
        <v>3490</v>
      </c>
      <c r="BY1891" s="645" t="s">
        <v>3497</v>
      </c>
    </row>
    <row r="1892" spans="1:78" s="4" customFormat="1" ht="14.5" thickBot="1" x14ac:dyDescent="0.35">
      <c r="A1892" s="246"/>
      <c r="B1892" s="477" t="s">
        <v>1409</v>
      </c>
      <c r="C1892" s="531"/>
      <c r="D1892" s="75" t="str">
        <f>IF(C1892=AQ1889,AR1889,IF(C1892=AQ1890,AR1890,IF(C1892=AQ1891,AR1891,"")))</f>
        <v/>
      </c>
      <c r="E1892" s="246"/>
      <c r="F1892" s="246"/>
      <c r="AC1892" s="627" t="s">
        <v>64</v>
      </c>
      <c r="AD1892" s="559" t="str">
        <f>IF(OR($BD$1768&gt;0,$BD$1770&gt;0),AG1892,BG1892)</f>
        <v>Just a reminder</v>
      </c>
      <c r="AG1892" s="508" t="str">
        <f t="shared" si="71"/>
        <v>Just a reminder, my friend, in case you forgot</v>
      </c>
      <c r="AH1892" s="508"/>
      <c r="AT1892" s="4" t="s">
        <v>3532</v>
      </c>
      <c r="AU1892" s="4" t="str">
        <f>AU1891</f>
        <v>my friend</v>
      </c>
      <c r="AV1892" s="4" t="s">
        <v>3534</v>
      </c>
      <c r="BB1892" s="388"/>
      <c r="BG1892" s="4" t="s">
        <v>3491</v>
      </c>
      <c r="BO1892" s="645" t="s">
        <v>3491</v>
      </c>
      <c r="BY1892" s="645" t="s">
        <v>3501</v>
      </c>
    </row>
    <row r="1893" spans="1:78" s="4" customFormat="1" ht="14.5" thickBot="1" x14ac:dyDescent="0.35">
      <c r="A1893" s="246"/>
      <c r="B1893" s="477" t="s">
        <v>1410</v>
      </c>
      <c r="C1893" s="527">
        <f ca="1">TODAY()</f>
        <v>45774</v>
      </c>
      <c r="D1893" s="1099" t="str">
        <f>IF(C1892=AQ1891,"PAID ADVOCACY","")</f>
        <v/>
      </c>
      <c r="E1893" s="1099"/>
      <c r="F1893" s="246"/>
      <c r="AC1893" s="627" t="s">
        <v>4055</v>
      </c>
      <c r="AD1893" s="559" t="str">
        <f>IF(OR($BD$1768&gt;0,$BD$1770&gt;0),AG1893,BG1893)</f>
        <v>Last chance to join us</v>
      </c>
      <c r="AG1893" s="508" t="str">
        <f t="shared" si="71"/>
        <v>Last chance to join us, my friend</v>
      </c>
      <c r="AH1893" s="508"/>
      <c r="AT1893" s="4" t="s">
        <v>3533</v>
      </c>
      <c r="AU1893" s="4" t="str">
        <f>AU1892</f>
        <v>my friend</v>
      </c>
      <c r="BB1893" s="388"/>
      <c r="BG1893" s="4" t="s">
        <v>3492</v>
      </c>
      <c r="BO1893" s="645" t="s">
        <v>3492</v>
      </c>
      <c r="BY1893" s="645" t="s">
        <v>3502</v>
      </c>
    </row>
    <row r="1894" spans="1:78" s="4" customFormat="1" ht="14.5" thickBot="1" x14ac:dyDescent="0.35">
      <c r="A1894" s="246"/>
      <c r="B1894" s="477" t="s">
        <v>3600</v>
      </c>
      <c r="C1894" s="1095"/>
      <c r="D1894" s="1096"/>
      <c r="E1894" s="1097"/>
      <c r="F1894" s="246"/>
      <c r="AC1894" s="627" t="s">
        <v>3288</v>
      </c>
      <c r="AD1894" s="559" t="str">
        <f t="shared" ref="AD1894:AD1899" si="72">IF($BD$1770&gt;0,AG1894,"")</f>
        <v/>
      </c>
      <c r="AG1894" s="508" t="str">
        <f t="shared" si="71"/>
        <v>Thank you, my friend, for your consideration</v>
      </c>
      <c r="AH1894" s="508"/>
      <c r="AT1894" s="4" t="s">
        <v>3535</v>
      </c>
      <c r="AU1894" s="4" t="str">
        <f>AU1893</f>
        <v>my friend</v>
      </c>
      <c r="AV1894" s="4" t="s">
        <v>3536</v>
      </c>
      <c r="BB1894" s="388"/>
      <c r="BG1894" s="4" t="s">
        <v>3503</v>
      </c>
      <c r="BO1894" s="645" t="s">
        <v>3503</v>
      </c>
      <c r="BY1894" s="645" t="s">
        <v>3510</v>
      </c>
    </row>
    <row r="1895" spans="1:78" s="4" customFormat="1" ht="13.75" customHeight="1" x14ac:dyDescent="0.3">
      <c r="A1895" s="246"/>
      <c r="B1895" s="246"/>
      <c r="C1895" s="246"/>
      <c r="D1895" s="246"/>
      <c r="E1895" s="246"/>
      <c r="F1895" s="246"/>
      <c r="AC1895" s="627" t="s">
        <v>4056</v>
      </c>
      <c r="AD1895" s="559" t="str">
        <f t="shared" si="72"/>
        <v/>
      </c>
      <c r="AG1895" s="508" t="str">
        <f t="shared" si="71"/>
        <v>Thank you, my friend, for following our campaign</v>
      </c>
      <c r="AH1895" s="508"/>
      <c r="AT1895" s="4" t="s">
        <v>3535</v>
      </c>
      <c r="AU1895" s="4" t="str">
        <f>AU1894</f>
        <v>my friend</v>
      </c>
      <c r="AV1895" s="4" t="s">
        <v>3537</v>
      </c>
      <c r="BB1895" s="388"/>
      <c r="BG1895" s="4" t="s">
        <v>3494</v>
      </c>
      <c r="BO1895" s="645" t="s">
        <v>3494</v>
      </c>
      <c r="BY1895" s="645" t="s">
        <v>3498</v>
      </c>
    </row>
    <row r="1896" spans="1:78" s="4" customFormat="1" ht="13.75" customHeight="1" x14ac:dyDescent="0.3">
      <c r="A1896" s="246"/>
      <c r="B1896" s="1047" t="str">
        <f>AD1900</f>
        <v>1. SELECT A SUBJECT LINE ABOVE TO CHOOSE WHICH MESSAGE TO SEND</v>
      </c>
      <c r="C1896" s="1047"/>
      <c r="D1896" s="1047"/>
      <c r="E1896" s="1047"/>
      <c r="F1896" s="246"/>
      <c r="AC1896" s="627" t="s">
        <v>4057</v>
      </c>
      <c r="AD1896" s="559" t="str">
        <f t="shared" si="72"/>
        <v/>
      </c>
      <c r="AG1896" s="508" t="str">
        <f t="shared" si="71"/>
        <v>Thank you, my friend, for supporting our campaign</v>
      </c>
      <c r="AH1896" s="508"/>
      <c r="AT1896" s="4" t="s">
        <v>3535</v>
      </c>
      <c r="AU1896" s="4" t="str">
        <f>AU1895</f>
        <v>my friend</v>
      </c>
      <c r="AV1896" s="4" t="s">
        <v>3538</v>
      </c>
      <c r="BB1896" s="388"/>
      <c r="BG1896" s="4" t="s">
        <v>3495</v>
      </c>
      <c r="BO1896" s="645" t="s">
        <v>3495</v>
      </c>
      <c r="BY1896" s="645" t="s">
        <v>3499</v>
      </c>
    </row>
    <row r="1897" spans="1:78" s="4" customFormat="1" x14ac:dyDescent="0.3">
      <c r="A1897" s="246"/>
      <c r="B1897" s="1047"/>
      <c r="C1897" s="1047"/>
      <c r="D1897" s="1047"/>
      <c r="E1897" s="1047"/>
      <c r="F1897" s="246"/>
      <c r="AC1897" s="627" t="s">
        <v>4058</v>
      </c>
      <c r="AD1897" s="559" t="str">
        <f t="shared" si="72"/>
        <v/>
      </c>
      <c r="AG1897" s="508" t="str">
        <f t="shared" si="71"/>
        <v>my friend, we have to move forward without you</v>
      </c>
      <c r="AH1897" s="508"/>
      <c r="AT1897" s="4" t="str">
        <f>IF(AD1890="","Friend",AD1890)</f>
        <v>my friend</v>
      </c>
      <c r="AU1897" s="4" t="s">
        <v>3529</v>
      </c>
      <c r="BB1897" s="388"/>
      <c r="BG1897" s="4" t="s">
        <v>3496</v>
      </c>
      <c r="BO1897" s="645" t="s">
        <v>3496</v>
      </c>
      <c r="BY1897" s="645" t="s">
        <v>3500</v>
      </c>
    </row>
    <row r="1898" spans="1:78" s="4" customFormat="1" x14ac:dyDescent="0.3">
      <c r="A1898" s="246"/>
      <c r="B1898" s="1047"/>
      <c r="C1898" s="1047"/>
      <c r="D1898" s="1047"/>
      <c r="E1898" s="1047"/>
      <c r="F1898" s="246"/>
      <c r="AC1898" s="627" t="s">
        <v>4059</v>
      </c>
      <c r="AD1898" s="559" t="str">
        <f t="shared" si="72"/>
        <v/>
      </c>
      <c r="AG1898" s="508" t="str">
        <f t="shared" si="71"/>
        <v>Thank you, my friend, for joining our team at last</v>
      </c>
      <c r="AH1898" s="508"/>
      <c r="AT1898" s="4" t="s">
        <v>3535</v>
      </c>
      <c r="AU1898" s="4" t="str">
        <f>AU1896</f>
        <v>my friend</v>
      </c>
      <c r="AV1898" s="4" t="s">
        <v>3539</v>
      </c>
      <c r="BB1898" s="388"/>
      <c r="BG1898" s="4" t="s">
        <v>3493</v>
      </c>
      <c r="BO1898" s="645" t="s">
        <v>3493</v>
      </c>
      <c r="BY1898" s="645" t="s">
        <v>3519</v>
      </c>
    </row>
    <row r="1899" spans="1:78" s="4" customFormat="1" x14ac:dyDescent="0.3">
      <c r="A1899" s="246"/>
      <c r="B1899" s="1047"/>
      <c r="C1899" s="1047"/>
      <c r="D1899" s="1047"/>
      <c r="E1899" s="1047"/>
      <c r="F1899" s="246"/>
      <c r="AC1899" s="627" t="s">
        <v>3334</v>
      </c>
      <c r="AD1899" s="559" t="str">
        <f t="shared" si="72"/>
        <v/>
      </c>
      <c r="AG1899" s="508" t="str">
        <f t="shared" si="71"/>
        <v>We did it, my friend, we're attracting their attention!</v>
      </c>
      <c r="AT1899" s="4" t="s">
        <v>3598</v>
      </c>
      <c r="AU1899" s="4" t="str">
        <f>AU1898</f>
        <v>my friend</v>
      </c>
      <c r="AV1899" s="4" t="s">
        <v>3599</v>
      </c>
      <c r="BB1899" s="388"/>
      <c r="BG1899" s="4" t="s">
        <v>3597</v>
      </c>
    </row>
    <row r="1900" spans="1:78" s="4" customFormat="1" x14ac:dyDescent="0.3">
      <c r="A1900" s="246"/>
      <c r="B1900" s="1047"/>
      <c r="C1900" s="1047"/>
      <c r="D1900" s="1047"/>
      <c r="E1900" s="1047"/>
      <c r="F1900" s="246"/>
      <c r="AD1900" s="632" t="str">
        <f>IF($C$1894=$AG$1891,AG1902,IF($C$1894=$AG$1892,AG1903,IF($C$1894=$AG$1893,AF1905,IF($C$1894=$AG$1894,AF1905,IF($C$1894=$AG$1895,AF1906,IF(C1894=AG1896,BL1902,IF(C1894=AG1897,BL1903,IF(C1894=AG1898,BL1904,IF(C1894=AG1899,BL1905,AH1901)))))))))</f>
        <v>1. SELECT A SUBJECT LINE ABOVE TO CHOOSE WHICH MESSAGE TO SEND</v>
      </c>
      <c r="BB1900" s="388"/>
    </row>
    <row r="1901" spans="1:78" s="4" customFormat="1" x14ac:dyDescent="0.3">
      <c r="A1901" s="246"/>
      <c r="B1901" s="1047"/>
      <c r="C1901" s="1047"/>
      <c r="D1901" s="1047"/>
      <c r="E1901" s="1047"/>
      <c r="F1901" s="246"/>
      <c r="AG1901" s="508" t="str">
        <f>IF($C$1894="",AH1901,AT1901)</f>
        <v>1. SELECT A SUBJECT LINE ABOVE TO CHOOSE WHICH MESSAGE TO SEND</v>
      </c>
      <c r="AH1901" s="4" t="s">
        <v>3602</v>
      </c>
      <c r="AT1901" s="82" t="str">
        <f>IF($C$1894=AG$1891,AV1901,IF($C$1894=AG$1892,AW1901,IF($C$1894=AG$1893,AX1901,IF($C$1894=AG$1894,AY1901,IF($C$1894=AG$1895,AZ1901,IF($C$1894=AG$1896,BA1901,IF($C$1894=AG$1897,BB1901,IF($C$1894=AG$1898,BC1901,IF($C$1894=AG$1899,BD1901,"")))))))))</f>
        <v/>
      </c>
      <c r="AV1901" s="4">
        <v>1</v>
      </c>
      <c r="AW1901" s="4">
        <v>2</v>
      </c>
      <c r="AX1901" s="4">
        <v>3</v>
      </c>
      <c r="AY1901" s="4">
        <v>4</v>
      </c>
      <c r="AZ1901" s="4">
        <v>5</v>
      </c>
      <c r="BA1901" s="4">
        <v>6</v>
      </c>
      <c r="BB1901" s="4">
        <v>7</v>
      </c>
      <c r="BC1901" s="4">
        <v>8</v>
      </c>
      <c r="BD1901" s="4">
        <v>9</v>
      </c>
      <c r="BE1901" s="4">
        <v>10</v>
      </c>
      <c r="BG1901" s="534"/>
    </row>
    <row r="1902" spans="1:78" s="4" customFormat="1" x14ac:dyDescent="0.3">
      <c r="A1902" s="246"/>
      <c r="B1902" s="1047"/>
      <c r="C1902" s="1047"/>
      <c r="D1902" s="1047"/>
      <c r="E1902" s="1047"/>
      <c r="F1902" s="246"/>
      <c r="AD1902" s="627" t="s">
        <v>62</v>
      </c>
      <c r="AG1902" s="628" t="str">
        <f>CONCATENATE(AI1902,AJ1902,AK1902,AL1902,AM1902,AN1902,AO1902,AP1902,AQ1902,AR1902,AS1902,AT1902,AU1902,AV1902,AX1902,AY1902,AZ1902,BA1902,BB1902,BC1902)</f>
        <v>Claimant was wrongly convicted in 0 and continues to be damaged reputation in 0. I'm convinced claimant had no role in the crime, and now I have a tool to help prove it. The tool compares Claimant's case to known exonerations, then calculates a likelihood of innocence. It estimates claimant is 0% innocent, which is a . Together, we can help make that claim stronger. And finally liberate claimant.</v>
      </c>
      <c r="AH1902" s="503" t="s">
        <v>885</v>
      </c>
      <c r="AI1902" s="4" t="str">
        <f>BG202</f>
        <v>Claimant</v>
      </c>
      <c r="AJ1902" s="4" t="s">
        <v>4061</v>
      </c>
      <c r="AK1902" s="4">
        <f>AG259</f>
        <v>0</v>
      </c>
      <c r="AL1902" s="4" t="s">
        <v>4062</v>
      </c>
      <c r="AM1902" s="4" t="str">
        <f>AV314</f>
        <v>damaged reputation</v>
      </c>
      <c r="AN1902" s="4" t="s">
        <v>4068</v>
      </c>
      <c r="AO1902" s="4">
        <f>B265</f>
        <v>0</v>
      </c>
      <c r="AP1902" s="4" t="s">
        <v>4063</v>
      </c>
      <c r="AQ1902" s="4" t="str">
        <f>BH206</f>
        <v>claimant</v>
      </c>
      <c r="AR1902" s="4" t="s">
        <v>4064</v>
      </c>
      <c r="AS1902" s="4" t="str">
        <f>AN202</f>
        <v>Claimant</v>
      </c>
      <c r="AT1902" s="503" t="s">
        <v>4071</v>
      </c>
      <c r="AU1902" s="4" t="str">
        <f>BH206</f>
        <v>claimant</v>
      </c>
      <c r="AV1902" s="4" t="s">
        <v>4066</v>
      </c>
      <c r="AX1902" s="630">
        <f>ROUND((B51*100),0)</f>
        <v>0</v>
      </c>
      <c r="AY1902" s="4" t="s">
        <v>4069</v>
      </c>
      <c r="AZ1902" s="4" t="str">
        <f>BG51</f>
        <v/>
      </c>
      <c r="BA1902" s="4" t="s">
        <v>4067</v>
      </c>
      <c r="BB1902" s="4" t="str">
        <f>BI206</f>
        <v>claimant</v>
      </c>
      <c r="BC1902" s="388" t="s">
        <v>851</v>
      </c>
      <c r="BI1902" s="627" t="s">
        <v>4057</v>
      </c>
      <c r="BL1902" s="628" t="str">
        <f>CONCATENATE(BN1902,BO1902,BP1902,BQ1902,BR1902,BS1902,BT1902,BU1903,BV1903,BW1903,BX1903,BY1903,BZ1903,CA1903,CB1903,CC1903,CD1903,CE1903,CF1903,CG1903,CH1903)</f>
        <v/>
      </c>
    </row>
    <row r="1903" spans="1:78" s="4" customFormat="1" ht="13.75" customHeight="1" x14ac:dyDescent="0.3">
      <c r="A1903" s="246"/>
      <c r="B1903" s="1047" t="str">
        <f>AD1907</f>
        <v>2. SELECT SENDER: FROM CLAIMANT, PROXY OR FROM VALUE RELATING</v>
      </c>
      <c r="C1903" s="1047"/>
      <c r="D1903" s="1047"/>
      <c r="E1903" s="1047"/>
      <c r="F1903" s="246"/>
      <c r="AD1903" s="627" t="s">
        <v>64</v>
      </c>
      <c r="AG1903" s="628" t="str">
        <f>CONCATENATE(AI1903,AJ1903,AK1903,AL1903,AM1903,AN1903,AO1903,AP1903,AQ1903,AR1903,AS1903,AT1903,AU1903,AV1903,AX1903,AY1903,AZ1903,BA1903,BB1903,BC1903)</f>
        <v>NOT YET AVAILABLE</v>
      </c>
      <c r="AH1903" s="503" t="s">
        <v>885</v>
      </c>
      <c r="AN1903" s="4" t="s">
        <v>4074</v>
      </c>
      <c r="BB1903" s="388"/>
      <c r="BI1903" s="627" t="s">
        <v>4058</v>
      </c>
      <c r="BL1903" s="628" t="str">
        <f>CONCATENATE(BN1903,BO1903,BP1903,BQ1903,BR1903,BS1903,BT1903,BU1904,BV1904,BW1904,BX1904,BY1904,BZ1904,CA1904,CB1904,CC1904,CD1904,CE1904,CF1904,CG1904,CH1904)</f>
        <v xml:space="preserve">Contrary to popular belief, only about 15% of prisoners claim to be actually innocent. Claimant provides a compelling case to demonstrate such innocence. </v>
      </c>
    </row>
    <row r="1904" spans="1:78" s="4" customFormat="1" x14ac:dyDescent="0.3">
      <c r="A1904" s="246"/>
      <c r="B1904" s="1047"/>
      <c r="C1904" s="1047"/>
      <c r="D1904" s="1047"/>
      <c r="E1904" s="1047"/>
      <c r="F1904" s="246"/>
      <c r="AD1904" s="627" t="s">
        <v>4055</v>
      </c>
      <c r="AG1904" s="628" t="str">
        <f>CONCATENATE(AI1904,AJ1904,AK1904,AL1904,AM1904,AN1904,AO1904,AP1904,AQ1904,AR1904,AS1904,AT1904,AU1904,AV1904,AX1904,AY1904,AZ1904,BA1904,BB1904,BC1904)</f>
        <v>WORKING ON IT</v>
      </c>
      <c r="AH1904" s="503" t="s">
        <v>885</v>
      </c>
      <c r="AN1904" s="4" t="s">
        <v>4075</v>
      </c>
      <c r="BB1904" s="388"/>
      <c r="BI1904" s="627" t="s">
        <v>4059</v>
      </c>
      <c r="BL1904" s="628" t="str">
        <f>CONCATENATE(BN1904,BO1904,BP1904,BQ1904,BR1904,BS1904,BT1904,BU1905,BV1905,BW1905,BX1905,BY1905,BZ1905,CA1905,CB1905,CC1905,CD1905,CE1905,CF1905,CG1905,CH1905)</f>
        <v xml:space="preserve">Welcome aboard, my friend! Thank you for joining Claimant's campaign for innocence. Not only for claimantself but for all similarly situated. </v>
      </c>
      <c r="BM1904" s="503" t="s">
        <v>885</v>
      </c>
      <c r="BN1904" s="503" t="s">
        <v>4264</v>
      </c>
      <c r="BO1904" s="4" t="str">
        <f>AD1890</f>
        <v>my friend</v>
      </c>
      <c r="BP1904" s="4" t="s">
        <v>4265</v>
      </c>
      <c r="BQ1904" s="4" t="str">
        <f>AN202</f>
        <v>Claimant</v>
      </c>
      <c r="BR1904" s="503" t="s">
        <v>4266</v>
      </c>
      <c r="BS1904" s="4" t="str">
        <f>BI206</f>
        <v>claimant</v>
      </c>
      <c r="BT1904" s="4" t="s">
        <v>4267</v>
      </c>
      <c r="BU1904" s="4" t="s">
        <v>4050</v>
      </c>
    </row>
    <row r="1905" spans="1:129" s="4" customFormat="1" x14ac:dyDescent="0.3">
      <c r="A1905" s="246"/>
      <c r="B1905" s="1047"/>
      <c r="C1905" s="1047"/>
      <c r="D1905" s="1047"/>
      <c r="E1905" s="1047"/>
      <c r="F1905" s="246"/>
      <c r="AD1905" s="627" t="s">
        <v>3288</v>
      </c>
      <c r="AF1905" s="503" t="str">
        <f>IF($D$1768=$AQ$1768,AG1905,AH1905)</f>
        <v>REQUIRES PASSKEY</v>
      </c>
      <c r="AG1905" s="628" t="str">
        <f>CONCATENATE(AI1905,AJ1905,AK1905,AL1905,AM1905,AN1905,AO1905,AP1905,AQ1905,AR1905,AS1905,AT1905,AU1905,AV1905,AX1905,AY1905,AZ1905,BA1905,BB1905,BC1905)</f>
        <v>ALMOST THERE</v>
      </c>
      <c r="AH1905" s="659" t="s">
        <v>4362</v>
      </c>
      <c r="AN1905" s="4" t="s">
        <v>4076</v>
      </c>
      <c r="BB1905" s="388"/>
      <c r="BI1905" s="627" t="s">
        <v>3334</v>
      </c>
      <c r="BK1905" s="503" t="str">
        <f>IF(OR($D$1768=$AQ$1768,D1774=AL1774),BL1905,BM1905)</f>
        <v xml:space="preserve">With your support, my friend, our campaign is moving forward. Than you for helping us reach another milestone. [PPP] doesn't complain about a legal technicality, but demonstrate [ppp] had no involvement in wrongdoing. </v>
      </c>
      <c r="BL1905" s="628" t="str">
        <f>CONCATENATE(BN1905,BO1905,BP1905,BQ1905,BR1905,BS1905,BT1905,BU1906,BV1906,BW1906,BX1906,BY1906,BZ1906,CA1906,CB1906,CC1906,CD1906,CE1906,CF1906,CG1906,CH1906)</f>
        <v xml:space="preserve">With your support, my friend, our campaign is moving forward. Than you for helping us reach another milestone. [PPP] doesn't complain about a legal technicality, but demonstrate [ppp] had no involvement in wrongdoing. </v>
      </c>
      <c r="BM1905" s="659" t="s">
        <v>4362</v>
      </c>
      <c r="BN1905" s="4" t="s">
        <v>4091</v>
      </c>
      <c r="BO1905" s="4" t="str">
        <f>BO1904</f>
        <v>my friend</v>
      </c>
      <c r="BP1905" s="4" t="s">
        <v>4268</v>
      </c>
    </row>
    <row r="1906" spans="1:129" s="4" customFormat="1" x14ac:dyDescent="0.3">
      <c r="A1906" s="246"/>
      <c r="B1906" s="1047"/>
      <c r="C1906" s="1047"/>
      <c r="D1906" s="1047"/>
      <c r="E1906" s="1047"/>
      <c r="F1906" s="246"/>
      <c r="AD1906" s="627" t="s">
        <v>4056</v>
      </c>
      <c r="AF1906" s="503" t="str">
        <f>IF($D$1768=$AQ$1768,AG1906,AH1906)</f>
        <v>REQUIRES PASSKEY</v>
      </c>
      <c r="AG1906" s="628" t="str">
        <f>CONCATENATE(AI1906,AJ1906,AK1906,AL1906,AM1906,AN1906,AO1906,AP1906,AQ1906,AR1906,AS1906,AT1906,AU1906,AV1906,AX1906,AY1906,AZ1906,BA1906,BB1906,BC1906)</f>
        <v>STILL WORKING ON IT</v>
      </c>
      <c r="AH1906" s="659" t="s">
        <v>4362</v>
      </c>
      <c r="AN1906" s="4" t="s">
        <v>4077</v>
      </c>
      <c r="BB1906" s="388"/>
      <c r="BK1906" s="503">
        <f>IF(OR($D$1768=$AQ$1768,D1770=AL1770),BL1906,BM1906)</f>
        <v>0</v>
      </c>
      <c r="BM1906" s="659" t="s">
        <v>4362</v>
      </c>
      <c r="BU1906" s="4" t="s">
        <v>4051</v>
      </c>
    </row>
    <row r="1907" spans="1:129" s="4" customFormat="1" x14ac:dyDescent="0.3">
      <c r="A1907" s="246"/>
      <c r="B1907" s="1047"/>
      <c r="C1907" s="1047"/>
      <c r="D1907" s="1047"/>
      <c r="E1907" s="1047"/>
      <c r="F1907" s="246"/>
      <c r="AD1907" s="632" t="str">
        <f>IF($C$1894=$AG$1891,AG1909,IF($C$1894=$AG$1892,AG1910,IF($C$1894=$AG$1893,AG1911,IF($C$1894=$AG$1894,AF1912,IF($C$1894=$AG$1895,AF1913,AH1908)))))</f>
        <v>2. SELECT SENDER: FROM CLAIMANT, PROXY OR FROM VALUE RELATING</v>
      </c>
    </row>
    <row r="1908" spans="1:129" s="4" customFormat="1" x14ac:dyDescent="0.3">
      <c r="A1908" s="246"/>
      <c r="B1908" s="1047"/>
      <c r="C1908" s="1047"/>
      <c r="D1908" s="1047"/>
      <c r="E1908" s="1047"/>
      <c r="F1908" s="246"/>
      <c r="AD1908" s="627"/>
      <c r="AG1908" s="508" t="str">
        <f>IF($C$1894="",AH1908,AT1908)</f>
        <v>2. SELECT SENDER: FROM CLAIMANT, PROXY OR FROM VALUE RELATING</v>
      </c>
      <c r="AH1908" s="4" t="s">
        <v>3603</v>
      </c>
      <c r="AT1908" s="82" t="str">
        <f>IF($C$1894=AG$1891,AV1908,IF($C$1894=AG$1892,AW1908,IF($C$1894=AG$1893,AX1908,IF($C$1894=AG$1894,AY1908,IF($C$1894=AG$1895,AZ1908,IF($C$1894=AG$1896,BA1908,IF($C$1894=AG$1897,BB1908,IF($C$1894=AG$1898,BC1908,IF($C$1894=AG$1899,BD1908,"")))))))))</f>
        <v/>
      </c>
      <c r="AV1908" s="4">
        <v>1</v>
      </c>
      <c r="AW1908" s="4">
        <v>2</v>
      </c>
      <c r="AX1908" s="4">
        <v>3</v>
      </c>
      <c r="AY1908" s="4">
        <v>4</v>
      </c>
      <c r="AZ1908" s="4">
        <v>5</v>
      </c>
      <c r="BA1908" s="4">
        <v>6</v>
      </c>
      <c r="BB1908" s="4">
        <v>7</v>
      </c>
      <c r="BC1908" s="4">
        <v>8</v>
      </c>
      <c r="BD1908" s="4">
        <v>9</v>
      </c>
      <c r="BE1908" s="4">
        <v>10</v>
      </c>
      <c r="BG1908" s="534" t="e">
        <f>#REF!</f>
        <v>#REF!</v>
      </c>
      <c r="BU1908" s="4" t="s">
        <v>4052</v>
      </c>
    </row>
    <row r="1909" spans="1:129" s="4" customFormat="1" x14ac:dyDescent="0.3">
      <c r="A1909" s="246"/>
      <c r="B1909" s="1047"/>
      <c r="C1909" s="1047"/>
      <c r="D1909" s="1047"/>
      <c r="E1909" s="1047"/>
      <c r="F1909" s="246"/>
      <c r="AD1909" s="627" t="s">
        <v>62</v>
      </c>
      <c r="AG1909" s="628" t="str">
        <f>CONCATENATE(AI1909,AJ1909,AK1909,AL1909,AM1909,AN1909,AO1909,,AP1909,AQ1909,AR1909,AS1909,AT1909,AU1909,AV1909,AW1909,AX1909,AY1909,AZ1909,BA1909,BB1909,BC1909)</f>
        <v xml:space="preserve">Claimant asserts no of six known factors common in wrongful convictions. No significant factors common in exonerations. Claimant identifies no other important factors known to wrongly convict the innocent. Claimant needs your support to help validate claimant's . Claimant needs your help, my friendclaimant's case documents. With your support, we can draw closer to proving claimant's claim. </v>
      </c>
      <c r="AI1909" s="4" t="str">
        <f>BP521</f>
        <v xml:space="preserve">Claimant asserts no of six known factors common in wrongful convictions. </v>
      </c>
      <c r="AJ1909" s="4" t="str">
        <f>AB521</f>
        <v xml:space="preserve">No significant factors common in exonerations. </v>
      </c>
      <c r="AK1909" s="4" t="str">
        <f>BP556</f>
        <v xml:space="preserve">Claimant identifies no other important factors known to wrongly convict the innocent. </v>
      </c>
      <c r="AL1909" s="4" t="str">
        <f>BG206</f>
        <v>Claimant</v>
      </c>
      <c r="AM1909" s="4" t="s">
        <v>4092</v>
      </c>
      <c r="AN1909" s="4" t="str">
        <f>BJ206</f>
        <v>claimant's</v>
      </c>
      <c r="AO1909" s="4" t="s">
        <v>4060</v>
      </c>
      <c r="AP1909" s="4" t="str">
        <f>BG51</f>
        <v/>
      </c>
      <c r="AQ1909" s="4" t="s">
        <v>4029</v>
      </c>
      <c r="AR1909" s="4" t="str">
        <f>BP501</f>
        <v xml:space="preserve">Claimant needs your help, my friendclaimant's case documents. </v>
      </c>
      <c r="AS1909" s="642"/>
      <c r="AT1909" s="4" t="s">
        <v>4091</v>
      </c>
      <c r="AU1909" s="4" t="s">
        <v>4090</v>
      </c>
      <c r="AV1909" s="4" t="s">
        <v>5180</v>
      </c>
      <c r="AW1909" s="4" t="str">
        <f>BJ206</f>
        <v>claimant's</v>
      </c>
      <c r="AX1909" s="4" t="s">
        <v>5181</v>
      </c>
    </row>
    <row r="1910" spans="1:129" s="4" customFormat="1" x14ac:dyDescent="0.3">
      <c r="A1910" s="246"/>
      <c r="B1910" s="1047"/>
      <c r="C1910" s="1047"/>
      <c r="D1910" s="1047"/>
      <c r="E1910" s="1047"/>
      <c r="F1910" s="246"/>
      <c r="AD1910" s="627" t="s">
        <v>64</v>
      </c>
      <c r="AG1910" s="628" t="str">
        <f>AG1903</f>
        <v>NOT YET AVAILABLE</v>
      </c>
    </row>
    <row r="1911" spans="1:129" s="4" customFormat="1" ht="13.75" customHeight="1" x14ac:dyDescent="0.3">
      <c r="A1911" s="246"/>
      <c r="B1911" s="1047" t="str">
        <f>AD1914</f>
        <v>3. SELECT A SUBJECT LINE ABOVE TO CHOOSE WHICH MESSAGE TO SEND</v>
      </c>
      <c r="C1911" s="1047"/>
      <c r="D1911" s="1047"/>
      <c r="E1911" s="1047"/>
      <c r="F1911" s="246"/>
      <c r="AD1911" s="627" t="s">
        <v>4055</v>
      </c>
      <c r="AG1911" s="628" t="str">
        <f>AG1904</f>
        <v>WORKING ON IT</v>
      </c>
      <c r="BB1911" s="388"/>
      <c r="BM1911" s="503" t="str">
        <f>CONCATENATE(BI337,BI338)</f>
        <v xml:space="preserve">Claimant has yet to ask for help from an innocence project. </v>
      </c>
      <c r="CE1911" s="503" t="s">
        <v>885</v>
      </c>
      <c r="CF1911" s="4" t="str">
        <f>BM1911</f>
        <v xml:space="preserve">Claimant has yet to ask for help from an innocence project. </v>
      </c>
    </row>
    <row r="1912" spans="1:129" s="4" customFormat="1" x14ac:dyDescent="0.3">
      <c r="A1912" s="246"/>
      <c r="B1912" s="1047"/>
      <c r="C1912" s="1047"/>
      <c r="D1912" s="1047"/>
      <c r="E1912" s="1047"/>
      <c r="F1912" s="246"/>
      <c r="AD1912" s="627" t="s">
        <v>3288</v>
      </c>
      <c r="AF1912" s="503" t="str">
        <f>IF($D$1768=$AQ$1768,AG1912,AH1912)</f>
        <v>REQUIRES PASSKEY</v>
      </c>
      <c r="AG1912" s="628" t="str">
        <f>CONCATENATE(AI1912,AJ1912,AK1912,AL1912,AM1912,AN1912,AO1912,AP1912,AQ1912,AR1912,AS1912,AT1912,AU1912,AV1912,AX1912,AY1912,AZ1912,BA1912,BB1912,BC1912)</f>
        <v/>
      </c>
      <c r="AH1912" s="659" t="s">
        <v>4362</v>
      </c>
      <c r="BB1912" s="388"/>
      <c r="BM1912" s="4" t="s">
        <v>4099</v>
      </c>
      <c r="BT1912" s="503" t="s">
        <v>885</v>
      </c>
      <c r="BU1912" s="4" t="s">
        <v>4114</v>
      </c>
      <c r="CE1912" s="503" t="s">
        <v>885</v>
      </c>
      <c r="CF1912" s="4" t="s">
        <v>4109</v>
      </c>
    </row>
    <row r="1913" spans="1:129" s="4" customFormat="1" x14ac:dyDescent="0.3">
      <c r="A1913" s="246"/>
      <c r="B1913" s="1047"/>
      <c r="C1913" s="1047"/>
      <c r="D1913" s="1047"/>
      <c r="E1913" s="1047"/>
      <c r="F1913" s="246"/>
      <c r="AD1913" s="627" t="s">
        <v>4056</v>
      </c>
      <c r="AF1913" s="503" t="str">
        <f>IF($D$1768=$AQ$1768,AG1913,AH1913)</f>
        <v>REQUIRES PASSKEY</v>
      </c>
      <c r="AG1913" s="628" t="str">
        <f>CONCATENATE(AI1913,AJ1913,AK1913,AL1913,AM1913,AN1913,AO1913,AP1913,AQ1913,AR1913,AS1913,AT1913,AU1913,AV1913,AX1913,AY1913,AZ1913,BA1913,BB1913,BC1913)</f>
        <v/>
      </c>
      <c r="AH1913" s="659" t="s">
        <v>4362</v>
      </c>
      <c r="BB1913" s="388"/>
      <c r="BM1913" s="4" t="s">
        <v>4096</v>
      </c>
      <c r="CE1913" s="503" t="s">
        <v>885</v>
      </c>
      <c r="CF1913" s="4" t="s">
        <v>4110</v>
      </c>
    </row>
    <row r="1914" spans="1:129" s="4" customFormat="1" x14ac:dyDescent="0.3">
      <c r="A1914" s="246"/>
      <c r="B1914" s="1047"/>
      <c r="C1914" s="1047"/>
      <c r="D1914" s="1047"/>
      <c r="E1914" s="1047"/>
      <c r="F1914" s="246"/>
      <c r="AD1914" s="632" t="str">
        <f>IF($C$1894=$AG$1891,AG1916,IF($C$1894=$AG$1892,AG1917,IF($C$1894=$AG$1893,AG1918,IF($C$1894=$AG$1894,AG1919,IF($C$1894=$AG$1895,AG1920,AH1915)))))</f>
        <v>3. SELECT A SUBJECT LINE ABOVE TO CHOOSE WHICH MESSAGE TO SEND</v>
      </c>
      <c r="BM1914" s="4" t="s">
        <v>4100</v>
      </c>
      <c r="BR1914" s="503" t="s">
        <v>885</v>
      </c>
      <c r="BS1914" s="4" t="s">
        <v>4053</v>
      </c>
      <c r="CE1914" s="503" t="s">
        <v>885</v>
      </c>
      <c r="CF1914" s="4" t="s">
        <v>4108</v>
      </c>
    </row>
    <row r="1915" spans="1:129" s="4" customFormat="1" x14ac:dyDescent="0.3">
      <c r="A1915" s="246"/>
      <c r="B1915" s="1047"/>
      <c r="C1915" s="1047"/>
      <c r="D1915" s="1047"/>
      <c r="E1915" s="1047"/>
      <c r="F1915" s="246"/>
      <c r="AD1915" s="627"/>
      <c r="AG1915" s="508" t="str">
        <f>IF($C$1894="",AH1915,AT1915)</f>
        <v>3. SELECT A SUBJECT LINE ABOVE TO CHOOSE WHICH MESSAGE TO SEND</v>
      </c>
      <c r="AH1915" s="4" t="s">
        <v>3601</v>
      </c>
      <c r="AT1915" s="82" t="str">
        <f>IF($C$1894=AG$1891,AV1915,IF($C$1894=AG$1892,AW1915,IF($C$1894=AG$1893,AX1915,IF($C$1894=AG$1894,AY1915,IF($C$1894=AG$1895,AZ1915,IF($C$1894=AG$1896,BA1915,IF($C$1894=AG$1897,BB1915,IF($C$1894=AG$1898,BC1915,IF($C$1894=AG$1899,BD1915,"")))))))))</f>
        <v/>
      </c>
      <c r="AV1915" s="4">
        <v>1</v>
      </c>
      <c r="AW1915" s="4">
        <v>2</v>
      </c>
      <c r="AX1915" s="4">
        <v>3</v>
      </c>
      <c r="AY1915" s="4">
        <v>4</v>
      </c>
      <c r="AZ1915" s="4">
        <v>5</v>
      </c>
      <c r="BA1915" s="4">
        <v>6</v>
      </c>
      <c r="BB1915" s="4">
        <v>7</v>
      </c>
      <c r="BC1915" s="4">
        <v>8</v>
      </c>
      <c r="BD1915" s="4">
        <v>9</v>
      </c>
      <c r="BE1915" s="4">
        <v>10</v>
      </c>
      <c r="BG1915" s="534"/>
      <c r="BM1915" s="4" t="s">
        <v>4101</v>
      </c>
      <c r="CE1915" s="503" t="s">
        <v>885</v>
      </c>
      <c r="CF1915" s="4" t="s">
        <v>4111</v>
      </c>
    </row>
    <row r="1916" spans="1:129" s="4" customFormat="1" x14ac:dyDescent="0.3">
      <c r="A1916" s="246"/>
      <c r="B1916" s="1047"/>
      <c r="C1916" s="1047"/>
      <c r="D1916" s="1047"/>
      <c r="E1916" s="1047"/>
      <c r="F1916" s="246"/>
      <c r="AD1916" s="627" t="s">
        <v>62</v>
      </c>
      <c r="AG1916" s="628" t="str">
        <f>CONCATENATE(AI1916,AJ1916,AK1916,AL1916,AM1916,AN1916,AO1916,AP1916,AQ1916,AR1916,AS1916,AT1916,AU1916,AV1916,AX1916,AY1916,AZ1916,BA1916,BB1916,BC1916)</f>
        <v xml:space="preserve">Claimant has yet to ask for help from an innocence project. Innocence Projects receive far more requests for help than they can serve. Besides, the legal process is generally slow, divisive, and arbitrary. With your help, my friend, we can outdo the legal process with the new transformative option of 'need-response'. Instead of serving laws, it addresses the specific needs for which laws exist to serve. Help us spark a movement, where Claimant and I raise the standard of justice, grounding it more in love and understanding. </v>
      </c>
      <c r="AI1916" s="503" t="str">
        <f>CONCATENATE(BI337,BI338)</f>
        <v xml:space="preserve">Claimant has yet to ask for help from an innocence project. </v>
      </c>
      <c r="AJ1916" s="4" t="s">
        <v>4118</v>
      </c>
      <c r="AK1916" s="4" t="s">
        <v>4104</v>
      </c>
      <c r="AL1916" s="4" t="str">
        <f>AD1890</f>
        <v>my friend</v>
      </c>
      <c r="AM1916" s="4" t="s">
        <v>4115</v>
      </c>
      <c r="AN1916" s="4" t="s">
        <v>4112</v>
      </c>
      <c r="AO1916" s="4" t="s">
        <v>4105</v>
      </c>
      <c r="AP1916" s="4" t="str">
        <f>AN202</f>
        <v>Claimant</v>
      </c>
      <c r="AQ1916" s="4" t="s">
        <v>4113</v>
      </c>
      <c r="BB1916" s="388"/>
      <c r="BZ1916" s="631" t="s">
        <v>4120</v>
      </c>
      <c r="CA1916" s="635" t="s">
        <v>4130</v>
      </c>
      <c r="CB1916" s="631" t="s">
        <v>4121</v>
      </c>
      <c r="CC1916" s="635" t="s">
        <v>4131</v>
      </c>
      <c r="CD1916" s="631" t="s">
        <v>4122</v>
      </c>
      <c r="CE1916" s="631" t="s">
        <v>4093</v>
      </c>
      <c r="CF1916" s="631" t="s">
        <v>4123</v>
      </c>
      <c r="CG1916" s="631" t="s">
        <v>4094</v>
      </c>
      <c r="CH1916" s="631" t="s">
        <v>4124</v>
      </c>
      <c r="CI1916" s="631" t="s">
        <v>4095</v>
      </c>
      <c r="CJ1916" s="503" t="s">
        <v>885</v>
      </c>
    </row>
    <row r="1917" spans="1:129" s="4" customFormat="1" x14ac:dyDescent="0.3">
      <c r="A1917" s="246"/>
      <c r="B1917" s="1047"/>
      <c r="C1917" s="1047"/>
      <c r="D1917" s="1047"/>
      <c r="E1917" s="1047"/>
      <c r="F1917" s="246"/>
      <c r="AD1917" s="627" t="s">
        <v>64</v>
      </c>
      <c r="AG1917" s="628" t="str">
        <f>AG1910</f>
        <v>NOT YET AVAILABLE</v>
      </c>
      <c r="BB1917" s="388"/>
      <c r="BM1917" s="4" t="s">
        <v>4119</v>
      </c>
      <c r="CF1917" s="4" t="s">
        <v>4125</v>
      </c>
    </row>
    <row r="1918" spans="1:129" s="4" customFormat="1" x14ac:dyDescent="0.3">
      <c r="A1918" s="246"/>
      <c r="B1918" s="1047"/>
      <c r="C1918" s="1047"/>
      <c r="D1918" s="1047"/>
      <c r="E1918" s="1047"/>
      <c r="F1918" s="246"/>
      <c r="AD1918" s="627" t="s">
        <v>4055</v>
      </c>
      <c r="AG1918" s="628" t="str">
        <f>AG1911</f>
        <v>WORKING ON IT</v>
      </c>
      <c r="AP1918" s="4">
        <f>AI1911</f>
        <v>0</v>
      </c>
      <c r="AQ1918" s="4" t="s">
        <v>4106</v>
      </c>
      <c r="AR1918" s="4">
        <f>BH208</f>
        <v>0</v>
      </c>
      <c r="AS1918" s="4" t="s">
        <v>4107</v>
      </c>
      <c r="BB1918" s="388"/>
      <c r="BM1918" s="4" t="s">
        <v>4093</v>
      </c>
      <c r="CF1918" s="48" t="s">
        <v>4126</v>
      </c>
    </row>
    <row r="1919" spans="1:129" s="4" customFormat="1" x14ac:dyDescent="0.3">
      <c r="A1919" s="246"/>
      <c r="B1919" s="1047" t="str">
        <f>AD1921</f>
        <v>4. AFTER SENDING, SELECT ANOTHER RECIPIENT AND RESET THE SUBJECT LINE</v>
      </c>
      <c r="C1919" s="1047"/>
      <c r="D1919" s="1047"/>
      <c r="E1919" s="1047"/>
      <c r="F1919" s="246"/>
      <c r="AD1919" s="627" t="s">
        <v>3288</v>
      </c>
      <c r="AF1919" s="503" t="str">
        <f>IF($D$1768=$AQ$1768,AG1919,AH1919)</f>
        <v>REQUIRES PASSKEY</v>
      </c>
      <c r="AG1919" s="628" t="str">
        <f>CONCATENATE(AI1919,AJ1919,AK1919,AL1919,AM1919,AN1919,AO1919,AP1919,AQ1919,AR1919,AS1919,AT1919,AU1919,AV1919,AX1919,AY1919,AZ1919,BA1919,BB1919,BC1919)</f>
        <v/>
      </c>
      <c r="AH1919" s="659" t="s">
        <v>4362</v>
      </c>
      <c r="BB1919" s="388"/>
      <c r="BM1919" s="4" t="s">
        <v>4116</v>
      </c>
      <c r="BW1919" s="503" t="s">
        <v>885</v>
      </c>
      <c r="BX1919" s="4" t="s">
        <v>4097</v>
      </c>
      <c r="CF1919" s="4" t="s">
        <v>4127</v>
      </c>
    </row>
    <row r="1920" spans="1:129" s="4" customFormat="1" x14ac:dyDescent="0.3">
      <c r="A1920" s="246"/>
      <c r="B1920" s="1047"/>
      <c r="C1920" s="1047"/>
      <c r="D1920" s="1047"/>
      <c r="E1920" s="1047"/>
      <c r="F1920" s="246"/>
      <c r="AD1920" s="627" t="s">
        <v>4056</v>
      </c>
      <c r="AF1920" s="503" t="str">
        <f>IF($D$1768=$AQ$1768,AG1920,AH1920)</f>
        <v>REQUIRES PASSKEY</v>
      </c>
      <c r="AG1920" s="628" t="str">
        <f>CONCATENATE(AI1920,AJ1920,AK1920,AL1920,AM1920,AN1920,AO1920,AP1920,AQ1920,AR1920,AS1920,AT1920,AU1920,AV1920,AX1920,AY1920,AZ1920,BA1920,BB1920,BC1920)</f>
        <v/>
      </c>
      <c r="AH1920" s="659" t="s">
        <v>4362</v>
      </c>
      <c r="BB1920" s="388"/>
      <c r="BM1920" s="4" t="s">
        <v>4094</v>
      </c>
      <c r="CF1920" s="4" t="s">
        <v>4128</v>
      </c>
      <c r="DY1920" s="4" t="str">
        <f>C202</f>
        <v>FIRST NAME</v>
      </c>
    </row>
    <row r="1921" spans="1:85" s="4" customFormat="1" x14ac:dyDescent="0.3">
      <c r="A1921" s="246"/>
      <c r="B1921" s="1047"/>
      <c r="C1921" s="1047"/>
      <c r="D1921" s="1047"/>
      <c r="E1921" s="1047"/>
      <c r="F1921" s="246"/>
      <c r="AD1921" s="632" t="str">
        <f>IF($C$1894=$AG$1891,AG1923,IF($C$1894=$AG$1892,AG1924,IF($C$1894=$AG$1893,AG1925,IF($C$1894=$AG$1894,AG1926,IF($C$1894=$AG$1895,AG1927,AH1922)))))</f>
        <v>4. AFTER SENDING, SELECT ANOTHER RECIPIENT AND RESET THE SUBJECT LINE</v>
      </c>
      <c r="BM1921" s="4" t="s">
        <v>4098</v>
      </c>
      <c r="CF1921" s="4" t="s">
        <v>4129</v>
      </c>
    </row>
    <row r="1922" spans="1:85" s="4" customFormat="1" x14ac:dyDescent="0.3">
      <c r="A1922" s="246"/>
      <c r="B1922" s="1047"/>
      <c r="C1922" s="1047"/>
      <c r="D1922" s="1047"/>
      <c r="E1922" s="1047"/>
      <c r="F1922" s="246"/>
      <c r="AD1922" s="627"/>
      <c r="AG1922" s="508" t="str">
        <f>IF($C$1894="",AH1922,AT1922)</f>
        <v>4. AFTER SENDING, SELECT ANOTHER RECIPIENT AND RESET THE SUBJECT LINE</v>
      </c>
      <c r="AH1922" s="4" t="s">
        <v>3605</v>
      </c>
      <c r="AT1922" s="82" t="str">
        <f>IF($C$1894=AG$1891,AV1922,IF($C$1894=AG$1892,AW1922,IF($C$1894=AG$1893,AX1922,IF($C$1894=AG$1894,AY1922,IF($C$1894=AG$1895,AZ1922,IF($C$1894=AG$1896,BA1922,IF($C$1894=AG$1897,BB1922,IF($C$1894=AG$1898,BC1922,IF($C$1894=AG$1899,BD1922,"")))))))))</f>
        <v/>
      </c>
      <c r="AV1922" s="4">
        <v>1</v>
      </c>
      <c r="AW1922" s="4">
        <v>2</v>
      </c>
      <c r="AX1922" s="4">
        <v>3</v>
      </c>
      <c r="AY1922" s="4">
        <v>4</v>
      </c>
      <c r="AZ1922" s="4">
        <v>5</v>
      </c>
      <c r="BA1922" s="4">
        <v>6</v>
      </c>
      <c r="BB1922" s="4">
        <v>7</v>
      </c>
      <c r="BC1922" s="4">
        <v>8</v>
      </c>
      <c r="BD1922" s="4">
        <v>9</v>
      </c>
      <c r="BE1922" s="4">
        <v>10</v>
      </c>
      <c r="BG1922" s="534"/>
      <c r="BM1922" s="4" t="s">
        <v>4095</v>
      </c>
    </row>
    <row r="1923" spans="1:85" s="4" customFormat="1" x14ac:dyDescent="0.3">
      <c r="A1923" s="246"/>
      <c r="B1923" s="1047"/>
      <c r="C1923" s="1047"/>
      <c r="D1923" s="1047"/>
      <c r="E1923" s="1047"/>
      <c r="F1923" s="246"/>
      <c r="AD1923" s="627" t="s">
        <v>62</v>
      </c>
      <c r="AG1923" s="628" t="str">
        <f>CONCATENATE(AI1923,AJ1923,AK1923,AL1923,AM1923,AN1923,AO1923,AP1923,AQ1923,AR1923,AS1923,AT1923,AU1923,AV1923,AW1923,AX1923,AY1923,AZ1923,BA1923,BB1923,BC1923)</f>
        <v>With pioneering support from Value Relating, we're building support to convice the authorities to review Claimant's compelling case. With your support, my friend, we can compel the district attorney to see how innocent claimant actually is. The more who join our campaign, the greater the chance for Claimant's exoneration. You can help write the narrative of claimant's upcoming liberation. Join as a follower, for free, and see this story of discovered innocence unfold. Join as a supporter, to invest as little as $10 to start and $2.95 each week. Start with a 14-day trial to help create this unfolding narrative of discovered innocence. Click the link now to help us right this wrong, while the opportunity still exists. Thank you.</v>
      </c>
      <c r="AI1923" s="4" t="s">
        <v>4139</v>
      </c>
      <c r="AJ1923" s="4" t="str">
        <f>AN202</f>
        <v>Claimant</v>
      </c>
      <c r="AK1923" s="503" t="s">
        <v>4135</v>
      </c>
      <c r="AL1923" s="503" t="str">
        <f>AL1916</f>
        <v>my friend</v>
      </c>
      <c r="AM1923" s="4" t="s">
        <v>4138</v>
      </c>
      <c r="AN1923" s="82" t="str">
        <f>IF(AND(B265="",C265=""),"the district attorney",BZ3210)</f>
        <v>the district attorney</v>
      </c>
      <c r="AO1923" s="4" t="s">
        <v>4137</v>
      </c>
      <c r="AP1923" s="503" t="str">
        <f>BH206</f>
        <v>claimant</v>
      </c>
      <c r="AQ1923" s="4" t="s">
        <v>4122</v>
      </c>
      <c r="AR1923" s="4" t="s">
        <v>4132</v>
      </c>
      <c r="AS1923" s="4" t="str">
        <f>AN202</f>
        <v>Claimant</v>
      </c>
      <c r="AT1923" s="503" t="s">
        <v>4133</v>
      </c>
      <c r="AU1923" s="4" t="str">
        <f>BJ206</f>
        <v>claimant's</v>
      </c>
      <c r="AV1923" s="4" t="s">
        <v>4134</v>
      </c>
      <c r="AW1923" s="4" t="s">
        <v>4136</v>
      </c>
      <c r="AX1923" s="4" t="s">
        <v>4501</v>
      </c>
      <c r="AZ1923" s="4" t="s">
        <v>4129</v>
      </c>
      <c r="BD1923" s="388"/>
    </row>
    <row r="1924" spans="1:85" s="4" customFormat="1" x14ac:dyDescent="0.3">
      <c r="A1924" s="246"/>
      <c r="B1924" s="1047"/>
      <c r="C1924" s="1047"/>
      <c r="D1924" s="1047"/>
      <c r="E1924" s="1047"/>
      <c r="F1924" s="246"/>
      <c r="AD1924" s="627" t="s">
        <v>64</v>
      </c>
      <c r="AG1924" s="628" t="str">
        <f>AG1917</f>
        <v>NOT YET AVAILABLE</v>
      </c>
      <c r="BB1924" s="388"/>
      <c r="CG1924" s="4" t="s">
        <v>4117</v>
      </c>
    </row>
    <row r="1925" spans="1:85" s="4" customFormat="1" x14ac:dyDescent="0.3">
      <c r="A1925" s="246"/>
      <c r="B1925" s="1047"/>
      <c r="C1925" s="1047"/>
      <c r="D1925" s="1047"/>
      <c r="E1925" s="1047"/>
      <c r="F1925" s="246"/>
      <c r="AD1925" s="627" t="s">
        <v>4055</v>
      </c>
      <c r="AG1925" s="628" t="str">
        <f>AG1918</f>
        <v>WORKING ON IT</v>
      </c>
      <c r="BB1925" s="388"/>
    </row>
    <row r="1926" spans="1:85" s="4" customFormat="1" x14ac:dyDescent="0.3">
      <c r="A1926" s="246"/>
      <c r="B1926" s="1047"/>
      <c r="C1926" s="1047"/>
      <c r="D1926" s="1047"/>
      <c r="E1926" s="1047"/>
      <c r="F1926" s="246"/>
      <c r="AD1926" s="627" t="s">
        <v>3288</v>
      </c>
      <c r="AF1926" s="503" t="str">
        <f>IF($D$1768=$AQ$1768,AG1926,AH1926)</f>
        <v>REQUIRES PASSKEY</v>
      </c>
      <c r="AG1926" s="628" t="str">
        <f>CONCATENATE(AI1926,AJ1926,AK1926,AL1926,AM1926,AN1926,AO1926,AP1926,AQ1926,AR1926,AS1926,AT1926,AU1926,AV1926,AX1926,AY1926,AZ1926,BA1926,BB1926,BC1926)</f>
        <v xml:space="preserve">Together, we are challenging the divisiveness of adversarial justice. We know first hand its devestating limits. </v>
      </c>
      <c r="AH1926" s="659" t="s">
        <v>4362</v>
      </c>
      <c r="AQ1926" s="4" t="s">
        <v>5326</v>
      </c>
      <c r="BB1926" s="388"/>
    </row>
    <row r="1927" spans="1:85" s="4" customFormat="1" x14ac:dyDescent="0.3">
      <c r="A1927" s="246"/>
      <c r="B1927" s="1047"/>
      <c r="C1927" s="1047"/>
      <c r="D1927" s="1047"/>
      <c r="E1927" s="1047"/>
      <c r="F1927" s="246"/>
      <c r="AD1927" s="627" t="s">
        <v>4056</v>
      </c>
      <c r="AF1927" s="503" t="str">
        <f>IF($D$1768=$AQ$1768,AG1927,AH1927)</f>
        <v>REQUIRES PASSKEY</v>
      </c>
      <c r="AG1927" s="628" t="str">
        <f>CONCATENATE(AI1927,AJ1927,AK1927,AL1927,AM1927,AN1927,AO1927,AP1927,AQ1927,AR1927,AS1927,AT1927,AU1927,AV1927,AX1927,AY1927,AZ1927,BA1927,BB1927,BC1927)</f>
        <v/>
      </c>
      <c r="AH1927" s="659" t="s">
        <v>4362</v>
      </c>
      <c r="BB1927" s="388"/>
    </row>
    <row r="1928" spans="1:85" s="4" customFormat="1" x14ac:dyDescent="0.3">
      <c r="A1928" s="246"/>
      <c r="B1928" s="1047"/>
      <c r="C1928" s="1047"/>
      <c r="D1928" s="1047"/>
      <c r="E1928" s="1047"/>
      <c r="F1928" s="246"/>
    </row>
    <row r="1929" spans="1:85" s="4" customFormat="1" x14ac:dyDescent="0.3">
      <c r="A1929" s="246"/>
      <c r="B1929" s="1047"/>
      <c r="C1929" s="1047"/>
      <c r="D1929" s="1047"/>
      <c r="E1929" s="1047"/>
      <c r="F1929" s="246"/>
      <c r="AD1929" s="627"/>
    </row>
    <row r="1930" spans="1:85" s="4" customFormat="1" ht="14.5" x14ac:dyDescent="0.35">
      <c r="A1930" s="246"/>
      <c r="B1930" s="1103" t="str">
        <f>BG1889</f>
        <v/>
      </c>
      <c r="C1930" s="1103"/>
      <c r="D1930" s="1103"/>
      <c r="E1930" s="1103"/>
      <c r="F1930" s="246"/>
      <c r="AD1930" s="627"/>
      <c r="AH1930" s="633" t="s">
        <v>3604</v>
      </c>
    </row>
    <row r="1931" spans="1:85" s="4" customFormat="1" ht="14.5" thickBot="1" x14ac:dyDescent="0.35">
      <c r="A1931" s="246"/>
      <c r="B1931" s="246"/>
      <c r="C1931" s="246"/>
      <c r="D1931" s="246"/>
      <c r="E1931" s="246"/>
      <c r="F1931" s="246"/>
      <c r="BB1931" s="388"/>
    </row>
    <row r="1932" spans="1:85" s="4" customFormat="1" x14ac:dyDescent="0.3">
      <c r="A1932" s="518"/>
      <c r="B1932" s="519"/>
      <c r="C1932" s="519"/>
      <c r="D1932" s="519"/>
      <c r="E1932" s="519"/>
      <c r="F1932" s="520"/>
      <c r="BB1932" s="388"/>
    </row>
    <row r="1933" spans="1:85" s="4" customFormat="1" x14ac:dyDescent="0.3">
      <c r="A1933" s="521"/>
      <c r="B1933" s="661" t="s">
        <v>3567</v>
      </c>
      <c r="C1933" s="660"/>
      <c r="D1933" s="662"/>
      <c r="E1933" s="522"/>
      <c r="F1933" s="523"/>
      <c r="BB1933" s="388"/>
    </row>
    <row r="1934" spans="1:85" s="4" customFormat="1" ht="14.5" thickBot="1" x14ac:dyDescent="0.35">
      <c r="A1934" s="524"/>
      <c r="B1934" s="525"/>
      <c r="C1934" s="525"/>
      <c r="D1934" s="525"/>
      <c r="E1934" s="525"/>
      <c r="F1934" s="526"/>
      <c r="BB1934" s="388"/>
    </row>
    <row r="1935" spans="1:85" s="4" customFormat="1" ht="30" customHeight="1" x14ac:dyDescent="0.3">
      <c r="A1935" s="862" t="s">
        <v>86</v>
      </c>
      <c r="B1935" s="862" t="s">
        <v>3571</v>
      </c>
      <c r="C1935" s="862"/>
      <c r="D1935" s="1175" t="s">
        <v>3512</v>
      </c>
      <c r="E1935" s="864"/>
      <c r="F1935" s="864"/>
      <c r="BB1935" s="388" t="str">
        <f>AG1950</f>
        <v xml:space="preserve">My name is 0 and I am trying to help my friend Claimant to </v>
      </c>
    </row>
    <row r="1936" spans="1:85" s="4" customFormat="1" x14ac:dyDescent="0.3">
      <c r="A1936" s="246"/>
      <c r="B1936" s="246"/>
      <c r="C1936" s="246"/>
      <c r="D1936" s="246"/>
      <c r="E1936" s="246"/>
      <c r="F1936" s="246"/>
      <c r="AA1936" s="508" t="str">
        <f>CONCATENATE(AB1936,AC1936)</f>
        <v>CC: Claimant</v>
      </c>
      <c r="AB1936" s="4" t="s">
        <v>4167</v>
      </c>
      <c r="AC1936" s="4" t="str">
        <f>AN202</f>
        <v>Claimant</v>
      </c>
      <c r="AS1936" s="4" t="s">
        <v>4166</v>
      </c>
      <c r="BB1936" s="388"/>
      <c r="BF1936" s="389"/>
      <c r="BG1936" s="4" t="s">
        <v>62</v>
      </c>
      <c r="BI1936" s="4" t="s">
        <v>64</v>
      </c>
      <c r="BK1936" s="4" t="s">
        <v>4055</v>
      </c>
      <c r="BO1936" s="628" t="str">
        <f>IF(C1938=AP1937,BU1937,IF(C1938=AP1938,BU1938,IF(C1938=AP1939,BU1939,IF(C1938=AP1940,BU1940,IF(C1938=AP1941,BU1941,IF(C1938=AP1942,BU1942,""))))))</f>
        <v/>
      </c>
    </row>
    <row r="1937" spans="1:73" s="4" customFormat="1" ht="14.5" thickBot="1" x14ac:dyDescent="0.35">
      <c r="A1937" s="246"/>
      <c r="B1937" s="246"/>
      <c r="C1937" s="246"/>
      <c r="D1937" s="246"/>
      <c r="E1937" s="246"/>
      <c r="F1937" s="246"/>
      <c r="AA1937" s="508" t="str">
        <f>CONCATENATE(AB1937,AC1937)</f>
        <v>CC: Proxy</v>
      </c>
      <c r="AB1937" s="4" t="s">
        <v>4167</v>
      </c>
      <c r="AC1937" s="4" t="str">
        <f>AN212</f>
        <v>Proxy</v>
      </c>
      <c r="AD1937" s="508" t="str">
        <f t="shared" ref="AD1937:AD1942" si="73">CONCATENATE(AG1937,AH1937,AI1937,AJ1937,AL1937)</f>
        <v>I support 100% Claimant's compelling claim of innocence</v>
      </c>
      <c r="AG1937" s="4" t="s">
        <v>3585</v>
      </c>
      <c r="AH1937" s="4" t="str">
        <f>IF(C202="","this claimant",BG202)</f>
        <v>Claimant</v>
      </c>
      <c r="AI1937" s="503" t="s">
        <v>3587</v>
      </c>
      <c r="AJ1937" s="4" t="str">
        <f>IF(AX$51=0,"compelling claim",AX$51)</f>
        <v>compelling claim</v>
      </c>
      <c r="AL1937" s="4" t="s">
        <v>4153</v>
      </c>
      <c r="AP1937" s="4" t="s">
        <v>4154</v>
      </c>
      <c r="AR1937" s="503" t="s">
        <v>885</v>
      </c>
      <c r="AS1937" s="4" t="s">
        <v>4159</v>
      </c>
      <c r="AU1937" s="4" t="s">
        <v>4232</v>
      </c>
      <c r="AW1937" s="4" t="s">
        <v>3572</v>
      </c>
      <c r="BB1937" s="388"/>
      <c r="BF1937" s="389">
        <v>1</v>
      </c>
      <c r="BG1937" s="4" t="str">
        <f t="shared" ref="BG1937:BG1944" si="74">IF(OR($C913=$AG913,$C913=""),CONCATENATE("Highlight ",BF1937),$C913)</f>
        <v>Highlight 1</v>
      </c>
      <c r="BI1937" s="4" t="str">
        <f t="shared" ref="BI1937:BI1943" si="75">IF(OR($C913=$AG913,$C913=""),CONCATENATE("Highlight ",BF1938),$C913)</f>
        <v>Highlight 2</v>
      </c>
      <c r="BK1937" s="4" t="str">
        <f t="shared" ref="BK1937:BK1942" si="76">IF(OR($C913=$AG913,$C913=""),CONCATENATE("Highlight ",BF1939),$C913)</f>
        <v>Highlight 3</v>
      </c>
      <c r="BO1937" s="4" t="s">
        <v>4230</v>
      </c>
      <c r="BP1937" s="4" t="str">
        <f>AH1937</f>
        <v>Claimant</v>
      </c>
      <c r="BQ1937" s="503" t="s">
        <v>3587</v>
      </c>
      <c r="BR1937" s="4" t="str">
        <f>IF(BS1937&gt;75,CONCATENATE(BS1937,BT1937),"compelling innocence claim")</f>
        <v>compelling innocence claim</v>
      </c>
      <c r="BS1937" s="629">
        <f>AI1984</f>
        <v>0</v>
      </c>
      <c r="BT1937" s="503" t="s">
        <v>4493</v>
      </c>
      <c r="BU1937" s="508" t="str">
        <f>CONCATENATE(BO1937,BP1937,BQ1937,BR1937)</f>
        <v>I 100% support Claimant's compelling innocence claim</v>
      </c>
    </row>
    <row r="1938" spans="1:73" s="4" customFormat="1" ht="14.5" thickBot="1" x14ac:dyDescent="0.35">
      <c r="A1938" s="246"/>
      <c r="B1938" s="477" t="s">
        <v>1408</v>
      </c>
      <c r="C1938" s="637"/>
      <c r="D1938" s="638"/>
      <c r="E1938" s="479"/>
      <c r="F1938" s="246"/>
      <c r="AA1938" s="508" t="str">
        <f>CONCATENATE(AB1938,AC1938)</f>
        <v>CC: Claimant &amp; Proxy</v>
      </c>
      <c r="AB1938" s="4" t="s">
        <v>4167</v>
      </c>
      <c r="AC1938" s="4" t="str">
        <f>CONCATENATE(AN202," &amp; ",AN212)</f>
        <v>Claimant &amp; Proxy</v>
      </c>
      <c r="AD1938" s="508" t="str">
        <f t="shared" si="73"/>
        <v>I am investing 100% in Claimant's compelling claim of innocence</v>
      </c>
      <c r="AG1938" s="4" t="s">
        <v>3586</v>
      </c>
      <c r="AH1938" s="4" t="str">
        <f t="shared" ref="AH1938:AJ1941" si="77">AH1937</f>
        <v>Claimant</v>
      </c>
      <c r="AI1938" s="4" t="str">
        <f t="shared" si="77"/>
        <v xml:space="preserve">'s </v>
      </c>
      <c r="AJ1938" s="4" t="str">
        <f>AJ1937</f>
        <v>compelling claim</v>
      </c>
      <c r="AL1938" s="4" t="s">
        <v>4153</v>
      </c>
      <c r="AP1938" s="4" t="s">
        <v>4155</v>
      </c>
      <c r="AR1938" s="503" t="s">
        <v>885</v>
      </c>
      <c r="AS1938" s="4" t="s">
        <v>4164</v>
      </c>
      <c r="AU1938" s="4" t="s">
        <v>3509</v>
      </c>
      <c r="AW1938" s="4" t="s">
        <v>3573</v>
      </c>
      <c r="BB1938" s="388"/>
      <c r="BF1938" s="389">
        <v>2</v>
      </c>
      <c r="BG1938" s="4" t="str">
        <f t="shared" si="74"/>
        <v>Highlight 2</v>
      </c>
      <c r="BI1938" s="4" t="str">
        <f t="shared" si="75"/>
        <v>Highlight 3</v>
      </c>
      <c r="BK1938" s="4" t="str">
        <f t="shared" si="76"/>
        <v>Highlight 4</v>
      </c>
      <c r="BO1938" s="4" t="s">
        <v>4231</v>
      </c>
      <c r="BU1938" s="508" t="str">
        <f>CONCATENATE(BO1938,BP1938,BQ1938)</f>
        <v>NOT YET READY</v>
      </c>
    </row>
    <row r="1939" spans="1:73" s="4" customFormat="1" ht="14.5" thickBot="1" x14ac:dyDescent="0.35">
      <c r="A1939" s="246"/>
      <c r="B1939" s="477" t="s">
        <v>1409</v>
      </c>
      <c r="C1939" s="532"/>
      <c r="D1939" s="639" t="str">
        <f>IF(C1938=AP1942,AS1936,"")</f>
        <v/>
      </c>
      <c r="E1939" s="479"/>
      <c r="F1939" s="246"/>
      <c r="AD1939" s="508" t="str">
        <f t="shared" si="73"/>
        <v>I am sponsoring 100% Claimant's compelling claim of innocence</v>
      </c>
      <c r="AG1939" s="4" t="s">
        <v>3588</v>
      </c>
      <c r="AH1939" s="4" t="str">
        <f t="shared" si="77"/>
        <v>Claimant</v>
      </c>
      <c r="AI1939" s="4" t="str">
        <f t="shared" si="77"/>
        <v xml:space="preserve">'s </v>
      </c>
      <c r="AJ1939" s="4" t="str">
        <f t="shared" si="77"/>
        <v>compelling claim</v>
      </c>
      <c r="AL1939" s="4" t="s">
        <v>4153</v>
      </c>
      <c r="AP1939" s="4" t="s">
        <v>4156</v>
      </c>
      <c r="AR1939" s="503" t="s">
        <v>885</v>
      </c>
      <c r="AS1939" s="4" t="s">
        <v>4161</v>
      </c>
      <c r="AU1939" s="4" t="s">
        <v>4233</v>
      </c>
      <c r="AW1939" s="4" t="s">
        <v>3575</v>
      </c>
      <c r="BB1939" s="388"/>
      <c r="BF1939" s="389">
        <v>3</v>
      </c>
      <c r="BG1939" s="4" t="str">
        <f t="shared" si="74"/>
        <v>Highlight 3</v>
      </c>
      <c r="BI1939" s="4" t="str">
        <f t="shared" si="75"/>
        <v>Highlight 4</v>
      </c>
      <c r="BK1939" s="4" t="str">
        <f t="shared" si="76"/>
        <v>Highlight 5</v>
      </c>
      <c r="BO1939" s="4" t="s">
        <v>4231</v>
      </c>
      <c r="BU1939" s="508" t="str">
        <f>CONCATENATE(BO1939,BP1939,BQ1939)</f>
        <v>NOT YET READY</v>
      </c>
    </row>
    <row r="1940" spans="1:73" s="4" customFormat="1" ht="14.5" thickBot="1" x14ac:dyDescent="0.35">
      <c r="A1940" s="246"/>
      <c r="B1940" s="477" t="s">
        <v>1410</v>
      </c>
      <c r="C1940" s="533">
        <f ca="1">TODAY()</f>
        <v>45774</v>
      </c>
      <c r="D1940" s="479"/>
      <c r="E1940" s="479"/>
      <c r="F1940" s="246"/>
      <c r="AD1940" s="508" t="str">
        <f t="shared" si="73"/>
        <v>Join me in following Claimant's compelling claim of innocence</v>
      </c>
      <c r="AG1940" s="4" t="s">
        <v>3589</v>
      </c>
      <c r="AH1940" s="4" t="str">
        <f t="shared" si="77"/>
        <v>Claimant</v>
      </c>
      <c r="AI1940" s="4" t="str">
        <f t="shared" si="77"/>
        <v xml:space="preserve">'s </v>
      </c>
      <c r="AJ1940" s="4" t="str">
        <f t="shared" si="77"/>
        <v>compelling claim</v>
      </c>
      <c r="AL1940" s="4" t="s">
        <v>4153</v>
      </c>
      <c r="AP1940" s="4" t="s">
        <v>4157</v>
      </c>
      <c r="AR1940" s="503" t="s">
        <v>885</v>
      </c>
      <c r="AS1940" s="4" t="s">
        <v>4162</v>
      </c>
      <c r="AU1940" s="4" t="s">
        <v>4234</v>
      </c>
      <c r="AW1940" s="4" t="s">
        <v>3574</v>
      </c>
      <c r="BB1940" s="388"/>
      <c r="BF1940" s="389">
        <v>4</v>
      </c>
      <c r="BG1940" s="4" t="str">
        <f t="shared" si="74"/>
        <v>Highlight 4</v>
      </c>
      <c r="BI1940" s="4" t="str">
        <f t="shared" si="75"/>
        <v>Highlight 5</v>
      </c>
      <c r="BK1940" s="4" t="str">
        <f t="shared" si="76"/>
        <v>Highlight 6</v>
      </c>
      <c r="BO1940" s="4" t="s">
        <v>4231</v>
      </c>
      <c r="BU1940" s="508" t="str">
        <f>CONCATENATE(BO1940,BP1940,BQ1940)</f>
        <v>NOT YET READY</v>
      </c>
    </row>
    <row r="1941" spans="1:73" s="4" customFormat="1" ht="14.5" thickBot="1" x14ac:dyDescent="0.35">
      <c r="A1941" s="246"/>
      <c r="B1941" s="477" t="s">
        <v>1411</v>
      </c>
      <c r="C1941" s="1100" t="str">
        <f>BO1936</f>
        <v/>
      </c>
      <c r="D1941" s="1101"/>
      <c r="E1941" s="1102"/>
      <c r="F1941" s="246"/>
      <c r="AD1941" s="508" t="str">
        <f t="shared" si="73"/>
        <v>Join me in supporting Claimant's compelling claim of innocence</v>
      </c>
      <c r="AG1941" s="4" t="s">
        <v>3591</v>
      </c>
      <c r="AH1941" s="4" t="str">
        <f t="shared" si="77"/>
        <v>Claimant</v>
      </c>
      <c r="AI1941" s="4" t="str">
        <f t="shared" si="77"/>
        <v xml:space="preserve">'s </v>
      </c>
      <c r="AJ1941" s="4" t="str">
        <f t="shared" si="77"/>
        <v>compelling claim</v>
      </c>
      <c r="AL1941" s="4" t="s">
        <v>4153</v>
      </c>
      <c r="AP1941" s="4" t="s">
        <v>4158</v>
      </c>
      <c r="AR1941" s="503" t="s">
        <v>885</v>
      </c>
      <c r="AS1941" s="4" t="s">
        <v>4160</v>
      </c>
      <c r="AU1941" s="4" t="s">
        <v>4235</v>
      </c>
      <c r="AW1941" s="4" t="s">
        <v>3576</v>
      </c>
      <c r="BB1941" s="388"/>
      <c r="BF1941" s="389">
        <v>5</v>
      </c>
      <c r="BG1941" s="4" t="str">
        <f t="shared" si="74"/>
        <v>Highlight 5</v>
      </c>
      <c r="BI1941" s="4" t="str">
        <f t="shared" si="75"/>
        <v>Highlight 6</v>
      </c>
      <c r="BK1941" s="4" t="str">
        <f t="shared" si="76"/>
        <v>Highlight 7</v>
      </c>
      <c r="BO1941" s="4" t="s">
        <v>4231</v>
      </c>
      <c r="BU1941" s="508" t="str">
        <f>CONCATENATE(BO1941,BP1941,BQ1941)</f>
        <v>NOT YET READY</v>
      </c>
    </row>
    <row r="1942" spans="1:73" s="4" customFormat="1" x14ac:dyDescent="0.3">
      <c r="A1942" s="246"/>
      <c r="B1942" s="246"/>
      <c r="C1942" s="246"/>
      <c r="D1942" s="246"/>
      <c r="E1942" s="246"/>
      <c r="F1942" s="246"/>
      <c r="AC1942" s="389"/>
      <c r="AD1942" s="508" t="str">
        <f t="shared" si="73"/>
        <v>Join me in sponsoring Claimant's compelling claim of innocence</v>
      </c>
      <c r="AG1942" s="4" t="s">
        <v>3590</v>
      </c>
      <c r="AH1942" s="4" t="str">
        <f>AH1940</f>
        <v>Claimant</v>
      </c>
      <c r="AI1942" s="4" t="str">
        <f>AI1940</f>
        <v xml:space="preserve">'s </v>
      </c>
      <c r="AJ1942" s="4" t="str">
        <f>AJ1941</f>
        <v>compelling claim</v>
      </c>
      <c r="AL1942" s="4" t="s">
        <v>4153</v>
      </c>
      <c r="AP1942" s="4" t="str">
        <f>IF(AND(B265="",C265=""),"district attorney",BZ3212)</f>
        <v>district attorney</v>
      </c>
      <c r="AR1942" s="503" t="s">
        <v>885</v>
      </c>
      <c r="AS1942" s="4" t="s">
        <v>4163</v>
      </c>
      <c r="AU1942" s="4" t="s">
        <v>4236</v>
      </c>
      <c r="BB1942" s="388"/>
      <c r="BF1942" s="389">
        <v>6</v>
      </c>
      <c r="BG1942" s="4" t="str">
        <f t="shared" si="74"/>
        <v>Highlight 6</v>
      </c>
      <c r="BI1942" s="4" t="str">
        <f t="shared" si="75"/>
        <v>Highlight 7</v>
      </c>
      <c r="BK1942" s="4" t="str">
        <f t="shared" si="76"/>
        <v>Highlight 8</v>
      </c>
      <c r="BO1942" s="4" t="s">
        <v>4231</v>
      </c>
      <c r="BQ1942" s="4" t="str">
        <f>IF(D1939=AS1937,AU1937,IF(D1939=AS1938,AU1938,IF(D1939=AS1939,AU1939,IF(D1939=AS1940,AU1940,IF(D1939=AS1941,AU1941,IF(D1939=AS1942,AU1942,IF(D1939=AS1936,AU1937,AU1937)))))))</f>
        <v>c</v>
      </c>
      <c r="BU1942" s="508" t="str">
        <f>CONCATENATE(BO1942,BP1942,BQ1942)</f>
        <v>NOT YET READYc</v>
      </c>
    </row>
    <row r="1943" spans="1:73" s="4" customFormat="1" x14ac:dyDescent="0.3">
      <c r="A1943" s="246"/>
      <c r="B1943" s="1047" t="str">
        <f>IF(OR(C1938="",C1939=""),AH1944,AD1943)</f>
        <v>1. SELECT WHO THIS MESSAGE WILL BE SENT TO, AND SELECT WHO GETS A COPY</v>
      </c>
      <c r="C1943" s="1047"/>
      <c r="D1943" s="1047"/>
      <c r="E1943" s="1047"/>
      <c r="F1943" s="246"/>
      <c r="AC1943" s="389"/>
      <c r="AD1943" s="632" t="str">
        <f>IF($C$1938=$AP$1937,AG1945,IF($C$1938=$AP$1938,AG1946,IF($C$1938=$AP$1939,AG1947,IF($C$1938=$AP$1940,AG1948,IF($C$1938=$AP$1941,AG1949,IF($C$1938=$AP$1942,AG1950,AH1944))))))</f>
        <v>1. SELECT WHO THIS MESSAGE WILL BE SENT TO, AND SELECT WHO GETS A COPY</v>
      </c>
      <c r="BB1943" s="388"/>
      <c r="BF1943" s="389">
        <v>7</v>
      </c>
      <c r="BG1943" s="4" t="str">
        <f t="shared" si="74"/>
        <v>Highlight 7</v>
      </c>
      <c r="BI1943" s="4" t="str">
        <f t="shared" si="75"/>
        <v>Highlight 8</v>
      </c>
      <c r="BK1943" s="4" t="str">
        <f>IF(OR($C919=$AG919,$C919=""),CONCATENATE("Highlight ",BF1937),$C919)</f>
        <v>Highlight 1</v>
      </c>
    </row>
    <row r="1944" spans="1:73" s="4" customFormat="1" x14ac:dyDescent="0.3">
      <c r="A1944" s="246"/>
      <c r="B1944" s="1047"/>
      <c r="C1944" s="1047"/>
      <c r="D1944" s="1047"/>
      <c r="E1944" s="1047"/>
      <c r="F1944" s="246"/>
      <c r="AC1944" s="389"/>
      <c r="AG1944" s="508" t="str">
        <f>IF($C$1894="",AH1944,AT1944)</f>
        <v>1. SELECT WHO THIS MESSAGE WILL BE SENT TO, AND SELECT WHO GETS A COPY</v>
      </c>
      <c r="AH1944" s="4" t="s">
        <v>4210</v>
      </c>
      <c r="BB1944" s="388"/>
      <c r="BF1944" s="389">
        <v>8</v>
      </c>
      <c r="BG1944" s="4" t="str">
        <f t="shared" si="74"/>
        <v>Highlight 8</v>
      </c>
      <c r="BI1944" s="4" t="str">
        <f>IF(OR($C920=$AG920,$C920=""),CONCATENATE("Highlight ",BF1937),$C920)</f>
        <v>Highlight 1</v>
      </c>
      <c r="BK1944" s="4" t="str">
        <f>IF(OR($C920=$AG920,$C920=""),CONCATENATE("Highlight ",BF1938),$C920)</f>
        <v>Highlight 2</v>
      </c>
    </row>
    <row r="1945" spans="1:73" s="4" customFormat="1" x14ac:dyDescent="0.3">
      <c r="A1945" s="246"/>
      <c r="B1945" s="1047"/>
      <c r="C1945" s="1047"/>
      <c r="D1945" s="1047"/>
      <c r="E1945" s="1047"/>
      <c r="F1945" s="246"/>
      <c r="AC1945" s="389"/>
      <c r="AD1945" s="627" t="s">
        <v>62</v>
      </c>
      <c r="AG1945" s="628" t="str">
        <f t="shared" ref="AG1945:AG1950" si="78">CONCATENATE(AI1945,AJ1945,AK1945,AL1945,AM1945,AN1945,AO1945,AP1945,AQ1945,AR1945,AS1945,AT1945,AU1945,AV1945,AX1945,AY1945,AZ1945,BA1945,BB1945,BC1945)</f>
        <v xml:space="preserve">My friend Claimant and I could be enjoying time together right now. Instead, claimant is currently serving time for a crime claimant didn't do. Now claimant has a unique tool to demonstrate the level of claimant's actual innocence. Compared to those already exonerated, this tool estimates that Claimant has a 0% likelihood of being actually innocent. </v>
      </c>
      <c r="AH1945" s="503" t="s">
        <v>885</v>
      </c>
      <c r="AI1945" s="4" t="s">
        <v>4220</v>
      </c>
      <c r="AJ1945" s="4" t="str">
        <f>BG202</f>
        <v>Claimant</v>
      </c>
      <c r="AK1945" s="4" t="s">
        <v>4224</v>
      </c>
      <c r="AL1945" s="4" t="str">
        <f>BH206</f>
        <v>claimant</v>
      </c>
      <c r="AM1945" s="4" t="str">
        <f>AV311</f>
        <v xml:space="preserve"> is currently serving time for a crime claimant didn't do. </v>
      </c>
      <c r="AN1945" s="4" t="s">
        <v>4222</v>
      </c>
      <c r="AO1945" s="4" t="str">
        <f>BH206</f>
        <v>claimant</v>
      </c>
      <c r="AP1945" s="4" t="s">
        <v>4223</v>
      </c>
      <c r="AQ1945" s="4" t="str">
        <f>BJ206</f>
        <v>claimant's</v>
      </c>
      <c r="AR1945" s="4" t="s">
        <v>4225</v>
      </c>
      <c r="AS1945" s="4" t="str">
        <f>AN202</f>
        <v>Claimant</v>
      </c>
      <c r="AT1945" s="4" t="s">
        <v>4226</v>
      </c>
      <c r="AU1945" s="629">
        <f>AI1984</f>
        <v>0</v>
      </c>
      <c r="AV1945" s="503" t="s">
        <v>4227</v>
      </c>
      <c r="BB1945" s="388"/>
    </row>
    <row r="1946" spans="1:73" s="4" customFormat="1" x14ac:dyDescent="0.3">
      <c r="A1946" s="246"/>
      <c r="B1946" s="1047"/>
      <c r="C1946" s="1047"/>
      <c r="D1946" s="1047"/>
      <c r="E1946" s="1047"/>
      <c r="F1946" s="246"/>
      <c r="AC1946" s="389"/>
      <c r="AD1946" s="627" t="s">
        <v>64</v>
      </c>
      <c r="AG1946" s="628" t="str">
        <f t="shared" si="78"/>
        <v xml:space="preserve">Claimant holds no bitterness toward the complainant </v>
      </c>
      <c r="AH1946" s="503" t="s">
        <v>885</v>
      </c>
      <c r="AI1946" s="4" t="str">
        <f>BG202</f>
        <v>Claimant</v>
      </c>
      <c r="AJ1946" s="4" t="s">
        <v>4219</v>
      </c>
      <c r="BB1946" s="388"/>
    </row>
    <row r="1947" spans="1:73" s="4" customFormat="1" x14ac:dyDescent="0.3">
      <c r="A1947" s="246"/>
      <c r="B1947" s="1047"/>
      <c r="C1947" s="1047"/>
      <c r="D1947" s="1047"/>
      <c r="E1947" s="1047"/>
      <c r="F1947" s="246"/>
      <c r="AC1947" s="389"/>
      <c r="AD1947" s="627" t="s">
        <v>4055</v>
      </c>
      <c r="AG1947" s="628" t="str">
        <f t="shared" si="78"/>
        <v>3rd</v>
      </c>
      <c r="AH1947" s="503" t="s">
        <v>885</v>
      </c>
      <c r="AI1947" s="4" t="s">
        <v>4211</v>
      </c>
      <c r="BB1947" s="388"/>
    </row>
    <row r="1948" spans="1:73" s="4" customFormat="1" x14ac:dyDescent="0.3">
      <c r="A1948" s="246"/>
      <c r="B1948" s="1047"/>
      <c r="C1948" s="1047"/>
      <c r="D1948" s="1047"/>
      <c r="E1948" s="1047"/>
      <c r="F1948" s="246"/>
      <c r="AD1948" s="627" t="s">
        <v>3288</v>
      </c>
      <c r="AG1948" s="628" t="str">
        <f t="shared" si="78"/>
        <v>4th</v>
      </c>
      <c r="AH1948" s="503" t="s">
        <v>885</v>
      </c>
      <c r="AI1948" s="4" t="s">
        <v>4212</v>
      </c>
      <c r="BB1948" s="388"/>
    </row>
    <row r="1949" spans="1:73" s="4" customFormat="1" x14ac:dyDescent="0.3">
      <c r="A1949" s="246"/>
      <c r="B1949" s="1047" t="str">
        <f>IF(OR(C1938="",C1939=""),AH1952,AD1951)</f>
        <v>2. SELECT SENDER FROM LIST OF CAMPAIGN SUPPORTORS</v>
      </c>
      <c r="C1949" s="1047"/>
      <c r="D1949" s="1047"/>
      <c r="E1949" s="1047"/>
      <c r="F1949" s="246"/>
      <c r="AD1949" s="627" t="s">
        <v>4056</v>
      </c>
      <c r="AG1949" s="628" t="str">
        <f t="shared" si="78"/>
        <v>5th</v>
      </c>
      <c r="AH1949" s="503" t="s">
        <v>885</v>
      </c>
      <c r="AI1949" s="4" t="s">
        <v>4213</v>
      </c>
      <c r="BB1949" s="388"/>
    </row>
    <row r="1950" spans="1:73" s="4" customFormat="1" x14ac:dyDescent="0.3">
      <c r="A1950" s="246"/>
      <c r="B1950" s="1047"/>
      <c r="C1950" s="1047"/>
      <c r="D1950" s="1047"/>
      <c r="E1950" s="1047"/>
      <c r="F1950" s="246"/>
      <c r="AD1950" s="627" t="s">
        <v>4057</v>
      </c>
      <c r="AG1950" s="628" t="str">
        <f t="shared" si="78"/>
        <v xml:space="preserve">My name is 0 and I am trying to help my friend Claimant to </v>
      </c>
      <c r="AI1950" s="4" t="s">
        <v>4251</v>
      </c>
      <c r="AJ1950" s="4">
        <f>C1939</f>
        <v>0</v>
      </c>
      <c r="AK1950" s="4" t="s">
        <v>4252</v>
      </c>
      <c r="AL1950" s="4" t="str">
        <f>BG202</f>
        <v>Claimant</v>
      </c>
      <c r="AM1950" s="4" t="s">
        <v>895</v>
      </c>
      <c r="AN1950" s="4" t="str">
        <f>AV2988</f>
        <v/>
      </c>
    </row>
    <row r="1951" spans="1:73" s="4" customFormat="1" x14ac:dyDescent="0.3">
      <c r="A1951" s="246"/>
      <c r="B1951" s="1047"/>
      <c r="C1951" s="1047"/>
      <c r="D1951" s="1047"/>
      <c r="E1951" s="1047"/>
      <c r="F1951" s="246"/>
      <c r="AD1951" s="632" t="str">
        <f>IF($C$1938=$AP$1937,AG1953,IF($C$1938=$AP$1938,AG1954,IF($C$1938=$AP$1939,AG1955,IF($C$1938=$AP$1940,AG1956,IF($C$1938=$AP$1941,AG1957,IF($C$1938=$AP$1942,AG1958,AH1952))))))</f>
        <v>2. SELECT SENDER FROM LIST OF CAMPAIGN SUPPORTORS</v>
      </c>
      <c r="BB1951" s="388"/>
    </row>
    <row r="1952" spans="1:73" s="4" customFormat="1" x14ac:dyDescent="0.3">
      <c r="A1952" s="246"/>
      <c r="B1952" s="1047"/>
      <c r="C1952" s="1047"/>
      <c r="D1952" s="1047"/>
      <c r="E1952" s="1047"/>
      <c r="F1952" s="246"/>
      <c r="AD1952" s="627"/>
      <c r="AG1952" s="508" t="str">
        <f>IF($C$1894="",AH1952,AT1952)</f>
        <v>2. SELECT SENDER FROM LIST OF CAMPAIGN SUPPORTORS</v>
      </c>
      <c r="AH1952" s="4" t="s">
        <v>4208</v>
      </c>
      <c r="BB1952" s="388"/>
    </row>
    <row r="1953" spans="1:66" s="4" customFormat="1" x14ac:dyDescent="0.3">
      <c r="A1953" s="246"/>
      <c r="B1953" s="644" t="s">
        <v>4168</v>
      </c>
      <c r="C1953" s="912" t="s">
        <v>526</v>
      </c>
      <c r="D1953" s="912"/>
      <c r="E1953" s="246"/>
      <c r="F1953" s="246"/>
      <c r="AD1953" s="627" t="s">
        <v>62</v>
      </c>
      <c r="AG1953" s="628" t="str">
        <f t="shared" ref="AG1953:AG1958" si="79">CONCATENATE(AI1953,AJ1953,AK1953,AL1953,AM1953,AN1953,AO1953,AP1953,AQ1953,AR1953,AS1953,AT1953,AU1953,AV1953,AX1953,AY1953,AZ1953,BA1953,BB1953,BC1953)</f>
        <v>I learned Claimant has yet to ask for help from an innocence project. And I learned there are far more wrongly convicted than innocence projects can process. I joined claimant's innocence campaign to help pick up the slack. This new tool highlights some of Claimant's compelling innocence.</v>
      </c>
      <c r="AI1953" s="4" t="s">
        <v>4228</v>
      </c>
      <c r="AJ1953" s="4" t="str">
        <f>BI337</f>
        <v xml:space="preserve">Claimant has yet to ask for help from an innocence project. </v>
      </c>
      <c r="AL1953" s="4" t="s">
        <v>4229</v>
      </c>
      <c r="AM1953" s="4" t="str">
        <f>BJ206</f>
        <v>claimant's</v>
      </c>
      <c r="AN1953" s="4" t="s">
        <v>4237</v>
      </c>
      <c r="AO1953" s="4" t="str">
        <f>AN202</f>
        <v>Claimant</v>
      </c>
      <c r="AP1953" s="503" t="s">
        <v>4238</v>
      </c>
      <c r="BB1953" s="388"/>
    </row>
    <row r="1954" spans="1:66" s="4" customFormat="1" x14ac:dyDescent="0.3">
      <c r="A1954" s="246"/>
      <c r="B1954" s="644" t="s">
        <v>4168</v>
      </c>
      <c r="C1954" s="912" t="s">
        <v>528</v>
      </c>
      <c r="D1954" s="912"/>
      <c r="E1954" s="246"/>
      <c r="F1954" s="246"/>
      <c r="AD1954" s="627" t="s">
        <v>64</v>
      </c>
      <c r="AG1954" s="628" t="str">
        <f t="shared" si="79"/>
        <v>Claimant</v>
      </c>
      <c r="AI1954" s="4" t="str">
        <f>AI1946</f>
        <v>Claimant</v>
      </c>
      <c r="BB1954" s="388"/>
    </row>
    <row r="1955" spans="1:66" s="4" customFormat="1" x14ac:dyDescent="0.3">
      <c r="A1955" s="246"/>
      <c r="B1955" s="644" t="s">
        <v>4168</v>
      </c>
      <c r="C1955" s="912" t="s">
        <v>530</v>
      </c>
      <c r="D1955" s="912"/>
      <c r="E1955" s="246"/>
      <c r="F1955" s="246"/>
      <c r="AD1955" s="627" t="s">
        <v>4055</v>
      </c>
      <c r="AG1955" s="628" t="str">
        <f t="shared" si="79"/>
        <v>3rd</v>
      </c>
      <c r="AI1955" s="4" t="str">
        <f>AI1947</f>
        <v>3rd</v>
      </c>
      <c r="BB1955" s="388"/>
    </row>
    <row r="1956" spans="1:66" s="4" customFormat="1" x14ac:dyDescent="0.3">
      <c r="A1956" s="246"/>
      <c r="B1956" s="246"/>
      <c r="C1956" s="246"/>
      <c r="D1956" s="246"/>
      <c r="E1956" s="246"/>
      <c r="F1956" s="246"/>
      <c r="AD1956" s="627" t="s">
        <v>3288</v>
      </c>
      <c r="AG1956" s="628" t="str">
        <f t="shared" si="79"/>
        <v>4th</v>
      </c>
      <c r="AI1956" s="4" t="str">
        <f>AI1948</f>
        <v>4th</v>
      </c>
      <c r="BB1956" s="388"/>
    </row>
    <row r="1957" spans="1:66" s="4" customFormat="1" ht="13.75" customHeight="1" x14ac:dyDescent="0.3">
      <c r="A1957" s="246"/>
      <c r="B1957" s="1047" t="str">
        <f>IF(OR(C1938="",C1939=""),AH1960,AD1959)</f>
        <v>3. IF TO THE DA, SELECT A TONE THAT REFLECTS WHERE YOU ARE IN THE CAMPAIGN</v>
      </c>
      <c r="C1957" s="1047"/>
      <c r="D1957" s="1047"/>
      <c r="E1957" s="1047"/>
      <c r="F1957" s="246"/>
      <c r="AC1957" s="389"/>
      <c r="AD1957" s="627" t="s">
        <v>4056</v>
      </c>
      <c r="AG1957" s="628" t="str">
        <f t="shared" si="79"/>
        <v>5th</v>
      </c>
      <c r="AI1957" s="4" t="str">
        <f>AI1949</f>
        <v>5th</v>
      </c>
      <c r="BB1957" s="388"/>
    </row>
    <row r="1958" spans="1:66" s="4" customFormat="1" x14ac:dyDescent="0.3">
      <c r="A1958" s="246"/>
      <c r="B1958" s="1047"/>
      <c r="C1958" s="1047"/>
      <c r="D1958" s="1047"/>
      <c r="E1958" s="1047"/>
      <c r="F1958" s="246"/>
      <c r="AC1958" s="389"/>
      <c r="AD1958" s="627" t="s">
        <v>4057</v>
      </c>
      <c r="AG1958" s="628" t="str">
        <f t="shared" si="79"/>
        <v xml:space="preserve">My name is </v>
      </c>
      <c r="AI1958" s="4" t="str">
        <f>AI1950</f>
        <v xml:space="preserve">My name is </v>
      </c>
    </row>
    <row r="1959" spans="1:66" s="4" customFormat="1" x14ac:dyDescent="0.3">
      <c r="A1959" s="246"/>
      <c r="B1959" s="1047"/>
      <c r="C1959" s="1047"/>
      <c r="D1959" s="1047"/>
      <c r="E1959" s="1047"/>
      <c r="F1959" s="246"/>
      <c r="AC1959" s="389"/>
      <c r="AD1959" s="632" t="str">
        <f>IF($C$1938=$AP$1937,AG1961,IF($C$1938=$AP$1938,AG1962,IF($C$1938=$AP$1939,AG1963,IF($C$1938=$AP$1940,AG1964,IF($C$1938=$AP$1941,AG1965,IF($C$1938=$AP$1942,AG1966,AH1960))))))</f>
        <v>3. IF TO THE DA, SELECT A TONE THAT REFLECTS WHERE YOU ARE IN THE CAMPAIGN</v>
      </c>
      <c r="BB1959" s="388"/>
    </row>
    <row r="1960" spans="1:66" s="4" customFormat="1" x14ac:dyDescent="0.3">
      <c r="A1960" s="246"/>
      <c r="B1960" s="1047"/>
      <c r="C1960" s="1047"/>
      <c r="D1960" s="1047"/>
      <c r="E1960" s="1047"/>
      <c r="F1960" s="246"/>
      <c r="AC1960" s="389"/>
      <c r="AD1960" s="627"/>
      <c r="AG1960" s="508" t="str">
        <f>IF($C$1894="",AH1960,AT1960)</f>
        <v>3. IF TO THE DA, SELECT A TONE THAT REFLECTS WHERE YOU ARE IN THE CAMPAIGN</v>
      </c>
      <c r="AH1960" s="4" t="s">
        <v>4221</v>
      </c>
      <c r="BB1960" s="388"/>
    </row>
    <row r="1961" spans="1:66" s="4" customFormat="1" x14ac:dyDescent="0.3">
      <c r="A1961" s="246"/>
      <c r="B1961" s="1047"/>
      <c r="C1961" s="1047"/>
      <c r="D1961" s="1047"/>
      <c r="E1961" s="1047"/>
      <c r="F1961" s="246"/>
      <c r="AC1961" s="389"/>
      <c r="AD1961" s="627" t="s">
        <v>62</v>
      </c>
      <c r="AG1961" s="628" t="str">
        <f t="shared" ref="AG1961:AG1966" si="80">CONCATENATE(AI1961,AJ1961,AK1961,AL1961,AM1961,AN1961,AO1961,AP1961,AQ1961,AR1961,AS1961,AT1961,AU1961,AV1961,AX1961,AY1961,AZ1961,BA1961,BB1961,BC1961)</f>
        <v xml:space="preserve">Your audience may want to hear more about Claimant's amazing story. You can catch a glimpse of it at . Our campaign will either complement or compete with the slow legal process that continues to fail Claimant and others just like claimant. </v>
      </c>
      <c r="AI1961" s="4" t="s">
        <v>4239</v>
      </c>
      <c r="AJ1961" s="4" t="str">
        <f>AN202</f>
        <v>Claimant</v>
      </c>
      <c r="AK1961" s="503" t="s">
        <v>4240</v>
      </c>
      <c r="AL1961" s="4" t="str">
        <f>B1930</f>
        <v/>
      </c>
      <c r="AM1961" s="4" t="s">
        <v>4242</v>
      </c>
      <c r="AN1961" s="4" t="str">
        <f>AN202</f>
        <v>Claimant</v>
      </c>
      <c r="AO1961" s="4" t="s">
        <v>4243</v>
      </c>
      <c r="AP1961" s="4" t="str">
        <f>BI206</f>
        <v>claimant</v>
      </c>
      <c r="AQ1961" s="4" t="s">
        <v>4029</v>
      </c>
      <c r="BB1961" s="388"/>
    </row>
    <row r="1962" spans="1:66" s="4" customFormat="1" ht="13.75" customHeight="1" x14ac:dyDescent="0.3">
      <c r="A1962" s="246"/>
      <c r="B1962" s="1047" t="str">
        <f>IF(OR(C1938="",C1939=""),AH1968,AD1967)</f>
        <v>4. AFTER SENDING, SELECT ANOTHER CAMPAIGN SUPPORTOR TO SEND THE NEXT COPY</v>
      </c>
      <c r="C1962" s="1047"/>
      <c r="D1962" s="1047"/>
      <c r="E1962" s="1047"/>
      <c r="F1962" s="246"/>
      <c r="AC1962" s="389"/>
      <c r="AD1962" s="627" t="s">
        <v>64</v>
      </c>
      <c r="AG1962" s="628" t="str">
        <f t="shared" si="80"/>
        <v>Claimant</v>
      </c>
      <c r="AI1962" s="4" t="str">
        <f>AI1954</f>
        <v>Claimant</v>
      </c>
      <c r="BB1962" s="388"/>
    </row>
    <row r="1963" spans="1:66" s="4" customFormat="1" x14ac:dyDescent="0.3">
      <c r="A1963" s="246"/>
      <c r="B1963" s="1047"/>
      <c r="C1963" s="1047"/>
      <c r="D1963" s="1047"/>
      <c r="E1963" s="1047"/>
      <c r="F1963" s="246"/>
      <c r="AC1963" s="389"/>
      <c r="AD1963" s="627" t="s">
        <v>4055</v>
      </c>
      <c r="AG1963" s="628" t="str">
        <f t="shared" si="80"/>
        <v>3rd</v>
      </c>
      <c r="AI1963" s="4" t="str">
        <f>AI1955</f>
        <v>3rd</v>
      </c>
      <c r="BB1963" s="388"/>
    </row>
    <row r="1964" spans="1:66" s="4" customFormat="1" x14ac:dyDescent="0.3">
      <c r="A1964" s="246"/>
      <c r="B1964" s="1047"/>
      <c r="C1964" s="1047"/>
      <c r="D1964" s="1047"/>
      <c r="E1964" s="1047"/>
      <c r="F1964" s="246"/>
      <c r="AC1964" s="389"/>
      <c r="AD1964" s="627" t="s">
        <v>3288</v>
      </c>
      <c r="AG1964" s="628" t="str">
        <f t="shared" si="80"/>
        <v>4th</v>
      </c>
      <c r="AI1964" s="4" t="str">
        <f>AI1956</f>
        <v>4th</v>
      </c>
      <c r="BB1964" s="388"/>
    </row>
    <row r="1965" spans="1:66" s="4" customFormat="1" x14ac:dyDescent="0.3">
      <c r="A1965" s="246"/>
      <c r="B1965" s="1047"/>
      <c r="C1965" s="1047"/>
      <c r="D1965" s="1047"/>
      <c r="E1965" s="1047"/>
      <c r="F1965" s="246"/>
      <c r="AC1965" s="389"/>
      <c r="AD1965" s="627" t="s">
        <v>4056</v>
      </c>
      <c r="AG1965" s="628" t="str">
        <f t="shared" si="80"/>
        <v>5th</v>
      </c>
      <c r="AI1965" s="4" t="str">
        <f>AI1957</f>
        <v>5th</v>
      </c>
      <c r="BB1965" s="388"/>
    </row>
    <row r="1966" spans="1:66" s="4" customFormat="1" x14ac:dyDescent="0.3">
      <c r="A1966" s="246"/>
      <c r="B1966" s="1047"/>
      <c r="C1966" s="1047"/>
      <c r="D1966" s="1047"/>
      <c r="E1966" s="1047"/>
      <c r="F1966" s="246"/>
      <c r="AC1966" s="389"/>
      <c r="AD1966" s="627" t="s">
        <v>4057</v>
      </c>
      <c r="AG1966" s="628" t="str">
        <f t="shared" si="80"/>
        <v xml:space="preserve">My name is </v>
      </c>
      <c r="AI1966" s="4" t="str">
        <f>AI1958</f>
        <v xml:space="preserve">My name is </v>
      </c>
    </row>
    <row r="1967" spans="1:66" s="4" customFormat="1" x14ac:dyDescent="0.3">
      <c r="A1967" s="246"/>
      <c r="B1967" s="1047"/>
      <c r="C1967" s="1047"/>
      <c r="D1967" s="1047"/>
      <c r="E1967" s="1047"/>
      <c r="F1967" s="246"/>
      <c r="AC1967" s="389"/>
      <c r="AD1967" s="632" t="str">
        <f>IF($C$1938=$AP$1937,AG1969,IF($C$1938=$AP$1938,AG1970,IF($C$1938=$AP$1939,AG1971,IF($C$1938=$AP$1940,AG1972,IF($C$1938=$AP$1941,AG1973,IF($C$1938=$AP$1942,AG1974,AH1968))))))</f>
        <v>4. AFTER SENDING, SELECT ANOTHER CAMPAIGN SUPPORTOR TO SEND THE NEXT COPY</v>
      </c>
      <c r="BB1967" s="388"/>
    </row>
    <row r="1968" spans="1:66" s="4" customFormat="1" x14ac:dyDescent="0.3">
      <c r="A1968" s="246"/>
      <c r="B1968" s="1047" t="str">
        <f>IF(AND(C1938=AP1942,C1939=""),AH1976,AD1975)</f>
        <v/>
      </c>
      <c r="C1968" s="1047"/>
      <c r="D1968" s="1047"/>
      <c r="E1968" s="1047"/>
      <c r="F1968" s="246"/>
      <c r="AC1968" s="389"/>
      <c r="AD1968" s="627"/>
      <c r="AG1968" s="508" t="str">
        <f>IF($C$1894="",AH1968,AT1968)</f>
        <v>4. AFTER SENDING, SELECT ANOTHER CAMPAIGN SUPPORTOR TO SEND THE NEXT COPY</v>
      </c>
      <c r="AH1968" s="4" t="s">
        <v>4209</v>
      </c>
      <c r="BB1968" s="388"/>
      <c r="BN1968" s="4" t="s">
        <v>4241</v>
      </c>
    </row>
    <row r="1969" spans="1:65" s="4" customFormat="1" x14ac:dyDescent="0.3">
      <c r="A1969" s="246"/>
      <c r="B1969" s="1047"/>
      <c r="C1969" s="1047"/>
      <c r="D1969" s="1047"/>
      <c r="E1969" s="1047"/>
      <c r="F1969" s="246"/>
      <c r="AC1969" s="389"/>
      <c r="AD1969" s="627" t="s">
        <v>62</v>
      </c>
      <c r="AG1969" s="628" t="str">
        <f>CONCATENATE(AI1969,AJ1969,AK1969,AL1969,AM1969,AN1969,AO1969,AP1969,AQ1969,AR1969,AS1969,AT1969,AU1969,AV1969,AW1969,AX1969,AY1969,AZ1969,BA1969,BB1969,BC1969)</f>
        <v>Perhaps your audience hungers for this alternative giving Claimant fresh hope. You can learn more about it at https://www.valuerelating.com/unexonerated. You can ask me to fill you in. Or I can direct you to the campaign leader. I am just one of Claimant's supporters trying to make a new kind of difference. I trust you are too.</v>
      </c>
      <c r="AI1969" s="4" t="s">
        <v>4245</v>
      </c>
      <c r="AJ1969" s="4" t="str">
        <f>AJ1961</f>
        <v>Claimant</v>
      </c>
      <c r="AK1969" s="4" t="s">
        <v>4246</v>
      </c>
      <c r="AL1969" s="4" t="str">
        <f>AJ1961</f>
        <v>Claimant</v>
      </c>
      <c r="AM1969" s="503" t="s">
        <v>4247</v>
      </c>
      <c r="BB1969" s="388"/>
      <c r="BF1969" s="4" t="s">
        <v>4244</v>
      </c>
    </row>
    <row r="1970" spans="1:65" s="4" customFormat="1" x14ac:dyDescent="0.3">
      <c r="A1970" s="246"/>
      <c r="B1970" s="1047"/>
      <c r="C1970" s="1047"/>
      <c r="D1970" s="1047"/>
      <c r="E1970" s="1047"/>
      <c r="F1970" s="246"/>
      <c r="AC1970" s="389"/>
      <c r="AD1970" s="627" t="s">
        <v>64</v>
      </c>
      <c r="AG1970" s="628" t="str">
        <f>CONCATENATE(AI1970,AJ1970,AK1970,AL1970,AM1970,AN1970,AO1970,AP1970,AQ1970,AR1970,AS1970,AT1970,AU1970,AV1970,AX1970,AY1970,AZ1970,BA1970,BB1970,BC1970)</f>
        <v>Claimant</v>
      </c>
      <c r="AI1970" s="4" t="str">
        <f>AI1962</f>
        <v>Claimant</v>
      </c>
      <c r="BB1970" s="388"/>
    </row>
    <row r="1971" spans="1:65" s="4" customFormat="1" x14ac:dyDescent="0.3">
      <c r="A1971" s="246"/>
      <c r="B1971" s="1047"/>
      <c r="C1971" s="1047"/>
      <c r="D1971" s="1047"/>
      <c r="E1971" s="1047"/>
      <c r="F1971" s="246"/>
      <c r="AC1971" s="389"/>
      <c r="AD1971" s="627" t="s">
        <v>4055</v>
      </c>
      <c r="AG1971" s="628" t="str">
        <f>CONCATENATE(AI1971,AJ1971,AK1971,AL1971,AM1971,AN1971,AO1971,AP1971,AQ1971,AR1971,AS1971,AT1971,AU1971,AV1971,AX1971,AY1971,AZ1971,BA1971,BB1971,BC1971)</f>
        <v>3rd</v>
      </c>
      <c r="AI1971" s="4" t="str">
        <f>AI1963</f>
        <v>3rd</v>
      </c>
      <c r="BB1971" s="388"/>
    </row>
    <row r="1972" spans="1:65" s="4" customFormat="1" x14ac:dyDescent="0.3">
      <c r="A1972" s="246"/>
      <c r="B1972" s="1047"/>
      <c r="C1972" s="1047"/>
      <c r="D1972" s="1047"/>
      <c r="E1972" s="1047"/>
      <c r="F1972" s="246"/>
      <c r="AC1972" s="389"/>
      <c r="AD1972" s="627" t="s">
        <v>3288</v>
      </c>
      <c r="AG1972" s="628" t="str">
        <f>CONCATENATE(AI1972,AJ1972,AK1972,AL1972,AM1972,AN1972,AO1972,AP1972,AQ1972,AR1972,AS1972,AT1972,AU1972,AV1972,AX1972,AY1972,AZ1972,BA1972,BB1972,BC1972)</f>
        <v>4th</v>
      </c>
      <c r="AI1972" s="4" t="str">
        <f>AI1964</f>
        <v>4th</v>
      </c>
      <c r="BB1972" s="388"/>
    </row>
    <row r="1973" spans="1:65" s="4" customFormat="1" x14ac:dyDescent="0.3">
      <c r="A1973" s="246"/>
      <c r="B1973" s="1047"/>
      <c r="C1973" s="1047"/>
      <c r="D1973" s="1047"/>
      <c r="E1973" s="1047"/>
      <c r="F1973" s="246"/>
      <c r="AC1973" s="389"/>
      <c r="AD1973" s="627" t="s">
        <v>4056</v>
      </c>
      <c r="AG1973" s="628" t="str">
        <f>CONCATENATE(AI1973,AJ1973,AK1973,AL1973,AM1973,AN1973,AO1973,AP1973,AQ1973,AR1973,AS1973,AT1973,AU1973,AV1973,AX1973,AY1973,AZ1973,BA1973,BB1973,BC1973)</f>
        <v>5th</v>
      </c>
      <c r="AI1973" s="4" t="str">
        <f>AI1965</f>
        <v>5th</v>
      </c>
      <c r="BB1973" s="388"/>
    </row>
    <row r="1974" spans="1:65" s="4" customFormat="1" x14ac:dyDescent="0.3">
      <c r="A1974" s="246"/>
      <c r="B1974" s="246"/>
      <c r="C1974" s="246"/>
      <c r="D1974" s="246"/>
      <c r="E1974" s="246"/>
      <c r="F1974" s="246"/>
      <c r="AC1974" s="389"/>
      <c r="AD1974" s="627" t="s">
        <v>4057</v>
      </c>
      <c r="AG1974" s="628" t="str">
        <f>CONCATENATE(AI1974,AJ1974,AK1974,AL1974,AM1974,AN1974,AO1974,AP1974,AQ1974,AR1974,AS1974,AT1974,AU1974,AV1974,AX1974,AY1974,AZ1974,BA1974,BB1974,BC1974)</f>
        <v xml:space="preserve">My name is </v>
      </c>
      <c r="AI1974" s="4" t="str">
        <f>AI1966</f>
        <v xml:space="preserve">My name is </v>
      </c>
      <c r="BB1974" s="388"/>
    </row>
    <row r="1975" spans="1:65" s="4" customFormat="1" x14ac:dyDescent="0.3">
      <c r="A1975" s="246"/>
      <c r="B1975" s="246" t="str">
        <f>IF(B1976="","","Best,")</f>
        <v/>
      </c>
      <c r="C1975" s="246"/>
      <c r="D1975" s="246"/>
      <c r="E1975" s="246"/>
      <c r="F1975" s="246"/>
      <c r="AC1975" s="389"/>
      <c r="AD1975" s="632" t="str">
        <f>IF($C$1938=$AP$1941,AG1977,IF($C$1938=$AP$1942,AG1978,""))</f>
        <v/>
      </c>
      <c r="BB1975" s="388"/>
    </row>
    <row r="1976" spans="1:65" s="4" customFormat="1" x14ac:dyDescent="0.3">
      <c r="A1976" s="246"/>
      <c r="B1976" s="246" t="str">
        <f>IF(C1939="","",C1939)</f>
        <v/>
      </c>
      <c r="C1976" s="246"/>
      <c r="D1976" s="246"/>
      <c r="E1976" s="246"/>
      <c r="F1976" s="246"/>
      <c r="AC1976" s="389"/>
      <c r="AD1976" s="627"/>
      <c r="AG1976" s="508" t="str">
        <f>IF($C$1894="",AH1976,AT1976)</f>
        <v>5. CHOOSE A TONE THAT PROPERLY FITS THE DA'S RESPONSIVENESS, OR LACK THEREOF</v>
      </c>
      <c r="AH1976" s="4" t="s">
        <v>4248</v>
      </c>
      <c r="BB1976" s="388"/>
    </row>
    <row r="1977" spans="1:65" s="4" customFormat="1" x14ac:dyDescent="0.3">
      <c r="A1977" s="246"/>
      <c r="B1977" s="246"/>
      <c r="C1977" s="246"/>
      <c r="D1977" s="246"/>
      <c r="E1977" s="246"/>
      <c r="F1977" s="246"/>
      <c r="AC1977" s="389"/>
      <c r="AD1977" s="627" t="s">
        <v>4056</v>
      </c>
      <c r="AG1977" s="628" t="str">
        <f>CONCATENATE(AI1977,AJ1977,AK1977,AL1977,AM1977,AN1977,AO1977,AP1977,AQ1977,AR1977,AS1977,AT1977,AU1977,AV1977,AX1977,AY1977,AZ1977,BA1977,BB1977,BC1977)</f>
        <v>only for IP</v>
      </c>
      <c r="AI1977" s="4" t="s">
        <v>4250</v>
      </c>
      <c r="AP1977" s="503"/>
      <c r="BB1977" s="388"/>
    </row>
    <row r="1978" spans="1:65" s="4" customFormat="1" ht="14.5" thickBot="1" x14ac:dyDescent="0.35">
      <c r="A1978" s="246"/>
      <c r="B1978" s="246"/>
      <c r="C1978" s="246"/>
      <c r="D1978" s="246"/>
      <c r="E1978" s="246"/>
      <c r="F1978" s="246"/>
      <c r="AC1978" s="389"/>
      <c r="AD1978" s="627" t="s">
        <v>4057</v>
      </c>
      <c r="AG1978" s="628" t="str">
        <f>CONCATENATE(AI1978,AJ1978,AK1978,AL1978,AM1978,AN1978,AO1978,AP1978,AQ1978,AR1978,AS1978,AT1978,AU1978,AV1978,AX1978,AY1978,AZ1978,BA1978,BB1978,BC1978)</f>
        <v>only for DA msg</v>
      </c>
      <c r="AI1978" s="4" t="s">
        <v>4249</v>
      </c>
      <c r="BB1978" s="388"/>
    </row>
    <row r="1979" spans="1:65" s="4" customFormat="1" x14ac:dyDescent="0.3">
      <c r="A1979" s="518"/>
      <c r="B1979" s="519"/>
      <c r="C1979" s="519"/>
      <c r="D1979" s="519"/>
      <c r="E1979" s="519"/>
      <c r="F1979" s="520"/>
      <c r="AC1979" s="389"/>
      <c r="BB1979" s="388"/>
    </row>
    <row r="1980" spans="1:65" s="4" customFormat="1" x14ac:dyDescent="0.3">
      <c r="A1980" s="521"/>
      <c r="B1980" s="661" t="s">
        <v>3567</v>
      </c>
      <c r="C1980" s="660"/>
      <c r="D1980" s="662"/>
      <c r="E1980" s="522"/>
      <c r="F1980" s="523"/>
      <c r="AC1980" s="389"/>
      <c r="BB1980" s="388"/>
    </row>
    <row r="1981" spans="1:65" s="4" customFormat="1" ht="14.5" thickBot="1" x14ac:dyDescent="0.35">
      <c r="A1981" s="524"/>
      <c r="B1981" s="525"/>
      <c r="C1981" s="525"/>
      <c r="D1981" s="525"/>
      <c r="E1981" s="525"/>
      <c r="F1981" s="526"/>
      <c r="AC1981" s="389"/>
      <c r="AG1981" s="4" t="s">
        <v>3594</v>
      </c>
      <c r="AZ1981" s="4" t="s">
        <v>3595</v>
      </c>
      <c r="BB1981" s="388"/>
    </row>
    <row r="1982" spans="1:65" s="4" customFormat="1" ht="30" customHeight="1" x14ac:dyDescent="0.3">
      <c r="A1982" s="862" t="s">
        <v>88</v>
      </c>
      <c r="B1982" s="862" t="s">
        <v>3461</v>
      </c>
      <c r="C1982" s="862"/>
      <c r="D1982" s="1175" t="s">
        <v>3513</v>
      </c>
      <c r="E1982" s="864"/>
      <c r="F1982" s="864"/>
      <c r="AC1982" s="389"/>
      <c r="BB1982" s="388"/>
    </row>
    <row r="1983" spans="1:65" s="4" customFormat="1" x14ac:dyDescent="0.3">
      <c r="A1983" s="246"/>
      <c r="B1983" s="246"/>
      <c r="C1983" s="246"/>
      <c r="D1983" s="246"/>
      <c r="E1983" s="246"/>
      <c r="F1983" s="246"/>
      <c r="AB1983" s="631" t="str">
        <f>CONCATENATE("Contact: ",BG202)</f>
        <v>Contact: Claimant</v>
      </c>
      <c r="AC1983" s="389"/>
      <c r="AD1983" s="628" t="s">
        <v>3466</v>
      </c>
      <c r="AF1983" s="4" t="str">
        <f>IF(OR(C922=AG921,C922=""),AG1983,C922)</f>
        <v>New platform identifies wrongful convictions quicker than the courts</v>
      </c>
      <c r="AG1983" s="4" t="s">
        <v>3596</v>
      </c>
      <c r="AQ1983" s="508" t="str">
        <f>AF1983</f>
        <v>New platform identifies wrongful convictions quicker than the courts</v>
      </c>
      <c r="BB1983" s="388"/>
    </row>
    <row r="1984" spans="1:65" s="4" customFormat="1" ht="17.5" x14ac:dyDescent="0.35">
      <c r="A1984" s="246"/>
      <c r="B1984" s="246"/>
      <c r="C1984" s="478" t="s">
        <v>3465</v>
      </c>
      <c r="D1984" s="246"/>
      <c r="E1984" s="246"/>
      <c r="F1984" s="246"/>
      <c r="AB1984" s="631" t="str">
        <f>CONCATENATE("Contact: ",BG212)</f>
        <v>Contact: Proxy</v>
      </c>
      <c r="AC1984" s="389"/>
      <c r="AD1984" s="628" t="s">
        <v>4165</v>
      </c>
      <c r="AF1984" s="503" t="str">
        <f>AQ1890</f>
        <v>Claimant</v>
      </c>
      <c r="AG1984" s="4" t="s">
        <v>3550</v>
      </c>
      <c r="AH1984" s="517" t="str">
        <f>IF(OR(E780=0.08,OR(E780=0.18,OR(AND(E780&gt;0.79,E780&lt;=0.89)))),"an ","a ")</f>
        <v xml:space="preserve">a </v>
      </c>
      <c r="AI1984" s="530">
        <f>ROUND((E780*100),0)</f>
        <v>0</v>
      </c>
      <c r="AJ1984" s="503" t="s">
        <v>3549</v>
      </c>
      <c r="AQ1984" s="508" t="str">
        <f t="shared" ref="AQ1984:AQ1992" si="81">CONCATENATE(AF1984,AG1984,AH1984,AI1984,AJ1984)</f>
        <v>Claimant identified with a 0% likelihood of being innocent</v>
      </c>
      <c r="BB1984" s="388"/>
      <c r="BI1984" s="503" t="s">
        <v>3580</v>
      </c>
      <c r="BJ1984" s="4" t="s">
        <v>3550</v>
      </c>
      <c r="BK1984" s="517" t="s">
        <v>3581</v>
      </c>
      <c r="BL1984" s="530" t="s">
        <v>3583</v>
      </c>
      <c r="BM1984" s="503" t="s">
        <v>3549</v>
      </c>
    </row>
    <row r="1985" spans="1:67" s="4" customFormat="1" ht="15.5" x14ac:dyDescent="0.35">
      <c r="A1985" s="246"/>
      <c r="B1985" s="1128" t="s">
        <v>3466</v>
      </c>
      <c r="C1985" s="1128"/>
      <c r="D1985" s="1150"/>
      <c r="E1985" s="1150"/>
      <c r="F1985" s="246"/>
      <c r="AB1985" s="631" t="str">
        <f>"Contact: Value Relating"</f>
        <v>Contact: Value Relating</v>
      </c>
      <c r="AC1985" s="389"/>
      <c r="AF1985" s="503" t="str">
        <f>AQ1890</f>
        <v>Claimant</v>
      </c>
      <c r="AG1985" s="4" t="s">
        <v>3548</v>
      </c>
      <c r="AH1985" s="517" t="str">
        <f>IF(OR(E781=0.08,OR(E781=0.18,OR(AND(E781&gt;0.79,E781&lt;=0.89)))),"an ","a ")</f>
        <v xml:space="preserve">a </v>
      </c>
      <c r="AI1985" s="530">
        <f>ROUND((E781*100),0)</f>
        <v>0</v>
      </c>
      <c r="AJ1985" s="503" t="s">
        <v>3549</v>
      </c>
      <c r="AQ1985" s="508" t="str">
        <f t="shared" si="81"/>
        <v>Claimant verified with a 0% likelihood of being innocent</v>
      </c>
      <c r="BB1985" s="388"/>
      <c r="BI1985" s="503" t="s">
        <v>3580</v>
      </c>
      <c r="BJ1985" s="4" t="s">
        <v>3548</v>
      </c>
      <c r="BK1985" s="517" t="s">
        <v>3582</v>
      </c>
      <c r="BL1985" s="530" t="s">
        <v>3584</v>
      </c>
      <c r="BM1985" s="503" t="s">
        <v>3549</v>
      </c>
    </row>
    <row r="1986" spans="1:67" s="4" customFormat="1" ht="14.5" x14ac:dyDescent="0.35">
      <c r="A1986" s="246"/>
      <c r="B1986" s="481">
        <f ca="1">TODAY()</f>
        <v>45774</v>
      </c>
      <c r="C1986" s="480"/>
      <c r="D1986" s="482"/>
      <c r="E1986" s="640" t="str">
        <f>AB1987</f>
        <v/>
      </c>
      <c r="F1986" s="246"/>
      <c r="AB1986" s="631"/>
      <c r="AC1986" s="389"/>
      <c r="AF1986" s="4" t="str">
        <f t="shared" ref="AF1986:AF1991" si="82">AF1985</f>
        <v>Claimant</v>
      </c>
      <c r="AG1986" s="4" t="s">
        <v>3551</v>
      </c>
      <c r="AQ1986" s="508" t="str">
        <f t="shared" si="81"/>
        <v>Claimant inspires supporters to find the 'quality' of a conviction</v>
      </c>
      <c r="BB1986" s="388"/>
    </row>
    <row r="1987" spans="1:67" s="4" customFormat="1" ht="20" customHeight="1" x14ac:dyDescent="0.35">
      <c r="A1987" s="246"/>
      <c r="B1987" s="246"/>
      <c r="C1987" s="246"/>
      <c r="D1987" s="246"/>
      <c r="E1987" s="640" t="str">
        <f>AB1988</f>
        <v/>
      </c>
      <c r="F1987" s="246"/>
      <c r="AB1987" s="631" t="str">
        <f>IF(D$1985=AB$1983,AD204,IF(D$1985=AB$1984,AD214,IF(D$1985=AB$1985,AD200,"")))</f>
        <v/>
      </c>
      <c r="AC1987" s="389"/>
      <c r="AF1987" s="4" t="str">
        <f t="shared" si="82"/>
        <v>Claimant</v>
      </c>
      <c r="AG1987" s="503" t="s">
        <v>3552</v>
      </c>
      <c r="AQ1987" s="508" t="str">
        <f t="shared" si="81"/>
        <v>Claimant's supporters challenge DA to raise justice standards</v>
      </c>
      <c r="BB1987" s="388"/>
      <c r="BI1987" s="1109" t="s">
        <v>3467</v>
      </c>
      <c r="BJ1987" s="1109"/>
      <c r="BK1987" s="1109"/>
      <c r="BM1987" s="1109" t="s">
        <v>3468</v>
      </c>
      <c r="BN1987" s="1109"/>
      <c r="BO1987" s="1109"/>
    </row>
    <row r="1988" spans="1:67" s="4" customFormat="1" ht="16" x14ac:dyDescent="0.3">
      <c r="A1988" s="246"/>
      <c r="B1988" s="1147"/>
      <c r="C1988" s="1148"/>
      <c r="D1988" s="1148"/>
      <c r="E1988" s="1148"/>
      <c r="F1988" s="246"/>
      <c r="AB1988" s="631" t="str">
        <f>IF(D$1985=AB$1983,AN204,IF(D$1985=AB$1984,AN214,IF(D$1985=AB$1985,AK200,"")))</f>
        <v/>
      </c>
      <c r="AC1988" s="389"/>
      <c r="AF1988" s="4" t="str">
        <f t="shared" si="82"/>
        <v>Claimant</v>
      </c>
      <c r="AG1988" s="503" t="s">
        <v>3553</v>
      </c>
      <c r="AQ1988" s="508" t="str">
        <f t="shared" si="81"/>
        <v>Claimant's supporters question the legitimacy of adversarial justice</v>
      </c>
      <c r="BB1988" s="388"/>
      <c r="BI1988" s="4" t="s">
        <v>3517</v>
      </c>
    </row>
    <row r="1989" spans="1:67" s="4" customFormat="1" ht="7" customHeight="1" x14ac:dyDescent="0.3">
      <c r="A1989" s="246"/>
      <c r="B1989" s="246"/>
      <c r="C1989" s="246"/>
      <c r="D1989" s="246"/>
      <c r="E1989" s="246"/>
      <c r="F1989" s="246"/>
      <c r="AC1989" s="389"/>
      <c r="AF1989" s="4" t="str">
        <f t="shared" si="82"/>
        <v>Claimant</v>
      </c>
      <c r="AG1989" s="503" t="s">
        <v>3554</v>
      </c>
      <c r="AQ1989" s="508" t="str">
        <f t="shared" si="81"/>
        <v>Claimant's supporters challenge the legitimacy of adversarial justice</v>
      </c>
      <c r="BB1989" s="388"/>
    </row>
    <row r="1990" spans="1:67" s="4" customFormat="1" ht="13.75" customHeight="1" x14ac:dyDescent="0.3">
      <c r="A1990" s="246"/>
      <c r="B1990" s="1149" t="str">
        <f>IF(B1988="","YOUR COMPELLING CLAIM'S TAGLINE",C922)</f>
        <v>YOUR COMPELLING CLAIM'S TAGLINE</v>
      </c>
      <c r="C1990" s="1149"/>
      <c r="D1990" s="1149"/>
      <c r="E1990" s="1149"/>
      <c r="F1990" s="246"/>
      <c r="AC1990" s="389"/>
      <c r="AF1990" s="4" t="str">
        <f t="shared" si="82"/>
        <v>Claimant</v>
      </c>
      <c r="AG1990" s="503" t="s">
        <v>3555</v>
      </c>
      <c r="AQ1990" s="508" t="str">
        <f t="shared" si="81"/>
        <v>Claimant's supporters welcome DA's support for conviction quality</v>
      </c>
      <c r="BB1990" s="388"/>
    </row>
    <row r="1991" spans="1:67" s="4" customFormat="1" x14ac:dyDescent="0.3">
      <c r="A1991" s="246"/>
      <c r="B1991" s="634"/>
      <c r="C1991" s="634"/>
      <c r="D1991" s="634"/>
      <c r="E1991" s="634"/>
      <c r="F1991" s="246"/>
      <c r="AF1991" s="4" t="str">
        <f t="shared" si="82"/>
        <v>Claimant</v>
      </c>
      <c r="AG1991" s="503" t="s">
        <v>3556</v>
      </c>
      <c r="AQ1991" s="508" t="str">
        <f t="shared" si="81"/>
        <v>Claimant's supporters affirm DA's earned legitimacy</v>
      </c>
      <c r="BB1991" s="388"/>
    </row>
    <row r="1992" spans="1:67" s="4" customFormat="1" ht="13.75" customHeight="1" x14ac:dyDescent="0.3">
      <c r="A1992" s="246"/>
      <c r="B1992" s="1047" t="str">
        <f>IF(B1988="","",AC1993)</f>
        <v/>
      </c>
      <c r="C1992" s="1047"/>
      <c r="D1992" s="1047"/>
      <c r="E1992" s="1047"/>
      <c r="F1992" s="246"/>
      <c r="AC1992" s="389"/>
      <c r="AF1992" s="4" t="s">
        <v>3633</v>
      </c>
      <c r="AQ1992" s="508" t="str">
        <f t="shared" si="81"/>
        <v>Mounting claims require better processing resources</v>
      </c>
      <c r="BB1992" s="388"/>
    </row>
    <row r="1993" spans="1:67" s="4" customFormat="1" x14ac:dyDescent="0.3">
      <c r="A1993" s="246"/>
      <c r="B1993" s="1047"/>
      <c r="C1993" s="1047"/>
      <c r="D1993" s="1047"/>
      <c r="E1993" s="1047"/>
      <c r="F1993" s="246"/>
      <c r="AC1993" s="632">
        <f>IF($B$1988=$AQ$1983,AF1995,IF($B$1988=$AQ$1984,AF1996,IF($B$1988=$AQ$1985,AF1997,IF($B$1988=$AQ$1986,AF1998,))))</f>
        <v>0</v>
      </c>
    </row>
    <row r="1994" spans="1:67" s="4" customFormat="1" x14ac:dyDescent="0.3">
      <c r="A1994" s="246"/>
      <c r="B1994" s="1047"/>
      <c r="C1994" s="1047"/>
      <c r="D1994" s="1047"/>
      <c r="E1994" s="1047"/>
      <c r="F1994" s="246"/>
      <c r="AF1994" s="508" t="str">
        <f>IF($B$1988="",AG1994,AT$1994)</f>
        <v>1. SELECT A SUBJECT LINE ABOVE TO CHOOSE WHICH MESSAGE TO SEND</v>
      </c>
      <c r="AG1994" s="4" t="s">
        <v>3602</v>
      </c>
      <c r="AT1994" s="233" t="str">
        <f>IF(B1988=AQ1983,AV1994,IF(B1988=AQ1984,AW1994,IF(B1988=AQ1985,AX1994,IF(B1988=AQ1986,AY1994,IF(B1988=AQ1987,AZ1994,IF(B1988=AQ1988,BA1994,IF(B1988=AQ1989,BB1994,IF(B1988=AQ1990,BC1994,IF(B1988=AQ1991,BD1994,IF(B1988=AQ1992,BE1994,""))))))))))</f>
        <v/>
      </c>
      <c r="AV1994" s="4">
        <v>1</v>
      </c>
      <c r="AW1994" s="4">
        <v>2</v>
      </c>
      <c r="AX1994" s="4">
        <v>3</v>
      </c>
      <c r="AY1994" s="4">
        <v>4</v>
      </c>
      <c r="AZ1994" s="4">
        <v>5</v>
      </c>
      <c r="BA1994" s="4">
        <v>6</v>
      </c>
      <c r="BB1994" s="4">
        <v>7</v>
      </c>
      <c r="BC1994" s="4">
        <v>8</v>
      </c>
      <c r="BD1994" s="4">
        <v>9</v>
      </c>
      <c r="BE1994" s="4">
        <v>0</v>
      </c>
    </row>
    <row r="1995" spans="1:67" s="4" customFormat="1" x14ac:dyDescent="0.3">
      <c r="A1995" s="246"/>
      <c r="B1995" s="1047"/>
      <c r="C1995" s="1047"/>
      <c r="D1995" s="1047"/>
      <c r="E1995" s="1047"/>
      <c r="F1995" s="246"/>
      <c r="AC1995" s="627" t="s">
        <v>62</v>
      </c>
      <c r="AF1995" s="628" t="str">
        <f>CONCATENATE(AH1995,AI1995,AJ1995,AK1995,AL1995,AM1995,AN1995,AO1995,AP1995,AQ1995,AR1995,AS1995,AT1995,AU1995,AV1995,AW1995,AX1995,AY1995,AZ1995,BA1995,BB1995)</f>
        <v xml:space="preserve">Value Relating created a revolutionary tool to quickly estimate claims of wrongful conviction. It compares a claim of actual innocence to known cases of exoneration. Then compares those details to calculate Claimant's actual innocence. As Claimant put it, "WHO or WHAT + UNJUST RESULT (to evoke viewers interest)." </v>
      </c>
      <c r="AI1995" s="4" t="s">
        <v>4187</v>
      </c>
      <c r="AJ1995" s="4" t="str">
        <f>BG202</f>
        <v>Claimant</v>
      </c>
      <c r="AK1995" s="503" t="s">
        <v>4175</v>
      </c>
      <c r="AL1995" s="4" t="str">
        <f>AN202</f>
        <v>Claimant</v>
      </c>
      <c r="AM1995" s="4" t="s">
        <v>4176</v>
      </c>
      <c r="AN1995" s="4" t="str">
        <f>C922</f>
        <v>WHO or WHAT + UNJUST RESULT (to evoke viewers interest)</v>
      </c>
      <c r="AO1995" s="503" t="s">
        <v>4188</v>
      </c>
      <c r="BB1995" s="388"/>
    </row>
    <row r="1996" spans="1:67" s="4" customFormat="1" x14ac:dyDescent="0.3">
      <c r="A1996" s="246"/>
      <c r="B1996" s="1047"/>
      <c r="C1996" s="1047"/>
      <c r="D1996" s="1047"/>
      <c r="E1996" s="1047"/>
      <c r="F1996" s="246"/>
      <c r="AC1996" s="627" t="s">
        <v>64</v>
      </c>
      <c r="AF1996" s="628" t="str">
        <f>CONCATENATE(AH1996,AI1996,AJ1996,AK1996,AL1996,AM1996,AN1996,AO1996,AP1996,AQ1996,AR1996,AS1996,AT1996,AU1996,AV1996,AW1996,AX1996,AY1996,AZ1996,BA1996,BB1996)</f>
        <v/>
      </c>
      <c r="BB1996" s="388"/>
    </row>
    <row r="1997" spans="1:67" s="4" customFormat="1" x14ac:dyDescent="0.3">
      <c r="A1997" s="246"/>
      <c r="B1997" s="1047"/>
      <c r="C1997" s="1047"/>
      <c r="D1997" s="1047"/>
      <c r="E1997" s="1047"/>
      <c r="F1997" s="246"/>
      <c r="AC1997" s="627" t="s">
        <v>4055</v>
      </c>
      <c r="AE1997" s="503" t="str">
        <f>IF($D$1768=$AQ$1768,AF1997,AG1997)</f>
        <v>REQUIRES PASSKEY</v>
      </c>
      <c r="AF1997" s="628" t="str">
        <f>CONCATENATE(AH1997,AI1997,AJ1997,AK1997,AL1997,AM1997,AN1997,AO1997,AP1997,AQ1997,AR1997,AS1997,AT1997,AU1997,AW1997,AX1997,AY1997,AZ1997,BA1997,BB1997)</f>
        <v xml:space="preserve">Value Relating created a revolutionary tool to quickly estimate claims of wrongful conviction. It goes beyond the guilt-innocence binary. It provides a range of likely innocence, or guilt. It digs up more details to appreciate </v>
      </c>
      <c r="AG1997" s="659" t="s">
        <v>4362</v>
      </c>
      <c r="AI1997" s="4" t="s">
        <v>4174</v>
      </c>
      <c r="BA1997" s="388"/>
    </row>
    <row r="1998" spans="1:67" s="4" customFormat="1" ht="13.75" customHeight="1" x14ac:dyDescent="0.3">
      <c r="A1998" s="246"/>
      <c r="B1998" s="1047" t="str">
        <f>IF(B1988="","",AC1999)</f>
        <v/>
      </c>
      <c r="C1998" s="1047"/>
      <c r="D1998" s="1047"/>
      <c r="E1998" s="1047"/>
      <c r="F1998" s="246"/>
      <c r="AC1998" s="627" t="s">
        <v>3288</v>
      </c>
      <c r="AE1998" s="503" t="str">
        <f>IF($D$1768=$AQ$1768,AF1998,AG1998)</f>
        <v>REQUIRES PASSKEY</v>
      </c>
      <c r="AF1998" s="628" t="str">
        <f>CONCATENATE(AH1998,AI1998,AJ1998,AK1998,AL1998,AM1998,AN1998,AO1998,AP1998,AQ1998,AR1998,AS1998,AT1998,AU1998,AW1998,AX1998,AY1998,AZ1998,BA1998,BB1998)</f>
        <v xml:space="preserve">Click on the link to  to view Claimant's story. </v>
      </c>
      <c r="AG1998" s="659" t="s">
        <v>4362</v>
      </c>
      <c r="AI1998" s="4" t="s">
        <v>4171</v>
      </c>
      <c r="AJ1998" s="4" t="str">
        <f>B1930</f>
        <v/>
      </c>
      <c r="AK1998" s="4" t="s">
        <v>4172</v>
      </c>
      <c r="AL1998" s="4" t="str">
        <f>AN202</f>
        <v>Claimant</v>
      </c>
      <c r="AM1998" s="503" t="s">
        <v>4173</v>
      </c>
      <c r="BA1998" s="388"/>
    </row>
    <row r="1999" spans="1:67" s="4" customFormat="1" x14ac:dyDescent="0.3">
      <c r="A1999" s="246"/>
      <c r="B1999" s="1047"/>
      <c r="C1999" s="1047"/>
      <c r="D1999" s="1047"/>
      <c r="E1999" s="1047"/>
      <c r="F1999" s="246"/>
      <c r="AC1999" s="632">
        <f>IF($B$1988=$AQ$1983,AF2001,IF($B$1988=$AQ$1984,AF2002,IF($B$1988=$AQ$1985,AF2003,IF($B$1988=$AQ$1986,AF2004,))))</f>
        <v>0</v>
      </c>
      <c r="BB1999" s="388"/>
      <c r="BH1999" s="4" t="str">
        <f>CONCATENATE(BH1997,BI1997,BJ1997,BK1997,BL1997)</f>
        <v/>
      </c>
    </row>
    <row r="2000" spans="1:67" s="4" customFormat="1" x14ac:dyDescent="0.3">
      <c r="A2000" s="246"/>
      <c r="B2000" s="1047"/>
      <c r="C2000" s="1047"/>
      <c r="D2000" s="1047"/>
      <c r="E2000" s="1047"/>
      <c r="F2000" s="246"/>
      <c r="Q2000" s="4" t="str">
        <f>CONCATENATE(V1998,W1998,X1998,Y1998,Z1998)</f>
        <v/>
      </c>
      <c r="AC2000" s="627"/>
      <c r="AF2000" s="508" t="str">
        <f>IF($B$1988="",AG2000,AT$1994)</f>
        <v>2. SELECT SENDER: FROM CLAIMANT, PROXY OR FROM VALUE RELATING</v>
      </c>
      <c r="AG2000" s="4" t="s">
        <v>3603</v>
      </c>
      <c r="BB2000" s="388"/>
    </row>
    <row r="2001" spans="1:54" s="4" customFormat="1" x14ac:dyDescent="0.3">
      <c r="A2001" s="246"/>
      <c r="B2001" s="1047"/>
      <c r="C2001" s="1047"/>
      <c r="D2001" s="1047"/>
      <c r="E2001" s="1047"/>
      <c r="F2001" s="246"/>
      <c r="AC2001" s="627" t="s">
        <v>62</v>
      </c>
      <c r="AF2001" s="628" t="str">
        <f>CONCATENATE(AH2001,AI2001,AJ2001,AK2001,AL2001,AM2001,AN2001,AO2001,AP2001,AQ2001,AR2001,AS2001,AT2001,AU2001,AV2001,AW2001,AX2001,AY2001,AZ2001,BA2001,BB2001)</f>
        <v xml:space="preserve">Contrary to popular belief, all prisoners do not claim to be innocent. Claimant is among the 15% of prisoners who claim "actual" innocence. Other prisoners admit doing the deed, but fail to see their harm. Others view their conviction as a badge of honor, as a proud outlaw. Not Claimant. claimant's 0% estimated innocence sets claimant apart. </v>
      </c>
      <c r="AG2001" s="628"/>
      <c r="AI2001" s="4" t="s">
        <v>4177</v>
      </c>
      <c r="AJ2001" s="4" t="str">
        <f>AN202</f>
        <v>Claimant</v>
      </c>
      <c r="AK2001" s="4" t="s">
        <v>4206</v>
      </c>
      <c r="AL2001" s="4" t="str">
        <f>AN202</f>
        <v>Claimant</v>
      </c>
      <c r="AM2001" s="503" t="s">
        <v>4029</v>
      </c>
      <c r="AN2001" s="4" t="str">
        <f>BK206</f>
        <v>claimant's</v>
      </c>
      <c r="AO2001" s="4" t="s">
        <v>4060</v>
      </c>
      <c r="AP2001" s="629">
        <f>AI1984</f>
        <v>0</v>
      </c>
      <c r="AQ2001" s="503" t="s">
        <v>4182</v>
      </c>
      <c r="AR2001" s="4" t="str">
        <f>BI206</f>
        <v>claimant</v>
      </c>
      <c r="AS2001" s="4" t="s">
        <v>4179</v>
      </c>
      <c r="BB2001" s="388"/>
    </row>
    <row r="2002" spans="1:54" s="4" customFormat="1" x14ac:dyDescent="0.3">
      <c r="A2002" s="246"/>
      <c r="B2002" s="1047"/>
      <c r="C2002" s="1047"/>
      <c r="D2002" s="1047"/>
      <c r="E2002" s="1047"/>
      <c r="F2002" s="246"/>
      <c r="AC2002" s="627" t="s">
        <v>64</v>
      </c>
      <c r="AF2002" s="628" t="str">
        <f>CONCATENATE(AH2002,AI2002,AJ2002,AK2002,AL2002,AM2002,AN2002,AO2002,AP2002,AQ2002,AR2002,AS2002,AT2002,AU2002,AV2002,AW2002,AX2002,AY2002,AZ2002,BA2002,BB2002)</f>
        <v xml:space="preserve">% likely innocence merits review. </v>
      </c>
      <c r="AG2002" s="628"/>
      <c r="AO2002" s="503" t="s">
        <v>4178</v>
      </c>
      <c r="BB2002" s="388"/>
    </row>
    <row r="2003" spans="1:54" s="4" customFormat="1" x14ac:dyDescent="0.3">
      <c r="A2003" s="246"/>
      <c r="B2003" s="1047" t="str">
        <f>IF(B1988="","",AC2005)</f>
        <v/>
      </c>
      <c r="C2003" s="1047"/>
      <c r="D2003" s="1047"/>
      <c r="E2003" s="1047"/>
      <c r="F2003" s="246"/>
      <c r="AC2003" s="627" t="s">
        <v>4055</v>
      </c>
      <c r="AE2003" s="503" t="str">
        <f>IF($D$1768=$AQ$1768,AF2003,AG2003)</f>
        <v>REQUIRES PASSKEY</v>
      </c>
      <c r="AF2003" s="628" t="str">
        <f>CONCATENATE(AH2003,AI2003,AJ2003,AK2003,AL2003,AM2003,AN2003,AO2003,AP2003,AQ2003,AR2003,AS2003,AT2003,AU2003,AW2003,AX2003,AY2003,AZ2003,BA2003,BB2003)</f>
        <v/>
      </c>
      <c r="AG2003" s="659" t="s">
        <v>4362</v>
      </c>
      <c r="BA2003" s="388"/>
    </row>
    <row r="2004" spans="1:54" s="4" customFormat="1" x14ac:dyDescent="0.3">
      <c r="A2004" s="246"/>
      <c r="B2004" s="1047"/>
      <c r="C2004" s="1047"/>
      <c r="D2004" s="1047"/>
      <c r="E2004" s="1047"/>
      <c r="F2004" s="246"/>
      <c r="AC2004" s="627" t="s">
        <v>3288</v>
      </c>
      <c r="AE2004" s="503" t="str">
        <f>IF($D$1768=$AQ$1768,AF2004,AG2004)</f>
        <v>REQUIRES PASSKEY</v>
      </c>
      <c r="AF2004" s="628" t="str">
        <f>CONCATENATE(AH2004,AI2004,AJ2004,AK2004,AL2004,AM2004,AN2004,AO2004,AP2004,AQ2004,AR2004,AS2004,AT2004,AU2004,AW2004,AX2004,AY2004,AZ2004,BA2004,BB2004)</f>
        <v/>
      </c>
      <c r="AG2004" s="659" t="s">
        <v>4362</v>
      </c>
      <c r="BA2004" s="388"/>
    </row>
    <row r="2005" spans="1:54" s="4" customFormat="1" x14ac:dyDescent="0.3">
      <c r="A2005" s="246"/>
      <c r="B2005" s="1047"/>
      <c r="C2005" s="1047"/>
      <c r="D2005" s="1047"/>
      <c r="E2005" s="1047"/>
      <c r="F2005" s="246"/>
      <c r="AC2005" s="632">
        <f>IF($B$1988=$AQ$1983,AF2007,IF($B$1988=$AQ$1984,AF2008,IF($B$1988=$AQ$1985,AF2009,IF($B$1988=$AQ$1986,AF2010,))))</f>
        <v>0</v>
      </c>
      <c r="BB2005" s="388"/>
    </row>
    <row r="2006" spans="1:54" s="4" customFormat="1" x14ac:dyDescent="0.3">
      <c r="A2006" s="246"/>
      <c r="B2006" s="1047"/>
      <c r="C2006" s="1047"/>
      <c r="D2006" s="1047"/>
      <c r="E2006" s="1047"/>
      <c r="F2006" s="246"/>
      <c r="AC2006" s="627"/>
      <c r="AF2006" s="508" t="str">
        <f>IF($B$1988="",AG2006,AT$1994)</f>
        <v>3. SELECT A SUBJECT LINE ABOVE TO CHOOSE WHICH MESSAGE TO SEND</v>
      </c>
      <c r="AG2006" s="4" t="s">
        <v>3601</v>
      </c>
      <c r="BB2006" s="388"/>
    </row>
    <row r="2007" spans="1:54" s="4" customFormat="1" x14ac:dyDescent="0.3">
      <c r="A2007" s="246"/>
      <c r="B2007" s="1047"/>
      <c r="C2007" s="1047"/>
      <c r="D2007" s="1047"/>
      <c r="E2007" s="1047"/>
      <c r="F2007" s="246"/>
      <c r="AC2007" s="627" t="s">
        <v>62</v>
      </c>
      <c r="AF2007" s="628" t="str">
        <f>CONCATENATE(AH2007,AI2007,AJ2007,AK2007,AL2007,AM2007,AN2007,AO2007,AP2007,AQ2007,AR2007,AS2007,AT2007,AU2007,AV2007,AW2007,AX2007,AY2007,AZ2007,BA2007,BB2007)</f>
        <v xml:space="preserve">The appellate process overlooked Claimant's actual innocence, as it has other exonerees. Innocence projects could help. But they routinely receive far more requests than they can serve. If only half of the 15% claiming actual innocence are truly innocent like Claimant, there would be 165,000 viable claims to process. "We know without doubt," declares the editor of the National Registry of Exonerations, "that the vast majority of innocent defendants who are convicted of crimes are never identified and cleared." </v>
      </c>
      <c r="AG2007" s="628" t="str">
        <f>CONCATENATE(AH2007,AI2007,AJ2007,AK2007,AL2007,AM2007,AN2007,AO2007,AP2007,AQ2007,AR2007,AS2008,AT2008,AU2008,AW2008,AX2008,AY2008,AZ2008,BA2008,BB2008)</f>
        <v xml:space="preserve">The appellate process overlooked Claimant's actual innocence, as it has other exonerees. Innocence projects could help. But they routinely receive far more requests than they can serve. If only half of the 15% claiming actual innocence are truly innocent like Claimant, there would be 165,000 viable claims to process. "We know without doubt," declares the editor of the National Registry of Exonerations, "that the vast majority of innocent defendants who are convicted of crimes are never identified and cleared." </v>
      </c>
      <c r="AI2007" s="4" t="s">
        <v>4181</v>
      </c>
      <c r="AJ2007" s="4" t="str">
        <f>AN202</f>
        <v>Claimant</v>
      </c>
      <c r="AK2007" s="503" t="s">
        <v>4185</v>
      </c>
      <c r="AL2007" s="4" t="s">
        <v>4184</v>
      </c>
      <c r="AM2007" s="246" t="str">
        <f>AN202</f>
        <v>Claimant</v>
      </c>
      <c r="AN2007" s="4" t="s">
        <v>4183</v>
      </c>
      <c r="AO2007" s="246" t="s">
        <v>4180</v>
      </c>
      <c r="BB2007" s="388"/>
    </row>
    <row r="2008" spans="1:54" s="4" customFormat="1" x14ac:dyDescent="0.3">
      <c r="A2008" s="246"/>
      <c r="B2008" s="1047"/>
      <c r="C2008" s="1047"/>
      <c r="D2008" s="1047"/>
      <c r="E2008" s="1047"/>
      <c r="F2008" s="246"/>
      <c r="AC2008" s="627" t="s">
        <v>64</v>
      </c>
      <c r="AF2008" s="628" t="str">
        <f>CONCATENATE(AH2008,AI2008,AJ2008,AK2008,AL2008,AM2008,AN2008,AO2008,AP2008,AQ2008,AR2008,AS2008,AT2008,AU2008,AV2008,AW2008,AX2008,AY2008,AZ2008,BA2008,BB2008)</f>
        <v/>
      </c>
      <c r="AG2008" s="628"/>
      <c r="BB2008" s="388"/>
    </row>
    <row r="2009" spans="1:54" s="4" customFormat="1" x14ac:dyDescent="0.3">
      <c r="A2009" s="246"/>
      <c r="B2009" s="1047"/>
      <c r="C2009" s="1047"/>
      <c r="D2009" s="1047"/>
      <c r="E2009" s="1047"/>
      <c r="F2009" s="246"/>
      <c r="AC2009" s="627" t="s">
        <v>4055</v>
      </c>
      <c r="AE2009" s="503" t="str">
        <f>IF($D$1768=$AQ$1768,AF2009,AG2009)</f>
        <v>REQUIRES PASSKEY</v>
      </c>
      <c r="AF2009" s="628" t="str">
        <f>CONCATENATE(AH2009,AI2009,AJ2009,AK2009,AL2009,AM2009,AN2009,AO2009,AP2009,AQ2009,AR2009,AS2009,AT2009,AU2009,AW2009,AX2009,AY2009,AZ2009,BA2009,BB2009)</f>
        <v/>
      </c>
      <c r="AG2009" s="659" t="s">
        <v>4362</v>
      </c>
      <c r="BA2009" s="388"/>
    </row>
    <row r="2010" spans="1:54" s="4" customFormat="1" ht="13.75" customHeight="1" x14ac:dyDescent="0.3">
      <c r="A2010" s="246"/>
      <c r="B2010" s="1047" t="str">
        <f>IF(B1988="","",AC2011)</f>
        <v/>
      </c>
      <c r="C2010" s="1047"/>
      <c r="D2010" s="1047"/>
      <c r="E2010" s="1047"/>
      <c r="F2010" s="246"/>
      <c r="AC2010" s="627" t="s">
        <v>3288</v>
      </c>
      <c r="AE2010" s="503" t="str">
        <f>IF($D$1768=$AQ$1768,AF2010,AG2010)</f>
        <v>REQUIRES PASSKEY</v>
      </c>
      <c r="AF2010" s="628" t="str">
        <f>CONCATENATE(AH2010,AI2010,AJ2010,AK2010,AL2010,AM2010,AN2010,AO2010,AP2010,AQ2010,AR2010,AS2010,AT2010,AU2010,AW2010,AX2010,AY2010,AZ2010,BA2010,BB2010)</f>
        <v/>
      </c>
      <c r="AG2010" s="659" t="s">
        <v>4362</v>
      </c>
      <c r="BA2010" s="388"/>
    </row>
    <row r="2011" spans="1:54" s="4" customFormat="1" x14ac:dyDescent="0.3">
      <c r="A2011" s="246"/>
      <c r="B2011" s="1047"/>
      <c r="C2011" s="1047"/>
      <c r="D2011" s="1047"/>
      <c r="E2011" s="1047"/>
      <c r="F2011" s="246"/>
      <c r="AC2011" s="632">
        <f>IF($B$1988=$AQ$1983,AF2013,IF($B$1988=$AQ$1984,AF2014,IF($B$1988=$AQ$1985,AF2015,IF($B$1988=$AQ$1986,AF2016,))))</f>
        <v>0</v>
      </c>
      <c r="BB2011" s="388"/>
    </row>
    <row r="2012" spans="1:54" s="4" customFormat="1" x14ac:dyDescent="0.3">
      <c r="A2012" s="246"/>
      <c r="B2012" s="1047"/>
      <c r="C2012" s="1047"/>
      <c r="D2012" s="1047"/>
      <c r="E2012" s="1047"/>
      <c r="F2012" s="246"/>
      <c r="AC2012" s="627"/>
      <c r="AF2012" s="508" t="str">
        <f>IF($B$1988="",AG2012,AT$1994)</f>
        <v>4. AFTER SENDING, SELECT ANOTHER RECIPIENT AND RESET THE SUBJECT LINE</v>
      </c>
      <c r="AG2012" s="4" t="s">
        <v>3605</v>
      </c>
      <c r="BB2012" s="388"/>
    </row>
    <row r="2013" spans="1:54" s="4" customFormat="1" x14ac:dyDescent="0.3">
      <c r="A2013" s="246"/>
      <c r="B2013" s="1047"/>
      <c r="C2013" s="1047"/>
      <c r="D2013" s="1047"/>
      <c r="E2013" s="1047"/>
      <c r="F2013" s="246"/>
      <c r="AC2013" s="627" t="s">
        <v>62</v>
      </c>
      <c r="AF2013" s="628" t="str">
        <f>CONCATENATE(AH2013,AI2013,AJ2013,AK2013,AL2013,AM2013,AN2013,AO2013,AP2013,AQ2013,AR2013,AS2013,AT2013,AU2013,AV2013,AW2013,AX2013,AY2013,AZ2013,BA2013,BB2013)</f>
        <v>Today, Claimantdamaged reputation. Instead of giving up hope, claimant is pioneering a new approach to this problem. Claimant and  claimant's supporters call for more resources to review claims like claimant's. Here are some highlights of claimant's compelling case for actual innocence.</v>
      </c>
      <c r="AG2013" s="628" t="str">
        <f>CONCATENATE(AH2013,AI2013,AJ2013,AK2013,AL2013,AM2013,AN2013,AO2013,AP2013,AQ2013,AR2013,AS2014,AT2014,AU2014,AW2014,AX2014,AY2014,AZ2014,BA2014,BB2014)</f>
        <v>Today, Claimantdamaged reputation. Instead of giving up hope, claimant is pioneering a new approach to this problem. Claimant and  claimant's</v>
      </c>
      <c r="AI2013" s="4" t="s">
        <v>4186</v>
      </c>
      <c r="AJ2013" s="4" t="str">
        <f>AJ2007</f>
        <v>Claimant</v>
      </c>
      <c r="AK2013" s="4" t="str">
        <f>AV312</f>
        <v>damaged reputation</v>
      </c>
      <c r="AM2013" s="4" t="s">
        <v>4190</v>
      </c>
      <c r="AN2013" s="4" t="str">
        <f>BH206</f>
        <v>claimant</v>
      </c>
      <c r="AO2013" s="4" t="s">
        <v>4189</v>
      </c>
      <c r="AP2013" s="4" t="str">
        <f>BG206</f>
        <v>Claimant</v>
      </c>
      <c r="AQ2013" s="4" t="s">
        <v>4194</v>
      </c>
      <c r="AR2013" s="4" t="str">
        <f>BJ206</f>
        <v>claimant's</v>
      </c>
      <c r="AS2013" s="4" t="s">
        <v>4195</v>
      </c>
      <c r="AT2013" s="4" t="str">
        <f>BJ206</f>
        <v>claimant's</v>
      </c>
      <c r="AU2013" s="4" t="s">
        <v>4196</v>
      </c>
      <c r="AV2013" s="4" t="str">
        <f>AT2013</f>
        <v>claimant's</v>
      </c>
      <c r="AW2013" s="4" t="s">
        <v>4197</v>
      </c>
      <c r="BB2013" s="388"/>
    </row>
    <row r="2014" spans="1:54" s="4" customFormat="1" x14ac:dyDescent="0.3">
      <c r="A2014" s="246"/>
      <c r="B2014" s="644" t="str">
        <f>IF(C2014="","","* ")</f>
        <v xml:space="preserve">* </v>
      </c>
      <c r="C2014" s="1146" t="s">
        <v>526</v>
      </c>
      <c r="D2014" s="1146"/>
      <c r="E2014" s="634"/>
      <c r="F2014" s="246"/>
      <c r="AC2014" s="627" t="s">
        <v>64</v>
      </c>
      <c r="AF2014" s="628" t="str">
        <f>CONCATENATE(AH2014,AI2014,AJ2014,AK2014,AL2014,AM2014,AN2014,AO2014,AP2014,AQ2014,AR2014,AS2014,AT2014,AU2014,AV2014,AW2014,AX2014,AY2014,AZ2014,BA2014,BB2014)</f>
        <v/>
      </c>
      <c r="AG2014" s="628" t="str">
        <f>CONCATENATE(AH2014,AI2014,AJ2014,AK2014,AL2014,AM2014,AN2014,AO2014,AP2014,AQ2014,AR2014,AS2015,AT2015,AU2015,AW2015,AX2015,AY2015,AZ2015,BA2015,BB2015)</f>
        <v/>
      </c>
      <c r="BB2014" s="388"/>
    </row>
    <row r="2015" spans="1:54" s="4" customFormat="1" x14ac:dyDescent="0.3">
      <c r="A2015" s="246"/>
      <c r="B2015" s="644" t="str">
        <f>IF(C2015="","","* ")</f>
        <v xml:space="preserve">* </v>
      </c>
      <c r="C2015" s="1146" t="s">
        <v>528</v>
      </c>
      <c r="D2015" s="1146"/>
      <c r="E2015" s="634"/>
      <c r="F2015" s="246"/>
      <c r="AC2015" s="627" t="s">
        <v>4055</v>
      </c>
      <c r="AE2015" s="503" t="str">
        <f>IF($D$1768=$AQ$1768,AF2015,AG2015)</f>
        <v>REQUIRES PASSKEY</v>
      </c>
      <c r="AF2015" s="628" t="str">
        <f>CONCATENATE(AH2015,AI2015,AJ2015,AK2015,AL2015,AM2015,AN2015,AO2015,AP2015,AQ2015,AR2015,AS2015,AT2015,AU2015,AW2015,AX2015,AY2015,AZ2015,BA2015,BB2015)</f>
        <v/>
      </c>
      <c r="AG2015" s="659" t="s">
        <v>4362</v>
      </c>
      <c r="BA2015" s="388"/>
    </row>
    <row r="2016" spans="1:54" s="4" customFormat="1" x14ac:dyDescent="0.3">
      <c r="A2016" s="246"/>
      <c r="B2016" s="644" t="str">
        <f>IF(C2016="","","* ")</f>
        <v xml:space="preserve">* </v>
      </c>
      <c r="C2016" s="1146" t="s">
        <v>530</v>
      </c>
      <c r="D2016" s="1146"/>
      <c r="E2016" s="246"/>
      <c r="F2016" s="246"/>
      <c r="AC2016" s="627" t="s">
        <v>3288</v>
      </c>
      <c r="AE2016" s="503" t="str">
        <f>IF($D$1768=$AQ$1768,AF2016,AG2016)</f>
        <v>REQUIRES PASSKEY</v>
      </c>
      <c r="AF2016" s="628" t="str">
        <f>CONCATENATE(AH2016,AI2016,AJ2016,AK2016,AL2016,AM2016,AN2016,AO2016,AP2016,AQ2016,AR2016,AS2016,AT2016,AU2016,AW2016,AX2016,AY2016,AZ2016,BA2016,BB2016)</f>
        <v/>
      </c>
      <c r="AG2016" s="659" t="s">
        <v>4362</v>
      </c>
      <c r="BA2016" s="388"/>
    </row>
    <row r="2017" spans="1:64" s="4" customFormat="1" x14ac:dyDescent="0.3">
      <c r="A2017" s="246"/>
      <c r="B2017" s="246"/>
      <c r="C2017" s="246"/>
      <c r="D2017" s="246"/>
      <c r="E2017" s="246"/>
      <c r="F2017" s="246"/>
      <c r="AC2017" s="632">
        <f>IF($B$1988=$AQ$1983,AF2019,IF($B$1988=$AQ$1984,AF2020,IF($B$1988=$AQ$1985,AF2021,IF($B$1988=$AQ$1986,AF2022,))))</f>
        <v>0</v>
      </c>
      <c r="BB2017" s="388"/>
    </row>
    <row r="2018" spans="1:64" s="4" customFormat="1" x14ac:dyDescent="0.3">
      <c r="A2018" s="246"/>
      <c r="B2018" s="1047" t="str">
        <f>IF(B1988="","",AC2017)</f>
        <v/>
      </c>
      <c r="C2018" s="1047"/>
      <c r="D2018" s="1047"/>
      <c r="E2018" s="1047"/>
      <c r="F2018" s="246"/>
      <c r="AC2018" s="627"/>
      <c r="AF2018" s="508" t="str">
        <f>IF($B$1988="",AG2018,AT$1994)</f>
        <v>5. A</v>
      </c>
      <c r="AG2018" s="4" t="s">
        <v>4170</v>
      </c>
      <c r="AK2018" s="503"/>
      <c r="BB2018" s="388"/>
    </row>
    <row r="2019" spans="1:64" s="4" customFormat="1" x14ac:dyDescent="0.3">
      <c r="A2019" s="246"/>
      <c r="B2019" s="1047"/>
      <c r="C2019" s="1047"/>
      <c r="D2019" s="1047"/>
      <c r="E2019" s="1047"/>
      <c r="F2019" s="246"/>
      <c r="AC2019" s="627" t="s">
        <v>62</v>
      </c>
      <c r="AF2019" s="628" t="str">
        <f>CONCATENATE(AH2019,AI2019,AJ2019,AK2019,AL2019,AM2019,AN2019,AO2019,AP2019,AQ2019,AR2019,AS2019,AT2019,AU2019,AV2019,AW2019,AX2019,AY2019,AZ2019,BA2019,BB2019)</f>
        <v>You can learn more about Claimant's story at . claimant's compelling innocence claim is one among a growing number using this introductory platform at https://www.valuerelating.com/unexonerated. See how Claimant's story cries out for better resources to identify and clear the innocent damaged reputation. Starting with Claimant claimantself.</v>
      </c>
      <c r="AG2019" s="628" t="str">
        <f>CONCATENATE(AH2019,AI2019,AJ2019,AK2019,AL2019,AM2019,AN2019,AO2019,AP2019,AQ2019,AR2019,AS2020,AT2020,AU2020,AW2020,AX2020,AY2020,AZ2020,BA2020,BB2020)</f>
        <v>You can learn more about Claimant's story at . claimant's compelling innocence claim is one among a growing number using this introductory platform at https://www.valuerelating.com/unexonerated. See how Claimant</v>
      </c>
      <c r="AI2019" s="4" t="s">
        <v>4198</v>
      </c>
      <c r="AJ2019" s="4" t="str">
        <f>AN202</f>
        <v>Claimant</v>
      </c>
      <c r="AK2019" s="503" t="s">
        <v>4199</v>
      </c>
      <c r="AL2019" s="4" t="str">
        <f>B1930</f>
        <v/>
      </c>
      <c r="AM2019" s="4" t="s">
        <v>4029</v>
      </c>
      <c r="AN2019" s="4" t="str">
        <f>BK206</f>
        <v>claimant's</v>
      </c>
      <c r="AO2019" s="4" t="s">
        <v>4200</v>
      </c>
      <c r="AP2019" s="4" t="s">
        <v>4201</v>
      </c>
      <c r="AQ2019" s="4" t="s">
        <v>4202</v>
      </c>
      <c r="AR2019" s="4" t="str">
        <f>AN202</f>
        <v>Claimant</v>
      </c>
      <c r="AS2019" s="503" t="s">
        <v>4203</v>
      </c>
      <c r="AT2019" s="4" t="str">
        <f>AV314</f>
        <v>damaged reputation</v>
      </c>
      <c r="AU2019" s="4" t="s">
        <v>4204</v>
      </c>
      <c r="AV2019" s="4" t="str">
        <f>AN202</f>
        <v>Claimant</v>
      </c>
      <c r="AW2019" s="4" t="s">
        <v>4060</v>
      </c>
      <c r="AX2019" s="4" t="str">
        <f>BI206</f>
        <v>claimant</v>
      </c>
      <c r="AY2019" s="4" t="s">
        <v>4205</v>
      </c>
      <c r="BB2019" s="388"/>
    </row>
    <row r="2020" spans="1:64" s="4" customFormat="1" x14ac:dyDescent="0.3">
      <c r="A2020" s="246"/>
      <c r="B2020" s="1047"/>
      <c r="C2020" s="1047"/>
      <c r="D2020" s="1047"/>
      <c r="E2020" s="1047"/>
      <c r="F2020" s="246"/>
      <c r="AC2020" s="627" t="s">
        <v>64</v>
      </c>
      <c r="AF2020" s="628" t="str">
        <f>CONCATENATE(AH2020,AI2020,AJ2020,AK2020,AL2020,AM2020,AN2020,AO2020,AP2020,AQ2020,AR2020,AS2020,AT2020,AU2020,AV2020,AW2020,AX2020,AY2020,AZ2020,BA2020,BB2020)</f>
        <v/>
      </c>
      <c r="AG2020" s="628" t="str">
        <f>CONCATENATE(AH2020,AI2020,AJ2020,AK2020,AL2020,AM2020,AN2020,AO2020,AP2020,AQ2020,AR2020,AS2021,AT2021,AU2021,AW2021,AX2021,AY2021,AZ2021,BA2021,BB2021)</f>
        <v/>
      </c>
      <c r="BB2020" s="388"/>
    </row>
    <row r="2021" spans="1:64" s="4" customFormat="1" x14ac:dyDescent="0.3">
      <c r="A2021" s="246"/>
      <c r="B2021" s="1047"/>
      <c r="C2021" s="1047"/>
      <c r="D2021" s="1047"/>
      <c r="E2021" s="1047"/>
      <c r="F2021" s="246"/>
      <c r="AC2021" s="627" t="s">
        <v>4055</v>
      </c>
      <c r="AE2021" s="503" t="str">
        <f>IF($D$1768=$AQ$1768,AF2021,AG2021)</f>
        <v>REQUIRES PASSKEY</v>
      </c>
      <c r="AF2021" s="628" t="str">
        <f>CONCATENATE(AH2021,AI2021,AJ2021,AK2021,AL2021,AM2021,AN2021,AO2021,AP2021,AQ2021,AR2021,AS2021,AT2021,AU2021,AW2021,AX2021,AY2021,AZ2021,BA2021,BB2021)</f>
        <v/>
      </c>
      <c r="AG2021" s="659" t="s">
        <v>4362</v>
      </c>
      <c r="BA2021" s="388"/>
    </row>
    <row r="2022" spans="1:64" s="4" customFormat="1" x14ac:dyDescent="0.3">
      <c r="A2022" s="246"/>
      <c r="B2022" s="1047"/>
      <c r="C2022" s="1047"/>
      <c r="D2022" s="1047"/>
      <c r="E2022" s="1047"/>
      <c r="F2022" s="246"/>
      <c r="AC2022" s="627" t="s">
        <v>3288</v>
      </c>
      <c r="AE2022" s="503" t="str">
        <f>IF($D$1768=$AQ$1768,AF2022,AG2022)</f>
        <v>REQUIRES PASSKEY</v>
      </c>
      <c r="AF2022" s="628" t="str">
        <f>CONCATENATE(AH2022,AI2022,AJ2022,AK2022,AL2022,AM2022,AN2022,AO2022,AP2022,AQ2022,AR2022,AS2022,AT2022,AU2022,AW2022,AX2022,AY2022,AZ2022,BA2022,BB2022)</f>
        <v/>
      </c>
      <c r="AG2022" s="659" t="s">
        <v>4362</v>
      </c>
      <c r="BA2022" s="388"/>
    </row>
    <row r="2023" spans="1:64" s="4" customFormat="1" x14ac:dyDescent="0.3">
      <c r="A2023" s="246"/>
      <c r="B2023" s="1047"/>
      <c r="C2023" s="1047"/>
      <c r="D2023" s="1047"/>
      <c r="E2023" s="1047"/>
      <c r="F2023" s="246"/>
      <c r="AC2023" s="389"/>
      <c r="BB2023" s="388"/>
    </row>
    <row r="2024" spans="1:64" s="4" customFormat="1" x14ac:dyDescent="0.3">
      <c r="A2024" s="246"/>
      <c r="B2024" s="246"/>
      <c r="C2024" s="246"/>
      <c r="D2024" s="246"/>
      <c r="E2024" s="246"/>
      <c r="F2024" s="246"/>
      <c r="AC2024" s="389"/>
      <c r="BB2024" s="388"/>
    </row>
    <row r="2025" spans="1:64" s="4" customFormat="1" ht="14.5" thickBot="1" x14ac:dyDescent="0.35">
      <c r="A2025" s="246"/>
      <c r="B2025" s="246"/>
      <c r="C2025" s="246"/>
      <c r="D2025" s="246"/>
      <c r="E2025" s="246"/>
      <c r="F2025" s="246"/>
      <c r="AC2025" s="389"/>
      <c r="BB2025" s="388"/>
    </row>
    <row r="2026" spans="1:64" s="4" customFormat="1" x14ac:dyDescent="0.3">
      <c r="A2026" s="518"/>
      <c r="B2026" s="519"/>
      <c r="C2026" s="519"/>
      <c r="D2026" s="519"/>
      <c r="E2026" s="519"/>
      <c r="F2026" s="520"/>
      <c r="AC2026" s="389"/>
      <c r="BB2026" s="388"/>
    </row>
    <row r="2027" spans="1:64" s="4" customFormat="1" x14ac:dyDescent="0.3">
      <c r="A2027" s="521"/>
      <c r="B2027" s="661" t="s">
        <v>3567</v>
      </c>
      <c r="C2027" s="660"/>
      <c r="D2027" s="662"/>
      <c r="E2027" s="522"/>
      <c r="F2027" s="523"/>
      <c r="AC2027" s="389"/>
      <c r="BB2027" s="388"/>
    </row>
    <row r="2028" spans="1:64" s="4" customFormat="1" ht="14.5" thickBot="1" x14ac:dyDescent="0.35">
      <c r="A2028" s="524"/>
      <c r="B2028" s="525"/>
      <c r="C2028" s="525"/>
      <c r="D2028" s="525"/>
      <c r="E2028" s="525"/>
      <c r="F2028" s="526"/>
      <c r="AC2028" s="389"/>
      <c r="BB2028" s="388"/>
    </row>
    <row r="2029" spans="1:64" s="4" customFormat="1" ht="30" customHeight="1" x14ac:dyDescent="0.3">
      <c r="A2029" s="862" t="s">
        <v>89</v>
      </c>
      <c r="B2029" s="862" t="s">
        <v>3462</v>
      </c>
      <c r="C2029" s="862"/>
      <c r="D2029" s="1175" t="s">
        <v>3513</v>
      </c>
      <c r="E2029" s="864"/>
      <c r="F2029" s="864"/>
      <c r="AC2029" s="389"/>
      <c r="BB2029" s="388"/>
    </row>
    <row r="2030" spans="1:64" s="4" customFormat="1" x14ac:dyDescent="0.3">
      <c r="A2030" s="246"/>
      <c r="B2030" s="246"/>
      <c r="C2030" s="246"/>
      <c r="D2030" s="246"/>
      <c r="E2030" s="246"/>
      <c r="F2030" s="246"/>
      <c r="AC2030" s="389"/>
      <c r="AI2030" s="508" t="str">
        <f>IF(C2032=AE2031,AI2031,IF(C2032=AE2032,AI2032,IF(C2032=AE2033,AI2033,IF(C2032=AE2034,AI2034,AI2035))))</f>
        <v>SELECT A RECIPIENT ABOVE TO SEE THE SUBJECT LINE</v>
      </c>
      <c r="BB2030" s="388"/>
      <c r="BL2030" s="508" t="str">
        <f>IF(C2033=AX2031,BL2031,IF(C2033=AX2032,BL2032,IF(C2033=AX2033,BL2033,IF(C2033=AX2034,BL2034,""))))</f>
        <v xml:space="preserve">I represent Claimant and Proxy. </v>
      </c>
    </row>
    <row r="2031" spans="1:64" s="4" customFormat="1" ht="14.5" thickBot="1" x14ac:dyDescent="0.35">
      <c r="A2031" s="246"/>
      <c r="B2031" s="246"/>
      <c r="C2031" s="246"/>
      <c r="D2031" s="246"/>
      <c r="E2031" s="246"/>
      <c r="F2031" s="246"/>
      <c r="AC2031" s="627" t="s">
        <v>62</v>
      </c>
      <c r="AE2031" s="4" t="str">
        <f>AP1937</f>
        <v>friendly media</v>
      </c>
      <c r="AI2031" s="4" t="s">
        <v>4269</v>
      </c>
      <c r="AX2031" s="4" t="str">
        <f>BG202</f>
        <v>Claimant</v>
      </c>
      <c r="BB2031" s="388"/>
      <c r="BD2031" s="4" t="str">
        <f>IF(C$2033=AX$2031,"I",IF(C$2033=AX$2032,BG206,IF(C$2033=AX$2033,"We",IF(C$2033=AX$2034,"They",""))))</f>
        <v>They</v>
      </c>
      <c r="BE2031" s="645" t="s">
        <v>4274</v>
      </c>
      <c r="BL2031" s="4" t="str">
        <f>CONCATENATE("My name is ",AX2031,". ")</f>
        <v xml:space="preserve">My name is Claimant. </v>
      </c>
    </row>
    <row r="2032" spans="1:64" s="4" customFormat="1" ht="14.5" thickBot="1" x14ac:dyDescent="0.35">
      <c r="A2032" s="246"/>
      <c r="B2032" s="477" t="s">
        <v>1408</v>
      </c>
      <c r="C2032" s="531"/>
      <c r="D2032" s="479"/>
      <c r="E2032" s="479"/>
      <c r="F2032" s="246"/>
      <c r="AC2032" s="627" t="s">
        <v>64</v>
      </c>
      <c r="AE2032" s="4" t="str">
        <f>AP1938</f>
        <v>podcaster</v>
      </c>
      <c r="AI2032" s="4" t="s">
        <v>4270</v>
      </c>
      <c r="AX2032" s="4" t="str">
        <f>BG212</f>
        <v>Proxy</v>
      </c>
      <c r="BB2032" s="388"/>
      <c r="BD2032" s="4" t="str">
        <f>IF(C$2033=AX$2031,"I",IF(C$2033=AX$2032,BH206,IF(C$2033=AX$2033,"we",IF(C$2033=AX$2034,"they",""))))</f>
        <v>they</v>
      </c>
      <c r="BE2032" s="645" t="s">
        <v>4275</v>
      </c>
      <c r="BL2032" s="4" t="str">
        <f>CONCATENATE("My name is ",AX2032,". ")</f>
        <v xml:space="preserve">My name is Proxy. </v>
      </c>
    </row>
    <row r="2033" spans="1:79" s="4" customFormat="1" ht="14.5" thickBot="1" x14ac:dyDescent="0.35">
      <c r="A2033" s="246"/>
      <c r="B2033" s="477" t="s">
        <v>1409</v>
      </c>
      <c r="C2033" s="531"/>
      <c r="D2033" s="479"/>
      <c r="E2033" s="479"/>
      <c r="F2033" s="246"/>
      <c r="AC2033" s="627" t="s">
        <v>4055</v>
      </c>
      <c r="AE2033" s="4" t="str">
        <f>AP1939</f>
        <v>local media</v>
      </c>
      <c r="AI2033" s="4" t="s">
        <v>4271</v>
      </c>
      <c r="AX2033" s="4" t="str">
        <f>AC1938</f>
        <v>Claimant &amp; Proxy</v>
      </c>
      <c r="BB2033" s="388"/>
      <c r="BD2033" s="4" t="str">
        <f>IF(C$2033=AX$2031,"me",IF(C$2033=AX$2032,BI206,IF(C$2033=AX$2033,"us",IF(C$2033=AX$2034,"them",""))))</f>
        <v>them</v>
      </c>
      <c r="BE2033" s="645" t="s">
        <v>4276</v>
      </c>
      <c r="BL2033" s="4" t="str">
        <f>CONCATENATE("Our names are ",AX2031," and ",AX2032,". ")</f>
        <v xml:space="preserve">Our names are Claimant and Proxy. </v>
      </c>
    </row>
    <row r="2034" spans="1:79" s="4" customFormat="1" x14ac:dyDescent="0.3">
      <c r="A2034" s="246"/>
      <c r="B2034" s="477" t="s">
        <v>1410</v>
      </c>
      <c r="C2034" s="527">
        <f ca="1">TODAY()</f>
        <v>45774</v>
      </c>
      <c r="D2034" s="479"/>
      <c r="E2034" s="479"/>
      <c r="F2034" s="246"/>
      <c r="AC2034" s="627" t="s">
        <v>3288</v>
      </c>
      <c r="AE2034" s="4" t="str">
        <f>AP1940</f>
        <v>legacy media</v>
      </c>
      <c r="AI2034" s="4" t="s">
        <v>4272</v>
      </c>
      <c r="AX2034" s="4" t="str">
        <f>IF(D1770=AQ1770,"Value Relating","")</f>
        <v/>
      </c>
      <c r="BB2034" s="388"/>
      <c r="BD2034" s="4" t="str">
        <f>IF(C$2033=AX$2031,"my",IF(C$2033=AX$2032,BJ206,IF(C$2033=AX$2033,"our",IF(C$2033=AX$2034,"their",""))))</f>
        <v>their</v>
      </c>
      <c r="BE2034" s="645" t="s">
        <v>4277</v>
      </c>
      <c r="BL2034" s="4" t="str">
        <f>CONCATENATE("I represent ",AX2031," and ",AX2032,". ")</f>
        <v xml:space="preserve">I represent Claimant and Proxy. </v>
      </c>
    </row>
    <row r="2035" spans="1:79" s="4" customFormat="1" x14ac:dyDescent="0.3">
      <c r="A2035" s="246"/>
      <c r="B2035" s="477" t="s">
        <v>1411</v>
      </c>
      <c r="C2035" s="1118" t="str">
        <f>AI2030</f>
        <v>SELECT A RECIPIENT ABOVE TO SEE THE SUBJECT LINE</v>
      </c>
      <c r="D2035" s="1118"/>
      <c r="E2035" s="1118"/>
      <c r="F2035" s="246"/>
      <c r="AC2035" s="389"/>
      <c r="AI2035" s="4" t="s">
        <v>4273</v>
      </c>
      <c r="BB2035" s="388"/>
      <c r="BD2035" s="4" t="str">
        <f>IF(C$2033=AX$2031,"My",IF(C$2033=AX$2032,"Our",IF(C$2033=AX$2033,"Our",IF(C$2033=AX$2034,"Their",""))))</f>
        <v>Their</v>
      </c>
      <c r="BL2035" s="646" t="str">
        <f>CONCATENATE("His name is ",AX2031)</f>
        <v>His name is Claimant</v>
      </c>
    </row>
    <row r="2036" spans="1:79" s="4" customFormat="1" x14ac:dyDescent="0.3">
      <c r="A2036" s="246"/>
      <c r="B2036" s="246"/>
      <c r="C2036" s="246"/>
      <c r="D2036" s="246"/>
      <c r="E2036" s="246"/>
      <c r="F2036" s="246"/>
      <c r="AC2036" s="389"/>
      <c r="BB2036" s="388"/>
      <c r="CA2036" s="4">
        <f>B680</f>
        <v>0</v>
      </c>
    </row>
    <row r="2037" spans="1:79" s="4" customFormat="1" x14ac:dyDescent="0.3">
      <c r="A2037" s="246"/>
      <c r="B2037" s="1047" t="str">
        <f>IF(OR(BN2037&lt;2,C2032=""),BO2037,AC2040)</f>
        <v>HOW DID YOU REGARD THE COMPLAINING VICTIM?</v>
      </c>
      <c r="C2037" s="1047"/>
      <c r="D2037" s="1047"/>
      <c r="E2037" s="1047"/>
      <c r="F2037" s="246"/>
      <c r="AC2037" s="389"/>
      <c r="BB2037" s="388"/>
      <c r="BN2037" s="508">
        <f>IF(OR(BN2038&gt;1,BN2039&gt;1,BN2040&gt;1,BN2041&gt;1),2,"")</f>
        <v>2</v>
      </c>
      <c r="BO2037" s="4" t="s">
        <v>4302</v>
      </c>
    </row>
    <row r="2038" spans="1:79" s="4" customFormat="1" x14ac:dyDescent="0.3">
      <c r="A2038" s="246"/>
      <c r="B2038" s="1047"/>
      <c r="C2038" s="1047"/>
      <c r="D2038" s="1047"/>
      <c r="E2038" s="1047"/>
      <c r="F2038" s="246"/>
      <c r="AC2038" s="389"/>
      <c r="BB2038" s="388"/>
      <c r="BL2038" s="626" t="str">
        <f>B676</f>
        <v>Respect for crime victim(s)</v>
      </c>
      <c r="BM2038" s="4">
        <v>42</v>
      </c>
      <c r="BN2038" s="246" t="str">
        <f>IF($B$680=$B$3005,$E$3005,IF($B$680=$B$3006,$E$3006,IF($B$680=$B$3007,$E$3007,IF($B$680=$B$3008,$E$3008,""))))</f>
        <v/>
      </c>
    </row>
    <row r="2039" spans="1:79" s="4" customFormat="1" x14ac:dyDescent="0.3">
      <c r="A2039" s="246"/>
      <c r="B2039" s="1047"/>
      <c r="C2039" s="1047"/>
      <c r="D2039" s="1047"/>
      <c r="E2039" s="1047"/>
      <c r="F2039" s="246"/>
      <c r="AC2039" s="389"/>
      <c r="BB2039" s="388"/>
      <c r="BL2039" s="626" t="str">
        <f>B631</f>
        <v>Perjured testimony or false accusation</v>
      </c>
      <c r="BM2039" s="4">
        <v>34</v>
      </c>
      <c r="BN2039" s="246" t="str">
        <f>IF($B$635=$B$3005,$E$3005,IF($B$635=$B$3006,$E$3006,IF($B$635=$B$3007,$E$3007,IF($B$635=$B$3008,$E$3008,""))))</f>
        <v/>
      </c>
    </row>
    <row r="2040" spans="1:79" s="4" customFormat="1" x14ac:dyDescent="0.3">
      <c r="A2040" s="246"/>
      <c r="B2040" s="1047"/>
      <c r="C2040" s="1047"/>
      <c r="D2040" s="1047"/>
      <c r="E2040" s="1047"/>
      <c r="F2040" s="246"/>
      <c r="AC2040" s="632" t="str">
        <f>IF($B$1988=$AQ$1983,AF2042,IF($B$1988=$AQ$1984,AF2043,IF($B$1988=$AQ$1985,AF2044,IF($B$1988=$AQ$1986,AF2045,""))))</f>
        <v/>
      </c>
      <c r="BB2040" s="388"/>
      <c r="BL2040" s="626" t="str">
        <f>B584</f>
        <v>No actual crime</v>
      </c>
      <c r="BM2040" s="4">
        <v>26</v>
      </c>
      <c r="BN2040" s="246" t="str">
        <f>IF($B$588=$B$3005,$E$3005,IF($B$588=$B$3006,$E$3006,IF($B$588=$B$3007,$E$3007,IF($B$588=$B$3008,$E$3008,""))))</f>
        <v/>
      </c>
    </row>
    <row r="2041" spans="1:79" s="4" customFormat="1" x14ac:dyDescent="0.3">
      <c r="A2041" s="246"/>
      <c r="B2041" s="1047"/>
      <c r="C2041" s="1047"/>
      <c r="D2041" s="1047"/>
      <c r="E2041" s="1047"/>
      <c r="F2041" s="246"/>
      <c r="AF2041" s="508" t="str">
        <f>IF($B$1988="",AG2041,AT$1994)</f>
        <v>0. SELECT A SUBJECT LINE ABOVE TO CHOOSE WHICH MESSAGE TO SEND</v>
      </c>
      <c r="AG2041" s="4" t="s">
        <v>5142</v>
      </c>
      <c r="BB2041" s="388"/>
      <c r="BL2041" s="626" t="str">
        <f>B602</f>
        <v>Complainant retraction</v>
      </c>
      <c r="BM2041" s="4">
        <v>29</v>
      </c>
      <c r="BN2041" s="246" t="str">
        <f>IF($B$606=$B$3005,$E$3005,IF($B$606=$B$3006,$E$3006,IF($B$606=$B$3007,$E$3007,IF($B$606=$B$3008,$E$3008,""))))</f>
        <v/>
      </c>
    </row>
    <row r="2042" spans="1:79" s="4" customFormat="1" ht="13.75" customHeight="1" x14ac:dyDescent="0.3">
      <c r="A2042" s="246"/>
      <c r="B2042" s="1144" t="str">
        <f>IF(OR(BN2037&lt;2,C2032=""),AG2047,AC2046)</f>
        <v>1. SELECT SENDER: FROM CLAIMANT, PROXY OR FROM VALUE RELATING</v>
      </c>
      <c r="C2042" s="1144"/>
      <c r="D2042" s="1144"/>
      <c r="E2042" s="1144"/>
      <c r="F2042" s="246"/>
      <c r="AC2042" s="627" t="s">
        <v>62</v>
      </c>
      <c r="AF2042" s="628" t="str">
        <f>CONCATENATE(AH2042,AI2042,AJ2042,AK2042,AL2042,AM2042,AN2042,AO2042,AP2042,AQ2042,AR2042,AS2042,AT2042,AU2042,AV2042,AW2042,AX2042,AY2042,AZ2042,BA2042,BB2042)</f>
        <v xml:space="preserve">Thank you for your encouraging responses to our support team. Our campaign for Claimant's innocence now reaches a critical milestone. And we need your help to reach it. Could you please pass along the following message to someone special? </v>
      </c>
      <c r="AI2042" s="4" t="s">
        <v>4281</v>
      </c>
      <c r="AJ2042" s="4" t="str">
        <f>AF1984</f>
        <v>Claimant</v>
      </c>
      <c r="AK2042" s="503" t="s">
        <v>4285</v>
      </c>
      <c r="BB2042" s="388"/>
      <c r="BN2042" s="389" t="s">
        <v>3557</v>
      </c>
    </row>
    <row r="2043" spans="1:79" s="4" customFormat="1" x14ac:dyDescent="0.3">
      <c r="A2043" s="246"/>
      <c r="B2043" s="1144"/>
      <c r="C2043" s="1144"/>
      <c r="D2043" s="1144"/>
      <c r="E2043" s="1144"/>
      <c r="F2043" s="246"/>
      <c r="AC2043" s="627" t="s">
        <v>64</v>
      </c>
      <c r="AF2043" s="628" t="str">
        <f>CONCATENATE(AH2043,AI2043,AJ2043,AK2043,AL2043,AM2043,AN2043,AO2043,AP2043,AQ2043,AR2043,AS2043,AT2043,AU2043,AV2043,AW2043,AX2043,AY2043,AZ2043,BA2043,BB2043)</f>
        <v/>
      </c>
      <c r="BB2043" s="388"/>
      <c r="BN2043" s="389" t="s">
        <v>3558</v>
      </c>
    </row>
    <row r="2044" spans="1:79" s="4" customFormat="1" x14ac:dyDescent="0.3">
      <c r="A2044" s="246"/>
      <c r="B2044" s="1144"/>
      <c r="C2044" s="1144"/>
      <c r="D2044" s="1144"/>
      <c r="E2044" s="1144"/>
      <c r="F2044" s="246"/>
      <c r="AC2044" s="627" t="s">
        <v>4055</v>
      </c>
      <c r="AE2044" s="503" t="str">
        <f>IF($D$1768=$AQ$1768,AF2044,AG2044)</f>
        <v>REQUIRES PASSKEY</v>
      </c>
      <c r="AF2044" s="628" t="str">
        <f>CONCATENATE(AH2044,AI2044,AJ2044,AK2044,AL2044,AM2044,AN2044,AO2044,AP2044,AQ2044,AR2044,AS2044,AT2044,AU2044,AW2044,AX2044,AY2044,AZ2044,BA2044,BB2044)</f>
        <v/>
      </c>
      <c r="AG2044" s="659" t="s">
        <v>4362</v>
      </c>
      <c r="BA2044" s="388"/>
      <c r="BN2044" s="389" t="s">
        <v>3559</v>
      </c>
    </row>
    <row r="2045" spans="1:79" s="4" customFormat="1" x14ac:dyDescent="0.3">
      <c r="A2045" s="246"/>
      <c r="B2045" s="1144"/>
      <c r="C2045" s="1144"/>
      <c r="D2045" s="1144"/>
      <c r="E2045" s="1144"/>
      <c r="F2045" s="246"/>
      <c r="AC2045" s="627" t="s">
        <v>3288</v>
      </c>
      <c r="AE2045" s="503" t="str">
        <f>IF($D$1768=$AQ$1768,AF2045,AG2045)</f>
        <v>REQUIRES PASSKEY</v>
      </c>
      <c r="AF2045" s="628" t="str">
        <f>CONCATENATE(AH2045,AI2045,AJ2045,AK2045,AL2045,AM2045,AN2045,AO2045,AP2045,AQ2045,AR2045,AS2045,AT2045,AU2045,AW2045,AX2045,AY2045,AZ2045,BA2045,BB2045)</f>
        <v/>
      </c>
      <c r="AG2045" s="659" t="s">
        <v>4362</v>
      </c>
      <c r="BA2045" s="388"/>
      <c r="BN2045" s="389"/>
    </row>
    <row r="2046" spans="1:79" s="4" customFormat="1" x14ac:dyDescent="0.3">
      <c r="A2046" s="246"/>
      <c r="B2046" s="1144"/>
      <c r="C2046" s="1144"/>
      <c r="D2046" s="1144"/>
      <c r="E2046" s="1144"/>
      <c r="F2046" s="246"/>
      <c r="AC2046" s="632">
        <f>IF($B$1988=$AQ$1983,AF2048,IF($B$1988=$AQ$1984,AF2049,IF($B$1988=$AQ$1985,AF2050,IF($B$1988=$AQ$1986,AF2051,))))</f>
        <v>0</v>
      </c>
      <c r="BB2046" s="388"/>
      <c r="BN2046" s="389" t="s">
        <v>3560</v>
      </c>
    </row>
    <row r="2047" spans="1:79" s="4" customFormat="1" x14ac:dyDescent="0.3">
      <c r="A2047" s="246"/>
      <c r="B2047" s="1144" t="str">
        <f>IF(OR(BN2037&lt;2,C2032=""),AG2053,AC2052)</f>
        <v>2. SELECT FROM WHOM THE MESSAGE IS FROM; ONLY FROM VALUE RELATING WITH A SUBSCRIPTION</v>
      </c>
      <c r="C2047" s="1144"/>
      <c r="D2047" s="1144"/>
      <c r="E2047" s="1144"/>
      <c r="F2047" s="246"/>
      <c r="AC2047" s="627"/>
      <c r="AF2047" s="508" t="str">
        <f>IF($B$1988="",AG2047,AT$1994)</f>
        <v>1. SELECT SENDER: FROM CLAIMANT, PROXY OR FROM VALUE RELATING</v>
      </c>
      <c r="AG2047" s="4" t="s">
        <v>5141</v>
      </c>
      <c r="BB2047" s="388"/>
      <c r="BN2047" s="389" t="s">
        <v>3561</v>
      </c>
    </row>
    <row r="2048" spans="1:79" s="4" customFormat="1" x14ac:dyDescent="0.3">
      <c r="A2048" s="246"/>
      <c r="B2048" s="1144"/>
      <c r="C2048" s="1144"/>
      <c r="D2048" s="1144"/>
      <c r="E2048" s="1144"/>
      <c r="F2048" s="246"/>
      <c r="AC2048" s="627" t="s">
        <v>62</v>
      </c>
      <c r="AF2048" s="628" t="str">
        <f>CONCATENATE(AH2048,AI2048,AJ2048,AK2048,AL2048,AM2048,AN2048,AO2048,AP2048,AQ2048,AR2048,AS2048,AT2048,AU2048,AV2048,AW2048,AX2048,AY2048,AZ2048,BA2048,BB2048)</f>
        <v xml:space="preserve">"Hi. I represent Claimant and Proxy. We're reaching out to you in a spirit of love and mercy. We are in the middle of a campaign to right a wrong. We can now say with 0% certainty that Claimant is actually innocent. </v>
      </c>
      <c r="AG2048" s="628"/>
      <c r="AI2048" s="4" t="s">
        <v>4282</v>
      </c>
      <c r="AJ2048" s="4" t="str">
        <f>BL2030</f>
        <v xml:space="preserve">I represent Claimant and Proxy. </v>
      </c>
      <c r="AK2048" s="4" t="s">
        <v>4286</v>
      </c>
      <c r="AL2048" s="629">
        <f>AI1984</f>
        <v>0</v>
      </c>
      <c r="AM2048" s="503" t="s">
        <v>4284</v>
      </c>
      <c r="AN2048" s="4" t="str">
        <f>AX2031</f>
        <v>Claimant</v>
      </c>
      <c r="AO2048" s="4" t="s">
        <v>4283</v>
      </c>
      <c r="BB2048" s="388"/>
      <c r="BN2048" s="389" t="s">
        <v>3562</v>
      </c>
    </row>
    <row r="2049" spans="1:69" s="4" customFormat="1" x14ac:dyDescent="0.3">
      <c r="A2049" s="246"/>
      <c r="B2049" s="1144"/>
      <c r="C2049" s="1144"/>
      <c r="D2049" s="1144"/>
      <c r="E2049" s="1144"/>
      <c r="F2049" s="246"/>
      <c r="AC2049" s="627" t="s">
        <v>64</v>
      </c>
      <c r="AF2049" s="628" t="str">
        <f>CONCATENATE(AH2049,AI2049,AJ2049,AK2049,AL2049,AM2049,AN2049,AO2049,AP2049,AQ2049,AR2049,AS2049,AT2049,AU2049,AV2049,AW2049,AX2049,AY2049,AZ2049,BA2049,BB2049)</f>
        <v/>
      </c>
      <c r="AG2049" s="628"/>
      <c r="BB2049" s="388"/>
      <c r="BN2049" s="389"/>
    </row>
    <row r="2050" spans="1:69" s="4" customFormat="1" ht="13.75" customHeight="1" x14ac:dyDescent="0.3">
      <c r="A2050" s="246"/>
      <c r="B2050" s="1144"/>
      <c r="C2050" s="1144"/>
      <c r="D2050" s="1144"/>
      <c r="E2050" s="1144"/>
      <c r="F2050" s="246"/>
      <c r="AC2050" s="627" t="s">
        <v>4055</v>
      </c>
      <c r="AE2050" s="503" t="str">
        <f>IF($D$1768=$AQ$1768,AF2050,AG2050)</f>
        <v>REQUIRES PASSKEY</v>
      </c>
      <c r="AF2050" s="628" t="str">
        <f>CONCATENATE(AH2050,AI2050,AJ2050,AK2050,AL2050,AM2050,AN2050,AO2050,AP2050,AQ2050,AR2050,AS2050,AT2050,AU2050,AW2050,AX2050,AY2050,AZ2050,BA2050,BB2050)</f>
        <v/>
      </c>
      <c r="AG2050" s="659" t="s">
        <v>4362</v>
      </c>
      <c r="BA2050" s="388"/>
      <c r="BN2050" s="389"/>
      <c r="BQ2050" s="4" t="s">
        <v>4218</v>
      </c>
    </row>
    <row r="2051" spans="1:69" s="4" customFormat="1" x14ac:dyDescent="0.3">
      <c r="A2051" s="246"/>
      <c r="B2051" s="1144"/>
      <c r="C2051" s="1144"/>
      <c r="D2051" s="1144"/>
      <c r="E2051" s="1144"/>
      <c r="F2051" s="246"/>
      <c r="AC2051" s="627" t="s">
        <v>3288</v>
      </c>
      <c r="AE2051" s="503" t="str">
        <f>IF($D$1768=$AQ$1768,AF2051,AG2051)</f>
        <v>REQUIRES PASSKEY</v>
      </c>
      <c r="AF2051" s="628" t="str">
        <f>CONCATENATE(AH2051,AI2051,AJ2051,AK2051,AL2051,AM2051,AN2051,AO2051,AP2051,AQ2051,AR2051,AS2051,AT2051,AU2051,AW2051,AX2051,AY2051,AZ2051,BA2051,BB2051)</f>
        <v/>
      </c>
      <c r="AG2051" s="659" t="s">
        <v>4362</v>
      </c>
      <c r="BA2051" s="388"/>
      <c r="BN2051" s="389"/>
    </row>
    <row r="2052" spans="1:69" s="4" customFormat="1" ht="13.75" customHeight="1" x14ac:dyDescent="0.3">
      <c r="A2052" s="246"/>
      <c r="B2052" s="1144" t="str">
        <f>IF(OR(BN2037&lt;2,C2032=""),AG2059,AC2058)</f>
        <v>3. FOLLOW UP WITH RECEIVER, IF FORWARDED OR NOT</v>
      </c>
      <c r="C2052" s="1144"/>
      <c r="D2052" s="1144"/>
      <c r="E2052" s="1144"/>
      <c r="F2052" s="246"/>
      <c r="AC2052" s="632">
        <f>IF($B$1988=$AQ$1983,AF2054,IF($B$1988=$AQ$1984,AF2055,IF($B$1988=$AQ$1985,AF2056,IF($B$1988=$AQ$1986,AF2057,))))</f>
        <v>0</v>
      </c>
      <c r="BB2052" s="388"/>
      <c r="BN2052" s="389" t="s">
        <v>3563</v>
      </c>
    </row>
    <row r="2053" spans="1:69" s="4" customFormat="1" x14ac:dyDescent="0.3">
      <c r="A2053" s="246"/>
      <c r="B2053" s="1144"/>
      <c r="C2053" s="1144"/>
      <c r="D2053" s="1144"/>
      <c r="E2053" s="1144"/>
      <c r="F2053" s="246"/>
      <c r="AC2053" s="627"/>
      <c r="AF2053" s="508" t="str">
        <f>IF($B$1988="",AG2053,AT$1994)</f>
        <v>2. SELECT FROM WHOM THE MESSAGE IS FROM; ONLY FROM VALUE RELATING WITH A SUBSCRIPTION</v>
      </c>
      <c r="AG2053" s="4" t="s">
        <v>5144</v>
      </c>
      <c r="BB2053" s="388"/>
      <c r="BN2053" s="389"/>
    </row>
    <row r="2054" spans="1:69" s="4" customFormat="1" x14ac:dyDescent="0.3">
      <c r="A2054" s="246"/>
      <c r="B2054" s="1144"/>
      <c r="C2054" s="1144"/>
      <c r="D2054" s="1144"/>
      <c r="E2054" s="1144"/>
      <c r="F2054" s="246"/>
      <c r="AC2054" s="627" t="s">
        <v>62</v>
      </c>
      <c r="AF2054" s="628" t="str">
        <f>CONCATENATE(AH2054,AI2054,AJ2054,AK2054,AL2054,AM2054,AN2054,AO2054,AP2054,AQ2054,AR2054,AS2054,AT2054,AU2054,AV2054,AW2054,AX2054,AY2054,AZ2054,BA2054,BB2054)</f>
        <v xml:space="preserve">"We undestand this risks bringing up a lot of pain from the past. We fear your pain and our pain will never go away until real justice can be done in a healing way. The law prevents them from contacting you directly. So we asked one of our media contacts to pass along this message of hopeful healing. </v>
      </c>
      <c r="AG2054" s="628" t="str">
        <f>CONCATENATE(AH2054,AI2054,AJ2054,AK2054,AL2054,AM2054,AN2054,AO2054,AP2054,AQ2054,AR2054,AS2055,AT2055,AU2055,AW2055,AX2055,AY2055,AZ2055,BA2055,BB2055)</f>
        <v xml:space="preserve">"We undestand this risks bringing up a lot of pain from the past. We fear your pain and our pain will never go away until real justice can be done in a healing way. The law prevents them from contacting you directly. So we asked one of our media contacts to pass along this message of hopeful healing. </v>
      </c>
      <c r="AI2054" s="4" t="s">
        <v>4300</v>
      </c>
      <c r="AJ2054" s="4" t="str">
        <f>BD2033</f>
        <v>them</v>
      </c>
      <c r="AK2054" s="4" t="s">
        <v>4287</v>
      </c>
      <c r="BB2054" s="388"/>
      <c r="BN2054" s="389"/>
    </row>
    <row r="2055" spans="1:69" s="4" customFormat="1" x14ac:dyDescent="0.3">
      <c r="A2055" s="246"/>
      <c r="B2055" s="1144"/>
      <c r="C2055" s="1144"/>
      <c r="D2055" s="1144"/>
      <c r="E2055" s="1144"/>
      <c r="F2055" s="246"/>
      <c r="AC2055" s="627" t="s">
        <v>64</v>
      </c>
      <c r="AF2055" s="628" t="str">
        <f>CONCATENATE(AH2055,AI2055,AJ2055,AK2055,AL2055,AM2055,AN2055,AO2055,AP2055,AQ2055,AR2055,AS2055,AT2055,AU2055,AV2055,AW2055,AX2055,AY2055,AZ2055,BA2055,BB2055)</f>
        <v/>
      </c>
      <c r="AG2055" s="628"/>
      <c r="BB2055" s="388"/>
      <c r="BN2055" s="389"/>
    </row>
    <row r="2056" spans="1:69" s="4" customFormat="1" x14ac:dyDescent="0.3">
      <c r="A2056" s="246"/>
      <c r="B2056" s="1144"/>
      <c r="C2056" s="1144"/>
      <c r="D2056" s="1144"/>
      <c r="E2056" s="1144"/>
      <c r="F2056" s="246"/>
      <c r="AC2056" s="627" t="s">
        <v>4055</v>
      </c>
      <c r="AE2056" s="503" t="str">
        <f>IF($D$1768=$AQ$1768,AF2056,AG2056)</f>
        <v>REQUIRES PASSKEY</v>
      </c>
      <c r="AF2056" s="628" t="str">
        <f>CONCATENATE(AH2056,AI2056,AJ2056,AK2056,AL2056,AM2056,AN2056,AO2056,AP2056,AQ2056,AR2056,AS2056,AT2056,AU2056,AW2056,AX2056,AY2056,AZ2056,BA2056,BB2056)</f>
        <v/>
      </c>
      <c r="AG2056" s="659" t="s">
        <v>4362</v>
      </c>
      <c r="BA2056" s="388"/>
      <c r="BN2056" s="389"/>
      <c r="BP2056" s="4" t="s">
        <v>4214</v>
      </c>
    </row>
    <row r="2057" spans="1:69" s="4" customFormat="1" x14ac:dyDescent="0.3">
      <c r="A2057" s="246"/>
      <c r="B2057" s="1144" t="str">
        <f>IF(OR(BN2037&lt;2,C2032=""),"",AC2065)</f>
        <v/>
      </c>
      <c r="C2057" s="1144"/>
      <c r="D2057" s="1144"/>
      <c r="E2057" s="1144"/>
      <c r="F2057" s="246"/>
      <c r="AC2057" s="627" t="s">
        <v>3288</v>
      </c>
      <c r="AE2057" s="503" t="str">
        <f>IF($D$1768=$AQ$1768,AF2057,AG2057)</f>
        <v>REQUIRES PASSKEY</v>
      </c>
      <c r="AF2057" s="628" t="str">
        <f>CONCATENATE(AH2057,AI2057,AJ2057,AK2057,AL2057,AM2057,AN2057,AO2057,AP2057,AQ2057,AR2057,AS2057,AT2057,AU2057,AW2057,AX2057,AY2057,AZ2057,BA2057,BB2057)</f>
        <v/>
      </c>
      <c r="AG2057" s="659" t="s">
        <v>4362</v>
      </c>
      <c r="BA2057" s="388"/>
      <c r="BN2057" s="389"/>
    </row>
    <row r="2058" spans="1:69" s="4" customFormat="1" ht="13.75" customHeight="1" x14ac:dyDescent="0.3">
      <c r="A2058" s="246"/>
      <c r="B2058" s="1144"/>
      <c r="C2058" s="1144"/>
      <c r="D2058" s="1144"/>
      <c r="E2058" s="1144"/>
      <c r="F2058" s="246"/>
      <c r="AC2058" s="632">
        <f>IF($B$1988=$AQ$1983,AF2060,IF($B$1988=$AQ$1984,AF2061,IF($B$1988=$AQ$1985,AF2062,IF($B$1988=$AQ$1986,AF2063,))))</f>
        <v>0</v>
      </c>
      <c r="BB2058" s="388"/>
      <c r="BN2058" s="389"/>
      <c r="BP2058" s="4" t="s">
        <v>4215</v>
      </c>
    </row>
    <row r="2059" spans="1:69" s="4" customFormat="1" x14ac:dyDescent="0.3">
      <c r="A2059" s="246"/>
      <c r="B2059" s="1144"/>
      <c r="C2059" s="1144"/>
      <c r="D2059" s="1144"/>
      <c r="E2059" s="1144"/>
      <c r="F2059" s="246"/>
      <c r="AC2059" s="627"/>
      <c r="AF2059" s="508" t="str">
        <f>IF($B$1988="",AG2059,AT$1994)</f>
        <v>3. FOLLOW UP WITH RECEIVER, IF FORWARDED OR NOT</v>
      </c>
      <c r="AG2059" s="4" t="s">
        <v>5143</v>
      </c>
      <c r="BB2059" s="388"/>
      <c r="BN2059" s="389"/>
      <c r="BP2059" s="4" t="s">
        <v>4216</v>
      </c>
    </row>
    <row r="2060" spans="1:69" s="4" customFormat="1" x14ac:dyDescent="0.3">
      <c r="A2060" s="246"/>
      <c r="B2060" s="1144"/>
      <c r="C2060" s="1144"/>
      <c r="D2060" s="1144"/>
      <c r="E2060" s="1144"/>
      <c r="F2060" s="246"/>
      <c r="AC2060" s="627" t="s">
        <v>62</v>
      </c>
      <c r="AF2060" s="628" t="str">
        <f>CONCATENATE(AH2060,AI2060,AJ2060,AK2060,AL2060,AM2060,AN2060,AO2060,AP2060,AQ2060,AR2060,AS2060,AT2060,AU2060,AV2060,AW2060,AX2060,AY2060,AZ2060,BA2060,BB2060)</f>
        <v>"Claimant was in shock at the time, so claimant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AG2060" s="628" t="str">
        <f>CONCATENATE(AH2060,AI2060,AJ2060,AK2060,AL2060,AM2060,AN2060,AO2060,AP2060,AQ2060,AR2060,AS2061,AT2061,AU2061,AW2061,AX2061,AY2061,AZ2061,BA2061,BB2061)</f>
        <v>"Claimant was in shock at the time, so claimant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AI2060" s="4" t="str">
        <f>CONCATENATE("""",AN202)</f>
        <v>"Claimant</v>
      </c>
      <c r="AJ2060" s="4" t="s">
        <v>4288</v>
      </c>
      <c r="AK2060" s="4" t="str">
        <f>BH206</f>
        <v>claimant</v>
      </c>
      <c r="AL2060" s="4" t="s">
        <v>4289</v>
      </c>
      <c r="AM2060" s="4" t="s">
        <v>4217</v>
      </c>
      <c r="AN2060" s="4" t="s">
        <v>4292</v>
      </c>
      <c r="AO2060" s="4" t="s">
        <v>4301</v>
      </c>
      <c r="AP2060" s="4" t="s">
        <v>4290</v>
      </c>
      <c r="AQ2060" s="4" t="s">
        <v>4291</v>
      </c>
      <c r="BB2060" s="388"/>
      <c r="BN2060" s="389"/>
      <c r="BP2060" s="4" t="s">
        <v>4217</v>
      </c>
    </row>
    <row r="2061" spans="1:69" s="4" customFormat="1" x14ac:dyDescent="0.3">
      <c r="A2061" s="246"/>
      <c r="B2061" s="1144"/>
      <c r="C2061" s="1144"/>
      <c r="D2061" s="1144"/>
      <c r="E2061" s="1144"/>
      <c r="F2061" s="246"/>
      <c r="AC2061" s="627" t="s">
        <v>64</v>
      </c>
      <c r="AF2061" s="628" t="str">
        <f>CONCATENATE(AH2061,AI2061,AJ2061,AK2061,AL2061,AM2061,AN2061,AO2061,AP2061,AQ2061,AR2061,AS2061,AT2061,AU2061,AV2061,AW2061,AX2061,AY2061,AZ2061,BA2061,BB2061)</f>
        <v/>
      </c>
      <c r="AG2061" s="628" t="str">
        <f>CONCATENATE(AH2061,AI2061,AJ2061,AK2061,AL2061,AM2061,AN2061,AO2061,AP2061,AQ2061,AR2061,AS2062,AT2062,AU2062,AW2062,AX2062,AY2062,AZ2062,BA2062,BB2062)</f>
        <v/>
      </c>
      <c r="BB2061" s="388"/>
      <c r="BN2061" s="389"/>
    </row>
    <row r="2062" spans="1:69" s="4" customFormat="1" x14ac:dyDescent="0.3">
      <c r="A2062" s="246"/>
      <c r="B2062" s="1144"/>
      <c r="C2062" s="1144"/>
      <c r="D2062" s="1144"/>
      <c r="E2062" s="1144"/>
      <c r="F2062" s="246"/>
      <c r="AC2062" s="627" t="s">
        <v>4055</v>
      </c>
      <c r="AE2062" s="503" t="str">
        <f>IF($D$1768=$AQ$1768,AF2062,AG2062)</f>
        <v>REQUIRES PASSKEY</v>
      </c>
      <c r="AF2062" s="628" t="str">
        <f>CONCATENATE(AH2062,AI2062,AJ2062,AK2062,AL2062,AM2062,AN2062,AO2062,AP2062,AQ2062,AR2062,AS2062,AT2062,AU2062,AW2062,AX2062,AY2062,AZ2062,BA2062,BB2062)</f>
        <v/>
      </c>
      <c r="AG2062" s="659" t="s">
        <v>4362</v>
      </c>
      <c r="BA2062" s="388"/>
      <c r="BN2062" s="389"/>
    </row>
    <row r="2063" spans="1:69" s="4" customFormat="1" x14ac:dyDescent="0.3">
      <c r="A2063" s="246"/>
      <c r="B2063" s="1047" t="str">
        <f>IF(OR(BN2037&lt;2,C2032=""),"",AF2072)</f>
        <v/>
      </c>
      <c r="C2063" s="1047"/>
      <c r="D2063" s="1047"/>
      <c r="E2063" s="1047"/>
      <c r="F2063" s="246"/>
      <c r="AC2063" s="627" t="s">
        <v>3288</v>
      </c>
      <c r="AE2063" s="503" t="str">
        <f>IF($D$1768=$AQ$1768,AF2063,AG2063)</f>
        <v>REQUIRES PASSKEY</v>
      </c>
      <c r="AF2063" s="628" t="str">
        <f>CONCATENATE(AH2063,AI2063,AJ2063,AK2063,AL2063,AM2063,AN2063,AO2063,AP2063,AQ2063,AR2063,AS2063,AT2063,AU2063,AW2063,AX2063,AY2063,AZ2063,BA2063,BB2063)</f>
        <v/>
      </c>
      <c r="AG2063" s="659" t="s">
        <v>4362</v>
      </c>
      <c r="BA2063" s="388"/>
      <c r="BP2063" s="4" t="s">
        <v>4280</v>
      </c>
    </row>
    <row r="2064" spans="1:69" s="4" customFormat="1" x14ac:dyDescent="0.3">
      <c r="A2064" s="246"/>
      <c r="B2064" s="1047"/>
      <c r="C2064" s="1047"/>
      <c r="D2064" s="1047"/>
      <c r="E2064" s="1047"/>
      <c r="F2064" s="246"/>
      <c r="AC2064" s="389"/>
      <c r="BB2064" s="388"/>
    </row>
    <row r="2065" spans="1:54" s="4" customFormat="1" x14ac:dyDescent="0.3">
      <c r="A2065" s="246"/>
      <c r="B2065" s="1047"/>
      <c r="C2065" s="1047"/>
      <c r="D2065" s="1047"/>
      <c r="E2065" s="1047"/>
      <c r="F2065" s="246"/>
      <c r="AC2065" s="632">
        <f>IF($B$1988=$AQ$1983,AF2067,IF($B$1988=$AQ$1984,AF2068,IF($B$1988=$AQ$1985,AF2069,IF($B$1988=$AQ$1986,AF2070,))))</f>
        <v>0</v>
      </c>
      <c r="BB2065" s="388"/>
    </row>
    <row r="2066" spans="1:54" s="4" customFormat="1" x14ac:dyDescent="0.3">
      <c r="A2066" s="246"/>
      <c r="B2066" s="1047"/>
      <c r="C2066" s="1047"/>
      <c r="D2066" s="1047"/>
      <c r="E2066" s="1047"/>
      <c r="F2066" s="246"/>
      <c r="AC2066" s="627"/>
      <c r="AF2066" s="508" t="str">
        <f>IF($B$1988="",AG2066,AT$1994)</f>
        <v>4. AFTER SENDING, SELECT ANOTHER RECIPIENT AND RESET THE SUBJECT LINE</v>
      </c>
      <c r="AG2066" s="4" t="s">
        <v>3605</v>
      </c>
      <c r="BB2066" s="388"/>
    </row>
    <row r="2067" spans="1:54" s="4" customFormat="1" x14ac:dyDescent="0.3">
      <c r="A2067" s="246"/>
      <c r="B2067" s="1047"/>
      <c r="C2067" s="1047"/>
      <c r="D2067" s="1047"/>
      <c r="E2067" s="1047"/>
      <c r="F2067" s="246"/>
      <c r="AC2067" s="627" t="s">
        <v>62</v>
      </c>
      <c r="AF2067" s="628" t="str">
        <f>CONCATENATE(AH2067,AI2067,AJ2067,AK2067,AL2067,AM2067,AN2067,AO2067,AP2067,AQ2067,AR2067,AS2067,AT2067,AU2067,AV2067,AW2067,AX2067,AY2067,AZ2067,BA2067,BB2067)</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AG2067" s="628" t="str">
        <f>CONCATENATE(AH2067,AI2067,AJ2067,AK2067,AL2067,AM2067,AN2067,AO2067,AP2067,AQ2067,AR2067,AS2068,AT2068,AU2068,AW2068,AX2068,AY2068,AZ2068,BA2068,BB2068)</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AI2067" s="4" t="s">
        <v>4293</v>
      </c>
      <c r="AK2067" s="4" t="s">
        <v>4294</v>
      </c>
      <c r="BB2067" s="388"/>
    </row>
    <row r="2068" spans="1:54" s="4" customFormat="1" x14ac:dyDescent="0.3">
      <c r="A2068" s="246"/>
      <c r="B2068" s="1047"/>
      <c r="C2068" s="1047"/>
      <c r="D2068" s="1047"/>
      <c r="E2068" s="1047"/>
      <c r="F2068" s="246"/>
      <c r="AC2068" s="627" t="s">
        <v>64</v>
      </c>
      <c r="AF2068" s="628" t="str">
        <f>CONCATENATE(AH2068,AI2068,AJ2068,AK2068,AL2068,AM2068,AN2068,AO2068,AP2068,AQ2068,AR2068,AS2068,AT2068,AU2068,AV2068,AW2068,AX2068,AY2068,AZ2068,BA2068,BB2068)</f>
        <v/>
      </c>
      <c r="AG2068" s="628" t="str">
        <f>CONCATENATE(AH2068,AI2068,AJ2068,AK2068,AL2068,AM2068,AN2068,AO2068,AP2068,AQ2068,AR2068,AS2069,AT2069,AU2069,AW2069,AX2069,AY2069,AZ2069,BA2069,BB2069)</f>
        <v/>
      </c>
      <c r="BB2068" s="388"/>
    </row>
    <row r="2069" spans="1:54" s="4" customFormat="1" ht="14.5" thickBot="1" x14ac:dyDescent="0.35">
      <c r="A2069" s="246"/>
      <c r="B2069" s="647"/>
      <c r="C2069" s="647"/>
      <c r="D2069" s="647"/>
      <c r="E2069" s="246"/>
      <c r="F2069" s="246"/>
      <c r="AC2069" s="627" t="s">
        <v>4055</v>
      </c>
      <c r="AE2069" s="503" t="str">
        <f>IF($D$1768=$AQ$1768,AF2069,AG2069)</f>
        <v>REQUIRES PASSKEY</v>
      </c>
      <c r="AF2069" s="628" t="str">
        <f>CONCATENATE(AH2069,AI2069,AJ2069,AK2069,AL2069,AM2069,AN2069,AO2069,AP2069,AQ2069,AR2069,AS2069,AT2069,AU2069,AW2069,AX2069,AY2069,AZ2069,BA2069,BB2069)</f>
        <v/>
      </c>
      <c r="AG2069" s="659" t="s">
        <v>4362</v>
      </c>
      <c r="BA2069" s="388"/>
    </row>
    <row r="2070" spans="1:54" s="4" customFormat="1" x14ac:dyDescent="0.3">
      <c r="A2070" s="518"/>
      <c r="B2070" s="519"/>
      <c r="C2070" s="519"/>
      <c r="D2070" s="519"/>
      <c r="E2070" s="519"/>
      <c r="F2070" s="520"/>
      <c r="AC2070" s="627" t="s">
        <v>3288</v>
      </c>
      <c r="AE2070" s="503" t="str">
        <f>IF($D$1768=$AQ$1768,AF2070,AG2070)</f>
        <v>REQUIRES PASSKEY</v>
      </c>
      <c r="AF2070" s="628" t="str">
        <f>CONCATENATE(AH2070,AI2070,AJ2070,AK2070,AL2070,AM2070,AN2070,AO2070,AP2070,AQ2070,AR2070,AS2070,AT2070,AU2070,AW2070,AX2070,AY2070,AZ2070,BA2070,BB2070)</f>
        <v/>
      </c>
      <c r="AG2070" s="659" t="s">
        <v>4362</v>
      </c>
      <c r="BA2070" s="388"/>
    </row>
    <row r="2071" spans="1:54" s="4" customFormat="1" x14ac:dyDescent="0.3">
      <c r="A2071" s="521"/>
      <c r="B2071" s="661" t="s">
        <v>4945</v>
      </c>
      <c r="C2071" s="660"/>
      <c r="D2071" s="662"/>
      <c r="E2071" s="522"/>
      <c r="F2071" s="523"/>
      <c r="AC2071" s="389"/>
      <c r="BB2071" s="388"/>
    </row>
    <row r="2072" spans="1:54" s="4" customFormat="1" ht="14.5" thickBot="1" x14ac:dyDescent="0.35">
      <c r="A2072" s="524"/>
      <c r="B2072" s="525"/>
      <c r="C2072" s="525"/>
      <c r="D2072" s="525"/>
      <c r="E2072" s="525"/>
      <c r="F2072" s="526"/>
      <c r="AC2072" s="389"/>
      <c r="AF2072" s="628" t="str">
        <f>CONCATENATE(AH2072,AI2072,AJ2072,AK2072,AL2072,AM2072,AN2072,AO2072,AP2072,AQ2072,AR2072,AS2072,AT2072,AU2072,AV2072,AW2072,AX2072,AY2072,AZ2072,BA2072,BB2072)</f>
        <v xml:space="preserve">Thank you for passing this on. Once you agree you can pass this message along, they can give you the latest contact information they has. </v>
      </c>
      <c r="AG2072" s="628" t="str">
        <f>CONCATENATE(AH2072,AI2072,AJ2072,AK2072,AL2072,AM2072,AN2072,AO2072,AP2072,AQ2072,AR2072,AS2073,AT2073,AU2073,AW2073,AX2073,AY2073,AZ2073,BA2073,BB2073)</f>
        <v xml:space="preserve">Thank you for passing this on. Once you agree you can pass this message along, they can give you the latest contact information they has. </v>
      </c>
      <c r="AI2072" s="4" t="s">
        <v>4278</v>
      </c>
      <c r="AJ2072" s="4" t="str">
        <f>BD2032</f>
        <v>they</v>
      </c>
      <c r="AK2072" s="4" t="s">
        <v>4279</v>
      </c>
      <c r="AL2072" s="4" t="str">
        <f>BD2032</f>
        <v>they</v>
      </c>
      <c r="AM2072" s="4" t="str">
        <f>IF(C2038=AX2037," has. "," have. ")</f>
        <v xml:space="preserve"> has. </v>
      </c>
      <c r="BB2072" s="388"/>
    </row>
    <row r="2073" spans="1:54" s="4" customFormat="1" x14ac:dyDescent="0.3">
      <c r="A2073" s="518"/>
      <c r="B2073" s="519"/>
      <c r="C2073" s="519"/>
      <c r="D2073" s="519"/>
      <c r="E2073" s="519"/>
      <c r="F2073" s="520"/>
      <c r="AC2073" s="389"/>
      <c r="BB2073" s="388"/>
    </row>
    <row r="2074" spans="1:54" s="4" customFormat="1" x14ac:dyDescent="0.3">
      <c r="A2074" s="521"/>
      <c r="B2074" s="661" t="s">
        <v>4944</v>
      </c>
      <c r="C2074" s="660"/>
      <c r="D2074" s="662"/>
      <c r="E2074" s="522"/>
      <c r="F2074" s="523"/>
      <c r="AC2074" s="389"/>
      <c r="BB2074" s="388"/>
    </row>
    <row r="2075" spans="1:54" s="4" customFormat="1" ht="14.5" thickBot="1" x14ac:dyDescent="0.35">
      <c r="A2075" s="524"/>
      <c r="B2075" s="525"/>
      <c r="C2075" s="525"/>
      <c r="D2075" s="525"/>
      <c r="E2075" s="525"/>
      <c r="F2075" s="526"/>
      <c r="AC2075" s="389"/>
      <c r="BB2075" s="388"/>
    </row>
    <row r="2076" spans="1:54" s="4" customFormat="1" ht="30" customHeight="1" x14ac:dyDescent="0.3">
      <c r="A2076" s="862" t="s">
        <v>1412</v>
      </c>
      <c r="B2076" s="1151" t="s">
        <v>3570</v>
      </c>
      <c r="C2076" s="1151"/>
      <c r="D2076" s="1175" t="s">
        <v>3513</v>
      </c>
      <c r="E2076" s="864"/>
      <c r="F2076" s="864"/>
      <c r="AB2076" s="40" t="s">
        <v>3463</v>
      </c>
      <c r="AC2076" s="389"/>
      <c r="BB2076" s="388"/>
    </row>
    <row r="2077" spans="1:54" s="4" customFormat="1" x14ac:dyDescent="0.3">
      <c r="A2077" s="246"/>
      <c r="B2077" s="246"/>
      <c r="C2077" s="246"/>
      <c r="D2077" s="246"/>
      <c r="E2077" s="246"/>
      <c r="F2077" s="246"/>
      <c r="AC2077" s="389"/>
      <c r="AI2077" s="508" t="str">
        <f>IF(C2079=AE2078,AI2078,IF(C2079=AE2079,AI2079,IF(C2079=AE2080,AI2080,IF(C2079=AE2081,AI2081,AI2082))))</f>
        <v>SELECT A RECIPIENT ABOVE TO SEE THE SUBJECT LINE</v>
      </c>
      <c r="BB2077" s="388"/>
    </row>
    <row r="2078" spans="1:54" s="4" customFormat="1" ht="14.5" thickBot="1" x14ac:dyDescent="0.35">
      <c r="A2078" s="246"/>
      <c r="B2078" s="246"/>
      <c r="C2078" s="246"/>
      <c r="D2078" s="246"/>
      <c r="E2078" s="246"/>
      <c r="F2078" s="246"/>
      <c r="AC2078" s="627" t="s">
        <v>62</v>
      </c>
      <c r="AE2078" s="4" t="s">
        <v>4303</v>
      </c>
      <c r="AG2078" s="648" t="s">
        <v>4299</v>
      </c>
      <c r="AI2078" s="4" t="s">
        <v>4306</v>
      </c>
      <c r="BB2078" s="388"/>
    </row>
    <row r="2079" spans="1:54" s="4" customFormat="1" ht="14.5" thickBot="1" x14ac:dyDescent="0.35">
      <c r="A2079" s="246"/>
      <c r="B2079" s="477" t="s">
        <v>1408</v>
      </c>
      <c r="C2079" s="531"/>
      <c r="D2079" s="559" t="str">
        <f>AG2078</f>
        <v>PARTY</v>
      </c>
      <c r="E2079" s="479"/>
      <c r="F2079" s="246"/>
      <c r="AC2079" s="627" t="s">
        <v>64</v>
      </c>
      <c r="AE2079" s="4" t="s">
        <v>4304</v>
      </c>
      <c r="AG2079" s="4" t="s">
        <v>4297</v>
      </c>
      <c r="AI2079" s="4" t="s">
        <v>4307</v>
      </c>
      <c r="BB2079" s="388"/>
    </row>
    <row r="2080" spans="1:54" s="4" customFormat="1" ht="14.5" thickBot="1" x14ac:dyDescent="0.35">
      <c r="A2080" s="246"/>
      <c r="B2080" s="477" t="s">
        <v>1409</v>
      </c>
      <c r="C2080" s="531"/>
      <c r="D2080" s="479"/>
      <c r="E2080" s="479"/>
      <c r="F2080" s="246"/>
      <c r="AC2080" s="627" t="s">
        <v>4055</v>
      </c>
      <c r="AE2080" s="4" t="s">
        <v>4295</v>
      </c>
      <c r="AG2080" s="4" t="s">
        <v>4298</v>
      </c>
      <c r="AI2080" s="4" t="s">
        <v>4305</v>
      </c>
      <c r="BB2080" s="388"/>
    </row>
    <row r="2081" spans="1:84" s="4" customFormat="1" x14ac:dyDescent="0.3">
      <c r="A2081" s="246"/>
      <c r="B2081" s="477" t="s">
        <v>1410</v>
      </c>
      <c r="C2081" s="527">
        <f ca="1">TODAY()</f>
        <v>45774</v>
      </c>
      <c r="D2081" s="479"/>
      <c r="E2081" s="479"/>
      <c r="F2081" s="246"/>
      <c r="AC2081" s="627" t="s">
        <v>3288</v>
      </c>
      <c r="AE2081" s="4" t="s">
        <v>4296</v>
      </c>
      <c r="AG2081" s="4" t="s">
        <v>912</v>
      </c>
      <c r="AI2081" s="4" t="s">
        <v>4305</v>
      </c>
      <c r="BB2081" s="388"/>
      <c r="BF2081" s="4" t="s">
        <v>4322</v>
      </c>
    </row>
    <row r="2082" spans="1:84" s="4" customFormat="1" x14ac:dyDescent="0.3">
      <c r="A2082" s="246"/>
      <c r="B2082" s="477" t="s">
        <v>1411</v>
      </c>
      <c r="C2082" s="1118" t="str">
        <f>AI2077</f>
        <v>SELECT A RECIPIENT ABOVE TO SEE THE SUBJECT LINE</v>
      </c>
      <c r="D2082" s="1118"/>
      <c r="E2082" s="1118"/>
      <c r="F2082" s="246"/>
      <c r="AC2082" s="389"/>
      <c r="AE2082" s="4" t="s">
        <v>4308</v>
      </c>
      <c r="AI2082" s="4" t="s">
        <v>4273</v>
      </c>
      <c r="BB2082" s="388"/>
      <c r="BF2082" s="4" t="s">
        <v>4323</v>
      </c>
    </row>
    <row r="2083" spans="1:84" s="4" customFormat="1" x14ac:dyDescent="0.3">
      <c r="A2083" s="246"/>
      <c r="B2083" s="246"/>
      <c r="C2083" s="246"/>
      <c r="D2083" s="246"/>
      <c r="E2083" s="246"/>
      <c r="F2083" s="246"/>
      <c r="AC2083" s="389"/>
      <c r="BB2083" s="388"/>
    </row>
    <row r="2084" spans="1:84" s="4" customFormat="1" x14ac:dyDescent="0.3">
      <c r="A2084" s="246"/>
      <c r="B2084" s="1047" t="str">
        <f>IF(C2079="",AG2088,AC2087)</f>
        <v>1. SELECT A SUBJECT LINE ABOVE TO CHOOSE WHICH MESSAGE TO SEND</v>
      </c>
      <c r="C2084" s="1047"/>
      <c r="D2084" s="1047"/>
      <c r="E2084" s="1047"/>
      <c r="F2084" s="246"/>
      <c r="AC2084" s="389"/>
      <c r="BB2084" s="388"/>
    </row>
    <row r="2085" spans="1:84" s="4" customFormat="1" x14ac:dyDescent="0.3">
      <c r="A2085" s="246"/>
      <c r="B2085" s="1047"/>
      <c r="C2085" s="1047"/>
      <c r="D2085" s="1047"/>
      <c r="E2085" s="1047"/>
      <c r="F2085" s="246"/>
      <c r="AC2085" s="389"/>
      <c r="BB2085" s="388"/>
    </row>
    <row r="2086" spans="1:84" s="4" customFormat="1" x14ac:dyDescent="0.3">
      <c r="A2086" s="246"/>
      <c r="B2086" s="1047"/>
      <c r="C2086" s="1047"/>
      <c r="D2086" s="1047"/>
      <c r="E2086" s="1047"/>
      <c r="F2086" s="246"/>
      <c r="AC2086" s="389"/>
      <c r="BB2086" s="388"/>
    </row>
    <row r="2087" spans="1:84" s="4" customFormat="1" x14ac:dyDescent="0.3">
      <c r="A2087" s="246"/>
      <c r="B2087" s="1047"/>
      <c r="C2087" s="1047"/>
      <c r="D2087" s="1047"/>
      <c r="E2087" s="1047"/>
      <c r="F2087" s="246"/>
      <c r="AC2087" s="632">
        <f>IF($B$1988=$AQ$1983,AF2089,IF($B$1988=$AQ$1984,AF2090,IF($B$1988=$AQ$1985,AF2091,IF($B$1988=$AQ$1986,AF2092,))))</f>
        <v>0</v>
      </c>
      <c r="BB2087" s="388"/>
      <c r="BJ2087" s="4" t="s">
        <v>3564</v>
      </c>
      <c r="BU2087" s="246" t="s">
        <v>3568</v>
      </c>
    </row>
    <row r="2088" spans="1:84" s="4" customFormat="1" x14ac:dyDescent="0.3">
      <c r="A2088" s="246"/>
      <c r="B2088" s="1047"/>
      <c r="C2088" s="1047"/>
      <c r="D2088" s="1047"/>
      <c r="E2088" s="1047"/>
      <c r="F2088" s="246"/>
      <c r="AF2088" s="508" t="str">
        <f>IF($C$2032="",AG2088,AT$1994)</f>
        <v>1. SELECT A SUBJECT LINE ABOVE TO CHOOSE WHICH MESSAGE TO SEND</v>
      </c>
      <c r="AG2088" s="4" t="s">
        <v>3602</v>
      </c>
      <c r="BB2088" s="388"/>
      <c r="BU2088" s="246"/>
    </row>
    <row r="2089" spans="1:84" s="4" customFormat="1" x14ac:dyDescent="0.3">
      <c r="A2089" s="246"/>
      <c r="B2089" s="1047"/>
      <c r="C2089" s="1047"/>
      <c r="D2089" s="1047"/>
      <c r="E2089" s="1047"/>
      <c r="F2089" s="246"/>
      <c r="AC2089" s="627" t="s">
        <v>62</v>
      </c>
      <c r="AF2089" s="628" t="str">
        <f>CONCATENATE(AH2089,AI2089,AJ2089,AK2089,AL2089,AM2089,AN2089,AO2089,AP2089,AQ2089,AR2089,AS2089,AT2089,AU2089,AV2089,AW2089,AX2089,AY2089,AZ2089,BA2089,BB2089)</f>
        <v>Claimant makes a compelling claim for innocence. Claimantdamaged reputation for a crime we can now know with a degree of certainty that claimant didn't do. Because we now have a tool that can estimate claimant's innocence, by comparing the known details of claimant's case to known exonerations. Called the "Estimated Innocence Form", it calculates Claimant's probable innocence at 0%.</v>
      </c>
      <c r="AI2089" s="4" t="str">
        <f>AX2031</f>
        <v>Claimant</v>
      </c>
      <c r="AJ2089" s="4" t="s">
        <v>4326</v>
      </c>
      <c r="AL2089" s="4" t="str">
        <f>BG206</f>
        <v>Claimant</v>
      </c>
      <c r="AM2089" s="4" t="str">
        <f>AV312</f>
        <v>damaged reputation</v>
      </c>
      <c r="AN2089" s="4" t="s">
        <v>4327</v>
      </c>
      <c r="AO2089" s="4" t="str">
        <f>BH206</f>
        <v>claimant</v>
      </c>
      <c r="AP2089" s="4" t="s">
        <v>4328</v>
      </c>
      <c r="AQ2089" s="4" t="str">
        <f>BJ206</f>
        <v>claimant's</v>
      </c>
      <c r="AR2089" s="4" t="s">
        <v>4329</v>
      </c>
      <c r="AS2089" s="4" t="str">
        <f>AQ2089</f>
        <v>claimant's</v>
      </c>
      <c r="AT2089" s="4" t="s">
        <v>4347</v>
      </c>
      <c r="AU2089" s="4" t="str">
        <f>AN202</f>
        <v>Claimant</v>
      </c>
      <c r="AV2089" s="503" t="s">
        <v>4348</v>
      </c>
      <c r="AW2089" s="629"/>
      <c r="AX2089" s="629">
        <f>AI1984</f>
        <v>0</v>
      </c>
      <c r="AY2089" s="503" t="s">
        <v>4349</v>
      </c>
      <c r="BB2089" s="388"/>
      <c r="BJ2089" s="4" t="s">
        <v>4102</v>
      </c>
      <c r="BU2089" s="246" t="s">
        <v>3569</v>
      </c>
    </row>
    <row r="2090" spans="1:84" s="4" customFormat="1" x14ac:dyDescent="0.3">
      <c r="A2090" s="246"/>
      <c r="B2090" s="1047"/>
      <c r="C2090" s="1047"/>
      <c r="D2090" s="1047"/>
      <c r="E2090" s="1047"/>
      <c r="F2090" s="246"/>
      <c r="AC2090" s="627" t="s">
        <v>64</v>
      </c>
      <c r="AF2090" s="628" t="str">
        <f>CONCATENATE(AH2090,AI2090,AJ2090,AK2090,AL2090,AM2090,AN2090,AO2090,AP2090,AQ2090,AR2090,AS2090,AT2090,AU2090,AV2090,AW2090,AX2090,AY2090,AZ2090,BA2090,BB2090)</f>
        <v/>
      </c>
      <c r="AZ2090" s="629"/>
      <c r="BB2090" s="388"/>
      <c r="BJ2090" s="4" t="s">
        <v>3565</v>
      </c>
      <c r="BU2090" s="246"/>
    </row>
    <row r="2091" spans="1:84" s="4" customFormat="1" x14ac:dyDescent="0.3">
      <c r="A2091" s="246"/>
      <c r="B2091" s="1047"/>
      <c r="C2091" s="1047"/>
      <c r="D2091" s="1047"/>
      <c r="E2091" s="1047"/>
      <c r="F2091" s="246"/>
      <c r="AC2091" s="627" t="s">
        <v>4055</v>
      </c>
      <c r="AE2091" s="503" t="str">
        <f>IF($D$1768=$AQ$1768,AF2091,AG2091)</f>
        <v>REQUIRES PASSKEY</v>
      </c>
      <c r="AF2091" s="628" t="str">
        <f>CONCATENATE(AH2091,AI2091,AJ2091,AK2091,AL2091,AM2091,AN2091,AO2091,AP2091,AQ2091,AR2091,AS2091,AT2091,AU2091,AW2091,AX2091,AY2091,AZ2091,BA2091,BB2091)</f>
        <v/>
      </c>
      <c r="AG2091" s="659" t="s">
        <v>4362</v>
      </c>
      <c r="BA2091" s="388"/>
      <c r="BU2091" s="246" t="s">
        <v>3593</v>
      </c>
    </row>
    <row r="2092" spans="1:84" s="4" customFormat="1" x14ac:dyDescent="0.3">
      <c r="A2092" s="246"/>
      <c r="B2092" s="1047" t="str">
        <f>IF(C2079="",AG2094,AC2093)</f>
        <v>2. SELECT SENDER: FROM CLAIMANT, PROXY OR FROM VALUE RELATING</v>
      </c>
      <c r="C2092" s="1047"/>
      <c r="D2092" s="1047"/>
      <c r="E2092" s="1047"/>
      <c r="F2092" s="246"/>
      <c r="AC2092" s="627" t="s">
        <v>3288</v>
      </c>
      <c r="AE2092" s="503" t="str">
        <f>IF($D$1768=$AQ$1768,AF2092,AG2092)</f>
        <v>REQUIRES PASSKEY</v>
      </c>
      <c r="AF2092" s="628" t="str">
        <f>CONCATENATE(AH2092,AI2092,AJ2092,AK2092,AL2092,AM2092,AN2092,AO2092,AP2092,AQ2092,AR2092,AS2092,AT2092,AU2092,AW2092,AX2092,AY2092,AZ2092,BA2092,BB2092)</f>
        <v/>
      </c>
      <c r="AG2092" s="659" t="s">
        <v>4362</v>
      </c>
      <c r="BA2092" s="388"/>
    </row>
    <row r="2093" spans="1:84" s="4" customFormat="1" x14ac:dyDescent="0.3">
      <c r="A2093" s="246"/>
      <c r="B2093" s="1047"/>
      <c r="C2093" s="1047"/>
      <c r="D2093" s="1047"/>
      <c r="E2093" s="1047"/>
      <c r="F2093" s="246"/>
      <c r="AC2093" s="632">
        <f>IF($B$1988=$AQ$1983,AF2095,IF($B$1988=$AQ$1984,AF2096,IF($B$1988=$AQ$1985,AF2097,IF($B$1988=$AQ$1986,AF2098,))))</f>
        <v>0</v>
      </c>
      <c r="BB2093" s="388"/>
      <c r="CF2093" s="4" t="s">
        <v>4338</v>
      </c>
    </row>
    <row r="2094" spans="1:84" s="4" customFormat="1" x14ac:dyDescent="0.3">
      <c r="A2094" s="246"/>
      <c r="B2094" s="1047"/>
      <c r="C2094" s="1047"/>
      <c r="D2094" s="1047"/>
      <c r="E2094" s="1047"/>
      <c r="F2094" s="246"/>
      <c r="AC2094" s="627"/>
      <c r="AF2094" s="508" t="str">
        <f>IF($B$1988="",AG2094,AT$1994)</f>
        <v>2. SELECT SENDER: FROM CLAIMANT, PROXY OR FROM VALUE RELATING</v>
      </c>
      <c r="AG2094" s="4" t="s">
        <v>3603</v>
      </c>
      <c r="BB2094" s="388"/>
      <c r="BJ2094" s="4" t="s">
        <v>3566</v>
      </c>
    </row>
    <row r="2095" spans="1:84" s="4" customFormat="1" x14ac:dyDescent="0.3">
      <c r="A2095" s="246"/>
      <c r="B2095" s="1047"/>
      <c r="C2095" s="1047"/>
      <c r="D2095" s="1047"/>
      <c r="E2095" s="1047"/>
      <c r="F2095" s="246"/>
      <c r="AC2095" s="627" t="s">
        <v>62</v>
      </c>
      <c r="AF2095" s="628" t="str">
        <f>CONCATENATE(AH2095,AI2095,AJ2095,AK2095,AL2095,AM2095,AN2095,AO2095,AP2095,AQ2095,AR2095,AS2095,AT2095,AU2095,AV2095,AW2095,AX2095,AY2095,AZ2095,BA2095,BB2095)</f>
        <v xml:space="preserve">As a local resident of 0, Claimant relies on the state's innocence projects. But claimant finds them overwhelmed with too many requests to take the time to review claimant's compelling innocence claim. With only FALSE CIUs in 0, which typically have only a limited staff, Claimant's innocence may never be identified and corrected in time. </v>
      </c>
      <c r="AG2095" s="628"/>
      <c r="AI2095" s="4" t="s">
        <v>4330</v>
      </c>
      <c r="AJ2095" s="4">
        <f>B265</f>
        <v>0</v>
      </c>
      <c r="AK2095" s="503" t="s">
        <v>513</v>
      </c>
      <c r="AL2095" s="4" t="str">
        <f>AJ2001</f>
        <v>Claimant</v>
      </c>
      <c r="AM2095" s="4" t="s">
        <v>4331</v>
      </c>
      <c r="AN2095" s="4" t="str">
        <f>AO2089</f>
        <v>claimant</v>
      </c>
      <c r="AO2095" s="4" t="s">
        <v>4332</v>
      </c>
      <c r="AP2095" s="4" t="str">
        <f>AQ2089</f>
        <v>claimant's</v>
      </c>
      <c r="AQ2095" s="4" t="s">
        <v>4333</v>
      </c>
      <c r="AR2095" s="52" t="str">
        <f>IF(BX3211=0,"With no CIUs in ",IF(BX3211=1,"With only one CIU in ",CONCATENATE("With only ",BX3211," CIUs in ")))</f>
        <v xml:space="preserve">With only FALSE CIUs in </v>
      </c>
      <c r="AS2095" s="4">
        <f>B265</f>
        <v>0</v>
      </c>
      <c r="AT2095" s="4" t="s">
        <v>4344</v>
      </c>
      <c r="AU2095" s="503" t="str">
        <f>AN202</f>
        <v>Claimant</v>
      </c>
      <c r="AV2095" s="503" t="s">
        <v>4345</v>
      </c>
      <c r="AY2095" s="503" t="s">
        <v>885</v>
      </c>
      <c r="BB2095" s="388"/>
    </row>
    <row r="2096" spans="1:84" s="4" customFormat="1" x14ac:dyDescent="0.3">
      <c r="A2096" s="246"/>
      <c r="B2096" s="1047"/>
      <c r="C2096" s="1047"/>
      <c r="D2096" s="1047"/>
      <c r="E2096" s="1047"/>
      <c r="F2096" s="246"/>
      <c r="AC2096" s="627" t="s">
        <v>64</v>
      </c>
      <c r="AF2096" s="628" t="str">
        <f>CONCATENATE(AH2096,AI2096,AJ2096,AK2096,AL2096,AM2096,AN2096,AO2096,AP2096,AQ2096,AR2096,AS2096,AT2096,AU2096,AV2096,AW2096,AX2096,AY2096,AZ2096,BA2096,BB2096)</f>
        <v xml:space="preserve">Innocence projects and conviction integrity units cannot keep pace with </v>
      </c>
      <c r="AG2096" s="628"/>
      <c r="AI2096" s="4" t="s">
        <v>4324</v>
      </c>
      <c r="BB2096" s="388"/>
    </row>
    <row r="2097" spans="1:67" s="4" customFormat="1" x14ac:dyDescent="0.3">
      <c r="A2097" s="246"/>
      <c r="B2097" s="1047"/>
      <c r="C2097" s="1047"/>
      <c r="D2097" s="1047"/>
      <c r="E2097" s="1047"/>
      <c r="F2097" s="246"/>
      <c r="AC2097" s="627" t="s">
        <v>4055</v>
      </c>
      <c r="AE2097" s="503" t="str">
        <f>IF($D$1768=$AQ$1768,AF2097,AG2097)</f>
        <v>REQUIRES PASSKEY</v>
      </c>
      <c r="AF2097" s="628" t="str">
        <f>CONCATENATE(AH2097,AI2097,AJ2097,AK2097,AL2097,AM2097,AN2097,AO2097,AP2097,AQ2097,AR2097,AS2097,AT2097,AU2097,AW2097,AX2097,AY2097,AZ2097,BA2097,BB2097)</f>
        <v xml:space="preserve">Innocence projects cannot review every viable innocence claim. </v>
      </c>
      <c r="AG2097" s="659" t="s">
        <v>4362</v>
      </c>
      <c r="AI2097" s="4" t="s">
        <v>4325</v>
      </c>
      <c r="BA2097" s="388"/>
      <c r="BJ2097" s="4" t="str">
        <f>CO3207</f>
        <v>Nationwide, less than 3,000 have been exonerated. [Gross quote}</v>
      </c>
    </row>
    <row r="2098" spans="1:67" s="4" customFormat="1" x14ac:dyDescent="0.3">
      <c r="A2098" s="246"/>
      <c r="B2098" s="1047"/>
      <c r="C2098" s="1047"/>
      <c r="D2098" s="1047"/>
      <c r="E2098" s="1047"/>
      <c r="F2098" s="246"/>
      <c r="AC2098" s="627" t="s">
        <v>3288</v>
      </c>
      <c r="AE2098" s="503" t="str">
        <f>IF($D$1768=$AQ$1768,AF2098,AG2098)</f>
        <v>REQUIRES PASSKEY</v>
      </c>
      <c r="AF2098" s="628" t="str">
        <f>CONCATENATE(AH2098,AI2098,AJ2098,AK2098,AL2098,AM2098,AN2098,AO2098,AP2098,AQ2098,AR2098,AS2098,AT2098,AU2098,AW2098,AX2098,AY2098,AZ2098,BA2098,BB2098)</f>
        <v/>
      </c>
      <c r="AG2098" s="659" t="s">
        <v>4362</v>
      </c>
      <c r="BA2098" s="388"/>
      <c r="BJ2098" s="4" t="str">
        <f>CO3208</f>
        <v xml:space="preserve">Claimaint is estimated to be among the </v>
      </c>
    </row>
    <row r="2099" spans="1:67" s="4" customFormat="1" x14ac:dyDescent="0.3">
      <c r="A2099" s="246"/>
      <c r="B2099" s="1047"/>
      <c r="C2099" s="1047"/>
      <c r="D2099" s="1047"/>
      <c r="E2099" s="1047"/>
      <c r="F2099" s="246"/>
      <c r="AC2099" s="632">
        <f>IF($B$1988=$AQ$1983,AF2101,IF($B$1988=$AQ$1984,AF2102,IF($B$1988=$AQ$1985,AF2103,IF($B$1988=$AQ$1986,AF2104,))))</f>
        <v>0</v>
      </c>
      <c r="BB2099" s="388"/>
      <c r="BJ2099" s="4">
        <f>CO3211</f>
        <v>0</v>
      </c>
    </row>
    <row r="2100" spans="1:67" s="4" customFormat="1" x14ac:dyDescent="0.3">
      <c r="A2100" s="246"/>
      <c r="B2100" s="1047" t="str">
        <f>IF(C2079="",AG2100,AC2099)</f>
        <v>3. SELECT A SUBJECT LINE ABOVE TO CHOOSE WHICH MESSAGE TO SEND</v>
      </c>
      <c r="C2100" s="1047"/>
      <c r="D2100" s="1047"/>
      <c r="E2100" s="1047"/>
      <c r="F2100" s="246"/>
      <c r="AC2100" s="627"/>
      <c r="AF2100" s="508" t="str">
        <f>IF($B$1988="",AG2100,AT$1994)</f>
        <v>3. SELECT A SUBJECT LINE ABOVE TO CHOOSE WHICH MESSAGE TO SEND</v>
      </c>
      <c r="AG2100" s="4" t="s">
        <v>3601</v>
      </c>
      <c r="BB2100" s="388"/>
    </row>
    <row r="2101" spans="1:67" s="4" customFormat="1" x14ac:dyDescent="0.3">
      <c r="A2101" s="246"/>
      <c r="B2101" s="1047"/>
      <c r="C2101" s="1047"/>
      <c r="D2101" s="1047"/>
      <c r="E2101" s="1047"/>
      <c r="F2101" s="246"/>
      <c r="AC2101" s="627" t="s">
        <v>62</v>
      </c>
      <c r="AF2101" s="628" t="str">
        <f>CONCATENATE(AH2101,AI2101,AJ2101,AK2101,AL2101,AM2101,AN2101,AO2101,AP2101,AQ2101,AR2101,AS2101,AT2101,AU2101,AV2101,AW2101,AX2101,AY2101,AZ2101,BA2101,BB2101)</f>
        <v xml:space="preserve">"We know without doubt," declares the editor of the National Registry of Exonerations, "that the vast majority of innocent defendants who are convicted of crimes are never identified and cleared." Nationwide, less than 3,000 have been exonerated. Researchers estimate between .5% and 15.4% of prisoners are wrongly convicted. That suggests Claimant is one of the 0 in 0 (using 2021 data) who are wrongly convicted. </v>
      </c>
      <c r="AG2101" s="628"/>
      <c r="AI2101" s="4" t="str">
        <f>AO2007</f>
        <v xml:space="preserve">"We know without doubt," declares the editor of the National Registry of Exonerations, "that the vast majority of innocent defendants who are convicted of crimes are never identified and cleared." </v>
      </c>
      <c r="AJ2101" s="4" t="s">
        <v>4346</v>
      </c>
      <c r="AK2101" s="4" t="str">
        <f>CF3210</f>
        <v xml:space="preserve">Researchers estimate between .5% and 15.4% of prisoners are wrongly convicted. That suggests Claimant is one of the 0 in 0 (using 2021 data) who are wrongly convicted. </v>
      </c>
      <c r="AL2101" s="503"/>
      <c r="AY2101" s="503" t="s">
        <v>885</v>
      </c>
      <c r="BB2101" s="388"/>
    </row>
    <row r="2102" spans="1:67" s="4" customFormat="1" x14ac:dyDescent="0.3">
      <c r="A2102" s="246"/>
      <c r="B2102" s="1047"/>
      <c r="C2102" s="1047"/>
      <c r="D2102" s="1047"/>
      <c r="E2102" s="1047"/>
      <c r="F2102" s="246"/>
      <c r="AC2102" s="627" t="s">
        <v>64</v>
      </c>
      <c r="AF2102" s="628" t="str">
        <f>CONCATENATE(AH2102,AI2102,AJ2102,AK2102,AL2102,AM2102,AN2102,AO2102,AP2102,AQ2102,AR2102,AS2102,AT2102,AU2102,AV2102,AW2102,AX2102,AY2102,AZ2102,BA2102,BB2102)</f>
        <v/>
      </c>
      <c r="AG2102" s="628"/>
      <c r="BB2102" s="388"/>
    </row>
    <row r="2103" spans="1:67" s="4" customFormat="1" x14ac:dyDescent="0.3">
      <c r="A2103" s="246"/>
      <c r="B2103" s="1047"/>
      <c r="C2103" s="1047"/>
      <c r="D2103" s="1047"/>
      <c r="E2103" s="1047"/>
      <c r="F2103" s="246"/>
      <c r="AC2103" s="627" t="s">
        <v>4055</v>
      </c>
      <c r="AE2103" s="503" t="str">
        <f>IF($D$1768=$AQ$1768,AF2103,AG2103)</f>
        <v>REQUIRES PASSKEY</v>
      </c>
      <c r="AF2103" s="628" t="str">
        <f>CONCATENATE(AH2103,AI2103,AJ2103,AK2103,AL2103,AM2103,AN2103,AO2103,AP2103,AQ2103,AR2103,AS2103,AT2103,AU2103,AW2103,AX2103,AY2103,AZ2103,BA2103,BB2103)</f>
        <v/>
      </c>
      <c r="AG2103" s="659" t="s">
        <v>4362</v>
      </c>
      <c r="BA2103" s="388"/>
    </row>
    <row r="2104" spans="1:67" s="4" customFormat="1" x14ac:dyDescent="0.3">
      <c r="A2104" s="246"/>
      <c r="B2104" s="1047"/>
      <c r="C2104" s="1047"/>
      <c r="D2104" s="1047"/>
      <c r="E2104" s="1047"/>
      <c r="F2104" s="246"/>
      <c r="AC2104" s="627" t="s">
        <v>3288</v>
      </c>
      <c r="AE2104" s="503" t="str">
        <f>IF($D$1768=$AQ$1768,AF2104,AG2104)</f>
        <v>REQUIRES PASSKEY</v>
      </c>
      <c r="AF2104" s="628" t="str">
        <f>CONCATENATE(AH2104,AI2104,AJ2104,AK2104,AL2104,AM2104,AN2104,AO2104,AP2104,AQ2104,AR2104,AS2104,AT2104,AU2104,AW2104,AX2104,AY2104,AZ2104,BA2104,BB2104)</f>
        <v/>
      </c>
      <c r="AG2104" s="659" t="s">
        <v>4362</v>
      </c>
      <c r="BA2104" s="388"/>
    </row>
    <row r="2105" spans="1:67" s="4" customFormat="1" x14ac:dyDescent="0.3">
      <c r="A2105" s="246"/>
      <c r="B2105" s="1047"/>
      <c r="C2105" s="1047"/>
      <c r="D2105" s="1047"/>
      <c r="E2105" s="1047"/>
      <c r="F2105" s="246"/>
      <c r="AC2105" s="632">
        <f>IF($B$1988=$AQ$1983,AF2107,IF($B$1988=$AQ$1984,AF2108,IF($B$1988=$AQ$1985,AF2109,IF($B$1988=$AQ$1986,AF2110,))))</f>
        <v>0</v>
      </c>
      <c r="BB2105" s="388"/>
    </row>
    <row r="2106" spans="1:67" s="4" customFormat="1" x14ac:dyDescent="0.3">
      <c r="A2106" s="246"/>
      <c r="B2106" s="1047"/>
      <c r="C2106" s="1047"/>
      <c r="D2106" s="1047"/>
      <c r="E2106" s="1047"/>
      <c r="F2106" s="246"/>
      <c r="AC2106" s="627"/>
      <c r="AF2106" s="508" t="str">
        <f>IF($B$1988="",AG2106,AT$1994)</f>
        <v>4. AFTER SENDING, SELECT ANOTHER RECIPIENT AND RESET THE SUBJECT LINE</v>
      </c>
      <c r="AG2106" s="4" t="s">
        <v>3605</v>
      </c>
      <c r="BB2106" s="388"/>
      <c r="BI2106" s="4" t="s">
        <v>3283</v>
      </c>
      <c r="BJ2106" s="4" t="s">
        <v>4359</v>
      </c>
    </row>
    <row r="2107" spans="1:67" s="4" customFormat="1" x14ac:dyDescent="0.3">
      <c r="A2107" s="246"/>
      <c r="B2107" s="1047"/>
      <c r="C2107" s="1047"/>
      <c r="D2107" s="1047"/>
      <c r="E2107" s="1047"/>
      <c r="F2107" s="246"/>
      <c r="AC2107" s="627" t="s">
        <v>62</v>
      </c>
      <c r="AF2107" s="628" t="str">
        <f>CONCATENATE(AH2107,AI2107,AJ2107,AK2107,AL2107,AM2107,AN2107,AO2107,AP2107,AQ2107,AR2107,AS2107,AT2107,AU2107,AV2107,AW2107,AX2107,AY2107,AZ2107,BA2107,BB2107)</f>
        <v>The residents of your district want to know they are kept safe. Not only from perpetrators overlooked when the wrong person is convicted, but safe from overzelous law enforcement. I'm worried about the unchecked expansion of the state negaitively impacting society's most disadvantaged populations. For the sake of Claimant and the many others in 0 just like claimant, I implore you to expand or prioritize the budget for FALSEs to address this growing problem. Give claimant's community of supporters a reason to vote for you. Thank you.</v>
      </c>
      <c r="AG2107" s="628"/>
      <c r="AI2107" s="4" t="s">
        <v>4338</v>
      </c>
      <c r="AK2107" s="4" t="str">
        <f>IF(D2079=AG2080,CONCATENATE(BK2109,BJ2106,BO2109,BJ2107),IF(D2079=AG2079,CONCATENATE(BK2109,BJ2107,BO2109,BJ2106),BJ2108))</f>
        <v xml:space="preserve">I'm worried about the unchecked expansion of the state negaitively impacting society's most disadvantaged populations. </v>
      </c>
      <c r="AL2107" s="4" t="s">
        <v>4353</v>
      </c>
      <c r="AM2107" s="4" t="str">
        <f>BG202</f>
        <v>Claimant</v>
      </c>
      <c r="AN2107" s="4" t="s">
        <v>4354</v>
      </c>
      <c r="AO2107" s="4">
        <f>B265</f>
        <v>0</v>
      </c>
      <c r="AP2107" s="4" t="s">
        <v>4355</v>
      </c>
      <c r="AQ2107" s="4" t="str">
        <f>BI206</f>
        <v>claimant</v>
      </c>
      <c r="AR2107" s="4" t="s">
        <v>4356</v>
      </c>
      <c r="AS2107" s="4" t="b">
        <f>BZ3211</f>
        <v>0</v>
      </c>
      <c r="AT2107" s="4" t="s">
        <v>4357</v>
      </c>
      <c r="AU2107" s="4" t="str">
        <f>BJ206</f>
        <v>claimant's</v>
      </c>
      <c r="AV2107" s="4" t="s">
        <v>4358</v>
      </c>
      <c r="BB2107" s="388"/>
      <c r="BI2107" s="4" t="s">
        <v>3288</v>
      </c>
      <c r="BJ2107" s="4" t="s">
        <v>4360</v>
      </c>
    </row>
    <row r="2108" spans="1:67" s="4" customFormat="1" x14ac:dyDescent="0.3">
      <c r="A2108" s="246"/>
      <c r="B2108" s="1047" t="str">
        <f>IF(C2079="",AG2113,AC2105)</f>
        <v>4. AFTER SENDING, SELECT ANOTHER RECIPIENT AND RESET THE SUBJECT LINE</v>
      </c>
      <c r="C2108" s="1047"/>
      <c r="D2108" s="1047"/>
      <c r="E2108" s="1047"/>
      <c r="F2108" s="246"/>
      <c r="AC2108" s="627" t="s">
        <v>64</v>
      </c>
      <c r="AF2108" s="628" t="str">
        <f>CONCATENATE(AH2108,AI2108,AJ2108,AK2108,AL2108,AM2108,AN2108,AO2108,AP2108,AQ2108,AR2108,AS2108,AT2108,AU2108,AV2108,AW2108,AX2108,AY2108,AZ2108,BA2108,BB2108)</f>
        <v/>
      </c>
      <c r="AG2108" s="628" t="str">
        <f>CONCATENATE(AH2108,AI2108,AJ2108,AK2108,AL2108,AM2108,AN2108,AO2108,AP2108,AQ2108,AR2108,AS2109,AT2109,AU2109,AW2109,AX2109,AY2109,AZ2109,BA2109,BB2109)</f>
        <v/>
      </c>
      <c r="BB2108" s="388"/>
      <c r="BJ2108" s="4" t="s">
        <v>4352</v>
      </c>
    </row>
    <row r="2109" spans="1:67" s="4" customFormat="1" x14ac:dyDescent="0.3">
      <c r="A2109" s="246"/>
      <c r="B2109" s="1047"/>
      <c r="C2109" s="1047"/>
      <c r="D2109" s="1047"/>
      <c r="E2109" s="1047"/>
      <c r="F2109" s="246"/>
      <c r="AC2109" s="627" t="s">
        <v>4055</v>
      </c>
      <c r="AE2109" s="503" t="str">
        <f>IF($D$1768=$AQ$1768,AF2109,AG2109)</f>
        <v>REQUIRES PASSKEY</v>
      </c>
      <c r="AF2109" s="628" t="str">
        <f>CONCATENATE(AH2109,AI2109,AJ2109,AK2109,AL2109,AM2109,AN2109,AO2109,AP2109,AQ2109,AR2109,AS2109,AT2109,AU2109,AW2109,AX2109,AY2109,AZ2109,BA2109,BB2109)</f>
        <v/>
      </c>
      <c r="AG2109" s="659" t="s">
        <v>4362</v>
      </c>
      <c r="BA2109" s="388"/>
      <c r="BK2109" s="4" t="s">
        <v>4350</v>
      </c>
      <c r="BO2109" s="4" t="s">
        <v>4351</v>
      </c>
    </row>
    <row r="2110" spans="1:67" s="4" customFormat="1" x14ac:dyDescent="0.3">
      <c r="A2110" s="246"/>
      <c r="B2110" s="1047"/>
      <c r="C2110" s="1047"/>
      <c r="D2110" s="1047"/>
      <c r="E2110" s="1047"/>
      <c r="F2110" s="246"/>
      <c r="AC2110" s="627" t="s">
        <v>3288</v>
      </c>
      <c r="AE2110" s="503" t="str">
        <f>IF($D$1768=$AQ$1768,AF2110,AG2110)</f>
        <v>REQUIRES PASSKEY</v>
      </c>
      <c r="AF2110" s="628" t="str">
        <f>CONCATENATE(AH2110,AI2110,AJ2110,AK2110,AL2110,AM2110,AN2110,AO2110,AP2110,AQ2110,AR2110,AS2110,AT2110,AU2110,AW2110,AX2110,AY2110,AZ2110,BA2110,BB2110)</f>
        <v/>
      </c>
      <c r="AG2110" s="659" t="s">
        <v>4362</v>
      </c>
      <c r="BA2110" s="388"/>
    </row>
    <row r="2111" spans="1:67" s="4" customFormat="1" x14ac:dyDescent="0.3">
      <c r="A2111" s="246"/>
      <c r="B2111" s="1047"/>
      <c r="C2111" s="1047"/>
      <c r="D2111" s="1047"/>
      <c r="E2111" s="1047"/>
      <c r="F2111" s="246"/>
      <c r="AC2111" s="389"/>
      <c r="BB2111" s="388"/>
    </row>
    <row r="2112" spans="1:67" s="4" customFormat="1" x14ac:dyDescent="0.3">
      <c r="A2112" s="246"/>
      <c r="B2112" s="1047"/>
      <c r="C2112" s="1047"/>
      <c r="D2112" s="1047"/>
      <c r="E2112" s="1047"/>
      <c r="F2112" s="246"/>
      <c r="AC2112" s="632">
        <f>IF($B$1988=$AQ$1983,AF2114,IF($B$1988=$AQ$1984,AF2115,IF($B$1988=$AQ$1985,AF2116,IF($B$1988=$AQ$1986,AF2117,))))</f>
        <v>0</v>
      </c>
      <c r="BB2112" s="388"/>
    </row>
    <row r="2113" spans="1:54" s="4" customFormat="1" x14ac:dyDescent="0.3">
      <c r="A2113" s="246"/>
      <c r="B2113" s="1047"/>
      <c r="C2113" s="1047"/>
      <c r="D2113" s="1047"/>
      <c r="E2113" s="1047"/>
      <c r="F2113" s="246"/>
      <c r="AC2113" s="627"/>
      <c r="AF2113" s="508" t="str">
        <f>IF($B$1988="",AG2113,AT$1994)</f>
        <v>4. AFTER SENDING, SELECT ANOTHER RECIPIENT AND RESET THE SUBJECT LINE</v>
      </c>
      <c r="AG2113" s="4" t="s">
        <v>3605</v>
      </c>
      <c r="BB2113" s="388"/>
    </row>
    <row r="2114" spans="1:54" s="4" customFormat="1" x14ac:dyDescent="0.3">
      <c r="A2114" s="246"/>
      <c r="B2114" s="1047"/>
      <c r="C2114" s="1047"/>
      <c r="D2114" s="1047"/>
      <c r="E2114" s="1047"/>
      <c r="F2114" s="246"/>
      <c r="AC2114" s="627" t="s">
        <v>62</v>
      </c>
      <c r="AF2114" s="628" t="str">
        <f>CONCATENATE(AH2114,AI2114,AJ2114,AK2114,AL2114,AM2114,AN2114,AO2114,AP2114,AQ2114,AR2114,AS2114,AT2114,AU2114,AV2114,AW2114,AX2114,AY2114,AZ2114,BA2114,BB2114)</f>
        <v>text</v>
      </c>
      <c r="AG2114" s="628"/>
      <c r="AI2114" s="4" t="s">
        <v>4207</v>
      </c>
      <c r="AK2114" s="503"/>
      <c r="BB2114" s="388"/>
    </row>
    <row r="2115" spans="1:54" s="4" customFormat="1" x14ac:dyDescent="0.3">
      <c r="A2115" s="246"/>
      <c r="B2115" s="1047"/>
      <c r="C2115" s="1047"/>
      <c r="D2115" s="1047"/>
      <c r="E2115" s="1047"/>
      <c r="F2115" s="246"/>
      <c r="AC2115" s="627" t="s">
        <v>64</v>
      </c>
      <c r="AF2115" s="628" t="str">
        <f>CONCATENATE(AH2115,AI2115,AJ2115,AK2115,AL2115,AM2115,AN2115,AO2115,AP2115,AQ2115,AR2115,AS2115,AT2115,AU2115,AV2115,AW2115,AX2115,AY2115,AZ2115,BA2115,BB2115)</f>
        <v/>
      </c>
      <c r="AG2115" s="628" t="str">
        <f>CONCATENATE(AH2115,AI2115,AJ2115,AK2115,AL2115,AM2115,AN2115,AO2115,AP2115,AQ2115,AR2115,AS2116,AT2116,AU2116,AW2116,AX2116,AY2116,AZ2116,BA2116,BB2116)</f>
        <v/>
      </c>
      <c r="BB2115" s="388"/>
    </row>
    <row r="2116" spans="1:54" s="4" customFormat="1" x14ac:dyDescent="0.3">
      <c r="A2116" s="246"/>
      <c r="B2116" s="246"/>
      <c r="C2116" s="246"/>
      <c r="D2116" s="246"/>
      <c r="E2116" s="246"/>
      <c r="F2116" s="246"/>
      <c r="AC2116" s="627" t="s">
        <v>4055</v>
      </c>
      <c r="AE2116" s="503" t="str">
        <f>IF($D$1768=$AQ$1768,AF2116,AG2116)</f>
        <v>REQUIRES PASSKEY</v>
      </c>
      <c r="AF2116" s="628" t="str">
        <f>CONCATENATE(AH2116,AI2116,AJ2116,AK2116,AL2116,AM2116,AN2116,AO2116,AP2116,AQ2116,AR2116,AS2116,AT2116,AU2116,AW2116,AX2116,AY2116,AZ2116,BA2116,BB2116)</f>
        <v/>
      </c>
      <c r="AG2116" s="659" t="s">
        <v>4362</v>
      </c>
      <c r="BA2116" s="388"/>
    </row>
    <row r="2117" spans="1:54" s="4" customFormat="1" x14ac:dyDescent="0.3">
      <c r="A2117" s="246"/>
      <c r="B2117" s="246"/>
      <c r="C2117" s="246"/>
      <c r="D2117" s="246"/>
      <c r="E2117" s="246"/>
      <c r="F2117" s="246"/>
      <c r="AC2117" s="627" t="s">
        <v>3288</v>
      </c>
      <c r="AE2117" s="503" t="str">
        <f>IF($D$1768=$AQ$1768,AF2117,AG2117)</f>
        <v>REQUIRES PASSKEY</v>
      </c>
      <c r="AF2117" s="628" t="str">
        <f>CONCATENATE(AH2117,AI2117,AJ2117,AK2117,AL2117,AM2117,AN2117,AO2117,AP2117,AQ2117,AR2117,AS2117,AT2117,AU2117,AW2117,AX2117,AY2117,AZ2117,BA2117,BB2117)</f>
        <v/>
      </c>
      <c r="AG2117" s="659" t="s">
        <v>4362</v>
      </c>
      <c r="BA2117" s="388"/>
    </row>
    <row r="2118" spans="1:54" s="4" customFormat="1" x14ac:dyDescent="0.3">
      <c r="A2118" s="246"/>
      <c r="B2118" s="246"/>
      <c r="C2118" s="246"/>
      <c r="D2118" s="246"/>
      <c r="E2118" s="246"/>
      <c r="F2118" s="246"/>
      <c r="AC2118" s="389"/>
      <c r="BB2118" s="388"/>
    </row>
    <row r="2119" spans="1:54" s="4" customFormat="1" ht="14.5" thickBot="1" x14ac:dyDescent="0.35">
      <c r="A2119" s="246"/>
      <c r="B2119" s="246"/>
      <c r="C2119" s="246"/>
      <c r="D2119" s="246"/>
      <c r="E2119" s="246"/>
      <c r="F2119" s="246"/>
      <c r="AC2119" s="389"/>
      <c r="AF2119" s="628" t="str">
        <f>CONCATENATE(AH2119,AI2119,AJ2119,AK2119,AL2119,AM2119,AN2119,AO2119,AP2119,AQ2119,AR2119,AS2119,AT2119,AU2119,AV2119,AW2119,AX2119,AY2119,AZ2119,BA2119,BB2119)</f>
        <v>text</v>
      </c>
      <c r="AG2119" s="628"/>
      <c r="AI2119" s="4" t="s">
        <v>4207</v>
      </c>
      <c r="AK2119" s="503"/>
      <c r="BB2119" s="388"/>
    </row>
    <row r="2120" spans="1:54" s="4" customFormat="1" x14ac:dyDescent="0.3">
      <c r="A2120" s="518"/>
      <c r="B2120" s="519"/>
      <c r="C2120" s="519"/>
      <c r="D2120" s="519"/>
      <c r="E2120" s="519"/>
      <c r="F2120" s="520"/>
      <c r="AC2120" s="389"/>
      <c r="BB2120" s="388"/>
    </row>
    <row r="2121" spans="1:54" s="4" customFormat="1" x14ac:dyDescent="0.3">
      <c r="A2121" s="521"/>
      <c r="B2121" s="661" t="s">
        <v>3567</v>
      </c>
      <c r="C2121" s="660"/>
      <c r="D2121" s="662"/>
      <c r="E2121" s="522"/>
      <c r="F2121" s="523"/>
      <c r="AB2121" s="246" t="s">
        <v>3523</v>
      </c>
      <c r="AC2121" s="389"/>
      <c r="BB2121" s="388"/>
    </row>
    <row r="2122" spans="1:54" s="4" customFormat="1" ht="14.5" thickBot="1" x14ac:dyDescent="0.35">
      <c r="A2122" s="524"/>
      <c r="B2122" s="525"/>
      <c r="C2122" s="525"/>
      <c r="D2122" s="525"/>
      <c r="E2122" s="525"/>
      <c r="F2122" s="526"/>
      <c r="AB2122" s="246" t="s">
        <v>3522</v>
      </c>
      <c r="AC2122" s="389"/>
      <c r="AO2122" s="4">
        <f t="shared" ref="AO2122:AV2122" si="83">AO1845</f>
        <v>0</v>
      </c>
      <c r="AP2122" s="4" t="str">
        <f t="shared" si="83"/>
        <v>d</v>
      </c>
      <c r="AQ2122" s="4">
        <f t="shared" si="83"/>
        <v>0</v>
      </c>
      <c r="AR2122" s="4" t="str">
        <f t="shared" si="83"/>
        <v>f</v>
      </c>
      <c r="AS2122" s="4">
        <f t="shared" si="83"/>
        <v>0</v>
      </c>
      <c r="AT2122" s="4" t="str">
        <f t="shared" si="83"/>
        <v>s</v>
      </c>
      <c r="AU2122" s="4">
        <f t="shared" si="83"/>
        <v>0</v>
      </c>
      <c r="AV2122" s="4" t="str">
        <f t="shared" si="83"/>
        <v>n</v>
      </c>
      <c r="BB2122" s="388"/>
    </row>
    <row r="2123" spans="1:54" s="4" customFormat="1" ht="30" customHeight="1" x14ac:dyDescent="0.3">
      <c r="A2123" s="862" t="s">
        <v>91</v>
      </c>
      <c r="B2123" s="862" t="s">
        <v>3464</v>
      </c>
      <c r="C2123" s="862"/>
      <c r="D2123" s="1175" t="s">
        <v>3513</v>
      </c>
      <c r="E2123" s="864"/>
      <c r="F2123" s="864"/>
      <c r="AC2123" s="389"/>
      <c r="BB2123" s="388"/>
    </row>
    <row r="2124" spans="1:54" s="4" customFormat="1" x14ac:dyDescent="0.3">
      <c r="A2124" s="246"/>
      <c r="B2124" s="246"/>
      <c r="C2124" s="246"/>
      <c r="D2124" s="246"/>
      <c r="E2124" s="246"/>
      <c r="F2124" s="246"/>
      <c r="AC2124" s="389"/>
      <c r="AE2124" s="648" t="s">
        <v>4365</v>
      </c>
      <c r="AI2124" s="508" t="str">
        <f>IF(C2126=AE2125,AI2125,IF(C2126=AE2126,AI2126,IF(C2126=AE2127,AI2127,IF(C2126=AE2128,AI2128,AI2129))))</f>
        <v>Let us help you find the resources to keep pace with the need</v>
      </c>
      <c r="BB2124" s="388"/>
    </row>
    <row r="2125" spans="1:54" s="4" customFormat="1" x14ac:dyDescent="0.3">
      <c r="A2125" s="246"/>
      <c r="B2125" s="246"/>
      <c r="C2125" s="246"/>
      <c r="D2125" s="246"/>
      <c r="E2125" s="246"/>
      <c r="F2125" s="246"/>
      <c r="AC2125" s="627" t="s">
        <v>62</v>
      </c>
      <c r="AE2125" s="4" t="str">
        <f>AX2031</f>
        <v>Claimant</v>
      </c>
      <c r="AI2125" s="508" t="str">
        <f>CONCATENATE(AK2125,AL2125,AM2125,AN2125,AO2125)</f>
        <v>Let me introduce you to a new tool to make your job easier</v>
      </c>
      <c r="AK2125" s="4" t="s">
        <v>4373</v>
      </c>
      <c r="AM2125" s="503"/>
      <c r="BB2125" s="388"/>
    </row>
    <row r="2126" spans="1:54" s="4" customFormat="1" ht="14.5" thickBot="1" x14ac:dyDescent="0.35">
      <c r="A2126" s="246"/>
      <c r="B2126" s="477" t="s">
        <v>1408</v>
      </c>
      <c r="C2126" s="1116"/>
      <c r="D2126" s="1117"/>
      <c r="E2126" s="1117"/>
      <c r="F2126" s="246"/>
      <c r="AC2126" s="627" t="s">
        <v>64</v>
      </c>
      <c r="AE2126" s="4" t="str">
        <f>AX2032</f>
        <v>Proxy</v>
      </c>
      <c r="AI2126" s="508" t="str">
        <f>CONCATENATE(AK2126,AL2126,AM2126,AN2126,AO2126)</f>
        <v>We estimated Claimant's innocence with a 0% certainty, will you?</v>
      </c>
      <c r="AK2126" s="4" t="s">
        <v>4369</v>
      </c>
      <c r="AL2126" s="4" t="str">
        <f>AN202</f>
        <v>Claimant</v>
      </c>
      <c r="AM2126" s="503" t="s">
        <v>4370</v>
      </c>
      <c r="AN2126" s="629">
        <f>AI1984</f>
        <v>0</v>
      </c>
      <c r="AO2126" s="503" t="s">
        <v>4371</v>
      </c>
      <c r="BB2126" s="388"/>
    </row>
    <row r="2127" spans="1:54" s="4" customFormat="1" ht="14.5" thickBot="1" x14ac:dyDescent="0.35">
      <c r="A2127" s="246"/>
      <c r="B2127" s="477" t="s">
        <v>1409</v>
      </c>
      <c r="C2127" s="531"/>
      <c r="D2127" s="479"/>
      <c r="E2127" s="479"/>
      <c r="F2127" s="246"/>
      <c r="AC2127" s="627" t="s">
        <v>4055</v>
      </c>
      <c r="AE2127" s="4" t="str">
        <f>AX2033</f>
        <v>Claimant &amp; Proxy</v>
      </c>
      <c r="AI2127" s="508" t="str">
        <f>CONCATENATE(AK2127,AL2127,AM2127,AN2127,AO2127)</f>
        <v>We can help you validate Claimant's innocence</v>
      </c>
      <c r="AK2127" s="4" t="s">
        <v>4368</v>
      </c>
      <c r="AL2127" s="4" t="str">
        <f>AN202</f>
        <v>Claimant</v>
      </c>
      <c r="AM2127" s="503" t="s">
        <v>4367</v>
      </c>
      <c r="BB2127" s="388"/>
    </row>
    <row r="2128" spans="1:54" s="4" customFormat="1" x14ac:dyDescent="0.3">
      <c r="A2128" s="246"/>
      <c r="B2128" s="477" t="s">
        <v>1410</v>
      </c>
      <c r="C2128" s="527">
        <f ca="1">TODAY()</f>
        <v>45774</v>
      </c>
      <c r="D2128" s="479"/>
      <c r="E2128" s="479"/>
      <c r="F2128" s="246"/>
      <c r="AC2128" s="627" t="s">
        <v>3288</v>
      </c>
      <c r="AE2128" s="4" t="str">
        <f>AX2034</f>
        <v/>
      </c>
      <c r="AI2128" s="508" t="str">
        <f>CONCATENATE(AK2128,AL2128,AM2128,AN2128,AO2128)</f>
        <v>Let us help you find the resources to keep pace with the need</v>
      </c>
      <c r="AK2128" s="4" t="s">
        <v>4372</v>
      </c>
      <c r="BB2128" s="388"/>
    </row>
    <row r="2129" spans="1:84" s="4" customFormat="1" x14ac:dyDescent="0.3">
      <c r="A2129" s="246"/>
      <c r="B2129" s="477" t="s">
        <v>1411</v>
      </c>
      <c r="C2129" s="943"/>
      <c r="D2129" s="944"/>
      <c r="E2129" s="944"/>
      <c r="F2129" s="246"/>
      <c r="AC2129" s="389"/>
      <c r="AI2129" s="4" t="s">
        <v>4273</v>
      </c>
      <c r="BB2129" s="388"/>
    </row>
    <row r="2130" spans="1:84" s="4" customFormat="1" x14ac:dyDescent="0.3">
      <c r="A2130" s="246"/>
      <c r="B2130" s="246"/>
      <c r="C2130" s="246"/>
      <c r="D2130" s="246"/>
      <c r="E2130" s="246"/>
      <c r="F2130" s="246"/>
      <c r="AC2130" s="389"/>
      <c r="BB2130" s="388"/>
    </row>
    <row r="2131" spans="1:84" s="4" customFormat="1" x14ac:dyDescent="0.3">
      <c r="A2131" s="246"/>
      <c r="B2131" s="1047" t="str">
        <f>IF(C2129="","",AC2134)</f>
        <v/>
      </c>
      <c r="C2131" s="1047"/>
      <c r="D2131" s="1047"/>
      <c r="E2131" s="1047"/>
      <c r="F2131" s="246"/>
      <c r="AC2131" s="389"/>
      <c r="BB2131" s="388"/>
    </row>
    <row r="2132" spans="1:84" s="4" customFormat="1" x14ac:dyDescent="0.3">
      <c r="A2132" s="246"/>
      <c r="B2132" s="1047"/>
      <c r="C2132" s="1047"/>
      <c r="D2132" s="1047"/>
      <c r="E2132" s="1047"/>
      <c r="F2132" s="246"/>
      <c r="AC2132" s="389"/>
      <c r="BB2132" s="388"/>
    </row>
    <row r="2133" spans="1:84" s="4" customFormat="1" x14ac:dyDescent="0.3">
      <c r="A2133" s="246"/>
      <c r="B2133" s="1047"/>
      <c r="C2133" s="1047"/>
      <c r="D2133" s="1047"/>
      <c r="E2133" s="1047"/>
      <c r="F2133" s="246"/>
      <c r="AC2133" s="389"/>
      <c r="BB2133" s="388"/>
    </row>
    <row r="2134" spans="1:84" s="4" customFormat="1" x14ac:dyDescent="0.3">
      <c r="A2134" s="246"/>
      <c r="B2134" s="1047"/>
      <c r="C2134" s="1047"/>
      <c r="D2134" s="1047"/>
      <c r="E2134" s="1047"/>
      <c r="F2134" s="246"/>
      <c r="AC2134" s="632">
        <f>IF($B$1988=$AQ$1983,AF2136,IF($B$1988=$AQ$1984,AF2137,IF($B$1988=$AQ$1985,AF2138,IF($B$1988=$AQ$1986,AF2139,))))</f>
        <v>0</v>
      </c>
      <c r="BB2134" s="388"/>
    </row>
    <row r="2135" spans="1:84" s="4" customFormat="1" x14ac:dyDescent="0.3">
      <c r="A2135" s="246"/>
      <c r="B2135" s="1047"/>
      <c r="C2135" s="1047"/>
      <c r="D2135" s="1047"/>
      <c r="E2135" s="1047"/>
      <c r="F2135" s="246"/>
      <c r="AF2135" s="508" t="str">
        <f>IF($B$1988="",AG2135,AT$1994)</f>
        <v>1. SELECT A SUBJECT LINE ABOVE TO CHOOSE WHICH MESSAGE TO SEND</v>
      </c>
      <c r="AG2135" s="4" t="s">
        <v>3602</v>
      </c>
      <c r="BB2135" s="388"/>
    </row>
    <row r="2136" spans="1:84" s="4" customFormat="1" ht="14.5" x14ac:dyDescent="0.35">
      <c r="A2136" s="246"/>
      <c r="B2136" s="1047"/>
      <c r="C2136" s="1047"/>
      <c r="D2136" s="1047"/>
      <c r="E2136" s="1047"/>
      <c r="F2136" s="246"/>
      <c r="AC2136" s="627" t="s">
        <v>62</v>
      </c>
      <c r="AF2136" s="628" t="str">
        <f>CONCATENATE(AH2136,AI2136,AJ2136,AK2136,AL2136,AM2136,AN2136,AO2136,AP2136,AQ2136,AR2136,AS2136,AT2136,AU2136,AV2136,AW2136,AX2136,AY2136,AZ2136,BA2136,BB2136)</f>
        <v>We ran the numbers for the innocence movement and it doesn't look good. A handful of lawyers pour hours and hours through a choice number of innocence claims. With an estimated range of 0 of likely innocent prisoners in 0 alone, Claimant wonders will you ever get to claimant's compelling claim of innocence?</v>
      </c>
      <c r="AI2136" s="4" t="s">
        <v>4436</v>
      </c>
      <c r="AJ2136" s="4">
        <f>CO3211</f>
        <v>0</v>
      </c>
      <c r="AK2136" s="69" t="s">
        <v>4438</v>
      </c>
      <c r="AM2136" s="4">
        <f>B265</f>
        <v>0</v>
      </c>
      <c r="AN2136" s="4" t="s">
        <v>4437</v>
      </c>
      <c r="AO2136" s="4" t="str">
        <f>BG202</f>
        <v>Claimant</v>
      </c>
      <c r="AP2136" s="69" t="s">
        <v>4439</v>
      </c>
      <c r="AQ2136" s="4" t="str">
        <f>BJ206</f>
        <v>claimant's</v>
      </c>
      <c r="AR2136" s="69" t="s">
        <v>4440</v>
      </c>
      <c r="AV2136" s="503"/>
      <c r="AW2136" s="629"/>
      <c r="AX2136" s="629"/>
      <c r="AY2136" s="503"/>
      <c r="BB2136" s="388"/>
      <c r="CF2136" s="4" t="s">
        <v>3518</v>
      </c>
    </row>
    <row r="2137" spans="1:84" s="4" customFormat="1" x14ac:dyDescent="0.3">
      <c r="A2137" s="246"/>
      <c r="B2137" s="1047" t="str">
        <f>IF(C2129="","",AC2140)</f>
        <v/>
      </c>
      <c r="C2137" s="1047"/>
      <c r="D2137" s="1047"/>
      <c r="E2137" s="1047"/>
      <c r="F2137" s="246"/>
      <c r="AC2137" s="627" t="s">
        <v>64</v>
      </c>
      <c r="AF2137" s="628" t="str">
        <f>CONCATENATE(AH2137,AI2137,AJ2137,AK2137,AL2137,AM2137,AN2137,AO2137,AP2137,AQ2137,AR2137,AS2137,AT2137,AU2137,AV2137,AW2137,AX2137,AY2137,AZ2137,BA2137,BB2137)</f>
        <v/>
      </c>
      <c r="AZ2137" s="629"/>
      <c r="BB2137" s="388"/>
    </row>
    <row r="2138" spans="1:84" s="4" customFormat="1" x14ac:dyDescent="0.3">
      <c r="A2138" s="246"/>
      <c r="B2138" s="1047"/>
      <c r="C2138" s="1047"/>
      <c r="D2138" s="1047"/>
      <c r="E2138" s="1047"/>
      <c r="F2138" s="246"/>
      <c r="AC2138" s="627" t="s">
        <v>4055</v>
      </c>
      <c r="AE2138" s="503" t="str">
        <f>IF($D$1768=$AQ$1768,AF2138,AG2138)</f>
        <v>REQUIRES PASSKEY</v>
      </c>
      <c r="AF2138" s="628" t="str">
        <f>CONCATENATE(AH2138,AI2138,AJ2138,AK2138,AL2138,AM2138,AN2138,AO2138,AP2138,AQ2138,AR2138,AS2138,AT2138,AU2138,AW2138,AX2138,AY2138,AZ2138,BA2138,BB2138)</f>
        <v/>
      </c>
      <c r="AG2138" s="659" t="s">
        <v>4362</v>
      </c>
      <c r="BA2138" s="388"/>
      <c r="CF2138" s="4" t="s">
        <v>4463</v>
      </c>
    </row>
    <row r="2139" spans="1:84" s="4" customFormat="1" x14ac:dyDescent="0.3">
      <c r="A2139" s="246"/>
      <c r="B2139" s="1047"/>
      <c r="C2139" s="1047"/>
      <c r="D2139" s="1047"/>
      <c r="E2139" s="1047"/>
      <c r="F2139" s="246"/>
      <c r="AC2139" s="627" t="s">
        <v>3288</v>
      </c>
      <c r="AE2139" s="503" t="str">
        <f>IF($D$1768=$AQ$1768,AF2139,AG2139)</f>
        <v>REQUIRES PASSKEY</v>
      </c>
      <c r="AF2139" s="628" t="str">
        <f>CONCATENATE(AH2139,AI2139,AJ2139,AK2139,AL2139,AM2139,AN2139,AO2139,AP2139,AQ2139,AR2139,AS2139,AT2139,AU2139,AW2139,AX2139,AY2139,AZ2139,BA2139,BB2139)</f>
        <v/>
      </c>
      <c r="AG2139" s="659" t="s">
        <v>4362</v>
      </c>
      <c r="BA2139" s="388"/>
    </row>
    <row r="2140" spans="1:84" s="4" customFormat="1" x14ac:dyDescent="0.3">
      <c r="A2140" s="246"/>
      <c r="B2140" s="1047"/>
      <c r="C2140" s="1047"/>
      <c r="D2140" s="1047"/>
      <c r="E2140" s="1047"/>
      <c r="F2140" s="246"/>
      <c r="AC2140" s="632">
        <f>IF($B$1988=$AQ$1983,AF2142,IF($B$1988=$AQ$1984,AF2143,IF($B$1988=$AQ$1985,AF2144,IF($B$1988=$AQ$1986,AF2145,))))</f>
        <v>0</v>
      </c>
      <c r="BB2140" s="388"/>
    </row>
    <row r="2141" spans="1:84" s="4" customFormat="1" x14ac:dyDescent="0.3">
      <c r="A2141" s="246"/>
      <c r="B2141" s="1047"/>
      <c r="C2141" s="1047"/>
      <c r="D2141" s="1047"/>
      <c r="E2141" s="1047"/>
      <c r="F2141" s="246"/>
      <c r="AC2141" s="627"/>
      <c r="AF2141" s="508" t="str">
        <f>IF($B$1988="",AG2141,AT$1994)</f>
        <v>2. SELECT SENDER: FROM CLAIMANT, PROXY OR FROM VALUE RELATING</v>
      </c>
      <c r="AG2141" s="4" t="s">
        <v>3603</v>
      </c>
      <c r="BB2141" s="388"/>
    </row>
    <row r="2142" spans="1:84" s="4" customFormat="1" x14ac:dyDescent="0.3">
      <c r="A2142" s="246"/>
      <c r="B2142" s="1047"/>
      <c r="C2142" s="1047"/>
      <c r="D2142" s="1047"/>
      <c r="E2142" s="1047"/>
      <c r="F2142" s="246"/>
      <c r="AC2142" s="627" t="s">
        <v>62</v>
      </c>
      <c r="AF2142" s="628" t="str">
        <f>CONCATENATE(AH2142,AI2142,AJ2142,AK2142,AL2142,AM2142,AN2142,AO2142,AP2142,AQ2142,AR2142,AS2142,AT2142,AU2142,AV2142,AW2142,AX2142,AY2142,AZ2142,BA2142,BB2142)</f>
        <v>Don't get me wrong, we're thankful for what you do. But why must we rely exclusively on the same broken adversarial legal process that keeps making these egregious errors? Claimantnow has an alternative that can either complement or compete with your noble yet limited efforts. Called the Estimated Innocence Form, claimantcan now demonstrate claimant'sinnocence with 0% certainty.</v>
      </c>
      <c r="AG2142" s="628"/>
      <c r="AI2142" s="4" t="s">
        <v>4441</v>
      </c>
      <c r="AJ2142" s="4" t="str">
        <f>AN202</f>
        <v>Claimant</v>
      </c>
      <c r="AK2142" s="503" t="s">
        <v>4442</v>
      </c>
      <c r="AL2142" s="4" t="str">
        <f>BH206</f>
        <v>claimant</v>
      </c>
      <c r="AM2142" s="4" t="s">
        <v>4443</v>
      </c>
      <c r="AN2142" s="4" t="str">
        <f>BJ206</f>
        <v>claimant's</v>
      </c>
      <c r="AO2142" s="4" t="s">
        <v>4444</v>
      </c>
      <c r="AP2142" s="629">
        <f>AI1984</f>
        <v>0</v>
      </c>
      <c r="AQ2142" s="503" t="s">
        <v>4445</v>
      </c>
      <c r="AR2142" s="52"/>
      <c r="AU2142" s="503"/>
      <c r="AV2142" s="503"/>
      <c r="AY2142" s="503"/>
      <c r="BB2142" s="388"/>
    </row>
    <row r="2143" spans="1:84" s="4" customFormat="1" x14ac:dyDescent="0.3">
      <c r="A2143" s="246"/>
      <c r="B2143" s="1047" t="str">
        <f>IF(C2129="","",AC2146)</f>
        <v/>
      </c>
      <c r="C2143" s="1047"/>
      <c r="D2143" s="1047"/>
      <c r="E2143" s="1047"/>
      <c r="F2143" s="246"/>
      <c r="AC2143" s="627" t="s">
        <v>64</v>
      </c>
      <c r="AF2143" s="628" t="str">
        <f>CONCATENATE(AH2143,AI2143,AJ2143,AK2143,AL2143,AM2143,AN2143,AO2143,AP2143,AQ2143,AR2143,AS2143,AT2143,AU2143,AV2143,AW2143,AX2143,AY2143,AZ2143,BA2143,BB2143)</f>
        <v/>
      </c>
      <c r="AG2143" s="628"/>
      <c r="BB2143" s="388"/>
    </row>
    <row r="2144" spans="1:84" s="4" customFormat="1" x14ac:dyDescent="0.3">
      <c r="A2144" s="246"/>
      <c r="B2144" s="1047"/>
      <c r="C2144" s="1047"/>
      <c r="D2144" s="1047"/>
      <c r="E2144" s="1047"/>
      <c r="F2144" s="246"/>
      <c r="AC2144" s="627" t="s">
        <v>4055</v>
      </c>
      <c r="AE2144" s="503" t="str">
        <f>IF($D$1768=$AQ$1768,AF2144,AG2144)</f>
        <v>REQUIRES PASSKEY</v>
      </c>
      <c r="AF2144" s="628" t="str">
        <f>CONCATENATE(AH2144,AI2144,AJ2144,AK2144,AL2144,AM2144,AN2144,AO2144,AP2144,AQ2144,AR2144,AS2144,AT2144,AU2144,AW2144,AX2144,AY2144,AZ2144,BA2144,BB2144)</f>
        <v xml:space="preserve">Innocence projects cannot review every viable innocence claim. </v>
      </c>
      <c r="AG2144" s="659" t="s">
        <v>4362</v>
      </c>
      <c r="AI2144" s="4" t="s">
        <v>4325</v>
      </c>
      <c r="BA2144" s="388"/>
    </row>
    <row r="2145" spans="1:54" s="4" customFormat="1" x14ac:dyDescent="0.3">
      <c r="A2145" s="246"/>
      <c r="B2145" s="1047"/>
      <c r="C2145" s="1047"/>
      <c r="D2145" s="1047"/>
      <c r="E2145" s="1047"/>
      <c r="F2145" s="246"/>
      <c r="AC2145" s="627" t="s">
        <v>3288</v>
      </c>
      <c r="AE2145" s="503" t="str">
        <f>IF($D$1768=$AQ$1768,AF2145,AG2145)</f>
        <v>REQUIRES PASSKEY</v>
      </c>
      <c r="AF2145" s="628" t="str">
        <f>CONCATENATE(AH2145,AI2145,AJ2145,AK2145,AL2145,AM2145,AN2145,AO2145,AP2145,AQ2145,AR2145,AS2145,AT2145,AU2145,AW2145,AX2145,AY2145,AZ2145,BA2145,BB2145)</f>
        <v/>
      </c>
      <c r="AG2145" s="659" t="s">
        <v>4362</v>
      </c>
      <c r="BA2145" s="388"/>
    </row>
    <row r="2146" spans="1:54" s="4" customFormat="1" x14ac:dyDescent="0.3">
      <c r="A2146" s="246"/>
      <c r="B2146" s="1047"/>
      <c r="C2146" s="1047"/>
      <c r="D2146" s="1047"/>
      <c r="E2146" s="1047"/>
      <c r="F2146" s="246"/>
      <c r="AC2146" s="632">
        <f>IF($B$1988=$AQ$1983,AF2148,IF($B$1988=$AQ$1984,AF2149,IF($B$1988=$AQ$1985,AF2150,IF($B$1988=$AQ$1986,AF2151,))))</f>
        <v>0</v>
      </c>
      <c r="BB2146" s="388"/>
    </row>
    <row r="2147" spans="1:54" s="4" customFormat="1" x14ac:dyDescent="0.3">
      <c r="A2147" s="246"/>
      <c r="B2147" s="1047"/>
      <c r="C2147" s="1047"/>
      <c r="D2147" s="1047"/>
      <c r="E2147" s="1047"/>
      <c r="F2147" s="246"/>
      <c r="AC2147" s="627"/>
      <c r="AF2147" s="508" t="str">
        <f>IF($B$1988="",AG2147,AT$1994)</f>
        <v>3. SELECT A SUBJECT LINE ABOVE TO CHOOSE WHICH MESSAGE TO SEND</v>
      </c>
      <c r="AG2147" s="4" t="s">
        <v>3601</v>
      </c>
      <c r="BB2147" s="388"/>
    </row>
    <row r="2148" spans="1:54" s="4" customFormat="1" ht="14.5" x14ac:dyDescent="0.35">
      <c r="A2148" s="246"/>
      <c r="B2148" s="1047"/>
      <c r="C2148" s="1047"/>
      <c r="D2148" s="1047"/>
      <c r="E2148" s="1047"/>
      <c r="F2148" s="246"/>
      <c r="AC2148" s="627" t="s">
        <v>62</v>
      </c>
      <c r="AF2148" s="628" t="str">
        <f>CONCATENATE(AH2148,AI2148,AJ2148,AK2148,AL2148,AM2148,AN2148,AO2148,AP2148,AQ2148,AR2148,AS2148,AT2148,AU2148,AV2148,AW2148,AX2148,AY2148,AZ2148,BA2148,BB2148)</f>
        <v>This tool compares the details to Claimant's claim to those already exonerated. The more claimant's case mirrors those exonerated, the higher the score of estimated innocence. This "EIF" processes the nuance of claimant'sinnocence claim more thoroughly than your typical questionairre for claimnants.</v>
      </c>
      <c r="AG2148" s="628"/>
      <c r="AI2148" s="4" t="s">
        <v>4446</v>
      </c>
      <c r="AJ2148" s="4" t="str">
        <f>AN202</f>
        <v>Claimant</v>
      </c>
      <c r="AK2148" s="624" t="s">
        <v>4447</v>
      </c>
      <c r="AL2148" s="503" t="str">
        <f>BJ206</f>
        <v>claimant's</v>
      </c>
      <c r="AM2148" s="69" t="s">
        <v>4448</v>
      </c>
      <c r="AO2148" s="4" t="str">
        <f>BJ206</f>
        <v>claimant's</v>
      </c>
      <c r="AP2148" s="69" t="s">
        <v>4449</v>
      </c>
      <c r="AY2148" s="503" t="s">
        <v>885</v>
      </c>
      <c r="BB2148" s="388"/>
    </row>
    <row r="2149" spans="1:54" s="4" customFormat="1" x14ac:dyDescent="0.3">
      <c r="A2149" s="246"/>
      <c r="B2149" s="1047" t="str">
        <f>IF(C2129="","",AC2152)</f>
        <v/>
      </c>
      <c r="C2149" s="1047"/>
      <c r="D2149" s="1047"/>
      <c r="E2149" s="1047"/>
      <c r="F2149" s="246"/>
      <c r="AC2149" s="627" t="s">
        <v>64</v>
      </c>
      <c r="AF2149" s="628" t="str">
        <f>CONCATENATE(AH2149,AI2149,AJ2149,AK2149,AL2149,AM2149,AN2149,AO2149,AP2149,AQ2149,AR2149,AS2149,AT2149,AU2149,AV2149,AW2149,AX2149,AY2149,AZ2149,BA2149,BB2149)</f>
        <v/>
      </c>
      <c r="AG2149" s="628"/>
      <c r="BB2149" s="388"/>
    </row>
    <row r="2150" spans="1:54" s="4" customFormat="1" x14ac:dyDescent="0.3">
      <c r="A2150" s="246"/>
      <c r="B2150" s="1047"/>
      <c r="C2150" s="1047"/>
      <c r="D2150" s="1047"/>
      <c r="E2150" s="1047"/>
      <c r="F2150" s="246"/>
      <c r="AC2150" s="627" t="s">
        <v>4055</v>
      </c>
      <c r="AE2150" s="503" t="str">
        <f>IF($D$1768=$AQ$1768,AF2150,AG2150)</f>
        <v>REQUIRES PASSKEY</v>
      </c>
      <c r="AF2150" s="628" t="str">
        <f>CONCATENATE(AH2150,AI2150,AJ2150,AK2150,AL2150,AM2150,AN2150,AO2150,AP2150,AQ2150,AR2150,AS2150,AT2150,AU2150,AW2150,AX2150,AY2150,AZ2150,BA2150,BB2150)</f>
        <v/>
      </c>
      <c r="AG2150" s="659" t="s">
        <v>4362</v>
      </c>
      <c r="BA2150" s="388"/>
    </row>
    <row r="2151" spans="1:54" s="4" customFormat="1" x14ac:dyDescent="0.3">
      <c r="A2151" s="246"/>
      <c r="B2151" s="1047"/>
      <c r="C2151" s="1047"/>
      <c r="D2151" s="1047"/>
      <c r="E2151" s="1047"/>
      <c r="F2151" s="246"/>
      <c r="AC2151" s="627" t="s">
        <v>3288</v>
      </c>
      <c r="AE2151" s="503" t="str">
        <f>IF($D$1768=$AQ$1768,AF2151,AG2151)</f>
        <v>REQUIRES PASSKEY</v>
      </c>
      <c r="AF2151" s="628" t="str">
        <f>CONCATENATE(AH2151,AI2151,AJ2151,AK2151,AL2151,AM2151,AN2151,AO2151,AP2151,AQ2151,AR2151,AS2151,AT2151,AU2151,AW2151,AX2151,AY2151,AZ2151,BA2151,BB2151)</f>
        <v/>
      </c>
      <c r="AG2151" s="659" t="s">
        <v>4362</v>
      </c>
      <c r="BA2151" s="388"/>
    </row>
    <row r="2152" spans="1:54" s="4" customFormat="1" x14ac:dyDescent="0.3">
      <c r="A2152" s="246"/>
      <c r="B2152" s="1047"/>
      <c r="C2152" s="1047"/>
      <c r="D2152" s="1047"/>
      <c r="E2152" s="1047"/>
      <c r="F2152" s="246"/>
      <c r="AC2152" s="632">
        <f>IF($B$1988=$AQ$1983,AF2154,IF($B$1988=$AQ$1984,AF2155,IF($B$1988=$AQ$1985,AF2156,IF($B$1988=$AQ$1986,AF2157,))))</f>
        <v>0</v>
      </c>
      <c r="BB2152" s="388"/>
    </row>
    <row r="2153" spans="1:54" s="4" customFormat="1" x14ac:dyDescent="0.3">
      <c r="A2153" s="246"/>
      <c r="B2153" s="1047"/>
      <c r="C2153" s="1047"/>
      <c r="D2153" s="1047"/>
      <c r="E2153" s="1047"/>
      <c r="F2153" s="246"/>
      <c r="AC2153" s="627"/>
      <c r="AF2153" s="508" t="str">
        <f>IF($B$1988="",AG2153,AT$1994)</f>
        <v>4. AFTER SENDING, SELECT ANOTHER RECIPIENT AND RESET THE SUBJECT LINE</v>
      </c>
      <c r="AG2153" s="4" t="s">
        <v>3605</v>
      </c>
      <c r="BB2153" s="388"/>
    </row>
    <row r="2154" spans="1:54" s="4" customFormat="1" ht="14.5" x14ac:dyDescent="0.35">
      <c r="A2154" s="246"/>
      <c r="B2154" s="1047"/>
      <c r="C2154" s="1047"/>
      <c r="D2154" s="1047"/>
      <c r="E2154" s="1047"/>
      <c r="F2154" s="246"/>
      <c r="AC2154" s="627" t="s">
        <v>62</v>
      </c>
      <c r="AF2154" s="628" t="str">
        <f>CONCATENATE(AH2154,AI2154,AJ2154,AK2154,AL2154,AM2154,AN2154,AO2154,AP2154,AQ2154,AR2154,AS2154,AT2154,AU2154,AV2154,AW2154,AX2154,AY2154,AZ2154,BA2154,BB2154)</f>
        <v>Claimant's chief ally, Proxy, is assembling a team of volunteers to go through claimant's case documents. Together, they will try to link as much of claimant's claim as possible to available documentation. After they lean on those who could provide those documents.</v>
      </c>
      <c r="AG2154" s="628"/>
      <c r="AI2154" s="4" t="str">
        <f>AN202</f>
        <v>Claimant</v>
      </c>
      <c r="AJ2154" s="503" t="s">
        <v>5183</v>
      </c>
      <c r="AK2154" s="4" t="str">
        <f>BG212</f>
        <v>Proxy</v>
      </c>
      <c r="AL2154" s="4" t="s">
        <v>4450</v>
      </c>
      <c r="AM2154" s="4" t="str">
        <f>BJ206</f>
        <v>claimant's</v>
      </c>
      <c r="AN2154" s="69" t="s">
        <v>5185</v>
      </c>
      <c r="AO2154" s="4" t="str">
        <f>BJ206</f>
        <v>claimant's</v>
      </c>
      <c r="AP2154" s="69" t="s">
        <v>5184</v>
      </c>
      <c r="BB2154" s="388"/>
    </row>
    <row r="2155" spans="1:54" s="4" customFormat="1" x14ac:dyDescent="0.3">
      <c r="A2155" s="246"/>
      <c r="B2155" s="1047" t="str">
        <f>IF(C2129="","",AC2159)</f>
        <v/>
      </c>
      <c r="C2155" s="1047"/>
      <c r="D2155" s="1047"/>
      <c r="E2155" s="1047"/>
      <c r="F2155" s="246"/>
      <c r="AC2155" s="627" t="s">
        <v>64</v>
      </c>
      <c r="AF2155" s="628" t="str">
        <f>CONCATENATE(AH2155,AI2155,AJ2155,AK2155,AL2155,AM2155,AN2155,AO2155,AP2155,AQ2155,AR2155,AS2155,AT2155,AU2155,AV2155,AW2155,AX2155,AY2155,AZ2155,BA2155,BB2155)</f>
        <v/>
      </c>
      <c r="AG2155" s="628" t="str">
        <f>CONCATENATE(AH2155,AI2155,AJ2155,AK2155,AL2155,AM2155,AN2155,AO2155,AP2155,AQ2155,AR2155,AS2156,AT2156,AU2156,AW2156,AX2156,AY2156,AZ2156,BA2156,BB2156)</f>
        <v/>
      </c>
      <c r="BB2155" s="388"/>
    </row>
    <row r="2156" spans="1:54" s="4" customFormat="1" x14ac:dyDescent="0.3">
      <c r="A2156" s="246"/>
      <c r="B2156" s="1047"/>
      <c r="C2156" s="1047"/>
      <c r="D2156" s="1047"/>
      <c r="E2156" s="1047"/>
      <c r="F2156" s="246"/>
      <c r="AC2156" s="627" t="s">
        <v>4055</v>
      </c>
      <c r="AE2156" s="503" t="str">
        <f>IF($D$1768=$AQ$1768,AF2156,AG2156)</f>
        <v>REQUIRES PASSKEY</v>
      </c>
      <c r="AF2156" s="628" t="str">
        <f>CONCATENATE(AH2156,AI2156,AJ2156,AK2156,AL2156,AM2156,AN2156,AO2156,AP2156,AQ2156,AR2156,AS2156,AT2156,AU2156,AW2156,AX2156,AY2156,AZ2156,BA2156,BB2156)</f>
        <v/>
      </c>
      <c r="AG2156" s="659" t="s">
        <v>4362</v>
      </c>
      <c r="BA2156" s="388"/>
    </row>
    <row r="2157" spans="1:54" s="4" customFormat="1" x14ac:dyDescent="0.3">
      <c r="A2157" s="246"/>
      <c r="B2157" s="1047"/>
      <c r="C2157" s="1047"/>
      <c r="D2157" s="1047"/>
      <c r="E2157" s="1047"/>
      <c r="F2157" s="246"/>
      <c r="AC2157" s="627" t="s">
        <v>3288</v>
      </c>
      <c r="AE2157" s="503" t="str">
        <f>IF($D$1768=$AQ$1768,AF2157,AG2157)</f>
        <v>REQUIRES PASSKEY</v>
      </c>
      <c r="AF2157" s="628" t="str">
        <f>CONCATENATE(AH2157,AI2157,AJ2157,AK2157,AL2157,AM2157,AN2157,AO2157,AP2157,AQ2157,AR2157,AS2157,AT2157,AU2157,AW2157,AX2157,AY2157,AZ2157,BA2157,BB2157)</f>
        <v/>
      </c>
      <c r="AG2157" s="659" t="s">
        <v>4362</v>
      </c>
      <c r="BA2157" s="388"/>
    </row>
    <row r="2158" spans="1:54" s="4" customFormat="1" x14ac:dyDescent="0.3">
      <c r="A2158" s="246"/>
      <c r="B2158" s="1047"/>
      <c r="C2158" s="1047"/>
      <c r="D2158" s="1047"/>
      <c r="E2158" s="1047"/>
      <c r="F2158" s="246"/>
      <c r="AC2158" s="389"/>
      <c r="BB2158" s="388"/>
    </row>
    <row r="2159" spans="1:54" s="4" customFormat="1" x14ac:dyDescent="0.3">
      <c r="A2159" s="246"/>
      <c r="B2159" s="1047"/>
      <c r="C2159" s="1047"/>
      <c r="D2159" s="1047"/>
      <c r="E2159" s="1047"/>
      <c r="F2159" s="246"/>
      <c r="AC2159" s="632">
        <f>IF($B$1988=$AQ$1983,AF2161,IF($B$1988=$AQ$1984,AF2162,IF($B$1988=$AQ$1985,AF2163,IF($B$1988=$AQ$1986,AF2164,))))</f>
        <v>0</v>
      </c>
      <c r="BB2159" s="388"/>
    </row>
    <row r="2160" spans="1:54" s="4" customFormat="1" x14ac:dyDescent="0.3">
      <c r="A2160" s="246"/>
      <c r="B2160" s="1047"/>
      <c r="C2160" s="1047"/>
      <c r="D2160" s="1047"/>
      <c r="E2160" s="1047"/>
      <c r="F2160" s="246"/>
      <c r="AC2160" s="627"/>
      <c r="AF2160" s="508" t="str">
        <f>IF($B$1988="",AG2160,AT$1994)</f>
        <v>5. TEXT</v>
      </c>
      <c r="AG2160" s="4" t="s">
        <v>4366</v>
      </c>
      <c r="BB2160" s="388"/>
    </row>
    <row r="2161" spans="1:77" s="4" customFormat="1" x14ac:dyDescent="0.3">
      <c r="A2161" s="246"/>
      <c r="B2161" s="246"/>
      <c r="C2161" s="246"/>
      <c r="D2161" s="246"/>
      <c r="E2161" s="246"/>
      <c r="F2161" s="246"/>
      <c r="AC2161" s="627" t="s">
        <v>62</v>
      </c>
      <c r="AF2161" s="628" t="str">
        <f>CONCATENATE(AH2161,AI2161,AJ2161,AK2161,AL2161,AM2161,AN2161,AO2161,AP2161,AQ2161,AR2161,AS2161,AT2161,AU2161,AV2161,AW2161,AX2161,AY2161,AZ2161,BA2161,BB2161)</f>
        <v>We invite you to engage us during this pioneering approach toward exoneration. During this populist era, we see it's time for us to take up more matters in our own hands. If the legal-judicial process cannot be trusted to correct its own errors, we will step up.  See the enclosed Conviction Summary Report to see what we mean. Then let's talk about getting Claimant the overdue justice claimant deserves. I look forward to your reply, and working on this together. Thank you.</v>
      </c>
      <c r="AG2161" s="628"/>
      <c r="AI2161" s="4" t="s">
        <v>4451</v>
      </c>
      <c r="AJ2161" s="4" t="str">
        <f>AN202</f>
        <v>Claimant</v>
      </c>
      <c r="AK2161" s="503" t="s">
        <v>4452</v>
      </c>
      <c r="AL2161" s="4" t="str">
        <f>BH206</f>
        <v>claimant</v>
      </c>
      <c r="AM2161" s="4" t="s">
        <v>4453</v>
      </c>
      <c r="BB2161" s="388"/>
    </row>
    <row r="2162" spans="1:77" s="4" customFormat="1" x14ac:dyDescent="0.3">
      <c r="A2162" s="246"/>
      <c r="B2162" s="246"/>
      <c r="C2162" s="246"/>
      <c r="D2162" s="246"/>
      <c r="E2162" s="246"/>
      <c r="F2162" s="246"/>
      <c r="AC2162" s="627" t="s">
        <v>64</v>
      </c>
      <c r="AF2162" s="628" t="str">
        <f>CONCATENATE(AH2162,AI2162,AJ2162,AK2162,AL2162,AM2162,AN2162,AO2162,AP2162,AQ2162,AR2162,AS2162,AT2162,AU2162,AV2162,AW2162,AX2162,AY2162,AZ2162,BA2162,BB2162)</f>
        <v/>
      </c>
      <c r="AG2162" s="628" t="str">
        <f>CONCATENATE(AH2162,AI2162,AJ2162,AK2162,AL2162,AM2162,AN2162,AO2162,AP2162,AQ2162,AR2162,AS2163,AT2163,AU2163,AW2163,AX2163,AY2163,AZ2163,BA2163,BB2163)</f>
        <v/>
      </c>
      <c r="BB2162" s="388"/>
    </row>
    <row r="2163" spans="1:77" s="4" customFormat="1" x14ac:dyDescent="0.3">
      <c r="A2163" s="246"/>
      <c r="B2163" s="246"/>
      <c r="C2163" s="246"/>
      <c r="D2163" s="246"/>
      <c r="E2163" s="246"/>
      <c r="F2163" s="246"/>
      <c r="AC2163" s="627" t="s">
        <v>4055</v>
      </c>
      <c r="AE2163" s="503" t="str">
        <f>IF($D$1768=$AQ$1768,AF2163,AG2163)</f>
        <v>REQUIRES PASSKEY</v>
      </c>
      <c r="AF2163" s="628" t="str">
        <f>CONCATENATE(AH2163,AI2163,AJ2163,AK2163,AL2163,AM2163,AN2163,AO2163,AP2163,AQ2163,AR2163,AS2163,AT2163,AU2163,AW2163,AX2163,AY2163,AZ2163,BA2163,BB2163)</f>
        <v/>
      </c>
      <c r="AG2163" s="659" t="s">
        <v>4362</v>
      </c>
      <c r="BA2163" s="388"/>
    </row>
    <row r="2164" spans="1:77" s="4" customFormat="1" ht="14.5" thickBot="1" x14ac:dyDescent="0.35">
      <c r="A2164" s="246"/>
      <c r="B2164" s="246"/>
      <c r="C2164" s="246"/>
      <c r="D2164" s="246"/>
      <c r="E2164" s="246"/>
      <c r="F2164" s="246"/>
      <c r="AC2164" s="627" t="s">
        <v>3288</v>
      </c>
      <c r="AE2164" s="503" t="str">
        <f>IF($D$1768=$AQ$1768,AF2164,AG2164)</f>
        <v>REQUIRES PASSKEY</v>
      </c>
      <c r="AF2164" s="628" t="str">
        <f>CONCATENATE(AH2164,AI2164,AJ2164,AK2164,AL2164,AM2164,AN2164,AO2164,AP2164,AQ2164,AR2164,AS2164,AT2164,AU2164,AW2164,AX2164,AY2164,AZ2164,BA2164,BB2164)</f>
        <v/>
      </c>
      <c r="AG2164" s="659" t="s">
        <v>4362</v>
      </c>
      <c r="BA2164" s="388"/>
      <c r="BJ2164" s="4" t="s">
        <v>4386</v>
      </c>
      <c r="BQ2164" s="4" t="s">
        <v>4374</v>
      </c>
      <c r="BY2164" s="4" t="s">
        <v>4381</v>
      </c>
    </row>
    <row r="2165" spans="1:77" s="4" customFormat="1" x14ac:dyDescent="0.3">
      <c r="A2165" s="518"/>
      <c r="B2165" s="519"/>
      <c r="C2165" s="519"/>
      <c r="D2165" s="519"/>
      <c r="E2165" s="519"/>
      <c r="F2165" s="520"/>
      <c r="AC2165" s="389"/>
      <c r="BB2165" s="388"/>
      <c r="BJ2165" s="4" t="s">
        <v>4376</v>
      </c>
      <c r="BQ2165" s="4" t="s">
        <v>4375</v>
      </c>
      <c r="BY2165" s="4" t="s">
        <v>4382</v>
      </c>
    </row>
    <row r="2166" spans="1:77" s="4" customFormat="1" x14ac:dyDescent="0.3">
      <c r="A2166" s="521"/>
      <c r="B2166" s="522"/>
      <c r="C2166" s="522"/>
      <c r="D2166" s="522"/>
      <c r="E2166" s="522"/>
      <c r="F2166" s="523"/>
      <c r="AC2166" s="389"/>
      <c r="AF2166" s="628" t="str">
        <f>CONCATENATE(AH2166,AI2166,AJ2166,AK2166,AL2166,AM2166,AN2166,AO2166,AP2166,AQ2166,AR2166,AS2166,AT2166,AU2166,AV2166,AW2166,AX2166,AY2166,AZ2166,BA2166,BB2166)</f>
        <v>text</v>
      </c>
      <c r="AG2166" s="628"/>
      <c r="AI2166" s="4" t="s">
        <v>4207</v>
      </c>
      <c r="AK2166" s="503"/>
      <c r="BB2166" s="388"/>
      <c r="BJ2166" s="4" t="s">
        <v>4377</v>
      </c>
      <c r="BQ2166" s="4" t="s">
        <v>4377</v>
      </c>
      <c r="BY2166" s="4" t="s">
        <v>4384</v>
      </c>
    </row>
    <row r="2167" spans="1:77" s="4" customFormat="1" x14ac:dyDescent="0.3">
      <c r="A2167" s="521"/>
      <c r="B2167" s="522"/>
      <c r="C2167" s="522"/>
      <c r="D2167" s="522"/>
      <c r="E2167" s="522"/>
      <c r="F2167" s="523"/>
      <c r="AC2167" s="389"/>
      <c r="BB2167" s="388"/>
      <c r="BJ2167" s="4" t="s">
        <v>4378</v>
      </c>
      <c r="BQ2167" s="4" t="s">
        <v>4378</v>
      </c>
      <c r="BY2167" s="4" t="s">
        <v>4383</v>
      </c>
    </row>
    <row r="2168" spans="1:77" s="4" customFormat="1" x14ac:dyDescent="0.3">
      <c r="A2168" s="521"/>
      <c r="B2168" s="661" t="s">
        <v>3567</v>
      </c>
      <c r="C2168" s="660"/>
      <c r="D2168" s="662"/>
      <c r="E2168" s="522"/>
      <c r="F2168" s="523"/>
      <c r="AC2168" s="389"/>
      <c r="BB2168" s="388"/>
      <c r="BJ2168" s="4" t="s">
        <v>4380</v>
      </c>
      <c r="BQ2168" s="4" t="s">
        <v>4380</v>
      </c>
      <c r="BY2168" s="4" t="s">
        <v>4385</v>
      </c>
    </row>
    <row r="2169" spans="1:77" s="4" customFormat="1" ht="14.5" thickBot="1" x14ac:dyDescent="0.35">
      <c r="A2169" s="524"/>
      <c r="B2169" s="525"/>
      <c r="C2169" s="525"/>
      <c r="D2169" s="525"/>
      <c r="E2169" s="525"/>
      <c r="F2169" s="526"/>
      <c r="AC2169" s="389"/>
      <c r="BB2169" s="388"/>
      <c r="BJ2169" s="4" t="s">
        <v>4379</v>
      </c>
      <c r="BQ2169" s="4" t="s">
        <v>4379</v>
      </c>
    </row>
    <row r="2170" spans="1:77" s="4" customFormat="1" ht="30" customHeight="1" x14ac:dyDescent="0.3">
      <c r="A2170" s="913" t="s">
        <v>5464</v>
      </c>
      <c r="B2170" s="913"/>
      <c r="C2170" s="913"/>
      <c r="D2170" s="914" t="str">
        <f>C57</f>
        <v>FIRST NAME</v>
      </c>
      <c r="E2170" s="914"/>
      <c r="F2170" s="565"/>
      <c r="AC2170" s="389"/>
      <c r="AG2170" s="508" t="str">
        <f>IF(A2170=AG2171,"Conviction Quality Report",IF(A2170=AG2172,"Innocence Investigation Springboard",""))</f>
        <v>Conviction Quality Report</v>
      </c>
      <c r="BB2170" s="388"/>
    </row>
    <row r="2171" spans="1:77" s="4" customFormat="1" x14ac:dyDescent="0.3">
      <c r="A2171" s="246"/>
      <c r="B2171" s="246"/>
      <c r="C2171" s="246"/>
      <c r="D2171" s="246"/>
      <c r="E2171" s="246"/>
      <c r="F2171" s="246"/>
      <c r="AC2171" s="389"/>
      <c r="AG2171" s="4" t="s">
        <v>5464</v>
      </c>
      <c r="AS2171" s="4">
        <v>0</v>
      </c>
      <c r="AT2171" s="561" t="s">
        <v>287</v>
      </c>
      <c r="AZ2171" s="561" t="s">
        <v>3821</v>
      </c>
      <c r="BB2171" s="388"/>
      <c r="BG2171" s="503" t="s">
        <v>3822</v>
      </c>
    </row>
    <row r="2172" spans="1:77" s="4" customFormat="1" x14ac:dyDescent="0.3">
      <c r="A2172" s="547" t="s">
        <v>3639</v>
      </c>
      <c r="B2172" s="547" t="s">
        <v>3640</v>
      </c>
      <c r="C2172" s="547" t="s">
        <v>3641</v>
      </c>
      <c r="D2172" s="547" t="s">
        <v>3642</v>
      </c>
      <c r="E2172" s="547" t="s">
        <v>3643</v>
      </c>
      <c r="F2172" s="547"/>
      <c r="AC2172" s="389"/>
      <c r="AG2172" s="4" t="s">
        <v>5465</v>
      </c>
      <c r="AS2172" s="4">
        <v>1</v>
      </c>
      <c r="AT2172" s="561" t="s">
        <v>304</v>
      </c>
      <c r="AZ2172" s="561" t="s">
        <v>3820</v>
      </c>
      <c r="BB2172" s="388"/>
      <c r="BG2172" s="503" t="s">
        <v>3822</v>
      </c>
    </row>
    <row r="2173" spans="1:77" s="4" customFormat="1" ht="13" customHeight="1" x14ac:dyDescent="0.3">
      <c r="A2173" s="546"/>
      <c r="B2173" s="543"/>
      <c r="C2173" s="544" t="s">
        <v>3946</v>
      </c>
      <c r="D2173" s="543"/>
      <c r="E2173" s="915">
        <f>BG522</f>
        <v>0</v>
      </c>
      <c r="F2173" s="915"/>
      <c r="AC2173" s="389"/>
      <c r="AS2173" s="4">
        <v>2</v>
      </c>
      <c r="AT2173" s="561" t="s">
        <v>335</v>
      </c>
      <c r="AZ2173" s="561" t="s">
        <v>3819</v>
      </c>
      <c r="BB2173" s="388"/>
    </row>
    <row r="2174" spans="1:77" s="4" customFormat="1" ht="13" customHeight="1" x14ac:dyDescent="0.3">
      <c r="A2174" s="566">
        <f>AG2175</f>
        <v>15</v>
      </c>
      <c r="B2174" s="562" t="str">
        <f>AH2175</f>
        <v/>
      </c>
      <c r="C2174" s="563" t="str">
        <f>AI2175</f>
        <v>Eyewitness Misidentification</v>
      </c>
      <c r="D2174" s="562" t="str">
        <f>AJ2175</f>
        <v/>
      </c>
      <c r="E2174" s="905">
        <f>AK2175</f>
        <v>0</v>
      </c>
      <c r="F2174" s="905"/>
      <c r="AC2174" s="389"/>
      <c r="AS2174" s="4">
        <v>3</v>
      </c>
      <c r="AT2174" s="561" t="s">
        <v>295</v>
      </c>
      <c r="AZ2174" s="561" t="s">
        <v>3818</v>
      </c>
      <c r="BB2174" s="388"/>
    </row>
    <row r="2175" spans="1:77" s="4" customFormat="1" ht="13" customHeight="1" x14ac:dyDescent="0.3">
      <c r="A2175" s="566">
        <f>AG2176</f>
        <v>16</v>
      </c>
      <c r="B2175" s="562" t="str">
        <f>AH2176</f>
        <v/>
      </c>
      <c r="C2175" s="563" t="str">
        <f t="shared" ref="C2175:D2190" si="84">AI2176</f>
        <v>False Confessions or Admissions</v>
      </c>
      <c r="D2175" s="562" t="str">
        <f t="shared" si="84"/>
        <v/>
      </c>
      <c r="E2175" s="905">
        <f>AK2176</f>
        <v>0</v>
      </c>
      <c r="F2175" s="905"/>
      <c r="AC2175" s="389"/>
      <c r="AG2175" s="4">
        <f>A523</f>
        <v>15</v>
      </c>
      <c r="AH2175" s="4" t="str">
        <f>IF(AM2175=AT$2171,AZ$2171,IF(AM2175=AT$2172,AZ$2172,IF(AM2175=AT$2173,AZ$2173,IF(AM2175=AT$2174,AZ$2174,""))))</f>
        <v/>
      </c>
      <c r="AI2175" s="4" t="str">
        <f>B523</f>
        <v>Eyewitness Misidentification</v>
      </c>
      <c r="AJ2175" s="503" t="str">
        <f>IF(AO2175=0,AL2175,AO2175)</f>
        <v/>
      </c>
      <c r="AK2175" s="560">
        <f>E526</f>
        <v>0</v>
      </c>
      <c r="AL2175" s="503" t="str">
        <f>IF(OR(AH2175="",AH2175=AZ$2171),"","NOT YET VERIFIED")</f>
        <v/>
      </c>
      <c r="AM2175" s="4">
        <f>B527</f>
        <v>0</v>
      </c>
      <c r="AO2175" s="503">
        <f>D527</f>
        <v>0</v>
      </c>
      <c r="BB2175" s="388"/>
    </row>
    <row r="2176" spans="1:77" s="4" customFormat="1" ht="13" customHeight="1" x14ac:dyDescent="0.3">
      <c r="A2176" s="566">
        <f t="shared" ref="A2176:A2216" si="85">AG2177</f>
        <v>17</v>
      </c>
      <c r="B2176" s="562" t="str">
        <f t="shared" ref="B2176:B2216" si="86">AH2177</f>
        <v/>
      </c>
      <c r="C2176" s="563" t="str">
        <f t="shared" ref="C2176:C2216" si="87">AI2177</f>
        <v>Government Misconduct</v>
      </c>
      <c r="D2176" s="562" t="str">
        <f t="shared" si="84"/>
        <v/>
      </c>
      <c r="E2176" s="905">
        <f t="shared" ref="E2176:E2216" si="88">AK2177</f>
        <v>0</v>
      </c>
      <c r="F2176" s="905"/>
      <c r="AC2176" s="389"/>
      <c r="AG2176" s="4">
        <f>A528</f>
        <v>16</v>
      </c>
      <c r="AH2176" s="4" t="str">
        <f t="shared" ref="AH2176:AH2217" si="89">IF(AM2176=AT$2171,AZ$2171,IF(AM2176=AT$2172,AZ$2172,IF(AM2176=AT$2173,AZ$2173,IF(AM2176=AT$2174,AZ$2174,""))))</f>
        <v/>
      </c>
      <c r="AI2176" s="4" t="str">
        <f>B528</f>
        <v>False Confessions or Admissions</v>
      </c>
      <c r="AJ2176" s="503" t="str">
        <f>IF(AO2176=0,AL2176,AO2176)</f>
        <v/>
      </c>
      <c r="AK2176" s="560">
        <f>E531</f>
        <v>0</v>
      </c>
      <c r="AL2176" s="4" t="str">
        <f t="shared" ref="AL2176:AL2217" si="90">IF(OR(AH2176="",AH2176=AZ$2171),"","NOT YET VERIFIED")</f>
        <v/>
      </c>
      <c r="AM2176" s="4">
        <f>B532</f>
        <v>0</v>
      </c>
      <c r="AO2176" s="503">
        <f>D532</f>
        <v>0</v>
      </c>
      <c r="BB2176" s="388"/>
    </row>
    <row r="2177" spans="1:54" s="4" customFormat="1" ht="13" customHeight="1" x14ac:dyDescent="0.3">
      <c r="A2177" s="566">
        <f t="shared" si="85"/>
        <v>18</v>
      </c>
      <c r="B2177" s="562" t="str">
        <f t="shared" si="86"/>
        <v/>
      </c>
      <c r="C2177" s="563" t="str">
        <f t="shared" si="87"/>
        <v>Unvalidated or Improper Forensic Science</v>
      </c>
      <c r="D2177" s="562" t="str">
        <f t="shared" si="84"/>
        <v/>
      </c>
      <c r="E2177" s="905">
        <f t="shared" si="88"/>
        <v>0</v>
      </c>
      <c r="F2177" s="905"/>
      <c r="AC2177" s="389"/>
      <c r="AG2177" s="4">
        <f>A534</f>
        <v>17</v>
      </c>
      <c r="AH2177" s="4" t="str">
        <f t="shared" si="89"/>
        <v/>
      </c>
      <c r="AI2177" s="4" t="str">
        <f>B534</f>
        <v>Government Misconduct</v>
      </c>
      <c r="AJ2177" s="503" t="str">
        <f t="shared" ref="AJ2177:AJ2217" si="91">IF(AO2177=0,AL2177,AO2177)</f>
        <v/>
      </c>
      <c r="AK2177" s="560">
        <f>E537</f>
        <v>0</v>
      </c>
      <c r="AL2177" s="4" t="str">
        <f t="shared" si="90"/>
        <v/>
      </c>
      <c r="AM2177" s="4">
        <f>B538</f>
        <v>0</v>
      </c>
      <c r="AO2177" s="4">
        <f>D538</f>
        <v>0</v>
      </c>
      <c r="BB2177" s="388"/>
    </row>
    <row r="2178" spans="1:54" s="4" customFormat="1" ht="13" customHeight="1" x14ac:dyDescent="0.3">
      <c r="A2178" s="566">
        <f t="shared" si="85"/>
        <v>19</v>
      </c>
      <c r="B2178" s="562" t="str">
        <f t="shared" si="86"/>
        <v/>
      </c>
      <c r="C2178" s="563" t="str">
        <f t="shared" si="87"/>
        <v>Jail Informant</v>
      </c>
      <c r="D2178" s="562" t="str">
        <f t="shared" si="84"/>
        <v/>
      </c>
      <c r="E2178" s="905">
        <f t="shared" si="88"/>
        <v>0</v>
      </c>
      <c r="F2178" s="905"/>
      <c r="AC2178" s="389"/>
      <c r="AG2178" s="4">
        <f>A539</f>
        <v>18</v>
      </c>
      <c r="AH2178" s="4" t="str">
        <f t="shared" si="89"/>
        <v/>
      </c>
      <c r="AI2178" s="4" t="str">
        <f>B539</f>
        <v>Unvalidated or Improper Forensic Science</v>
      </c>
      <c r="AJ2178" s="503" t="str">
        <f t="shared" si="91"/>
        <v/>
      </c>
      <c r="AK2178" s="560">
        <f>E542</f>
        <v>0</v>
      </c>
      <c r="AL2178" s="4" t="str">
        <f t="shared" si="90"/>
        <v/>
      </c>
      <c r="AM2178" s="4">
        <f>B543</f>
        <v>0</v>
      </c>
      <c r="AO2178" s="4">
        <f>D543</f>
        <v>0</v>
      </c>
      <c r="BB2178" s="388"/>
    </row>
    <row r="2179" spans="1:54" s="4" customFormat="1" ht="13" customHeight="1" x14ac:dyDescent="0.3">
      <c r="A2179" s="566">
        <f t="shared" si="85"/>
        <v>20</v>
      </c>
      <c r="B2179" s="562" t="str">
        <f t="shared" si="86"/>
        <v/>
      </c>
      <c r="C2179" s="563" t="str">
        <f t="shared" si="87"/>
        <v>Inadequate Defense</v>
      </c>
      <c r="D2179" s="562" t="str">
        <f t="shared" si="84"/>
        <v/>
      </c>
      <c r="E2179" s="905">
        <f t="shared" si="88"/>
        <v>0</v>
      </c>
      <c r="F2179" s="905"/>
      <c r="AC2179" s="389"/>
      <c r="AG2179" s="4">
        <f>A545</f>
        <v>19</v>
      </c>
      <c r="AH2179" s="4" t="str">
        <f t="shared" si="89"/>
        <v/>
      </c>
      <c r="AI2179" s="4" t="str">
        <f>B545</f>
        <v>Jail Informant</v>
      </c>
      <c r="AJ2179" s="503" t="str">
        <f t="shared" si="91"/>
        <v/>
      </c>
      <c r="AK2179" s="560">
        <f>E548</f>
        <v>0</v>
      </c>
      <c r="AL2179" s="4" t="str">
        <f t="shared" si="90"/>
        <v/>
      </c>
      <c r="AM2179" s="4">
        <f>B549</f>
        <v>0</v>
      </c>
      <c r="AO2179" s="4">
        <f>D549</f>
        <v>0</v>
      </c>
      <c r="BB2179" s="388"/>
    </row>
    <row r="2180" spans="1:54" s="4" customFormat="1" ht="13" customHeight="1" x14ac:dyDescent="0.3">
      <c r="A2180" s="566">
        <f t="shared" si="85"/>
        <v>21</v>
      </c>
      <c r="B2180" s="562" t="str">
        <f t="shared" si="86"/>
        <v/>
      </c>
      <c r="C2180" s="563" t="str">
        <f t="shared" si="87"/>
        <v>Evidence yet to be DNA tested</v>
      </c>
      <c r="D2180" s="562" t="str">
        <f t="shared" si="84"/>
        <v/>
      </c>
      <c r="E2180" s="905">
        <f t="shared" si="88"/>
        <v>0</v>
      </c>
      <c r="F2180" s="905"/>
      <c r="AC2180" s="389"/>
      <c r="AG2180" s="4">
        <f>A550</f>
        <v>20</v>
      </c>
      <c r="AH2180" s="4" t="str">
        <f t="shared" si="89"/>
        <v/>
      </c>
      <c r="AI2180" s="4" t="str">
        <f>B550</f>
        <v>Inadequate Defense</v>
      </c>
      <c r="AJ2180" s="503" t="str">
        <f t="shared" si="91"/>
        <v/>
      </c>
      <c r="AK2180" s="560">
        <f>E553</f>
        <v>0</v>
      </c>
      <c r="AL2180" s="4" t="str">
        <f t="shared" si="90"/>
        <v/>
      </c>
      <c r="AM2180" s="4">
        <f>B554</f>
        <v>0</v>
      </c>
      <c r="AO2180" s="4">
        <f>D554</f>
        <v>0</v>
      </c>
      <c r="BB2180" s="388"/>
    </row>
    <row r="2181" spans="1:54" s="4" customFormat="1" ht="13" customHeight="1" x14ac:dyDescent="0.3">
      <c r="A2181" s="566">
        <f t="shared" si="85"/>
        <v>22</v>
      </c>
      <c r="B2181" s="562" t="str">
        <f t="shared" si="86"/>
        <v/>
      </c>
      <c r="C2181" s="563" t="str">
        <f t="shared" si="87"/>
        <v>Non-DNA evidence yet to be considered</v>
      </c>
      <c r="D2181" s="562" t="str">
        <f t="shared" si="84"/>
        <v/>
      </c>
      <c r="E2181" s="905">
        <f t="shared" si="88"/>
        <v>0</v>
      </c>
      <c r="F2181" s="905"/>
      <c r="AC2181" s="389"/>
      <c r="AG2181" s="4">
        <f>A558</f>
        <v>21</v>
      </c>
      <c r="AH2181" s="4" t="str">
        <f t="shared" si="89"/>
        <v/>
      </c>
      <c r="AI2181" s="4" t="str">
        <f>B558</f>
        <v>Evidence yet to be DNA tested</v>
      </c>
      <c r="AJ2181" s="503" t="str">
        <f t="shared" si="91"/>
        <v/>
      </c>
      <c r="AK2181" s="560">
        <f>E561</f>
        <v>0</v>
      </c>
      <c r="AL2181" s="4" t="str">
        <f t="shared" si="90"/>
        <v/>
      </c>
      <c r="AM2181" s="4">
        <f>B562</f>
        <v>0</v>
      </c>
      <c r="AO2181" s="4">
        <f>D562</f>
        <v>0</v>
      </c>
      <c r="BB2181" s="388"/>
    </row>
    <row r="2182" spans="1:54" s="4" customFormat="1" ht="13" customHeight="1" x14ac:dyDescent="0.3">
      <c r="A2182" s="566">
        <f t="shared" si="85"/>
        <v>23</v>
      </c>
      <c r="B2182" s="562" t="str">
        <f t="shared" si="86"/>
        <v/>
      </c>
      <c r="C2182" s="563" t="str">
        <f t="shared" si="87"/>
        <v>Exculpatory evidence exists</v>
      </c>
      <c r="D2182" s="562" t="str">
        <f t="shared" si="84"/>
        <v/>
      </c>
      <c r="E2182" s="905">
        <f t="shared" si="88"/>
        <v>0</v>
      </c>
      <c r="F2182" s="905"/>
      <c r="AC2182" s="389"/>
      <c r="AG2182" s="4">
        <f>A563</f>
        <v>22</v>
      </c>
      <c r="AH2182" s="4" t="str">
        <f t="shared" si="89"/>
        <v/>
      </c>
      <c r="AI2182" s="4" t="str">
        <f>B563</f>
        <v>Non-DNA evidence yet to be considered</v>
      </c>
      <c r="AJ2182" s="503" t="str">
        <f t="shared" si="91"/>
        <v/>
      </c>
      <c r="AK2182" s="560">
        <f>E566</f>
        <v>0</v>
      </c>
      <c r="AL2182" s="4" t="str">
        <f t="shared" si="90"/>
        <v/>
      </c>
      <c r="AM2182" s="4">
        <f>B567</f>
        <v>0</v>
      </c>
      <c r="AO2182" s="4">
        <f>D567</f>
        <v>0</v>
      </c>
      <c r="BB2182" s="388"/>
    </row>
    <row r="2183" spans="1:54" s="4" customFormat="1" ht="13" customHeight="1" x14ac:dyDescent="0.3">
      <c r="A2183" s="566">
        <f t="shared" si="85"/>
        <v>24</v>
      </c>
      <c r="B2183" s="562" t="str">
        <f t="shared" si="86"/>
        <v/>
      </c>
      <c r="C2183" s="563" t="str">
        <f t="shared" si="87"/>
        <v>Conviction not corroborated by evidence</v>
      </c>
      <c r="D2183" s="562" t="str">
        <f t="shared" si="84"/>
        <v/>
      </c>
      <c r="E2183" s="905">
        <f t="shared" si="88"/>
        <v>0</v>
      </c>
      <c r="F2183" s="905"/>
      <c r="AC2183" s="389"/>
      <c r="AG2183" s="4">
        <f>A568</f>
        <v>23</v>
      </c>
      <c r="AH2183" s="4" t="str">
        <f t="shared" si="89"/>
        <v/>
      </c>
      <c r="AI2183" s="4" t="str">
        <f>B568</f>
        <v>Exculpatory evidence exists</v>
      </c>
      <c r="AJ2183" s="503" t="str">
        <f t="shared" si="91"/>
        <v/>
      </c>
      <c r="AK2183" s="560">
        <f>E571</f>
        <v>0</v>
      </c>
      <c r="AL2183" s="4" t="str">
        <f t="shared" si="90"/>
        <v/>
      </c>
      <c r="AM2183" s="4">
        <f>B572</f>
        <v>0</v>
      </c>
      <c r="AO2183" s="4">
        <f>D572</f>
        <v>0</v>
      </c>
      <c r="BB2183" s="388"/>
    </row>
    <row r="2184" spans="1:54" s="4" customFormat="1" ht="13" customHeight="1" x14ac:dyDescent="0.3">
      <c r="A2184" s="566">
        <f t="shared" si="85"/>
        <v>25</v>
      </c>
      <c r="B2184" s="562" t="str">
        <f t="shared" si="86"/>
        <v/>
      </c>
      <c r="C2184" s="563" t="str">
        <f t="shared" si="87"/>
        <v>Conviction based on irrational theory of guilt</v>
      </c>
      <c r="D2184" s="562" t="str">
        <f t="shared" si="84"/>
        <v/>
      </c>
      <c r="E2184" s="905">
        <f t="shared" si="88"/>
        <v>0</v>
      </c>
      <c r="F2184" s="905"/>
      <c r="AC2184" s="389"/>
      <c r="AG2184" s="4">
        <f>A574</f>
        <v>24</v>
      </c>
      <c r="AH2184" s="4" t="str">
        <f t="shared" si="89"/>
        <v/>
      </c>
      <c r="AI2184" s="4" t="str">
        <f>B574</f>
        <v>Conviction not corroborated by evidence</v>
      </c>
      <c r="AJ2184" s="503" t="str">
        <f t="shared" si="91"/>
        <v/>
      </c>
      <c r="AK2184" s="560">
        <f>E577</f>
        <v>0</v>
      </c>
      <c r="AL2184" s="4" t="str">
        <f t="shared" si="90"/>
        <v/>
      </c>
      <c r="AM2184" s="4">
        <f>B578</f>
        <v>0</v>
      </c>
      <c r="AO2184" s="4">
        <f>D578</f>
        <v>0</v>
      </c>
      <c r="BB2184" s="388"/>
    </row>
    <row r="2185" spans="1:54" s="4" customFormat="1" ht="13" customHeight="1" x14ac:dyDescent="0.3">
      <c r="A2185" s="566">
        <f t="shared" si="85"/>
        <v>26</v>
      </c>
      <c r="B2185" s="562" t="str">
        <f t="shared" si="86"/>
        <v/>
      </c>
      <c r="C2185" s="563" t="str">
        <f t="shared" si="87"/>
        <v>No actual crime</v>
      </c>
      <c r="D2185" s="562" t="str">
        <f t="shared" si="84"/>
        <v/>
      </c>
      <c r="E2185" s="905">
        <f t="shared" si="88"/>
        <v>0</v>
      </c>
      <c r="F2185" s="905"/>
      <c r="AC2185" s="389"/>
      <c r="AG2185" s="4">
        <f>A579</f>
        <v>25</v>
      </c>
      <c r="AH2185" s="4" t="str">
        <f t="shared" si="89"/>
        <v/>
      </c>
      <c r="AI2185" s="4" t="str">
        <f>B579</f>
        <v>Conviction based on irrational theory of guilt</v>
      </c>
      <c r="AJ2185" s="503" t="str">
        <f t="shared" si="91"/>
        <v/>
      </c>
      <c r="AK2185" s="560">
        <f>E582</f>
        <v>0</v>
      </c>
      <c r="AL2185" s="4" t="str">
        <f t="shared" si="90"/>
        <v/>
      </c>
      <c r="AM2185" s="4">
        <f>B583</f>
        <v>0</v>
      </c>
      <c r="AO2185" s="4">
        <f>D583</f>
        <v>0</v>
      </c>
      <c r="BB2185" s="388"/>
    </row>
    <row r="2186" spans="1:54" s="4" customFormat="1" ht="13" customHeight="1" x14ac:dyDescent="0.3">
      <c r="A2186" s="566">
        <f t="shared" si="85"/>
        <v>27</v>
      </c>
      <c r="B2186" s="562" t="str">
        <f t="shared" si="86"/>
        <v/>
      </c>
      <c r="C2186" s="563" t="str">
        <f t="shared" si="87"/>
        <v>Law enforcement tunnel vision</v>
      </c>
      <c r="D2186" s="562" t="str">
        <f t="shared" si="84"/>
        <v/>
      </c>
      <c r="E2186" s="905">
        <f t="shared" si="88"/>
        <v>0</v>
      </c>
      <c r="F2186" s="905"/>
      <c r="AC2186" s="389"/>
      <c r="AG2186" s="4">
        <f>A584</f>
        <v>26</v>
      </c>
      <c r="AH2186" s="4" t="str">
        <f t="shared" si="89"/>
        <v/>
      </c>
      <c r="AI2186" s="4" t="str">
        <f>B584</f>
        <v>No actual crime</v>
      </c>
      <c r="AJ2186" s="503" t="str">
        <f t="shared" si="91"/>
        <v/>
      </c>
      <c r="AK2186" s="560">
        <f>E587</f>
        <v>0</v>
      </c>
      <c r="AL2186" s="4" t="str">
        <f t="shared" si="90"/>
        <v/>
      </c>
      <c r="AM2186" s="4">
        <f>B588</f>
        <v>0</v>
      </c>
      <c r="AO2186" s="4">
        <f>D588</f>
        <v>0</v>
      </c>
      <c r="BB2186" s="388"/>
    </row>
    <row r="2187" spans="1:54" s="4" customFormat="1" ht="13" customHeight="1" x14ac:dyDescent="0.3">
      <c r="A2187" s="566">
        <f t="shared" si="85"/>
        <v>28</v>
      </c>
      <c r="B2187" s="562" t="str">
        <f t="shared" si="86"/>
        <v/>
      </c>
      <c r="C2187" s="563" t="str">
        <f t="shared" si="87"/>
        <v>Law enforcement noble cause corruption</v>
      </c>
      <c r="D2187" s="562" t="str">
        <f t="shared" si="84"/>
        <v/>
      </c>
      <c r="E2187" s="905">
        <f t="shared" si="88"/>
        <v>0</v>
      </c>
      <c r="F2187" s="905"/>
      <c r="AC2187" s="389"/>
      <c r="AG2187" s="4">
        <f>A592</f>
        <v>27</v>
      </c>
      <c r="AH2187" s="4" t="str">
        <f t="shared" si="89"/>
        <v/>
      </c>
      <c r="AI2187" s="4" t="str">
        <f>B592</f>
        <v>Law enforcement tunnel vision</v>
      </c>
      <c r="AJ2187" s="503" t="str">
        <f t="shared" si="91"/>
        <v/>
      </c>
      <c r="AK2187" s="560">
        <f>E595</f>
        <v>0</v>
      </c>
      <c r="AL2187" s="4" t="str">
        <f t="shared" si="90"/>
        <v/>
      </c>
      <c r="AM2187" s="4">
        <f>B596</f>
        <v>0</v>
      </c>
      <c r="AO2187" s="4">
        <f>D596</f>
        <v>0</v>
      </c>
      <c r="BB2187" s="388"/>
    </row>
    <row r="2188" spans="1:54" s="4" customFormat="1" ht="13" customHeight="1" x14ac:dyDescent="0.3">
      <c r="A2188" s="566">
        <f t="shared" si="85"/>
        <v>29</v>
      </c>
      <c r="B2188" s="562" t="str">
        <f t="shared" si="86"/>
        <v/>
      </c>
      <c r="C2188" s="563" t="str">
        <f t="shared" si="87"/>
        <v>Complainant retraction</v>
      </c>
      <c r="D2188" s="562" t="str">
        <f t="shared" si="84"/>
        <v/>
      </c>
      <c r="E2188" s="905">
        <f t="shared" si="88"/>
        <v>0</v>
      </c>
      <c r="F2188" s="905"/>
      <c r="AC2188" s="389"/>
      <c r="AG2188" s="4">
        <f>A597</f>
        <v>28</v>
      </c>
      <c r="AH2188" s="4" t="str">
        <f t="shared" si="89"/>
        <v/>
      </c>
      <c r="AI2188" s="4" t="str">
        <f>B597</f>
        <v>Law enforcement noble cause corruption</v>
      </c>
      <c r="AJ2188" s="503" t="str">
        <f t="shared" si="91"/>
        <v/>
      </c>
      <c r="AK2188" s="560">
        <f>E600</f>
        <v>0</v>
      </c>
      <c r="AL2188" s="4" t="str">
        <f t="shared" si="90"/>
        <v/>
      </c>
      <c r="AM2188" s="4">
        <f>B601</f>
        <v>0</v>
      </c>
      <c r="AO2188" s="4">
        <f>D601</f>
        <v>0</v>
      </c>
      <c r="BB2188" s="388"/>
    </row>
    <row r="2189" spans="1:54" s="4" customFormat="1" ht="13" customHeight="1" x14ac:dyDescent="0.3">
      <c r="A2189" s="566">
        <f t="shared" si="85"/>
        <v>30</v>
      </c>
      <c r="B2189" s="562" t="str">
        <f t="shared" si="86"/>
        <v/>
      </c>
      <c r="C2189" s="563" t="str">
        <f t="shared" si="87"/>
        <v>Confession from actual perpetrator</v>
      </c>
      <c r="D2189" s="562" t="str">
        <f t="shared" si="84"/>
        <v/>
      </c>
      <c r="E2189" s="905">
        <f t="shared" si="88"/>
        <v>0</v>
      </c>
      <c r="F2189" s="905"/>
      <c r="AC2189" s="389"/>
      <c r="AG2189" s="4">
        <f>A602</f>
        <v>29</v>
      </c>
      <c r="AH2189" s="4" t="str">
        <f t="shared" si="89"/>
        <v/>
      </c>
      <c r="AI2189" s="4" t="str">
        <f>B602</f>
        <v>Complainant retraction</v>
      </c>
      <c r="AJ2189" s="503" t="str">
        <f t="shared" si="91"/>
        <v/>
      </c>
      <c r="AK2189" s="560">
        <f>E605</f>
        <v>0</v>
      </c>
      <c r="AL2189" s="4" t="str">
        <f t="shared" si="90"/>
        <v/>
      </c>
      <c r="AM2189" s="4">
        <f>B606</f>
        <v>0</v>
      </c>
      <c r="AO2189" s="4">
        <f>D606</f>
        <v>0</v>
      </c>
      <c r="BB2189" s="388"/>
    </row>
    <row r="2190" spans="1:54" s="4" customFormat="1" ht="13" customHeight="1" x14ac:dyDescent="0.3">
      <c r="A2190" s="566">
        <f t="shared" si="85"/>
        <v>31</v>
      </c>
      <c r="B2190" s="562" t="str">
        <f t="shared" si="86"/>
        <v/>
      </c>
      <c r="C2190" s="563" t="str">
        <f t="shared" si="87"/>
        <v>Another person implicated in the crime</v>
      </c>
      <c r="D2190" s="562" t="str">
        <f t="shared" si="84"/>
        <v/>
      </c>
      <c r="E2190" s="905">
        <f t="shared" si="88"/>
        <v>0</v>
      </c>
      <c r="F2190" s="905"/>
      <c r="AC2190" s="389"/>
      <c r="AG2190" s="4">
        <f>A608</f>
        <v>30</v>
      </c>
      <c r="AH2190" s="4" t="str">
        <f t="shared" si="89"/>
        <v/>
      </c>
      <c r="AI2190" s="4" t="str">
        <f>B608</f>
        <v>Confession from actual perpetrator</v>
      </c>
      <c r="AJ2190" s="503" t="str">
        <f t="shared" si="91"/>
        <v/>
      </c>
      <c r="AK2190" s="560">
        <f>E611</f>
        <v>0</v>
      </c>
      <c r="AL2190" s="4" t="str">
        <f t="shared" si="90"/>
        <v/>
      </c>
      <c r="AM2190" s="4">
        <f>B612</f>
        <v>0</v>
      </c>
      <c r="AO2190" s="4">
        <f>D612</f>
        <v>0</v>
      </c>
      <c r="BB2190" s="388"/>
    </row>
    <row r="2191" spans="1:54" s="4" customFormat="1" ht="13" customHeight="1" x14ac:dyDescent="0.3">
      <c r="A2191" s="566">
        <f t="shared" si="85"/>
        <v>32</v>
      </c>
      <c r="B2191" s="562" t="str">
        <f t="shared" si="86"/>
        <v/>
      </c>
      <c r="C2191" s="563" t="str">
        <f t="shared" si="87"/>
        <v>Conviction based upon outmoded law/beliefs</v>
      </c>
      <c r="D2191" s="562" t="str">
        <f t="shared" ref="D2191:D2216" si="92">AJ2192</f>
        <v/>
      </c>
      <c r="E2191" s="905">
        <f t="shared" si="88"/>
        <v>0</v>
      </c>
      <c r="F2191" s="905"/>
      <c r="AC2191" s="389"/>
      <c r="AG2191" s="4">
        <f>A613</f>
        <v>31</v>
      </c>
      <c r="AH2191" s="4" t="str">
        <f t="shared" si="89"/>
        <v/>
      </c>
      <c r="AI2191" s="4" t="str">
        <f>B613</f>
        <v>Another person implicated in the crime</v>
      </c>
      <c r="AJ2191" s="503" t="str">
        <f t="shared" si="91"/>
        <v/>
      </c>
      <c r="AK2191" s="560">
        <f>E616</f>
        <v>0</v>
      </c>
      <c r="AL2191" s="4" t="str">
        <f t="shared" si="90"/>
        <v/>
      </c>
      <c r="AM2191" s="4">
        <f>B617</f>
        <v>0</v>
      </c>
      <c r="AO2191" s="4">
        <f>D617</f>
        <v>0</v>
      </c>
      <c r="BB2191" s="388"/>
    </row>
    <row r="2192" spans="1:54" s="4" customFormat="1" ht="13" customHeight="1" x14ac:dyDescent="0.3">
      <c r="A2192" s="566">
        <f t="shared" si="85"/>
        <v>33</v>
      </c>
      <c r="B2192" s="562" t="str">
        <f t="shared" si="86"/>
        <v/>
      </c>
      <c r="C2192" s="563" t="str">
        <f t="shared" si="87"/>
        <v>Presenting conflict of interest</v>
      </c>
      <c r="D2192" s="562" t="str">
        <f t="shared" si="92"/>
        <v/>
      </c>
      <c r="E2192" s="905">
        <f t="shared" si="88"/>
        <v>0</v>
      </c>
      <c r="F2192" s="905"/>
      <c r="AC2192" s="389"/>
      <c r="AG2192" s="4">
        <f>A618</f>
        <v>32</v>
      </c>
      <c r="AH2192" s="4" t="str">
        <f t="shared" si="89"/>
        <v/>
      </c>
      <c r="AI2192" s="4" t="str">
        <f>B618</f>
        <v>Conviction based upon outmoded law/beliefs</v>
      </c>
      <c r="AJ2192" s="503" t="str">
        <f t="shared" si="91"/>
        <v/>
      </c>
      <c r="AK2192" s="560">
        <f>E621</f>
        <v>0</v>
      </c>
      <c r="AL2192" s="4" t="str">
        <f t="shared" si="90"/>
        <v/>
      </c>
      <c r="AM2192" s="4">
        <f>B622</f>
        <v>0</v>
      </c>
      <c r="AO2192" s="4">
        <f>D622</f>
        <v>0</v>
      </c>
      <c r="BB2192" s="388"/>
    </row>
    <row r="2193" spans="1:54" s="4" customFormat="1" ht="13" customHeight="1" x14ac:dyDescent="0.3">
      <c r="A2193" s="566">
        <f t="shared" si="85"/>
        <v>34</v>
      </c>
      <c r="B2193" s="562" t="str">
        <f t="shared" si="86"/>
        <v/>
      </c>
      <c r="C2193" s="563" t="str">
        <f t="shared" si="87"/>
        <v>Perjured testimony or false accusation</v>
      </c>
      <c r="D2193" s="562" t="str">
        <f t="shared" si="92"/>
        <v/>
      </c>
      <c r="E2193" s="905">
        <f t="shared" si="88"/>
        <v>0</v>
      </c>
      <c r="F2193" s="905"/>
      <c r="AC2193" s="389"/>
      <c r="AG2193" s="4">
        <f>A626</f>
        <v>33</v>
      </c>
      <c r="AH2193" s="4" t="str">
        <f t="shared" si="89"/>
        <v/>
      </c>
      <c r="AI2193" s="4" t="str">
        <f>B626</f>
        <v>Presenting conflict of interest</v>
      </c>
      <c r="AJ2193" s="503" t="str">
        <f t="shared" si="91"/>
        <v/>
      </c>
      <c r="AK2193" s="560">
        <f>E629</f>
        <v>0</v>
      </c>
      <c r="AL2193" s="4" t="str">
        <f t="shared" si="90"/>
        <v/>
      </c>
      <c r="AM2193" s="4">
        <f>B630</f>
        <v>0</v>
      </c>
      <c r="AO2193" s="4">
        <f>D630</f>
        <v>0</v>
      </c>
      <c r="BB2193" s="388"/>
    </row>
    <row r="2194" spans="1:54" s="4" customFormat="1" ht="13" customHeight="1" x14ac:dyDescent="0.3">
      <c r="A2194" s="566">
        <f t="shared" si="85"/>
        <v>36</v>
      </c>
      <c r="B2194" s="562" t="str">
        <f t="shared" si="86"/>
        <v/>
      </c>
      <c r="C2194" s="563" t="str">
        <f t="shared" si="87"/>
        <v>Disparate impact</v>
      </c>
      <c r="D2194" s="562" t="str">
        <f t="shared" si="92"/>
        <v/>
      </c>
      <c r="E2194" s="905">
        <f t="shared" si="88"/>
        <v>0</v>
      </c>
      <c r="F2194" s="905"/>
      <c r="AC2194" s="389"/>
      <c r="AG2194" s="4">
        <f>A631</f>
        <v>34</v>
      </c>
      <c r="AH2194" s="4" t="str">
        <f t="shared" si="89"/>
        <v/>
      </c>
      <c r="AI2194" s="4" t="str">
        <f>B631</f>
        <v>Perjured testimony or false accusation</v>
      </c>
      <c r="AJ2194" s="503" t="str">
        <f t="shared" si="91"/>
        <v/>
      </c>
      <c r="AK2194" s="560">
        <f>E639</f>
        <v>0</v>
      </c>
      <c r="AL2194" s="4" t="str">
        <f t="shared" si="90"/>
        <v/>
      </c>
      <c r="AM2194" s="4">
        <f>B640</f>
        <v>0</v>
      </c>
      <c r="AO2194" s="4">
        <f>D640</f>
        <v>0</v>
      </c>
      <c r="BB2194" s="388"/>
    </row>
    <row r="2195" spans="1:54" s="4" customFormat="1" ht="13" customHeight="1" x14ac:dyDescent="0.3">
      <c r="A2195" s="566">
        <f t="shared" si="85"/>
        <v>37</v>
      </c>
      <c r="B2195" s="562" t="str">
        <f t="shared" si="86"/>
        <v/>
      </c>
      <c r="C2195" s="563" t="str">
        <f t="shared" si="87"/>
        <v>Law enforcement prejudice</v>
      </c>
      <c r="D2195" s="562" t="str">
        <f t="shared" si="92"/>
        <v/>
      </c>
      <c r="E2195" s="905">
        <f t="shared" si="88"/>
        <v>0</v>
      </c>
      <c r="F2195" s="905"/>
      <c r="AC2195" s="389"/>
      <c r="AG2195" s="4">
        <f>A642</f>
        <v>36</v>
      </c>
      <c r="AH2195" s="4" t="str">
        <f t="shared" si="89"/>
        <v/>
      </c>
      <c r="AI2195" s="4" t="str">
        <f>B642</f>
        <v>Disparate impact</v>
      </c>
      <c r="AJ2195" s="503" t="str">
        <f t="shared" si="91"/>
        <v/>
      </c>
      <c r="AK2195" s="560">
        <f>E645</f>
        <v>0</v>
      </c>
      <c r="AL2195" s="4" t="str">
        <f t="shared" si="90"/>
        <v/>
      </c>
      <c r="AM2195" s="4">
        <f>B646</f>
        <v>0</v>
      </c>
      <c r="AO2195" s="4">
        <f>D646</f>
        <v>0</v>
      </c>
      <c r="BB2195" s="388"/>
    </row>
    <row r="2196" spans="1:54" s="4" customFormat="1" ht="13" customHeight="1" x14ac:dyDescent="0.3">
      <c r="A2196" s="566">
        <f t="shared" si="85"/>
        <v>38</v>
      </c>
      <c r="B2196" s="562" t="str">
        <f t="shared" si="86"/>
        <v/>
      </c>
      <c r="C2196" s="563" t="str">
        <f t="shared" si="87"/>
        <v>Trial by media</v>
      </c>
      <c r="D2196" s="562" t="str">
        <f t="shared" si="92"/>
        <v/>
      </c>
      <c r="E2196" s="905">
        <f t="shared" si="88"/>
        <v>0</v>
      </c>
      <c r="F2196" s="905"/>
      <c r="AC2196" s="389"/>
      <c r="AG2196" s="4">
        <f>A647</f>
        <v>37</v>
      </c>
      <c r="AH2196" s="4" t="str">
        <f t="shared" si="89"/>
        <v/>
      </c>
      <c r="AI2196" s="4" t="str">
        <f>B647</f>
        <v>Law enforcement prejudice</v>
      </c>
      <c r="AJ2196" s="503" t="str">
        <f t="shared" si="91"/>
        <v/>
      </c>
      <c r="AK2196" s="560">
        <f>E650</f>
        <v>0</v>
      </c>
      <c r="AL2196" s="4" t="str">
        <f t="shared" si="90"/>
        <v/>
      </c>
      <c r="AM2196" s="4">
        <f>B651</f>
        <v>0</v>
      </c>
      <c r="AO2196" s="4">
        <f>D651</f>
        <v>0</v>
      </c>
      <c r="BB2196" s="388"/>
    </row>
    <row r="2197" spans="1:54" s="4" customFormat="1" ht="13" customHeight="1" x14ac:dyDescent="0.3">
      <c r="A2197" s="566">
        <f t="shared" si="85"/>
        <v>39</v>
      </c>
      <c r="B2197" s="562" t="str">
        <f t="shared" si="86"/>
        <v/>
      </c>
      <c r="C2197" s="563" t="str">
        <f t="shared" si="87"/>
        <v>Pled not guilty</v>
      </c>
      <c r="D2197" s="562" t="str">
        <f t="shared" si="92"/>
        <v/>
      </c>
      <c r="E2197" s="905">
        <f t="shared" si="88"/>
        <v>0</v>
      </c>
      <c r="F2197" s="905"/>
      <c r="AC2197" s="389"/>
      <c r="AG2197" s="4">
        <f>A652</f>
        <v>38</v>
      </c>
      <c r="AH2197" s="4" t="str">
        <f t="shared" si="89"/>
        <v/>
      </c>
      <c r="AI2197" s="4" t="str">
        <f>B652</f>
        <v>Trial by media</v>
      </c>
      <c r="AJ2197" s="503" t="str">
        <f t="shared" si="91"/>
        <v/>
      </c>
      <c r="AK2197" s="560">
        <f>E655</f>
        <v>0</v>
      </c>
      <c r="AL2197" s="4" t="str">
        <f t="shared" si="90"/>
        <v/>
      </c>
      <c r="AM2197" s="4">
        <f>B656</f>
        <v>0</v>
      </c>
      <c r="AO2197" s="4">
        <f>D656</f>
        <v>0</v>
      </c>
      <c r="BB2197" s="388"/>
    </row>
    <row r="2198" spans="1:54" s="4" customFormat="1" ht="13" customHeight="1" x14ac:dyDescent="0.3">
      <c r="A2198" s="566">
        <f t="shared" si="85"/>
        <v>40</v>
      </c>
      <c r="B2198" s="562" t="str">
        <f t="shared" si="86"/>
        <v/>
      </c>
      <c r="C2198" s="563" t="str">
        <f t="shared" si="87"/>
        <v>Alford plea</v>
      </c>
      <c r="D2198" s="562" t="str">
        <f t="shared" si="92"/>
        <v/>
      </c>
      <c r="E2198" s="905">
        <f t="shared" si="88"/>
        <v>0</v>
      </c>
      <c r="F2198" s="905"/>
      <c r="AC2198" s="389"/>
      <c r="AG2198" s="4">
        <f>A660</f>
        <v>39</v>
      </c>
      <c r="AH2198" s="4" t="str">
        <f t="shared" si="89"/>
        <v/>
      </c>
      <c r="AI2198" s="4" t="str">
        <f>B660</f>
        <v>Pled not guilty</v>
      </c>
      <c r="AJ2198" s="503" t="str">
        <f t="shared" si="91"/>
        <v/>
      </c>
      <c r="AK2198" s="560">
        <f>E663</f>
        <v>0</v>
      </c>
      <c r="AL2198" s="4" t="str">
        <f t="shared" si="90"/>
        <v/>
      </c>
      <c r="AM2198" s="4">
        <f>B664</f>
        <v>0</v>
      </c>
      <c r="AO2198" s="4">
        <f>D664</f>
        <v>0</v>
      </c>
      <c r="BB2198" s="388"/>
    </row>
    <row r="2199" spans="1:54" s="4" customFormat="1" ht="13" customHeight="1" x14ac:dyDescent="0.3">
      <c r="A2199" s="566">
        <f t="shared" si="85"/>
        <v>41</v>
      </c>
      <c r="B2199" s="562" t="str">
        <f t="shared" si="86"/>
        <v/>
      </c>
      <c r="C2199" s="563" t="str">
        <f t="shared" si="87"/>
        <v>Duration of innocence claim</v>
      </c>
      <c r="D2199" s="562" t="str">
        <f t="shared" si="92"/>
        <v/>
      </c>
      <c r="E2199" s="905">
        <f t="shared" si="88"/>
        <v>0</v>
      </c>
      <c r="F2199" s="905"/>
      <c r="AC2199" s="389"/>
      <c r="AG2199" s="4">
        <f>A665</f>
        <v>40</v>
      </c>
      <c r="AH2199" s="4" t="str">
        <f t="shared" si="89"/>
        <v/>
      </c>
      <c r="AI2199" s="4" t="str">
        <f>B665</f>
        <v>Alford plea</v>
      </c>
      <c r="AJ2199" s="503" t="str">
        <f t="shared" si="91"/>
        <v/>
      </c>
      <c r="AK2199" s="560">
        <f>E668</f>
        <v>0</v>
      </c>
      <c r="AL2199" s="4" t="str">
        <f t="shared" si="90"/>
        <v/>
      </c>
      <c r="AM2199" s="4">
        <f>B669</f>
        <v>0</v>
      </c>
      <c r="AO2199" s="4">
        <f>D669</f>
        <v>0</v>
      </c>
      <c r="BB2199" s="388"/>
    </row>
    <row r="2200" spans="1:54" s="4" customFormat="1" ht="13" customHeight="1" x14ac:dyDescent="0.3">
      <c r="A2200" s="566">
        <f t="shared" si="85"/>
        <v>42</v>
      </c>
      <c r="B2200" s="562" t="str">
        <f t="shared" si="86"/>
        <v/>
      </c>
      <c r="C2200" s="563" t="str">
        <f t="shared" si="87"/>
        <v>Respect for crime victim(s)</v>
      </c>
      <c r="D2200" s="562" t="str">
        <f t="shared" si="92"/>
        <v/>
      </c>
      <c r="E2200" s="905">
        <f t="shared" si="88"/>
        <v>0</v>
      </c>
      <c r="F2200" s="905"/>
      <c r="AC2200" s="389"/>
      <c r="AG2200" s="4">
        <f>A670</f>
        <v>41</v>
      </c>
      <c r="AH2200" s="4" t="str">
        <f t="shared" si="89"/>
        <v/>
      </c>
      <c r="AI2200" s="4" t="str">
        <f>B670</f>
        <v>Duration of innocence claim</v>
      </c>
      <c r="AJ2200" s="503" t="str">
        <f t="shared" si="91"/>
        <v/>
      </c>
      <c r="AK2200" s="560">
        <f>E673</f>
        <v>0</v>
      </c>
      <c r="AL2200" s="4" t="str">
        <f t="shared" si="90"/>
        <v/>
      </c>
      <c r="AM2200" s="4">
        <f>B674</f>
        <v>0</v>
      </c>
      <c r="AO2200" s="4">
        <f>D674</f>
        <v>0</v>
      </c>
      <c r="BB2200" s="388"/>
    </row>
    <row r="2201" spans="1:54" s="4" customFormat="1" ht="13" customHeight="1" x14ac:dyDescent="0.3">
      <c r="A2201" s="566">
        <f t="shared" si="85"/>
        <v>43</v>
      </c>
      <c r="B2201" s="562" t="str">
        <f t="shared" si="86"/>
        <v/>
      </c>
      <c r="C2201" s="563" t="str">
        <f t="shared" si="87"/>
        <v>Positive institutional record</v>
      </c>
      <c r="D2201" s="562" t="str">
        <f t="shared" si="92"/>
        <v/>
      </c>
      <c r="E2201" s="905">
        <f t="shared" si="88"/>
        <v>0</v>
      </c>
      <c r="F2201" s="905"/>
      <c r="AC2201" s="389"/>
      <c r="AG2201" s="4">
        <f>A676</f>
        <v>42</v>
      </c>
      <c r="AH2201" s="4" t="str">
        <f t="shared" si="89"/>
        <v/>
      </c>
      <c r="AI2201" s="4" t="str">
        <f>B676</f>
        <v>Respect for crime victim(s)</v>
      </c>
      <c r="AJ2201" s="503" t="str">
        <f t="shared" si="91"/>
        <v/>
      </c>
      <c r="AK2201" s="560">
        <f>E679</f>
        <v>0</v>
      </c>
      <c r="AL2201" s="4" t="str">
        <f t="shared" si="90"/>
        <v/>
      </c>
      <c r="AM2201" s="4">
        <f>B680</f>
        <v>0</v>
      </c>
      <c r="AO2201" s="4">
        <f>D680</f>
        <v>0</v>
      </c>
      <c r="BB2201" s="388"/>
    </row>
    <row r="2202" spans="1:54" s="4" customFormat="1" ht="13" customHeight="1" x14ac:dyDescent="0.3">
      <c r="A2202" s="566">
        <f t="shared" si="85"/>
        <v>44</v>
      </c>
      <c r="B2202" s="562" t="str">
        <f t="shared" si="86"/>
        <v/>
      </c>
      <c r="C2202" s="563" t="str">
        <f t="shared" si="87"/>
        <v>No criminal history</v>
      </c>
      <c r="D2202" s="562" t="str">
        <f t="shared" si="92"/>
        <v/>
      </c>
      <c r="E2202" s="905">
        <f t="shared" si="88"/>
        <v>0</v>
      </c>
      <c r="F2202" s="905"/>
      <c r="AC2202" s="389"/>
      <c r="AG2202" s="4">
        <f>A681</f>
        <v>43</v>
      </c>
      <c r="AH2202" s="4" t="str">
        <f t="shared" si="89"/>
        <v/>
      </c>
      <c r="AI2202" s="4" t="str">
        <f>B681</f>
        <v>Positive institutional record</v>
      </c>
      <c r="AJ2202" s="503" t="str">
        <f t="shared" si="91"/>
        <v/>
      </c>
      <c r="AK2202" s="560">
        <f>E684</f>
        <v>0</v>
      </c>
      <c r="AL2202" s="4" t="str">
        <f t="shared" si="90"/>
        <v/>
      </c>
      <c r="AM2202" s="4">
        <f>B685</f>
        <v>0</v>
      </c>
      <c r="AO2202" s="4">
        <f>D685</f>
        <v>0</v>
      </c>
      <c r="BB2202" s="388"/>
    </row>
    <row r="2203" spans="1:54" s="4" customFormat="1" ht="13" customHeight="1" x14ac:dyDescent="0.3">
      <c r="A2203" s="566">
        <f t="shared" si="85"/>
        <v>45</v>
      </c>
      <c r="B2203" s="562" t="str">
        <f t="shared" si="86"/>
        <v/>
      </c>
      <c r="C2203" s="563" t="str">
        <f t="shared" si="87"/>
        <v>Parole denial from maintaining innocence</v>
      </c>
      <c r="D2203" s="562" t="str">
        <f t="shared" si="92"/>
        <v/>
      </c>
      <c r="E2203" s="905">
        <f t="shared" si="88"/>
        <v>0</v>
      </c>
      <c r="F2203" s="905"/>
      <c r="AC2203" s="389"/>
      <c r="AG2203" s="4">
        <f>A686</f>
        <v>44</v>
      </c>
      <c r="AH2203" s="4" t="str">
        <f t="shared" si="89"/>
        <v/>
      </c>
      <c r="AI2203" s="4" t="str">
        <f>B686</f>
        <v>No criminal history</v>
      </c>
      <c r="AJ2203" s="503" t="str">
        <f t="shared" si="91"/>
        <v/>
      </c>
      <c r="AK2203" s="560">
        <f>E689</f>
        <v>0</v>
      </c>
      <c r="AL2203" s="4" t="str">
        <f t="shared" si="90"/>
        <v/>
      </c>
      <c r="AM2203" s="4">
        <f>B690</f>
        <v>0</v>
      </c>
      <c r="AO2203" s="4">
        <f>D690</f>
        <v>0</v>
      </c>
      <c r="BB2203" s="388"/>
    </row>
    <row r="2204" spans="1:54" s="4" customFormat="1" ht="13" customHeight="1" x14ac:dyDescent="0.3">
      <c r="A2204" s="566">
        <f t="shared" si="85"/>
        <v>46</v>
      </c>
      <c r="B2204" s="562" t="str">
        <f t="shared" si="86"/>
        <v/>
      </c>
      <c r="C2204" s="563" t="str">
        <f t="shared" si="87"/>
        <v>Any relief on appeal</v>
      </c>
      <c r="D2204" s="562" t="str">
        <f t="shared" si="92"/>
        <v/>
      </c>
      <c r="E2204" s="905">
        <f t="shared" si="88"/>
        <v>0</v>
      </c>
      <c r="F2204" s="905"/>
      <c r="AC2204" s="389"/>
      <c r="AG2204" s="4">
        <f>A692</f>
        <v>45</v>
      </c>
      <c r="AH2204" s="4" t="str">
        <f t="shared" si="89"/>
        <v/>
      </c>
      <c r="AI2204" s="4" t="str">
        <f>B692</f>
        <v>Parole denial from maintaining innocence</v>
      </c>
      <c r="AJ2204" s="503" t="str">
        <f t="shared" si="91"/>
        <v/>
      </c>
      <c r="AK2204" s="560">
        <f>E695</f>
        <v>0</v>
      </c>
      <c r="AL2204" s="4" t="str">
        <f t="shared" si="90"/>
        <v/>
      </c>
      <c r="AM2204" s="4">
        <f>B696</f>
        <v>0</v>
      </c>
      <c r="AO2204" s="4">
        <f>D696</f>
        <v>0</v>
      </c>
      <c r="BB2204" s="388"/>
    </row>
    <row r="2205" spans="1:54" s="4" customFormat="1" ht="13" customHeight="1" x14ac:dyDescent="0.3">
      <c r="A2205" s="566">
        <f t="shared" si="85"/>
        <v>47</v>
      </c>
      <c r="B2205" s="562" t="str">
        <f t="shared" si="86"/>
        <v/>
      </c>
      <c r="C2205" s="563" t="str">
        <f t="shared" si="87"/>
        <v>Supporters</v>
      </c>
      <c r="D2205" s="562" t="str">
        <f t="shared" si="92"/>
        <v/>
      </c>
      <c r="E2205" s="905">
        <f t="shared" si="88"/>
        <v>0</v>
      </c>
      <c r="F2205" s="905"/>
      <c r="AC2205" s="389"/>
      <c r="AG2205" s="4">
        <f>A708</f>
        <v>46</v>
      </c>
      <c r="AH2205" s="4" t="str">
        <f t="shared" si="89"/>
        <v/>
      </c>
      <c r="AI2205" s="4" t="str">
        <f>B708</f>
        <v>Any relief on appeal</v>
      </c>
      <c r="AJ2205" s="503" t="str">
        <f t="shared" si="91"/>
        <v/>
      </c>
      <c r="AK2205" s="560">
        <f>E711</f>
        <v>0</v>
      </c>
      <c r="AL2205" s="4" t="str">
        <f t="shared" si="90"/>
        <v/>
      </c>
      <c r="AM2205" s="4">
        <f>B712</f>
        <v>0</v>
      </c>
      <c r="AO2205" s="4">
        <f>D712</f>
        <v>0</v>
      </c>
      <c r="BB2205" s="388"/>
    </row>
    <row r="2206" spans="1:54" s="4" customFormat="1" ht="13" customHeight="1" x14ac:dyDescent="0.3">
      <c r="A2206" s="566">
        <f t="shared" si="85"/>
        <v>48</v>
      </c>
      <c r="B2206" s="562" t="str">
        <f t="shared" si="86"/>
        <v/>
      </c>
      <c r="C2206" s="563" t="str">
        <f t="shared" si="87"/>
        <v>Affidavits</v>
      </c>
      <c r="D2206" s="562" t="str">
        <f t="shared" si="92"/>
        <v/>
      </c>
      <c r="E2206" s="905">
        <f t="shared" si="88"/>
        <v>0</v>
      </c>
      <c r="F2206" s="905"/>
      <c r="AC2206" s="389"/>
      <c r="AG2206" s="4">
        <f>A713</f>
        <v>47</v>
      </c>
      <c r="AH2206" s="4" t="str">
        <f t="shared" si="89"/>
        <v/>
      </c>
      <c r="AI2206" s="4" t="str">
        <f>B713</f>
        <v>Supporters</v>
      </c>
      <c r="AJ2206" s="503" t="str">
        <f t="shared" si="91"/>
        <v/>
      </c>
      <c r="AK2206" s="560">
        <f>E716</f>
        <v>0</v>
      </c>
      <c r="AL2206" s="4" t="str">
        <f t="shared" si="90"/>
        <v/>
      </c>
      <c r="AM2206" s="4">
        <f>B717</f>
        <v>0</v>
      </c>
      <c r="AO2206" s="4">
        <f>D717</f>
        <v>0</v>
      </c>
      <c r="BB2206" s="388"/>
    </row>
    <row r="2207" spans="1:54" s="4" customFormat="1" ht="13" customHeight="1" x14ac:dyDescent="0.3">
      <c r="A2207" s="566">
        <f t="shared" si="85"/>
        <v>49</v>
      </c>
      <c r="B2207" s="562" t="str">
        <f t="shared" si="86"/>
        <v/>
      </c>
      <c r="C2207" s="563" t="str">
        <f t="shared" si="87"/>
        <v>Judge support</v>
      </c>
      <c r="D2207" s="562" t="str">
        <f t="shared" si="92"/>
        <v/>
      </c>
      <c r="E2207" s="905">
        <f t="shared" si="88"/>
        <v>0</v>
      </c>
      <c r="F2207" s="905"/>
      <c r="AC2207" s="389"/>
      <c r="AG2207" s="4">
        <f>A718</f>
        <v>48</v>
      </c>
      <c r="AH2207" s="4" t="str">
        <f t="shared" si="89"/>
        <v/>
      </c>
      <c r="AI2207" s="4" t="str">
        <f>B718</f>
        <v>Affidavits</v>
      </c>
      <c r="AJ2207" s="503" t="str">
        <f t="shared" si="91"/>
        <v/>
      </c>
      <c r="AK2207" s="560">
        <f>E721</f>
        <v>0</v>
      </c>
      <c r="AL2207" s="4" t="str">
        <f t="shared" si="90"/>
        <v/>
      </c>
      <c r="AM2207" s="4">
        <f>B722</f>
        <v>0</v>
      </c>
      <c r="AO2207" s="4">
        <f>D722</f>
        <v>0</v>
      </c>
      <c r="BB2207" s="388"/>
    </row>
    <row r="2208" spans="1:54" s="4" customFormat="1" ht="13" customHeight="1" x14ac:dyDescent="0.3">
      <c r="A2208" s="566">
        <f t="shared" si="85"/>
        <v>50</v>
      </c>
      <c r="B2208" s="562" t="str">
        <f t="shared" si="86"/>
        <v/>
      </c>
      <c r="C2208" s="563" t="str">
        <f t="shared" si="87"/>
        <v>Prosecutor support</v>
      </c>
      <c r="D2208" s="562" t="str">
        <f t="shared" si="92"/>
        <v/>
      </c>
      <c r="E2208" s="905">
        <f t="shared" si="88"/>
        <v>0</v>
      </c>
      <c r="F2208" s="905"/>
      <c r="AC2208" s="389"/>
      <c r="AG2208" s="4">
        <f>A724</f>
        <v>49</v>
      </c>
      <c r="AH2208" s="4" t="str">
        <f t="shared" si="89"/>
        <v/>
      </c>
      <c r="AI2208" s="4" t="str">
        <f>B724</f>
        <v>Judge support</v>
      </c>
      <c r="AJ2208" s="503" t="str">
        <f t="shared" si="91"/>
        <v/>
      </c>
      <c r="AK2208" s="560">
        <f>E727</f>
        <v>0</v>
      </c>
      <c r="AL2208" s="4" t="str">
        <f t="shared" si="90"/>
        <v/>
      </c>
      <c r="AM2208" s="4">
        <f>B728</f>
        <v>0</v>
      </c>
      <c r="AO2208" s="4">
        <f>D728</f>
        <v>0</v>
      </c>
      <c r="BB2208" s="388"/>
    </row>
    <row r="2209" spans="1:60" s="4" customFormat="1" ht="13" customHeight="1" x14ac:dyDescent="0.3">
      <c r="A2209" s="566">
        <f t="shared" si="85"/>
        <v>51</v>
      </c>
      <c r="B2209" s="562" t="str">
        <f t="shared" si="86"/>
        <v/>
      </c>
      <c r="C2209" s="563" t="str">
        <f t="shared" si="87"/>
        <v>Defense counsel support</v>
      </c>
      <c r="D2209" s="562" t="str">
        <f t="shared" si="92"/>
        <v/>
      </c>
      <c r="E2209" s="905">
        <f t="shared" si="88"/>
        <v>0</v>
      </c>
      <c r="F2209" s="905"/>
      <c r="AC2209" s="389"/>
      <c r="AG2209" s="4">
        <f>A729</f>
        <v>50</v>
      </c>
      <c r="AH2209" s="4" t="str">
        <f t="shared" si="89"/>
        <v/>
      </c>
      <c r="AI2209" s="4" t="str">
        <f>B729</f>
        <v>Prosecutor support</v>
      </c>
      <c r="AJ2209" s="503" t="str">
        <f t="shared" si="91"/>
        <v/>
      </c>
      <c r="AK2209" s="560">
        <f>E732</f>
        <v>0</v>
      </c>
      <c r="AL2209" s="4" t="str">
        <f t="shared" si="90"/>
        <v/>
      </c>
      <c r="AM2209" s="4">
        <f>B733</f>
        <v>0</v>
      </c>
      <c r="AO2209" s="4">
        <f>D733</f>
        <v>0</v>
      </c>
      <c r="BB2209" s="388"/>
    </row>
    <row r="2210" spans="1:60" s="4" customFormat="1" ht="13" customHeight="1" x14ac:dyDescent="0.3">
      <c r="A2210" s="566">
        <f t="shared" si="85"/>
        <v>52</v>
      </c>
      <c r="B2210" s="562" t="str">
        <f t="shared" si="86"/>
        <v/>
      </c>
      <c r="C2210" s="563" t="str">
        <f t="shared" si="87"/>
        <v>Influential support</v>
      </c>
      <c r="D2210" s="562" t="str">
        <f t="shared" si="92"/>
        <v/>
      </c>
      <c r="E2210" s="905">
        <f t="shared" si="88"/>
        <v>0</v>
      </c>
      <c r="F2210" s="905"/>
      <c r="AC2210" s="389"/>
      <c r="AG2210" s="4">
        <f>A734</f>
        <v>51</v>
      </c>
      <c r="AH2210" s="4" t="str">
        <f t="shared" si="89"/>
        <v/>
      </c>
      <c r="AI2210" s="4" t="str">
        <f>B734</f>
        <v>Defense counsel support</v>
      </c>
      <c r="AJ2210" s="503" t="str">
        <f t="shared" si="91"/>
        <v/>
      </c>
      <c r="AK2210" s="560">
        <f>E737</f>
        <v>0</v>
      </c>
      <c r="AL2210" s="4" t="str">
        <f t="shared" si="90"/>
        <v/>
      </c>
      <c r="AM2210" s="4">
        <f>B738</f>
        <v>0</v>
      </c>
      <c r="AO2210" s="4">
        <f>D738</f>
        <v>0</v>
      </c>
      <c r="BB2210" s="388"/>
    </row>
    <row r="2211" spans="1:60" s="4" customFormat="1" ht="13" customHeight="1" x14ac:dyDescent="0.3">
      <c r="A2211" s="566">
        <f t="shared" si="85"/>
        <v>53</v>
      </c>
      <c r="B2211" s="562" t="str">
        <f t="shared" si="86"/>
        <v/>
      </c>
      <c r="C2211" s="563" t="str">
        <f t="shared" si="87"/>
        <v>Any other relevant items</v>
      </c>
      <c r="D2211" s="562" t="str">
        <f t="shared" si="92"/>
        <v/>
      </c>
      <c r="E2211" s="905">
        <f t="shared" si="88"/>
        <v>0</v>
      </c>
      <c r="F2211" s="905"/>
      <c r="AC2211" s="389"/>
      <c r="AG2211" s="4">
        <f>A739</f>
        <v>52</v>
      </c>
      <c r="AH2211" s="4" t="str">
        <f t="shared" si="89"/>
        <v/>
      </c>
      <c r="AI2211" s="4" t="str">
        <f>B739</f>
        <v>Influential support</v>
      </c>
      <c r="AJ2211" s="503" t="str">
        <f t="shared" si="91"/>
        <v/>
      </c>
      <c r="AK2211" s="560">
        <f>E742</f>
        <v>0</v>
      </c>
      <c r="AL2211" s="4" t="str">
        <f t="shared" si="90"/>
        <v/>
      </c>
      <c r="AM2211" s="4">
        <f>B743</f>
        <v>0</v>
      </c>
      <c r="AO2211" s="4">
        <f>D743</f>
        <v>0</v>
      </c>
      <c r="BB2211" s="388"/>
    </row>
    <row r="2212" spans="1:60" s="4" customFormat="1" ht="13" customHeight="1" x14ac:dyDescent="0.3">
      <c r="A2212" s="566">
        <f t="shared" si="85"/>
        <v>54</v>
      </c>
      <c r="B2212" s="562" t="str">
        <f t="shared" si="86"/>
        <v/>
      </c>
      <c r="C2212" s="563" t="str">
        <f t="shared" si="87"/>
        <v>Indictment changed</v>
      </c>
      <c r="D2212" s="562" t="str">
        <f t="shared" si="92"/>
        <v/>
      </c>
      <c r="E2212" s="905">
        <f t="shared" si="88"/>
        <v>0</v>
      </c>
      <c r="F2212" s="905"/>
      <c r="AC2212" s="389"/>
      <c r="AG2212" s="4">
        <f>A747</f>
        <v>53</v>
      </c>
      <c r="AH2212" s="4" t="str">
        <f t="shared" si="89"/>
        <v/>
      </c>
      <c r="AI2212" s="4" t="str">
        <f>B747</f>
        <v>Any other relevant items</v>
      </c>
      <c r="AJ2212" s="503" t="str">
        <f t="shared" si="91"/>
        <v/>
      </c>
      <c r="AK2212" s="560">
        <f>E750</f>
        <v>0</v>
      </c>
      <c r="AL2212" s="4" t="str">
        <f t="shared" si="90"/>
        <v/>
      </c>
      <c r="AM2212" s="4">
        <f>B751</f>
        <v>0</v>
      </c>
      <c r="AO2212" s="4">
        <f>D751</f>
        <v>0</v>
      </c>
      <c r="BB2212" s="388"/>
    </row>
    <row r="2213" spans="1:60" s="4" customFormat="1" ht="13" customHeight="1" x14ac:dyDescent="0.3">
      <c r="A2213" s="566">
        <f t="shared" si="85"/>
        <v>55</v>
      </c>
      <c r="B2213" s="562" t="str">
        <f t="shared" si="86"/>
        <v/>
      </c>
      <c r="C2213" s="563" t="str">
        <f t="shared" si="87"/>
        <v>Plea deal turned down</v>
      </c>
      <c r="D2213" s="562" t="str">
        <f t="shared" si="92"/>
        <v/>
      </c>
      <c r="E2213" s="905">
        <f t="shared" si="88"/>
        <v>0</v>
      </c>
      <c r="F2213" s="905"/>
      <c r="AC2213" s="389"/>
      <c r="AG2213" s="4">
        <f>A757</f>
        <v>54</v>
      </c>
      <c r="AH2213" s="4" t="str">
        <f t="shared" si="89"/>
        <v/>
      </c>
      <c r="AI2213" s="4" t="str">
        <f>B757</f>
        <v>Indictment changed</v>
      </c>
      <c r="AJ2213" s="503" t="str">
        <f t="shared" si="91"/>
        <v/>
      </c>
      <c r="AK2213" s="560">
        <f>E760</f>
        <v>0</v>
      </c>
      <c r="AL2213" s="4" t="str">
        <f t="shared" si="90"/>
        <v/>
      </c>
      <c r="AM2213" s="4">
        <f>B761</f>
        <v>0</v>
      </c>
      <c r="AO2213" s="4">
        <f>D761</f>
        <v>0</v>
      </c>
      <c r="BB2213" s="388"/>
    </row>
    <row r="2214" spans="1:60" s="4" customFormat="1" ht="13" customHeight="1" x14ac:dyDescent="0.3">
      <c r="A2214" s="566">
        <f t="shared" si="85"/>
        <v>56</v>
      </c>
      <c r="B2214" s="562" t="str">
        <f t="shared" si="86"/>
        <v/>
      </c>
      <c r="C2214" s="563" t="str">
        <f t="shared" si="87"/>
        <v>Asserted right to trial</v>
      </c>
      <c r="D2214" s="562" t="str">
        <f t="shared" si="92"/>
        <v/>
      </c>
      <c r="E2214" s="905">
        <f t="shared" si="88"/>
        <v>0</v>
      </c>
      <c r="F2214" s="905"/>
      <c r="AC2214" s="389"/>
      <c r="AG2214" s="4">
        <f>A762</f>
        <v>55</v>
      </c>
      <c r="AH2214" s="4" t="str">
        <f t="shared" si="89"/>
        <v/>
      </c>
      <c r="AI2214" s="4" t="str">
        <f>B762</f>
        <v>Plea deal turned down</v>
      </c>
      <c r="AJ2214" s="503" t="str">
        <f t="shared" si="91"/>
        <v/>
      </c>
      <c r="AK2214" s="560">
        <f>E765</f>
        <v>0</v>
      </c>
      <c r="AL2214" s="4" t="str">
        <f t="shared" si="90"/>
        <v/>
      </c>
      <c r="AM2214" s="4">
        <f>B766</f>
        <v>0</v>
      </c>
      <c r="AO2214" s="4">
        <f>D766</f>
        <v>0</v>
      </c>
      <c r="BB2214" s="388"/>
    </row>
    <row r="2215" spans="1:60" s="4" customFormat="1" ht="13" customHeight="1" x14ac:dyDescent="0.3">
      <c r="A2215" s="566">
        <f t="shared" si="85"/>
        <v>57</v>
      </c>
      <c r="B2215" s="562" t="str">
        <f t="shared" si="86"/>
        <v/>
      </c>
      <c r="C2215" s="563" t="str">
        <f t="shared" si="87"/>
        <v>Discovery with exculpatory evidence</v>
      </c>
      <c r="D2215" s="562" t="str">
        <f t="shared" si="92"/>
        <v/>
      </c>
      <c r="E2215" s="905">
        <f t="shared" si="88"/>
        <v>0</v>
      </c>
      <c r="F2215" s="905"/>
      <c r="AC2215" s="389"/>
      <c r="AG2215" s="4">
        <f>A767</f>
        <v>56</v>
      </c>
      <c r="AH2215" s="4" t="str">
        <f t="shared" si="89"/>
        <v/>
      </c>
      <c r="AI2215" s="4" t="str">
        <f>B767</f>
        <v>Asserted right to trial</v>
      </c>
      <c r="AJ2215" s="503" t="str">
        <f t="shared" si="91"/>
        <v/>
      </c>
      <c r="AK2215" s="560">
        <f>E770</f>
        <v>0</v>
      </c>
      <c r="AL2215" s="4" t="str">
        <f t="shared" si="90"/>
        <v/>
      </c>
      <c r="AM2215" s="4">
        <f>B771</f>
        <v>0</v>
      </c>
      <c r="AO2215" s="4">
        <f>D771</f>
        <v>0</v>
      </c>
      <c r="BB2215" s="388"/>
    </row>
    <row r="2216" spans="1:60" s="4" customFormat="1" ht="13" customHeight="1" x14ac:dyDescent="0.3">
      <c r="A2216" s="566">
        <f t="shared" si="85"/>
        <v>58</v>
      </c>
      <c r="B2216" s="562" t="str">
        <f t="shared" si="86"/>
        <v/>
      </c>
      <c r="C2216" s="563" t="str">
        <f t="shared" si="87"/>
        <v>Exculpatory evidence not provided in discovery</v>
      </c>
      <c r="D2216" s="562" t="str">
        <f t="shared" si="92"/>
        <v/>
      </c>
      <c r="E2216" s="905">
        <f t="shared" si="88"/>
        <v>0</v>
      </c>
      <c r="F2216" s="905"/>
      <c r="AC2216" s="389"/>
      <c r="AG2216" s="4">
        <f>A772</f>
        <v>57</v>
      </c>
      <c r="AH2216" s="4" t="str">
        <f t="shared" si="89"/>
        <v/>
      </c>
      <c r="AI2216" s="4" t="str">
        <f>B772</f>
        <v>Discovery with exculpatory evidence</v>
      </c>
      <c r="AJ2216" s="503" t="str">
        <f t="shared" si="91"/>
        <v/>
      </c>
      <c r="AK2216" s="560">
        <f>E775</f>
        <v>0</v>
      </c>
      <c r="AL2216" s="4" t="str">
        <f t="shared" si="90"/>
        <v/>
      </c>
      <c r="AM2216" s="4">
        <f>B776</f>
        <v>0</v>
      </c>
      <c r="AO2216" s="4">
        <f>D776</f>
        <v>0</v>
      </c>
      <c r="BB2216" s="388"/>
    </row>
    <row r="2217" spans="1:60" s="4" customFormat="1" ht="13" customHeight="1" x14ac:dyDescent="0.3">
      <c r="A2217" s="545"/>
      <c r="B2217" s="562"/>
      <c r="C2217" s="563"/>
      <c r="D2217" s="562"/>
      <c r="E2217" s="905">
        <f>AK2219</f>
        <v>0</v>
      </c>
      <c r="F2217" s="905"/>
      <c r="AC2217" s="389"/>
      <c r="AG2217" s="4">
        <f>A777</f>
        <v>58</v>
      </c>
      <c r="AH2217" s="4" t="str">
        <f t="shared" si="89"/>
        <v/>
      </c>
      <c r="AI2217" s="4" t="str">
        <f>B777</f>
        <v>Exculpatory evidence not provided in discovery</v>
      </c>
      <c r="AJ2217" s="503" t="str">
        <f t="shared" si="91"/>
        <v/>
      </c>
      <c r="AK2217" s="560">
        <f>E780</f>
        <v>0</v>
      </c>
      <c r="AL2217" s="4" t="str">
        <f t="shared" si="90"/>
        <v/>
      </c>
      <c r="AM2217" s="4">
        <f>B781</f>
        <v>0</v>
      </c>
      <c r="AO2217" s="4">
        <f>D781</f>
        <v>0</v>
      </c>
      <c r="BB2217" s="388"/>
    </row>
    <row r="2218" spans="1:60" s="4" customFormat="1" ht="13" customHeight="1" thickBot="1" x14ac:dyDescent="0.35">
      <c r="A2218" s="545"/>
      <c r="B2218" s="655" t="s">
        <v>4361</v>
      </c>
      <c r="C2218" s="656" t="str">
        <f>IF(B500="","",B500)</f>
        <v/>
      </c>
      <c r="D2218" s="657"/>
      <c r="E2218" s="658"/>
      <c r="F2218" s="564"/>
      <c r="AC2218" s="389"/>
      <c r="AJ2218" s="503"/>
      <c r="AK2218" s="560"/>
      <c r="BB2218" s="388"/>
    </row>
    <row r="2219" spans="1:60" s="4" customFormat="1" ht="13" customHeight="1" x14ac:dyDescent="0.3">
      <c r="A2219" s="246"/>
      <c r="B2219" s="246"/>
      <c r="C2219" s="246"/>
      <c r="D2219" s="246"/>
      <c r="E2219" s="246"/>
      <c r="F2219" s="246"/>
      <c r="AC2219" s="389"/>
      <c r="BB2219" s="388"/>
    </row>
    <row r="2220" spans="1:60" s="4" customFormat="1" ht="30" customHeight="1" x14ac:dyDescent="0.3">
      <c r="A2220" s="862" t="s">
        <v>92</v>
      </c>
      <c r="B2220" s="1151" t="s">
        <v>3632</v>
      </c>
      <c r="C2220" s="1151"/>
      <c r="D2220" s="872" t="s">
        <v>3514</v>
      </c>
      <c r="E2220" s="864"/>
      <c r="F2220" s="864"/>
      <c r="AC2220" s="389"/>
      <c r="AL2220" s="388" t="s">
        <v>4103</v>
      </c>
      <c r="BB2220" s="388"/>
    </row>
    <row r="2221" spans="1:60" s="4" customFormat="1" x14ac:dyDescent="0.3">
      <c r="A2221" s="246"/>
      <c r="B2221" s="246"/>
      <c r="C2221" s="246"/>
      <c r="D2221" s="246"/>
      <c r="E2221" s="246"/>
      <c r="F2221" s="246"/>
      <c r="AC2221" s="389"/>
      <c r="AE2221" s="648" t="s">
        <v>4365</v>
      </c>
      <c r="AI2221" s="508" t="str">
        <f>IF(C2223=AE2222,AI2222,IF(C2223=AE2223,AI2223,IF(C2223=AE2224,AI2224,IF(C2223=AE2225,AI2225,AI2226))))</f>
        <v>Avowing to clear Claimant's name by any legitimate means possible</v>
      </c>
      <c r="BB2221" s="388"/>
      <c r="BH2221" s="669" t="str">
        <f>IF(D2224=AG2080,"R",IF(D2224=AG2079,"D","either"))</f>
        <v>either</v>
      </c>
    </row>
    <row r="2222" spans="1:60" s="4" customFormat="1" x14ac:dyDescent="0.3">
      <c r="A2222" s="246"/>
      <c r="B2222" s="246"/>
      <c r="C2222" s="246"/>
      <c r="D2222" s="246"/>
      <c r="E2222" s="246"/>
      <c r="F2222" s="246"/>
      <c r="AC2222" s="627" t="s">
        <v>62</v>
      </c>
      <c r="AE2222" s="4" t="str">
        <f>AE2125</f>
        <v>Claimant</v>
      </c>
      <c r="AI2222" s="508" t="str">
        <f>CONCATENATE(AK2222,AL2222,AM2222,AN2222,AO2222)</f>
        <v>Announcing a new tool for estimating viable claims of innocence</v>
      </c>
      <c r="AK2222" s="4" t="s">
        <v>4470</v>
      </c>
      <c r="AM2222" s="503"/>
      <c r="BH2222" s="4" t="s">
        <v>4466</v>
      </c>
    </row>
    <row r="2223" spans="1:60" s="4" customFormat="1" ht="14.5" thickBot="1" x14ac:dyDescent="0.35">
      <c r="A2223" s="246"/>
      <c r="B2223" s="477" t="s">
        <v>1408</v>
      </c>
      <c r="C2223" s="1116"/>
      <c r="D2223" s="1117"/>
      <c r="E2223" s="1117"/>
      <c r="F2223" s="246"/>
      <c r="AC2223" s="627" t="s">
        <v>64</v>
      </c>
      <c r="AE2223" s="4" t="str">
        <f>AE2126</f>
        <v>Proxy</v>
      </c>
      <c r="AI2223" s="508" t="str">
        <f>CONCATENATE(AK2223,AL2223,AM2223,AN2223,AO2223)</f>
        <v>Assessing your responsiveness to Claimant's 0% estimated innocence</v>
      </c>
      <c r="AK2223" s="4" t="s">
        <v>4494</v>
      </c>
      <c r="AL2223" s="4" t="str">
        <f>BG202</f>
        <v>Claimant</v>
      </c>
      <c r="AM2223" s="503" t="s">
        <v>3587</v>
      </c>
      <c r="AN2223" s="629">
        <f>AI1984</f>
        <v>0</v>
      </c>
      <c r="AO2223" s="503" t="s">
        <v>4493</v>
      </c>
      <c r="BB2223" s="388"/>
      <c r="BH2223" s="4" t="s">
        <v>4467</v>
      </c>
    </row>
    <row r="2224" spans="1:60" s="4" customFormat="1" ht="14.5" thickBot="1" x14ac:dyDescent="0.35">
      <c r="A2224" s="246"/>
      <c r="B2224" s="477" t="s">
        <v>1409</v>
      </c>
      <c r="C2224" s="617"/>
      <c r="D2224" s="945" t="str">
        <f>AE2226</f>
        <v>PARTY OF DA</v>
      </c>
      <c r="E2224" s="946"/>
      <c r="F2224" s="246"/>
      <c r="AC2224" s="627" t="s">
        <v>4055</v>
      </c>
      <c r="AE2224" s="4" t="str">
        <f>AE2127</f>
        <v>Claimant &amp; Proxy</v>
      </c>
      <c r="AI2224" s="508" t="str">
        <f>CONCATENATE(AK2224,AL2224,AM2224,AN2224,AO2224)</f>
        <v>Auditing your support for independently verified innocence</v>
      </c>
      <c r="AK2224" s="4" t="s">
        <v>4535</v>
      </c>
      <c r="AM2224" s="503"/>
      <c r="BB2224" s="388"/>
      <c r="BH2224" s="4" t="s">
        <v>4468</v>
      </c>
    </row>
    <row r="2225" spans="1:60" s="4" customFormat="1" x14ac:dyDescent="0.3">
      <c r="A2225" s="246"/>
      <c r="B2225" s="477" t="s">
        <v>1410</v>
      </c>
      <c r="C2225" s="527">
        <f ca="1">TODAY()</f>
        <v>45774</v>
      </c>
      <c r="D2225" s="479"/>
      <c r="E2225" s="479"/>
      <c r="F2225" s="246"/>
      <c r="AC2225" s="627" t="s">
        <v>3288</v>
      </c>
      <c r="AE2225" s="4" t="str">
        <f>AE2128</f>
        <v/>
      </c>
      <c r="AI2225" s="508" t="str">
        <f>CONCATENATE(AK2225,AL2225,AM2225,AN2225,AO2225)</f>
        <v>Avowing to clear Claimant's name by any legitimate means possible</v>
      </c>
      <c r="AK2225" s="4" t="s">
        <v>4471</v>
      </c>
      <c r="AL2225" s="4" t="str">
        <f>AL2223</f>
        <v>Claimant</v>
      </c>
      <c r="AM2225" s="503" t="s">
        <v>4472</v>
      </c>
      <c r="BB2225" s="388"/>
      <c r="BH2225" s="4" t="s">
        <v>4469</v>
      </c>
    </row>
    <row r="2226" spans="1:60" s="4" customFormat="1" x14ac:dyDescent="0.3">
      <c r="A2226" s="246"/>
      <c r="B2226" s="477" t="s">
        <v>1411</v>
      </c>
      <c r="C2226" s="943"/>
      <c r="D2226" s="944"/>
      <c r="E2226" s="944"/>
      <c r="F2226" s="246"/>
      <c r="AC2226" s="389"/>
      <c r="AE2226" s="4" t="s">
        <v>4485</v>
      </c>
      <c r="AI2226" s="4" t="s">
        <v>4273</v>
      </c>
      <c r="BB2226" s="388"/>
    </row>
    <row r="2227" spans="1:60" s="4" customFormat="1" x14ac:dyDescent="0.3">
      <c r="A2227" s="246"/>
      <c r="B2227" s="246"/>
      <c r="C2227" s="246"/>
      <c r="D2227" s="246"/>
      <c r="E2227" s="246"/>
      <c r="F2227" s="246"/>
      <c r="AC2227" s="389"/>
      <c r="BB2227" s="388"/>
    </row>
    <row r="2228" spans="1:60" s="4" customFormat="1" x14ac:dyDescent="0.3">
      <c r="A2228" s="246"/>
      <c r="B2228" s="1047" t="str">
        <f>IF(C2226="","",AC2231)</f>
        <v/>
      </c>
      <c r="C2228" s="1047"/>
      <c r="D2228" s="1047"/>
      <c r="E2228" s="1047"/>
      <c r="F2228" s="246"/>
      <c r="AC2228" s="389"/>
      <c r="BB2228" s="388"/>
    </row>
    <row r="2229" spans="1:60" s="4" customFormat="1" x14ac:dyDescent="0.3">
      <c r="A2229" s="246"/>
      <c r="B2229" s="1047"/>
      <c r="C2229" s="1047"/>
      <c r="D2229" s="1047"/>
      <c r="E2229" s="1047"/>
      <c r="F2229" s="246"/>
      <c r="AC2229" s="389"/>
      <c r="BB2229" s="388"/>
    </row>
    <row r="2230" spans="1:60" s="4" customFormat="1" x14ac:dyDescent="0.3">
      <c r="A2230" s="246"/>
      <c r="B2230" s="1047"/>
      <c r="C2230" s="1047"/>
      <c r="D2230" s="1047"/>
      <c r="E2230" s="1047"/>
      <c r="F2230" s="246"/>
      <c r="AC2230" s="389"/>
      <c r="BB2230" s="388"/>
      <c r="BH2230" s="4" t="s">
        <v>4427</v>
      </c>
    </row>
    <row r="2231" spans="1:60" s="4" customFormat="1" x14ac:dyDescent="0.3">
      <c r="A2231" s="246"/>
      <c r="B2231" s="1047"/>
      <c r="C2231" s="1047"/>
      <c r="D2231" s="1047"/>
      <c r="E2231" s="1047"/>
      <c r="F2231" s="246"/>
      <c r="AC2231" s="632">
        <f>IF($C$2226=$AI$2222,AF2233,IF($C$2226=$AI$2223,AF2234,IF($C$2226=$AI$2224,AF2235,IF($C$2226=$AI$2225,AF2236,))))</f>
        <v>0</v>
      </c>
      <c r="BB2231" s="388"/>
    </row>
    <row r="2232" spans="1:60" s="4" customFormat="1" x14ac:dyDescent="0.3">
      <c r="A2232" s="246"/>
      <c r="B2232" s="1047"/>
      <c r="C2232" s="1047"/>
      <c r="D2232" s="1047"/>
      <c r="E2232" s="1047"/>
      <c r="F2232" s="246"/>
      <c r="AF2232" s="508" t="str">
        <f>IF($B$1988="",AG2232,AT$1994)</f>
        <v>1. SELECT A SUBJECT LINE ABOVE TO CHOOSE WHICH MESSAGE TO SEND</v>
      </c>
      <c r="AG2232" s="4" t="s">
        <v>3602</v>
      </c>
      <c r="BB2232" s="388"/>
    </row>
    <row r="2233" spans="1:60" s="4" customFormat="1" x14ac:dyDescent="0.3">
      <c r="A2233" s="246"/>
      <c r="B2233" s="1047" t="str">
        <f>IF(C2226="","",AC2237)</f>
        <v/>
      </c>
      <c r="C2233" s="1047"/>
      <c r="D2233" s="1047"/>
      <c r="E2233" s="1047"/>
      <c r="F2233" s="246"/>
      <c r="AC2233" s="627" t="s">
        <v>62</v>
      </c>
      <c r="AF2233" s="628" t="str">
        <f>IF($C$2223=$DX$3224,CONCATENATE(AI2233,AJ2233,AK2233),AG2233)</f>
        <v>NOT YET READY</v>
      </c>
      <c r="AG2233" s="628" t="str">
        <f>CONCATENATE(AL2233,AM2233,AN2233,AO2233,AP2233,AQ2233,AR2233,AS2233,AT2233,AU2233,AV2233,AW2233,AX2233,AY2233,AZ2233,BA2233,BB2233,BC2233)</f>
        <v>NOT YET READY</v>
      </c>
      <c r="AI2233" s="4" t="s">
        <v>4486</v>
      </c>
      <c r="AK2233" s="503" t="s">
        <v>885</v>
      </c>
      <c r="AL2233" s="642" t="s">
        <v>4231</v>
      </c>
      <c r="AV2233" s="503"/>
      <c r="AW2233" s="629"/>
      <c r="AX2233" s="629"/>
      <c r="AY2233" s="503"/>
      <c r="BB2233" s="388"/>
    </row>
    <row r="2234" spans="1:60" s="4" customFormat="1" x14ac:dyDescent="0.3">
      <c r="A2234" s="246"/>
      <c r="B2234" s="1047"/>
      <c r="C2234" s="1047"/>
      <c r="D2234" s="1047"/>
      <c r="E2234" s="1047"/>
      <c r="F2234" s="246"/>
      <c r="AC2234" s="627" t="s">
        <v>64</v>
      </c>
      <c r="AF2234" s="628" t="str">
        <f>IF($C$2223=$DX$3224,CONCATENATE(AI2234,AJ2234,AK2234),AG2234)</f>
        <v>THIS PART NOT YET READY</v>
      </c>
      <c r="AG2234" s="628" t="str">
        <f>CONCATENATE(AL2234,AM2234,AN2234,AO2234,AP2234,AQ2234,AR2234,AS2234,AT2234,AU2234,AV2234,AW2234,AX2234,AY2234,AZ2234,BA2234,BB2234,BC2234)</f>
        <v>THIS PART NOT YET READY</v>
      </c>
      <c r="AI2234" s="4" t="s">
        <v>4490</v>
      </c>
      <c r="AL2234" s="642" t="s">
        <v>4566</v>
      </c>
      <c r="AZ2234" s="629"/>
      <c r="BB2234" s="388"/>
    </row>
    <row r="2235" spans="1:60" s="4" customFormat="1" x14ac:dyDescent="0.3">
      <c r="A2235" s="246"/>
      <c r="B2235" s="1047"/>
      <c r="C2235" s="1047"/>
      <c r="D2235" s="1047"/>
      <c r="E2235" s="1047"/>
      <c r="F2235" s="246"/>
      <c r="AC2235" s="627" t="s">
        <v>4055</v>
      </c>
      <c r="AD2235" s="503" t="str">
        <f>IF($D$1768=$AQ$1768,AF2235,AH2235)</f>
        <v>REQUIRES PASSKEY</v>
      </c>
      <c r="AE2235" s="503" t="str">
        <f>IF($D$1768=$AQ$1768,AG2235,AH2235)</f>
        <v>REQUIRES PASSKEY</v>
      </c>
      <c r="AF2235" s="628" t="str">
        <f>IF($C$2223=$DX$3224,CONCATENATE(AI2235,AJ2235,AK2235,AL2235,AM2235,AN2235,AO2235,AP2235,AQ2235),AG2235)</f>
        <v>NOT READY YET</v>
      </c>
      <c r="AG2235" s="628" t="str">
        <f>CONCATENATE(AR2235,AS2235,AT2235,AU2235,AV2235,AW2235,AX2235,AY2235,AZ2235,BA2235,BB2235,BC2235)</f>
        <v>NOT READY YET</v>
      </c>
      <c r="AH2235" s="659" t="s">
        <v>4362</v>
      </c>
      <c r="AI2235" s="4" t="s">
        <v>4536</v>
      </c>
      <c r="AJ2235" s="4" t="str">
        <f>BG202</f>
        <v>Claimant</v>
      </c>
      <c r="AK2235" s="503" t="s">
        <v>4539</v>
      </c>
      <c r="AL2235" s="4" t="str">
        <f>BP504</f>
        <v xml:space="preserve">, as claimant's support team works to </v>
      </c>
      <c r="AM2235" s="4" t="s">
        <v>4542</v>
      </c>
      <c r="AN2235" s="4" t="str">
        <f>BJ206</f>
        <v>claimant's</v>
      </c>
      <c r="AO2235" s="4" t="s">
        <v>4540</v>
      </c>
      <c r="AP2235" s="4" t="str">
        <f>BJ206</f>
        <v>claimant's</v>
      </c>
      <c r="AQ2235" s="4" t="s">
        <v>4541</v>
      </c>
      <c r="AR2235" s="642" t="s">
        <v>4567</v>
      </c>
      <c r="BB2235" s="388"/>
    </row>
    <row r="2236" spans="1:60" s="4" customFormat="1" x14ac:dyDescent="0.3">
      <c r="A2236" s="246"/>
      <c r="B2236" s="1047"/>
      <c r="C2236" s="1047"/>
      <c r="D2236" s="1047"/>
      <c r="E2236" s="1047"/>
      <c r="F2236" s="246"/>
      <c r="AC2236" s="627" t="s">
        <v>3288</v>
      </c>
      <c r="AD2236" s="503" t="str">
        <f>IF($D$1768=$AQ$1768,AF2236,AH2236)</f>
        <v>REQUIRES PASSKEY</v>
      </c>
      <c r="AE2236" s="503" t="str">
        <f>IF($D$1768=$AQ$1768,AF2236,AH2236)</f>
        <v>REQUIRES PASSKEY</v>
      </c>
      <c r="AF2236" s="628" t="str">
        <f>IF($C$2223=$DX$3224,CONCATENATE(AI2236,AJ2236,AK2236,AL2236,AM2236,AN2236,AO2236,AP2236,AQ2236),AG2236)</f>
        <v>STILL WORKING ON THIS PART</v>
      </c>
      <c r="AG2236" s="628" t="str">
        <f>CONCATENATE(AR2236,AS2236,AT2236,AU2236,AV2236,AW2236,AX2236,AY2236,AZ2236,BA2236,BB2236,BC2236)</f>
        <v>STILL WORKING ON THIS PART</v>
      </c>
      <c r="AH2236" s="659" t="s">
        <v>4362</v>
      </c>
      <c r="AI2236" s="4" t="s">
        <v>4551</v>
      </c>
      <c r="AJ2236" s="4" t="str">
        <f>BG202</f>
        <v>Claimant</v>
      </c>
      <c r="AK2236" s="503" t="s">
        <v>4552</v>
      </c>
      <c r="AL2236" s="4" t="str">
        <f>AN202</f>
        <v>Claimant</v>
      </c>
      <c r="AM2236" s="503" t="s">
        <v>4553</v>
      </c>
      <c r="AN2236" s="629">
        <f>AI1984</f>
        <v>0</v>
      </c>
      <c r="AO2236" s="503" t="s">
        <v>4554</v>
      </c>
      <c r="AR2236" s="642" t="s">
        <v>4568</v>
      </c>
      <c r="BB2236" s="388"/>
    </row>
    <row r="2237" spans="1:60" s="4" customFormat="1" x14ac:dyDescent="0.3">
      <c r="A2237" s="246"/>
      <c r="B2237" s="1047"/>
      <c r="C2237" s="1047"/>
      <c r="D2237" s="1047"/>
      <c r="E2237" s="1047"/>
      <c r="F2237" s="246"/>
      <c r="AC2237" s="632">
        <f>IF($C$2226=$AI$2222,AF2239,IF($C$2226=$AI$2223,AF2240,IF($C$2226=$AI$2224,AF2241,IF($C$2226=$AI$2225,AF2242,))))</f>
        <v>0</v>
      </c>
      <c r="BB2237" s="388"/>
    </row>
    <row r="2238" spans="1:60" s="4" customFormat="1" x14ac:dyDescent="0.3">
      <c r="A2238" s="246"/>
      <c r="B2238" s="1047" t="str">
        <f>IF(C2226="","",AC2243)</f>
        <v/>
      </c>
      <c r="C2238" s="1047"/>
      <c r="D2238" s="1047"/>
      <c r="E2238" s="1047"/>
      <c r="F2238" s="246"/>
      <c r="AC2238" s="627"/>
      <c r="AF2238" s="508" t="str">
        <f>IF($B$1988="",AG2238,AT$1994)</f>
        <v>2. SELECT SENDER: FROM CLAIMANT, PROXY OR FROM VALUE RELATING</v>
      </c>
      <c r="AG2238" s="4" t="s">
        <v>3603</v>
      </c>
      <c r="BB2238" s="388"/>
    </row>
    <row r="2239" spans="1:60" s="4" customFormat="1" x14ac:dyDescent="0.3">
      <c r="A2239" s="246"/>
      <c r="B2239" s="1047"/>
      <c r="C2239" s="1047"/>
      <c r="D2239" s="1047"/>
      <c r="E2239" s="1047"/>
      <c r="F2239" s="246"/>
      <c r="AC2239" s="627" t="s">
        <v>62</v>
      </c>
      <c r="AF2239" s="628" t="str">
        <f>IF($C$2223=$DX$3224,CONCATENATE(AI2239,AJ2239,AK2239),AG2239)</f>
        <v>NOT YET READY</v>
      </c>
      <c r="AG2239" s="628" t="str">
        <f>CONCATENATE(AL2239,AM2239,AN2239,AO2239,AP2239,AQ2239,AR2239,AS2239,AT2239,AU2239,AV2239,AW2239,AX2239,AY2239,AZ2239,BA2239,BB2239,BC2239)</f>
        <v>NOT YET READY</v>
      </c>
      <c r="AI2239" s="4" t="s">
        <v>4475</v>
      </c>
      <c r="AK2239" s="503" t="s">
        <v>885</v>
      </c>
      <c r="AL2239" s="642" t="str">
        <f>AL2233</f>
        <v>NOT YET READY</v>
      </c>
      <c r="AR2239" s="52"/>
      <c r="AU2239" s="503"/>
      <c r="AV2239" s="503"/>
      <c r="AY2239" s="503"/>
      <c r="BB2239" s="388"/>
    </row>
    <row r="2240" spans="1:60" s="4" customFormat="1" x14ac:dyDescent="0.3">
      <c r="A2240" s="246"/>
      <c r="B2240" s="1047"/>
      <c r="C2240" s="1047"/>
      <c r="D2240" s="1047"/>
      <c r="E2240" s="1047"/>
      <c r="F2240" s="246"/>
      <c r="AC2240" s="627" t="s">
        <v>64</v>
      </c>
      <c r="AF2240" s="628" t="str">
        <f>IF($C$2223=$DX$3224,CONCATENATE(AI2240,AJ2240,AK2240),AG2240)</f>
        <v xml:space="preserve">THIS PART NOT YET READYWhile placement is a binary (under custody or not under state custody), </v>
      </c>
      <c r="AG2240" s="628" t="str">
        <f>CONCATENATE(AL2240,AM2240,AN2240,AO2240,AP2240,AQ2240,AR2240,AS2240,AT2240,AU2240,AV2240,AW2240,AX2240,AY2240,AZ2240,BA2240,BB2240,BC2240)</f>
        <v xml:space="preserve">THIS PART NOT YET READYWhile placement is a binary (under custody or not under state custody), </v>
      </c>
      <c r="AI2240" s="4" t="s">
        <v>4495</v>
      </c>
      <c r="AL2240" s="642" t="str">
        <f>AL2234</f>
        <v>THIS PART NOT YET READY</v>
      </c>
      <c r="AN2240" s="4" t="s">
        <v>4487</v>
      </c>
      <c r="BB2240" s="388"/>
    </row>
    <row r="2241" spans="1:71" s="4" customFormat="1" x14ac:dyDescent="0.3">
      <c r="A2241" s="246"/>
      <c r="B2241" s="1047"/>
      <c r="C2241" s="1047"/>
      <c r="D2241" s="1047"/>
      <c r="E2241" s="1047"/>
      <c r="F2241" s="246"/>
      <c r="AC2241" s="627" t="s">
        <v>4055</v>
      </c>
      <c r="AD2241" s="503" t="str">
        <f>IF($D$1768=$AQ$1768,AF2241,AH2241)</f>
        <v>REQUIRES PASSKEY</v>
      </c>
      <c r="AE2241" s="503" t="str">
        <f>IF($D$1768=$AQ$1768,AF2241,AH2241)</f>
        <v>REQUIRES PASSKEY</v>
      </c>
      <c r="AF2241" s="628" t="str">
        <f>IF($C$2223=$DX$3224,CONCATENATE(AI2241,AJ2241,AK2241),AG2241)</f>
        <v>NOT READY YET</v>
      </c>
      <c r="AG2241" s="628" t="str">
        <f>CONCATENATE(AL2241,AM2241,AN2241,AO2241,AP2241,AQ2241,AR2241,AS2241,AT2241,AU2241,AV2241,AW2241,AX2241,AY2241,AZ2241,BA2241,BB2241,BC2241)</f>
        <v>NOT READY YET</v>
      </c>
      <c r="AH2241" s="659" t="s">
        <v>4362</v>
      </c>
      <c r="AI2241" s="4" t="s">
        <v>4543</v>
      </c>
      <c r="AL2241" s="642" t="str">
        <f>AR2235</f>
        <v>NOT READY YET</v>
      </c>
      <c r="BB2241" s="388"/>
      <c r="BM2241" s="4" t="s">
        <v>4534</v>
      </c>
    </row>
    <row r="2242" spans="1:71" s="4" customFormat="1" x14ac:dyDescent="0.3">
      <c r="A2242" s="246"/>
      <c r="B2242" s="1047"/>
      <c r="C2242" s="1047"/>
      <c r="D2242" s="1047"/>
      <c r="E2242" s="1047"/>
      <c r="F2242" s="246"/>
      <c r="AC2242" s="627" t="s">
        <v>3288</v>
      </c>
      <c r="AD2242" s="503" t="str">
        <f>IF($D$1768=$AQ$1768,AF2242,AH2242)</f>
        <v>REQUIRES PASSKEY</v>
      </c>
      <c r="AE2242" s="503" t="str">
        <f>IF($D$1768=$AQ$1768,AF2242,AH2242)</f>
        <v>REQUIRES PASSKEY</v>
      </c>
      <c r="AF2242" s="628" t="str">
        <f>IF($C$2223=$DX$3224,CONCATENATE(AI2242,AJ2242,AK2242),AG2242)</f>
        <v>STILL WORKING ON THIS PART</v>
      </c>
      <c r="AG2242" s="628" t="str">
        <f>CONCATENATE(AL2242,AM2242,AN2242,AO2242,AP2242,AQ2242,AR2242,AS2242,AT2242,AU2242,AV2242,AW2242,AX2242,AY2242,AZ2242,BA2242,BB2242,BC2242)</f>
        <v>STILL WORKING ON THIS PART</v>
      </c>
      <c r="AH2242" s="659" t="s">
        <v>4362</v>
      </c>
      <c r="AI2242" s="4" t="s">
        <v>4562</v>
      </c>
      <c r="AL2242" s="642" t="str">
        <f>AR2236</f>
        <v>STILL WORKING ON THIS PART</v>
      </c>
      <c r="BB2242" s="388"/>
    </row>
    <row r="2243" spans="1:71" s="4" customFormat="1" x14ac:dyDescent="0.3">
      <c r="A2243" s="246"/>
      <c r="B2243" s="1047" t="str">
        <f>IF(C2226="","",AC2249)</f>
        <v/>
      </c>
      <c r="C2243" s="1047"/>
      <c r="D2243" s="1047"/>
      <c r="E2243" s="1047"/>
      <c r="F2243" s="246"/>
      <c r="X2243" s="671"/>
      <c r="AC2243" s="632">
        <f>IF($C$2226=$AI$2222,AF2245,IF($C$2226=$AI$2223,AF2246,IF($C$2226=$AI$2224,AF2247,IF($C$2226=$AI$2225,AF2248,))))</f>
        <v>0</v>
      </c>
      <c r="BB2243" s="388"/>
    </row>
    <row r="2244" spans="1:71" s="4" customFormat="1" x14ac:dyDescent="0.3">
      <c r="A2244" s="246"/>
      <c r="B2244" s="1047"/>
      <c r="C2244" s="1047"/>
      <c r="D2244" s="1047"/>
      <c r="E2244" s="1047"/>
      <c r="F2244" s="246"/>
      <c r="AC2244" s="627"/>
      <c r="AF2244" s="508" t="str">
        <f>IF($B$1988="",AG2244,AT$1994)</f>
        <v>3. SELECT A SUBJECT LINE ABOVE TO CHOOSE WHICH MESSAGE TO SEND</v>
      </c>
      <c r="AG2244" s="4" t="s">
        <v>3601</v>
      </c>
      <c r="BB2244" s="388"/>
    </row>
    <row r="2245" spans="1:71" s="4" customFormat="1" x14ac:dyDescent="0.3">
      <c r="A2245" s="246"/>
      <c r="B2245" s="1047"/>
      <c r="C2245" s="1047"/>
      <c r="D2245" s="1047"/>
      <c r="E2245" s="1047"/>
      <c r="F2245" s="246"/>
      <c r="AC2245" s="627" t="s">
        <v>62</v>
      </c>
      <c r="AF2245" s="628" t="str">
        <f>IF($C$2223=$DX$3224,CONCATENATE(AI2245,AJ2245,AK2245,AL2245,AM2245,AN2245,AO2245,AP2245,AQ2245,AR2245,AS2245,AT2245,AU2245,AV2245,AW2245,AX2245,AY2245,AZ2245),AG2245)</f>
        <v>NOT YET READY</v>
      </c>
      <c r="AG2245" s="628" t="str">
        <f>CONCATENATE(BA2245,BB2245,BC2245,BD2245,BE2245,BF2245,BG2245,BH2245,BI2245)</f>
        <v>NOT YET READY</v>
      </c>
      <c r="AI2245" s="4" t="s">
        <v>4492</v>
      </c>
      <c r="AJ2245" s="4" t="str">
        <f>BG202</f>
        <v>Claimant</v>
      </c>
      <c r="AK2245" s="4" t="s">
        <v>4473</v>
      </c>
      <c r="AL2245" s="503" t="str">
        <f>BG206</f>
        <v>Claimant</v>
      </c>
      <c r="AM2245" s="4" t="s">
        <v>4474</v>
      </c>
      <c r="AN2245" s="4" t="str">
        <f>CONCATENATE(AG259,". ")</f>
        <v xml:space="preserve">0. </v>
      </c>
      <c r="AO2245" s="230" t="s">
        <v>4476</v>
      </c>
      <c r="AP2245" s="4" t="str">
        <f>BH206</f>
        <v>claimant</v>
      </c>
      <c r="AQ2245" s="4" t="s">
        <v>4478</v>
      </c>
      <c r="AR2245" s="4" t="str">
        <f>BH206</f>
        <v>claimant</v>
      </c>
      <c r="AS2245" s="4" t="s">
        <v>4479</v>
      </c>
      <c r="AT2245" s="4" t="str">
        <f>BJ206</f>
        <v>claimant's</v>
      </c>
      <c r="AU2245" s="4" t="s">
        <v>4477</v>
      </c>
      <c r="AV2245" s="629">
        <f>AI1984</f>
        <v>0</v>
      </c>
      <c r="AW2245" s="503" t="s">
        <v>4284</v>
      </c>
      <c r="AX2245" s="4" t="str">
        <f>AN202</f>
        <v>Claimant</v>
      </c>
      <c r="AY2245" s="503" t="s">
        <v>4480</v>
      </c>
      <c r="AZ2245" s="503" t="s">
        <v>885</v>
      </c>
      <c r="BA2245" s="642" t="str">
        <f>AL2239</f>
        <v>NOT YET READY</v>
      </c>
      <c r="BB2245" s="388"/>
    </row>
    <row r="2246" spans="1:71" s="4" customFormat="1" x14ac:dyDescent="0.3">
      <c r="A2246" s="246"/>
      <c r="B2246" s="1047"/>
      <c r="C2246" s="1047"/>
      <c r="D2246" s="1047"/>
      <c r="E2246" s="1047"/>
      <c r="F2246" s="246"/>
      <c r="AC2246" s="627" t="s">
        <v>64</v>
      </c>
      <c r="AF2246" s="628" t="str">
        <f>IF($C$2223=$DX$3224,CONCATENATE(AI2246,AJ2246,AK2246,AL2246,AM2246,AN2246,AO2246,AP2246,AQ2246,AR2246,AS2246,AT2246,AU2246,AV2246,AW2246,AX2246,AY2246,AZ2246),AG2246)</f>
        <v>THIS PART NOT YET READY</v>
      </c>
      <c r="AG2246" s="628" t="str">
        <f>CONCATENATE(BA2246,BB2246,BC2246,BD2246,BE2246,BF2246,BG2246,BH2246,BI2246)</f>
        <v>THIS PART NOT YET READY</v>
      </c>
      <c r="AI2246" s="4" t="str">
        <f>AJ2245</f>
        <v>Claimant</v>
      </c>
      <c r="AJ2246" s="503" t="s">
        <v>4496</v>
      </c>
      <c r="AK2246" s="4" t="str">
        <f>CONCATENATE(AN2251,AO2251,AP2251)</f>
        <v xml:space="preserve">claimant's case documents. </v>
      </c>
      <c r="AL2246" s="4" t="s">
        <v>4514</v>
      </c>
      <c r="AM2246" s="4" t="str">
        <f>AN202</f>
        <v>Claimant</v>
      </c>
      <c r="AN2246" s="503" t="s">
        <v>4515</v>
      </c>
      <c r="BA2246" s="642" t="str">
        <f>AL2240</f>
        <v>THIS PART NOT YET READY</v>
      </c>
      <c r="BB2246" s="388"/>
    </row>
    <row r="2247" spans="1:71" s="4" customFormat="1" x14ac:dyDescent="0.3">
      <c r="A2247" s="246"/>
      <c r="B2247" s="1047"/>
      <c r="C2247" s="1047"/>
      <c r="D2247" s="1047"/>
      <c r="E2247" s="1047"/>
      <c r="F2247" s="246"/>
      <c r="AC2247" s="627" t="s">
        <v>4055</v>
      </c>
      <c r="AD2247" s="503" t="str">
        <f>IF($D$1768=$AQ$1768,AF2247,AH2247)</f>
        <v>REQUIRES PASSKEY</v>
      </c>
      <c r="AE2247" s="503" t="str">
        <f>IF($D$1768=$AQ$1768,AF2247,AH2247)</f>
        <v>REQUIRES PASSKEY</v>
      </c>
      <c r="AF2247" s="628" t="str">
        <f>IF($C$2223=$DX$3224,CONCATENATE(AI2247,AJ2247,AK2247,AL2247,AM2247,AN2247,AO2247,AP2247,AQ2247,AR2247,AS2247,AT2247,AU2247,AV2247,AW2247,AX2247,AY2247,AZ2247),AG2247)</f>
        <v>NOT READY YET</v>
      </c>
      <c r="AG2247" s="628" t="str">
        <f>CONCATENATE(BA2247,BB2247,BC2247,BD2247,BE2247,BF2247,BG2247,BH2247,BI2247)</f>
        <v>NOT READY YET</v>
      </c>
      <c r="AH2247" s="659" t="s">
        <v>4362</v>
      </c>
      <c r="AI2247" s="4" t="s">
        <v>4544</v>
      </c>
      <c r="AJ2247" s="4" t="str">
        <f>AN202</f>
        <v>Claimant</v>
      </c>
      <c r="AK2247" s="4" t="s">
        <v>4545</v>
      </c>
      <c r="AL2247" s="4" t="str">
        <f>BI206</f>
        <v>claimant</v>
      </c>
      <c r="AM2247" s="4" t="s">
        <v>4546</v>
      </c>
      <c r="AO2247" s="4" t="s">
        <v>885</v>
      </c>
      <c r="BA2247" s="642" t="str">
        <f>AL2241</f>
        <v>NOT READY YET</v>
      </c>
      <c r="BB2247" s="388"/>
    </row>
    <row r="2248" spans="1:71" s="4" customFormat="1" x14ac:dyDescent="0.3">
      <c r="A2248" s="246"/>
      <c r="B2248" s="1047" t="str">
        <f>IF(C2226="","",AC2256)</f>
        <v/>
      </c>
      <c r="C2248" s="1047"/>
      <c r="D2248" s="1047"/>
      <c r="E2248" s="1047"/>
      <c r="F2248" s="246"/>
      <c r="AC2248" s="627" t="s">
        <v>3288</v>
      </c>
      <c r="AD2248" s="503" t="str">
        <f>IF($D$1768=$AQ$1768,AF2248,AH2248)</f>
        <v>REQUIRES PASSKEY</v>
      </c>
      <c r="AE2248" s="503" t="str">
        <f>IF($D$1768=$AQ$1768,AF2248,AH2248)</f>
        <v>REQUIRES PASSKEY</v>
      </c>
      <c r="AF2248" s="628" t="str">
        <f>IF($C$2223=$DX$3224,CONCATENATE(AI2248,AJ2248,AK2248,AL2248,AM2248,AN2248,AO2248,AP2248,AQ2248,AR2248,AS2248,AT2248,AU2248,AV2248,AW2248,AX2248,AY2248,AZ2248),AG2248)</f>
        <v>STILL WORKING ON THIS PART</v>
      </c>
      <c r="AG2248" s="628" t="str">
        <f>CONCATENATE(BA2248,BB2248,BC2248,BD2248,BE2248,BF2248,BG2248,BH2248,BI2248)</f>
        <v>STILL WORKING ON THIS PART</v>
      </c>
      <c r="AH2248" s="659" t="s">
        <v>4362</v>
      </c>
      <c r="AI2248" s="4" t="s">
        <v>4563</v>
      </c>
      <c r="AJ2248" s="4" t="str">
        <f>AN202</f>
        <v>Claimant</v>
      </c>
      <c r="AK2248" s="4" t="s">
        <v>4556</v>
      </c>
      <c r="AL2248" s="4" t="str">
        <f>BJ206</f>
        <v>claimant's</v>
      </c>
      <c r="AM2248" s="4" t="s">
        <v>4557</v>
      </c>
      <c r="AN2248" s="4" t="str">
        <f>AL2248</f>
        <v>claimant's</v>
      </c>
      <c r="AO2248" s="4" t="s">
        <v>4564</v>
      </c>
      <c r="BA2248" s="642" t="str">
        <f>AL2242</f>
        <v>STILL WORKING ON THIS PART</v>
      </c>
      <c r="BB2248" s="388"/>
    </row>
    <row r="2249" spans="1:71" s="4" customFormat="1" x14ac:dyDescent="0.3">
      <c r="A2249" s="246"/>
      <c r="B2249" s="1047"/>
      <c r="C2249" s="1047"/>
      <c r="D2249" s="1047"/>
      <c r="E2249" s="1047"/>
      <c r="F2249" s="246"/>
      <c r="AC2249" s="632">
        <f>IF($C$2226=$AI$2222,AF2251,IF($C$2226=$AI$2223,AF2252,IF($C$2226=$AI$2224,AF2253,IF($C$2226=$AI$2225,AF2254,))))</f>
        <v>0</v>
      </c>
      <c r="BB2249" s="388"/>
      <c r="BJ2249" s="676" t="str">
        <f>IF(C2226=AI2223,BJ2250,"")</f>
        <v/>
      </c>
    </row>
    <row r="2250" spans="1:71" s="4" customFormat="1" x14ac:dyDescent="0.3">
      <c r="A2250" s="246"/>
      <c r="B2250" s="1047"/>
      <c r="C2250" s="1047"/>
      <c r="D2250" s="1047"/>
      <c r="E2250" s="1047"/>
      <c r="F2250" s="246"/>
      <c r="AC2250" s="627"/>
      <c r="AF2250" s="508" t="str">
        <f>IF($B$1988="",AG2250,AT$1994)</f>
        <v>4. AFTER SENDING, SELECT ANOTHER RECIPIENT AND RESET THE SUBJECT LINE</v>
      </c>
      <c r="AG2250" s="4" t="s">
        <v>3605</v>
      </c>
      <c r="BB2250" s="388"/>
      <c r="BJ2250" s="676" t="s">
        <v>4513</v>
      </c>
    </row>
    <row r="2251" spans="1:71" s="4" customFormat="1" x14ac:dyDescent="0.3">
      <c r="A2251" s="246"/>
      <c r="B2251" s="1047"/>
      <c r="C2251" s="1047"/>
      <c r="D2251" s="1047"/>
      <c r="E2251" s="1047"/>
      <c r="F2251" s="246"/>
      <c r="AC2251" s="627" t="s">
        <v>62</v>
      </c>
      <c r="AF2251" s="628" t="str">
        <f>IF($C$2223=$DX$3224,CONCATENATE(AI2251,AJ2251,AK2251,AL2251,AM2251,AN2251,AO2251,AP2251,AQ2251,AR2251),AG2251)</f>
        <v>NOT YET READY</v>
      </c>
      <c r="AG2251" s="628" t="str">
        <f>CONCATENATE(AS2251,AT2251,AU2251,AV2251,AW2251,AX2251,AY2251,AZ2251,BA2251,BB2251,BC2251,BD2251,BE2251,BF2251,BG2251,BH2251,BI2251)</f>
        <v>NOT YET READY</v>
      </c>
      <c r="AI2251" s="4" t="str">
        <f>CONCATENATE("See the attached ",AG2170," for the results. The tool is being used by ")</f>
        <v xml:space="preserve">See the attached Conviction Quality Report for the results. The tool is being used by </v>
      </c>
      <c r="AJ2251" s="4" t="str">
        <f>AN202</f>
        <v>Claimant</v>
      </c>
      <c r="AK2251" s="503" t="s">
        <v>4481</v>
      </c>
      <c r="AL2251" s="4" t="str">
        <f>BJ206</f>
        <v>claimant's</v>
      </c>
      <c r="AM2251" s="4" t="s">
        <v>4482</v>
      </c>
      <c r="AN2251" s="4" t="str">
        <f>BF501</f>
        <v/>
      </c>
      <c r="AO2251" s="4" t="str">
        <f>BG501</f>
        <v>claimant's</v>
      </c>
      <c r="AP2251" s="4" t="str">
        <f>BH501</f>
        <v xml:space="preserve"> case documents. </v>
      </c>
      <c r="AQ2251" s="4" t="s">
        <v>4517</v>
      </c>
      <c r="AR2251" s="503" t="s">
        <v>885</v>
      </c>
      <c r="AS2251" s="642" t="str">
        <f>BA2245</f>
        <v>NOT YET READY</v>
      </c>
      <c r="AV2251" s="503"/>
      <c r="BB2251" s="388"/>
    </row>
    <row r="2252" spans="1:71" s="4" customFormat="1" x14ac:dyDescent="0.3">
      <c r="A2252" s="246"/>
      <c r="B2252" s="1047"/>
      <c r="C2252" s="1047"/>
      <c r="D2252" s="1047"/>
      <c r="E2252" s="1047"/>
      <c r="F2252" s="246"/>
      <c r="AC2252" s="627" t="s">
        <v>64</v>
      </c>
      <c r="AF2252" s="628" t="str">
        <f>IF($C$2223=$DX$3224,CONCATENATE(AI2252,AJ2252,AK2252,AL2252,AM2252,AN2252,AO2252,AP2252,AQ2252,AR2252),AG2252)</f>
        <v>THIS PART NOT YET READY</v>
      </c>
      <c r="AG2252" s="628" t="str">
        <f>CONCATENATE(AS2252,AT2252,AU2252,AV2252,AW2252,AX2252,AY2252,AZ2252,BA2252,BB2252,BC2252,BD2252,BE2252,BF2252,BG2252,BH2252,BI2252)</f>
        <v>THIS PART NOT YET READY</v>
      </c>
      <c r="AI2252" s="4" t="str">
        <f>CONCATENATE("See the attached ",B2267,". ")</f>
        <v xml:space="preserve">See the attached Power Impact Report. </v>
      </c>
      <c r="AJ2252" s="4" t="s">
        <v>4516</v>
      </c>
      <c r="AK2252" s="4" t="str">
        <f>AN202</f>
        <v>Claimant</v>
      </c>
      <c r="AL2252" s="503" t="s">
        <v>3587</v>
      </c>
      <c r="AM2252" s="629">
        <f>AV2245</f>
        <v>0</v>
      </c>
      <c r="AN2252" s="503" t="s">
        <v>4518</v>
      </c>
      <c r="AS2252" s="642" t="str">
        <f>BA2246</f>
        <v>THIS PART NOT YET READY</v>
      </c>
      <c r="BB2252" s="388"/>
    </row>
    <row r="2253" spans="1:71" s="4" customFormat="1" x14ac:dyDescent="0.3">
      <c r="A2253" s="246"/>
      <c r="B2253" s="246"/>
      <c r="C2253" s="246"/>
      <c r="D2253" s="246"/>
      <c r="E2253" s="246"/>
      <c r="F2253" s="246"/>
      <c r="AC2253" s="627" t="s">
        <v>4055</v>
      </c>
      <c r="AD2253" s="503" t="str">
        <f>IF($D$1768=$AQ$1768,AF2253,AH2253)</f>
        <v>REQUIRES PASSKEY</v>
      </c>
      <c r="AE2253" s="503" t="str">
        <f>IF($D$1768=$AQ$1768,AF2253,AH2253)</f>
        <v>REQUIRES PASSKEY</v>
      </c>
      <c r="AF2253" s="628" t="str">
        <f>IF($C$2223=$DX$3224,CONCATENATE(AI2253,AJ2253,AK2253,AL2253,AM2253,AN2253,AO2253,AP2253,AQ2253,AR2253),AG2253)</f>
        <v>NOT READY YET</v>
      </c>
      <c r="AG2253" s="628" t="str">
        <f>CONCATENATE(AS2253,AT2253,AU2253,AV2253,AW2253,AX2253,AY2253,AZ2253,BA2253,BB2253,BC2253,BD2253,BE2253,BF2253,BG2253,BH2253,BI2253)</f>
        <v>NOT READY YET</v>
      </c>
      <c r="AH2253" s="659" t="s">
        <v>4362</v>
      </c>
      <c r="AI2253" s="4" t="str">
        <f>CONCATENATE("See the attached ",B2314,". ")</f>
        <v xml:space="preserve">See the attached Exaction Invoice. </v>
      </c>
      <c r="AJ2253" s="4" t="s">
        <v>4497</v>
      </c>
      <c r="AK2253" s="4" t="str">
        <f>AI2246</f>
        <v>Claimant</v>
      </c>
      <c r="AL2253" s="503" t="s">
        <v>4547</v>
      </c>
      <c r="AM2253" s="4" t="str">
        <f>BI206</f>
        <v>claimant</v>
      </c>
      <c r="AN2253" s="4" t="s">
        <v>4548</v>
      </c>
      <c r="AO2253" s="4" t="str">
        <f>BH206</f>
        <v>claimant</v>
      </c>
      <c r="AP2253" s="4" t="s">
        <v>4549</v>
      </c>
      <c r="AS2253" s="642" t="str">
        <f>BA2247</f>
        <v>NOT READY YET</v>
      </c>
      <c r="BB2253" s="388"/>
    </row>
    <row r="2254" spans="1:71" s="4" customFormat="1" x14ac:dyDescent="0.3">
      <c r="A2254" s="246"/>
      <c r="B2254" s="675" t="s">
        <v>4512</v>
      </c>
      <c r="C2254" s="246"/>
      <c r="D2254" s="246"/>
      <c r="E2254" s="246"/>
      <c r="F2254" s="246"/>
      <c r="AC2254" s="627" t="s">
        <v>3288</v>
      </c>
      <c r="AD2254" s="503" t="str">
        <f>IF($D$1768=$AQ$1768,AF2254,AH2254)</f>
        <v>REQUIRES PASSKEY</v>
      </c>
      <c r="AE2254" s="503" t="str">
        <f>IF($D$1768=$AQ$1768,AF2254,AH2254)</f>
        <v>REQUIRES PASSKEY</v>
      </c>
      <c r="AF2254" s="628" t="str">
        <f>IF($C$2223=$DX$3224,CONCATENATE(AI2254,AJ2254,AK2254,AL2254,AM2254,AN2254,AO2254,AP2254,AQ2254,AR2254),AG2254)</f>
        <v>STILL WORKING ON THIS PART</v>
      </c>
      <c r="AG2254" s="628" t="str">
        <f>CONCATENATE(AS2254,AT2254,AU2254,AV2254,AW2254,AX2254,AY2254,AZ2254,BA2254,BB2254,BC2254,BD2254,BE2254,BF2254,BG2254,BH2254,BI2254)</f>
        <v>STILL WORKING ON THIS PART</v>
      </c>
      <c r="AH2254" s="659" t="s">
        <v>4362</v>
      </c>
      <c r="AI2254" s="4" t="str">
        <f>CONCATENATE("See the attached ",B2358,". ")</f>
        <v xml:space="preserve">See the attached Legitimacy Feedback Report. </v>
      </c>
      <c r="AJ2254" s="4" t="s">
        <v>4565</v>
      </c>
      <c r="AS2254" s="642" t="str">
        <f>BA2248</f>
        <v>STILL WORKING ON THIS PART</v>
      </c>
      <c r="BB2254" s="388"/>
      <c r="BS2254" s="4" t="s">
        <v>4325</v>
      </c>
    </row>
    <row r="2255" spans="1:71" s="4" customFormat="1" x14ac:dyDescent="0.3">
      <c r="A2255" s="246"/>
      <c r="B2255" s="246"/>
      <c r="C2255" s="246"/>
      <c r="D2255" s="246"/>
      <c r="E2255" s="246"/>
      <c r="F2255" s="246"/>
      <c r="AC2255" s="389"/>
      <c r="BB2255" s="388"/>
      <c r="BS2255" s="4" t="s">
        <v>4491</v>
      </c>
    </row>
    <row r="2256" spans="1:71" s="4" customFormat="1" x14ac:dyDescent="0.3">
      <c r="A2256" s="246"/>
      <c r="B2256" s="246"/>
      <c r="C2256" s="246"/>
      <c r="D2256" s="246"/>
      <c r="E2256" s="246"/>
      <c r="F2256" s="246"/>
      <c r="AC2256" s="632">
        <f>IF($C$2226=$AI$2222,AF2258,IF($C$2226=$AI$2223,AF2259,IF($C$2226=$AI$2224,AF2260,IF($C$2226=$AI$2225,AF2261,))))</f>
        <v>0</v>
      </c>
      <c r="BB2256" s="388"/>
    </row>
    <row r="2257" spans="1:62" s="4" customFormat="1" x14ac:dyDescent="0.3">
      <c r="A2257" s="246"/>
      <c r="B2257" s="246"/>
      <c r="C2257" s="246"/>
      <c r="D2257" s="246"/>
      <c r="E2257" s="246"/>
      <c r="F2257" s="246"/>
      <c r="AC2257" s="627"/>
      <c r="AF2257" s="508" t="str">
        <f>IF($B$1988="",AG2257,AT$1994)</f>
        <v>5. TEXT</v>
      </c>
      <c r="AG2257" s="4" t="s">
        <v>4366</v>
      </c>
      <c r="BB2257" s="388"/>
    </row>
    <row r="2258" spans="1:62" s="4" customFormat="1" x14ac:dyDescent="0.3">
      <c r="A2258" s="246"/>
      <c r="B2258" s="246"/>
      <c r="C2258" s="246"/>
      <c r="D2258" s="246"/>
      <c r="E2258" s="246"/>
      <c r="F2258" s="246"/>
      <c r="AC2258" s="627" t="s">
        <v>62</v>
      </c>
      <c r="AF2258" s="628" t="str">
        <f>IF($C$2223=$DX$3224,CONCATENATE(AI2258,AJ2258,AK2258),AG2258)</f>
        <v>NOT YET READY</v>
      </c>
      <c r="AG2258" s="628" t="str">
        <f>CONCATENATE(AM2258,AN2258,AO2258,AP2258,AQ2258,AR2258,AS2258,AT2258,AU2258,AV2258,AW2258,AX2258,AY2258,AZ2258,BA2258,BB2258,BC2258)</f>
        <v>NOT YET READY</v>
      </c>
      <c r="AI2258" s="4" t="s">
        <v>4483</v>
      </c>
      <c r="AJ2258" s="4" t="str">
        <f>AN202</f>
        <v>Claimant</v>
      </c>
      <c r="AK2258" s="503" t="s">
        <v>4484</v>
      </c>
      <c r="AL2258" s="503" t="s">
        <v>885</v>
      </c>
      <c r="AM2258" s="642" t="str">
        <f>AS2251</f>
        <v>NOT YET READY</v>
      </c>
      <c r="BB2258" s="388"/>
    </row>
    <row r="2259" spans="1:62" s="4" customFormat="1" x14ac:dyDescent="0.3">
      <c r="A2259" s="246"/>
      <c r="B2259" s="246"/>
      <c r="C2259" s="246"/>
      <c r="D2259" s="246"/>
      <c r="E2259" s="246"/>
      <c r="F2259" s="246"/>
      <c r="AC2259" s="627" t="s">
        <v>64</v>
      </c>
      <c r="AF2259" s="628" t="str">
        <f>IF($C$2223=$DX$3224,CONCATENATE(AI2259,AJ2259,AK2259),AG2259)</f>
        <v/>
      </c>
      <c r="AG2259" s="628" t="str">
        <f>CONCATENATE(AM2259,AN2259,AO2259,AP2259,AQ2259,AR2259,AS2259,AT2259,AU2259,AV2259,AW2259,AX2259,AY2259,AZ2259,BA2259,BB2259,BC2259)</f>
        <v/>
      </c>
      <c r="BB2259" s="388"/>
    </row>
    <row r="2260" spans="1:62" s="4" customFormat="1" ht="14.5" thickBot="1" x14ac:dyDescent="0.35">
      <c r="A2260" s="246"/>
      <c r="B2260" s="246"/>
      <c r="C2260" s="246"/>
      <c r="D2260" s="246"/>
      <c r="E2260" s="246"/>
      <c r="F2260" s="246"/>
      <c r="AC2260" s="627" t="s">
        <v>4055</v>
      </c>
      <c r="AF2260" s="628" t="str">
        <f>IF($C$2223=$DX$3224,CONCATENATE(AI2260,AJ2260,AK2260),AG2260)</f>
        <v>NOT READY YET</v>
      </c>
      <c r="AG2260" s="628" t="str">
        <f>CONCATENATE(AM2260,AN2260,AO2260,AP2260,AQ2260,AR2260,AS2260,AT2260,AU2260,AV2260,AW2260,AX2260,AY2260,AZ2260,BA2260,BB2260,BC2260)</f>
        <v>NOT READY YET</v>
      </c>
      <c r="AI2260" s="4" t="s">
        <v>4550</v>
      </c>
      <c r="AK2260" s="503"/>
      <c r="AL2260" s="503" t="s">
        <v>885</v>
      </c>
      <c r="AM2260" s="642" t="str">
        <f>AS2253</f>
        <v>NOT READY YET</v>
      </c>
      <c r="BB2260" s="388"/>
    </row>
    <row r="2261" spans="1:62" s="4" customFormat="1" x14ac:dyDescent="0.3">
      <c r="A2261" s="518"/>
      <c r="B2261" s="519"/>
      <c r="C2261" s="519"/>
      <c r="D2261" s="519"/>
      <c r="E2261" s="519"/>
      <c r="F2261" s="520"/>
      <c r="AC2261" s="627" t="s">
        <v>3288</v>
      </c>
      <c r="AF2261" s="628" t="str">
        <f>IF($C$2223=$DX$3224,CONCATENATE(AI2261,AJ2261,AK2261,AL2261,AM2261,AN2261),AS2261)</f>
        <v>STILL WORKING ON THIS PART</v>
      </c>
      <c r="AG2261" s="628" t="str">
        <f>CONCATENATE(AS2261,AT2261,AU2261,AV2261,AW2261,AX2261,AY2261,AZ2261,BA2261,BB2261,BC2261)</f>
        <v>STILL WORKING ON THIS PART</v>
      </c>
      <c r="AI2261" s="4" t="s">
        <v>4558</v>
      </c>
      <c r="AJ2261" s="4" t="str">
        <f>AN202</f>
        <v>Claimant</v>
      </c>
      <c r="AK2261" s="503" t="s">
        <v>4559</v>
      </c>
      <c r="AL2261" s="4" t="str">
        <f>BJ206</f>
        <v>claimant's</v>
      </c>
      <c r="AM2261" s="4" t="s">
        <v>4560</v>
      </c>
      <c r="AN2261" s="4" t="s">
        <v>4561</v>
      </c>
      <c r="AS2261" s="642" t="str">
        <f>AS2254</f>
        <v>STILL WORKING ON THIS PART</v>
      </c>
      <c r="BB2261" s="388"/>
    </row>
    <row r="2262" spans="1:62" s="4" customFormat="1" x14ac:dyDescent="0.3">
      <c r="A2262" s="521"/>
      <c r="B2262" s="661" t="s">
        <v>4940</v>
      </c>
      <c r="C2262" s="660"/>
      <c r="D2262" s="662"/>
      <c r="E2262" s="522"/>
      <c r="F2262" s="523"/>
      <c r="AC2262" s="389"/>
      <c r="BB2262" s="388"/>
    </row>
    <row r="2263" spans="1:62" s="4" customFormat="1" x14ac:dyDescent="0.3">
      <c r="A2263" s="521"/>
      <c r="B2263" s="661" t="s">
        <v>4941</v>
      </c>
      <c r="C2263" s="660"/>
      <c r="D2263" s="662"/>
      <c r="E2263" s="522"/>
      <c r="F2263" s="523"/>
      <c r="AC2263" s="389"/>
      <c r="AF2263" s="628" t="str">
        <f>CONCATENATE(AH2263,AI2263,AJ2263,AK2263,AL2263,AM2263,AN2263,AO2263,AP2263,AQ2263,AR2263,AS2263,AT2263,AU2263,AV2263,AW2263,AX2263,AY2263,AZ2263,BA2263,BB2263)</f>
        <v>text</v>
      </c>
      <c r="AG2263" s="628"/>
      <c r="AI2263" s="4" t="s">
        <v>4207</v>
      </c>
      <c r="AK2263" s="503"/>
      <c r="BB2263" s="388"/>
    </row>
    <row r="2264" spans="1:62" s="4" customFormat="1" x14ac:dyDescent="0.3">
      <c r="A2264" s="521"/>
      <c r="B2264" s="661" t="s">
        <v>4942</v>
      </c>
      <c r="C2264" s="660"/>
      <c r="D2264" s="662"/>
      <c r="E2264" s="522"/>
      <c r="F2264" s="523"/>
      <c r="AC2264" s="389"/>
      <c r="BB2264" s="388"/>
    </row>
    <row r="2265" spans="1:62" s="4" customFormat="1" ht="14.5" x14ac:dyDescent="0.35">
      <c r="A2265" s="521"/>
      <c r="B2265" s="661" t="s">
        <v>4943</v>
      </c>
      <c r="C2265" s="660"/>
      <c r="D2265" s="662"/>
      <c r="E2265" s="522"/>
      <c r="F2265" s="523"/>
      <c r="AC2265" s="389"/>
      <c r="AD2265" s="235" t="s">
        <v>4363</v>
      </c>
      <c r="BB2265" s="388"/>
    </row>
    <row r="2266" spans="1:62" s="4" customFormat="1" ht="14.5" x14ac:dyDescent="0.35">
      <c r="A2266" s="521"/>
      <c r="B2266" s="522"/>
      <c r="C2266" s="522"/>
      <c r="D2266" s="522"/>
      <c r="E2266" s="522"/>
      <c r="F2266" s="523"/>
      <c r="AC2266" s="389"/>
      <c r="AD2266" s="625" t="s">
        <v>4364</v>
      </c>
      <c r="BB2266" s="388"/>
    </row>
    <row r="2267" spans="1:62" s="4" customFormat="1" ht="30" customHeight="1" x14ac:dyDescent="0.3">
      <c r="A2267" s="861" t="s">
        <v>3455</v>
      </c>
      <c r="B2267" s="862" t="s">
        <v>4400</v>
      </c>
      <c r="C2267" s="862"/>
      <c r="D2267" s="871" t="s">
        <v>3460</v>
      </c>
      <c r="E2267" s="864"/>
      <c r="F2267" s="864"/>
      <c r="AC2267" s="389"/>
      <c r="AD2267" s="40" t="s">
        <v>4387</v>
      </c>
      <c r="BB2267" s="388"/>
    </row>
    <row r="2268" spans="1:62" s="4" customFormat="1" x14ac:dyDescent="0.3">
      <c r="A2268" s="475"/>
      <c r="B2268" s="475"/>
      <c r="C2268" s="475"/>
      <c r="D2268" s="475"/>
      <c r="E2268" s="475"/>
      <c r="F2268" s="475"/>
      <c r="AC2268" s="389"/>
      <c r="AD2268" s="4" t="s">
        <v>4488</v>
      </c>
      <c r="BB2268" s="388"/>
    </row>
    <row r="2269" spans="1:62" s="4" customFormat="1" x14ac:dyDescent="0.3">
      <c r="A2269" s="475"/>
      <c r="B2269" s="665" t="s">
        <v>4432</v>
      </c>
      <c r="C2269" s="942"/>
      <c r="D2269" s="942"/>
      <c r="E2269" s="942"/>
      <c r="F2269" s="475"/>
      <c r="AC2269" s="389"/>
      <c r="AD2269" s="4" t="s">
        <v>4489</v>
      </c>
      <c r="BB2269" s="388"/>
      <c r="BJ2269" s="4" t="s">
        <v>4408</v>
      </c>
    </row>
    <row r="2270" spans="1:62" s="4" customFormat="1" x14ac:dyDescent="0.3">
      <c r="A2270" s="475"/>
      <c r="B2270" s="475"/>
      <c r="C2270" s="475"/>
      <c r="D2270" s="475"/>
      <c r="E2270" s="475"/>
      <c r="F2270" s="475"/>
      <c r="AC2270" s="389"/>
      <c r="BB2270" s="388"/>
      <c r="BJ2270" s="4" t="s">
        <v>4388</v>
      </c>
    </row>
    <row r="2271" spans="1:62" s="4" customFormat="1" x14ac:dyDescent="0.3">
      <c r="A2271" s="475"/>
      <c r="B2271" s="475" t="s">
        <v>4571</v>
      </c>
      <c r="C2271" s="475"/>
      <c r="D2271" s="475"/>
      <c r="E2271" s="475"/>
      <c r="F2271" s="475"/>
      <c r="AC2271" s="389"/>
      <c r="BB2271" s="388"/>
      <c r="BJ2271" s="4" t="s">
        <v>4389</v>
      </c>
    </row>
    <row r="2272" spans="1:62" s="4" customFormat="1" x14ac:dyDescent="0.3">
      <c r="A2272" s="475"/>
      <c r="B2272" s="475"/>
      <c r="C2272" s="475"/>
      <c r="D2272" s="475"/>
      <c r="E2272" s="475"/>
      <c r="F2272" s="475"/>
      <c r="AC2272" s="389"/>
      <c r="BB2272" s="388"/>
      <c r="BJ2272" s="4" t="s">
        <v>4390</v>
      </c>
    </row>
    <row r="2273" spans="1:69" s="4" customFormat="1" ht="13.75" customHeight="1" x14ac:dyDescent="0.3">
      <c r="A2273" s="475"/>
      <c r="B2273" s="941" t="str">
        <f>AH2273</f>
        <v>Law enforcement creates a power imbalance between the police and citizens. Officers can influence citizens far more than citizens can influence officers. Once arrested and detained, prosecutors magnify this powere imbalance. This 'Power Impact Report' identifies some of the unhealthy consequences from the prosecutor's power.</v>
      </c>
      <c r="C2273" s="941"/>
      <c r="D2273" s="941"/>
      <c r="E2273" s="941"/>
      <c r="F2273" s="475"/>
      <c r="AC2273" s="389"/>
      <c r="AH2273" s="475" t="str">
        <f>CONCATENATE(AL2273,AM2273,AN2273,AO2273,AP2273,AQ2273,AR2273,AS2273)</f>
        <v>Law enforcement creates a power imbalance between the police and citizens. Officers can influence citizens far more than citizens can influence officers. Once arrested and detained, prosecutors magnify this powere imbalance. This 'Power Impact Report' identifies some of the unhealthy consequences from the prosecutor's power.</v>
      </c>
      <c r="AL2273" s="4" t="s">
        <v>4572</v>
      </c>
      <c r="AM2273" s="4" t="str">
        <f>B2267</f>
        <v>Power Impact Report</v>
      </c>
      <c r="AN2273" s="503" t="s">
        <v>4574</v>
      </c>
      <c r="BB2273" s="388"/>
      <c r="BJ2273" s="4" t="s">
        <v>4391</v>
      </c>
    </row>
    <row r="2274" spans="1:69" s="4" customFormat="1" x14ac:dyDescent="0.3">
      <c r="A2274" s="475"/>
      <c r="B2274" s="941"/>
      <c r="C2274" s="941"/>
      <c r="D2274" s="941"/>
      <c r="E2274" s="941"/>
      <c r="F2274" s="475"/>
      <c r="AC2274" s="389"/>
      <c r="BB2274" s="388"/>
      <c r="BJ2274" s="4" t="s">
        <v>4392</v>
      </c>
    </row>
    <row r="2275" spans="1:69" s="4" customFormat="1" x14ac:dyDescent="0.3">
      <c r="A2275" s="475"/>
      <c r="B2275" s="941"/>
      <c r="C2275" s="941"/>
      <c r="D2275" s="941"/>
      <c r="E2275" s="941"/>
      <c r="F2275" s="475"/>
      <c r="AC2275" s="389"/>
      <c r="AH2275" s="475" t="str">
        <f>CONCATENATE(AL2275,AM2275,AN2275,AO2275,AP2275,AQ2275,AR2275,AS2275,AT2275,AU2275,AV2275,AW2275)</f>
        <v>Even if Claimant is not as innocent as claimant claims, the impact of prosecutorial power can ultimately undermine the interests of justice. When compared to other exonerees, claimant presents a 0% chance of being actually innocent. Consider the following impacts with that in mind.</v>
      </c>
      <c r="AK2275" s="503" t="s">
        <v>885</v>
      </c>
      <c r="AL2275" s="4" t="s">
        <v>4570</v>
      </c>
      <c r="AM2275" s="4" t="str">
        <f>$BG$202</f>
        <v>Claimant</v>
      </c>
      <c r="AN2275" s="4" t="s">
        <v>4569</v>
      </c>
      <c r="AO2275" s="4" t="str">
        <f>$BH$206</f>
        <v>claimant</v>
      </c>
      <c r="AP2275" s="4" t="s">
        <v>4575</v>
      </c>
      <c r="AQ2275" s="4" t="str">
        <f>BH206</f>
        <v>claimant</v>
      </c>
      <c r="AR2275" s="4" t="s">
        <v>4573</v>
      </c>
      <c r="AS2275" s="629">
        <f>AI1984</f>
        <v>0</v>
      </c>
      <c r="AT2275" s="503" t="s">
        <v>4576</v>
      </c>
      <c r="BB2275" s="388"/>
      <c r="BJ2275" s="4" t="s">
        <v>4399</v>
      </c>
    </row>
    <row r="2276" spans="1:69" s="4" customFormat="1" x14ac:dyDescent="0.3">
      <c r="A2276" s="475"/>
      <c r="B2276" s="941"/>
      <c r="C2276" s="941"/>
      <c r="D2276" s="941"/>
      <c r="E2276" s="941"/>
      <c r="F2276" s="475"/>
      <c r="AC2276" s="389"/>
      <c r="BB2276" s="388"/>
      <c r="BJ2276" s="4" t="s">
        <v>4394</v>
      </c>
      <c r="BQ2276" s="4" t="s">
        <v>4393</v>
      </c>
    </row>
    <row r="2277" spans="1:69" s="4" customFormat="1" x14ac:dyDescent="0.3">
      <c r="A2277" s="475"/>
      <c r="B2277" s="941"/>
      <c r="C2277" s="941"/>
      <c r="D2277" s="941"/>
      <c r="E2277" s="941"/>
      <c r="F2277" s="475"/>
      <c r="AC2277" s="389"/>
      <c r="BB2277" s="388"/>
      <c r="BJ2277" s="4" t="s">
        <v>4395</v>
      </c>
    </row>
    <row r="2278" spans="1:69" s="4" customFormat="1" ht="13.75" customHeight="1" x14ac:dyDescent="0.3">
      <c r="A2278" s="475"/>
      <c r="B2278" s="941" t="str">
        <f>AH2275</f>
        <v>Even if Claimant is not as innocent as claimant claims, the impact of prosecutorial power can ultimately undermine the interests of justice. When compared to other exonerees, claimant presents a 0% chance of being actually innocent. Consider the following impacts with that in mind.</v>
      </c>
      <c r="C2278" s="941"/>
      <c r="D2278" s="941"/>
      <c r="E2278" s="485"/>
      <c r="F2278" s="475"/>
      <c r="AC2278" s="389"/>
      <c r="BB2278" s="388"/>
      <c r="BJ2278" s="4" t="s">
        <v>4396</v>
      </c>
    </row>
    <row r="2279" spans="1:69" s="4" customFormat="1" x14ac:dyDescent="0.3">
      <c r="A2279" s="475"/>
      <c r="B2279" s="941"/>
      <c r="C2279" s="941"/>
      <c r="D2279" s="941"/>
      <c r="E2279" s="485"/>
      <c r="F2279" s="475"/>
      <c r="AC2279" s="389"/>
      <c r="BB2279" s="388"/>
      <c r="BJ2279" s="4" t="s">
        <v>4397</v>
      </c>
    </row>
    <row r="2280" spans="1:69" s="4" customFormat="1" x14ac:dyDescent="0.3">
      <c r="A2280" s="475"/>
      <c r="B2280" s="941"/>
      <c r="C2280" s="941"/>
      <c r="D2280" s="941"/>
      <c r="E2280" s="485"/>
      <c r="F2280" s="475"/>
      <c r="AC2280" s="389"/>
      <c r="AJ2280" s="685" t="s">
        <v>4578</v>
      </c>
      <c r="BB2280" s="388"/>
      <c r="BJ2280" s="4" t="s">
        <v>4398</v>
      </c>
    </row>
    <row r="2281" spans="1:69" s="4" customFormat="1" x14ac:dyDescent="0.3">
      <c r="A2281" s="475"/>
      <c r="B2281" s="941"/>
      <c r="C2281" s="941"/>
      <c r="D2281" s="941"/>
      <c r="E2281" s="485"/>
      <c r="F2281" s="475"/>
      <c r="AC2281" s="389"/>
      <c r="BB2281" s="388"/>
    </row>
    <row r="2282" spans="1:69" s="4" customFormat="1" ht="20" customHeight="1" x14ac:dyDescent="0.3">
      <c r="A2282" s="475"/>
      <c r="B2282" s="686" t="str">
        <f>AP2282</f>
        <v>How the wrongful conviction challenges this claimant's life</v>
      </c>
      <c r="C2282" s="485"/>
      <c r="D2282" s="485"/>
      <c r="E2282" s="485"/>
      <c r="F2282" s="475"/>
      <c r="AC2282" s="389"/>
      <c r="AH2282" s="4" t="s">
        <v>4579</v>
      </c>
      <c r="AI2282" s="4" t="str">
        <f>$AN$874</f>
        <v>this claimant</v>
      </c>
      <c r="AJ2282" s="503" t="s">
        <v>4582</v>
      </c>
      <c r="AP2282" s="508" t="str">
        <f>CONCATENATE(AH2282,AI2282,AJ2282)</f>
        <v>How the wrongful conviction challenges this claimant's life</v>
      </c>
      <c r="BB2282" s="388"/>
    </row>
    <row r="2283" spans="1:69" s="4" customFormat="1" x14ac:dyDescent="0.3">
      <c r="A2283" s="475"/>
      <c r="B2283" s="664" t="str">
        <f>AP2283</f>
        <v>1) economic: NOT REPORTED</v>
      </c>
      <c r="C2283" s="664"/>
      <c r="D2283" s="475"/>
      <c r="E2283" s="683">
        <f t="shared" ref="E2283:E2288" si="93">AH882</f>
        <v>0</v>
      </c>
      <c r="F2283" s="475"/>
      <c r="AC2283" s="389"/>
      <c r="AH2283" s="4" t="str">
        <f>CONCATENATE(B882,": ")</f>
        <v xml:space="preserve">1) economic: </v>
      </c>
      <c r="AJ2283" s="503" t="str">
        <f t="shared" ref="AJ2283:AJ2288" si="94">IF(D882="",AJ$2280,D882)</f>
        <v>NOT REPORTED</v>
      </c>
      <c r="AP2283" s="508" t="str">
        <f>CONCATENATE(AH2283,AI2283,AJ2283)</f>
        <v>1) economic: NOT REPORTED</v>
      </c>
      <c r="BB2283" s="388"/>
      <c r="BJ2283" s="4" t="s">
        <v>4405</v>
      </c>
    </row>
    <row r="2284" spans="1:69" s="4" customFormat="1" x14ac:dyDescent="0.3">
      <c r="A2284" s="475"/>
      <c r="B2284" s="664" t="str">
        <f t="shared" ref="B2284:B2294" si="95">AP2284</f>
        <v>2) physical health: NOT REPORTED</v>
      </c>
      <c r="C2284" s="664"/>
      <c r="D2284" s="475"/>
      <c r="E2284" s="683">
        <f t="shared" si="93"/>
        <v>0</v>
      </c>
      <c r="F2284" s="475"/>
      <c r="AC2284" s="389"/>
      <c r="AH2284" s="4" t="str">
        <f>CONCATENATE(B883,": ")</f>
        <v xml:space="preserve">2) physical health: </v>
      </c>
      <c r="AJ2284" s="503" t="str">
        <f t="shared" si="94"/>
        <v>NOT REPORTED</v>
      </c>
      <c r="AP2284" s="508" t="str">
        <f t="shared" ref="AP2284:AP2289" si="96">CONCATENATE(AH2284,AI2284,AJ2284)</f>
        <v>2) physical health: NOT REPORTED</v>
      </c>
      <c r="BB2284" s="388"/>
      <c r="BJ2284" s="4" t="s">
        <v>4406</v>
      </c>
    </row>
    <row r="2285" spans="1:69" s="4" customFormat="1" x14ac:dyDescent="0.3">
      <c r="A2285" s="475"/>
      <c r="B2285" s="664" t="str">
        <f t="shared" si="95"/>
        <v>3) mental health: NOT REPORTED</v>
      </c>
      <c r="C2285" s="664"/>
      <c r="D2285" s="475"/>
      <c r="E2285" s="683">
        <f t="shared" si="93"/>
        <v>0</v>
      </c>
      <c r="F2285" s="475"/>
      <c r="AC2285" s="389"/>
      <c r="AH2285" s="4" t="str">
        <f>CONCATENATE(B884,": ")</f>
        <v xml:space="preserve">3) mental health: </v>
      </c>
      <c r="AJ2285" s="503" t="str">
        <f t="shared" si="94"/>
        <v>NOT REPORTED</v>
      </c>
      <c r="AP2285" s="508" t="str">
        <f t="shared" si="96"/>
        <v>3) mental health: NOT REPORTED</v>
      </c>
      <c r="BB2285" s="388"/>
      <c r="BJ2285" s="4" t="s">
        <v>4407</v>
      </c>
    </row>
    <row r="2286" spans="1:69" s="4" customFormat="1" x14ac:dyDescent="0.3">
      <c r="A2286" s="475"/>
      <c r="B2286" s="664" t="str">
        <f t="shared" si="95"/>
        <v>4) relationships: NOT REPORTED</v>
      </c>
      <c r="C2286" s="664"/>
      <c r="D2286" s="475"/>
      <c r="E2286" s="683">
        <f t="shared" si="93"/>
        <v>0</v>
      </c>
      <c r="F2286" s="475"/>
      <c r="AC2286" s="389"/>
      <c r="AH2286" s="4" t="str">
        <f>CONCATENATE(B885,": ")</f>
        <v xml:space="preserve">4) relationships: </v>
      </c>
      <c r="AJ2286" s="503" t="str">
        <f t="shared" si="94"/>
        <v>NOT REPORTED</v>
      </c>
      <c r="AP2286" s="508" t="str">
        <f t="shared" si="96"/>
        <v>4) relationships: NOT REPORTED</v>
      </c>
      <c r="BB2286" s="388"/>
    </row>
    <row r="2287" spans="1:69" s="4" customFormat="1" x14ac:dyDescent="0.3">
      <c r="A2287" s="475"/>
      <c r="B2287" s="664" t="str">
        <f t="shared" si="95"/>
        <v>5) will-to-live: NOT REPORTED</v>
      </c>
      <c r="C2287" s="664"/>
      <c r="D2287" s="475"/>
      <c r="E2287" s="683">
        <f t="shared" si="93"/>
        <v>0</v>
      </c>
      <c r="F2287" s="475"/>
      <c r="AC2287" s="389"/>
      <c r="AH2287" s="4" t="str">
        <f>CONCATENATE(B886,": ")</f>
        <v xml:space="preserve">5) will-to-live: </v>
      </c>
      <c r="AJ2287" s="503" t="str">
        <f t="shared" si="94"/>
        <v>NOT REPORTED</v>
      </c>
      <c r="AP2287" s="508" t="str">
        <f t="shared" si="96"/>
        <v>5) will-to-live: NOT REPORTED</v>
      </c>
      <c r="BB2287" s="388"/>
    </row>
    <row r="2288" spans="1:69" s="4" customFormat="1" x14ac:dyDescent="0.3">
      <c r="A2288" s="475"/>
      <c r="B2288" s="664" t="str">
        <f t="shared" si="95"/>
        <v>6) : NOT REPORTED</v>
      </c>
      <c r="C2288" s="664"/>
      <c r="D2288" s="475"/>
      <c r="E2288" s="683">
        <f t="shared" si="93"/>
        <v>0</v>
      </c>
      <c r="F2288" s="475"/>
      <c r="AC2288" s="389"/>
      <c r="AH2288" s="4" t="s">
        <v>4577</v>
      </c>
      <c r="AI2288" s="4" t="str">
        <f>CONCATENATE(IF(C887="other challenge","",C887),": ")</f>
        <v xml:space="preserve">: </v>
      </c>
      <c r="AJ2288" s="503" t="str">
        <f t="shared" si="94"/>
        <v>NOT REPORTED</v>
      </c>
      <c r="AP2288" s="508" t="str">
        <f t="shared" si="96"/>
        <v>6) : NOT REPORTED</v>
      </c>
      <c r="BB2288" s="388"/>
    </row>
    <row r="2289" spans="1:54" s="4" customFormat="1" ht="20" customHeight="1" x14ac:dyDescent="0.3">
      <c r="A2289" s="475"/>
      <c r="B2289" s="686" t="str">
        <f>AP2289</f>
        <v>How the wrongful conviction affects this claimant's aspirations</v>
      </c>
      <c r="C2289" s="475"/>
      <c r="D2289" s="475"/>
      <c r="E2289" s="475"/>
      <c r="F2289" s="475"/>
      <c r="AC2289" s="389"/>
      <c r="AH2289" s="4" t="s">
        <v>4580</v>
      </c>
      <c r="AI2289" s="4" t="str">
        <f>$AN$874</f>
        <v>this claimant</v>
      </c>
      <c r="AJ2289" s="503" t="s">
        <v>4581</v>
      </c>
      <c r="AP2289" s="508" t="str">
        <f t="shared" si="96"/>
        <v>How the wrongful conviction affects this claimant's aspirations</v>
      </c>
      <c r="BB2289" s="388"/>
    </row>
    <row r="2290" spans="1:54" s="4" customFormat="1" x14ac:dyDescent="0.3">
      <c r="A2290" s="475"/>
      <c r="B2290" s="664" t="str">
        <f t="shared" si="95"/>
        <v>7) income independence: NOT REPORTED</v>
      </c>
      <c r="C2290" s="664"/>
      <c r="D2290" s="475"/>
      <c r="E2290" s="683">
        <f t="shared" ref="E2290:E2295" si="97">AJ892</f>
        <v>0</v>
      </c>
      <c r="F2290" s="475"/>
      <c r="AC2290" s="389"/>
      <c r="AH2290" s="4" t="str">
        <f>CONCATENATE(B892,": ")</f>
        <v xml:space="preserve">7) income independence: </v>
      </c>
      <c r="AJ2290" s="503" t="str">
        <f t="shared" ref="AJ2290:AJ2295" si="98">IF(D892="",AJ$2280,D892)</f>
        <v>NOT REPORTED</v>
      </c>
      <c r="AP2290" s="508" t="str">
        <f t="shared" ref="AP2290:AP2295" si="99">CONCATENATE(AH2290,AI2290,AJ2290)</f>
        <v>7) income independence: NOT REPORTED</v>
      </c>
      <c r="BB2290" s="388"/>
    </row>
    <row r="2291" spans="1:54" s="4" customFormat="1" x14ac:dyDescent="0.3">
      <c r="A2291" s="475"/>
      <c r="B2291" s="664" t="str">
        <f t="shared" si="95"/>
        <v>8) maintaining healthy lifestyle: NOT REPORTED</v>
      </c>
      <c r="C2291" s="664"/>
      <c r="D2291" s="475"/>
      <c r="E2291" s="683">
        <f t="shared" si="97"/>
        <v>0</v>
      </c>
      <c r="F2291" s="475"/>
      <c r="AC2291" s="389"/>
      <c r="AH2291" s="4" t="str">
        <f>CONCATENATE(B893,": ")</f>
        <v xml:space="preserve">8) maintaining healthy lifestyle: </v>
      </c>
      <c r="AJ2291" s="503" t="str">
        <f t="shared" si="98"/>
        <v>NOT REPORTED</v>
      </c>
      <c r="AP2291" s="508" t="str">
        <f t="shared" si="99"/>
        <v>8) maintaining healthy lifestyle: NOT REPORTED</v>
      </c>
      <c r="BB2291" s="388"/>
    </row>
    <row r="2292" spans="1:54" s="4" customFormat="1" x14ac:dyDescent="0.3">
      <c r="A2292" s="475"/>
      <c r="B2292" s="664" t="str">
        <f t="shared" si="95"/>
        <v>9) overcoming depression &amp; anxiety: NOT REPORTED</v>
      </c>
      <c r="C2292" s="664"/>
      <c r="D2292" s="475"/>
      <c r="E2292" s="683">
        <f t="shared" si="97"/>
        <v>0</v>
      </c>
      <c r="F2292" s="475"/>
      <c r="AC2292" s="389"/>
      <c r="AH2292" s="4" t="str">
        <f>CONCATENATE(B894,": ")</f>
        <v xml:space="preserve">9) overcoming depression &amp; anxiety: </v>
      </c>
      <c r="AJ2292" s="503" t="str">
        <f t="shared" si="98"/>
        <v>NOT REPORTED</v>
      </c>
      <c r="AP2292" s="508" t="str">
        <f t="shared" si="99"/>
        <v>9) overcoming depression &amp; anxiety: NOT REPORTED</v>
      </c>
      <c r="BB2292" s="388"/>
    </row>
    <row r="2293" spans="1:54" s="4" customFormat="1" x14ac:dyDescent="0.3">
      <c r="A2293" s="475"/>
      <c r="B2293" s="664" t="str">
        <f t="shared" si="95"/>
        <v>10) restoring familiy ties: NOT REPORTED</v>
      </c>
      <c r="C2293" s="664"/>
      <c r="D2293" s="475"/>
      <c r="E2293" s="683">
        <f t="shared" si="97"/>
        <v>0</v>
      </c>
      <c r="F2293" s="475"/>
      <c r="AC2293" s="389"/>
      <c r="AH2293" s="4" t="str">
        <f>CONCATENATE(B895,": ")</f>
        <v xml:space="preserve">10) restoring familiy ties: </v>
      </c>
      <c r="AJ2293" s="503" t="str">
        <f t="shared" si="98"/>
        <v>NOT REPORTED</v>
      </c>
      <c r="AP2293" s="508" t="str">
        <f t="shared" si="99"/>
        <v>10) restoring familiy ties: NOT REPORTED</v>
      </c>
      <c r="BB2293" s="388"/>
    </row>
    <row r="2294" spans="1:54" s="4" customFormat="1" x14ac:dyDescent="0.3">
      <c r="A2294" s="475"/>
      <c r="B2294" s="664" t="str">
        <f t="shared" si="95"/>
        <v>11) helping others similarly situated: NOT REPORTED</v>
      </c>
      <c r="C2294" s="664"/>
      <c r="D2294" s="475"/>
      <c r="E2294" s="683">
        <f t="shared" si="97"/>
        <v>0</v>
      </c>
      <c r="F2294" s="475"/>
      <c r="AC2294" s="389"/>
      <c r="AH2294" s="4" t="str">
        <f>CONCATENATE(B896,": ")</f>
        <v xml:space="preserve">11) helping others similarly situated: </v>
      </c>
      <c r="AJ2294" s="503" t="str">
        <f t="shared" si="98"/>
        <v>NOT REPORTED</v>
      </c>
      <c r="AP2294" s="508" t="str">
        <f t="shared" si="99"/>
        <v>11) helping others similarly situated: NOT REPORTED</v>
      </c>
      <c r="BB2294" s="388"/>
    </row>
    <row r="2295" spans="1:54" s="4" customFormat="1" x14ac:dyDescent="0.3">
      <c r="A2295" s="475"/>
      <c r="B2295" s="664" t="str">
        <f>AP2295</f>
        <v>12) other aspiration: NOT REPORTED</v>
      </c>
      <c r="C2295" s="664"/>
      <c r="D2295" s="475"/>
      <c r="E2295" s="683">
        <f t="shared" si="97"/>
        <v>0</v>
      </c>
      <c r="F2295" s="475"/>
      <c r="AC2295" s="389"/>
      <c r="AH2295" s="4" t="s">
        <v>4583</v>
      </c>
      <c r="AI2295" s="4" t="str">
        <f>CONCATENATE(IF(C897="","other aspiration",C897),": ")</f>
        <v xml:space="preserve">other aspiration: </v>
      </c>
      <c r="AJ2295" s="503" t="str">
        <f t="shared" si="98"/>
        <v>NOT REPORTED</v>
      </c>
      <c r="AP2295" s="508" t="str">
        <f t="shared" si="99"/>
        <v>12) other aspiration: NOT REPORTED</v>
      </c>
      <c r="BB2295" s="388"/>
    </row>
    <row r="2296" spans="1:54" s="4" customFormat="1" x14ac:dyDescent="0.3">
      <c r="A2296" s="475"/>
      <c r="B2296" s="475"/>
      <c r="C2296" s="475"/>
      <c r="D2296" s="475"/>
      <c r="E2296" s="475"/>
      <c r="F2296" s="475"/>
      <c r="AC2296" s="389"/>
      <c r="AH2296" s="4">
        <f>SUM(E2283:E2288)</f>
        <v>0</v>
      </c>
      <c r="AI2296" s="4">
        <f>4*6</f>
        <v>24</v>
      </c>
      <c r="AJ2296" s="4">
        <f>AH2296/AI2296</f>
        <v>0</v>
      </c>
      <c r="BB2296" s="388"/>
    </row>
    <row r="2297" spans="1:54" s="4" customFormat="1" x14ac:dyDescent="0.3">
      <c r="A2297" s="475"/>
      <c r="B2297" s="941" t="str">
        <f>AV2298</f>
        <v>With a 0% negative impact on Claimant's needs, and 0% impact on claimant's aspirations, deeper just appears adequately served. Getting to the sources of unjust negative impacts requires us to address unchecked prosecutorial power. Need-response examines the range of outcomes in this "adjudicaton distribution".</v>
      </c>
      <c r="C2297" s="941"/>
      <c r="D2297" s="941"/>
      <c r="E2297" s="941"/>
      <c r="F2297" s="475"/>
      <c r="AC2297" s="389"/>
      <c r="AH2297" s="4">
        <f>SUM(E2290:E2295)</f>
        <v>0</v>
      </c>
      <c r="AI2297" s="4">
        <f>6*6</f>
        <v>36</v>
      </c>
      <c r="AJ2297" s="4">
        <f>AH2297/AI2297</f>
        <v>0</v>
      </c>
      <c r="BB2297" s="388"/>
    </row>
    <row r="2298" spans="1:54" s="4" customFormat="1" x14ac:dyDescent="0.3">
      <c r="A2298" s="475"/>
      <c r="B2298" s="941"/>
      <c r="C2298" s="941"/>
      <c r="D2298" s="941"/>
      <c r="E2298" s="941"/>
      <c r="F2298" s="475"/>
      <c r="AC2298" s="389"/>
      <c r="AH2298" s="4" t="s">
        <v>4584</v>
      </c>
      <c r="AI2298" s="4">
        <f>ROUND((AJ2296*100),0)</f>
        <v>0</v>
      </c>
      <c r="AJ2298" s="503" t="s">
        <v>4585</v>
      </c>
      <c r="AK2298" s="4" t="str">
        <f>BG202</f>
        <v>Claimant</v>
      </c>
      <c r="AL2298" s="503" t="s">
        <v>4586</v>
      </c>
      <c r="AM2298" s="4">
        <f>ROUND((AJ2297*100),0)</f>
        <v>0</v>
      </c>
      <c r="AN2298" s="503" t="s">
        <v>4587</v>
      </c>
      <c r="AO2298" s="4" t="str">
        <f>BJ206</f>
        <v>claimant's</v>
      </c>
      <c r="AP2298" s="4" t="s">
        <v>4588</v>
      </c>
      <c r="AQ2298" s="4" t="str">
        <f>IF(OR(AJ2296&gt;0.5,AJ2297&gt;0.5),"deeper justice may not be served. ","deeper just appears adequately served. ")</f>
        <v xml:space="preserve">deeper just appears adequately served. </v>
      </c>
      <c r="AR2298" s="4" t="str">
        <f>AI2299</f>
        <v>Getting to the sources of unjust negative impacts requires us to address unchecked prosecutorial power. Need-response examines the range of outcomes in this "adjudicaton distribution".</v>
      </c>
      <c r="AV2298" s="508" t="str">
        <f>CONCATENATE(AH2298,AI2298,AJ2298,AK2298,AL2298,AM2298,AN2298,AO2298,AP2298,AQ2298,AR2298,AS2298)</f>
        <v>With a 0% negative impact on Claimant's needs, and 0% impact on claimant's aspirations, deeper just appears adequately served. Getting to the sources of unjust negative impacts requires us to address unchecked prosecutorial power. Need-response examines the range of outcomes in this "adjudicaton distribution".</v>
      </c>
      <c r="BB2298" s="388"/>
    </row>
    <row r="2299" spans="1:54" s="4" customFormat="1" x14ac:dyDescent="0.3">
      <c r="A2299" s="475"/>
      <c r="B2299" s="941"/>
      <c r="C2299" s="941"/>
      <c r="D2299" s="941"/>
      <c r="E2299" s="941"/>
      <c r="F2299" s="475"/>
      <c r="AC2299" s="389"/>
      <c r="AI2299" s="475" t="s">
        <v>4589</v>
      </c>
      <c r="BB2299" s="388"/>
    </row>
    <row r="2300" spans="1:54" s="4" customFormat="1" ht="13.75" customHeight="1" x14ac:dyDescent="0.3">
      <c r="A2300" s="475"/>
      <c r="B2300" s="941"/>
      <c r="C2300" s="941"/>
      <c r="D2300" s="941"/>
      <c r="E2300" s="941"/>
      <c r="F2300" s="475"/>
      <c r="AC2300" s="389"/>
      <c r="BB2300" s="388"/>
    </row>
    <row r="2301" spans="1:54" s="4" customFormat="1" x14ac:dyDescent="0.3">
      <c r="A2301" s="475"/>
      <c r="B2301" s="475"/>
      <c r="C2301" s="505"/>
      <c r="D2301" s="505"/>
      <c r="E2301" s="505"/>
      <c r="F2301" s="475"/>
      <c r="AC2301" s="389"/>
      <c r="BB2301" s="388"/>
    </row>
    <row r="2302" spans="1:54" s="4" customFormat="1" x14ac:dyDescent="0.3">
      <c r="A2302" s="475"/>
      <c r="B2302" s="475"/>
      <c r="C2302" s="505"/>
      <c r="D2302" s="941" t="s">
        <v>4793</v>
      </c>
      <c r="E2302" s="941"/>
      <c r="F2302" s="475"/>
      <c r="AC2302" s="389"/>
      <c r="BB2302" s="388"/>
    </row>
    <row r="2303" spans="1:54" s="4" customFormat="1" x14ac:dyDescent="0.3">
      <c r="A2303" s="475"/>
      <c r="B2303" s="505"/>
      <c r="C2303" s="505"/>
      <c r="D2303" s="941"/>
      <c r="E2303" s="941"/>
      <c r="F2303" s="475"/>
      <c r="AC2303" s="389" t="s">
        <v>912</v>
      </c>
      <c r="BB2303" s="388"/>
    </row>
    <row r="2304" spans="1:54" s="4" customFormat="1" x14ac:dyDescent="0.3">
      <c r="A2304" s="475"/>
      <c r="B2304" s="475"/>
      <c r="C2304" s="475"/>
      <c r="D2304" s="941"/>
      <c r="E2304" s="941"/>
      <c r="F2304" s="475"/>
      <c r="BB2304" s="388"/>
    </row>
    <row r="2305" spans="1:78" s="4" customFormat="1" x14ac:dyDescent="0.3">
      <c r="A2305" s="475"/>
      <c r="B2305" s="475"/>
      <c r="C2305" s="475"/>
      <c r="D2305" s="941"/>
      <c r="E2305" s="941"/>
      <c r="F2305" s="475"/>
      <c r="BB2305" s="388"/>
    </row>
    <row r="2306" spans="1:78" s="4" customFormat="1" x14ac:dyDescent="0.3">
      <c r="A2306" s="475"/>
      <c r="B2306" s="475"/>
      <c r="C2306" s="475"/>
      <c r="D2306" s="941"/>
      <c r="E2306" s="941"/>
      <c r="F2306" s="475"/>
      <c r="AC2306" s="4" t="s">
        <v>913</v>
      </c>
      <c r="BB2306" s="388"/>
    </row>
    <row r="2307" spans="1:78" s="4" customFormat="1" x14ac:dyDescent="0.3">
      <c r="A2307" s="475"/>
      <c r="B2307" s="475"/>
      <c r="C2307" s="475"/>
      <c r="D2307" s="941"/>
      <c r="E2307" s="941"/>
      <c r="F2307" s="475"/>
      <c r="BB2307" s="388"/>
    </row>
    <row r="2308" spans="1:78" s="4" customFormat="1" x14ac:dyDescent="0.3">
      <c r="A2308" s="475"/>
      <c r="B2308" s="475"/>
      <c r="C2308" s="475"/>
      <c r="D2308" s="941"/>
      <c r="E2308" s="941"/>
      <c r="F2308" s="475"/>
      <c r="BB2308" s="388"/>
    </row>
    <row r="2309" spans="1:78" s="4" customFormat="1" x14ac:dyDescent="0.3">
      <c r="A2309" s="475"/>
      <c r="B2309" s="475"/>
      <c r="C2309" s="475"/>
      <c r="D2309" s="941"/>
      <c r="E2309" s="941"/>
      <c r="F2309" s="475"/>
      <c r="AC2309" s="4" t="s">
        <v>914</v>
      </c>
      <c r="BB2309" s="388"/>
    </row>
    <row r="2310" spans="1:78" s="4" customFormat="1" x14ac:dyDescent="0.3">
      <c r="A2310" s="475"/>
      <c r="B2310" s="475"/>
      <c r="C2310" s="475"/>
      <c r="D2310" s="941"/>
      <c r="E2310" s="941"/>
      <c r="F2310" s="475"/>
      <c r="BB2310" s="388"/>
    </row>
    <row r="2311" spans="1:78" s="4" customFormat="1" x14ac:dyDescent="0.3">
      <c r="A2311" s="475"/>
      <c r="B2311" s="475"/>
      <c r="C2311" s="475"/>
      <c r="D2311" s="941"/>
      <c r="E2311" s="941"/>
      <c r="F2311" s="475"/>
      <c r="BB2311" s="388"/>
    </row>
    <row r="2312" spans="1:78" s="4" customFormat="1" x14ac:dyDescent="0.3">
      <c r="A2312" s="475"/>
      <c r="B2312" s="485"/>
      <c r="C2312" s="485"/>
      <c r="D2312" s="941"/>
      <c r="E2312" s="941"/>
      <c r="F2312" s="475"/>
      <c r="AC2312" s="4" t="s">
        <v>915</v>
      </c>
      <c r="BB2312" s="388"/>
      <c r="BZ2312" s="4" t="s">
        <v>4411</v>
      </c>
    </row>
    <row r="2313" spans="1:78" s="4" customFormat="1" ht="10" customHeight="1" thickBot="1" x14ac:dyDescent="0.35">
      <c r="A2313" s="475"/>
      <c r="B2313" s="475"/>
      <c r="C2313" s="475"/>
      <c r="D2313" s="941"/>
      <c r="E2313" s="941"/>
      <c r="F2313" s="475"/>
      <c r="BB2313" s="388"/>
    </row>
    <row r="2314" spans="1:78" s="4" customFormat="1" ht="28" customHeight="1" thickTop="1" thickBot="1" x14ac:dyDescent="0.35">
      <c r="A2314" s="856" t="s">
        <v>3456</v>
      </c>
      <c r="B2314" s="857" t="s">
        <v>4498</v>
      </c>
      <c r="C2314" s="857"/>
      <c r="D2314" s="858" t="s">
        <v>4362</v>
      </c>
      <c r="E2314" s="859"/>
      <c r="F2314" s="860"/>
      <c r="AB2314" s="40" t="s">
        <v>3913</v>
      </c>
      <c r="AD2314" s="40" t="s">
        <v>3460</v>
      </c>
      <c r="AE2314" s="40"/>
      <c r="AF2314" s="40"/>
      <c r="BB2314" s="388"/>
    </row>
    <row r="2315" spans="1:78" s="4" customFormat="1" ht="15" thickTop="1" thickBot="1" x14ac:dyDescent="0.35">
      <c r="A2315" s="475"/>
      <c r="B2315" s="475"/>
      <c r="C2315" s="475"/>
      <c r="D2315" s="475"/>
      <c r="E2315" s="834">
        <v>20</v>
      </c>
      <c r="F2315" s="475"/>
      <c r="AD2315" s="697" t="str">
        <f>IF($BD$1770&gt;0,CONCATENATE(AG2315,AJ2315),AN2315)</f>
        <v>REQUIRES PASSKEY</v>
      </c>
      <c r="AG2315" s="4" t="s">
        <v>4798</v>
      </c>
      <c r="AJ2315" s="4">
        <v>1</v>
      </c>
      <c r="AN2315" s="4" t="s">
        <v>4362</v>
      </c>
      <c r="AW2315" s="4" t="s">
        <v>4802</v>
      </c>
    </row>
    <row r="2316" spans="1:78" s="4" customFormat="1" ht="19.5" thickTop="1" thickBot="1" x14ac:dyDescent="0.35">
      <c r="A2316" s="475"/>
      <c r="B2316" s="1110" t="s">
        <v>4792</v>
      </c>
      <c r="C2316" s="1111"/>
      <c r="D2316" s="1111"/>
      <c r="E2316" s="1112"/>
      <c r="F2316" s="475"/>
      <c r="AD2316" s="697" t="str">
        <f>IF($BD$1770&gt;0,CONCATENATE(AG2316,AJ2316),AN2316)</f>
        <v>REQUIRES PASSKEY</v>
      </c>
      <c r="AG2316" s="4" t="s">
        <v>4798</v>
      </c>
      <c r="AJ2316" s="4">
        <v>2</v>
      </c>
      <c r="AN2316" s="4" t="s">
        <v>4362</v>
      </c>
      <c r="AW2316" s="4" t="s">
        <v>4803</v>
      </c>
    </row>
    <row r="2317" spans="1:78" s="4" customFormat="1" ht="10" customHeight="1" thickTop="1" x14ac:dyDescent="0.3">
      <c r="A2317" s="475"/>
      <c r="B2317" s="1154" t="s">
        <v>5362</v>
      </c>
      <c r="C2317" s="1154"/>
      <c r="D2317" s="1154"/>
      <c r="E2317" s="1155"/>
      <c r="F2317" s="475"/>
      <c r="AD2317" s="697" t="str">
        <f>IF($BD$1770&gt;0,CONCATENATE(AG2317,AJ2317),AN2317)</f>
        <v>REQUIRES PASSKEY</v>
      </c>
      <c r="AG2317" s="4" t="s">
        <v>4798</v>
      </c>
      <c r="AJ2317" s="4">
        <v>3</v>
      </c>
      <c r="AN2317" s="4" t="s">
        <v>4362</v>
      </c>
      <c r="AW2317" s="4" t="s">
        <v>4811</v>
      </c>
      <c r="BA2317" s="4" t="s">
        <v>4804</v>
      </c>
    </row>
    <row r="2318" spans="1:78" s="4" customFormat="1" ht="17" customHeight="1" thickBot="1" x14ac:dyDescent="0.35">
      <c r="A2318" s="475"/>
      <c r="B2318" s="694" t="s">
        <v>4794</v>
      </c>
      <c r="C2318" s="937"/>
      <c r="D2318" s="937"/>
      <c r="E2318" s="938"/>
      <c r="F2318" s="475"/>
      <c r="AD2318" s="697" t="str">
        <f>IF($BD$1770&gt;0,CONCATENATE(AG2318,AJ2318),AN2318)</f>
        <v>REQUIRES PASSKEY</v>
      </c>
      <c r="AG2318" s="4" t="s">
        <v>4798</v>
      </c>
      <c r="AJ2318" s="4">
        <v>4</v>
      </c>
      <c r="AN2318" s="4" t="s">
        <v>4362</v>
      </c>
      <c r="AW2318" s="4" t="s">
        <v>4805</v>
      </c>
    </row>
    <row r="2319" spans="1:78" s="4" customFormat="1" ht="17" customHeight="1" thickTop="1" thickBot="1" x14ac:dyDescent="0.35">
      <c r="A2319" s="475"/>
      <c r="B2319" s="694" t="s">
        <v>4846</v>
      </c>
      <c r="C2319" s="719"/>
      <c r="D2319" s="720">
        <f ca="1">TODAY()</f>
        <v>45774</v>
      </c>
      <c r="E2319" s="722"/>
      <c r="F2319" s="475"/>
      <c r="AD2319" s="697"/>
    </row>
    <row r="2320" spans="1:78" s="4" customFormat="1" ht="14.5" thickTop="1" x14ac:dyDescent="0.3">
      <c r="A2320" s="475"/>
      <c r="B2320" s="933" t="str">
        <f>AD2321</f>
        <v xml:space="preserve">This is an attempt to illuminate hidden costs of a power imbalance. You are under no legal obligation to remit this invoice, and we are under no moral obligation to grant legitimacy if you refuse to engage us to address these structurally exacted costs. </v>
      </c>
      <c r="C2320" s="934"/>
      <c r="D2320" s="934"/>
      <c r="E2320" s="935"/>
      <c r="F2320" s="475"/>
      <c r="AG2320" s="4">
        <f>E2315</f>
        <v>20</v>
      </c>
      <c r="AH2320" s="4" t="s">
        <v>5310</v>
      </c>
    </row>
    <row r="2321" spans="1:64" s="4" customFormat="1" ht="14.4" customHeight="1" x14ac:dyDescent="0.3">
      <c r="A2321" s="475"/>
      <c r="B2321" s="933"/>
      <c r="C2321" s="933"/>
      <c r="D2321" s="933"/>
      <c r="E2321" s="936"/>
      <c r="F2321" s="475"/>
      <c r="AD2321" s="475" t="str">
        <f>CONCATENATE(AF2321,AG2321,AH2321,AI2321,AJ2321,AK2321,AL2321)</f>
        <v xml:space="preserve">This is an attempt to illuminate hidden costs of a power imbalance. You are under no legal obligation to remit this invoice, and we are under no moral obligation to grant legitimacy if you refuse to engage us to address these structurally exacted costs. </v>
      </c>
      <c r="AF2321" s="475" t="s">
        <v>4795</v>
      </c>
      <c r="AG2321" s="4" t="str">
        <f>IF(AX1845&gt;AG2320,CONCATENATE("This invoice is backed by ",AX1845," supporters. "),"")</f>
        <v/>
      </c>
    </row>
    <row r="2322" spans="1:64" s="4" customFormat="1" x14ac:dyDescent="0.3">
      <c r="A2322" s="475"/>
      <c r="B2322" s="933"/>
      <c r="C2322" s="933"/>
      <c r="D2322" s="933"/>
      <c r="E2322" s="936"/>
      <c r="F2322" s="475"/>
      <c r="AD2322" s="475" t="s">
        <v>4409</v>
      </c>
    </row>
    <row r="2323" spans="1:64" s="4" customFormat="1" ht="15" x14ac:dyDescent="0.3">
      <c r="A2323" s="475"/>
      <c r="B2323" s="723" t="s">
        <v>3635</v>
      </c>
      <c r="C2323" s="475"/>
      <c r="D2323" s="838" t="s">
        <v>3636</v>
      </c>
      <c r="E2323" s="724"/>
      <c r="F2323" s="475"/>
      <c r="BB2323" s="475" t="s">
        <v>4814</v>
      </c>
      <c r="BE2323" s="475" t="s">
        <v>4410</v>
      </c>
      <c r="BJ2323" s="475" t="s">
        <v>3909</v>
      </c>
      <c r="BK2323" s="475"/>
    </row>
    <row r="2324" spans="1:64" s="4" customFormat="1" ht="13.75" customHeight="1" x14ac:dyDescent="0.3">
      <c r="A2324" s="475"/>
      <c r="B2324" s="933" t="str">
        <f>AD2324</f>
        <v>This is primarily a communication tool, to document and engage power-impacted needs. What gets measured gets done. This is to show the transactional costs of the wrongful conviction.</v>
      </c>
      <c r="C2324" s="933"/>
      <c r="D2324" s="933"/>
      <c r="E2324" s="724"/>
      <c r="F2324" s="475"/>
      <c r="AD2324" s="475" t="s">
        <v>4815</v>
      </c>
    </row>
    <row r="2325" spans="1:64" s="4" customFormat="1" x14ac:dyDescent="0.3">
      <c r="A2325" s="475"/>
      <c r="B2325" s="933"/>
      <c r="C2325" s="933"/>
      <c r="D2325" s="933"/>
      <c r="E2325" s="724"/>
      <c r="F2325" s="475"/>
    </row>
    <row r="2326" spans="1:64" s="4" customFormat="1" ht="20" customHeight="1" x14ac:dyDescent="0.3">
      <c r="A2326" s="475"/>
      <c r="B2326" s="483" t="s">
        <v>4810</v>
      </c>
      <c r="C2326" s="483" t="s">
        <v>4809</v>
      </c>
      <c r="D2326" s="483" t="s">
        <v>4808</v>
      </c>
      <c r="E2326" s="724"/>
      <c r="F2326" s="475"/>
      <c r="AD2326" s="4" t="s">
        <v>4797</v>
      </c>
    </row>
    <row r="2327" spans="1:64" s="4" customFormat="1" x14ac:dyDescent="0.3">
      <c r="A2327" s="475"/>
      <c r="B2327" s="713"/>
      <c r="C2327" s="715" t="str">
        <f>AE2327</f>
        <v>Prior investments in Claimant's innocence</v>
      </c>
      <c r="D2327" s="716"/>
      <c r="E2327" s="724"/>
      <c r="F2327" s="475"/>
      <c r="AD2327" s="707">
        <f>B2327</f>
        <v>0</v>
      </c>
      <c r="AE2327" s="696" t="str">
        <f>IF(D$2314=AD$2315,AG2327,IF(D$2314=AD$2316,AO2327,IF(D$2314=AD$2317,AX2327,IF(D$2314=AD$2318,BE2327,AD$2326))))</f>
        <v>Prior investments in Claimant's innocence</v>
      </c>
      <c r="AF2327" s="709"/>
      <c r="AG2327" s="695" t="str">
        <f>CONCATENATE(AI2327,AJ2327,AK2327,AL2327,AM2327)</f>
        <v>Prior investments in Claimant's innocence</v>
      </c>
      <c r="AI2327" s="4" t="s">
        <v>4796</v>
      </c>
      <c r="AJ2327" s="4" t="str">
        <f>AN202</f>
        <v>Claimant</v>
      </c>
      <c r="AK2327" s="503" t="s">
        <v>4367</v>
      </c>
      <c r="AN2327" s="709"/>
      <c r="AO2327" s="695" t="str">
        <f>CONCATENATE(AQ2327,AR2327,AS2327,AT2327,AU2327)</f>
        <v>Prior investments in Claimant's innocence</v>
      </c>
      <c r="AQ2327" s="702" t="str">
        <f>AG2327</f>
        <v>Prior investments in Claimant's innocence</v>
      </c>
      <c r="AW2327" s="709"/>
      <c r="AX2327" s="695" t="str">
        <f>CONCATENATE(AZ2327,BA2327,BB2327,BC2327)</f>
        <v>Prior investments in Claimant's innocence</v>
      </c>
      <c r="AZ2327" s="702" t="str">
        <f>AQ2327</f>
        <v>Prior investments in Claimant's innocence</v>
      </c>
      <c r="BD2327" s="709"/>
      <c r="BE2327" s="695" t="str">
        <f>CONCATENATE(BG2327,BH2327,BI2327,BJ2327)</f>
        <v>NOT YET AVAILABLE</v>
      </c>
      <c r="BG2327" s="702" t="s">
        <v>4074</v>
      </c>
      <c r="BL2327" s="4">
        <f>IF(AND(B2327&gt;0,D2327=""),1,0)</f>
        <v>0</v>
      </c>
    </row>
    <row r="2328" spans="1:64" s="4" customFormat="1" x14ac:dyDescent="0.3">
      <c r="A2328" s="475"/>
      <c r="B2328" s="714" t="str">
        <f>AD2328</f>
        <v>Police Misconduct</v>
      </c>
      <c r="C2328" s="715" t="str">
        <f>AE2328</f>
        <v>Current investment in Claimant's innocence</v>
      </c>
      <c r="D2328" s="716"/>
      <c r="E2328" s="724"/>
      <c r="F2328" s="475"/>
      <c r="AD2328" s="708" t="str">
        <f>IF(D$2314=AD$2315,AF2328,IF(D$2314=AD$2316,AN2328,IF(D$2314=AD$2317,AW2328,IF(D$2314=AD$2318,BD2328,0))))</f>
        <v>Police Misconduct</v>
      </c>
      <c r="AE2328" s="696" t="str">
        <f>IF(D$2314=AD$2315,AG2328,IF(D$2314=AD$2316,AO2328,IF(D$2314=AD$2317,AX2328,IF(D$2314=AD$2318,BE2328,AD$2326))))</f>
        <v>Current investment in Claimant's innocence</v>
      </c>
      <c r="AF2328" s="744" t="str">
        <f>C2458</f>
        <v>Police Misconduct</v>
      </c>
      <c r="AG2328" s="695" t="str">
        <f>CONCATENATE(AI2328,AJ2328,AK2328,AL2328,AM2328)</f>
        <v>Current investment in Claimant's innocence</v>
      </c>
      <c r="AI2328" s="4" t="s">
        <v>4806</v>
      </c>
      <c r="AJ2328" s="4" t="str">
        <f>AJ2327</f>
        <v>Claimant</v>
      </c>
      <c r="AK2328" s="503" t="s">
        <v>4367</v>
      </c>
      <c r="AN2328" s="708" t="str">
        <f>AF2328</f>
        <v>Police Misconduct</v>
      </c>
      <c r="AO2328" s="695" t="str">
        <f>CONCATENATE(AQ2328,AR2328,AS2328,AT2328,AU2328)</f>
        <v>Current investment in Claimant's innocence</v>
      </c>
      <c r="AQ2328" s="702" t="str">
        <f>AG2328</f>
        <v>Current investment in Claimant's innocence</v>
      </c>
      <c r="AW2328" s="708" t="str">
        <f>AN2328</f>
        <v>Police Misconduct</v>
      </c>
      <c r="AX2328" s="695" t="str">
        <f>CONCATENATE(AZ2328,BA2328,BB2328,BC2328)</f>
        <v>Current investment in Claimant's innocence</v>
      </c>
      <c r="AZ2328" s="702" t="str">
        <f>AQ2328</f>
        <v>Current investment in Claimant's innocence</v>
      </c>
      <c r="BD2328" s="708"/>
      <c r="BE2328" s="695" t="str">
        <f>CONCATENATE(BG2328,BH2328,BI2328,BJ2328)</f>
        <v>STILL WORKING ON IT</v>
      </c>
      <c r="BG2328" s="702" t="s">
        <v>4077</v>
      </c>
      <c r="BL2328" s="4">
        <f>IF(AND(B2328&gt;0,D2328=""),1,0)</f>
        <v>1</v>
      </c>
    </row>
    <row r="2329" spans="1:64" s="4" customFormat="1" x14ac:dyDescent="0.3">
      <c r="A2329" s="475"/>
      <c r="B2329" s="714">
        <f ca="1">AD2329</f>
        <v>8125000</v>
      </c>
      <c r="C2329" s="715" t="str">
        <f>AE2329</f>
        <v>Compensation standard for exonerees</v>
      </c>
      <c r="D2329" s="716"/>
      <c r="E2329" s="724"/>
      <c r="F2329" s="475"/>
      <c r="AD2329" s="708">
        <f ca="1">IF(D$2314=AD$2315,AF2329,IF(D$2314=AD$2316,AN2329,IF(D$2314=AD$2317,AW2329,IF(D$2314=AD$2318,BD2329,0))))</f>
        <v>8125000</v>
      </c>
      <c r="AE2329" s="696" t="str">
        <f>IF(D$2314=AD$2315,AG2329,IF(D$2314=AD$2316,AO2329,IF(D$2314=AD$2317,AX2329,IF(D$2314=AD$2318,BE2329,AD$2326))))</f>
        <v>Compensation standard for exonerees</v>
      </c>
      <c r="AF2329" s="708">
        <f ca="1">AE321*65000</f>
        <v>8125000</v>
      </c>
      <c r="AG2329" s="695" t="str">
        <f>CONCATENATE(AI2329,AJ2329,AK2329,AL2329,AM2329)</f>
        <v>Compensation standard for exonerees</v>
      </c>
      <c r="AI2329" s="4" t="s">
        <v>4812</v>
      </c>
      <c r="AK2329" s="503"/>
      <c r="AN2329" s="708">
        <f ca="1">AI$321*10</f>
        <v>457740</v>
      </c>
      <c r="AO2329" s="695" t="str">
        <f>CONCATENATE(AQ2329,AR2329,AS2329,AT2329,AU2329)</f>
        <v>Emotional labor: chronic anxiety</v>
      </c>
      <c r="AQ2329" s="702" t="s">
        <v>4817</v>
      </c>
      <c r="AW2329" s="708"/>
      <c r="AX2329" s="695" t="str">
        <f>CONCATENATE(AZ2329,BA2329,BB2329,BC2329)</f>
        <v>Emotional damage: trauma</v>
      </c>
      <c r="AZ2329" s="702" t="s">
        <v>4819</v>
      </c>
      <c r="BD2329" s="708"/>
      <c r="BE2329" s="695" t="str">
        <f>CONCATENATE(BG2329,BH2329,BI2329,BJ2329)</f>
        <v>ALMOST FINISHED</v>
      </c>
      <c r="BG2329" s="702" t="s">
        <v>4807</v>
      </c>
      <c r="BL2329" s="4">
        <f ca="1">IF(AND(B2329&gt;0,D2329=""),1,0)</f>
        <v>1</v>
      </c>
    </row>
    <row r="2330" spans="1:64" s="4" customFormat="1" x14ac:dyDescent="0.3">
      <c r="A2330" s="475"/>
      <c r="B2330" s="714">
        <f ca="1">AD2330</f>
        <v>3611125</v>
      </c>
      <c r="C2330" s="715" t="str">
        <f>AE2330</f>
        <v>Lost income from wrongful conviction</v>
      </c>
      <c r="D2330" s="716"/>
      <c r="E2330" s="724"/>
      <c r="F2330" s="475"/>
      <c r="AD2330" s="708">
        <f ca="1">IF(D$2314=AD$2315,AF2330,IF(D$2314=AD$2316,AN2330,IF(D$2314=AD$2317,AW2330,IF(D$2314=AD$2318,BD2330,0))))</f>
        <v>3611125</v>
      </c>
      <c r="AE2330" s="696" t="str">
        <f>IF(D$2314=AD$2315,AG2330,IF(D$2314=AD$2316,AO2330,IF(D$2314=AD$2317,AX2330,IF(D$2314=AD$2318,BE2330,AD$2326))))</f>
        <v>Lost income from wrongful conviction</v>
      </c>
      <c r="AF2330" s="710">
        <f ca="1">BS1166</f>
        <v>3611125</v>
      </c>
      <c r="AG2330" s="695" t="str">
        <f>CONCATENATE(AI2330,AJ2330,AK2330,AL2330,AM2330)</f>
        <v>Lost income from wrongful conviction</v>
      </c>
      <c r="AI2330" s="4" t="s">
        <v>4813</v>
      </c>
      <c r="AK2330" s="503"/>
      <c r="AN2330" s="708">
        <f ca="1">AI$321*20</f>
        <v>915480</v>
      </c>
      <c r="AO2330" s="695" t="str">
        <f>CONCATENATE(AQ2330,AR2330,AS2330,AT2330,AU2330)</f>
        <v>Emotional labor: chronic depression</v>
      </c>
      <c r="AQ2330" s="702" t="s">
        <v>4818</v>
      </c>
      <c r="AW2330" s="708"/>
      <c r="AX2330" s="695" t="str">
        <f>CONCATENATE(AZ2330,BA2330,BB2330,BC2330)</f>
        <v>Emotional damage: focus</v>
      </c>
      <c r="AZ2330" s="702" t="s">
        <v>4820</v>
      </c>
      <c r="BD2330" s="708"/>
      <c r="BE2330" s="695" t="str">
        <f>CONCATENATE(BG2330,BH2330,BI2330,BJ2330)</f>
        <v>ALMOST FINISHED</v>
      </c>
      <c r="BG2330" s="702" t="s">
        <v>4807</v>
      </c>
      <c r="BL2330" s="4">
        <f ca="1">IF(AND(B2330&gt;0,D2330=""),1,0)</f>
        <v>1</v>
      </c>
    </row>
    <row r="2331" spans="1:64" s="4" customFormat="1" x14ac:dyDescent="0.3">
      <c r="A2331" s="475"/>
      <c r="B2331" s="699">
        <f ca="1">BI2336</f>
        <v>11736125</v>
      </c>
      <c r="C2331" s="700" t="s">
        <v>4800</v>
      </c>
      <c r="D2331" s="701"/>
      <c r="E2331" s="724"/>
      <c r="F2331" s="475"/>
      <c r="AD2331" s="708"/>
      <c r="AE2331" s="696" t="str">
        <f>IF(D$2314=AD$2315,AG2331,IF(D$2314=AD$2316,AO2331,IF(D$2314=AD$2317,AX2331,IF(D$2314=AD$2318,BE2331,AD$2326))))</f>
        <v/>
      </c>
      <c r="AF2331" s="708"/>
      <c r="AG2331" s="695" t="str">
        <f>CONCATENATE(AI2331,AJ2331,AK2331,AL2331,AM2331,MN2331)</f>
        <v/>
      </c>
      <c r="AK2331" s="503"/>
      <c r="AN2331" s="708"/>
      <c r="AO2331" s="695" t="str">
        <f>CONCATENATE(AQ2331,AR2331,AS2331,AT2331,AU2331,MV2331)</f>
        <v/>
      </c>
      <c r="AW2331" s="708"/>
      <c r="AX2331" s="695" t="str">
        <f>CONCATENATE(AZ2331,BA2331,BB2331,BC2331,BB2331)</f>
        <v/>
      </c>
      <c r="BD2331" s="708"/>
      <c r="BE2331" s="695" t="str">
        <f>CONCATENATE(BG2331,BH2331,BI2331,BJ2331,BI2331)</f>
        <v/>
      </c>
      <c r="BL2331" s="4">
        <f ca="1">SUM(BL2327:BL2330)</f>
        <v>3</v>
      </c>
    </row>
    <row r="2332" spans="1:64" s="4" customFormat="1" x14ac:dyDescent="0.3">
      <c r="A2332" s="475"/>
      <c r="B2332" s="714">
        <f>AE2344</f>
        <v>0</v>
      </c>
      <c r="C2332" s="939" t="str">
        <f>IF(AN2344&gt;0,AD2336,"")</f>
        <v/>
      </c>
      <c r="D2332" s="940"/>
      <c r="E2332" s="724"/>
      <c r="F2332" s="475"/>
      <c r="AP2332" s="4">
        <f>IF(OR(D2327="",D2328="",D2329="",D2330=""),1,0)</f>
        <v>1</v>
      </c>
      <c r="BH2332" s="711">
        <f>B2327</f>
        <v>0</v>
      </c>
      <c r="BI2332" s="709">
        <f>IF($D2327=$AW$2316,0,$B2327)</f>
        <v>0</v>
      </c>
    </row>
    <row r="2333" spans="1:64" s="4" customFormat="1" x14ac:dyDescent="0.3">
      <c r="A2333" s="475"/>
      <c r="B2333" s="704">
        <f>BI2338</f>
        <v>0</v>
      </c>
      <c r="C2333" s="475" t="str">
        <f>AD2334</f>
        <v>Total will appear after each remittance option above is selected</v>
      </c>
      <c r="D2333" s="791"/>
      <c r="E2333" s="724"/>
      <c r="F2333" s="475"/>
      <c r="AZ2333" s="743"/>
      <c r="BH2333" s="711" t="str">
        <f>B2328</f>
        <v>Police Misconduct</v>
      </c>
      <c r="BI2333" s="709" t="str">
        <f>IF($D2328=$AW$2316,0,$B2328)</f>
        <v>Police Misconduct</v>
      </c>
    </row>
    <row r="2334" spans="1:64" s="4" customFormat="1" ht="13.75" customHeight="1" thickBot="1" x14ac:dyDescent="0.35">
      <c r="A2334" s="721"/>
      <c r="B2334" s="792"/>
      <c r="C2334" s="792"/>
      <c r="D2334" s="793" t="str">
        <f>IF(B2333=0,"","How much is actual justice worth to you?")</f>
        <v/>
      </c>
      <c r="E2334" s="794"/>
      <c r="F2334" s="475"/>
      <c r="AD2334" s="703" t="str">
        <f>IF(AP2332&gt;0,AG2334,AF2334)</f>
        <v>Total will appear after each remittance option above is selected</v>
      </c>
      <c r="AF2334" s="4" t="s">
        <v>4801</v>
      </c>
      <c r="AG2334" s="4" t="s">
        <v>4835</v>
      </c>
      <c r="BH2334" s="711">
        <f ca="1">B2329</f>
        <v>8125000</v>
      </c>
      <c r="BI2334" s="709">
        <f ca="1">IF($D2329=$AW$2316,0,$B2329)</f>
        <v>8125000</v>
      </c>
    </row>
    <row r="2335" spans="1:64" s="4" customFormat="1" x14ac:dyDescent="0.3">
      <c r="A2335" s="475"/>
      <c r="B2335" s="475"/>
      <c r="C2335" s="475"/>
      <c r="D2335" s="475"/>
      <c r="E2335" s="475"/>
      <c r="F2335" s="475"/>
      <c r="BH2335" s="711">
        <f ca="1">B2330</f>
        <v>3611125</v>
      </c>
      <c r="BI2335" s="709">
        <f ca="1">IF($D2330=$AW$2316,0,$B2330)</f>
        <v>3611125</v>
      </c>
    </row>
    <row r="2336" spans="1:64" s="4" customFormat="1" ht="16.5" thickBot="1" x14ac:dyDescent="0.35">
      <c r="A2336" s="475"/>
      <c r="B2336" s="678" t="s">
        <v>4529</v>
      </c>
      <c r="C2336" s="949"/>
      <c r="D2336" s="950"/>
      <c r="E2336" s="475"/>
      <c r="F2336" s="475"/>
      <c r="AD2336" s="4" t="str">
        <f>IF(C2336=AD2345,AD2337,IF(C2336=AD2346,AD2338,IF(C2336=AD2347,AD2339,IF(C2336=AD2348,AD2340,IF(C2336=AD2349,AD2341,IF(C2336=AD2350,AD2342,"SURCHARGE or DISCOUNT"))))))</f>
        <v>SURCHARGE or DISCOUNT</v>
      </c>
      <c r="BH2336" s="796" t="s">
        <v>4800</v>
      </c>
      <c r="BI2336" s="712">
        <f ca="1">SUM(BI2332:BI2335)</f>
        <v>11736125</v>
      </c>
      <c r="BL2336" s="797" t="s">
        <v>3489</v>
      </c>
    </row>
    <row r="2337" spans="1:64" s="4" customFormat="1" ht="14.5" thickBot="1" x14ac:dyDescent="0.35">
      <c r="A2337" s="475"/>
      <c r="B2337" s="677"/>
      <c r="C2337" s="664" t="str">
        <f>IF($AD$2344&gt;0,AF2345,AF2346)</f>
        <v>Is there already a power relation between the AI &amp; RI?</v>
      </c>
      <c r="D2337" s="475"/>
      <c r="E2337" s="475"/>
      <c r="F2337" s="475"/>
      <c r="AD2337" s="698" t="str">
        <f>CONCATENATE(AE2337,AF2337)</f>
        <v>50% DISCOUNT: for welcoming this mutual awareness of affected needs</v>
      </c>
      <c r="AE2337" s="4" t="s">
        <v>4824</v>
      </c>
      <c r="AF2337" s="4" t="s">
        <v>4829</v>
      </c>
      <c r="AP2337" s="4" t="s">
        <v>4853</v>
      </c>
      <c r="BH2337" s="4" t="s">
        <v>4816</v>
      </c>
      <c r="BI2337" s="711">
        <f>AE2344</f>
        <v>0</v>
      </c>
      <c r="BL2337" s="797"/>
    </row>
    <row r="2338" spans="1:64" s="4" customFormat="1" ht="14.5" thickBot="1" x14ac:dyDescent="0.35">
      <c r="A2338" s="475"/>
      <c r="B2338" s="677"/>
      <c r="C2338" s="664" t="str">
        <f>IF($AD$2344&gt;0,AF2347,AF2348)</f>
        <v>Does the receiving AI hold power over sending RI?</v>
      </c>
      <c r="D2338" s="475"/>
      <c r="E2338" s="475"/>
      <c r="F2338" s="475"/>
      <c r="AD2338" s="698" t="str">
        <f>CONCATENATE(AE2338,AF2338)</f>
        <v>25% DISCOUNT: for engaging impacted needs without bringing up extortion</v>
      </c>
      <c r="AE2338" s="4" t="s">
        <v>4823</v>
      </c>
      <c r="AF2338" s="4" t="s">
        <v>4830</v>
      </c>
      <c r="AP2338" s="4" t="str">
        <f>IF(B2342=AP2339,AU2339,IF(B2342=AP2340,AU2340,IF(B2342=AP2341,AU2341,IF(B2342=AP2342,AU2342,IF(B2342=AP2343,AU2343,AP2337)))))</f>
        <v>WHAT IS THE RECIPIENT'S RESPONSE?</v>
      </c>
      <c r="BH2338" s="795" t="s">
        <v>4801</v>
      </c>
      <c r="BI2338" s="712">
        <f>IF(AP2332=0,BI2336+BI2337,0)</f>
        <v>0</v>
      </c>
      <c r="BL2338" s="797" t="s">
        <v>5136</v>
      </c>
    </row>
    <row r="2339" spans="1:64" s="4" customFormat="1" ht="14.5" thickBot="1" x14ac:dyDescent="0.35">
      <c r="A2339" s="475"/>
      <c r="B2339" s="677"/>
      <c r="C2339" s="664" t="str">
        <f>IF($AD$2344&gt;0,AF2349,AF2350)</f>
        <v>Does the RI already experience come coersion from the AI?</v>
      </c>
      <c r="D2339" s="475"/>
      <c r="E2339" s="475"/>
      <c r="F2339" s="475"/>
      <c r="AD2339" s="698" t="str">
        <f>CONCATENATE(AE2339,AF2339,AG2339)</f>
        <v>5% SURCHARGE: for asking if this could be extortion</v>
      </c>
      <c r="AE2339" s="4" t="s">
        <v>4825</v>
      </c>
      <c r="AF2339" s="4" t="s">
        <v>4832</v>
      </c>
      <c r="AG2339" s="4" t="str">
        <f>IF($AN$2344&gt;0,", contrary to facts","")</f>
        <v/>
      </c>
      <c r="AP2339" s="475" t="s">
        <v>4852</v>
      </c>
      <c r="AU2339" s="4" t="s">
        <v>4857</v>
      </c>
      <c r="BL2339" s="797"/>
    </row>
    <row r="2340" spans="1:64" s="4" customFormat="1" ht="14.5" thickBot="1" x14ac:dyDescent="0.35">
      <c r="A2340" s="475"/>
      <c r="B2340" s="677"/>
      <c r="C2340" s="664" t="str">
        <f>IF($AD$2344&gt;0,AF2351,AF2352)</f>
        <v>Does the RI seek to address all needs mutually?</v>
      </c>
      <c r="D2340" s="475"/>
      <c r="E2340" s="475"/>
      <c r="F2340" s="475"/>
      <c r="AD2340" s="698" t="str">
        <f>CONCATENATE(AE2340,AF2340,AG2340)</f>
        <v>10% SURCHARGE: for implying this could be extortion</v>
      </c>
      <c r="AE2340" s="4" t="s">
        <v>4826</v>
      </c>
      <c r="AF2340" s="4" t="s">
        <v>4833</v>
      </c>
      <c r="AG2340" s="4" t="str">
        <f>IF($AN$2344&gt;0,", contrary to facts","")</f>
        <v/>
      </c>
      <c r="AP2340" s="475" t="s">
        <v>4851</v>
      </c>
      <c r="AU2340" s="4" t="s">
        <v>4856</v>
      </c>
      <c r="BL2340" s="797" t="s">
        <v>5137</v>
      </c>
    </row>
    <row r="2341" spans="1:64" s="4" customFormat="1" ht="13.75" customHeight="1" x14ac:dyDescent="0.3">
      <c r="A2341" s="475"/>
      <c r="B2341" s="475"/>
      <c r="C2341" s="475"/>
      <c r="D2341" s="475"/>
      <c r="E2341" s="475"/>
      <c r="F2341" s="475"/>
      <c r="AD2341" s="698" t="str">
        <f>CONCATENATE(AE2341,AF2341,AG2341)</f>
        <v>25% SURCHARGE: for alleging extortion</v>
      </c>
      <c r="AE2341" s="4" t="s">
        <v>4828</v>
      </c>
      <c r="AF2341" s="4" t="s">
        <v>4834</v>
      </c>
      <c r="AG2341" s="4" t="str">
        <f>IF($AN$2344&gt;0,", contrary to the facts","")</f>
        <v/>
      </c>
      <c r="AP2341" s="475" t="s">
        <v>4848</v>
      </c>
      <c r="AU2341" s="4" t="s">
        <v>4858</v>
      </c>
      <c r="BL2341" s="797"/>
    </row>
    <row r="2342" spans="1:64" s="4" customFormat="1" ht="15" customHeight="1" x14ac:dyDescent="0.3">
      <c r="A2342" s="475"/>
      <c r="B2342" s="732"/>
      <c r="C2342" s="733" t="str">
        <f>AP2338</f>
        <v>WHAT IS THE RECIPIENT'S RESPONSE?</v>
      </c>
      <c r="D2342" s="505"/>
      <c r="E2342" s="505"/>
      <c r="F2342" s="475"/>
      <c r="AD2342" s="698" t="str">
        <f>CONCATENATE(AE2342,AF2342,AG2342)</f>
        <v>50% SURCHARGE: for accusing RI of extortion contrary to the facts</v>
      </c>
      <c r="AE2342" s="4" t="s">
        <v>4827</v>
      </c>
      <c r="AF2342" s="4" t="s">
        <v>4831</v>
      </c>
      <c r="AG2342" s="4" t="str">
        <f>IF($AN$2344&gt;0," contrary to the facts","")</f>
        <v/>
      </c>
      <c r="AP2342" s="475" t="s">
        <v>4850</v>
      </c>
      <c r="AU2342" s="4" t="s">
        <v>4855</v>
      </c>
      <c r="BL2342" s="797" t="s">
        <v>5138</v>
      </c>
    </row>
    <row r="2343" spans="1:64" s="4" customFormat="1" ht="10" customHeight="1" x14ac:dyDescent="0.3">
      <c r="A2343" s="475"/>
      <c r="B2343" s="475"/>
      <c r="C2343" s="505"/>
      <c r="D2343" s="505"/>
      <c r="E2343" s="505"/>
      <c r="F2343" s="475"/>
      <c r="AD2343" s="4" t="s">
        <v>4525</v>
      </c>
      <c r="AP2343" s="475" t="s">
        <v>4849</v>
      </c>
      <c r="AU2343" s="4" t="s">
        <v>4854</v>
      </c>
      <c r="BL2343" s="645"/>
    </row>
    <row r="2344" spans="1:64" s="4" customFormat="1" ht="20" customHeight="1" x14ac:dyDescent="0.3">
      <c r="A2344" s="735"/>
      <c r="B2344" s="736" t="str">
        <f>AP2344</f>
        <v>'Competitive legitimacy' is a need-response remedy to 'structural exaction'</v>
      </c>
      <c r="C2344" s="735"/>
      <c r="D2344" s="735"/>
      <c r="E2344" s="737"/>
      <c r="F2344" s="475"/>
      <c r="AD2344" s="789">
        <f>IF(C2336=AD2345,AE2345,IF(C2336=AD2346,AE2346,IF(C2336=AD2347,AE2347,IF(C2336=AD2348,AE2348,IF(C2336=AD2349,AE2349,IF(C2336=AD2350,AE2350,1))))))</f>
        <v>1</v>
      </c>
      <c r="AE2344" s="788">
        <f>IF(C2336=AD2345,AE2345*B2331,IF(C2336=AD2346,AE2346*B2331,IF(C2336=AD2347,AE2347*B2331,IF(C2336=AD2348,AE2348*B2331,IF(C2336=AD2349,AE2349*B2331,IF(C2336=AD2350,AE2350*B2331,0))))))</f>
        <v>0</v>
      </c>
      <c r="AF2344" s="602"/>
      <c r="AN2344" s="4">
        <f>AN2345+AN2347+AN2349+AN2351</f>
        <v>0</v>
      </c>
      <c r="AP2344" s="4" t="str">
        <f>IF($B$2342&lt;&gt;"",AR2344,AR2347)</f>
        <v>'Competitive legitimacy' is a need-response remedy to 'structural exaction'</v>
      </c>
      <c r="AR2344" s="503" t="s">
        <v>4861</v>
      </c>
      <c r="BL2344" s="645"/>
    </row>
    <row r="2345" spans="1:64" s="4" customFormat="1" ht="25" customHeight="1" x14ac:dyDescent="0.3">
      <c r="A2345" s="642"/>
      <c r="B2345" s="734" t="str">
        <f>AP2345</f>
        <v>Need-response applies the new social science of 'anankelogy', the disciplined study of need.</v>
      </c>
      <c r="C2345" s="642"/>
      <c r="D2345" s="642"/>
      <c r="E2345" s="727"/>
      <c r="F2345" s="475"/>
      <c r="AD2345" s="4" t="s">
        <v>4523</v>
      </c>
      <c r="AE2345" s="4">
        <v>-0.5</v>
      </c>
      <c r="AF2345" s="4" t="str">
        <f>CONCATENATE(AG2345,AH2345,AI2345,AJ2345,AK2345)</f>
        <v>Is there already a power relation between the AI &amp; RI?</v>
      </c>
      <c r="AG2345" s="4" t="s">
        <v>4847</v>
      </c>
      <c r="AH2345" s="4" t="s">
        <v>4836</v>
      </c>
      <c r="AI2345" s="4" t="s">
        <v>4839</v>
      </c>
      <c r="AJ2345" s="4" t="s">
        <v>4837</v>
      </c>
      <c r="AK2345" s="4" t="s">
        <v>4838</v>
      </c>
      <c r="AL2345" s="4" t="s">
        <v>166</v>
      </c>
      <c r="AM2345" s="4">
        <v>0.25</v>
      </c>
      <c r="AN2345" s="717">
        <f>IF(B2337=AL2345,AM2345,IF(B2337=AL2346,AM2346,0))</f>
        <v>0</v>
      </c>
      <c r="AP2345" s="4" t="str">
        <f>IF($B$2342&lt;&gt;"",AR2345,AR2349)</f>
        <v>Need-response applies the new social science of 'anankelogy', the disciplined study of need.</v>
      </c>
      <c r="AR2345" s="4" t="s">
        <v>4860</v>
      </c>
      <c r="BL2345" s="645"/>
    </row>
    <row r="2346" spans="1:64" s="4" customFormat="1" ht="17" customHeight="1" x14ac:dyDescent="0.3">
      <c r="A2346" s="642"/>
      <c r="B2346" s="725" t="s">
        <v>4413</v>
      </c>
      <c r="C2346" s="808"/>
      <c r="D2346" s="726" t="s">
        <v>4821</v>
      </c>
      <c r="E2346" s="727"/>
      <c r="F2346" s="475"/>
      <c r="AD2346" s="4" t="s">
        <v>4524</v>
      </c>
      <c r="AE2346" s="4">
        <v>-0.25</v>
      </c>
      <c r="AF2346" s="231" t="s">
        <v>4845</v>
      </c>
      <c r="AL2346" s="4" t="s">
        <v>168</v>
      </c>
      <c r="AM2346" s="4">
        <v>0</v>
      </c>
      <c r="AN2346" s="717"/>
      <c r="BL2346" s="798" t="s">
        <v>3484</v>
      </c>
    </row>
    <row r="2347" spans="1:64" s="4" customFormat="1" ht="13.75" customHeight="1" x14ac:dyDescent="0.3">
      <c r="A2347" s="642"/>
      <c r="B2347" s="931" t="str">
        <f>BH2810</f>
        <v>SELECT A DEFUNCTION FROM THIS DROPDOWN LIST</v>
      </c>
      <c r="C2347" s="931"/>
      <c r="D2347" s="931"/>
      <c r="E2347" s="932"/>
      <c r="F2347" s="475"/>
      <c r="AD2347" s="4" t="s">
        <v>4519</v>
      </c>
      <c r="AE2347" s="503">
        <f>IF($AN$2344&gt;0.2,0.05,0)</f>
        <v>0</v>
      </c>
      <c r="AF2347" s="4" t="str">
        <f>CONCATENATE(AG2347,AH2347,AI2347,AJ2347,AK2347)</f>
        <v>Does the receiving AI hold power over sending RI?</v>
      </c>
      <c r="AG2347" s="4" t="s">
        <v>4841</v>
      </c>
      <c r="AH2347" s="4" t="s">
        <v>4836</v>
      </c>
      <c r="AI2347" s="4" t="s">
        <v>4840</v>
      </c>
      <c r="AJ2347" s="4" t="s">
        <v>4837</v>
      </c>
      <c r="AK2347" s="4" t="s">
        <v>4838</v>
      </c>
      <c r="AL2347" s="4" t="s">
        <v>166</v>
      </c>
      <c r="AM2347" s="4">
        <v>0.25</v>
      </c>
      <c r="AN2347" s="717">
        <f>IF(B2338=AL2347,AM2347,IF(B2338=AL2348,AM2348,0))</f>
        <v>0</v>
      </c>
      <c r="AR2347" s="503" t="s">
        <v>4859</v>
      </c>
      <c r="BL2347" s="799" t="s">
        <v>3483</v>
      </c>
    </row>
    <row r="2348" spans="1:64" s="4" customFormat="1" x14ac:dyDescent="0.3">
      <c r="A2348" s="642"/>
      <c r="B2348" s="931"/>
      <c r="C2348" s="931"/>
      <c r="D2348" s="931"/>
      <c r="E2348" s="932"/>
      <c r="F2348" s="475"/>
      <c r="AD2348" s="4" t="s">
        <v>4520</v>
      </c>
      <c r="AE2348" s="503">
        <f>IF($AN$2344&gt;0.4,0.1,0)</f>
        <v>0</v>
      </c>
      <c r="AF2348" s="231" t="s">
        <v>4526</v>
      </c>
      <c r="AL2348" s="4" t="s">
        <v>168</v>
      </c>
      <c r="AM2348" s="4">
        <f>AM2346</f>
        <v>0</v>
      </c>
      <c r="AN2348" s="717"/>
      <c r="BL2348" s="799" t="s">
        <v>3482</v>
      </c>
    </row>
    <row r="2349" spans="1:64" s="4" customFormat="1" x14ac:dyDescent="0.3">
      <c r="A2349" s="642"/>
      <c r="B2349" s="931"/>
      <c r="C2349" s="931"/>
      <c r="D2349" s="931"/>
      <c r="E2349" s="932"/>
      <c r="F2349" s="475"/>
      <c r="AD2349" s="4" t="s">
        <v>4521</v>
      </c>
      <c r="AE2349" s="503">
        <f>IF($AN$2344&gt;0.6,0.25,0)</f>
        <v>0</v>
      </c>
      <c r="AF2349" s="4" t="str">
        <f>CONCATENATE(AG2349,AH2349,AI2349,AJ2349,AK2349)</f>
        <v>Does the RI already experience come coersion from the AI?</v>
      </c>
      <c r="AG2349" s="4" t="s">
        <v>4842</v>
      </c>
      <c r="AH2349" s="4" t="s">
        <v>4837</v>
      </c>
      <c r="AI2349" s="4" t="s">
        <v>4843</v>
      </c>
      <c r="AJ2349" s="4" t="s">
        <v>4836</v>
      </c>
      <c r="AK2349" s="4" t="s">
        <v>4838</v>
      </c>
      <c r="AL2349" s="4" t="s">
        <v>166</v>
      </c>
      <c r="AM2349" s="4">
        <v>0.25</v>
      </c>
      <c r="AN2349" s="717">
        <f>IF(B2339=AL2349,AM2349,IF(B2339=AL2350,AM2350,0))</f>
        <v>0</v>
      </c>
      <c r="AR2349" s="4" t="s">
        <v>4862</v>
      </c>
      <c r="BL2349" s="798" t="s">
        <v>3485</v>
      </c>
    </row>
    <row r="2350" spans="1:64" s="4" customFormat="1" x14ac:dyDescent="0.3">
      <c r="A2350" s="642"/>
      <c r="B2350" s="931"/>
      <c r="C2350" s="931"/>
      <c r="D2350" s="931"/>
      <c r="E2350" s="932"/>
      <c r="F2350" s="475"/>
      <c r="AD2350" s="4" t="s">
        <v>4522</v>
      </c>
      <c r="AE2350" s="503">
        <f>IF($AN$2344=1,0.5,0)</f>
        <v>0</v>
      </c>
      <c r="AF2350" s="231" t="s">
        <v>4527</v>
      </c>
      <c r="AL2350" s="4" t="s">
        <v>168</v>
      </c>
      <c r="AM2350" s="4">
        <f>AM2348</f>
        <v>0</v>
      </c>
      <c r="AN2350" s="717"/>
      <c r="BL2350" s="799" t="s">
        <v>3486</v>
      </c>
    </row>
    <row r="2351" spans="1:64" s="4" customFormat="1" ht="17" customHeight="1" x14ac:dyDescent="0.3">
      <c r="A2351" s="642"/>
      <c r="B2351" s="725" t="s">
        <v>4412</v>
      </c>
      <c r="C2351" s="808"/>
      <c r="D2351" s="726" t="s">
        <v>4822</v>
      </c>
      <c r="E2351" s="727"/>
      <c r="F2351" s="475"/>
      <c r="AD2351" s="676" t="s">
        <v>4525</v>
      </c>
      <c r="AF2351" s="4" t="str">
        <f>CONCATENATE(AG2351,AH2351,AI2351,AJ2351,AK2351)</f>
        <v>Does the RI seek to address all needs mutually?</v>
      </c>
      <c r="AG2351" s="4" t="s">
        <v>4842</v>
      </c>
      <c r="AH2351" s="4" t="s">
        <v>4837</v>
      </c>
      <c r="AI2351" s="4" t="s">
        <v>4844</v>
      </c>
      <c r="AL2351" s="4" t="s">
        <v>166</v>
      </c>
      <c r="AM2351" s="4">
        <v>0.25</v>
      </c>
      <c r="AN2351" s="717">
        <f>IF(B2340=AL2351,AM2351,IF(B2340=AL2352,AM2352,0))</f>
        <v>0</v>
      </c>
      <c r="BL2351" s="799" t="s">
        <v>3487</v>
      </c>
    </row>
    <row r="2352" spans="1:64" s="4" customFormat="1" ht="13.75" customHeight="1" x14ac:dyDescent="0.3">
      <c r="A2352" s="642"/>
      <c r="B2352" s="931" t="str">
        <f>BN2810</f>
        <v>SELECT A REFUNCTION FROM THIS DROPDOWN LIST</v>
      </c>
      <c r="C2352" s="931"/>
      <c r="D2352" s="931"/>
      <c r="E2352" s="932"/>
      <c r="F2352" s="475"/>
      <c r="AF2352" s="231" t="s">
        <v>4528</v>
      </c>
      <c r="AL2352" s="4" t="s">
        <v>168</v>
      </c>
      <c r="AM2352" s="4">
        <f>AM2350</f>
        <v>0</v>
      </c>
    </row>
    <row r="2353" spans="1:75" s="4" customFormat="1" x14ac:dyDescent="0.3">
      <c r="A2353" s="642"/>
      <c r="B2353" s="931"/>
      <c r="C2353" s="931"/>
      <c r="D2353" s="931"/>
      <c r="E2353" s="932"/>
      <c r="F2353" s="475"/>
      <c r="AD2353" s="52" t="str">
        <f>IF(AD2344&gt;0,CONCATENATE(AF2353,AG2353,AH2353),IF(AD2344&lt;=0,CONCATENATE(AI2353,AJ2353,AK2353),""))</f>
        <v xml:space="preserve">For attempting to create value under threat of liberty, this sending RI must  the subtotal. </v>
      </c>
      <c r="AF2353" s="4" t="s">
        <v>4531</v>
      </c>
      <c r="AG2353" s="679" t="str">
        <f>IF(AN2344=2,"double",IF(AND(AN2344&gt;0,AN2344&lt;2),"increase",""))</f>
        <v/>
      </c>
      <c r="AH2353" s="4" t="s">
        <v>4530</v>
      </c>
      <c r="AI2353" s="4" t="s">
        <v>4532</v>
      </c>
      <c r="AJ2353" s="679" t="str">
        <f>IF(AD2344=AE2345,"25%",IF(AD2344=AE2346,"10%",""))</f>
        <v/>
      </c>
      <c r="AK2353" s="4" t="s">
        <v>4533</v>
      </c>
    </row>
    <row r="2354" spans="1:75" s="4" customFormat="1" x14ac:dyDescent="0.3">
      <c r="A2354" s="642"/>
      <c r="B2354" s="931"/>
      <c r="C2354" s="931"/>
      <c r="D2354" s="931"/>
      <c r="E2354" s="932"/>
      <c r="F2354" s="475"/>
    </row>
    <row r="2355" spans="1:75" s="4" customFormat="1" x14ac:dyDescent="0.3">
      <c r="A2355" s="642"/>
      <c r="B2355" s="931"/>
      <c r="C2355" s="931"/>
      <c r="D2355" s="931"/>
      <c r="E2355" s="932"/>
      <c r="F2355" s="475"/>
    </row>
    <row r="2356" spans="1:75" s="4" customFormat="1" ht="10" customHeight="1" x14ac:dyDescent="0.3">
      <c r="A2356" s="728"/>
      <c r="B2356" s="728"/>
      <c r="C2356" s="728"/>
      <c r="D2356" s="728"/>
      <c r="E2356" s="729"/>
      <c r="F2356" s="475"/>
    </row>
    <row r="2357" spans="1:75" s="4" customFormat="1" ht="5" customHeight="1" x14ac:dyDescent="0.3">
      <c r="A2357" s="475"/>
      <c r="B2357" s="475"/>
      <c r="C2357" s="475"/>
      <c r="D2357" s="475"/>
      <c r="E2357" s="475"/>
      <c r="F2357" s="475"/>
      <c r="BB2357" s="388"/>
    </row>
    <row r="2358" spans="1:75" s="4" customFormat="1" ht="30" customHeight="1" x14ac:dyDescent="0.3">
      <c r="A2358" s="861" t="s">
        <v>3457</v>
      </c>
      <c r="B2358" s="862" t="s">
        <v>4555</v>
      </c>
      <c r="C2358" s="862"/>
      <c r="D2358" s="863" t="s">
        <v>5122</v>
      </c>
      <c r="E2358" s="864"/>
      <c r="F2358" s="864"/>
      <c r="AB2358" s="40" t="s">
        <v>3914</v>
      </c>
      <c r="AD2358" s="40" t="s">
        <v>3469</v>
      </c>
      <c r="BB2358" s="388"/>
    </row>
    <row r="2359" spans="1:75" s="4" customFormat="1" ht="14.5" thickBot="1" x14ac:dyDescent="0.35">
      <c r="A2359" s="475"/>
      <c r="B2359" s="475"/>
      <c r="C2359" s="475"/>
      <c r="D2359" s="475"/>
      <c r="E2359" s="475"/>
      <c r="F2359" s="475"/>
      <c r="BB2359" s="718" t="str">
        <f>IF(BO2392&lt;&gt;0,BE2359,BB2360)</f>
        <v xml:space="preserve">There is no greater authority under heaven than resolved needs. The authority of law and its enforcement solely exist to serve needs. Apart from needs to serve, there is no such thing as authority. Where needs automatically resolve, no authority is necessary. This report holds authorities accountable to the results of their actions upon such needs. </v>
      </c>
      <c r="BE2359" s="787" t="s">
        <v>5123</v>
      </c>
      <c r="BJ2359" s="246"/>
      <c r="BK2359" s="246"/>
      <c r="BL2359" s="246"/>
      <c r="BM2359" s="246"/>
      <c r="BN2359" s="246"/>
      <c r="BO2359" s="246"/>
      <c r="BP2359" s="246"/>
      <c r="BQ2359" s="246"/>
      <c r="BR2359" s="246"/>
      <c r="BS2359" s="246"/>
      <c r="BT2359" s="246"/>
      <c r="BU2359" s="246"/>
    </row>
    <row r="2360" spans="1:75" s="4" customFormat="1" ht="19.5" thickTop="1" thickBot="1" x14ac:dyDescent="0.35">
      <c r="A2360" s="475"/>
      <c r="B2360" s="1113"/>
      <c r="C2360" s="1114"/>
      <c r="D2360" s="1114"/>
      <c r="E2360" s="1115"/>
      <c r="F2360" s="475"/>
      <c r="AG2360" s="508" t="str">
        <f>IF(B2360=AG2361,AO2361,IF(B2360=AG2362,AO2362,IF(B2360=AG2363,AO2363,IF(B2360=AG2364,AO2364,AO2365))))</f>
        <v>This applies legitimacy standards to prosecutors to earn public trust. Start by selecting from list above.</v>
      </c>
      <c r="AV2360" s="503" t="s">
        <v>885</v>
      </c>
      <c r="BB2360" s="718" t="str">
        <f>CONCATENATE(BE2360,BF2360,BG2360,BH2360,BI2360,BJ2360,BK2360,BL2360)</f>
        <v xml:space="preserve">You don't know what you don't know. The power imbalance from being a AI limits the forthrightness of others to inform you and illuminate your blind spots. This tends to correlate with systemic . You may not effectively recognize, admit or correct errors or conflicts of interest. Measurably earning your legitimacy can help. </v>
      </c>
      <c r="BE2360" s="787" t="s">
        <v>5124</v>
      </c>
      <c r="BF2360" s="220" t="str">
        <f>IF(B2360=AG2361,BG2364,IF(B2360=AG2362,BH2364,IF(B2360=AG2363,BI2364,IF(B2360=AG2364,BJ2364,"AI"))))</f>
        <v>AI</v>
      </c>
      <c r="BG2360" s="246" t="str">
        <f>IF(AND($BB$2392&gt;=$BG$2397,$BB$2392&lt;$BH$2396),BH2361,IF(AND($BB$2392&gt;=$BG$2395,$BB$2392&lt;$BH$2394),BM2361,IF(AND($BB$2392&gt;=$BG$2393,$BB$2392&lt;=$BH$2393,$BH$2360),BT2361,"")))</f>
        <v xml:space="preserve"> limits the forthrightness of others</v>
      </c>
      <c r="BH2360" s="4" t="s">
        <v>5134</v>
      </c>
      <c r="BI2360" s="246" t="str">
        <f>IF(AND($BB$2392&gt;=$BG$2393,$BB$2392&lt;$BH$2393),"errors",IF(AND($BB$2392&gt;=$BG$2395,$BB$2392&lt;$BH$2394),"failure",IF(AND($BB$2392&gt;=$BG$2397,$BB$2392&lt;$BH$2396,$BH$2360),"damage","")))</f>
        <v/>
      </c>
      <c r="BJ2360" s="4" t="s">
        <v>5133</v>
      </c>
    </row>
    <row r="2361" spans="1:75" s="4" customFormat="1" ht="14.5" thickTop="1" x14ac:dyDescent="0.3">
      <c r="A2361" s="475"/>
      <c r="B2361" s="475"/>
      <c r="C2361" s="475"/>
      <c r="D2361" s="475"/>
      <c r="E2361" s="475"/>
      <c r="F2361" s="475"/>
      <c r="AG2361" s="4" t="s">
        <v>4402</v>
      </c>
      <c r="AO2361" s="4" t="s">
        <v>4464</v>
      </c>
      <c r="AV2361" s="503" t="s">
        <v>885</v>
      </c>
      <c r="BB2361" s="388"/>
      <c r="BE2361" s="645" t="s">
        <v>3637</v>
      </c>
      <c r="BH2361" s="596" t="s">
        <v>5132</v>
      </c>
      <c r="BJ2361" s="685"/>
      <c r="BM2361" s="4" t="s">
        <v>5129</v>
      </c>
      <c r="BT2361" s="685" t="s">
        <v>5131</v>
      </c>
    </row>
    <row r="2362" spans="1:75" s="4" customFormat="1" ht="25" customHeight="1" x14ac:dyDescent="0.3">
      <c r="A2362" s="475"/>
      <c r="B2362" s="1187" t="str">
        <f>AG2360</f>
        <v>This applies legitimacy standards to prosecutors to earn public trust. Start by selecting from list above.</v>
      </c>
      <c r="C2362" s="1187"/>
      <c r="D2362" s="1187"/>
      <c r="E2362" s="1187"/>
      <c r="F2362" s="475"/>
      <c r="AG2362" s="4" t="s">
        <v>4401</v>
      </c>
      <c r="AO2362" s="4" t="s">
        <v>5059</v>
      </c>
      <c r="AV2362" s="503" t="s">
        <v>885</v>
      </c>
      <c r="BB2362" s="759" t="str">
        <f>IF(B2360=AG2361,BG2362,IF(B2360=AG2362,BH2362,IF(B2360=AG2363,BI2362,IF(B2360=AG2364,BJ2362,""))))</f>
        <v/>
      </c>
      <c r="BD2362" s="730"/>
      <c r="BE2362" s="760"/>
      <c r="BF2362" s="730"/>
      <c r="BG2362" s="730" t="s">
        <v>5000</v>
      </c>
      <c r="BH2362" s="730" t="s">
        <v>4999</v>
      </c>
      <c r="BI2362" s="730" t="s">
        <v>5001</v>
      </c>
      <c r="BJ2362" s="730" t="s">
        <v>5002</v>
      </c>
    </row>
    <row r="2363" spans="1:75" s="4" customFormat="1" ht="25" customHeight="1" x14ac:dyDescent="0.3">
      <c r="A2363" s="475"/>
      <c r="B2363" s="1187"/>
      <c r="C2363" s="1187"/>
      <c r="D2363" s="1187"/>
      <c r="E2363" s="1187"/>
      <c r="F2363" s="475"/>
      <c r="AG2363" s="4" t="s">
        <v>4403</v>
      </c>
      <c r="AO2363" s="4" t="s">
        <v>5060</v>
      </c>
      <c r="AV2363" s="503" t="s">
        <v>885</v>
      </c>
      <c r="BB2363" s="730">
        <v>2</v>
      </c>
      <c r="BD2363" s="730">
        <v>1</v>
      </c>
      <c r="BE2363" s="730">
        <v>0</v>
      </c>
      <c r="BF2363" s="730">
        <v>0</v>
      </c>
      <c r="BG2363" s="730"/>
      <c r="BH2363" s="730">
        <f>BB2364/5</f>
        <v>3.6</v>
      </c>
      <c r="BI2363" s="730"/>
    </row>
    <row r="2364" spans="1:75" s="4" customFormat="1" ht="25" customHeight="1" x14ac:dyDescent="0.3">
      <c r="A2364" s="475"/>
      <c r="B2364" s="1187"/>
      <c r="C2364" s="1187"/>
      <c r="D2364" s="1187"/>
      <c r="E2364" s="1187"/>
      <c r="F2364" s="475"/>
      <c r="AG2364" s="4" t="s">
        <v>4404</v>
      </c>
      <c r="AO2364" s="4" t="s">
        <v>4465</v>
      </c>
      <c r="AV2364" s="503" t="s">
        <v>885</v>
      </c>
      <c r="BB2364" s="730">
        <f>BB2363*9</f>
        <v>18</v>
      </c>
      <c r="BD2364" s="730">
        <f>BD2363*9</f>
        <v>9</v>
      </c>
      <c r="BE2364" s="730">
        <f>BE2363*9</f>
        <v>0</v>
      </c>
      <c r="BF2364" s="730"/>
      <c r="BG2364" s="731" t="s">
        <v>5125</v>
      </c>
      <c r="BH2364" s="731" t="s">
        <v>5126</v>
      </c>
      <c r="BI2364" s="731" t="s">
        <v>5127</v>
      </c>
      <c r="BJ2364" s="731" t="s">
        <v>5128</v>
      </c>
      <c r="BW2364" s="4" t="s">
        <v>5130</v>
      </c>
    </row>
    <row r="2365" spans="1:75" s="4" customFormat="1" ht="25" customHeight="1" x14ac:dyDescent="0.35">
      <c r="A2365" s="475"/>
      <c r="B2365" s="1187"/>
      <c r="C2365" s="1187"/>
      <c r="D2365" s="1187"/>
      <c r="E2365" s="1187"/>
      <c r="F2365" s="475"/>
      <c r="AG2365" s="873" t="s">
        <v>5460</v>
      </c>
      <c r="AO2365" s="730" t="s">
        <v>5461</v>
      </c>
      <c r="AW2365" s="503" t="s">
        <v>885</v>
      </c>
      <c r="BB2365" s="761" t="str">
        <f>IF(C2373=BF2365,BD2365,IF(C2373=BF2366,BD2366,IF(C2373=BF2367,BD2367,"")))</f>
        <v>pro-scientific</v>
      </c>
      <c r="BD2365" s="762" t="s">
        <v>4966</v>
      </c>
      <c r="BF2365" s="779" t="str">
        <f t="shared" ref="BF2365:BF2391" si="100">IF($B$2360=$AG$2361,BG2365,IF($B$2360=$AG$2362,BH2365,IF($B$2360=$AG$2363,BI2365,IF($B$2360=$AG$2364,BJ2365,""))))</f>
        <v/>
      </c>
      <c r="BG2365" s="763" t="s">
        <v>5015</v>
      </c>
      <c r="BH2365" s="763" t="s">
        <v>5026</v>
      </c>
      <c r="BI2365" s="783" t="s">
        <v>5053</v>
      </c>
      <c r="BJ2365" s="783" t="s">
        <v>5003</v>
      </c>
      <c r="BK2365" s="503" t="s">
        <v>885</v>
      </c>
      <c r="BM2365" s="764"/>
      <c r="BN2365" s="764"/>
      <c r="BO2365" s="765">
        <f>IF(C2373="",1,0)</f>
        <v>1</v>
      </c>
      <c r="BP2365" s="730"/>
      <c r="BQ2365" s="759" t="str">
        <f>IF(D2373=BD2365,BR2365,IF(D2373=BD2366,BR2366,IF(D2373=BD2367,BR2367,"")))</f>
        <v/>
      </c>
      <c r="BR2365" s="730" t="s">
        <v>4899</v>
      </c>
    </row>
    <row r="2366" spans="1:75" s="4" customFormat="1" ht="20" customHeight="1" x14ac:dyDescent="0.35">
      <c r="A2366" s="475"/>
      <c r="B2366" s="903" t="str">
        <f>BB2359</f>
        <v xml:space="preserve">There is no greater authority under heaven than resolved needs. The authority of law and its enforcement solely exist to serve needs. Apart from needs to serve, there is no such thing as authority. Where needs automatically resolve, no authority is necessary. This report holds authorities accountable to the results of their actions upon such needs. </v>
      </c>
      <c r="C2366" s="903"/>
      <c r="D2366" s="903"/>
      <c r="E2366" s="903"/>
      <c r="F2366" s="475"/>
      <c r="BB2366" s="766">
        <f>IF(BB2365=BD2365,BB$2363,IF(BB2365=BD2366,BD$2363,IF(BB2365=BD2367,BE$2363,BM$1021)))</f>
        <v>2</v>
      </c>
      <c r="BD2366" s="767" t="s">
        <v>4967</v>
      </c>
      <c r="BF2366" s="780" t="str">
        <f t="shared" si="100"/>
        <v/>
      </c>
      <c r="BG2366" s="768" t="s">
        <v>5016</v>
      </c>
      <c r="BH2366" s="768" t="s">
        <v>5027</v>
      </c>
      <c r="BI2366" s="784" t="s">
        <v>5054</v>
      </c>
      <c r="BJ2366" s="784" t="s">
        <v>5007</v>
      </c>
      <c r="BK2366" s="503" t="s">
        <v>885</v>
      </c>
      <c r="BM2366"/>
      <c r="BN2366"/>
      <c r="BO2366" s="769"/>
      <c r="BP2366" s="730"/>
      <c r="BQ2366" s="730"/>
      <c r="BR2366" s="730" t="s">
        <v>4900</v>
      </c>
    </row>
    <row r="2367" spans="1:75" s="4" customFormat="1" ht="15" customHeight="1" x14ac:dyDescent="0.35">
      <c r="A2367" s="475"/>
      <c r="B2367" s="903"/>
      <c r="C2367" s="903"/>
      <c r="D2367" s="903"/>
      <c r="E2367" s="903"/>
      <c r="F2367" s="475"/>
      <c r="AU2367" s="754" t="s">
        <v>4899</v>
      </c>
      <c r="BB2367" s="770"/>
      <c r="BD2367" s="771" t="s">
        <v>4968</v>
      </c>
      <c r="BF2367" s="781" t="str">
        <f t="shared" si="100"/>
        <v/>
      </c>
      <c r="BG2367" s="772" t="s">
        <v>5017</v>
      </c>
      <c r="BH2367" s="772" t="s">
        <v>5028</v>
      </c>
      <c r="BI2367" s="785" t="s">
        <v>5055</v>
      </c>
      <c r="BJ2367" s="785" t="s">
        <v>5008</v>
      </c>
      <c r="BK2367" s="503" t="s">
        <v>885</v>
      </c>
      <c r="BM2367" s="682"/>
      <c r="BN2367" s="682"/>
      <c r="BO2367" s="773"/>
      <c r="BP2367" s="730"/>
      <c r="BQ2367" s="730"/>
      <c r="BR2367" s="730" t="s">
        <v>4901</v>
      </c>
    </row>
    <row r="2368" spans="1:75" s="4" customFormat="1" ht="15" customHeight="1" x14ac:dyDescent="0.35">
      <c r="A2368" s="475"/>
      <c r="B2368" s="903"/>
      <c r="C2368" s="903"/>
      <c r="D2368" s="903"/>
      <c r="E2368" s="903"/>
      <c r="F2368" s="475"/>
      <c r="AG2368" s="508" t="str">
        <f>CONCATENATE(AI2368,AJ2368)</f>
        <v>pro-scientific</v>
      </c>
      <c r="AI2368" s="4" t="s">
        <v>4896</v>
      </c>
      <c r="AJ2368" s="4" t="s">
        <v>4957</v>
      </c>
      <c r="AN2368" s="508" t="str">
        <f>CONCATENATE(AP2368,AQ2368)</f>
        <v>pro-inspirational</v>
      </c>
      <c r="AP2368" s="4" t="s">
        <v>4896</v>
      </c>
      <c r="AQ2368" s="4" t="s">
        <v>4960</v>
      </c>
      <c r="AU2368" s="755" t="s">
        <v>4900</v>
      </c>
      <c r="BB2368" s="761" t="str">
        <f>IF(C2375=BF2368,BD2368,IF(C2375=BF2369,BD2369,IF(C2375=BF2370,BD2370,"")))</f>
        <v>pro-democratic</v>
      </c>
      <c r="BD2368" s="762" t="s">
        <v>4969</v>
      </c>
      <c r="BF2368" s="779" t="str">
        <f t="shared" si="100"/>
        <v/>
      </c>
      <c r="BG2368" s="768" t="s">
        <v>5135</v>
      </c>
      <c r="BH2368" s="768" t="s">
        <v>5029</v>
      </c>
      <c r="BI2368" s="784" t="s">
        <v>5056</v>
      </c>
      <c r="BJ2368" s="784" t="s">
        <v>5004</v>
      </c>
      <c r="BK2368" s="503" t="s">
        <v>885</v>
      </c>
      <c r="BM2368" s="764"/>
      <c r="BN2368" s="764"/>
      <c r="BO2368" s="765">
        <f>IF(C2375="",1,0)</f>
        <v>1</v>
      </c>
      <c r="BP2368" s="730"/>
      <c r="BQ2368" s="759" t="str">
        <f>IF(D2375=BD2368,BR2368,IF(D2375=BD2369,BR2369,IF(D2375=BD2370,BR2370,"")))</f>
        <v/>
      </c>
      <c r="BR2368" s="730" t="s">
        <v>4899</v>
      </c>
    </row>
    <row r="2369" spans="1:70" s="4" customFormat="1" ht="15" customHeight="1" x14ac:dyDescent="0.35">
      <c r="A2369" s="475"/>
      <c r="B2369" s="903"/>
      <c r="C2369" s="903"/>
      <c r="D2369" s="903"/>
      <c r="E2369" s="903"/>
      <c r="F2369" s="475"/>
      <c r="AG2369" s="508" t="str">
        <f t="shared" ref="AG2369:AG2376" si="101">CONCATENATE(AI2369,AJ2369)</f>
        <v>non-scientific</v>
      </c>
      <c r="AI2369" s="4" t="s">
        <v>4897</v>
      </c>
      <c r="AJ2369" s="4" t="s">
        <v>4957</v>
      </c>
      <c r="AN2369" s="508" t="str">
        <f t="shared" ref="AN2369:AN2376" si="102">CONCATENATE(AP2369,AQ2369)</f>
        <v>non-inspirational</v>
      </c>
      <c r="AP2369" s="4" t="s">
        <v>4897</v>
      </c>
      <c r="AQ2369" s="4" t="s">
        <v>4960</v>
      </c>
      <c r="AU2369" s="756" t="s">
        <v>4901</v>
      </c>
      <c r="BB2369" s="766">
        <f>IF(BB2368=BD2368,BB$2363,IF(BB2368=BD2369,BD$2363,IF(BB2368=BD2370,BE$2363,BM$1021)))</f>
        <v>2</v>
      </c>
      <c r="BD2369" s="767" t="s">
        <v>4970</v>
      </c>
      <c r="BF2369" s="780" t="str">
        <f t="shared" si="100"/>
        <v/>
      </c>
      <c r="BG2369" s="768" t="s">
        <v>5018</v>
      </c>
      <c r="BH2369" s="768" t="s">
        <v>5030</v>
      </c>
      <c r="BI2369" s="784" t="s">
        <v>5057</v>
      </c>
      <c r="BJ2369" s="784" t="s">
        <v>5005</v>
      </c>
      <c r="BK2369" s="503" t="s">
        <v>885</v>
      </c>
      <c r="BM2369"/>
      <c r="BN2369"/>
      <c r="BO2369" s="769"/>
      <c r="BP2369" s="730"/>
      <c r="BQ2369" s="730"/>
      <c r="BR2369" s="730" t="s">
        <v>4900</v>
      </c>
    </row>
    <row r="2370" spans="1:70" s="4" customFormat="1" ht="15" customHeight="1" x14ac:dyDescent="0.35">
      <c r="A2370" s="475"/>
      <c r="B2370" s="903"/>
      <c r="C2370" s="903"/>
      <c r="D2370" s="903"/>
      <c r="E2370" s="903"/>
      <c r="F2370" s="475"/>
      <c r="AG2370" s="508" t="str">
        <f t="shared" si="101"/>
        <v>anti-scientific</v>
      </c>
      <c r="AI2370" s="4" t="s">
        <v>4898</v>
      </c>
      <c r="AJ2370" s="4" t="s">
        <v>4957</v>
      </c>
      <c r="AN2370" s="508" t="str">
        <f t="shared" si="102"/>
        <v>anti-inspirational</v>
      </c>
      <c r="AP2370" s="4" t="s">
        <v>4898</v>
      </c>
      <c r="AQ2370" s="4" t="s">
        <v>4960</v>
      </c>
      <c r="BB2370" s="770"/>
      <c r="BD2370" s="771" t="s">
        <v>4971</v>
      </c>
      <c r="BF2370" s="781" t="str">
        <f t="shared" si="100"/>
        <v/>
      </c>
      <c r="BG2370" s="772" t="s">
        <v>5019</v>
      </c>
      <c r="BH2370" s="772" t="s">
        <v>5031</v>
      </c>
      <c r="BI2370" s="784" t="s">
        <v>5058</v>
      </c>
      <c r="BJ2370" s="785" t="s">
        <v>5006</v>
      </c>
      <c r="BK2370" s="503" t="s">
        <v>885</v>
      </c>
      <c r="BM2370" s="682"/>
      <c r="BN2370" s="682"/>
      <c r="BO2370" s="773"/>
      <c r="BP2370" s="730"/>
      <c r="BQ2370" s="730"/>
      <c r="BR2370" s="730" t="s">
        <v>4901</v>
      </c>
    </row>
    <row r="2371" spans="1:70" s="4" customFormat="1" ht="15" x14ac:dyDescent="0.35">
      <c r="A2371" s="475"/>
      <c r="B2371" s="904" t="str">
        <f>BB2362</f>
        <v/>
      </c>
      <c r="C2371" s="904"/>
      <c r="D2371" s="904"/>
      <c r="E2371" s="904"/>
      <c r="F2371" s="475"/>
      <c r="AG2371" s="508" t="str">
        <f t="shared" si="101"/>
        <v>pro-democratic</v>
      </c>
      <c r="AI2371" s="4" t="s">
        <v>4896</v>
      </c>
      <c r="AJ2371" s="4" t="s">
        <v>4958</v>
      </c>
      <c r="AN2371" s="508" t="str">
        <f t="shared" si="102"/>
        <v>pro-wisdom</v>
      </c>
      <c r="AP2371" s="4" t="s">
        <v>4896</v>
      </c>
      <c r="AQ2371" s="4" t="s">
        <v>4961</v>
      </c>
      <c r="BB2371" s="761" t="str">
        <f>IF(C2377=BF2371,BD2371,IF(C2377=BF2372,BD2372,IF(C2377=BF2373,BD2373,"")))</f>
        <v>pro-constitutional</v>
      </c>
      <c r="BD2371" s="762" t="s">
        <v>4972</v>
      </c>
      <c r="BF2371" s="779" t="str">
        <f t="shared" si="100"/>
        <v/>
      </c>
      <c r="BG2371" s="763" t="s">
        <v>5020</v>
      </c>
      <c r="BH2371" s="763" t="s">
        <v>5032</v>
      </c>
      <c r="BI2371" s="763" t="s">
        <v>5047</v>
      </c>
      <c r="BJ2371" s="783" t="s">
        <v>5079</v>
      </c>
      <c r="BK2371" s="503" t="s">
        <v>885</v>
      </c>
      <c r="BM2371" s="764"/>
      <c r="BN2371" s="764"/>
      <c r="BO2371" s="765">
        <f>IF(C2377="",1,0)</f>
        <v>1</v>
      </c>
      <c r="BP2371" s="730"/>
      <c r="BQ2371" s="759" t="str">
        <f>IF(D2377=BD2371,BR2371,IF(D2377=BD2372,BR2372,IF(D2377=BD2373,BR2373,"")))</f>
        <v/>
      </c>
      <c r="BR2371" s="730" t="s">
        <v>4899</v>
      </c>
    </row>
    <row r="2372" spans="1:70" s="4" customFormat="1" ht="15" thickBot="1" x14ac:dyDescent="0.4">
      <c r="A2372" s="475"/>
      <c r="B2372" s="475"/>
      <c r="C2372" s="475"/>
      <c r="D2372" s="475"/>
      <c r="E2372" s="475"/>
      <c r="F2372" s="475"/>
      <c r="AG2372" s="508" t="str">
        <f t="shared" si="101"/>
        <v>non-democratic</v>
      </c>
      <c r="AI2372" s="4" t="s">
        <v>4897</v>
      </c>
      <c r="AJ2372" s="4" t="s">
        <v>4958</v>
      </c>
      <c r="AN2372" s="508" t="str">
        <f t="shared" si="102"/>
        <v>non-wisdom</v>
      </c>
      <c r="AP2372" s="4" t="s">
        <v>4897</v>
      </c>
      <c r="AQ2372" s="4" t="s">
        <v>4961</v>
      </c>
      <c r="BB2372" s="766">
        <f>IF(BB2371=BD2371,BB$2363,IF(BB2371=BD2372,BD$2363,IF(BB2371=BD2373,BE$2363,BM$1021)))</f>
        <v>2</v>
      </c>
      <c r="BD2372" s="767" t="s">
        <v>4973</v>
      </c>
      <c r="BF2372" s="780" t="str">
        <f t="shared" si="100"/>
        <v/>
      </c>
      <c r="BG2372" s="768" t="s">
        <v>5021</v>
      </c>
      <c r="BH2372" s="768" t="s">
        <v>5033</v>
      </c>
      <c r="BI2372" s="768" t="s">
        <v>5048</v>
      </c>
      <c r="BJ2372" s="784" t="s">
        <v>5081</v>
      </c>
      <c r="BK2372" s="503" t="s">
        <v>885</v>
      </c>
      <c r="BM2372"/>
      <c r="BN2372"/>
      <c r="BO2372" s="769"/>
      <c r="BP2372" s="730"/>
      <c r="BQ2372" s="730"/>
      <c r="BR2372" s="730" t="s">
        <v>4900</v>
      </c>
    </row>
    <row r="2373" spans="1:70" s="4" customFormat="1" ht="15" customHeight="1" thickTop="1" x14ac:dyDescent="0.35">
      <c r="A2373" s="684">
        <v>1</v>
      </c>
      <c r="B2373" s="668" t="s">
        <v>4454</v>
      </c>
      <c r="C2373" s="901"/>
      <c r="D2373" s="782" t="str">
        <f>IF(B2360="","",BB2365)</f>
        <v/>
      </c>
      <c r="E2373" s="475"/>
      <c r="F2373" s="475"/>
      <c r="AG2373" s="508" t="str">
        <f t="shared" si="101"/>
        <v>anti-democratic</v>
      </c>
      <c r="AI2373" s="4" t="s">
        <v>4898</v>
      </c>
      <c r="AJ2373" s="4" t="s">
        <v>4958</v>
      </c>
      <c r="AN2373" s="508" t="str">
        <f t="shared" si="102"/>
        <v>anti-wisdom</v>
      </c>
      <c r="AP2373" s="4" t="s">
        <v>4898</v>
      </c>
      <c r="AQ2373" s="4" t="s">
        <v>4961</v>
      </c>
      <c r="BB2373" s="770"/>
      <c r="BD2373" s="771" t="s">
        <v>4974</v>
      </c>
      <c r="BF2373" s="781" t="str">
        <f t="shared" si="100"/>
        <v/>
      </c>
      <c r="BG2373" s="772" t="s">
        <v>5022</v>
      </c>
      <c r="BH2373" s="772" t="s">
        <v>5034</v>
      </c>
      <c r="BI2373" s="772" t="s">
        <v>5049</v>
      </c>
      <c r="BJ2373" s="785" t="s">
        <v>5080</v>
      </c>
      <c r="BK2373" s="503" t="s">
        <v>885</v>
      </c>
      <c r="BM2373" s="682"/>
      <c r="BN2373" s="682"/>
      <c r="BO2373" s="773"/>
      <c r="BP2373" s="730"/>
      <c r="BQ2373" s="730"/>
      <c r="BR2373" s="730" t="s">
        <v>4901</v>
      </c>
    </row>
    <row r="2374" spans="1:70" s="4" customFormat="1" ht="15" customHeight="1" thickBot="1" x14ac:dyDescent="0.4">
      <c r="A2374" s="684"/>
      <c r="B2374" s="475"/>
      <c r="C2374" s="902"/>
      <c r="D2374" s="778" t="str">
        <f>BQ2365</f>
        <v/>
      </c>
      <c r="E2374" s="475"/>
      <c r="F2374" s="475"/>
      <c r="AG2374" s="508" t="str">
        <f t="shared" si="101"/>
        <v>pro-constitutional</v>
      </c>
      <c r="AI2374" s="4" t="s">
        <v>4896</v>
      </c>
      <c r="AJ2374" s="4" t="s">
        <v>4959</v>
      </c>
      <c r="AN2374" s="508" t="str">
        <f t="shared" si="102"/>
        <v>pro-love</v>
      </c>
      <c r="AP2374" s="4" t="s">
        <v>4896</v>
      </c>
      <c r="AQ2374" s="4" t="s">
        <v>4962</v>
      </c>
      <c r="BB2374" s="761" t="str">
        <f>IF(C2379=BF2374,BD2374,IF(C2379=BF2375,BD2375,IF(C2379=BF2376,BD2376,"")))</f>
        <v>pro-inspirational</v>
      </c>
      <c r="BD2374" s="762" t="s">
        <v>4975</v>
      </c>
      <c r="BF2374" s="779" t="str">
        <f t="shared" si="100"/>
        <v/>
      </c>
      <c r="BG2374" s="763" t="s">
        <v>5023</v>
      </c>
      <c r="BH2374" s="763" t="s">
        <v>5085</v>
      </c>
      <c r="BI2374" s="763" t="s">
        <v>5050</v>
      </c>
      <c r="BJ2374" s="783" t="s">
        <v>5082</v>
      </c>
      <c r="BK2374" s="503" t="s">
        <v>885</v>
      </c>
      <c r="BM2374" s="764"/>
      <c r="BN2374" s="764"/>
      <c r="BO2374" s="765">
        <f>IF(C2379="",1,0)</f>
        <v>1</v>
      </c>
      <c r="BP2374" s="730"/>
      <c r="BQ2374" s="759" t="str">
        <f>IF(D2379=BD2374,BR2374,IF(D2379=BD2375,BR2375,IF(D2379=BD2376,BR2376,"")))</f>
        <v/>
      </c>
      <c r="BR2374" s="730" t="s">
        <v>4899</v>
      </c>
    </row>
    <row r="2375" spans="1:70" s="4" customFormat="1" ht="15" customHeight="1" thickTop="1" x14ac:dyDescent="0.35">
      <c r="A2375" s="684">
        <f>A2373+1</f>
        <v>2</v>
      </c>
      <c r="B2375" s="668" t="s">
        <v>4455</v>
      </c>
      <c r="C2375" s="901"/>
      <c r="D2375" s="782" t="str">
        <f>IF(B2360="","",BB2368)</f>
        <v/>
      </c>
      <c r="E2375" s="475"/>
      <c r="F2375" s="475"/>
      <c r="AG2375" s="508" t="str">
        <f t="shared" si="101"/>
        <v>non-constitutional</v>
      </c>
      <c r="AI2375" s="4" t="s">
        <v>4897</v>
      </c>
      <c r="AJ2375" s="4" t="s">
        <v>4959</v>
      </c>
      <c r="AN2375" s="508" t="str">
        <f t="shared" si="102"/>
        <v>non-love</v>
      </c>
      <c r="AP2375" s="4" t="s">
        <v>4897</v>
      </c>
      <c r="AQ2375" s="4" t="s">
        <v>4962</v>
      </c>
      <c r="BB2375" s="766">
        <f>IF(BB2374=BD2374,BB$2363,IF(BB2374=BD2375,BD$2363,IF(BB2374=BD2376,BE$2363,BM$1021)))</f>
        <v>2</v>
      </c>
      <c r="BD2375" s="767" t="s">
        <v>4976</v>
      </c>
      <c r="BF2375" s="780" t="str">
        <f t="shared" si="100"/>
        <v/>
      </c>
      <c r="BG2375" s="768" t="s">
        <v>5024</v>
      </c>
      <c r="BH2375" s="768" t="s">
        <v>5086</v>
      </c>
      <c r="BI2375" s="768" t="s">
        <v>5051</v>
      </c>
      <c r="BJ2375" s="784" t="s">
        <v>5083</v>
      </c>
      <c r="BK2375" s="503" t="s">
        <v>885</v>
      </c>
      <c r="BM2375"/>
      <c r="BN2375"/>
      <c r="BO2375" s="769"/>
      <c r="BP2375" s="730"/>
      <c r="BQ2375" s="730"/>
      <c r="BR2375" s="730" t="s">
        <v>4900</v>
      </c>
    </row>
    <row r="2376" spans="1:70" s="4" customFormat="1" ht="15" customHeight="1" thickBot="1" x14ac:dyDescent="0.4">
      <c r="A2376" s="684"/>
      <c r="B2376" s="475"/>
      <c r="C2376" s="902"/>
      <c r="D2376" s="778" t="str">
        <f>BQ2368</f>
        <v/>
      </c>
      <c r="E2376" s="475"/>
      <c r="F2376" s="475"/>
      <c r="AG2376" s="508" t="str">
        <f t="shared" si="101"/>
        <v>anti-constitutional</v>
      </c>
      <c r="AI2376" s="4" t="s">
        <v>4898</v>
      </c>
      <c r="AJ2376" s="4" t="s">
        <v>4959</v>
      </c>
      <c r="AN2376" s="508" t="str">
        <f t="shared" si="102"/>
        <v>anti-love</v>
      </c>
      <c r="AP2376" s="4" t="s">
        <v>4898</v>
      </c>
      <c r="AQ2376" s="4" t="s">
        <v>4962</v>
      </c>
      <c r="BB2376" s="770"/>
      <c r="BD2376" s="771" t="s">
        <v>4977</v>
      </c>
      <c r="BF2376" s="781" t="str">
        <f t="shared" si="100"/>
        <v/>
      </c>
      <c r="BG2376" s="772" t="s">
        <v>5025</v>
      </c>
      <c r="BH2376" s="772" t="s">
        <v>5087</v>
      </c>
      <c r="BI2376" s="772" t="s">
        <v>5052</v>
      </c>
      <c r="BJ2376" s="785" t="s">
        <v>5084</v>
      </c>
      <c r="BK2376" s="503" t="s">
        <v>885</v>
      </c>
      <c r="BM2376" s="682"/>
      <c r="BN2376" s="682"/>
      <c r="BO2376" s="773"/>
      <c r="BP2376" s="730"/>
      <c r="BQ2376" s="730"/>
      <c r="BR2376" s="730" t="s">
        <v>4901</v>
      </c>
    </row>
    <row r="2377" spans="1:70" s="4" customFormat="1" ht="15" customHeight="1" thickTop="1" x14ac:dyDescent="0.35">
      <c r="A2377" s="684">
        <f>A2375+1</f>
        <v>3</v>
      </c>
      <c r="B2377" s="668" t="s">
        <v>4456</v>
      </c>
      <c r="C2377" s="901"/>
      <c r="D2377" s="782" t="str">
        <f>IF(B2360="","",BB2371)</f>
        <v/>
      </c>
      <c r="E2377" s="475"/>
      <c r="F2377" s="475"/>
      <c r="AN2377" s="508" t="str">
        <f t="shared" ref="AN2377:AN2385" si="103">CONCATENATE(AP2377,AQ2377)</f>
        <v>pro-accountable</v>
      </c>
      <c r="AP2377" s="4" t="s">
        <v>4896</v>
      </c>
      <c r="AQ2377" s="4" t="s">
        <v>4963</v>
      </c>
      <c r="BB2377" s="761" t="str">
        <f>IF(C2381=BF2377,BD2377,IF(C2381=BF2378,BD2378,IF(C2381=BF2379,BD2379,"")))</f>
        <v>pro-wisdom</v>
      </c>
      <c r="BD2377" s="762" t="s">
        <v>4978</v>
      </c>
      <c r="BF2377" s="779" t="str">
        <f t="shared" si="100"/>
        <v/>
      </c>
      <c r="BG2377" s="763" t="s">
        <v>5009</v>
      </c>
      <c r="BH2377" s="763" t="s">
        <v>5088</v>
      </c>
      <c r="BI2377" s="763" t="s">
        <v>5070</v>
      </c>
      <c r="BJ2377" s="783" t="s">
        <v>5097</v>
      </c>
      <c r="BK2377" s="503" t="s">
        <v>885</v>
      </c>
      <c r="BM2377" s="764"/>
      <c r="BN2377" s="764"/>
      <c r="BO2377" s="765">
        <f>IF(C2381="",1,0)</f>
        <v>1</v>
      </c>
      <c r="BP2377" s="730"/>
      <c r="BQ2377" s="759" t="str">
        <f>IF(D2381=BD2377,BR2377,IF(D2381=BD2378,BR2378,IF(D2381=BD2379,BR2379,"")))</f>
        <v/>
      </c>
      <c r="BR2377" s="730" t="s">
        <v>4899</v>
      </c>
    </row>
    <row r="2378" spans="1:70" s="4" customFormat="1" ht="15" customHeight="1" thickBot="1" x14ac:dyDescent="0.4">
      <c r="A2378" s="684"/>
      <c r="B2378" s="475"/>
      <c r="C2378" s="902"/>
      <c r="D2378" s="778" t="str">
        <f>BQ2371</f>
        <v/>
      </c>
      <c r="E2378" s="475"/>
      <c r="F2378" s="475"/>
      <c r="AG2378" s="739" t="s">
        <v>4863</v>
      </c>
      <c r="AN2378" s="508" t="str">
        <f t="shared" si="103"/>
        <v>non-accountable</v>
      </c>
      <c r="AP2378" s="4" t="s">
        <v>4897</v>
      </c>
      <c r="AQ2378" s="4" t="s">
        <v>4963</v>
      </c>
      <c r="BB2378" s="766">
        <f>IF(BB2377=BD2377,BB$2363,IF(BB2377=BD2378,BD$2363,IF(BB2377=BD2379,BE$2363,BM$1021)))</f>
        <v>2</v>
      </c>
      <c r="BD2378" s="767" t="s">
        <v>4979</v>
      </c>
      <c r="BF2378" s="780" t="str">
        <f t="shared" si="100"/>
        <v/>
      </c>
      <c r="BG2378" s="768" t="s">
        <v>5011</v>
      </c>
      <c r="BH2378" s="768" t="s">
        <v>5089</v>
      </c>
      <c r="BI2378" s="768" t="s">
        <v>5071</v>
      </c>
      <c r="BJ2378" s="784" t="s">
        <v>5098</v>
      </c>
      <c r="BK2378" s="503" t="s">
        <v>885</v>
      </c>
      <c r="BM2378"/>
      <c r="BN2378"/>
      <c r="BO2378" s="769"/>
      <c r="BP2378" s="730"/>
      <c r="BQ2378" s="730"/>
      <c r="BR2378" s="730" t="s">
        <v>4900</v>
      </c>
    </row>
    <row r="2379" spans="1:70" s="4" customFormat="1" ht="15" customHeight="1" thickTop="1" x14ac:dyDescent="0.35">
      <c r="A2379" s="684">
        <f>A2377+1</f>
        <v>4</v>
      </c>
      <c r="B2379" s="668" t="s">
        <v>4457</v>
      </c>
      <c r="C2379" s="901"/>
      <c r="D2379" s="782" t="str">
        <f>IF(B2360="","",BB2374)</f>
        <v/>
      </c>
      <c r="E2379" s="475"/>
      <c r="F2379" s="475"/>
      <c r="AG2379" s="739" t="s">
        <v>4864</v>
      </c>
      <c r="AN2379" s="508" t="str">
        <f t="shared" si="103"/>
        <v>anti-accountable</v>
      </c>
      <c r="AP2379" s="4" t="s">
        <v>4898</v>
      </c>
      <c r="AQ2379" s="4" t="s">
        <v>4963</v>
      </c>
      <c r="BB2379" s="770"/>
      <c r="BD2379" s="771" t="s">
        <v>4980</v>
      </c>
      <c r="BF2379" s="781" t="str">
        <f t="shared" si="100"/>
        <v/>
      </c>
      <c r="BG2379" s="772" t="s">
        <v>5010</v>
      </c>
      <c r="BH2379" s="772" t="s">
        <v>5090</v>
      </c>
      <c r="BI2379" s="772" t="s">
        <v>5072</v>
      </c>
      <c r="BJ2379" s="785" t="s">
        <v>5099</v>
      </c>
      <c r="BK2379" s="503" t="s">
        <v>885</v>
      </c>
      <c r="BM2379" s="682"/>
      <c r="BN2379" s="682"/>
      <c r="BO2379" s="773"/>
      <c r="BP2379" s="730"/>
      <c r="BQ2379" s="730"/>
      <c r="BR2379" s="730" t="s">
        <v>4901</v>
      </c>
    </row>
    <row r="2380" spans="1:70" s="4" customFormat="1" ht="15" customHeight="1" thickBot="1" x14ac:dyDescent="0.4">
      <c r="A2380" s="684"/>
      <c r="B2380" s="475"/>
      <c r="C2380" s="902"/>
      <c r="D2380" s="778" t="str">
        <f>BQ2374</f>
        <v/>
      </c>
      <c r="E2380" s="475"/>
      <c r="F2380" s="475"/>
      <c r="AG2380" s="739" t="s">
        <v>4865</v>
      </c>
      <c r="AN2380" s="508" t="str">
        <f t="shared" si="103"/>
        <v>pro-supportive</v>
      </c>
      <c r="AP2380" s="4" t="s">
        <v>4896</v>
      </c>
      <c r="AQ2380" s="4" t="s">
        <v>4964</v>
      </c>
      <c r="BB2380" s="761" t="str">
        <f>IF(C2383=BF2380,BD2380,IF(C2383=BF2381,BD2381,IF(C2383=BF2382,BD2382,"")))</f>
        <v>pro-love</v>
      </c>
      <c r="BD2380" s="762" t="s">
        <v>4996</v>
      </c>
      <c r="BF2380" s="779" t="str">
        <f t="shared" si="100"/>
        <v/>
      </c>
      <c r="BG2380" s="763" t="s">
        <v>5012</v>
      </c>
      <c r="BH2380" s="763" t="s">
        <v>5035</v>
      </c>
      <c r="BI2380" s="763" t="s">
        <v>5074</v>
      </c>
      <c r="BJ2380" s="783" t="s">
        <v>5100</v>
      </c>
      <c r="BK2380" s="503" t="s">
        <v>885</v>
      </c>
      <c r="BM2380" s="764"/>
      <c r="BN2380" s="764"/>
      <c r="BO2380" s="765">
        <f>IF(C2383="",1,0)</f>
        <v>1</v>
      </c>
      <c r="BP2380" s="730"/>
      <c r="BQ2380" s="759" t="str">
        <f>IF(D2383=BD2380,BR2380,IF(D2383=BD2381,BR2381,IF(D2383=BD2382,BR2382,"")))</f>
        <v/>
      </c>
      <c r="BR2380" s="730" t="s">
        <v>4899</v>
      </c>
    </row>
    <row r="2381" spans="1:70" s="4" customFormat="1" ht="15" customHeight="1" thickTop="1" x14ac:dyDescent="0.35">
      <c r="A2381" s="684">
        <f>A2379+1</f>
        <v>5</v>
      </c>
      <c r="B2381" s="668" t="s">
        <v>4458</v>
      </c>
      <c r="C2381" s="901"/>
      <c r="D2381" s="782" t="str">
        <f>IF(B2360="","",BB2377)</f>
        <v/>
      </c>
      <c r="E2381" s="475"/>
      <c r="F2381" s="475"/>
      <c r="AG2381" s="739" t="s">
        <v>4866</v>
      </c>
      <c r="AN2381" s="508" t="str">
        <f t="shared" si="103"/>
        <v>non-supportive</v>
      </c>
      <c r="AP2381" s="4" t="s">
        <v>4897</v>
      </c>
      <c r="AQ2381" s="4" t="s">
        <v>4964</v>
      </c>
      <c r="BB2381" s="766">
        <f>IF(BB2380=BD2380,BB$2363,IF(BB2380=BD2381,BD$2363,IF(BB2380=BD2382,BE$2363,BM$1021)))</f>
        <v>2</v>
      </c>
      <c r="BD2381" s="767" t="s">
        <v>4997</v>
      </c>
      <c r="BF2381" s="780" t="str">
        <f t="shared" si="100"/>
        <v/>
      </c>
      <c r="BG2381" s="768" t="s">
        <v>5013</v>
      </c>
      <c r="BH2381" s="768" t="s">
        <v>5036</v>
      </c>
      <c r="BI2381" s="768" t="s">
        <v>5073</v>
      </c>
      <c r="BJ2381" s="784" t="s">
        <v>5102</v>
      </c>
      <c r="BK2381" s="503" t="s">
        <v>885</v>
      </c>
      <c r="BM2381"/>
      <c r="BN2381"/>
      <c r="BO2381" s="769"/>
      <c r="BP2381" s="730"/>
      <c r="BQ2381" s="730"/>
      <c r="BR2381" s="730" t="s">
        <v>4900</v>
      </c>
    </row>
    <row r="2382" spans="1:70" s="4" customFormat="1" ht="15" customHeight="1" thickBot="1" x14ac:dyDescent="0.4">
      <c r="A2382" s="684"/>
      <c r="B2382" s="475"/>
      <c r="C2382" s="902"/>
      <c r="D2382" s="778" t="str">
        <f>BQ2377</f>
        <v/>
      </c>
      <c r="E2382" s="475"/>
      <c r="F2382" s="475"/>
      <c r="AG2382" s="739" t="s">
        <v>4867</v>
      </c>
      <c r="AN2382" s="508" t="str">
        <f t="shared" si="103"/>
        <v>anti-supportive</v>
      </c>
      <c r="AP2382" s="4" t="s">
        <v>4898</v>
      </c>
      <c r="AQ2382" s="4" t="s">
        <v>4964</v>
      </c>
      <c r="BB2382" s="770"/>
      <c r="BD2382" s="771" t="s">
        <v>4998</v>
      </c>
      <c r="BF2382" s="781" t="str">
        <f t="shared" si="100"/>
        <v/>
      </c>
      <c r="BG2382" s="772" t="s">
        <v>5014</v>
      </c>
      <c r="BH2382" s="768" t="s">
        <v>5037</v>
      </c>
      <c r="BI2382" s="772" t="s">
        <v>5075</v>
      </c>
      <c r="BJ2382" s="785" t="s">
        <v>5101</v>
      </c>
      <c r="BK2382" s="503" t="s">
        <v>885</v>
      </c>
      <c r="BM2382" s="682"/>
      <c r="BN2382" s="682"/>
      <c r="BO2382" s="773"/>
      <c r="BP2382" s="730"/>
      <c r="BQ2382" s="730"/>
      <c r="BR2382" s="730" t="s">
        <v>4901</v>
      </c>
    </row>
    <row r="2383" spans="1:70" s="4" customFormat="1" ht="15" customHeight="1" thickTop="1" x14ac:dyDescent="0.35">
      <c r="A2383" s="684">
        <f>A2381+1</f>
        <v>6</v>
      </c>
      <c r="B2383" s="668" t="s">
        <v>4459</v>
      </c>
      <c r="C2383" s="901"/>
      <c r="D2383" s="782" t="str">
        <f>IF(B2360="","",BB2380)</f>
        <v/>
      </c>
      <c r="E2383" s="475"/>
      <c r="F2383" s="475"/>
      <c r="AN2383" s="508" t="str">
        <f t="shared" si="103"/>
        <v>pro-responsive</v>
      </c>
      <c r="AP2383" s="4" t="s">
        <v>4896</v>
      </c>
      <c r="AQ2383" s="4" t="s">
        <v>4965</v>
      </c>
      <c r="BB2383" s="761" t="str">
        <f>IF(C2385=BF2383,BD2383,IF(C2385=BF2384,BD2384,IF(C2385=BF2385,BD2385,"")))</f>
        <v>pro-accountable</v>
      </c>
      <c r="BD2383" s="762" t="s">
        <v>4981</v>
      </c>
      <c r="BF2383" s="779" t="str">
        <f t="shared" si="100"/>
        <v/>
      </c>
      <c r="BG2383" s="763" t="s">
        <v>5068</v>
      </c>
      <c r="BH2383" s="763" t="s">
        <v>5091</v>
      </c>
      <c r="BI2383" s="763" t="s">
        <v>5038</v>
      </c>
      <c r="BJ2383" s="783" t="s">
        <v>5103</v>
      </c>
      <c r="BK2383" s="503" t="s">
        <v>885</v>
      </c>
      <c r="BM2383" s="764"/>
      <c r="BN2383" s="764"/>
      <c r="BO2383" s="765">
        <f>IF(C2385="",1,0)</f>
        <v>1</v>
      </c>
      <c r="BP2383" s="730"/>
      <c r="BQ2383" s="759" t="str">
        <f>IF(D2385=BD2383,BR2383,IF(D2385=BD2384,BR2384,IF(D2385=BD2385,BR2385,"")))</f>
        <v/>
      </c>
      <c r="BR2383" s="730" t="s">
        <v>4899</v>
      </c>
    </row>
    <row r="2384" spans="1:70" s="4" customFormat="1" ht="15" customHeight="1" thickBot="1" x14ac:dyDescent="0.35">
      <c r="A2384" s="684"/>
      <c r="B2384" s="475"/>
      <c r="C2384" s="902"/>
      <c r="D2384" s="778" t="str">
        <f>BQ2380</f>
        <v/>
      </c>
      <c r="E2384" s="475"/>
      <c r="F2384" s="475"/>
      <c r="AG2384" s="746">
        <v>4</v>
      </c>
      <c r="AH2384" s="745" t="s">
        <v>4878</v>
      </c>
      <c r="AN2384" s="508" t="str">
        <f t="shared" si="103"/>
        <v>non-responsive</v>
      </c>
      <c r="AP2384" s="4" t="s">
        <v>4897</v>
      </c>
      <c r="AQ2384" s="4" t="s">
        <v>4965</v>
      </c>
      <c r="BB2384" s="766">
        <f>IF(BB2383=BD2383,BB$2363,IF(BB2383=BD2384,BD$2363,IF(BB2383=BD2385,BE$2363,BM$1021)))</f>
        <v>2</v>
      </c>
      <c r="BD2384" s="767" t="s">
        <v>4982</v>
      </c>
      <c r="BF2384" s="780" t="str">
        <f t="shared" si="100"/>
        <v/>
      </c>
      <c r="BG2384" s="768" t="s">
        <v>5069</v>
      </c>
      <c r="BH2384" s="768" t="s">
        <v>5092</v>
      </c>
      <c r="BI2384" s="768" t="s">
        <v>5039</v>
      </c>
      <c r="BJ2384" s="784" t="s">
        <v>5104</v>
      </c>
      <c r="BK2384" s="503" t="s">
        <v>885</v>
      </c>
      <c r="BM2384" s="730"/>
      <c r="BN2384" s="730"/>
      <c r="BO2384" s="769"/>
      <c r="BP2384" s="730"/>
      <c r="BQ2384" s="730"/>
      <c r="BR2384" s="730" t="s">
        <v>4900</v>
      </c>
    </row>
    <row r="2385" spans="1:70" s="4" customFormat="1" ht="15" customHeight="1" thickTop="1" x14ac:dyDescent="0.35">
      <c r="A2385" s="684">
        <f>A2383+1</f>
        <v>7</v>
      </c>
      <c r="B2385" s="668" t="s">
        <v>4460</v>
      </c>
      <c r="C2385" s="901"/>
      <c r="D2385" s="782" t="str">
        <f>IF(B2360="","",BB2383)</f>
        <v/>
      </c>
      <c r="E2385" s="475"/>
      <c r="F2385" s="475"/>
      <c r="AG2385" s="746">
        <v>3</v>
      </c>
      <c r="AH2385" s="747" t="s">
        <v>4879</v>
      </c>
      <c r="AN2385" s="508" t="str">
        <f t="shared" si="103"/>
        <v>anti-responsive</v>
      </c>
      <c r="AP2385" s="4" t="s">
        <v>4898</v>
      </c>
      <c r="AQ2385" s="4" t="s">
        <v>4965</v>
      </c>
      <c r="BB2385" s="770"/>
      <c r="BD2385" s="771" t="s">
        <v>4983</v>
      </c>
      <c r="BF2385" s="781" t="str">
        <f t="shared" si="100"/>
        <v/>
      </c>
      <c r="BG2385" s="768" t="s">
        <v>5067</v>
      </c>
      <c r="BH2385" s="772" t="s">
        <v>5093</v>
      </c>
      <c r="BI2385" s="772" t="s">
        <v>5040</v>
      </c>
      <c r="BJ2385" s="785" t="s">
        <v>5105</v>
      </c>
      <c r="BK2385" s="503" t="s">
        <v>885</v>
      </c>
      <c r="BM2385" s="774"/>
      <c r="BN2385" s="774"/>
      <c r="BO2385" s="773"/>
      <c r="BP2385" s="730"/>
      <c r="BQ2385" s="730"/>
      <c r="BR2385" s="730" t="s">
        <v>4901</v>
      </c>
    </row>
    <row r="2386" spans="1:70" s="4" customFormat="1" ht="15" customHeight="1" thickBot="1" x14ac:dyDescent="0.35">
      <c r="A2386" s="684"/>
      <c r="B2386" s="475"/>
      <c r="C2386" s="902"/>
      <c r="D2386" s="778" t="str">
        <f>BQ2383</f>
        <v/>
      </c>
      <c r="E2386" s="475"/>
      <c r="F2386" s="475"/>
      <c r="AG2386" s="746">
        <v>2</v>
      </c>
      <c r="AH2386" s="748" t="s">
        <v>4880</v>
      </c>
      <c r="BB2386" s="761" t="str">
        <f>IF(C2387=BF2386,BD2386,IF(C2387=BF2387,BD2387,IF(C2387=BF2388,BD2388,"")))</f>
        <v>pro-supportive</v>
      </c>
      <c r="BD2386" s="762" t="s">
        <v>4984</v>
      </c>
      <c r="BF2386" s="779" t="str">
        <f t="shared" si="100"/>
        <v/>
      </c>
      <c r="BG2386" s="763" t="s">
        <v>5064</v>
      </c>
      <c r="BH2386" s="763" t="s">
        <v>5094</v>
      </c>
      <c r="BI2386" s="763" t="s">
        <v>5041</v>
      </c>
      <c r="BJ2386" s="783" t="s">
        <v>5106</v>
      </c>
      <c r="BK2386" s="503" t="s">
        <v>885</v>
      </c>
      <c r="BM2386" s="775"/>
      <c r="BN2386" s="775"/>
      <c r="BO2386" s="765">
        <f>IF(C2387="",1,0)</f>
        <v>1</v>
      </c>
      <c r="BP2386" s="730"/>
      <c r="BQ2386" s="759" t="str">
        <f>IF(D2387=BD2386,BR2386,IF(D2387=BD2387,BR2387,IF(D2387=BD2388,BR2388,"")))</f>
        <v/>
      </c>
      <c r="BR2386" s="730" t="s">
        <v>4899</v>
      </c>
    </row>
    <row r="2387" spans="1:70" s="4" customFormat="1" ht="15" customHeight="1" thickTop="1" x14ac:dyDescent="0.35">
      <c r="A2387" s="684">
        <f>A2385+1</f>
        <v>8</v>
      </c>
      <c r="B2387" s="668" t="s">
        <v>4461</v>
      </c>
      <c r="C2387" s="901"/>
      <c r="D2387" s="782" t="str">
        <f>IF(B2360="","",BB2386)</f>
        <v/>
      </c>
      <c r="E2387" s="475"/>
      <c r="F2387" s="475"/>
      <c r="AG2387" s="746">
        <v>1</v>
      </c>
      <c r="AH2387" s="749" t="s">
        <v>4881</v>
      </c>
      <c r="AM2387" s="483" t="s">
        <v>3470</v>
      </c>
      <c r="AQ2387" s="503" t="s">
        <v>885</v>
      </c>
      <c r="BB2387" s="766">
        <f>IF(BB2386=BD2386,BB$2363,IF(BB2386=BD2387,BD$2363,IF(BB2386=BD2388,BE$2363,BM$1021)))</f>
        <v>2</v>
      </c>
      <c r="BD2387" s="767" t="s">
        <v>4985</v>
      </c>
      <c r="BF2387" s="780" t="str">
        <f t="shared" si="100"/>
        <v/>
      </c>
      <c r="BG2387" s="768" t="s">
        <v>5065</v>
      </c>
      <c r="BH2387" s="768" t="s">
        <v>5095</v>
      </c>
      <c r="BI2387" s="768" t="s">
        <v>5042</v>
      </c>
      <c r="BJ2387" s="784" t="s">
        <v>5108</v>
      </c>
      <c r="BK2387" s="503" t="s">
        <v>885</v>
      </c>
      <c r="BM2387" s="730"/>
      <c r="BN2387" s="730"/>
      <c r="BO2387" s="769"/>
      <c r="BP2387" s="730"/>
      <c r="BQ2387" s="730"/>
      <c r="BR2387" s="730" t="s">
        <v>4900</v>
      </c>
    </row>
    <row r="2388" spans="1:70" s="4" customFormat="1" ht="15" customHeight="1" thickBot="1" x14ac:dyDescent="0.35">
      <c r="A2388" s="684"/>
      <c r="B2388" s="475"/>
      <c r="C2388" s="902"/>
      <c r="D2388" s="778" t="str">
        <f>BQ2386</f>
        <v/>
      </c>
      <c r="E2388" s="475"/>
      <c r="F2388" s="475"/>
      <c r="AG2388" s="746">
        <v>0</v>
      </c>
      <c r="AH2388" s="750" t="s">
        <v>4882</v>
      </c>
      <c r="AP2388" s="4" t="s">
        <v>4887</v>
      </c>
      <c r="AS2388" s="4" t="s">
        <v>4893</v>
      </c>
      <c r="AV2388" s="503" t="s">
        <v>885</v>
      </c>
      <c r="BB2388" s="770"/>
      <c r="BD2388" s="771" t="s">
        <v>4986</v>
      </c>
      <c r="BF2388" s="781" t="str">
        <f t="shared" si="100"/>
        <v/>
      </c>
      <c r="BG2388" s="772" t="s">
        <v>5066</v>
      </c>
      <c r="BH2388" s="772" t="s">
        <v>5096</v>
      </c>
      <c r="BI2388" s="772" t="s">
        <v>5043</v>
      </c>
      <c r="BJ2388" s="785" t="s">
        <v>5107</v>
      </c>
      <c r="BK2388" s="503" t="s">
        <v>885</v>
      </c>
      <c r="BM2388" s="774"/>
      <c r="BN2388" s="774"/>
      <c r="BO2388" s="773"/>
      <c r="BP2388" s="730"/>
      <c r="BQ2388" s="730"/>
      <c r="BR2388" s="730" t="s">
        <v>4901</v>
      </c>
    </row>
    <row r="2389" spans="1:70" s="4" customFormat="1" ht="15" customHeight="1" thickTop="1" x14ac:dyDescent="0.35">
      <c r="A2389" s="684">
        <f>A2387+1</f>
        <v>9</v>
      </c>
      <c r="B2389" s="668" t="s">
        <v>4462</v>
      </c>
      <c r="C2389" s="901"/>
      <c r="D2389" s="782" t="str">
        <f>IF(B2360="","",BB2389)</f>
        <v/>
      </c>
      <c r="E2389" s="475"/>
      <c r="F2389" s="475"/>
      <c r="AG2389" s="746">
        <v>-1</v>
      </c>
      <c r="AH2389" s="750" t="s">
        <v>4883</v>
      </c>
      <c r="AP2389" s="4" t="s">
        <v>4888</v>
      </c>
      <c r="AS2389" s="4" t="s">
        <v>4895</v>
      </c>
      <c r="AV2389" s="503" t="s">
        <v>885</v>
      </c>
      <c r="BB2389" s="761" t="str">
        <f>IF(C2389=BF2389,BD2389,IF(C2389=BF2390,BD2390,IF(C2389=BF2391,BD2391,"")))</f>
        <v>pro-responsive</v>
      </c>
      <c r="BD2389" s="762" t="s">
        <v>4987</v>
      </c>
      <c r="BF2389" s="779" t="str">
        <f t="shared" si="100"/>
        <v/>
      </c>
      <c r="BG2389" s="763" t="s">
        <v>5061</v>
      </c>
      <c r="BH2389" s="763" t="s">
        <v>5076</v>
      </c>
      <c r="BI2389" s="763" t="s">
        <v>5044</v>
      </c>
      <c r="BJ2389" s="783" t="s">
        <v>5111</v>
      </c>
      <c r="BK2389" s="503" t="s">
        <v>885</v>
      </c>
      <c r="BM2389" s="775"/>
      <c r="BN2389" s="775"/>
      <c r="BO2389" s="765">
        <f>IF(C2389="",1,0)</f>
        <v>1</v>
      </c>
      <c r="BP2389" s="730"/>
      <c r="BQ2389" s="759" t="str">
        <f>IF(D2389=BD2389,BR2389,IF(D2389=BD2390,BR2390,IF(D2389=BD2391,BR2391,"")))</f>
        <v/>
      </c>
      <c r="BR2389" s="730" t="s">
        <v>4899</v>
      </c>
    </row>
    <row r="2390" spans="1:70" s="4" customFormat="1" ht="15" customHeight="1" thickBot="1" x14ac:dyDescent="0.35">
      <c r="A2390" s="475"/>
      <c r="B2390" s="475"/>
      <c r="C2390" s="902"/>
      <c r="D2390" s="778" t="str">
        <f>BQ2389</f>
        <v/>
      </c>
      <c r="E2390" s="475"/>
      <c r="F2390" s="475"/>
      <c r="AG2390" s="746">
        <v>-2</v>
      </c>
      <c r="AH2390" s="751" t="s">
        <v>4884</v>
      </c>
      <c r="AP2390" s="4" t="s">
        <v>4890</v>
      </c>
      <c r="AS2390" s="4" t="s">
        <v>4894</v>
      </c>
      <c r="AV2390" s="503" t="s">
        <v>885</v>
      </c>
      <c r="BB2390" s="766">
        <f>IF(BB2389=BD2389,BB$2363,IF(BB2389=BD2390,BD$2363,IF(BB2389=BD2391,BE$2363,BM$1021)))</f>
        <v>2</v>
      </c>
      <c r="BD2390" s="767" t="s">
        <v>4988</v>
      </c>
      <c r="BE2390" s="768"/>
      <c r="BF2390" s="780" t="str">
        <f t="shared" si="100"/>
        <v/>
      </c>
      <c r="BG2390" s="768" t="s">
        <v>5062</v>
      </c>
      <c r="BH2390" s="768" t="s">
        <v>5078</v>
      </c>
      <c r="BI2390" s="768" t="s">
        <v>5045</v>
      </c>
      <c r="BJ2390" s="784" t="s">
        <v>5110</v>
      </c>
      <c r="BK2390" s="503" t="s">
        <v>885</v>
      </c>
      <c r="BM2390" s="730"/>
      <c r="BN2390" s="730"/>
      <c r="BO2390" s="769"/>
      <c r="BP2390" s="730"/>
      <c r="BQ2390" s="730"/>
      <c r="BR2390" s="730" t="s">
        <v>4900</v>
      </c>
    </row>
    <row r="2391" spans="1:70" s="4" customFormat="1" ht="15.5" thickTop="1" x14ac:dyDescent="0.3">
      <c r="A2391" s="475"/>
      <c r="B2391" s="475"/>
      <c r="C2391" s="475"/>
      <c r="D2391" s="475"/>
      <c r="E2391" s="475"/>
      <c r="F2391" s="475"/>
      <c r="AG2391" s="746">
        <v>-3</v>
      </c>
      <c r="AH2391" s="752" t="s">
        <v>4885</v>
      </c>
      <c r="AP2391" s="4" t="s">
        <v>4891</v>
      </c>
      <c r="AS2391" s="4" t="s">
        <v>4889</v>
      </c>
      <c r="AV2391" s="503" t="s">
        <v>885</v>
      </c>
      <c r="BB2391" s="770"/>
      <c r="BD2391" s="771" t="s">
        <v>4989</v>
      </c>
      <c r="BE2391" s="772"/>
      <c r="BF2391" s="781" t="str">
        <f t="shared" si="100"/>
        <v/>
      </c>
      <c r="BG2391" s="772" t="s">
        <v>5063</v>
      </c>
      <c r="BH2391" s="772" t="s">
        <v>5077</v>
      </c>
      <c r="BI2391" s="772" t="s">
        <v>5046</v>
      </c>
      <c r="BJ2391" s="785" t="s">
        <v>5109</v>
      </c>
      <c r="BK2391" s="503" t="s">
        <v>885</v>
      </c>
      <c r="BM2391" s="774"/>
      <c r="BN2391" s="774"/>
      <c r="BO2391" s="773"/>
      <c r="BP2391" s="730"/>
      <c r="BQ2391" s="730"/>
      <c r="BR2391" s="730" t="s">
        <v>4900</v>
      </c>
    </row>
    <row r="2392" spans="1:70" s="4" customFormat="1" ht="13.75" customHeight="1" thickBot="1" x14ac:dyDescent="0.4">
      <c r="A2392" s="475"/>
      <c r="B2392" s="786" t="s">
        <v>5121</v>
      </c>
      <c r="C2392" s="900"/>
      <c r="D2392" s="900"/>
      <c r="E2392" s="900"/>
      <c r="F2392" s="475"/>
      <c r="AG2392" s="746">
        <v>-4</v>
      </c>
      <c r="AH2392" s="753" t="s">
        <v>4886</v>
      </c>
      <c r="AP2392" s="4" t="s">
        <v>4892</v>
      </c>
      <c r="AV2392" s="503" t="s">
        <v>885</v>
      </c>
      <c r="BB2392" s="776">
        <f>BB2366+BB2369+BB2372+BB2375+BB2378+BB2381+BB2384+BB2387+BB2390</f>
        <v>18</v>
      </c>
      <c r="BD2392" s="730"/>
      <c r="BE2392" s="730"/>
      <c r="BF2392"/>
      <c r="BG2392"/>
      <c r="BH2392"/>
      <c r="BI2392"/>
      <c r="BM2392" s="730"/>
      <c r="BN2392" s="730" t="s">
        <v>4990</v>
      </c>
      <c r="BO2392" s="730">
        <f>BO2365+BO2368+BO2371+BO2374+BO2377+BO2380+BO2383+BO2386+BO2389</f>
        <v>9</v>
      </c>
      <c r="BP2392" s="730"/>
      <c r="BQ2392" s="730"/>
      <c r="BR2392" s="730"/>
    </row>
    <row r="2393" spans="1:70" s="4" customFormat="1" ht="17.399999999999999" customHeight="1" thickTop="1" x14ac:dyDescent="0.35">
      <c r="A2393" s="475"/>
      <c r="B2393" s="890" t="str">
        <f>BB2393</f>
        <v>Fill all fields above to assess authority's level of</v>
      </c>
      <c r="C2393" s="891"/>
      <c r="D2393" s="892" t="str">
        <f>BB2394</f>
        <v>legitimacy.</v>
      </c>
      <c r="E2393" s="893"/>
      <c r="F2393" s="475"/>
      <c r="BB2393" s="730" t="str">
        <f>IF(BO2392&gt;0,BD2393,BE2393)</f>
        <v>Fill all fields above to assess authority's level of</v>
      </c>
      <c r="BD2393" s="730" t="s">
        <v>5120</v>
      </c>
      <c r="BE2393" s="730" t="str">
        <f>IF(AND(BB2392&gt;BG2393,BB2392&lt;=BH2393),BI2393,IF(AND(BB2392&gt;BG2394,BB2392&lt;=BH2394),BI2394,IF(AND(BB2392&gt;BG2395,BB2392&lt;=BH2395),BI2395,IF(AND(BB2392&gt;BG2396,BB2392&lt;=BH2396),BI2396,IF(AND(BB2392&gt;=BG2397,BB2392&lt;=BH2397),BI2397,"")))))</f>
        <v>Based on our assessment, we recognize you as a</v>
      </c>
      <c r="BF2393" s="730"/>
      <c r="BG2393" s="730">
        <f>BH2393-BH2363</f>
        <v>14.4</v>
      </c>
      <c r="BH2393" s="730">
        <f>BB2364</f>
        <v>18</v>
      </c>
      <c r="BI2393" s="730" t="s">
        <v>5112</v>
      </c>
      <c r="BM2393" s="777" t="s">
        <v>5114</v>
      </c>
      <c r="BN2393" s="730" t="s">
        <v>4991</v>
      </c>
      <c r="BO2393"/>
      <c r="BP2393"/>
      <c r="BQ2393"/>
      <c r="BR2393"/>
    </row>
    <row r="2394" spans="1:70" s="4" customFormat="1" ht="14.4" customHeight="1" x14ac:dyDescent="0.35">
      <c r="A2394" s="475"/>
      <c r="B2394" s="894" t="str">
        <f>BB2395</f>
        <v>BY HONESTLY ASSESSING THE POWERHOLDER'S IMPACT, YOU GIVE THEM DIRECT FEEDBACK THEY RARELY RECEIVE. YOU PROVIDE A CONCILIATORY PROCESS TO IMPROVE THEIR IMPACT. YOU INCENTIVIZE THEM TO SUPPORT YOUR MUTUALLY BENEFICIAL CAUSE.</v>
      </c>
      <c r="C2394" s="895"/>
      <c r="D2394" s="895"/>
      <c r="E2394" s="896"/>
      <c r="F2394" s="475"/>
      <c r="AG2394" s="4" t="s">
        <v>5366</v>
      </c>
      <c r="BB2394" s="777" t="str">
        <f>IF(BO2392&gt;0,BD2394,BE2394)</f>
        <v>legitimacy.</v>
      </c>
      <c r="BD2394" s="730" t="s">
        <v>4992</v>
      </c>
      <c r="BE2394" s="730" t="str">
        <f>IF(AND(BB2392&gt;BG2393,BB2392&lt;=BH2393),BM2393,IF(AND(BB2392&gt;BG2394,BB2392&lt;=BH2394),BM2394,IF(AND(BB2392&gt;BG2395,BB2392&lt;=BH2395),BM2395,IF(AND(BB2392&gt;BG2396,BB2392&lt;=BH2396),BM2396,IF(AND(BB2392&gt;=BG2397,BB2392&lt;=BH2397),BM2397,"")))))</f>
        <v>legitimate authority:</v>
      </c>
      <c r="BF2394" s="730"/>
      <c r="BG2394" s="730">
        <f>BH2394-BH2363</f>
        <v>10.8</v>
      </c>
      <c r="BH2394" s="730">
        <f>BG2393</f>
        <v>14.4</v>
      </c>
      <c r="BI2394" s="730" t="s">
        <v>5112</v>
      </c>
      <c r="BM2394" s="777" t="s">
        <v>5113</v>
      </c>
      <c r="BN2394" s="730" t="s">
        <v>4993</v>
      </c>
      <c r="BO2394"/>
      <c r="BP2394"/>
      <c r="BQ2394"/>
      <c r="BR2394"/>
    </row>
    <row r="2395" spans="1:70" s="4" customFormat="1" ht="14.5" x14ac:dyDescent="0.35">
      <c r="A2395" s="475"/>
      <c r="B2395" s="894"/>
      <c r="C2395" s="895"/>
      <c r="D2395" s="895"/>
      <c r="E2395" s="896"/>
      <c r="F2395" s="475"/>
      <c r="AG2395" s="4" t="s">
        <v>5365</v>
      </c>
      <c r="BB2395" s="730" t="str">
        <f>IF(BO2392&gt;0,BD2395,BE2395)</f>
        <v>BY HONESTLY ASSESSING THE POWERHOLDER'S IMPACT, YOU GIVE THEM DIRECT FEEDBACK THEY RARELY RECEIVE. YOU PROVIDE A CONCILIATORY PROCESS TO IMPROVE THEIR IMPACT. YOU INCENTIVIZE THEM TO SUPPORT YOUR MUTUALLY BENEFICIAL CAUSE.</v>
      </c>
      <c r="BD2395" s="730" t="str">
        <f>BN2392</f>
        <v>BY HONESTLY ASSESSING THE POWERHOLDER'S IMPACT, YOU GIVE THEM DIRECT FEEDBACK THEY RARELY RECEIVE. YOU PROVIDE A CONCILIATORY PROCESS TO IMPROVE THEIR IMPACT. YOU INCENTIVIZE THEM TO SUPPORT YOUR MUTUALLY BENEFICIAL CAUSE.</v>
      </c>
      <c r="BE2395" s="730" t="str">
        <f>IF(AND(BB2392&gt;BG2393,BB2392&lt;=BH2393),BN2393,IF(AND(BB2392&gt;BG2394,BB2392&lt;=BH2394),BN2394,IF(AND(BB2392&gt;BG2395,BB2392&lt;=BH2395),BN2395,IF(AND(BB2392&gt;BG2396,BB2392&lt;=BH2396),BN2396,IF(AND(BB2392&gt;=BG2397,BB2392&lt;=BH2397),BN2397,"")))))</f>
        <v>You demonstrate a conciliatory responsiveness to all needs you impact in this power relation. Your leadership is examplary. We invite you to follow our campaign to mutually resolve needs you are found to impact. We are starting a new way to improve lives with you, or without you.</v>
      </c>
      <c r="BF2395" s="730"/>
      <c r="BG2395" s="730">
        <f>BH2395-BH2363</f>
        <v>7.2000000000000011</v>
      </c>
      <c r="BH2395" s="730">
        <f>BG2394</f>
        <v>10.8</v>
      </c>
      <c r="BI2395" s="730" t="s">
        <v>5118</v>
      </c>
      <c r="BM2395" s="777" t="s">
        <v>5115</v>
      </c>
      <c r="BN2395" s="730" t="s">
        <v>5119</v>
      </c>
      <c r="BO2395"/>
      <c r="BP2395"/>
      <c r="BQ2395"/>
      <c r="BR2395"/>
    </row>
    <row r="2396" spans="1:70" s="4" customFormat="1" ht="14.5" x14ac:dyDescent="0.35">
      <c r="A2396" s="475"/>
      <c r="B2396" s="894"/>
      <c r="C2396" s="895"/>
      <c r="D2396" s="895"/>
      <c r="E2396" s="896"/>
      <c r="F2396" s="475"/>
      <c r="AG2396" s="4" t="s">
        <v>4920</v>
      </c>
      <c r="BB2396" s="730"/>
      <c r="BD2396" s="730"/>
      <c r="BE2396" s="730"/>
      <c r="BF2396" s="730"/>
      <c r="BG2396" s="730">
        <f>BH2396-BH2363</f>
        <v>3.600000000000001</v>
      </c>
      <c r="BH2396" s="730">
        <f>BG2395</f>
        <v>7.2000000000000011</v>
      </c>
      <c r="BI2396" s="730" t="s">
        <v>5118</v>
      </c>
      <c r="BM2396" s="777" t="s">
        <v>5116</v>
      </c>
      <c r="BN2396" s="730" t="s">
        <v>4994</v>
      </c>
      <c r="BO2396"/>
      <c r="BP2396"/>
      <c r="BQ2396"/>
      <c r="BR2396"/>
    </row>
    <row r="2397" spans="1:70" s="4" customFormat="1" ht="15" thickBot="1" x14ac:dyDescent="0.4">
      <c r="A2397" s="475"/>
      <c r="B2397" s="897"/>
      <c r="C2397" s="898"/>
      <c r="D2397" s="898"/>
      <c r="E2397" s="899"/>
      <c r="F2397" s="475"/>
      <c r="AG2397" s="4" t="s">
        <v>5367</v>
      </c>
      <c r="BB2397" s="730"/>
      <c r="BD2397" s="730"/>
      <c r="BE2397" s="730"/>
      <c r="BF2397" s="730"/>
      <c r="BG2397" s="730">
        <f>BH2397-BH2363</f>
        <v>0</v>
      </c>
      <c r="BH2397" s="730">
        <f>BG2396</f>
        <v>3.600000000000001</v>
      </c>
      <c r="BI2397" s="730" t="s">
        <v>5112</v>
      </c>
      <c r="BM2397" s="777" t="s">
        <v>5117</v>
      </c>
      <c r="BN2397" s="730" t="s">
        <v>4995</v>
      </c>
      <c r="BO2397"/>
      <c r="BP2397"/>
      <c r="BQ2397"/>
      <c r="BR2397"/>
    </row>
    <row r="2398" spans="1:70" s="4" customFormat="1" ht="10" customHeight="1" thickTop="1" x14ac:dyDescent="0.3">
      <c r="A2398" s="475"/>
      <c r="B2398" s="475"/>
      <c r="C2398" s="475"/>
      <c r="D2398" s="475"/>
      <c r="E2398" s="475"/>
      <c r="F2398" s="475"/>
    </row>
    <row r="2399" spans="1:70" s="4" customFormat="1" ht="30" hidden="1" customHeight="1" x14ac:dyDescent="0.3">
      <c r="A2399" s="861" t="s">
        <v>4431</v>
      </c>
      <c r="B2399" s="865" t="s">
        <v>5364</v>
      </c>
      <c r="C2399" s="865" t="s">
        <v>5365</v>
      </c>
      <c r="D2399" s="863" t="str">
        <f>IF(C2399=AG2395,"conviction finality","")</f>
        <v>conviction finality</v>
      </c>
      <c r="E2399" s="864"/>
      <c r="F2399" s="864"/>
    </row>
    <row r="2400" spans="1:70" s="4" customFormat="1" ht="20" hidden="1" customHeight="1" x14ac:dyDescent="0.3">
      <c r="A2400" s="475"/>
      <c r="B2400" s="475"/>
      <c r="C2400" s="475"/>
      <c r="D2400" s="475"/>
      <c r="E2400" s="475"/>
      <c r="F2400" s="475"/>
    </row>
    <row r="2401" spans="1:6" s="4" customFormat="1" ht="13.75" hidden="1" customHeight="1" x14ac:dyDescent="0.3">
      <c r="A2401" s="475"/>
      <c r="B2401" s="475" t="s">
        <v>5459</v>
      </c>
      <c r="C2401" s="475"/>
      <c r="D2401" s="475"/>
      <c r="E2401" s="475"/>
      <c r="F2401" s="475"/>
    </row>
    <row r="2402" spans="1:6" s="4" customFormat="1" ht="13.75" hidden="1" customHeight="1" x14ac:dyDescent="0.3">
      <c r="A2402" s="475"/>
      <c r="B2402" s="475"/>
      <c r="C2402" s="475"/>
      <c r="D2402" s="475"/>
      <c r="E2402" s="475"/>
      <c r="F2402" s="475"/>
    </row>
    <row r="2403" spans="1:6" s="4" customFormat="1" ht="13.75" hidden="1" customHeight="1" x14ac:dyDescent="0.3">
      <c r="A2403" s="475"/>
      <c r="B2403" s="475"/>
      <c r="C2403" s="475"/>
      <c r="D2403" s="475"/>
      <c r="E2403" s="475"/>
      <c r="F2403" s="475"/>
    </row>
    <row r="2404" spans="1:6" s="4" customFormat="1" ht="13.75" hidden="1" customHeight="1" x14ac:dyDescent="0.3">
      <c r="A2404" s="475"/>
      <c r="B2404" s="475"/>
      <c r="C2404" s="475"/>
      <c r="D2404" s="475"/>
      <c r="E2404" s="475"/>
      <c r="F2404" s="475"/>
    </row>
    <row r="2405" spans="1:6" s="4" customFormat="1" ht="13.75" hidden="1" customHeight="1" x14ac:dyDescent="0.3">
      <c r="A2405" s="475"/>
      <c r="B2405" s="475"/>
      <c r="C2405" s="475"/>
      <c r="D2405" s="475"/>
      <c r="E2405" s="475"/>
      <c r="F2405" s="475"/>
    </row>
    <row r="2406" spans="1:6" s="4" customFormat="1" ht="13.75" hidden="1" customHeight="1" x14ac:dyDescent="0.3">
      <c r="A2406" s="475"/>
      <c r="B2406" s="475"/>
      <c r="C2406" s="475"/>
      <c r="D2406" s="475"/>
      <c r="E2406" s="475"/>
      <c r="F2406" s="475"/>
    </row>
    <row r="2407" spans="1:6" s="4" customFormat="1" ht="13.75" hidden="1" customHeight="1" x14ac:dyDescent="0.3">
      <c r="A2407" s="475"/>
      <c r="B2407" s="475"/>
      <c r="C2407" s="475"/>
      <c r="D2407" s="475"/>
      <c r="E2407" s="475"/>
      <c r="F2407" s="475"/>
    </row>
    <row r="2408" spans="1:6" s="4" customFormat="1" ht="13.75" hidden="1" customHeight="1" x14ac:dyDescent="0.3">
      <c r="A2408" s="475"/>
      <c r="B2408" s="475"/>
      <c r="C2408" s="475"/>
      <c r="D2408" s="475"/>
      <c r="E2408" s="475"/>
      <c r="F2408" s="475"/>
    </row>
    <row r="2409" spans="1:6" s="4" customFormat="1" ht="13.75" hidden="1" customHeight="1" x14ac:dyDescent="0.3">
      <c r="A2409" s="475"/>
      <c r="B2409" s="475"/>
      <c r="C2409" s="475"/>
      <c r="D2409" s="475"/>
      <c r="E2409" s="475"/>
      <c r="F2409" s="475"/>
    </row>
    <row r="2410" spans="1:6" s="4" customFormat="1" ht="13.75" hidden="1" customHeight="1" x14ac:dyDescent="0.3">
      <c r="A2410" s="475"/>
      <c r="B2410" s="475"/>
      <c r="C2410" s="475"/>
      <c r="D2410" s="475"/>
      <c r="E2410" s="475"/>
      <c r="F2410" s="475"/>
    </row>
    <row r="2411" spans="1:6" s="4" customFormat="1" ht="13.75" hidden="1" customHeight="1" x14ac:dyDescent="0.3">
      <c r="A2411" s="475"/>
      <c r="B2411" s="475"/>
      <c r="C2411" s="475"/>
      <c r="D2411" s="475"/>
      <c r="E2411" s="475"/>
      <c r="F2411" s="475"/>
    </row>
    <row r="2412" spans="1:6" s="4" customFormat="1" ht="13.75" hidden="1" customHeight="1" x14ac:dyDescent="0.3">
      <c r="A2412" s="475"/>
      <c r="B2412" s="475"/>
      <c r="C2412" s="475"/>
      <c r="D2412" s="475"/>
      <c r="E2412" s="475"/>
      <c r="F2412" s="475"/>
    </row>
    <row r="2413" spans="1:6" s="4" customFormat="1" ht="13.75" hidden="1" customHeight="1" x14ac:dyDescent="0.3">
      <c r="A2413" s="475"/>
      <c r="B2413" s="475"/>
      <c r="C2413" s="475"/>
      <c r="D2413" s="475"/>
      <c r="E2413" s="475"/>
      <c r="F2413" s="475"/>
    </row>
    <row r="2414" spans="1:6" s="4" customFormat="1" ht="13.75" hidden="1" customHeight="1" x14ac:dyDescent="0.3">
      <c r="A2414" s="475"/>
      <c r="B2414" s="475"/>
      <c r="C2414" s="475"/>
      <c r="D2414" s="475"/>
      <c r="E2414" s="475"/>
      <c r="F2414" s="475"/>
    </row>
    <row r="2415" spans="1:6" s="4" customFormat="1" ht="13.75" hidden="1" customHeight="1" x14ac:dyDescent="0.3">
      <c r="A2415" s="475"/>
      <c r="B2415" s="475"/>
      <c r="C2415" s="475"/>
      <c r="D2415" s="475"/>
      <c r="E2415" s="475"/>
      <c r="F2415" s="475"/>
    </row>
    <row r="2416" spans="1:6" s="4" customFormat="1" ht="13.75" hidden="1" customHeight="1" x14ac:dyDescent="0.3">
      <c r="A2416" s="475"/>
      <c r="B2416" s="475"/>
      <c r="C2416" s="475"/>
      <c r="D2416" s="475"/>
      <c r="E2416" s="475"/>
      <c r="F2416" s="475"/>
    </row>
    <row r="2417" spans="1:6" s="4" customFormat="1" ht="13.75" hidden="1" customHeight="1" x14ac:dyDescent="0.3">
      <c r="A2417" s="475"/>
      <c r="B2417" s="475"/>
      <c r="C2417" s="475"/>
      <c r="D2417" s="475"/>
      <c r="E2417" s="475"/>
      <c r="F2417" s="475"/>
    </row>
    <row r="2418" spans="1:6" s="4" customFormat="1" ht="13.75" hidden="1" customHeight="1" x14ac:dyDescent="0.3">
      <c r="A2418" s="475"/>
      <c r="B2418" s="475"/>
      <c r="C2418" s="475"/>
      <c r="D2418" s="475"/>
      <c r="E2418" s="475"/>
      <c r="F2418" s="475"/>
    </row>
    <row r="2419" spans="1:6" s="4" customFormat="1" ht="13.75" hidden="1" customHeight="1" x14ac:dyDescent="0.3">
      <c r="A2419" s="475"/>
      <c r="B2419" s="475"/>
      <c r="C2419" s="475"/>
      <c r="D2419" s="475"/>
      <c r="E2419" s="475"/>
      <c r="F2419" s="475"/>
    </row>
    <row r="2420" spans="1:6" s="4" customFormat="1" ht="13.75" hidden="1" customHeight="1" x14ac:dyDescent="0.3">
      <c r="A2420" s="475"/>
      <c r="B2420" s="475"/>
      <c r="C2420" s="475"/>
      <c r="D2420" s="475"/>
      <c r="E2420" s="475"/>
      <c r="F2420" s="475"/>
    </row>
    <row r="2421" spans="1:6" s="4" customFormat="1" ht="13.75" hidden="1" customHeight="1" x14ac:dyDescent="0.3">
      <c r="A2421" s="475"/>
      <c r="B2421" s="475"/>
      <c r="C2421" s="475"/>
      <c r="D2421" s="475"/>
      <c r="E2421" s="475"/>
      <c r="F2421" s="475"/>
    </row>
    <row r="2422" spans="1:6" s="4" customFormat="1" ht="13.75" hidden="1" customHeight="1" x14ac:dyDescent="0.3">
      <c r="A2422" s="475"/>
      <c r="B2422" s="475"/>
      <c r="C2422" s="475"/>
      <c r="D2422" s="475"/>
      <c r="E2422" s="475"/>
      <c r="F2422" s="475"/>
    </row>
    <row r="2423" spans="1:6" s="4" customFormat="1" ht="13.75" hidden="1" customHeight="1" x14ac:dyDescent="0.3">
      <c r="A2423" s="475"/>
      <c r="B2423" s="475"/>
      <c r="C2423" s="475"/>
      <c r="D2423" s="475"/>
      <c r="E2423" s="475"/>
      <c r="F2423" s="475"/>
    </row>
    <row r="2424" spans="1:6" s="4" customFormat="1" ht="13.75" hidden="1" customHeight="1" x14ac:dyDescent="0.3">
      <c r="A2424" s="475"/>
      <c r="B2424" s="475"/>
      <c r="C2424" s="475"/>
      <c r="D2424" s="475"/>
      <c r="E2424" s="475"/>
      <c r="F2424" s="475"/>
    </row>
    <row r="2425" spans="1:6" s="4" customFormat="1" ht="13.75" hidden="1" customHeight="1" x14ac:dyDescent="0.3">
      <c r="A2425" s="475"/>
      <c r="B2425" s="475"/>
      <c r="C2425" s="475"/>
      <c r="D2425" s="475"/>
      <c r="E2425" s="475"/>
      <c r="F2425" s="475"/>
    </row>
    <row r="2426" spans="1:6" s="4" customFormat="1" ht="13.75" hidden="1" customHeight="1" x14ac:dyDescent="0.3">
      <c r="A2426" s="475"/>
      <c r="B2426" s="475"/>
      <c r="C2426" s="475"/>
      <c r="D2426" s="475"/>
      <c r="E2426" s="475"/>
      <c r="F2426" s="475"/>
    </row>
    <row r="2427" spans="1:6" s="4" customFormat="1" ht="13.75" hidden="1" customHeight="1" x14ac:dyDescent="0.3">
      <c r="A2427" s="475"/>
      <c r="B2427" s="475"/>
      <c r="C2427" s="475"/>
      <c r="D2427" s="475"/>
      <c r="E2427" s="475"/>
      <c r="F2427" s="475"/>
    </row>
    <row r="2428" spans="1:6" s="4" customFormat="1" ht="13.75" hidden="1" customHeight="1" x14ac:dyDescent="0.3">
      <c r="A2428" s="475"/>
      <c r="B2428" s="475"/>
      <c r="C2428" s="475"/>
      <c r="D2428" s="475"/>
      <c r="E2428" s="475"/>
      <c r="F2428" s="475"/>
    </row>
    <row r="2429" spans="1:6" s="4" customFormat="1" ht="13.75" hidden="1" customHeight="1" x14ac:dyDescent="0.3">
      <c r="A2429" s="475"/>
      <c r="B2429" s="475"/>
      <c r="C2429" s="475"/>
      <c r="D2429" s="475"/>
      <c r="E2429" s="475"/>
      <c r="F2429" s="475"/>
    </row>
    <row r="2430" spans="1:6" s="4" customFormat="1" ht="13.75" hidden="1" customHeight="1" x14ac:dyDescent="0.3">
      <c r="A2430" s="475"/>
      <c r="B2430" s="475"/>
      <c r="C2430" s="475"/>
      <c r="D2430" s="475"/>
      <c r="E2430" s="475"/>
      <c r="F2430" s="475"/>
    </row>
    <row r="2431" spans="1:6" s="4" customFormat="1" ht="13.75" hidden="1" customHeight="1" x14ac:dyDescent="0.3">
      <c r="A2431" s="475"/>
      <c r="B2431" s="475"/>
      <c r="C2431" s="475"/>
      <c r="D2431" s="475"/>
      <c r="E2431" s="475"/>
      <c r="F2431" s="475"/>
    </row>
    <row r="2432" spans="1:6" s="4" customFormat="1" ht="13.75" hidden="1" customHeight="1" x14ac:dyDescent="0.3">
      <c r="A2432" s="475"/>
      <c r="B2432" s="475"/>
      <c r="C2432" s="475"/>
      <c r="D2432" s="475"/>
      <c r="E2432" s="475"/>
      <c r="F2432" s="475"/>
    </row>
    <row r="2433" spans="1:54" s="4" customFormat="1" ht="13.75" hidden="1" customHeight="1" x14ac:dyDescent="0.3">
      <c r="A2433" s="475"/>
      <c r="B2433" s="475"/>
      <c r="C2433" s="475"/>
      <c r="D2433" s="475"/>
      <c r="E2433" s="475"/>
      <c r="F2433" s="475"/>
    </row>
    <row r="2434" spans="1:54" s="4" customFormat="1" ht="13.75" hidden="1" customHeight="1" x14ac:dyDescent="0.3">
      <c r="A2434" s="475"/>
      <c r="B2434" s="475"/>
      <c r="C2434" s="475"/>
      <c r="D2434" s="475"/>
      <c r="E2434" s="475"/>
      <c r="F2434" s="475"/>
    </row>
    <row r="2435" spans="1:54" s="4" customFormat="1" ht="13.75" hidden="1" customHeight="1" x14ac:dyDescent="0.3">
      <c r="A2435" s="475"/>
      <c r="B2435" s="475"/>
      <c r="C2435" s="475"/>
      <c r="D2435" s="475"/>
      <c r="E2435" s="475"/>
      <c r="F2435" s="475"/>
    </row>
    <row r="2436" spans="1:54" s="4" customFormat="1" ht="13.75" hidden="1" customHeight="1" x14ac:dyDescent="0.3">
      <c r="A2436" s="475"/>
      <c r="B2436" s="475"/>
      <c r="C2436" s="475"/>
      <c r="D2436" s="475"/>
      <c r="E2436" s="475"/>
      <c r="F2436" s="475"/>
    </row>
    <row r="2437" spans="1:54" s="4" customFormat="1" ht="13.75" hidden="1" customHeight="1" x14ac:dyDescent="0.3">
      <c r="A2437" s="475"/>
      <c r="B2437" s="475"/>
      <c r="C2437" s="475"/>
      <c r="D2437" s="475"/>
      <c r="E2437" s="475"/>
      <c r="F2437" s="475"/>
    </row>
    <row r="2438" spans="1:54" s="4" customFormat="1" ht="13.75" hidden="1" customHeight="1" x14ac:dyDescent="0.3">
      <c r="A2438" s="475"/>
      <c r="B2438" s="475"/>
      <c r="C2438" s="475"/>
      <c r="D2438" s="475"/>
      <c r="E2438" s="475"/>
      <c r="F2438" s="475"/>
    </row>
    <row r="2439" spans="1:54" s="4" customFormat="1" ht="13.75" hidden="1" customHeight="1" x14ac:dyDescent="0.3">
      <c r="A2439" s="475"/>
      <c r="B2439" s="475"/>
      <c r="C2439" s="475"/>
      <c r="D2439" s="475"/>
      <c r="E2439" s="475"/>
      <c r="F2439" s="475"/>
    </row>
    <row r="2440" spans="1:54" s="4" customFormat="1" ht="13.75" hidden="1" customHeight="1" x14ac:dyDescent="0.3">
      <c r="A2440" s="475"/>
      <c r="B2440" s="475"/>
      <c r="C2440" s="475"/>
      <c r="D2440" s="475"/>
      <c r="E2440" s="475"/>
      <c r="F2440" s="475"/>
    </row>
    <row r="2441" spans="1:54" s="4" customFormat="1" ht="13.75" hidden="1" customHeight="1" x14ac:dyDescent="0.3">
      <c r="A2441" s="475"/>
      <c r="B2441" s="475"/>
      <c r="C2441" s="475"/>
      <c r="D2441" s="475"/>
      <c r="E2441" s="475"/>
      <c r="F2441" s="475"/>
    </row>
    <row r="2442" spans="1:54" s="4" customFormat="1" ht="13.75" hidden="1" customHeight="1" x14ac:dyDescent="0.3">
      <c r="A2442" s="475"/>
      <c r="B2442" s="475"/>
      <c r="C2442" s="475"/>
      <c r="D2442" s="475"/>
      <c r="E2442" s="475"/>
      <c r="F2442" s="475"/>
    </row>
    <row r="2443" spans="1:54" s="4" customFormat="1" ht="13.75" hidden="1" customHeight="1" x14ac:dyDescent="0.3">
      <c r="A2443" s="475"/>
      <c r="B2443" s="475"/>
      <c r="C2443" s="475"/>
      <c r="D2443" s="475"/>
      <c r="E2443" s="475"/>
      <c r="F2443" s="475"/>
    </row>
    <row r="2444" spans="1:54" s="4" customFormat="1" ht="13.75" hidden="1" customHeight="1" x14ac:dyDescent="0.3">
      <c r="A2444" s="475"/>
      <c r="B2444" s="475"/>
      <c r="C2444" s="475"/>
      <c r="D2444" s="475"/>
      <c r="E2444" s="475"/>
      <c r="F2444" s="475"/>
    </row>
    <row r="2445" spans="1:54" s="4" customFormat="1" ht="20" hidden="1" customHeight="1" x14ac:dyDescent="0.3">
      <c r="A2445" s="475"/>
      <c r="B2445" s="475"/>
      <c r="C2445" s="475"/>
      <c r="D2445" s="475"/>
      <c r="E2445" s="475"/>
      <c r="F2445" s="475"/>
    </row>
    <row r="2446" spans="1:54" s="4" customFormat="1" ht="30" customHeight="1" x14ac:dyDescent="0.3">
      <c r="A2446" s="866" t="s">
        <v>3458</v>
      </c>
      <c r="B2446" s="867" t="s">
        <v>5494</v>
      </c>
      <c r="C2446" s="867"/>
      <c r="D2446" s="868"/>
      <c r="E2446" s="869"/>
      <c r="F2446" s="870"/>
      <c r="BB2446" s="4" t="str">
        <f>BE2395</f>
        <v>You demonstrate a conciliatory responsiveness to all needs you impact in this power relation. Your leadership is examplary. We invite you to follow our campaign to mutually resolve needs you are found to impact. We are starting a new way to improve lives with you, or without you.</v>
      </c>
    </row>
    <row r="2447" spans="1:54" s="4" customFormat="1" x14ac:dyDescent="0.3">
      <c r="A2447" s="666"/>
      <c r="F2447" s="667"/>
    </row>
    <row r="2448" spans="1:54" s="4" customFormat="1" ht="10" customHeight="1" thickBot="1" x14ac:dyDescent="0.35">
      <c r="A2448" s="666"/>
      <c r="F2448" s="667"/>
    </row>
    <row r="2449" spans="1:59" s="4" customFormat="1" ht="25.5" thickTop="1" thickBot="1" x14ac:dyDescent="0.35">
      <c r="A2449" s="666"/>
      <c r="B2449" s="906" t="s">
        <v>5493</v>
      </c>
      <c r="C2449" s="907"/>
      <c r="D2449" s="907"/>
      <c r="E2449" s="908"/>
      <c r="F2449" s="667"/>
      <c r="BB2449" s="388"/>
    </row>
    <row r="2450" spans="1:59" s="4" customFormat="1" ht="14.5" thickTop="1" x14ac:dyDescent="0.3">
      <c r="A2450" s="666"/>
      <c r="F2450" s="667"/>
      <c r="BB2450" s="388"/>
    </row>
    <row r="2451" spans="1:59" s="4" customFormat="1" ht="60" customHeight="1" x14ac:dyDescent="0.3">
      <c r="A2451" s="666"/>
      <c r="B2451" s="1176" t="s">
        <v>5495</v>
      </c>
      <c r="C2451" s="1176"/>
      <c r="D2451" s="1176"/>
      <c r="E2451" s="1176"/>
      <c r="F2451" s="667"/>
      <c r="AE2451" s="4" t="s">
        <v>4420</v>
      </c>
      <c r="AQ2451" s="4" t="s">
        <v>4922</v>
      </c>
      <c r="AV2451" s="757" t="s">
        <v>4902</v>
      </c>
      <c r="BB2451" s="757" t="s">
        <v>4935</v>
      </c>
      <c r="BC2451" s="757" t="s">
        <v>4936</v>
      </c>
    </row>
    <row r="2452" spans="1:59" s="4" customFormat="1" x14ac:dyDescent="0.3">
      <c r="A2452" s="666"/>
      <c r="B2452" s="1178">
        <v>1</v>
      </c>
      <c r="C2452" s="1177" t="s">
        <v>5496</v>
      </c>
      <c r="D2452" s="1179" t="s">
        <v>5497</v>
      </c>
      <c r="F2452" s="667"/>
      <c r="AE2452" s="4" t="s">
        <v>4428</v>
      </c>
      <c r="AG2452" s="4" t="s">
        <v>4429</v>
      </c>
      <c r="AQ2452" s="231" t="s">
        <v>4923</v>
      </c>
      <c r="AV2452" s="738" t="s">
        <v>4903</v>
      </c>
      <c r="BB2452" s="738" t="s">
        <v>4937</v>
      </c>
      <c r="BG2452" s="738" t="s">
        <v>4932</v>
      </c>
    </row>
    <row r="2453" spans="1:59" s="4" customFormat="1" x14ac:dyDescent="0.3">
      <c r="A2453" s="666"/>
      <c r="B2453" s="1178">
        <v>2</v>
      </c>
      <c r="C2453" s="1177" t="s">
        <v>5498</v>
      </c>
      <c r="D2453" s="1179" t="s">
        <v>5527</v>
      </c>
      <c r="F2453" s="667"/>
      <c r="AE2453" s="4" t="s">
        <v>4421</v>
      </c>
      <c r="AF2453" s="4" t="s">
        <v>4422</v>
      </c>
      <c r="AQ2453" s="231" t="s">
        <v>4925</v>
      </c>
      <c r="AV2453" s="738" t="s">
        <v>4904</v>
      </c>
      <c r="BB2453" s="738" t="s">
        <v>4938</v>
      </c>
      <c r="BG2453" s="738" t="s">
        <v>4933</v>
      </c>
    </row>
    <row r="2454" spans="1:59" s="4" customFormat="1" x14ac:dyDescent="0.3">
      <c r="A2454" s="666"/>
      <c r="B2454" s="1178">
        <v>3</v>
      </c>
      <c r="C2454" s="1177" t="s">
        <v>5499</v>
      </c>
      <c r="D2454" s="1179" t="s">
        <v>5531</v>
      </c>
      <c r="F2454" s="667"/>
      <c r="AQ2454" s="231" t="s">
        <v>4926</v>
      </c>
      <c r="AV2454" s="738" t="s">
        <v>4872</v>
      </c>
      <c r="BB2454" s="738" t="s">
        <v>4939</v>
      </c>
      <c r="BG2454" s="738" t="s">
        <v>4934</v>
      </c>
    </row>
    <row r="2455" spans="1:59" s="4" customFormat="1" x14ac:dyDescent="0.3">
      <c r="A2455" s="666"/>
      <c r="B2455" s="1178">
        <v>4</v>
      </c>
      <c r="C2455" s="1177" t="s">
        <v>5500</v>
      </c>
      <c r="D2455" s="1179" t="s">
        <v>5524</v>
      </c>
      <c r="F2455" s="667"/>
      <c r="AE2455" s="4" t="s">
        <v>4423</v>
      </c>
      <c r="AQ2455" s="231" t="s">
        <v>4927</v>
      </c>
      <c r="AV2455" s="738" t="s">
        <v>4905</v>
      </c>
      <c r="BB2455" s="738" t="s">
        <v>4912</v>
      </c>
    </row>
    <row r="2456" spans="1:59" s="4" customFormat="1" x14ac:dyDescent="0.3">
      <c r="A2456" s="666"/>
      <c r="B2456" s="1178">
        <v>5</v>
      </c>
      <c r="C2456" s="1177" t="s">
        <v>5501</v>
      </c>
      <c r="D2456" s="1179" t="s">
        <v>5525</v>
      </c>
      <c r="F2456" s="667"/>
      <c r="AQ2456" s="231" t="s">
        <v>4928</v>
      </c>
      <c r="AV2456" s="738" t="s">
        <v>4906</v>
      </c>
      <c r="BB2456" s="388"/>
    </row>
    <row r="2457" spans="1:59" s="4" customFormat="1" ht="14" customHeight="1" x14ac:dyDescent="0.3">
      <c r="A2457" s="666"/>
      <c r="B2457" s="1178">
        <v>6</v>
      </c>
      <c r="C2457" s="1177" t="s">
        <v>5502</v>
      </c>
      <c r="D2457" s="1179" t="s">
        <v>5532</v>
      </c>
      <c r="F2457" s="667"/>
      <c r="AG2457" s="4" t="s">
        <v>4434</v>
      </c>
      <c r="AV2457" s="738" t="s">
        <v>4907</v>
      </c>
      <c r="BB2457" s="388"/>
    </row>
    <row r="2458" spans="1:59" s="4" customFormat="1" x14ac:dyDescent="0.3">
      <c r="A2458" s="666"/>
      <c r="B2458" s="1178">
        <v>7</v>
      </c>
      <c r="C2458" s="1177" t="s">
        <v>5503</v>
      </c>
      <c r="D2458" s="1179" t="s">
        <v>5534</v>
      </c>
      <c r="F2458" s="667"/>
      <c r="G2458" s="347"/>
      <c r="H2458" s="347"/>
      <c r="I2458" s="347"/>
      <c r="J2458" s="347"/>
      <c r="K2458" s="347"/>
      <c r="L2458" s="347"/>
      <c r="M2458" s="347"/>
      <c r="N2458" s="347"/>
      <c r="O2458" s="347"/>
      <c r="P2458" s="347"/>
      <c r="Q2458" s="347"/>
      <c r="R2458" s="347"/>
      <c r="S2458" s="347"/>
      <c r="T2458" s="347"/>
      <c r="U2458" s="347"/>
      <c r="V2458" s="347"/>
      <c r="W2458" s="347"/>
      <c r="X2458" s="347"/>
      <c r="Y2458" s="347"/>
      <c r="Z2458" s="347"/>
      <c r="AE2458" s="4" t="s">
        <v>4424</v>
      </c>
      <c r="AG2458" s="4" t="s">
        <v>4435</v>
      </c>
      <c r="AQ2458" s="4" t="s">
        <v>4924</v>
      </c>
      <c r="AV2458" s="738" t="s">
        <v>4908</v>
      </c>
      <c r="BB2458" s="388"/>
    </row>
    <row r="2459" spans="1:59" s="4" customFormat="1" x14ac:dyDescent="0.3">
      <c r="A2459" s="666"/>
      <c r="B2459" s="1178">
        <v>8</v>
      </c>
      <c r="C2459" s="1177" t="s">
        <v>5504</v>
      </c>
      <c r="D2459" s="1179" t="s">
        <v>5524</v>
      </c>
      <c r="F2459" s="667"/>
      <c r="AG2459" s="4" t="s">
        <v>4433</v>
      </c>
      <c r="AQ2459" s="231" t="s">
        <v>4929</v>
      </c>
      <c r="AV2459" s="738" t="s">
        <v>4909</v>
      </c>
      <c r="BB2459" s="757" t="s">
        <v>4917</v>
      </c>
    </row>
    <row r="2460" spans="1:59" s="4" customFormat="1" x14ac:dyDescent="0.3">
      <c r="A2460" s="666"/>
      <c r="B2460" s="1178">
        <v>9</v>
      </c>
      <c r="C2460" s="1177" t="s">
        <v>5505</v>
      </c>
      <c r="D2460" s="1179" t="s">
        <v>5526</v>
      </c>
      <c r="F2460" s="667"/>
      <c r="AQ2460" s="231" t="s">
        <v>4930</v>
      </c>
      <c r="AV2460" s="738" t="s">
        <v>4910</v>
      </c>
      <c r="BB2460" s="738" t="s">
        <v>4918</v>
      </c>
    </row>
    <row r="2461" spans="1:59" s="4" customFormat="1" x14ac:dyDescent="0.3">
      <c r="A2461" s="666"/>
      <c r="B2461" s="1178">
        <v>10</v>
      </c>
      <c r="C2461" s="1177" t="s">
        <v>5506</v>
      </c>
      <c r="D2461" s="1179" t="s">
        <v>5536</v>
      </c>
      <c r="F2461" s="667"/>
      <c r="AE2461" s="4" t="s">
        <v>4426</v>
      </c>
      <c r="AQ2461" s="231" t="s">
        <v>4931</v>
      </c>
      <c r="AV2461" s="738" t="s">
        <v>4911</v>
      </c>
      <c r="BB2461" s="738" t="s">
        <v>4919</v>
      </c>
    </row>
    <row r="2462" spans="1:59" s="4" customFormat="1" x14ac:dyDescent="0.3">
      <c r="A2462" s="666"/>
      <c r="B2462" s="1178">
        <v>11</v>
      </c>
      <c r="C2462" s="1177" t="s">
        <v>5507</v>
      </c>
      <c r="D2462" s="1179" t="s">
        <v>5535</v>
      </c>
      <c r="F2462" s="667"/>
      <c r="AV2462" s="738" t="s">
        <v>4912</v>
      </c>
      <c r="BB2462" s="738" t="s">
        <v>4920</v>
      </c>
    </row>
    <row r="2463" spans="1:59" s="4" customFormat="1" ht="14" customHeight="1" x14ac:dyDescent="0.3">
      <c r="A2463" s="666"/>
      <c r="B2463" s="1178">
        <v>12</v>
      </c>
      <c r="C2463" s="1177" t="s">
        <v>5508</v>
      </c>
      <c r="D2463" s="1179" t="s">
        <v>5524</v>
      </c>
      <c r="F2463" s="667"/>
      <c r="AE2463" s="347"/>
      <c r="AF2463" s="347"/>
      <c r="AG2463" s="347"/>
      <c r="AV2463" s="738" t="s">
        <v>4913</v>
      </c>
      <c r="BB2463" s="738" t="s">
        <v>4921</v>
      </c>
    </row>
    <row r="2464" spans="1:59" s="4" customFormat="1" x14ac:dyDescent="0.3">
      <c r="A2464" s="666"/>
      <c r="B2464" s="1178">
        <v>13</v>
      </c>
      <c r="C2464" s="1177" t="s">
        <v>5509</v>
      </c>
      <c r="D2464" s="1179" t="s">
        <v>5528</v>
      </c>
      <c r="F2464" s="667"/>
      <c r="BB2464" s="388"/>
    </row>
    <row r="2465" spans="1:54" s="4" customFormat="1" ht="13.25" customHeight="1" x14ac:dyDescent="0.3">
      <c r="A2465" s="666"/>
      <c r="B2465" s="1178">
        <v>14</v>
      </c>
      <c r="C2465" s="1177" t="s">
        <v>5510</v>
      </c>
      <c r="D2465" s="1179" t="s">
        <v>5537</v>
      </c>
      <c r="F2465" s="667"/>
      <c r="AV2465" s="757" t="s">
        <v>4954</v>
      </c>
      <c r="BB2465" s="388"/>
    </row>
    <row r="2466" spans="1:54" s="4" customFormat="1" x14ac:dyDescent="0.3">
      <c r="A2466" s="666"/>
      <c r="B2466" s="1178">
        <v>15</v>
      </c>
      <c r="C2466" s="1177" t="s">
        <v>5511</v>
      </c>
      <c r="D2466" s="1179" t="s">
        <v>5533</v>
      </c>
      <c r="F2466" s="667"/>
      <c r="AV2466" s="738" t="s">
        <v>4946</v>
      </c>
      <c r="BB2466" s="388"/>
    </row>
    <row r="2467" spans="1:54" s="4" customFormat="1" x14ac:dyDescent="0.3">
      <c r="A2467" s="666"/>
      <c r="B2467" s="1178">
        <v>16</v>
      </c>
      <c r="C2467" s="1177" t="s">
        <v>5512</v>
      </c>
      <c r="D2467" s="1179" t="s">
        <v>5540</v>
      </c>
      <c r="F2467" s="667"/>
      <c r="AV2467" s="738" t="s">
        <v>4947</v>
      </c>
      <c r="BB2467" s="388"/>
    </row>
    <row r="2468" spans="1:54" s="4" customFormat="1" ht="14" customHeight="1" x14ac:dyDescent="0.3">
      <c r="A2468" s="666"/>
      <c r="B2468" s="1178">
        <v>17</v>
      </c>
      <c r="C2468" s="1177" t="s">
        <v>5513</v>
      </c>
      <c r="D2468" s="1179" t="s">
        <v>5538</v>
      </c>
      <c r="F2468" s="667"/>
      <c r="AE2468" s="347" t="s">
        <v>4868</v>
      </c>
      <c r="AV2468" s="738" t="s">
        <v>4948</v>
      </c>
      <c r="BB2468" s="388"/>
    </row>
    <row r="2469" spans="1:54" s="4" customFormat="1" x14ac:dyDescent="0.3">
      <c r="A2469" s="666"/>
      <c r="B2469" s="1178">
        <v>18</v>
      </c>
      <c r="C2469" s="1177" t="s">
        <v>5514</v>
      </c>
      <c r="D2469" s="1179" t="s">
        <v>5539</v>
      </c>
      <c r="F2469" s="667"/>
      <c r="AV2469" s="738" t="s">
        <v>4949</v>
      </c>
      <c r="BB2469" s="388"/>
    </row>
    <row r="2470" spans="1:54" s="4" customFormat="1" x14ac:dyDescent="0.3">
      <c r="A2470" s="666"/>
      <c r="B2470" s="1178">
        <v>19</v>
      </c>
      <c r="C2470" s="1177" t="s">
        <v>5515</v>
      </c>
      <c r="D2470" s="1179" t="s">
        <v>5530</v>
      </c>
      <c r="F2470" s="667"/>
      <c r="AV2470" s="738" t="s">
        <v>4950</v>
      </c>
      <c r="BB2470" s="388"/>
    </row>
    <row r="2471" spans="1:54" s="4" customFormat="1" x14ac:dyDescent="0.3">
      <c r="A2471" s="666"/>
      <c r="B2471" s="1178">
        <v>20</v>
      </c>
      <c r="C2471" s="1177" t="s">
        <v>5516</v>
      </c>
      <c r="D2471" s="1179" t="s">
        <v>5539</v>
      </c>
      <c r="F2471" s="667"/>
      <c r="AE2471" s="4" t="e">
        <f ca="1">CONCATENATE(AH2471,AI2471,AJ2471)</f>
        <v>#VALUE!</v>
      </c>
      <c r="AH2471" s="758" t="e">
        <f ca="1">ROUND(((TODAY()-C2452)/7),0)</f>
        <v>#VALUE!</v>
      </c>
      <c r="AI2471" s="4" t="e">
        <f ca="1">IF(AH2471=1,"st",IF(AH2471=2,"nd",IF(AH2471=3,"rd","th")))</f>
        <v>#VALUE!</v>
      </c>
      <c r="AJ2471" s="4" t="s">
        <v>4956</v>
      </c>
      <c r="AV2471" s="738" t="s">
        <v>4951</v>
      </c>
      <c r="BB2471" s="388"/>
    </row>
    <row r="2472" spans="1:54" s="4" customFormat="1" x14ac:dyDescent="0.3">
      <c r="A2472" s="666"/>
      <c r="B2472" s="1178">
        <v>21</v>
      </c>
      <c r="C2472" s="1177" t="s">
        <v>5517</v>
      </c>
      <c r="D2472" s="1179" t="s">
        <v>5542</v>
      </c>
      <c r="F2472" s="667"/>
      <c r="BB2472" s="388"/>
    </row>
    <row r="2473" spans="1:54" s="4" customFormat="1" x14ac:dyDescent="0.3">
      <c r="A2473" s="666"/>
      <c r="B2473" s="1178">
        <v>22</v>
      </c>
      <c r="C2473" s="1177" t="s">
        <v>5518</v>
      </c>
      <c r="D2473" s="1179" t="s">
        <v>5543</v>
      </c>
      <c r="F2473" s="667"/>
      <c r="AV2473" s="757" t="s">
        <v>4955</v>
      </c>
      <c r="BB2473" s="388"/>
    </row>
    <row r="2474" spans="1:54" s="4" customFormat="1" x14ac:dyDescent="0.3">
      <c r="A2474" s="666"/>
      <c r="B2474" s="1178">
        <v>23</v>
      </c>
      <c r="C2474" s="1177" t="s">
        <v>5519</v>
      </c>
      <c r="D2474" s="1179" t="s">
        <v>5544</v>
      </c>
      <c r="F2474" s="667"/>
      <c r="AV2474" s="738" t="s">
        <v>4952</v>
      </c>
      <c r="BB2474" s="388"/>
    </row>
    <row r="2475" spans="1:54" s="4" customFormat="1" x14ac:dyDescent="0.3">
      <c r="A2475" s="666"/>
      <c r="B2475" s="1178">
        <v>24</v>
      </c>
      <c r="C2475" s="1177" t="s">
        <v>5520</v>
      </c>
      <c r="D2475" s="1179" t="s">
        <v>5534</v>
      </c>
      <c r="F2475" s="667"/>
      <c r="AV2475" s="738" t="s">
        <v>4914</v>
      </c>
      <c r="BB2475" s="388"/>
    </row>
    <row r="2476" spans="1:54" s="4" customFormat="1" x14ac:dyDescent="0.3">
      <c r="A2476" s="666"/>
      <c r="B2476" s="1178">
        <v>25</v>
      </c>
      <c r="C2476" s="1177" t="s">
        <v>5521</v>
      </c>
      <c r="D2476" s="1179" t="s">
        <v>5533</v>
      </c>
      <c r="F2476" s="667"/>
      <c r="AV2476" s="738" t="s">
        <v>4915</v>
      </c>
      <c r="BB2476" s="388"/>
    </row>
    <row r="2477" spans="1:54" s="4" customFormat="1" x14ac:dyDescent="0.3">
      <c r="A2477" s="666"/>
      <c r="B2477" s="1178">
        <v>26</v>
      </c>
      <c r="C2477" s="1177" t="s">
        <v>5522</v>
      </c>
      <c r="D2477" s="1179" t="s">
        <v>5545</v>
      </c>
      <c r="F2477" s="667"/>
      <c r="AV2477" s="738" t="s">
        <v>4916</v>
      </c>
      <c r="BB2477" s="388"/>
    </row>
    <row r="2478" spans="1:54" s="4" customFormat="1" x14ac:dyDescent="0.3">
      <c r="A2478" s="666"/>
      <c r="B2478" s="1178">
        <v>27</v>
      </c>
      <c r="C2478" s="1177" t="s">
        <v>5523</v>
      </c>
      <c r="D2478" s="1179" t="s">
        <v>5529</v>
      </c>
      <c r="F2478" s="667"/>
      <c r="AV2478" s="738" t="s">
        <v>4953</v>
      </c>
      <c r="BB2478" s="388"/>
    </row>
    <row r="2479" spans="1:54" s="4" customFormat="1" x14ac:dyDescent="0.3">
      <c r="A2479" s="666"/>
      <c r="F2479" s="667"/>
      <c r="BB2479" s="388"/>
    </row>
    <row r="2480" spans="1:54" s="4" customFormat="1" ht="14.5" x14ac:dyDescent="0.35">
      <c r="A2480" s="666"/>
      <c r="B2480" s="1189" t="s">
        <v>5541</v>
      </c>
      <c r="D2480" s="1188" t="s">
        <v>5546</v>
      </c>
      <c r="F2480" s="667"/>
      <c r="BB2480" s="388"/>
    </row>
    <row r="2481" spans="1:54" s="4" customFormat="1" x14ac:dyDescent="0.3">
      <c r="A2481" s="666"/>
      <c r="F2481" s="667"/>
      <c r="BB2481" s="388"/>
    </row>
    <row r="2482" spans="1:54" s="4" customFormat="1" x14ac:dyDescent="0.3">
      <c r="A2482" s="666"/>
      <c r="F2482" s="667"/>
      <c r="BB2482" s="388"/>
    </row>
    <row r="2483" spans="1:54" s="4" customFormat="1" x14ac:dyDescent="0.3">
      <c r="A2483" s="1180"/>
      <c r="B2483" s="1185" t="s">
        <v>5140</v>
      </c>
      <c r="C2483" s="1185"/>
      <c r="D2483" s="1185"/>
      <c r="E2483" s="1185"/>
      <c r="F2483" s="1181"/>
      <c r="BB2483" s="388"/>
    </row>
    <row r="2484" spans="1:54" s="4" customFormat="1" x14ac:dyDescent="0.3">
      <c r="A2484" s="1180"/>
      <c r="B2484" s="1185"/>
      <c r="C2484" s="1185"/>
      <c r="D2484" s="1185"/>
      <c r="E2484" s="1185"/>
      <c r="F2484" s="1181"/>
      <c r="BB2484" s="388"/>
    </row>
    <row r="2485" spans="1:54" s="4" customFormat="1" ht="14.4" customHeight="1" x14ac:dyDescent="0.3">
      <c r="A2485" s="1180"/>
      <c r="B2485" s="1186" t="s">
        <v>5139</v>
      </c>
      <c r="C2485" s="1186"/>
      <c r="D2485" s="1186"/>
      <c r="E2485" s="1186"/>
      <c r="F2485" s="1181"/>
      <c r="BB2485" s="388"/>
    </row>
    <row r="2486" spans="1:54" s="4" customFormat="1" ht="13.75" customHeight="1" x14ac:dyDescent="0.3">
      <c r="A2486" s="1180"/>
      <c r="B2486" s="1186"/>
      <c r="C2486" s="1186"/>
      <c r="D2486" s="1186"/>
      <c r="E2486" s="1186"/>
      <c r="F2486" s="1181"/>
      <c r="BB2486" s="388"/>
    </row>
    <row r="2487" spans="1:54" s="4" customFormat="1" x14ac:dyDescent="0.3">
      <c r="A2487" s="1180"/>
      <c r="B2487" s="1186"/>
      <c r="C2487" s="1186"/>
      <c r="D2487" s="1186"/>
      <c r="E2487" s="1186"/>
      <c r="F2487" s="1181"/>
      <c r="BB2487" s="388"/>
    </row>
    <row r="2488" spans="1:54" s="4" customFormat="1" x14ac:dyDescent="0.3">
      <c r="A2488" s="1180"/>
      <c r="B2488" s="1186"/>
      <c r="C2488" s="1186"/>
      <c r="D2488" s="1186"/>
      <c r="E2488" s="1186"/>
      <c r="F2488" s="1181"/>
      <c r="BB2488" s="388"/>
    </row>
    <row r="2489" spans="1:54" s="4" customFormat="1" x14ac:dyDescent="0.3">
      <c r="A2489" s="1182"/>
      <c r="B2489" s="1183"/>
      <c r="C2489" s="1183"/>
      <c r="D2489" s="1183"/>
      <c r="E2489" s="1183"/>
      <c r="F2489" s="1184"/>
      <c r="BB2489" s="388"/>
    </row>
    <row r="2490" spans="1:54" s="4" customFormat="1" x14ac:dyDescent="0.3">
      <c r="BB2490" s="388"/>
    </row>
    <row r="2491" spans="1:54" s="4" customFormat="1" x14ac:dyDescent="0.3">
      <c r="BB2491" s="388"/>
    </row>
    <row r="2492" spans="1:54" s="4" customFormat="1" x14ac:dyDescent="0.3">
      <c r="BB2492" s="388"/>
    </row>
    <row r="2493" spans="1:54" s="4" customFormat="1" x14ac:dyDescent="0.3">
      <c r="BB2493" s="388"/>
    </row>
    <row r="2494" spans="1:54" s="4" customFormat="1" x14ac:dyDescent="0.3">
      <c r="BB2494" s="388"/>
    </row>
    <row r="2495" spans="1:54" s="4" customFormat="1" x14ac:dyDescent="0.3">
      <c r="BB2495" s="388"/>
    </row>
    <row r="2496" spans="1:54" s="4" customFormat="1" x14ac:dyDescent="0.3">
      <c r="BB2496" s="388"/>
    </row>
    <row r="2497" spans="54:54" s="4" customFormat="1" x14ac:dyDescent="0.3">
      <c r="BB2497" s="388"/>
    </row>
    <row r="2498" spans="54:54" s="4" customFormat="1" x14ac:dyDescent="0.3">
      <c r="BB2498" s="388"/>
    </row>
    <row r="2499" spans="54:54" s="4" customFormat="1" x14ac:dyDescent="0.3">
      <c r="BB2499" s="388"/>
    </row>
    <row r="2500" spans="54:54" s="4" customFormat="1" x14ac:dyDescent="0.3">
      <c r="BB2500" s="388"/>
    </row>
    <row r="2501" spans="54:54" s="4" customFormat="1" x14ac:dyDescent="0.3">
      <c r="BB2501" s="388"/>
    </row>
    <row r="2502" spans="54:54" s="4" customFormat="1" x14ac:dyDescent="0.3">
      <c r="BB2502" s="388"/>
    </row>
    <row r="2503" spans="54:54" s="4" customFormat="1" x14ac:dyDescent="0.3">
      <c r="BB2503" s="388"/>
    </row>
    <row r="2504" spans="54:54" s="4" customFormat="1" x14ac:dyDescent="0.3">
      <c r="BB2504" s="388"/>
    </row>
    <row r="2505" spans="54:54" s="4" customFormat="1" x14ac:dyDescent="0.3">
      <c r="BB2505" s="388"/>
    </row>
    <row r="2506" spans="54:54" s="4" customFormat="1" x14ac:dyDescent="0.3">
      <c r="BB2506" s="388"/>
    </row>
    <row r="2507" spans="54:54" s="4" customFormat="1" x14ac:dyDescent="0.3">
      <c r="BB2507" s="388"/>
    </row>
    <row r="2508" spans="54:54" s="4" customFormat="1" x14ac:dyDescent="0.3">
      <c r="BB2508" s="388"/>
    </row>
    <row r="2509" spans="54:54" s="4" customFormat="1" x14ac:dyDescent="0.3">
      <c r="BB2509" s="388"/>
    </row>
    <row r="2510" spans="54:54" s="4" customFormat="1" x14ac:dyDescent="0.3">
      <c r="BB2510" s="388"/>
    </row>
    <row r="2511" spans="54:54" s="4" customFormat="1" x14ac:dyDescent="0.3">
      <c r="BB2511" s="388"/>
    </row>
    <row r="2512" spans="54:54" s="4" customFormat="1" x14ac:dyDescent="0.3">
      <c r="BB2512" s="388"/>
    </row>
    <row r="2513" spans="54:54" s="4" customFormat="1" x14ac:dyDescent="0.3">
      <c r="BB2513" s="388"/>
    </row>
    <row r="2514" spans="54:54" s="4" customFormat="1" x14ac:dyDescent="0.3">
      <c r="BB2514" s="388"/>
    </row>
    <row r="2515" spans="54:54" s="4" customFormat="1" x14ac:dyDescent="0.3">
      <c r="BB2515" s="388"/>
    </row>
    <row r="2516" spans="54:54" s="4" customFormat="1" x14ac:dyDescent="0.3">
      <c r="BB2516" s="388"/>
    </row>
    <row r="2517" spans="54:54" s="4" customFormat="1" x14ac:dyDescent="0.3">
      <c r="BB2517" s="388"/>
    </row>
    <row r="2518" spans="54:54" s="4" customFormat="1" x14ac:dyDescent="0.3">
      <c r="BB2518" s="388"/>
    </row>
    <row r="2519" spans="54:54" s="4" customFormat="1" x14ac:dyDescent="0.3">
      <c r="BB2519" s="388"/>
    </row>
    <row r="2520" spans="54:54" s="4" customFormat="1" x14ac:dyDescent="0.3">
      <c r="BB2520" s="388"/>
    </row>
    <row r="2521" spans="54:54" s="4" customFormat="1" x14ac:dyDescent="0.3">
      <c r="BB2521" s="388"/>
    </row>
    <row r="2522" spans="54:54" s="4" customFormat="1" x14ac:dyDescent="0.3">
      <c r="BB2522" s="388"/>
    </row>
    <row r="2523" spans="54:54" s="4" customFormat="1" x14ac:dyDescent="0.3">
      <c r="BB2523" s="388"/>
    </row>
    <row r="2524" spans="54:54" s="4" customFormat="1" x14ac:dyDescent="0.3">
      <c r="BB2524" s="388"/>
    </row>
    <row r="2525" spans="54:54" s="4" customFormat="1" x14ac:dyDescent="0.3">
      <c r="BB2525" s="388"/>
    </row>
    <row r="2526" spans="54:54" s="4" customFormat="1" x14ac:dyDescent="0.3">
      <c r="BB2526" s="388"/>
    </row>
    <row r="2527" spans="54:54" s="4" customFormat="1" x14ac:dyDescent="0.3">
      <c r="BB2527" s="388"/>
    </row>
    <row r="2528" spans="54:54" s="4" customFormat="1" x14ac:dyDescent="0.3">
      <c r="BB2528" s="388"/>
    </row>
    <row r="2529" spans="54:54" s="4" customFormat="1" x14ac:dyDescent="0.3">
      <c r="BB2529" s="388"/>
    </row>
    <row r="2530" spans="54:54" s="4" customFormat="1" x14ac:dyDescent="0.3">
      <c r="BB2530" s="388"/>
    </row>
    <row r="2531" spans="54:54" s="4" customFormat="1" x14ac:dyDescent="0.3">
      <c r="BB2531" s="388"/>
    </row>
    <row r="2532" spans="54:54" s="4" customFormat="1" x14ac:dyDescent="0.3">
      <c r="BB2532" s="388"/>
    </row>
    <row r="2533" spans="54:54" s="4" customFormat="1" x14ac:dyDescent="0.3">
      <c r="BB2533" s="388"/>
    </row>
    <row r="2534" spans="54:54" s="4" customFormat="1" x14ac:dyDescent="0.3">
      <c r="BB2534" s="388"/>
    </row>
    <row r="2535" spans="54:54" s="4" customFormat="1" x14ac:dyDescent="0.3">
      <c r="BB2535" s="388"/>
    </row>
    <row r="2536" spans="54:54" s="4" customFormat="1" x14ac:dyDescent="0.3">
      <c r="BB2536" s="388"/>
    </row>
    <row r="2537" spans="54:54" s="4" customFormat="1" x14ac:dyDescent="0.3">
      <c r="BB2537" s="388"/>
    </row>
    <row r="2538" spans="54:54" s="4" customFormat="1" x14ac:dyDescent="0.3">
      <c r="BB2538" s="388"/>
    </row>
    <row r="2539" spans="54:54" s="4" customFormat="1" x14ac:dyDescent="0.3">
      <c r="BB2539" s="388"/>
    </row>
    <row r="2540" spans="54:54" s="4" customFormat="1" x14ac:dyDescent="0.3">
      <c r="BB2540" s="388"/>
    </row>
    <row r="2541" spans="54:54" s="4" customFormat="1" x14ac:dyDescent="0.3">
      <c r="BB2541" s="388"/>
    </row>
    <row r="2542" spans="54:54" s="4" customFormat="1" x14ac:dyDescent="0.3">
      <c r="BB2542" s="388"/>
    </row>
    <row r="2543" spans="54:54" s="4" customFormat="1" x14ac:dyDescent="0.3">
      <c r="BB2543" s="388"/>
    </row>
    <row r="2544" spans="54:54" s="4" customFormat="1" x14ac:dyDescent="0.3">
      <c r="BB2544" s="388"/>
    </row>
    <row r="2545" spans="54:54" s="4" customFormat="1" x14ac:dyDescent="0.3">
      <c r="BB2545" s="388"/>
    </row>
    <row r="2546" spans="54:54" s="4" customFormat="1" x14ac:dyDescent="0.3">
      <c r="BB2546" s="388"/>
    </row>
    <row r="2547" spans="54:54" s="4" customFormat="1" x14ac:dyDescent="0.3">
      <c r="BB2547" s="388"/>
    </row>
    <row r="2548" spans="54:54" s="4" customFormat="1" x14ac:dyDescent="0.3">
      <c r="BB2548" s="388"/>
    </row>
    <row r="2549" spans="54:54" s="4" customFormat="1" x14ac:dyDescent="0.3">
      <c r="BB2549" s="388"/>
    </row>
    <row r="2550" spans="54:54" s="4" customFormat="1" x14ac:dyDescent="0.3">
      <c r="BB2550" s="388"/>
    </row>
    <row r="2551" spans="54:54" s="4" customFormat="1" x14ac:dyDescent="0.3">
      <c r="BB2551" s="388"/>
    </row>
    <row r="2552" spans="54:54" s="4" customFormat="1" x14ac:dyDescent="0.3">
      <c r="BB2552" s="388"/>
    </row>
    <row r="2553" spans="54:54" s="4" customFormat="1" x14ac:dyDescent="0.3">
      <c r="BB2553" s="388"/>
    </row>
    <row r="2554" spans="54:54" s="4" customFormat="1" x14ac:dyDescent="0.3">
      <c r="BB2554" s="388"/>
    </row>
    <row r="2555" spans="54:54" s="4" customFormat="1" x14ac:dyDescent="0.3">
      <c r="BB2555" s="388"/>
    </row>
    <row r="2556" spans="54:54" s="4" customFormat="1" x14ac:dyDescent="0.3">
      <c r="BB2556" s="388"/>
    </row>
    <row r="2557" spans="54:54" s="4" customFormat="1" x14ac:dyDescent="0.3">
      <c r="BB2557" s="388"/>
    </row>
    <row r="2558" spans="54:54" s="4" customFormat="1" x14ac:dyDescent="0.3">
      <c r="BB2558" s="388"/>
    </row>
    <row r="2559" spans="54:54" s="4" customFormat="1" x14ac:dyDescent="0.3">
      <c r="BB2559" s="388"/>
    </row>
    <row r="2560" spans="54:54" s="4" customFormat="1" x14ac:dyDescent="0.3">
      <c r="BB2560" s="388"/>
    </row>
    <row r="2561" spans="54:54" s="4" customFormat="1" x14ac:dyDescent="0.3">
      <c r="BB2561" s="388"/>
    </row>
    <row r="2562" spans="54:54" s="4" customFormat="1" x14ac:dyDescent="0.3">
      <c r="BB2562" s="388"/>
    </row>
    <row r="2563" spans="54:54" s="4" customFormat="1" x14ac:dyDescent="0.3">
      <c r="BB2563" s="388"/>
    </row>
    <row r="2564" spans="54:54" s="4" customFormat="1" x14ac:dyDescent="0.3">
      <c r="BB2564" s="388"/>
    </row>
    <row r="2565" spans="54:54" s="4" customFormat="1" x14ac:dyDescent="0.3">
      <c r="BB2565" s="388"/>
    </row>
    <row r="2566" spans="54:54" s="4" customFormat="1" x14ac:dyDescent="0.3">
      <c r="BB2566" s="388"/>
    </row>
    <row r="2567" spans="54:54" s="4" customFormat="1" x14ac:dyDescent="0.3">
      <c r="BB2567" s="388"/>
    </row>
    <row r="2568" spans="54:54" s="4" customFormat="1" x14ac:dyDescent="0.3">
      <c r="BB2568" s="388"/>
    </row>
    <row r="2569" spans="54:54" s="4" customFormat="1" x14ac:dyDescent="0.3">
      <c r="BB2569" s="388"/>
    </row>
    <row r="2570" spans="54:54" s="4" customFormat="1" x14ac:dyDescent="0.3">
      <c r="BB2570" s="388"/>
    </row>
    <row r="2571" spans="54:54" s="4" customFormat="1" x14ac:dyDescent="0.3">
      <c r="BB2571" s="388"/>
    </row>
    <row r="2572" spans="54:54" s="4" customFormat="1" x14ac:dyDescent="0.3">
      <c r="BB2572" s="388"/>
    </row>
    <row r="2573" spans="54:54" s="4" customFormat="1" x14ac:dyDescent="0.3">
      <c r="BB2573" s="388"/>
    </row>
    <row r="2574" spans="54:54" s="4" customFormat="1" x14ac:dyDescent="0.3">
      <c r="BB2574" s="388"/>
    </row>
    <row r="2575" spans="54:54" s="4" customFormat="1" x14ac:dyDescent="0.3">
      <c r="BB2575" s="388"/>
    </row>
    <row r="2576" spans="54:54" s="4" customFormat="1" x14ac:dyDescent="0.3">
      <c r="BB2576" s="388"/>
    </row>
    <row r="2577" spans="54:54" s="4" customFormat="1" x14ac:dyDescent="0.3">
      <c r="BB2577" s="388"/>
    </row>
    <row r="2578" spans="54:54" s="4" customFormat="1" x14ac:dyDescent="0.3">
      <c r="BB2578" s="388"/>
    </row>
    <row r="2579" spans="54:54" s="4" customFormat="1" x14ac:dyDescent="0.3">
      <c r="BB2579" s="388"/>
    </row>
    <row r="2580" spans="54:54" s="4" customFormat="1" x14ac:dyDescent="0.3">
      <c r="BB2580" s="388"/>
    </row>
    <row r="2581" spans="54:54" s="4" customFormat="1" x14ac:dyDescent="0.3">
      <c r="BB2581" s="388"/>
    </row>
    <row r="2582" spans="54:54" s="4" customFormat="1" x14ac:dyDescent="0.3">
      <c r="BB2582" s="388"/>
    </row>
    <row r="2583" spans="54:54" s="4" customFormat="1" x14ac:dyDescent="0.3">
      <c r="BB2583" s="388"/>
    </row>
    <row r="2584" spans="54:54" s="4" customFormat="1" x14ac:dyDescent="0.3">
      <c r="BB2584" s="388"/>
    </row>
    <row r="2585" spans="54:54" s="4" customFormat="1" x14ac:dyDescent="0.3">
      <c r="BB2585" s="388"/>
    </row>
    <row r="2586" spans="54:54" s="4" customFormat="1" x14ac:dyDescent="0.3">
      <c r="BB2586" s="388"/>
    </row>
    <row r="2587" spans="54:54" s="4" customFormat="1" x14ac:dyDescent="0.3">
      <c r="BB2587" s="388"/>
    </row>
    <row r="2588" spans="54:54" s="4" customFormat="1" x14ac:dyDescent="0.3">
      <c r="BB2588" s="388"/>
    </row>
    <row r="2589" spans="54:54" s="4" customFormat="1" x14ac:dyDescent="0.3">
      <c r="BB2589" s="388"/>
    </row>
    <row r="2590" spans="54:54" s="4" customFormat="1" x14ac:dyDescent="0.3">
      <c r="BB2590" s="388"/>
    </row>
    <row r="2591" spans="54:54" s="4" customFormat="1" x14ac:dyDescent="0.3">
      <c r="BB2591" s="388"/>
    </row>
    <row r="2592" spans="54:54" s="4" customFormat="1" x14ac:dyDescent="0.3">
      <c r="BB2592" s="388"/>
    </row>
    <row r="2593" spans="54:54" s="4" customFormat="1" x14ac:dyDescent="0.3">
      <c r="BB2593" s="388"/>
    </row>
    <row r="2594" spans="54:54" s="4" customFormat="1" x14ac:dyDescent="0.3">
      <c r="BB2594" s="388"/>
    </row>
    <row r="2595" spans="54:54" s="4" customFormat="1" x14ac:dyDescent="0.3">
      <c r="BB2595" s="388"/>
    </row>
    <row r="2596" spans="54:54" s="4" customFormat="1" x14ac:dyDescent="0.3">
      <c r="BB2596" s="388"/>
    </row>
    <row r="2597" spans="54:54" s="4" customFormat="1" x14ac:dyDescent="0.3">
      <c r="BB2597" s="388"/>
    </row>
    <row r="2598" spans="54:54" s="4" customFormat="1" x14ac:dyDescent="0.3">
      <c r="BB2598" s="388"/>
    </row>
    <row r="2599" spans="54:54" s="4" customFormat="1" x14ac:dyDescent="0.3">
      <c r="BB2599" s="388"/>
    </row>
    <row r="2600" spans="54:54" s="4" customFormat="1" x14ac:dyDescent="0.3">
      <c r="BB2600" s="388"/>
    </row>
    <row r="2601" spans="54:54" s="4" customFormat="1" x14ac:dyDescent="0.3">
      <c r="BB2601" s="388"/>
    </row>
    <row r="2602" spans="54:54" s="4" customFormat="1" x14ac:dyDescent="0.3">
      <c r="BB2602" s="388"/>
    </row>
    <row r="2603" spans="54:54" s="4" customFormat="1" x14ac:dyDescent="0.3">
      <c r="BB2603" s="388"/>
    </row>
    <row r="2604" spans="54:54" s="4" customFormat="1" x14ac:dyDescent="0.3">
      <c r="BB2604" s="388"/>
    </row>
    <row r="2605" spans="54:54" s="4" customFormat="1" x14ac:dyDescent="0.3">
      <c r="BB2605" s="388"/>
    </row>
    <row r="2606" spans="54:54" s="4" customFormat="1" x14ac:dyDescent="0.3">
      <c r="BB2606" s="388"/>
    </row>
    <row r="2607" spans="54:54" s="4" customFormat="1" x14ac:dyDescent="0.3">
      <c r="BB2607" s="388"/>
    </row>
    <row r="2608" spans="54:54" s="4" customFormat="1" x14ac:dyDescent="0.3">
      <c r="BB2608" s="388"/>
    </row>
    <row r="2609" spans="54:54" s="4" customFormat="1" x14ac:dyDescent="0.3">
      <c r="BB2609" s="388"/>
    </row>
    <row r="2610" spans="54:54" s="4" customFormat="1" x14ac:dyDescent="0.3">
      <c r="BB2610" s="388"/>
    </row>
    <row r="2611" spans="54:54" s="4" customFormat="1" x14ac:dyDescent="0.3">
      <c r="BB2611" s="388"/>
    </row>
    <row r="2612" spans="54:54" s="4" customFormat="1" x14ac:dyDescent="0.3">
      <c r="BB2612" s="388"/>
    </row>
    <row r="2613" spans="54:54" s="4" customFormat="1" x14ac:dyDescent="0.3">
      <c r="BB2613" s="388"/>
    </row>
    <row r="2614" spans="54:54" s="4" customFormat="1" x14ac:dyDescent="0.3">
      <c r="BB2614" s="388"/>
    </row>
    <row r="2615" spans="54:54" s="4" customFormat="1" x14ac:dyDescent="0.3">
      <c r="BB2615" s="388"/>
    </row>
    <row r="2616" spans="54:54" s="4" customFormat="1" x14ac:dyDescent="0.3">
      <c r="BB2616" s="388"/>
    </row>
    <row r="2617" spans="54:54" s="4" customFormat="1" x14ac:dyDescent="0.3">
      <c r="BB2617" s="388"/>
    </row>
    <row r="2618" spans="54:54" s="4" customFormat="1" x14ac:dyDescent="0.3">
      <c r="BB2618" s="388"/>
    </row>
    <row r="2619" spans="54:54" s="4" customFormat="1" x14ac:dyDescent="0.3">
      <c r="BB2619" s="388"/>
    </row>
    <row r="2620" spans="54:54" s="4" customFormat="1" x14ac:dyDescent="0.3">
      <c r="BB2620" s="388"/>
    </row>
    <row r="2621" spans="54:54" s="4" customFormat="1" x14ac:dyDescent="0.3">
      <c r="BB2621" s="388"/>
    </row>
    <row r="2622" spans="54:54" s="4" customFormat="1" x14ac:dyDescent="0.3">
      <c r="BB2622" s="388"/>
    </row>
    <row r="2623" spans="54:54" s="4" customFormat="1" x14ac:dyDescent="0.3">
      <c r="BB2623" s="388"/>
    </row>
    <row r="2624" spans="54:54" s="4" customFormat="1" x14ac:dyDescent="0.3">
      <c r="BB2624" s="388"/>
    </row>
    <row r="2625" spans="54:54" s="4" customFormat="1" x14ac:dyDescent="0.3">
      <c r="BB2625" s="388"/>
    </row>
    <row r="2626" spans="54:54" s="4" customFormat="1" x14ac:dyDescent="0.3">
      <c r="BB2626" s="388"/>
    </row>
    <row r="2627" spans="54:54" s="4" customFormat="1" x14ac:dyDescent="0.3">
      <c r="BB2627" s="388"/>
    </row>
    <row r="2628" spans="54:54" s="4" customFormat="1" x14ac:dyDescent="0.3">
      <c r="BB2628" s="388"/>
    </row>
    <row r="2629" spans="54:54" s="4" customFormat="1" x14ac:dyDescent="0.3">
      <c r="BB2629" s="388"/>
    </row>
    <row r="2630" spans="54:54" s="4" customFormat="1" x14ac:dyDescent="0.3">
      <c r="BB2630" s="388"/>
    </row>
    <row r="2631" spans="54:54" s="4" customFormat="1" x14ac:dyDescent="0.3">
      <c r="BB2631" s="388"/>
    </row>
    <row r="2632" spans="54:54" s="4" customFormat="1" x14ac:dyDescent="0.3">
      <c r="BB2632" s="388"/>
    </row>
    <row r="2633" spans="54:54" s="4" customFormat="1" x14ac:dyDescent="0.3">
      <c r="BB2633" s="388"/>
    </row>
    <row r="2634" spans="54:54" s="4" customFormat="1" x14ac:dyDescent="0.3">
      <c r="BB2634" s="388"/>
    </row>
    <row r="2635" spans="54:54" s="4" customFormat="1" x14ac:dyDescent="0.3">
      <c r="BB2635" s="388"/>
    </row>
    <row r="2636" spans="54:54" s="4" customFormat="1" x14ac:dyDescent="0.3">
      <c r="BB2636" s="388"/>
    </row>
    <row r="2637" spans="54:54" s="4" customFormat="1" x14ac:dyDescent="0.3">
      <c r="BB2637" s="388"/>
    </row>
    <row r="2638" spans="54:54" s="4" customFormat="1" x14ac:dyDescent="0.3">
      <c r="BB2638" s="388"/>
    </row>
    <row r="2639" spans="54:54" s="4" customFormat="1" x14ac:dyDescent="0.3">
      <c r="BB2639" s="388"/>
    </row>
    <row r="2640" spans="54:54" s="4" customFormat="1" x14ac:dyDescent="0.3">
      <c r="BB2640" s="388"/>
    </row>
    <row r="2641" spans="54:54" s="4" customFormat="1" x14ac:dyDescent="0.3">
      <c r="BB2641" s="388"/>
    </row>
    <row r="2642" spans="54:54" s="4" customFormat="1" x14ac:dyDescent="0.3">
      <c r="BB2642" s="388"/>
    </row>
    <row r="2643" spans="54:54" s="4" customFormat="1" x14ac:dyDescent="0.3">
      <c r="BB2643" s="388"/>
    </row>
    <row r="2644" spans="54:54" s="4" customFormat="1" x14ac:dyDescent="0.3">
      <c r="BB2644" s="388"/>
    </row>
    <row r="2645" spans="54:54" s="4" customFormat="1" x14ac:dyDescent="0.3">
      <c r="BB2645" s="388"/>
    </row>
    <row r="2646" spans="54:54" s="4" customFormat="1" x14ac:dyDescent="0.3">
      <c r="BB2646" s="388"/>
    </row>
    <row r="2647" spans="54:54" s="4" customFormat="1" x14ac:dyDescent="0.3">
      <c r="BB2647" s="388"/>
    </row>
    <row r="2648" spans="54:54" s="4" customFormat="1" x14ac:dyDescent="0.3">
      <c r="BB2648" s="388"/>
    </row>
    <row r="2649" spans="54:54" s="4" customFormat="1" x14ac:dyDescent="0.3">
      <c r="BB2649" s="388"/>
    </row>
    <row r="2650" spans="54:54" s="4" customFormat="1" x14ac:dyDescent="0.3">
      <c r="BB2650" s="388"/>
    </row>
    <row r="2651" spans="54:54" s="4" customFormat="1" x14ac:dyDescent="0.3">
      <c r="BB2651" s="388"/>
    </row>
    <row r="2652" spans="54:54" s="4" customFormat="1" x14ac:dyDescent="0.3">
      <c r="BB2652" s="388"/>
    </row>
    <row r="2653" spans="54:54" s="4" customFormat="1" x14ac:dyDescent="0.3">
      <c r="BB2653" s="388"/>
    </row>
    <row r="2654" spans="54:54" s="4" customFormat="1" x14ac:dyDescent="0.3">
      <c r="BB2654" s="388"/>
    </row>
    <row r="2655" spans="54:54" s="4" customFormat="1" x14ac:dyDescent="0.3">
      <c r="BB2655" s="388"/>
    </row>
    <row r="2656" spans="54:54" s="4" customFormat="1" x14ac:dyDescent="0.3">
      <c r="BB2656" s="388"/>
    </row>
    <row r="2657" spans="54:54" s="4" customFormat="1" x14ac:dyDescent="0.3">
      <c r="BB2657" s="388"/>
    </row>
    <row r="2658" spans="54:54" s="4" customFormat="1" x14ac:dyDescent="0.3">
      <c r="BB2658" s="388"/>
    </row>
    <row r="2659" spans="54:54" s="4" customFormat="1" x14ac:dyDescent="0.3">
      <c r="BB2659" s="388"/>
    </row>
    <row r="2660" spans="54:54" s="4" customFormat="1" x14ac:dyDescent="0.3">
      <c r="BB2660" s="388"/>
    </row>
    <row r="2661" spans="54:54" s="4" customFormat="1" x14ac:dyDescent="0.3">
      <c r="BB2661" s="388"/>
    </row>
    <row r="2662" spans="54:54" s="4" customFormat="1" x14ac:dyDescent="0.3">
      <c r="BB2662" s="388"/>
    </row>
    <row r="2663" spans="54:54" s="4" customFormat="1" x14ac:dyDescent="0.3">
      <c r="BB2663" s="388"/>
    </row>
    <row r="2664" spans="54:54" s="4" customFormat="1" x14ac:dyDescent="0.3">
      <c r="BB2664" s="388"/>
    </row>
    <row r="2665" spans="54:54" s="4" customFormat="1" x14ac:dyDescent="0.3">
      <c r="BB2665" s="388"/>
    </row>
    <row r="2666" spans="54:54" s="4" customFormat="1" x14ac:dyDescent="0.3">
      <c r="BB2666" s="388"/>
    </row>
    <row r="2667" spans="54:54" s="4" customFormat="1" x14ac:dyDescent="0.3">
      <c r="BB2667" s="388"/>
    </row>
    <row r="2668" spans="54:54" s="4" customFormat="1" x14ac:dyDescent="0.3">
      <c r="BB2668" s="388"/>
    </row>
    <row r="2669" spans="54:54" s="4" customFormat="1" x14ac:dyDescent="0.3">
      <c r="BB2669" s="388"/>
    </row>
    <row r="2670" spans="54:54" s="4" customFormat="1" x14ac:dyDescent="0.3">
      <c r="BB2670" s="388"/>
    </row>
    <row r="2671" spans="54:54" s="4" customFormat="1" x14ac:dyDescent="0.3">
      <c r="BB2671" s="388"/>
    </row>
    <row r="2672" spans="54:54" s="4" customFormat="1" x14ac:dyDescent="0.3">
      <c r="BB2672" s="388"/>
    </row>
    <row r="2673" spans="54:54" s="4" customFormat="1" x14ac:dyDescent="0.3">
      <c r="BB2673" s="388"/>
    </row>
    <row r="2674" spans="54:54" s="4" customFormat="1" x14ac:dyDescent="0.3">
      <c r="BB2674" s="388"/>
    </row>
    <row r="2675" spans="54:54" s="4" customFormat="1" x14ac:dyDescent="0.3">
      <c r="BB2675" s="388"/>
    </row>
    <row r="2676" spans="54:54" s="4" customFormat="1" x14ac:dyDescent="0.3">
      <c r="BB2676" s="388"/>
    </row>
    <row r="2677" spans="54:54" s="4" customFormat="1" x14ac:dyDescent="0.3">
      <c r="BB2677" s="388"/>
    </row>
    <row r="2678" spans="54:54" s="4" customFormat="1" x14ac:dyDescent="0.3">
      <c r="BB2678" s="388"/>
    </row>
    <row r="2679" spans="54:54" s="4" customFormat="1" x14ac:dyDescent="0.3">
      <c r="BB2679" s="388"/>
    </row>
    <row r="2680" spans="54:54" s="4" customFormat="1" x14ac:dyDescent="0.3">
      <c r="BB2680" s="388"/>
    </row>
    <row r="2681" spans="54:54" s="4" customFormat="1" x14ac:dyDescent="0.3">
      <c r="BB2681" s="388"/>
    </row>
    <row r="2682" spans="54:54" s="4" customFormat="1" x14ac:dyDescent="0.3">
      <c r="BB2682" s="388"/>
    </row>
    <row r="2683" spans="54:54" s="4" customFormat="1" x14ac:dyDescent="0.3">
      <c r="BB2683" s="388"/>
    </row>
    <row r="2684" spans="54:54" s="4" customFormat="1" x14ac:dyDescent="0.3">
      <c r="BB2684" s="388"/>
    </row>
    <row r="2685" spans="54:54" s="4" customFormat="1" x14ac:dyDescent="0.3">
      <c r="BB2685" s="388"/>
    </row>
    <row r="2686" spans="54:54" s="4" customFormat="1" x14ac:dyDescent="0.3">
      <c r="BB2686" s="388"/>
    </row>
    <row r="2687" spans="54:54" s="4" customFormat="1" x14ac:dyDescent="0.3">
      <c r="BB2687" s="388"/>
    </row>
    <row r="2688" spans="54:54" s="4" customFormat="1" x14ac:dyDescent="0.3">
      <c r="BB2688" s="388"/>
    </row>
    <row r="2689" spans="54:54" s="4" customFormat="1" x14ac:dyDescent="0.3">
      <c r="BB2689" s="388"/>
    </row>
    <row r="2690" spans="54:54" s="4" customFormat="1" x14ac:dyDescent="0.3">
      <c r="BB2690" s="388"/>
    </row>
    <row r="2691" spans="54:54" s="4" customFormat="1" x14ac:dyDescent="0.3">
      <c r="BB2691" s="388"/>
    </row>
    <row r="2692" spans="54:54" s="4" customFormat="1" x14ac:dyDescent="0.3">
      <c r="BB2692" s="388"/>
    </row>
    <row r="2693" spans="54:54" s="4" customFormat="1" x14ac:dyDescent="0.3">
      <c r="BB2693" s="388"/>
    </row>
    <row r="2694" spans="54:54" s="4" customFormat="1" x14ac:dyDescent="0.3">
      <c r="BB2694" s="388"/>
    </row>
    <row r="2695" spans="54:54" s="4" customFormat="1" x14ac:dyDescent="0.3">
      <c r="BB2695" s="388"/>
    </row>
    <row r="2696" spans="54:54" s="4" customFormat="1" x14ac:dyDescent="0.3">
      <c r="BB2696" s="388"/>
    </row>
    <row r="2697" spans="54:54" s="4" customFormat="1" x14ac:dyDescent="0.3">
      <c r="BB2697" s="388"/>
    </row>
    <row r="2698" spans="54:54" s="4" customFormat="1" x14ac:dyDescent="0.3">
      <c r="BB2698" s="388"/>
    </row>
    <row r="2699" spans="54:54" s="4" customFormat="1" x14ac:dyDescent="0.3">
      <c r="BB2699" s="388"/>
    </row>
    <row r="2700" spans="54:54" s="4" customFormat="1" x14ac:dyDescent="0.3">
      <c r="BB2700" s="388"/>
    </row>
    <row r="2701" spans="54:54" s="4" customFormat="1" x14ac:dyDescent="0.3">
      <c r="BB2701" s="388"/>
    </row>
    <row r="2702" spans="54:54" s="4" customFormat="1" x14ac:dyDescent="0.3">
      <c r="BB2702" s="388"/>
    </row>
    <row r="2703" spans="54:54" s="4" customFormat="1" x14ac:dyDescent="0.3">
      <c r="BB2703" s="388"/>
    </row>
    <row r="2704" spans="54:54" s="4" customFormat="1" x14ac:dyDescent="0.3">
      <c r="BB2704" s="388"/>
    </row>
    <row r="2705" spans="1:71" s="4" customFormat="1" x14ac:dyDescent="0.3">
      <c r="BB2705" s="388"/>
    </row>
    <row r="2706" spans="1:71" s="4" customFormat="1" x14ac:dyDescent="0.3">
      <c r="BB2706" s="388"/>
    </row>
    <row r="2707" spans="1:71" s="4" customFormat="1" x14ac:dyDescent="0.3">
      <c r="BB2707" s="388"/>
    </row>
    <row r="2708" spans="1:71" s="4" customFormat="1" x14ac:dyDescent="0.3">
      <c r="BB2708" s="388"/>
    </row>
    <row r="2709" spans="1:71" s="4" customFormat="1" x14ac:dyDescent="0.3">
      <c r="BB2709" s="388"/>
    </row>
    <row r="2710" spans="1:71" s="4" customFormat="1" x14ac:dyDescent="0.3">
      <c r="BB2710" s="388"/>
    </row>
    <row r="2711" spans="1:71" s="4" customFormat="1" x14ac:dyDescent="0.3">
      <c r="BB2711" s="388"/>
    </row>
    <row r="2712" spans="1:71" s="4" customFormat="1" ht="14.5" thickBot="1" x14ac:dyDescent="0.35">
      <c r="A2712" s="390"/>
      <c r="B2712" s="390"/>
      <c r="C2712" s="390"/>
      <c r="D2712" s="390"/>
      <c r="E2712" s="390"/>
      <c r="F2712" s="390"/>
      <c r="BB2712" s="388"/>
    </row>
    <row r="2713" spans="1:71" ht="14.5" hidden="1" thickTop="1" x14ac:dyDescent="0.3">
      <c r="BS2713" s="4"/>
    </row>
    <row r="2714" spans="1:71" ht="17.5" hidden="1" x14ac:dyDescent="0.35">
      <c r="A2714" s="567" t="str">
        <f>A199</f>
        <v>A.</v>
      </c>
      <c r="B2714" s="567" t="str">
        <f>B199</f>
        <v>Case information</v>
      </c>
      <c r="C2714" s="567"/>
      <c r="D2714" s="567"/>
      <c r="E2714" s="567"/>
      <c r="F2714" s="567"/>
      <c r="G2714" s="572" t="s">
        <v>3860</v>
      </c>
      <c r="H2714" s="573"/>
      <c r="I2714" s="573"/>
    </row>
    <row r="2715" spans="1:71" hidden="1" x14ac:dyDescent="0.3"/>
    <row r="2716" spans="1:71" ht="18.5" hidden="1" x14ac:dyDescent="0.45">
      <c r="B2716" s="399" t="str">
        <f>C205</f>
        <v>gender (from list)</v>
      </c>
      <c r="C2716" s="399" t="str">
        <f>D205</f>
        <v>preferred pronoun (from list)</v>
      </c>
      <c r="D2716" s="624" t="s">
        <v>4040</v>
      </c>
      <c r="G2716" s="508" t="str">
        <f>IF($D$206=$C2717,G2717,IF($D$206=$C2718,G2718,IF($D$206=$C2719,G2719,IF($D$206=$C2720,G2720,IF($D$206=$C2721,G2721,"they")))))</f>
        <v>they</v>
      </c>
      <c r="H2716" s="508" t="str">
        <f>IF($D$206=$C2717,H2717,IF($D$206=$C2718,H2718,IF($D$206=$C2719,H2719,IF($D$206=$C2720,H2720,IF($D$206=$C2721,H2721,"them")))))</f>
        <v>them</v>
      </c>
      <c r="I2716" s="508" t="str">
        <f>IF($D$206=$C2717,I2717,IF($D$206=$C2718,I2718,IF($D$206=$C2719,I2719,IF($D$206=$C2720,I2720,IF($D$206=$C2721,I2721,"their")))))</f>
        <v>their</v>
      </c>
      <c r="J2716" s="508" t="str">
        <f>IF($D$206=$C2717,J2717,IF($D$206=$C2718,J2718,IF($D$206=$C2719,J2719,IF($D$206=$C2720,J2720,IF($D$206=$C2721,J2721,"They")))))</f>
        <v>They</v>
      </c>
      <c r="K2716" s="508"/>
      <c r="L2716" s="508"/>
    </row>
    <row r="2717" spans="1:71" ht="14.5" hidden="1" x14ac:dyDescent="0.35">
      <c r="B2717" s="69" t="s">
        <v>1285</v>
      </c>
      <c r="C2717" s="69" t="s">
        <v>3826</v>
      </c>
      <c r="G2717" s="4" t="s">
        <v>3830</v>
      </c>
      <c r="H2717" s="4" t="s">
        <v>3833</v>
      </c>
      <c r="I2717" s="4" t="s">
        <v>3834</v>
      </c>
      <c r="J2717" s="4" t="s">
        <v>3839</v>
      </c>
    </row>
    <row r="2718" spans="1:71" ht="14.5" hidden="1" x14ac:dyDescent="0.35">
      <c r="B2718" s="69" t="s">
        <v>1286</v>
      </c>
      <c r="C2718" s="69" t="s">
        <v>3827</v>
      </c>
      <c r="G2718" s="4" t="s">
        <v>3831</v>
      </c>
      <c r="H2718" s="4" t="s">
        <v>3835</v>
      </c>
      <c r="I2718" s="4" t="s">
        <v>3836</v>
      </c>
      <c r="J2718" s="4" t="s">
        <v>3840</v>
      </c>
    </row>
    <row r="2719" spans="1:71" ht="14.5" hidden="1" x14ac:dyDescent="0.35">
      <c r="B2719" s="69" t="s">
        <v>105</v>
      </c>
      <c r="C2719" s="69" t="s">
        <v>3828</v>
      </c>
      <c r="G2719" s="4" t="s">
        <v>3832</v>
      </c>
      <c r="H2719" s="4" t="s">
        <v>3837</v>
      </c>
      <c r="I2719" s="4" t="s">
        <v>3838</v>
      </c>
      <c r="J2719" s="4" t="s">
        <v>3841</v>
      </c>
    </row>
    <row r="2720" spans="1:71" ht="14.5" hidden="1" x14ac:dyDescent="0.35">
      <c r="C2720" s="624" t="s">
        <v>4039</v>
      </c>
      <c r="G2720" s="4" t="str">
        <f>C2720</f>
        <v>my first name</v>
      </c>
      <c r="H2720" s="4" t="str">
        <f>G2720</f>
        <v>my first name</v>
      </c>
      <c r="I2720" s="4" t="str">
        <f>CONCATENATE(C2720,"'s")</f>
        <v>my first name's</v>
      </c>
      <c r="J2720" s="4" t="str">
        <f>G2720</f>
        <v>my first name</v>
      </c>
    </row>
    <row r="2721" spans="2:10" ht="14.5" hidden="1" x14ac:dyDescent="0.35">
      <c r="C2721" s="69" t="s">
        <v>3829</v>
      </c>
      <c r="G2721" s="82" t="s">
        <v>3832</v>
      </c>
      <c r="H2721" s="82" t="s">
        <v>3837</v>
      </c>
      <c r="I2721" s="82" t="s">
        <v>3838</v>
      </c>
      <c r="J2721" s="82" t="s">
        <v>3841</v>
      </c>
    </row>
    <row r="2722" spans="2:10" hidden="1" x14ac:dyDescent="0.3"/>
    <row r="2723" spans="2:10" ht="18.5" hidden="1" x14ac:dyDescent="0.45">
      <c r="B2723" s="399" t="str">
        <f>C207</f>
        <v>race (from list)</v>
      </c>
      <c r="C2723" s="399" t="str">
        <f>D207</f>
        <v>primary language (from list)</v>
      </c>
    </row>
    <row r="2724" spans="2:10" ht="14.5" hidden="1" x14ac:dyDescent="0.35">
      <c r="B2724" s="69" t="s">
        <v>109</v>
      </c>
      <c r="C2724" s="69" t="s">
        <v>110</v>
      </c>
    </row>
    <row r="2725" spans="2:10" ht="14.5" hidden="1" x14ac:dyDescent="0.35">
      <c r="B2725" s="69" t="s">
        <v>1287</v>
      </c>
      <c r="C2725" s="69" t="s">
        <v>1289</v>
      </c>
    </row>
    <row r="2726" spans="2:10" ht="14.5" hidden="1" x14ac:dyDescent="0.35">
      <c r="B2726" s="69" t="s">
        <v>1288</v>
      </c>
      <c r="C2726" s="69" t="s">
        <v>929</v>
      </c>
    </row>
    <row r="2727" spans="2:10" ht="14.5" hidden="1" x14ac:dyDescent="0.35">
      <c r="B2727" s="69" t="s">
        <v>105</v>
      </c>
    </row>
    <row r="2728" spans="2:10" hidden="1" x14ac:dyDescent="0.3"/>
    <row r="2729" spans="2:10" ht="18.5" hidden="1" x14ac:dyDescent="0.45">
      <c r="B2729" s="399" t="str">
        <f>C215</f>
        <v>relation to claimant (pick from list)</v>
      </c>
      <c r="C2729" s="399" t="str">
        <f>D215</f>
        <v>how long knowing claimant</v>
      </c>
    </row>
    <row r="2730" spans="2:10" ht="14.5" hidden="1" x14ac:dyDescent="0.35">
      <c r="B2730" s="69" t="s">
        <v>3842</v>
      </c>
      <c r="C2730" s="69" t="s">
        <v>1290</v>
      </c>
    </row>
    <row r="2731" spans="2:10" ht="14.5" hidden="1" x14ac:dyDescent="0.35">
      <c r="B2731" s="69" t="s">
        <v>3843</v>
      </c>
      <c r="C2731" s="69" t="s">
        <v>117</v>
      </c>
    </row>
    <row r="2732" spans="2:10" ht="14.5" hidden="1" x14ac:dyDescent="0.35">
      <c r="B2732" s="69" t="s">
        <v>116</v>
      </c>
      <c r="C2732" s="69" t="s">
        <v>444</v>
      </c>
    </row>
    <row r="2733" spans="2:10" ht="14.5" hidden="1" x14ac:dyDescent="0.35">
      <c r="B2733" s="69" t="s">
        <v>1276</v>
      </c>
      <c r="C2733" s="69" t="s">
        <v>1291</v>
      </c>
    </row>
    <row r="2734" spans="2:10" ht="14.5" hidden="1" x14ac:dyDescent="0.35">
      <c r="B2734" s="69" t="s">
        <v>1277</v>
      </c>
    </row>
    <row r="2735" spans="2:10" ht="18.5" hidden="1" x14ac:dyDescent="0.45">
      <c r="B2735" s="69" t="s">
        <v>1278</v>
      </c>
      <c r="D2735" s="399" t="s">
        <v>1292</v>
      </c>
    </row>
    <row r="2736" spans="2:10" ht="14.5" hidden="1" x14ac:dyDescent="0.35">
      <c r="B2736" s="69" t="s">
        <v>1279</v>
      </c>
      <c r="D2736" s="69" t="s">
        <v>1293</v>
      </c>
      <c r="E2736" s="48">
        <v>0</v>
      </c>
    </row>
    <row r="2737" spans="2:8" ht="14.5" hidden="1" x14ac:dyDescent="0.35">
      <c r="B2737" s="69" t="s">
        <v>1280</v>
      </c>
      <c r="D2737" s="69" t="s">
        <v>1294</v>
      </c>
      <c r="E2737" s="48">
        <v>2.5</v>
      </c>
    </row>
    <row r="2738" spans="2:8" ht="14.5" hidden="1" x14ac:dyDescent="0.35">
      <c r="B2738" s="69" t="s">
        <v>1281</v>
      </c>
      <c r="D2738" s="69" t="s">
        <v>197</v>
      </c>
      <c r="E2738" s="48">
        <v>5</v>
      </c>
    </row>
    <row r="2739" spans="2:8" ht="14.5" hidden="1" x14ac:dyDescent="0.35">
      <c r="B2739" s="69" t="s">
        <v>1282</v>
      </c>
      <c r="D2739" s="69" t="s">
        <v>3963</v>
      </c>
      <c r="E2739" s="48">
        <v>10</v>
      </c>
    </row>
    <row r="2740" spans="2:8" ht="14.5" hidden="1" x14ac:dyDescent="0.35">
      <c r="B2740" s="69" t="s">
        <v>1283</v>
      </c>
      <c r="D2740" s="69" t="s">
        <v>923</v>
      </c>
      <c r="E2740" s="48">
        <v>0</v>
      </c>
    </row>
    <row r="2741" spans="2:8" ht="14.5" hidden="1" x14ac:dyDescent="0.35">
      <c r="B2741" s="69" t="s">
        <v>1284</v>
      </c>
    </row>
    <row r="2742" spans="2:8" ht="14.5" hidden="1" x14ac:dyDescent="0.35">
      <c r="B2742" s="69" t="s">
        <v>912</v>
      </c>
    </row>
    <row r="2743" spans="2:8" hidden="1" x14ac:dyDescent="0.3"/>
    <row r="2744" spans="2:8" ht="18.5" hidden="1" x14ac:dyDescent="0.45">
      <c r="B2744" s="399" t="str">
        <f>B219</f>
        <v>What is your specific claim of innocence?</v>
      </c>
    </row>
    <row r="2745" spans="2:8" ht="14.5" hidden="1" x14ac:dyDescent="0.35">
      <c r="B2745" s="582" t="s">
        <v>3972</v>
      </c>
      <c r="E2745" s="48">
        <v>25</v>
      </c>
    </row>
    <row r="2746" spans="2:8" ht="14.5" hidden="1" x14ac:dyDescent="0.35">
      <c r="B2746" s="582" t="s">
        <v>3973</v>
      </c>
      <c r="E2746" s="48">
        <f t="shared" ref="E2746:E2751" si="104">E2745-5</f>
        <v>20</v>
      </c>
    </row>
    <row r="2747" spans="2:8" ht="14.5" hidden="1" x14ac:dyDescent="0.35">
      <c r="B2747" s="582" t="s">
        <v>3974</v>
      </c>
      <c r="E2747" s="48">
        <f t="shared" si="104"/>
        <v>15</v>
      </c>
    </row>
    <row r="2748" spans="2:8" ht="14.5" hidden="1" x14ac:dyDescent="0.35">
      <c r="B2748" s="582" t="s">
        <v>3975</v>
      </c>
      <c r="E2748" s="48">
        <f t="shared" si="104"/>
        <v>10</v>
      </c>
    </row>
    <row r="2749" spans="2:8" ht="14.5" hidden="1" x14ac:dyDescent="0.35">
      <c r="B2749" s="582" t="s">
        <v>3977</v>
      </c>
      <c r="E2749" s="48">
        <f t="shared" si="104"/>
        <v>5</v>
      </c>
      <c r="H2749" s="48"/>
    </row>
    <row r="2750" spans="2:8" ht="14.5" hidden="1" x14ac:dyDescent="0.35">
      <c r="B2750" s="582" t="s">
        <v>3978</v>
      </c>
      <c r="E2750" s="48">
        <f t="shared" si="104"/>
        <v>0</v>
      </c>
    </row>
    <row r="2751" spans="2:8" ht="14.5" hidden="1" x14ac:dyDescent="0.35">
      <c r="B2751" s="582" t="s">
        <v>3976</v>
      </c>
      <c r="E2751" s="48">
        <f t="shared" si="104"/>
        <v>-5</v>
      </c>
    </row>
    <row r="2752" spans="2:8" ht="14.5" hidden="1" x14ac:dyDescent="0.35">
      <c r="B2752" s="582"/>
    </row>
    <row r="2753" spans="2:5" ht="18.5" hidden="1" x14ac:dyDescent="0.45">
      <c r="B2753" s="399" t="str">
        <f>B221</f>
        <v>Which for you feels worse? Being wrongly convicted or being falsely incarcerated?</v>
      </c>
    </row>
    <row r="2754" spans="2:5" hidden="1" x14ac:dyDescent="0.3">
      <c r="B2754" s="606" t="s">
        <v>3979</v>
      </c>
      <c r="E2754" s="48">
        <v>10</v>
      </c>
    </row>
    <row r="2755" spans="2:5" hidden="1" x14ac:dyDescent="0.3">
      <c r="B2755" s="606" t="s">
        <v>3980</v>
      </c>
      <c r="E2755" s="48">
        <v>0</v>
      </c>
    </row>
    <row r="2756" spans="2:5" ht="14.5" hidden="1" x14ac:dyDescent="0.35">
      <c r="B2756" s="582"/>
    </row>
    <row r="2757" spans="2:5" hidden="1" x14ac:dyDescent="0.3"/>
    <row r="2758" spans="2:5" ht="18.5" hidden="1" x14ac:dyDescent="0.45">
      <c r="B2758" s="399" t="str">
        <f>B225</f>
        <v>initial charge(s)</v>
      </c>
      <c r="C2758" s="399" t="str">
        <f>C225</f>
        <v>alleged involvement level</v>
      </c>
      <c r="D2758" s="399" t="str">
        <f>D225</f>
        <v>actual involvement</v>
      </c>
    </row>
    <row r="2759" spans="2:5" ht="14.5" hidden="1" x14ac:dyDescent="0.35">
      <c r="B2759" s="69" t="s">
        <v>3611</v>
      </c>
      <c r="C2759" s="48" t="s">
        <v>173</v>
      </c>
      <c r="D2759" s="69" t="s">
        <v>3608</v>
      </c>
      <c r="E2759" s="48">
        <v>1</v>
      </c>
    </row>
    <row r="2760" spans="2:5" ht="14.5" hidden="1" x14ac:dyDescent="0.35">
      <c r="B2760" s="69" t="s">
        <v>3612</v>
      </c>
      <c r="C2760" s="48" t="s">
        <v>123</v>
      </c>
      <c r="D2760" s="69" t="s">
        <v>1266</v>
      </c>
      <c r="E2760" s="101">
        <f>E2759-0.1</f>
        <v>0.9</v>
      </c>
    </row>
    <row r="2761" spans="2:5" ht="14.5" hidden="1" x14ac:dyDescent="0.35">
      <c r="B2761" s="69" t="s">
        <v>3607</v>
      </c>
      <c r="C2761" s="48" t="s">
        <v>3609</v>
      </c>
      <c r="D2761" s="69" t="s">
        <v>1267</v>
      </c>
      <c r="E2761" s="101">
        <f t="shared" ref="E2761:E2769" si="105">E2760-0.1</f>
        <v>0.8</v>
      </c>
    </row>
    <row r="2762" spans="2:5" ht="14.5" hidden="1" x14ac:dyDescent="0.35">
      <c r="B2762" s="69" t="s">
        <v>122</v>
      </c>
      <c r="D2762" s="69" t="s">
        <v>1268</v>
      </c>
      <c r="E2762" s="101">
        <f t="shared" si="105"/>
        <v>0.70000000000000007</v>
      </c>
    </row>
    <row r="2763" spans="2:5" ht="14.5" hidden="1" x14ac:dyDescent="0.35">
      <c r="B2763" s="69" t="s">
        <v>1261</v>
      </c>
      <c r="C2763" s="48" t="s">
        <v>1262</v>
      </c>
      <c r="D2763" s="69" t="s">
        <v>1269</v>
      </c>
      <c r="E2763" s="101">
        <f t="shared" si="105"/>
        <v>0.60000000000000009</v>
      </c>
    </row>
    <row r="2764" spans="2:5" ht="14.5" hidden="1" x14ac:dyDescent="0.35">
      <c r="B2764" s="69" t="s">
        <v>1263</v>
      </c>
      <c r="C2764" s="48" t="s">
        <v>1264</v>
      </c>
      <c r="D2764" s="69" t="s">
        <v>1270</v>
      </c>
      <c r="E2764" s="101">
        <f t="shared" si="105"/>
        <v>0.50000000000000011</v>
      </c>
    </row>
    <row r="2765" spans="2:5" ht="14.5" hidden="1" x14ac:dyDescent="0.35">
      <c r="B2765" s="69" t="s">
        <v>1265</v>
      </c>
      <c r="D2765" s="604" t="s">
        <v>1271</v>
      </c>
      <c r="E2765" s="101">
        <f t="shared" si="105"/>
        <v>0.40000000000000013</v>
      </c>
    </row>
    <row r="2766" spans="2:5" ht="14.5" hidden="1" x14ac:dyDescent="0.35">
      <c r="B2766" s="69" t="s">
        <v>105</v>
      </c>
      <c r="D2766" s="69" t="s">
        <v>1272</v>
      </c>
      <c r="E2766" s="101">
        <f t="shared" si="105"/>
        <v>0.30000000000000016</v>
      </c>
    </row>
    <row r="2767" spans="2:5" ht="14.5" hidden="1" x14ac:dyDescent="0.35">
      <c r="D2767" s="69" t="s">
        <v>1273</v>
      </c>
      <c r="E2767" s="101">
        <f t="shared" si="105"/>
        <v>0.20000000000000015</v>
      </c>
    </row>
    <row r="2768" spans="2:5" ht="14.5" hidden="1" x14ac:dyDescent="0.35">
      <c r="D2768" s="69" t="s">
        <v>1274</v>
      </c>
      <c r="E2768" s="101">
        <f t="shared" si="105"/>
        <v>0.10000000000000014</v>
      </c>
    </row>
    <row r="2769" spans="1:5" ht="14.5" hidden="1" x14ac:dyDescent="0.35">
      <c r="D2769" s="69" t="s">
        <v>1275</v>
      </c>
      <c r="E2769" s="101">
        <f t="shared" si="105"/>
        <v>1.3877787807814457E-16</v>
      </c>
    </row>
    <row r="2770" spans="1:5" ht="17.5" hidden="1" x14ac:dyDescent="0.35">
      <c r="A2770" s="568" t="str">
        <f>A242</f>
        <v>Plea</v>
      </c>
    </row>
    <row r="2771" spans="1:5" ht="18.5" hidden="1" x14ac:dyDescent="0.45">
      <c r="B2771" s="399" t="str">
        <f>B243</f>
        <v>Did you plead guilty? (If yes, explain why below)</v>
      </c>
      <c r="C2771" s="399" t="str">
        <f>IF(B248="","Offered plea deal?",B248)</f>
        <v>Offered plea deal?</v>
      </c>
      <c r="D2771" s="399" t="str">
        <f>B250</f>
        <v>How long insisting you're completely innocent?</v>
      </c>
    </row>
    <row r="2772" spans="1:5" ht="14.5" hidden="1" x14ac:dyDescent="0.35">
      <c r="B2772" s="69" t="s">
        <v>916</v>
      </c>
      <c r="C2772" s="69" t="s">
        <v>127</v>
      </c>
      <c r="D2772" s="48" t="s">
        <v>129</v>
      </c>
      <c r="E2772" s="101">
        <v>0.8</v>
      </c>
    </row>
    <row r="2773" spans="1:5" ht="14.5" hidden="1" x14ac:dyDescent="0.35">
      <c r="B2773" s="69" t="s">
        <v>3610</v>
      </c>
      <c r="C2773" s="69" t="s">
        <v>917</v>
      </c>
      <c r="D2773" s="48" t="s">
        <v>1304</v>
      </c>
      <c r="E2773" s="101">
        <v>0.9</v>
      </c>
    </row>
    <row r="2774" spans="1:5" ht="14.5" hidden="1" x14ac:dyDescent="0.35">
      <c r="B2774" s="69" t="s">
        <v>126</v>
      </c>
      <c r="C2774" s="69" t="s">
        <v>918</v>
      </c>
      <c r="D2774" s="82" t="s">
        <v>3964</v>
      </c>
      <c r="E2774" s="101">
        <v>1</v>
      </c>
    </row>
    <row r="2775" spans="1:5" ht="18.5" hidden="1" x14ac:dyDescent="0.45">
      <c r="B2775" s="399" t="str">
        <f>B246</f>
        <v>Did you try withdrawing your plea? (If not, why not?)</v>
      </c>
      <c r="C2775" s="69" t="s">
        <v>920</v>
      </c>
      <c r="D2775" s="48" t="s">
        <v>1307</v>
      </c>
      <c r="E2775" s="101">
        <v>0.5</v>
      </c>
    </row>
    <row r="2776" spans="1:5" ht="14.5" hidden="1" x14ac:dyDescent="0.35">
      <c r="B2776" s="69" t="s">
        <v>919</v>
      </c>
      <c r="C2776" s="69" t="s">
        <v>922</v>
      </c>
      <c r="D2776" s="48" t="s">
        <v>1309</v>
      </c>
      <c r="E2776" s="101">
        <v>0</v>
      </c>
    </row>
    <row r="2777" spans="1:5" ht="14.5" hidden="1" x14ac:dyDescent="0.35">
      <c r="B2777" s="69" t="s">
        <v>921</v>
      </c>
      <c r="C2777" s="69" t="s">
        <v>923</v>
      </c>
      <c r="D2777" s="48" t="s">
        <v>1311</v>
      </c>
      <c r="E2777" s="101">
        <v>-0.5</v>
      </c>
    </row>
    <row r="2778" spans="1:5" ht="14.5" hidden="1" x14ac:dyDescent="0.35">
      <c r="B2778" s="69"/>
      <c r="C2778" s="69"/>
    </row>
    <row r="2779" spans="1:5" ht="18.5" hidden="1" x14ac:dyDescent="0.45">
      <c r="B2779" s="399" t="s">
        <v>4151</v>
      </c>
      <c r="C2779" s="69"/>
    </row>
    <row r="2780" spans="1:5" hidden="1" x14ac:dyDescent="0.3">
      <c r="B2780" s="48" t="s">
        <v>4150</v>
      </c>
    </row>
    <row r="2781" spans="1:5" hidden="1" x14ac:dyDescent="0.3">
      <c r="B2781" s="48" t="s">
        <v>4149</v>
      </c>
    </row>
    <row r="2782" spans="1:5" hidden="1" x14ac:dyDescent="0.3">
      <c r="B2782" s="48" t="s">
        <v>3919</v>
      </c>
    </row>
    <row r="2783" spans="1:5" hidden="1" x14ac:dyDescent="0.3">
      <c r="B2783" s="48" t="s">
        <v>4152</v>
      </c>
    </row>
    <row r="2784" spans="1:5" hidden="1" x14ac:dyDescent="0.3">
      <c r="B2784" s="48" t="s">
        <v>1322</v>
      </c>
    </row>
    <row r="2785" spans="1:3" hidden="1" x14ac:dyDescent="0.3">
      <c r="B2785" s="48" t="s">
        <v>1323</v>
      </c>
    </row>
    <row r="2786" spans="1:3" hidden="1" x14ac:dyDescent="0.3">
      <c r="B2786" s="48" t="s">
        <v>1324</v>
      </c>
    </row>
    <row r="2787" spans="1:3" hidden="1" x14ac:dyDescent="0.3">
      <c r="B2787" s="48" t="s">
        <v>1325</v>
      </c>
    </row>
    <row r="2788" spans="1:3" hidden="1" x14ac:dyDescent="0.3">
      <c r="B2788" s="48" t="s">
        <v>3922</v>
      </c>
    </row>
    <row r="2789" spans="1:3" hidden="1" x14ac:dyDescent="0.3">
      <c r="B2789" s="48" t="s">
        <v>3918</v>
      </c>
    </row>
    <row r="2790" spans="1:3" hidden="1" x14ac:dyDescent="0.3">
      <c r="B2790" s="48" t="s">
        <v>1319</v>
      </c>
    </row>
    <row r="2791" spans="1:3" hidden="1" x14ac:dyDescent="0.3">
      <c r="B2791" s="48" t="s">
        <v>1320</v>
      </c>
    </row>
    <row r="2792" spans="1:3" hidden="1" x14ac:dyDescent="0.3">
      <c r="B2792" s="48" t="s">
        <v>1321</v>
      </c>
    </row>
    <row r="2793" spans="1:3" hidden="1" x14ac:dyDescent="0.3">
      <c r="B2793" s="48" t="s">
        <v>3920</v>
      </c>
    </row>
    <row r="2794" spans="1:3" hidden="1" x14ac:dyDescent="0.3">
      <c r="B2794" s="48" t="s">
        <v>3917</v>
      </c>
    </row>
    <row r="2795" spans="1:3" hidden="1" x14ac:dyDescent="0.3">
      <c r="B2795" s="48" t="s">
        <v>3921</v>
      </c>
    </row>
    <row r="2796" spans="1:3" hidden="1" x14ac:dyDescent="0.3">
      <c r="B2796" s="48" t="s">
        <v>923</v>
      </c>
    </row>
    <row r="2797" spans="1:3" ht="14.5" hidden="1" x14ac:dyDescent="0.35">
      <c r="B2797" s="69"/>
      <c r="C2797" s="69"/>
    </row>
    <row r="2798" spans="1:3" hidden="1" x14ac:dyDescent="0.3"/>
    <row r="2799" spans="1:3" ht="17.5" hidden="1" x14ac:dyDescent="0.35">
      <c r="A2799" s="568" t="str">
        <f>A255</f>
        <v>Conviction</v>
      </c>
    </row>
    <row r="2800" spans="1:3" ht="18.5" hidden="1" x14ac:dyDescent="0.45">
      <c r="B2800" s="399" t="str">
        <f>B256</f>
        <v>What is the conviction based upon?</v>
      </c>
      <c r="C2800" s="399" t="s">
        <v>143</v>
      </c>
    </row>
    <row r="2801" spans="1:70" ht="15" hidden="1" thickBot="1" x14ac:dyDescent="0.4">
      <c r="A2801" s="52">
        <f>SUM(A2802:A2807)</f>
        <v>0</v>
      </c>
      <c r="B2801" s="68" t="s">
        <v>130</v>
      </c>
      <c r="D2801" s="421" t="s">
        <v>152</v>
      </c>
      <c r="E2801" s="594" t="s">
        <v>185</v>
      </c>
      <c r="F2801" s="421"/>
    </row>
    <row r="2802" spans="1:70" ht="15.5" hidden="1" thickTop="1" thickBot="1" x14ac:dyDescent="0.4">
      <c r="A2802" s="48">
        <v>0</v>
      </c>
      <c r="B2802" s="69" t="s">
        <v>131</v>
      </c>
      <c r="C2802" s="48">
        <v>-0.5</v>
      </c>
      <c r="D2802" s="421" t="s">
        <v>156</v>
      </c>
      <c r="E2802" s="594" t="s">
        <v>186</v>
      </c>
      <c r="F2802" s="595"/>
    </row>
    <row r="2803" spans="1:70" ht="15.5" hidden="1" thickTop="1" thickBot="1" x14ac:dyDescent="0.4">
      <c r="A2803" s="48">
        <v>0</v>
      </c>
      <c r="B2803" s="69" t="s">
        <v>135</v>
      </c>
      <c r="C2803" s="48">
        <v>0</v>
      </c>
      <c r="D2803" s="421" t="s">
        <v>158</v>
      </c>
      <c r="E2803" s="594" t="s">
        <v>191</v>
      </c>
      <c r="F2803" s="595"/>
    </row>
    <row r="2804" spans="1:70" ht="15.5" hidden="1" thickTop="1" thickBot="1" x14ac:dyDescent="0.4">
      <c r="A2804" s="48">
        <v>0</v>
      </c>
      <c r="B2804" s="69" t="s">
        <v>136</v>
      </c>
      <c r="C2804" s="48">
        <v>0.25</v>
      </c>
      <c r="D2804" s="421" t="s">
        <v>161</v>
      </c>
      <c r="E2804" s="594" t="s">
        <v>193</v>
      </c>
      <c r="F2804" s="595"/>
    </row>
    <row r="2805" spans="1:70" ht="15" hidden="1" thickTop="1" x14ac:dyDescent="0.35">
      <c r="A2805" s="48">
        <f>IF($D$256=B2805,1,0)</f>
        <v>0</v>
      </c>
      <c r="B2805" s="69" t="s">
        <v>137</v>
      </c>
      <c r="C2805" s="48">
        <v>0.5</v>
      </c>
      <c r="D2805" s="421" t="s">
        <v>929</v>
      </c>
    </row>
    <row r="2806" spans="1:70" ht="14.5" hidden="1" x14ac:dyDescent="0.35">
      <c r="A2806" s="48">
        <f>IF($D$256=B2806,1,0)</f>
        <v>0</v>
      </c>
      <c r="B2806" s="69" t="s">
        <v>139</v>
      </c>
      <c r="C2806" s="48">
        <v>1</v>
      </c>
    </row>
    <row r="2807" spans="1:70" ht="14.5" hidden="1" x14ac:dyDescent="0.35">
      <c r="A2807" s="48">
        <f>IF($D$256=B2807,1,0)</f>
        <v>0</v>
      </c>
      <c r="B2807" s="69" t="s">
        <v>105</v>
      </c>
      <c r="C2807" s="48">
        <v>0</v>
      </c>
    </row>
    <row r="2808" spans="1:70" hidden="1" x14ac:dyDescent="0.3"/>
    <row r="2809" spans="1:70" ht="17.5" hidden="1" x14ac:dyDescent="0.35">
      <c r="A2809" s="568" t="str">
        <f>B263</f>
        <v>Jurisdiction of conviction</v>
      </c>
      <c r="BH2809" s="48" t="s">
        <v>4789</v>
      </c>
      <c r="BN2809" s="48" t="s">
        <v>4790</v>
      </c>
    </row>
    <row r="2810" spans="1:70" ht="18.5" hidden="1" x14ac:dyDescent="0.45">
      <c r="B2810" s="434" t="str">
        <f>B264</f>
        <v>State (or fed):</v>
      </c>
      <c r="C2810" s="434" t="str">
        <f>C264</f>
        <v>County:</v>
      </c>
      <c r="D2810" s="434" t="str">
        <f>D264</f>
        <v>City</v>
      </c>
      <c r="BG2810" s="692" t="str">
        <f>IF(B2346=BF2811,BG2811,IF(B2346=BF2812,BG2812,IF(B2346=BF2813,BG2813,IF(B2346=BF2814,BG2814,IF(B2346=BF2815,BG2815,IF(B2346=BF2816,BG2816,IF(B2346=BF2817,BG2817,IF(B2346=BF2818,BG2818,IF(B2346=BF2819,BG2819,IF(B2346=BF2820,BG2820,IF(B2346=BF2821,BG2821,IF(B2346=BF2822,BG2822,IF(B2346=BF2823,BG2823,IF(B2346=BF2824,BG2824,IF(B2346=BF2825,BG2825,IF(B2346=BF2826,BG2826,IF(B2346=BF2827,BG2827,IF(B2346=BF2828,BG2828,IF(B2346=BF2829,BG2829,IF(B2346=BF2830,BG2830,IF(B2346=BF2831,BG2831,IF(B2346=BF2832,BG2832,IF(B2346=BF2833,BG2833,IF(B2346=BF2834,BG2834,IF(B2346=BF2835,BG2835,IF(B2346=BF2836,BG2836,IF(B2346=BF2837,BG2837,IF(B2346=BF2838,BG2838,IF(B2346=BF2839,BG2839,IF(B2346=BF2840,BG2840,IF(B2346=BF2841,BG2841,IF(B2346=BF2842,BG2842,IF(B2346=BF2843,BG2843,IF(B2346=BF2844,BG2844,IF(B2346=BF2845,BG2845,IF(B2346=BF2846,BG2846,IF(B2346=BF2847,BG2847,IF(B2346=BF2848,BG2848,IF(B2346=BF2849,BG2849,IF(B2346=BF2850,BG2850,IF(B2346=BF2851,BG2851,IF(B2346=BF2852,BG2852,IF(B2346=BF2853,BG2853,IF(B2346=BF2854,BG2854,IF(B2346=BF2855,BG2855,IF(B2346=BF2856,BG2856,IF(B2346=BF2857,BG2857,IF(B2346=BF2858,BG2858,IF(B2346=BF2859,BG2859,IF(B2346=BF2860,BG2860,IF(B2346=BF2861,BG2861,"DEFUNCTION")))))))))))))))))))))))))))))))))))))))))))))))))))</f>
        <v>DEFUNCTION</v>
      </c>
      <c r="BH2810" s="692" t="str">
        <f>IF(C2346=BG2811,BH2811,IF(C2346=BG2812,BH2812,IF(C2346=BG2813,BH2813,IF(C2346=BG2814,BH2814,IF(C2346=BG2815,BH2815,IF(C2346=BG2816,BH2816,IF(C2346=BG2817,BH2817,IF(C2346=BG2818,BH2818,IF(C2346=BG2819,BH2819,IF(C2346=BG2820,BH2820,IF(C2346=BG2821,BH2821,IF(C2346=BG2822,BH2822,IF(C2346=BG2823,BH2823,IF(C2346=BG2824,BH2824,IF(C2346=BG2825,BH2825,IF(C2346=BG2826,BH2826,IF(C2346=BG2827,BH2827,IF(C2346=BG2828,BH2828,IF(C2346=BG2829,BH2829,IF(C2346=BG2830,BH2830,IF(C2346=BG2831,BH2831,IF(C2346=BG2832,BH2832,IF(C2346=BG2833,BH2833,IF(C2346=BG2834,BH2834,IF(C2346=BG2835,BH2835,IF(C2346=BG2836,BH2836,IF(C2346=BG2837,BH2837,IF(C2346=BG2838,BH2838,IF(C2346=BG2839,BH2839,IF(C2346=BG2840,BH2840,IF(C2346=BG2841,BH2841,IF(C2346=BG2842,BH2842,IF(C2346=BG2843,BH2843,IF(C2346=BG2844,BH2844,IF(C2346=BG2845,BH2845,IF(C2346=BG2846,BH2846,IF(C2346=BG2847,BH2847,IF(C2346=BG2848,BH2848,IF(C2346=BG2849,BH2849,IF(C2346=BG2850,BH2850,IF(C2346=BG2851,BH2851,IF(C2346=BG2852,BH2852,IF(C2346=BG2853,BH2853,IF(C2346=BG2854,BH2854,IF(C2346=BG2855,BH2855,IF(C2346=BG2856,BH2856,IF(C2346=BG2857,BH2857,IF(C2346=BG2858,BH2858,IF(C2346=BG2859,BH2859,IF(C2346=BG2860,BH2860,IF(C2346=BG2861,BH2861,BH2809)))))))))))))))))))))))))))))))))))))))))))))))))))</f>
        <v>SELECT A DEFUNCTION FROM THIS DROPDOWN LIST</v>
      </c>
      <c r="BM2810" s="692" t="str">
        <f>IF(B2351=BL2811,BM2811,IF(B2351=BL2812,BM2812,IF(B2351=BL2813,BM2813,IF(B2351=BL2814,BM2814,IF(B2351=BL2815,BM2815,IF(B2351=BL2816,BM2816,IF(B2351=BL2817,BM2817,IF(B2351=BL2818,BM2818,IF(B2351=BL2819,BM2819,IF(B2351=BL2820,BM2820,IF(B2351=BL2821,BM2821,IF(B2351=BL2822,BM2822,IF(B2351=BL2823,BM2823,IF(B2351=BL2824,BM2824,IF(B2351=BL2825,BM2825,IF(B2351=BL2826,BM2826,IF(B2351=BL2827,BM2827,IF(B2351=BL2828,BM2828,IF(B2351=BL2829,BM2829,IF(B2351=BL2830,BM2830,IF(B2351=BL2831,BM2831,IF(B2351=BL2832,BM2832,IF(B2351=BL2833,BM2833,IF(B2351=BL2834,BM2834,IF(B2351=BL2835,BM2835,IF(B2351=BL2836,BM2836,IF(B2351=BL2837,BM2837,IF(B2351=BL2838,BM2838,IF(B2351=BL2839,BM2839,IF(B2351=BL2840,BM2840,IF(B2351=BL2841,BM2841,IF(B2351=BL2842,BM2842,IF(B2351=BL2843,BM2843,IF(B2351=BL2844,BM2844,IF(B2351=BL2845,BM2845,IF(B2351=BL2846,BM2846,IF(B2351=BL2847,BM2847,IF(B2351=BL2848,BM2848,IF(B2351=BL2849,BM2849,IF(B2351=BL2850,BM2850,IF(B2351=BL2851,BM2851,IF(B2351=BL2852,BM2852,IF(B2351=BL2853,BM2853,IF(B2351=BL2854,BM2854,IF(B2351=BL2855,BM2855,IF(B2351=BL2856,BM2856,IF(B2351=BL2857,BM2857,IF(B2351=BL2858,BM2858,IF(B2351=BL2859,BM2859,IF(B2351=BL2860,BM2860,"REFUNCTION"))))))))))))))))))))))))))))))))))))))))))))))))))</f>
        <v>REFUNCTION</v>
      </c>
      <c r="BN2810" s="692" t="str">
        <f>IF(C2351=BM2811,BN2811,IF(C2351=BM2812,BN2812,IF(C2351=BM2813,BN2813,IF(C2351=BM2814,BN2814,IF(C2351=BM2815,BN2815,IF(C2351=BM2816,BN2816,IF(C2351=BM2817,BN2817,IF(C2351=BM2818,BN2818,IF(C2351=BM2819,BN2819,IF(C2351=BM2820,BN2820,IF(C2351=BM2821,BN2821,IF(C2351=BM2822,BN2822,IF(C2351=BM2823,BN2823,IF(C2351=BM2824,BN2824,IF(C2351=BM2825,BN2825,IF(C2351=BM2826,BN2826,IF(C2351=BM2827,BN2827,IF(C2351=BM2828,BN2828,IF(C2351=BM2829,BN2829,IF(C2351=BM2830,BN2830,IF(C2351=BM2831,BN2831,IF(C2351=BM2832,BN2832,IF(C2351=BM2833,BN2833,IF(C2351=BM2834,BN2834,IF(C2351=BM2835,BN2835,IF(C2351=BM2836,BN2836,IF(C2351=BM2837,BN2837,IF(C2351=BM2838,BN2838,IF(C2351=BM2839,BN2839,IF(C2351=BM2840,BN2840,IF(C2351=BM2841,BN2841,IF(C2351=BM2842,BN2842,IF(C2351=BM2843,BN2843,IF(C2351=BM2844,BN2844,IF(C2351=BM2845,BN2845,IF(C2351=BM2846,BN2846,IF(C2351=BM2847,BN2847,IF(C2351=BM2848,BN2848,IF(C2351=BM2849,BN2849,IF(C2351=BM2850,BN2850,IF(C2351=BM2851,BN2851,IF(C2351=BM2852,BN2852,IF(C2351=BM2853,BN2853,IF(C2351=BM2854,BN2854,IF(C2351=BM2855,BN2855,IF(C2351=BM2856,BN2856,IF(C2351=BM2857,BN2857,IF(C2351=BM2858,BN2858,IF(C2351=BM2859,BN2859,IF(C2351=BM2860,BN2860,BN2809))))))))))))))))))))))))))))))))))))))))))))))))))</f>
        <v>SELECT A REFUNCTION FROM THIS DROPDOWN LIST</v>
      </c>
    </row>
    <row r="2811" spans="1:70" hidden="1" x14ac:dyDescent="0.3">
      <c r="A2811" s="48">
        <v>1</v>
      </c>
      <c r="BF2811" s="48">
        <f>A2811</f>
        <v>1</v>
      </c>
      <c r="BG2811" s="687" t="s">
        <v>4590</v>
      </c>
      <c r="BH2811" s="690" t="s">
        <v>4669</v>
      </c>
      <c r="BK2811" s="245" t="s">
        <v>885</v>
      </c>
      <c r="BL2811" s="48">
        <f>BF2811</f>
        <v>1</v>
      </c>
      <c r="BM2811" s="687" t="s">
        <v>4459</v>
      </c>
      <c r="BN2811" s="690" t="s">
        <v>4591</v>
      </c>
      <c r="BR2811" s="245" t="s">
        <v>885</v>
      </c>
    </row>
    <row r="2812" spans="1:70" hidden="1" x14ac:dyDescent="0.3">
      <c r="A2812" s="48">
        <f>A2811+1</f>
        <v>2</v>
      </c>
      <c r="BF2812" s="48">
        <f t="shared" ref="BF2812:BF2860" si="106">A2812</f>
        <v>2</v>
      </c>
      <c r="BG2812" s="687" t="s">
        <v>4592</v>
      </c>
      <c r="BH2812" s="690" t="s">
        <v>4670</v>
      </c>
      <c r="BK2812" s="245" t="s">
        <v>885</v>
      </c>
      <c r="BL2812" s="48">
        <f t="shared" ref="BL2812:BL2860" si="107">BF2812</f>
        <v>2</v>
      </c>
      <c r="BM2812" s="687" t="s">
        <v>4693</v>
      </c>
      <c r="BN2812" s="690" t="s">
        <v>4741</v>
      </c>
      <c r="BR2812" s="245" t="s">
        <v>885</v>
      </c>
    </row>
    <row r="2813" spans="1:70" hidden="1" x14ac:dyDescent="0.3">
      <c r="A2813" s="48">
        <f t="shared" ref="A2813:A2871" si="108">A2812+1</f>
        <v>3</v>
      </c>
      <c r="BF2813" s="48">
        <f t="shared" si="106"/>
        <v>3</v>
      </c>
      <c r="BG2813" s="687" t="s">
        <v>4593</v>
      </c>
      <c r="BH2813" s="690" t="s">
        <v>4594</v>
      </c>
      <c r="BK2813" s="245" t="s">
        <v>885</v>
      </c>
      <c r="BL2813" s="48">
        <f t="shared" si="107"/>
        <v>3</v>
      </c>
      <c r="BM2813" s="687" t="s">
        <v>4694</v>
      </c>
      <c r="BN2813" s="690" t="s">
        <v>4742</v>
      </c>
      <c r="BR2813" s="245" t="s">
        <v>885</v>
      </c>
    </row>
    <row r="2814" spans="1:70" hidden="1" x14ac:dyDescent="0.3">
      <c r="A2814" s="48">
        <f t="shared" si="108"/>
        <v>4</v>
      </c>
      <c r="BF2814" s="48">
        <f t="shared" si="106"/>
        <v>4</v>
      </c>
      <c r="BG2814" s="687" t="s">
        <v>4595</v>
      </c>
      <c r="BH2814" s="690" t="s">
        <v>4671</v>
      </c>
      <c r="BK2814" s="245" t="s">
        <v>885</v>
      </c>
      <c r="BL2814" s="48">
        <f t="shared" si="107"/>
        <v>4</v>
      </c>
      <c r="BM2814" s="687" t="s">
        <v>4695</v>
      </c>
      <c r="BN2814" s="690" t="s">
        <v>4743</v>
      </c>
      <c r="BR2814" s="245" t="s">
        <v>885</v>
      </c>
    </row>
    <row r="2815" spans="1:70" hidden="1" x14ac:dyDescent="0.3">
      <c r="A2815" s="48">
        <f t="shared" si="108"/>
        <v>5</v>
      </c>
      <c r="BF2815" s="48">
        <f t="shared" si="106"/>
        <v>5</v>
      </c>
      <c r="BG2815" s="688" t="s">
        <v>4691</v>
      </c>
      <c r="BH2815" s="690" t="s">
        <v>4692</v>
      </c>
      <c r="BK2815" s="245" t="s">
        <v>885</v>
      </c>
      <c r="BL2815" s="48">
        <f t="shared" si="107"/>
        <v>5</v>
      </c>
      <c r="BM2815" s="687" t="s">
        <v>4696</v>
      </c>
      <c r="BN2815" s="690" t="s">
        <v>4744</v>
      </c>
      <c r="BR2815" s="245" t="s">
        <v>885</v>
      </c>
    </row>
    <row r="2816" spans="1:70" hidden="1" x14ac:dyDescent="0.3">
      <c r="A2816" s="48">
        <f t="shared" si="108"/>
        <v>6</v>
      </c>
      <c r="BF2816" s="48">
        <f t="shared" si="106"/>
        <v>6</v>
      </c>
      <c r="BG2816" s="687" t="s">
        <v>4596</v>
      </c>
      <c r="BH2816" s="690" t="s">
        <v>4597</v>
      </c>
      <c r="BK2816" s="245" t="s">
        <v>885</v>
      </c>
      <c r="BL2816" s="48">
        <f t="shared" si="107"/>
        <v>6</v>
      </c>
      <c r="BM2816" s="687" t="s">
        <v>4697</v>
      </c>
      <c r="BN2816" s="690" t="s">
        <v>4745</v>
      </c>
      <c r="BR2816" s="245" t="s">
        <v>885</v>
      </c>
    </row>
    <row r="2817" spans="1:70" hidden="1" x14ac:dyDescent="0.3">
      <c r="A2817" s="48">
        <f t="shared" si="108"/>
        <v>7</v>
      </c>
      <c r="BF2817" s="48">
        <f t="shared" si="106"/>
        <v>7</v>
      </c>
      <c r="BG2817" s="687" t="s">
        <v>4598</v>
      </c>
      <c r="BH2817" s="690" t="s">
        <v>4599</v>
      </c>
      <c r="BK2817" s="245" t="s">
        <v>885</v>
      </c>
      <c r="BL2817" s="48">
        <f t="shared" si="107"/>
        <v>7</v>
      </c>
      <c r="BM2817" s="687" t="s">
        <v>4698</v>
      </c>
      <c r="BN2817" s="690" t="s">
        <v>4746</v>
      </c>
      <c r="BR2817" s="245" t="s">
        <v>885</v>
      </c>
    </row>
    <row r="2818" spans="1:70" hidden="1" x14ac:dyDescent="0.3">
      <c r="A2818" s="48">
        <f t="shared" si="108"/>
        <v>8</v>
      </c>
      <c r="BF2818" s="48">
        <f t="shared" si="106"/>
        <v>8</v>
      </c>
      <c r="BG2818" s="687" t="s">
        <v>4600</v>
      </c>
      <c r="BH2818" s="690" t="s">
        <v>4672</v>
      </c>
      <c r="BK2818" s="245" t="s">
        <v>885</v>
      </c>
      <c r="BL2818" s="48">
        <f t="shared" si="107"/>
        <v>8</v>
      </c>
      <c r="BM2818" s="687" t="s">
        <v>4699</v>
      </c>
      <c r="BN2818" s="690" t="s">
        <v>4747</v>
      </c>
      <c r="BR2818" s="245" t="s">
        <v>885</v>
      </c>
    </row>
    <row r="2819" spans="1:70" hidden="1" x14ac:dyDescent="0.3">
      <c r="A2819" s="48">
        <f t="shared" si="108"/>
        <v>9</v>
      </c>
      <c r="BF2819" s="48">
        <f t="shared" si="106"/>
        <v>9</v>
      </c>
      <c r="BG2819" s="687" t="s">
        <v>4601</v>
      </c>
      <c r="BH2819" s="690" t="s">
        <v>4673</v>
      </c>
      <c r="BK2819" s="245" t="s">
        <v>885</v>
      </c>
      <c r="BL2819" s="48">
        <f t="shared" si="107"/>
        <v>9</v>
      </c>
      <c r="BM2819" s="687" t="s">
        <v>4700</v>
      </c>
      <c r="BN2819" s="690" t="s">
        <v>4748</v>
      </c>
      <c r="BR2819" s="245" t="s">
        <v>885</v>
      </c>
    </row>
    <row r="2820" spans="1:70" hidden="1" x14ac:dyDescent="0.3">
      <c r="A2820" s="48">
        <f t="shared" si="108"/>
        <v>10</v>
      </c>
      <c r="BF2820" s="48">
        <f t="shared" si="106"/>
        <v>10</v>
      </c>
      <c r="BG2820" s="687" t="s">
        <v>4602</v>
      </c>
      <c r="BH2820" s="690" t="s">
        <v>4674</v>
      </c>
      <c r="BK2820" s="245" t="s">
        <v>885</v>
      </c>
      <c r="BL2820" s="48">
        <f t="shared" si="107"/>
        <v>10</v>
      </c>
      <c r="BM2820" s="687" t="s">
        <v>4701</v>
      </c>
      <c r="BN2820" s="690" t="s">
        <v>4749</v>
      </c>
      <c r="BR2820" s="245" t="s">
        <v>885</v>
      </c>
    </row>
    <row r="2821" spans="1:70" hidden="1" x14ac:dyDescent="0.3">
      <c r="A2821" s="48">
        <f t="shared" si="108"/>
        <v>11</v>
      </c>
      <c r="BF2821" s="48">
        <f t="shared" si="106"/>
        <v>11</v>
      </c>
      <c r="BG2821" s="687" t="s">
        <v>4603</v>
      </c>
      <c r="BH2821" s="690" t="s">
        <v>4675</v>
      </c>
      <c r="BK2821" s="245" t="s">
        <v>885</v>
      </c>
      <c r="BL2821" s="48">
        <f t="shared" si="107"/>
        <v>11</v>
      </c>
      <c r="BM2821" s="687" t="s">
        <v>4702</v>
      </c>
      <c r="BN2821" s="690" t="s">
        <v>4750</v>
      </c>
      <c r="BR2821" s="245" t="s">
        <v>885</v>
      </c>
    </row>
    <row r="2822" spans="1:70" hidden="1" x14ac:dyDescent="0.3">
      <c r="A2822" s="48">
        <f t="shared" si="108"/>
        <v>12</v>
      </c>
      <c r="BF2822" s="48">
        <f t="shared" si="106"/>
        <v>12</v>
      </c>
      <c r="BG2822" s="687" t="s">
        <v>4604</v>
      </c>
      <c r="BH2822" s="690" t="s">
        <v>4676</v>
      </c>
      <c r="BK2822" s="245" t="s">
        <v>885</v>
      </c>
      <c r="BL2822" s="48">
        <f t="shared" si="107"/>
        <v>12</v>
      </c>
      <c r="BM2822" s="687" t="s">
        <v>4703</v>
      </c>
      <c r="BN2822" s="690" t="s">
        <v>4751</v>
      </c>
      <c r="BR2822" s="245" t="s">
        <v>885</v>
      </c>
    </row>
    <row r="2823" spans="1:70" hidden="1" x14ac:dyDescent="0.3">
      <c r="A2823" s="48">
        <f t="shared" si="108"/>
        <v>13</v>
      </c>
      <c r="BF2823" s="48">
        <f t="shared" si="106"/>
        <v>13</v>
      </c>
      <c r="BG2823" s="687" t="s">
        <v>4605</v>
      </c>
      <c r="BH2823" s="690" t="s">
        <v>4677</v>
      </c>
      <c r="BK2823" s="245" t="s">
        <v>885</v>
      </c>
      <c r="BL2823" s="48">
        <f t="shared" si="107"/>
        <v>13</v>
      </c>
      <c r="BM2823" s="687" t="s">
        <v>4704</v>
      </c>
      <c r="BN2823" s="690" t="s">
        <v>4752</v>
      </c>
      <c r="BR2823" s="245" t="s">
        <v>885</v>
      </c>
    </row>
    <row r="2824" spans="1:70" hidden="1" x14ac:dyDescent="0.3">
      <c r="A2824" s="48">
        <f t="shared" si="108"/>
        <v>14</v>
      </c>
      <c r="BF2824" s="48">
        <f t="shared" si="106"/>
        <v>14</v>
      </c>
      <c r="BG2824" s="687" t="s">
        <v>4606</v>
      </c>
      <c r="BH2824" s="690" t="s">
        <v>4607</v>
      </c>
      <c r="BK2824" s="245" t="s">
        <v>885</v>
      </c>
      <c r="BL2824" s="48">
        <f t="shared" si="107"/>
        <v>14</v>
      </c>
      <c r="BM2824" s="687" t="s">
        <v>4705</v>
      </c>
      <c r="BN2824" s="690" t="s">
        <v>4753</v>
      </c>
      <c r="BR2824" s="245" t="s">
        <v>885</v>
      </c>
    </row>
    <row r="2825" spans="1:70" hidden="1" x14ac:dyDescent="0.3">
      <c r="A2825" s="48">
        <f t="shared" si="108"/>
        <v>15</v>
      </c>
      <c r="BF2825" s="48">
        <f t="shared" si="106"/>
        <v>15</v>
      </c>
      <c r="BG2825" s="687" t="s">
        <v>4608</v>
      </c>
      <c r="BH2825" s="690" t="s">
        <v>4609</v>
      </c>
      <c r="BK2825" s="245" t="s">
        <v>885</v>
      </c>
      <c r="BL2825" s="48">
        <f t="shared" si="107"/>
        <v>15</v>
      </c>
      <c r="BM2825" s="687" t="s">
        <v>4706</v>
      </c>
      <c r="BN2825" s="690" t="s">
        <v>4754</v>
      </c>
      <c r="BR2825" s="245" t="s">
        <v>885</v>
      </c>
    </row>
    <row r="2826" spans="1:70" hidden="1" x14ac:dyDescent="0.3">
      <c r="A2826" s="48">
        <f t="shared" si="108"/>
        <v>16</v>
      </c>
      <c r="BF2826" s="48">
        <f t="shared" si="106"/>
        <v>16</v>
      </c>
      <c r="BG2826" s="687" t="s">
        <v>4610</v>
      </c>
      <c r="BH2826" s="690" t="s">
        <v>4611</v>
      </c>
      <c r="BK2826" s="245" t="s">
        <v>885</v>
      </c>
      <c r="BL2826" s="48">
        <f t="shared" si="107"/>
        <v>16</v>
      </c>
      <c r="BM2826" s="687" t="s">
        <v>4707</v>
      </c>
      <c r="BN2826" s="690" t="s">
        <v>4755</v>
      </c>
      <c r="BR2826" s="245" t="s">
        <v>885</v>
      </c>
    </row>
    <row r="2827" spans="1:70" hidden="1" x14ac:dyDescent="0.3">
      <c r="A2827" s="48">
        <f t="shared" si="108"/>
        <v>17</v>
      </c>
      <c r="BF2827" s="48">
        <f t="shared" si="106"/>
        <v>17</v>
      </c>
      <c r="BG2827" s="687" t="s">
        <v>4612</v>
      </c>
      <c r="BH2827" s="690" t="s">
        <v>4613</v>
      </c>
      <c r="BK2827" s="245" t="s">
        <v>885</v>
      </c>
      <c r="BL2827" s="48">
        <f t="shared" si="107"/>
        <v>17</v>
      </c>
      <c r="BM2827" s="687" t="s">
        <v>4708</v>
      </c>
      <c r="BN2827" s="690" t="s">
        <v>4756</v>
      </c>
      <c r="BR2827" s="245" t="s">
        <v>885</v>
      </c>
    </row>
    <row r="2828" spans="1:70" hidden="1" x14ac:dyDescent="0.3">
      <c r="A2828" s="48">
        <f t="shared" si="108"/>
        <v>18</v>
      </c>
      <c r="BF2828" s="48">
        <f t="shared" si="106"/>
        <v>18</v>
      </c>
      <c r="BG2828" s="687" t="s">
        <v>4614</v>
      </c>
      <c r="BH2828" s="690" t="s">
        <v>4678</v>
      </c>
      <c r="BK2828" s="245" t="s">
        <v>885</v>
      </c>
      <c r="BL2828" s="48">
        <f t="shared" si="107"/>
        <v>18</v>
      </c>
      <c r="BM2828" s="687" t="s">
        <v>4709</v>
      </c>
      <c r="BN2828" s="690" t="s">
        <v>4757</v>
      </c>
      <c r="BR2828" s="245" t="s">
        <v>885</v>
      </c>
    </row>
    <row r="2829" spans="1:70" hidden="1" x14ac:dyDescent="0.3">
      <c r="A2829" s="48">
        <f t="shared" si="108"/>
        <v>19</v>
      </c>
      <c r="BF2829" s="48">
        <f t="shared" si="106"/>
        <v>19</v>
      </c>
      <c r="BG2829" s="688" t="s">
        <v>4615</v>
      </c>
      <c r="BH2829" s="691" t="s">
        <v>4616</v>
      </c>
      <c r="BK2829" s="245" t="s">
        <v>885</v>
      </c>
      <c r="BL2829" s="48">
        <f t="shared" si="107"/>
        <v>19</v>
      </c>
      <c r="BM2829" s="687" t="s">
        <v>4710</v>
      </c>
      <c r="BN2829" s="690" t="s">
        <v>4758</v>
      </c>
      <c r="BR2829" s="245" t="s">
        <v>885</v>
      </c>
    </row>
    <row r="2830" spans="1:70" hidden="1" x14ac:dyDescent="0.3">
      <c r="A2830" s="48">
        <f t="shared" si="108"/>
        <v>20</v>
      </c>
      <c r="BF2830" s="48">
        <f t="shared" si="106"/>
        <v>20</v>
      </c>
      <c r="BG2830" s="688" t="s">
        <v>4617</v>
      </c>
      <c r="BH2830" s="691" t="s">
        <v>4618</v>
      </c>
      <c r="BK2830" s="245" t="s">
        <v>885</v>
      </c>
      <c r="BL2830" s="48">
        <f t="shared" si="107"/>
        <v>20</v>
      </c>
      <c r="BM2830" s="687" t="s">
        <v>4711</v>
      </c>
      <c r="BN2830" s="690" t="s">
        <v>4759</v>
      </c>
      <c r="BR2830" s="245" t="s">
        <v>885</v>
      </c>
    </row>
    <row r="2831" spans="1:70" hidden="1" x14ac:dyDescent="0.3">
      <c r="A2831" s="48">
        <f t="shared" si="108"/>
        <v>21</v>
      </c>
      <c r="BF2831" s="48">
        <f t="shared" si="106"/>
        <v>21</v>
      </c>
      <c r="BG2831" s="688" t="s">
        <v>4619</v>
      </c>
      <c r="BH2831" s="691" t="s">
        <v>4620</v>
      </c>
      <c r="BK2831" s="245" t="s">
        <v>885</v>
      </c>
      <c r="BL2831" s="48">
        <f t="shared" si="107"/>
        <v>21</v>
      </c>
      <c r="BM2831" s="687" t="s">
        <v>552</v>
      </c>
      <c r="BN2831" s="690" t="s">
        <v>4760</v>
      </c>
      <c r="BR2831" s="245" t="s">
        <v>885</v>
      </c>
    </row>
    <row r="2832" spans="1:70" hidden="1" x14ac:dyDescent="0.3">
      <c r="A2832" s="48">
        <f t="shared" si="108"/>
        <v>22</v>
      </c>
      <c r="BF2832" s="48">
        <f t="shared" si="106"/>
        <v>22</v>
      </c>
      <c r="BG2832" s="688" t="s">
        <v>4621</v>
      </c>
      <c r="BH2832" s="691" t="s">
        <v>4622</v>
      </c>
      <c r="BK2832" s="245" t="s">
        <v>885</v>
      </c>
      <c r="BL2832" s="48">
        <f t="shared" si="107"/>
        <v>22</v>
      </c>
      <c r="BM2832" s="687" t="s">
        <v>4712</v>
      </c>
      <c r="BN2832" s="690" t="s">
        <v>4761</v>
      </c>
      <c r="BR2832" s="245" t="s">
        <v>885</v>
      </c>
    </row>
    <row r="2833" spans="1:70" hidden="1" x14ac:dyDescent="0.3">
      <c r="A2833" s="48">
        <f t="shared" si="108"/>
        <v>23</v>
      </c>
      <c r="BF2833" s="48">
        <f t="shared" si="106"/>
        <v>23</v>
      </c>
      <c r="BG2833" s="688" t="s">
        <v>4623</v>
      </c>
      <c r="BH2833" s="691" t="s">
        <v>4624</v>
      </c>
      <c r="BK2833" s="245" t="s">
        <v>885</v>
      </c>
      <c r="BL2833" s="48">
        <f t="shared" si="107"/>
        <v>23</v>
      </c>
      <c r="BM2833" s="687" t="s">
        <v>4713</v>
      </c>
      <c r="BN2833" s="690" t="s">
        <v>4762</v>
      </c>
      <c r="BR2833" s="245" t="s">
        <v>885</v>
      </c>
    </row>
    <row r="2834" spans="1:70" hidden="1" x14ac:dyDescent="0.3">
      <c r="A2834" s="48">
        <f t="shared" si="108"/>
        <v>24</v>
      </c>
      <c r="BF2834" s="48">
        <f t="shared" si="106"/>
        <v>24</v>
      </c>
      <c r="BG2834" s="687" t="s">
        <v>4625</v>
      </c>
      <c r="BH2834" s="690" t="s">
        <v>4626</v>
      </c>
      <c r="BK2834" s="245" t="s">
        <v>885</v>
      </c>
      <c r="BL2834" s="48">
        <f t="shared" si="107"/>
        <v>24</v>
      </c>
      <c r="BM2834" s="687" t="s">
        <v>4714</v>
      </c>
      <c r="BN2834" s="690" t="s">
        <v>4763</v>
      </c>
      <c r="BR2834" s="245" t="s">
        <v>885</v>
      </c>
    </row>
    <row r="2835" spans="1:70" hidden="1" x14ac:dyDescent="0.3">
      <c r="A2835" s="48">
        <f t="shared" si="108"/>
        <v>25</v>
      </c>
      <c r="BF2835" s="48">
        <f t="shared" si="106"/>
        <v>25</v>
      </c>
      <c r="BG2835" s="687" t="s">
        <v>4627</v>
      </c>
      <c r="BH2835" s="690" t="s">
        <v>4679</v>
      </c>
      <c r="BK2835" s="245" t="s">
        <v>885</v>
      </c>
      <c r="BL2835" s="48">
        <f t="shared" si="107"/>
        <v>25</v>
      </c>
      <c r="BM2835" s="687" t="s">
        <v>4715</v>
      </c>
      <c r="BN2835" s="690" t="s">
        <v>4764</v>
      </c>
      <c r="BR2835" s="245" t="s">
        <v>885</v>
      </c>
    </row>
    <row r="2836" spans="1:70" hidden="1" x14ac:dyDescent="0.3">
      <c r="A2836" s="48">
        <f t="shared" si="108"/>
        <v>26</v>
      </c>
      <c r="BF2836" s="48">
        <f t="shared" si="106"/>
        <v>26</v>
      </c>
      <c r="BG2836" s="687" t="s">
        <v>4628</v>
      </c>
      <c r="BH2836" s="690" t="s">
        <v>4629</v>
      </c>
      <c r="BK2836" s="245" t="s">
        <v>885</v>
      </c>
      <c r="BL2836" s="48">
        <f t="shared" si="107"/>
        <v>26</v>
      </c>
      <c r="BM2836" s="687" t="s">
        <v>4716</v>
      </c>
      <c r="BN2836" s="690" t="s">
        <v>4765</v>
      </c>
      <c r="BR2836" s="245" t="s">
        <v>885</v>
      </c>
    </row>
    <row r="2837" spans="1:70" hidden="1" x14ac:dyDescent="0.3">
      <c r="A2837" s="48">
        <f t="shared" si="108"/>
        <v>27</v>
      </c>
      <c r="BF2837" s="48">
        <f t="shared" si="106"/>
        <v>27</v>
      </c>
      <c r="BG2837" s="687" t="s">
        <v>4630</v>
      </c>
      <c r="BH2837" s="690" t="s">
        <v>4680</v>
      </c>
      <c r="BK2837" s="245" t="s">
        <v>885</v>
      </c>
      <c r="BL2837" s="48">
        <f t="shared" si="107"/>
        <v>27</v>
      </c>
      <c r="BM2837" s="687" t="s">
        <v>4717</v>
      </c>
      <c r="BN2837" s="690" t="s">
        <v>4766</v>
      </c>
      <c r="BR2837" s="245" t="s">
        <v>885</v>
      </c>
    </row>
    <row r="2838" spans="1:70" hidden="1" x14ac:dyDescent="0.3">
      <c r="A2838" s="48">
        <f t="shared" si="108"/>
        <v>28</v>
      </c>
      <c r="BF2838" s="48">
        <f t="shared" si="106"/>
        <v>28</v>
      </c>
      <c r="BG2838" s="687" t="s">
        <v>4632</v>
      </c>
      <c r="BH2838" s="690" t="s">
        <v>4681</v>
      </c>
      <c r="BK2838" s="245" t="s">
        <v>885</v>
      </c>
      <c r="BL2838" s="48">
        <f t="shared" si="107"/>
        <v>28</v>
      </c>
      <c r="BM2838" s="687" t="s">
        <v>4718</v>
      </c>
      <c r="BN2838" s="690" t="s">
        <v>4767</v>
      </c>
      <c r="BR2838" s="245" t="s">
        <v>885</v>
      </c>
    </row>
    <row r="2839" spans="1:70" hidden="1" x14ac:dyDescent="0.3">
      <c r="A2839" s="48">
        <f t="shared" si="108"/>
        <v>29</v>
      </c>
      <c r="BF2839" s="48">
        <f t="shared" si="106"/>
        <v>29</v>
      </c>
      <c r="BG2839" s="687" t="s">
        <v>4631</v>
      </c>
      <c r="BH2839" s="690" t="s">
        <v>4682</v>
      </c>
      <c r="BK2839" s="245" t="s">
        <v>885</v>
      </c>
      <c r="BL2839" s="48">
        <f t="shared" si="107"/>
        <v>29</v>
      </c>
      <c r="BM2839" s="687" t="s">
        <v>4719</v>
      </c>
      <c r="BN2839" s="690" t="s">
        <v>4768</v>
      </c>
      <c r="BR2839" s="245" t="s">
        <v>885</v>
      </c>
    </row>
    <row r="2840" spans="1:70" hidden="1" x14ac:dyDescent="0.3">
      <c r="A2840" s="48">
        <f t="shared" si="108"/>
        <v>30</v>
      </c>
      <c r="BF2840" s="48">
        <f t="shared" si="106"/>
        <v>30</v>
      </c>
      <c r="BG2840" s="687" t="s">
        <v>4633</v>
      </c>
      <c r="BH2840" s="690" t="s">
        <v>4634</v>
      </c>
      <c r="BK2840" s="245" t="s">
        <v>885</v>
      </c>
      <c r="BL2840" s="48">
        <f t="shared" si="107"/>
        <v>30</v>
      </c>
      <c r="BM2840" s="687" t="s">
        <v>4720</v>
      </c>
      <c r="BN2840" s="690" t="s">
        <v>4769</v>
      </c>
      <c r="BR2840" s="245" t="s">
        <v>885</v>
      </c>
    </row>
    <row r="2841" spans="1:70" hidden="1" x14ac:dyDescent="0.3">
      <c r="A2841" s="48">
        <f t="shared" si="108"/>
        <v>31</v>
      </c>
      <c r="BF2841" s="48">
        <f t="shared" si="106"/>
        <v>31</v>
      </c>
      <c r="BG2841" s="688" t="s">
        <v>4666</v>
      </c>
      <c r="BH2841" s="690" t="s">
        <v>4683</v>
      </c>
      <c r="BK2841" s="245" t="s">
        <v>885</v>
      </c>
      <c r="BL2841" s="48">
        <f t="shared" si="107"/>
        <v>31</v>
      </c>
      <c r="BM2841" s="687" t="s">
        <v>4721</v>
      </c>
      <c r="BN2841" s="690" t="s">
        <v>4770</v>
      </c>
      <c r="BR2841" s="245" t="s">
        <v>885</v>
      </c>
    </row>
    <row r="2842" spans="1:70" hidden="1" x14ac:dyDescent="0.3">
      <c r="A2842" s="48">
        <f t="shared" si="108"/>
        <v>32</v>
      </c>
      <c r="BF2842" s="48">
        <f t="shared" si="106"/>
        <v>32</v>
      </c>
      <c r="BG2842" s="687" t="s">
        <v>4667</v>
      </c>
      <c r="BH2842" s="690" t="s">
        <v>4684</v>
      </c>
      <c r="BK2842" s="245" t="s">
        <v>885</v>
      </c>
      <c r="BL2842" s="48">
        <f t="shared" si="107"/>
        <v>32</v>
      </c>
      <c r="BM2842" s="687" t="s">
        <v>4722</v>
      </c>
      <c r="BN2842" s="690" t="s">
        <v>4771</v>
      </c>
      <c r="BR2842" s="245" t="s">
        <v>885</v>
      </c>
    </row>
    <row r="2843" spans="1:70" hidden="1" x14ac:dyDescent="0.3">
      <c r="A2843" s="48">
        <f t="shared" si="108"/>
        <v>33</v>
      </c>
      <c r="BF2843" s="48">
        <f t="shared" si="106"/>
        <v>33</v>
      </c>
      <c r="BG2843" s="687" t="s">
        <v>4635</v>
      </c>
      <c r="BH2843" s="690" t="s">
        <v>4636</v>
      </c>
      <c r="BK2843" s="245" t="s">
        <v>885</v>
      </c>
      <c r="BL2843" s="48">
        <f t="shared" si="107"/>
        <v>33</v>
      </c>
      <c r="BM2843" s="687" t="s">
        <v>4723</v>
      </c>
      <c r="BN2843" s="690" t="s">
        <v>4772</v>
      </c>
      <c r="BR2843" s="245" t="s">
        <v>885</v>
      </c>
    </row>
    <row r="2844" spans="1:70" hidden="1" x14ac:dyDescent="0.3">
      <c r="A2844" s="48">
        <f t="shared" si="108"/>
        <v>34</v>
      </c>
      <c r="BF2844" s="48">
        <f t="shared" si="106"/>
        <v>34</v>
      </c>
      <c r="BG2844" s="687" t="s">
        <v>4637</v>
      </c>
      <c r="BH2844" s="690" t="s">
        <v>4638</v>
      </c>
      <c r="BK2844" s="245" t="s">
        <v>885</v>
      </c>
      <c r="BL2844" s="48">
        <f t="shared" si="107"/>
        <v>34</v>
      </c>
      <c r="BM2844" s="687" t="s">
        <v>4724</v>
      </c>
      <c r="BN2844" s="690" t="s">
        <v>4773</v>
      </c>
      <c r="BR2844" s="245" t="s">
        <v>885</v>
      </c>
    </row>
    <row r="2845" spans="1:70" hidden="1" x14ac:dyDescent="0.3">
      <c r="A2845" s="48">
        <f t="shared" si="108"/>
        <v>35</v>
      </c>
      <c r="BF2845" s="48">
        <f t="shared" si="106"/>
        <v>35</v>
      </c>
      <c r="BG2845" s="687" t="s">
        <v>4639</v>
      </c>
      <c r="BH2845" s="690" t="s">
        <v>4685</v>
      </c>
      <c r="BK2845" s="245" t="s">
        <v>885</v>
      </c>
      <c r="BL2845" s="48">
        <f t="shared" si="107"/>
        <v>35</v>
      </c>
      <c r="BM2845" s="687" t="s">
        <v>4725</v>
      </c>
      <c r="BN2845" s="690" t="s">
        <v>4774</v>
      </c>
      <c r="BR2845" s="245" t="s">
        <v>885</v>
      </c>
    </row>
    <row r="2846" spans="1:70" hidden="1" x14ac:dyDescent="0.3">
      <c r="A2846" s="48">
        <f t="shared" si="108"/>
        <v>36</v>
      </c>
      <c r="BF2846" s="48">
        <f t="shared" si="106"/>
        <v>36</v>
      </c>
      <c r="BG2846" s="687" t="s">
        <v>4640</v>
      </c>
      <c r="BH2846" s="690" t="s">
        <v>4641</v>
      </c>
      <c r="BK2846" s="245" t="s">
        <v>885</v>
      </c>
      <c r="BL2846" s="48">
        <f t="shared" si="107"/>
        <v>36</v>
      </c>
      <c r="BM2846" s="687" t="s">
        <v>4726</v>
      </c>
      <c r="BN2846" s="690" t="s">
        <v>4775</v>
      </c>
      <c r="BR2846" s="245" t="s">
        <v>885</v>
      </c>
    </row>
    <row r="2847" spans="1:70" hidden="1" x14ac:dyDescent="0.3">
      <c r="A2847" s="48">
        <f t="shared" si="108"/>
        <v>37</v>
      </c>
      <c r="BF2847" s="48">
        <f t="shared" si="106"/>
        <v>37</v>
      </c>
      <c r="BG2847" s="687" t="s">
        <v>4642</v>
      </c>
      <c r="BH2847" s="690" t="s">
        <v>4686</v>
      </c>
      <c r="BK2847" s="245" t="s">
        <v>885</v>
      </c>
      <c r="BL2847" s="48">
        <f t="shared" si="107"/>
        <v>37</v>
      </c>
      <c r="BM2847" s="687" t="s">
        <v>4727</v>
      </c>
      <c r="BN2847" s="690" t="s">
        <v>4776</v>
      </c>
      <c r="BR2847" s="245" t="s">
        <v>885</v>
      </c>
    </row>
    <row r="2848" spans="1:70" hidden="1" x14ac:dyDescent="0.3">
      <c r="A2848" s="48">
        <f t="shared" si="108"/>
        <v>38</v>
      </c>
      <c r="BF2848" s="48">
        <f t="shared" si="106"/>
        <v>38</v>
      </c>
      <c r="BG2848" s="687" t="s">
        <v>4643</v>
      </c>
      <c r="BH2848" s="690" t="s">
        <v>4687</v>
      </c>
      <c r="BK2848" s="245" t="s">
        <v>885</v>
      </c>
      <c r="BL2848" s="48">
        <f t="shared" si="107"/>
        <v>38</v>
      </c>
      <c r="BM2848" s="687" t="s">
        <v>4728</v>
      </c>
      <c r="BN2848" s="690" t="s">
        <v>4777</v>
      </c>
      <c r="BR2848" s="245" t="s">
        <v>885</v>
      </c>
    </row>
    <row r="2849" spans="1:70" hidden="1" x14ac:dyDescent="0.3">
      <c r="A2849" s="48">
        <f t="shared" si="108"/>
        <v>39</v>
      </c>
      <c r="BF2849" s="48">
        <f t="shared" si="106"/>
        <v>39</v>
      </c>
      <c r="BG2849" s="687" t="s">
        <v>4644</v>
      </c>
      <c r="BH2849" s="690" t="s">
        <v>4645</v>
      </c>
      <c r="BK2849" s="245" t="s">
        <v>885</v>
      </c>
      <c r="BL2849" s="48">
        <f t="shared" si="107"/>
        <v>39</v>
      </c>
      <c r="BM2849" s="687" t="s">
        <v>4729</v>
      </c>
      <c r="BN2849" s="690" t="s">
        <v>4778</v>
      </c>
      <c r="BR2849" s="245" t="s">
        <v>885</v>
      </c>
    </row>
    <row r="2850" spans="1:70" hidden="1" x14ac:dyDescent="0.3">
      <c r="A2850" s="48">
        <f t="shared" si="108"/>
        <v>40</v>
      </c>
      <c r="BF2850" s="48">
        <f t="shared" si="106"/>
        <v>40</v>
      </c>
      <c r="BG2850" s="687" t="s">
        <v>4646</v>
      </c>
      <c r="BH2850" s="690" t="s">
        <v>4647</v>
      </c>
      <c r="BK2850" s="245" t="s">
        <v>885</v>
      </c>
      <c r="BL2850" s="48">
        <f t="shared" si="107"/>
        <v>40</v>
      </c>
      <c r="BM2850" s="687" t="s">
        <v>4730</v>
      </c>
      <c r="BN2850" s="690" t="s">
        <v>4779</v>
      </c>
      <c r="BR2850" s="245" t="s">
        <v>885</v>
      </c>
    </row>
    <row r="2851" spans="1:70" hidden="1" x14ac:dyDescent="0.3">
      <c r="A2851" s="48">
        <f t="shared" si="108"/>
        <v>41</v>
      </c>
      <c r="BF2851" s="48">
        <f t="shared" si="106"/>
        <v>41</v>
      </c>
      <c r="BG2851" s="687" t="s">
        <v>4648</v>
      </c>
      <c r="BH2851" s="690" t="s">
        <v>4688</v>
      </c>
      <c r="BK2851" s="245" t="s">
        <v>885</v>
      </c>
      <c r="BL2851" s="48">
        <f t="shared" si="107"/>
        <v>41</v>
      </c>
      <c r="BM2851" s="687" t="s">
        <v>4731</v>
      </c>
      <c r="BN2851" s="690" t="s">
        <v>4780</v>
      </c>
      <c r="BR2851" s="245" t="s">
        <v>885</v>
      </c>
    </row>
    <row r="2852" spans="1:70" hidden="1" x14ac:dyDescent="0.3">
      <c r="A2852" s="48">
        <f t="shared" si="108"/>
        <v>42</v>
      </c>
      <c r="BF2852" s="48">
        <f t="shared" si="106"/>
        <v>42</v>
      </c>
      <c r="BG2852" s="687" t="s">
        <v>4649</v>
      </c>
      <c r="BH2852" s="690" t="s">
        <v>4650</v>
      </c>
      <c r="BK2852" s="245" t="s">
        <v>885</v>
      </c>
      <c r="BL2852" s="48">
        <f t="shared" si="107"/>
        <v>42</v>
      </c>
      <c r="BM2852" s="687" t="s">
        <v>4732</v>
      </c>
      <c r="BN2852" s="690" t="s">
        <v>4781</v>
      </c>
      <c r="BR2852" s="245" t="s">
        <v>885</v>
      </c>
    </row>
    <row r="2853" spans="1:70" hidden="1" x14ac:dyDescent="0.3">
      <c r="A2853" s="48">
        <f t="shared" si="108"/>
        <v>43</v>
      </c>
      <c r="BF2853" s="48">
        <f t="shared" si="106"/>
        <v>43</v>
      </c>
      <c r="BG2853" s="687" t="s">
        <v>4651</v>
      </c>
      <c r="BH2853" s="690" t="s">
        <v>4652</v>
      </c>
      <c r="BK2853" s="245" t="s">
        <v>885</v>
      </c>
      <c r="BL2853" s="48">
        <f t="shared" si="107"/>
        <v>43</v>
      </c>
      <c r="BM2853" s="687" t="s">
        <v>4733</v>
      </c>
      <c r="BN2853" s="690" t="s">
        <v>4782</v>
      </c>
      <c r="BR2853" s="245" t="s">
        <v>885</v>
      </c>
    </row>
    <row r="2854" spans="1:70" hidden="1" x14ac:dyDescent="0.3">
      <c r="A2854" s="48">
        <f t="shared" si="108"/>
        <v>44</v>
      </c>
      <c r="BF2854" s="48">
        <f t="shared" si="106"/>
        <v>44</v>
      </c>
      <c r="BG2854" s="687" t="s">
        <v>4653</v>
      </c>
      <c r="BH2854" s="690" t="s">
        <v>4654</v>
      </c>
      <c r="BK2854" s="245" t="s">
        <v>885</v>
      </c>
      <c r="BL2854" s="48">
        <f t="shared" si="107"/>
        <v>44</v>
      </c>
      <c r="BM2854" s="687" t="s">
        <v>4734</v>
      </c>
      <c r="BN2854" s="690" t="s">
        <v>4783</v>
      </c>
      <c r="BR2854" s="245" t="s">
        <v>885</v>
      </c>
    </row>
    <row r="2855" spans="1:70" hidden="1" x14ac:dyDescent="0.3">
      <c r="A2855" s="48">
        <f t="shared" si="108"/>
        <v>45</v>
      </c>
      <c r="BF2855" s="48">
        <f t="shared" si="106"/>
        <v>45</v>
      </c>
      <c r="BG2855" s="687" t="s">
        <v>4655</v>
      </c>
      <c r="BH2855" s="690" t="s">
        <v>4656</v>
      </c>
      <c r="BK2855" s="245" t="s">
        <v>885</v>
      </c>
      <c r="BL2855" s="48">
        <f t="shared" si="107"/>
        <v>45</v>
      </c>
      <c r="BM2855" s="687" t="s">
        <v>4735</v>
      </c>
      <c r="BN2855" s="690" t="s">
        <v>4784</v>
      </c>
      <c r="BR2855" s="245" t="s">
        <v>885</v>
      </c>
    </row>
    <row r="2856" spans="1:70" hidden="1" x14ac:dyDescent="0.3">
      <c r="A2856" s="48">
        <f t="shared" si="108"/>
        <v>46</v>
      </c>
      <c r="BF2856" s="48">
        <f t="shared" si="106"/>
        <v>46</v>
      </c>
      <c r="BG2856" s="687" t="s">
        <v>4657</v>
      </c>
      <c r="BH2856" s="690" t="s">
        <v>4658</v>
      </c>
      <c r="BK2856" s="245" t="s">
        <v>885</v>
      </c>
      <c r="BL2856" s="48">
        <f t="shared" si="107"/>
        <v>46</v>
      </c>
      <c r="BM2856" s="687" t="s">
        <v>4736</v>
      </c>
      <c r="BN2856" s="690" t="s">
        <v>4785</v>
      </c>
      <c r="BR2856" s="245" t="s">
        <v>885</v>
      </c>
    </row>
    <row r="2857" spans="1:70" hidden="1" x14ac:dyDescent="0.3">
      <c r="A2857" s="48">
        <f t="shared" si="108"/>
        <v>47</v>
      </c>
      <c r="BF2857" s="48">
        <f t="shared" si="106"/>
        <v>47</v>
      </c>
      <c r="BG2857" s="687" t="s">
        <v>4659</v>
      </c>
      <c r="BH2857" s="690" t="s">
        <v>4660</v>
      </c>
      <c r="BK2857" s="245" t="s">
        <v>885</v>
      </c>
      <c r="BL2857" s="48">
        <f t="shared" si="107"/>
        <v>47</v>
      </c>
      <c r="BM2857" s="687" t="s">
        <v>4737</v>
      </c>
      <c r="BN2857" s="690" t="s">
        <v>4786</v>
      </c>
      <c r="BR2857" s="245" t="s">
        <v>885</v>
      </c>
    </row>
    <row r="2858" spans="1:70" hidden="1" x14ac:dyDescent="0.3">
      <c r="A2858" s="48">
        <f t="shared" si="108"/>
        <v>48</v>
      </c>
      <c r="BF2858" s="48">
        <f t="shared" si="106"/>
        <v>48</v>
      </c>
      <c r="BG2858" s="687" t="s">
        <v>4661</v>
      </c>
      <c r="BH2858" s="690" t="s">
        <v>4662</v>
      </c>
      <c r="BK2858" s="245" t="s">
        <v>885</v>
      </c>
      <c r="BL2858" s="48">
        <f t="shared" si="107"/>
        <v>48</v>
      </c>
      <c r="BM2858" s="687" t="s">
        <v>4738</v>
      </c>
      <c r="BN2858" s="690" t="s">
        <v>4791</v>
      </c>
      <c r="BR2858" s="245" t="s">
        <v>885</v>
      </c>
    </row>
    <row r="2859" spans="1:70" hidden="1" x14ac:dyDescent="0.3">
      <c r="A2859" s="48">
        <f t="shared" si="108"/>
        <v>49</v>
      </c>
      <c r="BF2859" s="48">
        <f t="shared" si="106"/>
        <v>49</v>
      </c>
      <c r="BG2859" s="687" t="s">
        <v>4663</v>
      </c>
      <c r="BH2859" s="690" t="s">
        <v>4689</v>
      </c>
      <c r="BK2859" s="245" t="s">
        <v>885</v>
      </c>
      <c r="BL2859" s="48">
        <f t="shared" si="107"/>
        <v>49</v>
      </c>
      <c r="BM2859" s="687" t="s">
        <v>4739</v>
      </c>
      <c r="BN2859" s="690" t="s">
        <v>4787</v>
      </c>
      <c r="BR2859" s="245" t="s">
        <v>885</v>
      </c>
    </row>
    <row r="2860" spans="1:70" hidden="1" x14ac:dyDescent="0.3">
      <c r="A2860" s="48">
        <f t="shared" si="108"/>
        <v>50</v>
      </c>
      <c r="BF2860" s="48">
        <f t="shared" si="106"/>
        <v>50</v>
      </c>
      <c r="BG2860" s="687" t="s">
        <v>4664</v>
      </c>
      <c r="BH2860" s="690" t="s">
        <v>4665</v>
      </c>
      <c r="BK2860" s="245" t="s">
        <v>885</v>
      </c>
      <c r="BL2860" s="48">
        <f t="shared" si="107"/>
        <v>50</v>
      </c>
      <c r="BM2860" s="687" t="s">
        <v>4740</v>
      </c>
      <c r="BN2860" s="690" t="s">
        <v>4788</v>
      </c>
      <c r="BR2860" s="245" t="s">
        <v>885</v>
      </c>
    </row>
    <row r="2861" spans="1:70" hidden="1" x14ac:dyDescent="0.3">
      <c r="A2861" s="48">
        <f t="shared" si="108"/>
        <v>51</v>
      </c>
      <c r="BG2861" s="689" t="s">
        <v>4668</v>
      </c>
      <c r="BH2861" s="690" t="s">
        <v>4690</v>
      </c>
      <c r="BK2861" s="245" t="s">
        <v>885</v>
      </c>
    </row>
    <row r="2862" spans="1:70" hidden="1" x14ac:dyDescent="0.3">
      <c r="A2862" s="48">
        <f t="shared" si="108"/>
        <v>52</v>
      </c>
    </row>
    <row r="2863" spans="1:70" hidden="1" x14ac:dyDescent="0.3">
      <c r="A2863" s="48">
        <f t="shared" si="108"/>
        <v>53</v>
      </c>
    </row>
    <row r="2864" spans="1:70" hidden="1" x14ac:dyDescent="0.3">
      <c r="A2864" s="48">
        <f t="shared" si="108"/>
        <v>54</v>
      </c>
    </row>
    <row r="2865" spans="1:4" hidden="1" x14ac:dyDescent="0.3">
      <c r="A2865" s="48">
        <f t="shared" si="108"/>
        <v>55</v>
      </c>
    </row>
    <row r="2866" spans="1:4" hidden="1" x14ac:dyDescent="0.3">
      <c r="A2866" s="48">
        <f t="shared" si="108"/>
        <v>56</v>
      </c>
    </row>
    <row r="2867" spans="1:4" hidden="1" x14ac:dyDescent="0.3">
      <c r="A2867" s="48">
        <f t="shared" si="108"/>
        <v>57</v>
      </c>
    </row>
    <row r="2868" spans="1:4" hidden="1" x14ac:dyDescent="0.3">
      <c r="A2868" s="48">
        <f t="shared" si="108"/>
        <v>58</v>
      </c>
    </row>
    <row r="2869" spans="1:4" hidden="1" x14ac:dyDescent="0.3">
      <c r="A2869" s="48">
        <f t="shared" si="108"/>
        <v>59</v>
      </c>
    </row>
    <row r="2870" spans="1:4" hidden="1" x14ac:dyDescent="0.3">
      <c r="A2870" s="48">
        <f t="shared" si="108"/>
        <v>60</v>
      </c>
    </row>
    <row r="2871" spans="1:4" hidden="1" x14ac:dyDescent="0.3">
      <c r="A2871" s="48">
        <f t="shared" si="108"/>
        <v>61</v>
      </c>
    </row>
    <row r="2872" spans="1:4" hidden="1" x14ac:dyDescent="0.3"/>
    <row r="2873" spans="1:4" hidden="1" x14ac:dyDescent="0.3"/>
    <row r="2874" spans="1:4" ht="15.5" hidden="1" x14ac:dyDescent="0.35">
      <c r="B2874" s="569" t="str">
        <f>B274</f>
        <v>Defense counsel</v>
      </c>
      <c r="C2874" s="569" t="str">
        <f>B275</f>
        <v>Satisfaction level</v>
      </c>
      <c r="D2874" s="569" t="s">
        <v>3859</v>
      </c>
    </row>
    <row r="2875" spans="1:4" hidden="1" x14ac:dyDescent="0.3">
      <c r="B2875" s="48" t="s">
        <v>3613</v>
      </c>
      <c r="C2875" s="48" t="s">
        <v>1295</v>
      </c>
      <c r="D2875" s="48" t="s">
        <v>1299</v>
      </c>
    </row>
    <row r="2876" spans="1:4" hidden="1" x14ac:dyDescent="0.3">
      <c r="B2876" s="48" t="s">
        <v>3614</v>
      </c>
      <c r="C2876" s="48" t="s">
        <v>164</v>
      </c>
      <c r="D2876" s="48" t="s">
        <v>165</v>
      </c>
    </row>
    <row r="2877" spans="1:4" hidden="1" x14ac:dyDescent="0.3">
      <c r="B2877" s="48" t="s">
        <v>3615</v>
      </c>
      <c r="C2877" s="48" t="s">
        <v>1296</v>
      </c>
      <c r="D2877" s="48" t="s">
        <v>3618</v>
      </c>
    </row>
    <row r="2878" spans="1:4" hidden="1" x14ac:dyDescent="0.3">
      <c r="C2878" s="48" t="s">
        <v>1297</v>
      </c>
      <c r="D2878" s="48" t="s">
        <v>1300</v>
      </c>
    </row>
    <row r="2879" spans="1:4" hidden="1" x14ac:dyDescent="0.3">
      <c r="C2879" s="48" t="s">
        <v>1298</v>
      </c>
      <c r="D2879" s="48" t="s">
        <v>1301</v>
      </c>
    </row>
    <row r="2880" spans="1:4" hidden="1" x14ac:dyDescent="0.3">
      <c r="D2880" s="48" t="s">
        <v>1302</v>
      </c>
    </row>
    <row r="2881" spans="2:4" hidden="1" x14ac:dyDescent="0.3"/>
    <row r="2882" spans="2:4" ht="18.5" hidden="1" x14ac:dyDescent="0.45">
      <c r="B2882" s="399" t="str">
        <f>B277</f>
        <v>How many codefendants?</v>
      </c>
    </row>
    <row r="2883" spans="2:4" ht="15.5" hidden="1" x14ac:dyDescent="0.35">
      <c r="C2883" s="570" t="s">
        <v>3844</v>
      </c>
      <c r="D2883" s="570" t="s">
        <v>3845</v>
      </c>
    </row>
    <row r="2884" spans="2:4" hidden="1" x14ac:dyDescent="0.3">
      <c r="C2884" s="48" t="s">
        <v>173</v>
      </c>
      <c r="D2884" s="48" t="s">
        <v>174</v>
      </c>
    </row>
    <row r="2885" spans="2:4" hidden="1" x14ac:dyDescent="0.3">
      <c r="C2885" s="48" t="s">
        <v>123</v>
      </c>
      <c r="D2885" s="48" t="s">
        <v>176</v>
      </c>
    </row>
    <row r="2886" spans="2:4" hidden="1" x14ac:dyDescent="0.3">
      <c r="C2886" s="48" t="s">
        <v>3609</v>
      </c>
      <c r="D2886" s="48" t="s">
        <v>179</v>
      </c>
    </row>
    <row r="2887" spans="2:4" hidden="1" x14ac:dyDescent="0.3">
      <c r="D2887" s="48" t="s">
        <v>181</v>
      </c>
    </row>
    <row r="2888" spans="2:4" ht="15.5" hidden="1" x14ac:dyDescent="0.35">
      <c r="B2888" s="570" t="s">
        <v>3846</v>
      </c>
      <c r="C2888" s="570" t="s">
        <v>3848</v>
      </c>
      <c r="D2888" s="570" t="s">
        <v>3849</v>
      </c>
    </row>
    <row r="2889" spans="2:4" ht="14.5" hidden="1" x14ac:dyDescent="0.35">
      <c r="B2889" s="69" t="s">
        <v>167</v>
      </c>
      <c r="C2889" s="48" t="str">
        <f>C2884</f>
        <v>principal</v>
      </c>
      <c r="D2889" s="48" t="s">
        <v>151</v>
      </c>
    </row>
    <row r="2890" spans="2:4" ht="14.5" hidden="1" x14ac:dyDescent="0.35">
      <c r="B2890" s="69" t="s">
        <v>170</v>
      </c>
      <c r="C2890" s="48" t="str">
        <f>C2885</f>
        <v>aiding &amp; abetting</v>
      </c>
      <c r="D2890" s="48" t="s">
        <v>178</v>
      </c>
    </row>
    <row r="2891" spans="2:4" ht="14.5" hidden="1" x14ac:dyDescent="0.35">
      <c r="B2891" s="69" t="s">
        <v>172</v>
      </c>
      <c r="C2891" s="48" t="str">
        <f>C2886</f>
        <v>accessory after the fact</v>
      </c>
      <c r="D2891" s="48" t="s">
        <v>182</v>
      </c>
    </row>
    <row r="2892" spans="2:4" ht="14.5" hidden="1" x14ac:dyDescent="0.35">
      <c r="B2892" s="69" t="s">
        <v>175</v>
      </c>
    </row>
    <row r="2893" spans="2:4" ht="14.5" hidden="1" x14ac:dyDescent="0.35">
      <c r="B2893" s="69" t="s">
        <v>177</v>
      </c>
    </row>
    <row r="2894" spans="2:4" ht="14.5" hidden="1" x14ac:dyDescent="0.35">
      <c r="B2894" s="69" t="s">
        <v>180</v>
      </c>
    </row>
    <row r="2895" spans="2:4" hidden="1" x14ac:dyDescent="0.3">
      <c r="B2895" s="48" t="s">
        <v>3847</v>
      </c>
    </row>
    <row r="2896" spans="2:4" ht="15.5" hidden="1" x14ac:dyDescent="0.35">
      <c r="B2896" s="570" t="s">
        <v>3850</v>
      </c>
      <c r="C2896" s="570" t="s">
        <v>3857</v>
      </c>
      <c r="D2896" s="570" t="s">
        <v>3858</v>
      </c>
    </row>
    <row r="2897" spans="2:4" hidden="1" x14ac:dyDescent="0.3">
      <c r="B2897" s="48" t="s">
        <v>166</v>
      </c>
      <c r="C2897" s="48" t="s">
        <v>166</v>
      </c>
      <c r="D2897" s="48" t="s">
        <v>166</v>
      </c>
    </row>
    <row r="2898" spans="2:4" hidden="1" x14ac:dyDescent="0.3">
      <c r="B2898" s="82" t="s">
        <v>3853</v>
      </c>
      <c r="C2898" s="48" t="s">
        <v>169</v>
      </c>
      <c r="D2898" s="48" t="s">
        <v>169</v>
      </c>
    </row>
    <row r="2899" spans="2:4" hidden="1" x14ac:dyDescent="0.3">
      <c r="B2899" s="82" t="s">
        <v>3856</v>
      </c>
      <c r="C2899" s="48" t="s">
        <v>168</v>
      </c>
      <c r="D2899" s="48" t="s">
        <v>168</v>
      </c>
    </row>
    <row r="2900" spans="2:4" hidden="1" x14ac:dyDescent="0.3">
      <c r="B2900" s="82" t="s">
        <v>3855</v>
      </c>
      <c r="C2900" s="245" t="s">
        <v>885</v>
      </c>
    </row>
    <row r="2901" spans="2:4" hidden="1" x14ac:dyDescent="0.3">
      <c r="B2901" s="48" t="s">
        <v>168</v>
      </c>
      <c r="C2901" s="245"/>
    </row>
    <row r="2902" spans="2:4" hidden="1" x14ac:dyDescent="0.3">
      <c r="B2902" s="82" t="s">
        <v>3852</v>
      </c>
      <c r="C2902" s="245" t="s">
        <v>885</v>
      </c>
    </row>
    <row r="2903" spans="2:4" hidden="1" x14ac:dyDescent="0.3">
      <c r="B2903" s="82" t="s">
        <v>3854</v>
      </c>
      <c r="C2903" s="245" t="s">
        <v>885</v>
      </c>
    </row>
    <row r="2904" spans="2:4" hidden="1" x14ac:dyDescent="0.3">
      <c r="B2904" s="82" t="s">
        <v>3851</v>
      </c>
      <c r="C2904" s="245" t="s">
        <v>885</v>
      </c>
    </row>
    <row r="2905" spans="2:4" hidden="1" x14ac:dyDescent="0.3">
      <c r="B2905" s="82" t="s">
        <v>912</v>
      </c>
    </row>
    <row r="2906" spans="2:4" hidden="1" x14ac:dyDescent="0.3"/>
    <row r="2907" spans="2:4" ht="15.5" hidden="1" x14ac:dyDescent="0.35">
      <c r="B2907" s="570" t="str">
        <f>D306</f>
        <v>If multiple sentences:</v>
      </c>
      <c r="C2907" s="570" t="str">
        <f>D309</f>
        <v xml:space="preserve">Appeal decision: </v>
      </c>
    </row>
    <row r="2908" spans="2:4" ht="14.5" hidden="1" x14ac:dyDescent="0.35">
      <c r="B2908" s="69" t="s">
        <v>190</v>
      </c>
      <c r="C2908" s="571" t="str">
        <f>D2736</f>
        <v>affirmed all convictions and sentences</v>
      </c>
      <c r="D2908" s="421" t="s">
        <v>218</v>
      </c>
    </row>
    <row r="2909" spans="2:4" ht="14.5" hidden="1" x14ac:dyDescent="0.35">
      <c r="B2909" s="69" t="s">
        <v>192</v>
      </c>
      <c r="C2909" s="571" t="str">
        <f>D2737</f>
        <v>affirmed all convictions, threw out sentence</v>
      </c>
      <c r="D2909" s="421" t="s">
        <v>219</v>
      </c>
    </row>
    <row r="2910" spans="2:4" hidden="1" x14ac:dyDescent="0.3">
      <c r="C2910" s="571" t="str">
        <f>D2738</f>
        <v>affirmed convictions in part, and threw out part</v>
      </c>
    </row>
    <row r="2911" spans="2:4" hidden="1" x14ac:dyDescent="0.3">
      <c r="C2911" s="571" t="str">
        <f>D2739</f>
        <v>threw out most convictions</v>
      </c>
    </row>
    <row r="2912" spans="2:4" hidden="1" x14ac:dyDescent="0.3">
      <c r="C2912" s="571" t="str">
        <f>D2740</f>
        <v>other (explain below)</v>
      </c>
    </row>
    <row r="2913" spans="2:42" hidden="1" x14ac:dyDescent="0.3">
      <c r="I2913" s="836" t="str">
        <f>IF(I2914=FALSE,"felon",I1872)</f>
        <v>felon</v>
      </c>
      <c r="AF2913" s="243" t="str">
        <f>IF(AF2914=FALSE,AF2925,AF2914)</f>
        <v xml:space="preserve">correct claimant's felony record. </v>
      </c>
    </row>
    <row r="2914" spans="2:42" ht="15.5" hidden="1" x14ac:dyDescent="0.35">
      <c r="B2914" s="570" t="str">
        <f>IF(D314="",B314,"Custody status")</f>
        <v xml:space="preserve">Current custody status (still in prison?): </v>
      </c>
      <c r="C2914" s="569" t="s">
        <v>3861</v>
      </c>
      <c r="D2914" s="569" t="str">
        <f>B324</f>
        <v>Sentence severity</v>
      </c>
      <c r="I2914" s="517" t="b">
        <f>IF(D314=C2915,I2915,IF(D314=C2916,I2916,IF(D314=C2917,I2917,IF(D314=C2918,I2918,IF(D314=C2919,I2919,IF(D314=C2920,I2920,IF(D314=C2921=I2921,IF(264=C2922,I2922,IF(D314=C2923,I2923,IF(D314=C2924,I2924,IF(D314=C2925,I2925,IF(D314=C2926,I2926,IF(D314=C2927,I2927,IF(D314=C2928,I2928,IF(D314=C2929,I2929,IF(D314=C2930,I2930,IF(D314=C2931,I2931,IF(D314=C2932,I2932,IF(264=C2933,I2933,IF(D314=C2934,I2934,IF(D314=C2935,I2935,IF(D314=C2936,I2936,IF(D314="","")))))))))))))))))))))))</f>
        <v>0</v>
      </c>
      <c r="AF2914" s="1153" t="b">
        <f>IF(D314=C2915,AF2915,IF(D314=C2916,AF2916,IF(D314=C2917,AF2917,IF(D314=C2918,AF2918,IF(D314=C2919,AF2919,IF(D314=C2920,AF2920,IF(D314=C2921=AF2921,IF(264=C2922,AF2922,IF(D314=C2923,AF2923,IF(D314=C2924,AF2924,IF(D314=C2925,AF2925,IF(D314=C2926,AF2926,IF(D314=C2927,AF2927,IF(D314=C2928,AF2928,IF(D314=C2929,AF2929,IF(D314=C2930,AF2930,IF(D314=C2931,AF2931,IF(D314=C2932,AF2932,IF(264=C2933,AF2933,IF(D314=C2934,AF2934,IF(D314=C2935,AF2935,IF(D314=C2936,AF2936,IF(D314="","")))))))))))))))))))))))</f>
        <v>0</v>
      </c>
      <c r="AG2914" s="1153"/>
      <c r="AH2914" s="1153"/>
      <c r="AI2914" s="1153"/>
      <c r="AJ2914" s="1153"/>
      <c r="AK2914" s="1153"/>
      <c r="AL2914" s="1153"/>
    </row>
    <row r="2915" spans="2:42" ht="14.5" hidden="1" x14ac:dyDescent="0.35">
      <c r="B2915" s="48">
        <v>0</v>
      </c>
      <c r="C2915" s="69" t="s">
        <v>983</v>
      </c>
      <c r="D2915" s="69" t="s">
        <v>984</v>
      </c>
      <c r="I2915" s="4" t="s">
        <v>5315</v>
      </c>
      <c r="AF2915" s="48" t="str">
        <f>CONCATENATE(AN2915,AO2915,AP2915)</f>
        <v xml:space="preserve">liberate claimant from death row. </v>
      </c>
      <c r="AN2915" s="48" t="s">
        <v>5346</v>
      </c>
      <c r="AO2915" s="48" t="str">
        <f>BI206</f>
        <v>claimant</v>
      </c>
      <c r="AP2915" s="48" t="s">
        <v>5347</v>
      </c>
    </row>
    <row r="2916" spans="2:42" ht="14.5" hidden="1" x14ac:dyDescent="0.35">
      <c r="B2916" s="48">
        <v>0</v>
      </c>
      <c r="C2916" s="400" t="s">
        <v>985</v>
      </c>
      <c r="D2916" s="69" t="s">
        <v>986</v>
      </c>
      <c r="I2916" s="4" t="s">
        <v>5316</v>
      </c>
      <c r="AF2916" s="48" t="str">
        <f>CONCATENATE(AN2916,AO2916,AP2916)</f>
        <v xml:space="preserve">bring claimant home. </v>
      </c>
      <c r="AN2916" s="48" t="s">
        <v>5340</v>
      </c>
      <c r="AO2916" s="48" t="str">
        <f>BI206</f>
        <v>claimant</v>
      </c>
      <c r="AP2916" s="48" t="s">
        <v>5343</v>
      </c>
    </row>
    <row r="2917" spans="2:42" ht="14.5" hidden="1" x14ac:dyDescent="0.35">
      <c r="B2917" s="48">
        <v>0</v>
      </c>
      <c r="C2917" s="400" t="s">
        <v>987</v>
      </c>
      <c r="D2917" s="69" t="s">
        <v>988</v>
      </c>
      <c r="I2917" s="4" t="s">
        <v>5316</v>
      </c>
      <c r="AF2917" s="48" t="str">
        <f>CONCATENATE(AN2917,AO2917,AP2917)</f>
        <v xml:space="preserve">bring claimant home. </v>
      </c>
      <c r="AN2917" s="48" t="str">
        <f>AN2916</f>
        <v xml:space="preserve">bring </v>
      </c>
      <c r="AO2917" s="48" t="str">
        <f>AO2916</f>
        <v>claimant</v>
      </c>
      <c r="AP2917" s="48" t="str">
        <f>AP2916</f>
        <v xml:space="preserve"> home. </v>
      </c>
    </row>
    <row r="2918" spans="2:42" ht="14.5" hidden="1" x14ac:dyDescent="0.35">
      <c r="B2918" s="48">
        <v>0.5</v>
      </c>
      <c r="C2918" s="400" t="s">
        <v>989</v>
      </c>
      <c r="D2918" s="69" t="s">
        <v>207</v>
      </c>
      <c r="I2918" s="4" t="s">
        <v>5316</v>
      </c>
      <c r="AF2918" s="48" t="str">
        <f t="shared" ref="AF2918:AF2936" si="109">CONCATENATE(AN2918,AO2918,AP2918)</f>
        <v xml:space="preserve">bring claimant home. </v>
      </c>
      <c r="AN2918" s="48" t="str">
        <f t="shared" ref="AN2918:AN2924" si="110">AN2917</f>
        <v xml:space="preserve">bring </v>
      </c>
      <c r="AO2918" s="48" t="str">
        <f t="shared" ref="AO2918:AO2924" si="111">AO2917</f>
        <v>claimant</v>
      </c>
      <c r="AP2918" s="48" t="str">
        <f t="shared" ref="AP2918:AP2924" si="112">AP2917</f>
        <v xml:space="preserve"> home. </v>
      </c>
    </row>
    <row r="2919" spans="2:42" ht="14.5" hidden="1" x14ac:dyDescent="0.35">
      <c r="B2919" s="48">
        <v>0.75</v>
      </c>
      <c r="C2919" s="400" t="s">
        <v>990</v>
      </c>
      <c r="D2919" s="69" t="s">
        <v>3623</v>
      </c>
      <c r="I2919" s="4" t="s">
        <v>5316</v>
      </c>
      <c r="AF2919" s="48" t="str">
        <f t="shared" si="109"/>
        <v xml:space="preserve">bring claimant home. </v>
      </c>
      <c r="AN2919" s="48" t="str">
        <f t="shared" si="110"/>
        <v xml:space="preserve">bring </v>
      </c>
      <c r="AO2919" s="48" t="str">
        <f t="shared" si="111"/>
        <v>claimant</v>
      </c>
      <c r="AP2919" s="48" t="str">
        <f t="shared" si="112"/>
        <v xml:space="preserve"> home. </v>
      </c>
    </row>
    <row r="2920" spans="2:42" ht="14.5" hidden="1" x14ac:dyDescent="0.35">
      <c r="B2920" s="48">
        <v>0.9</v>
      </c>
      <c r="C2920" s="400" t="s">
        <v>991</v>
      </c>
      <c r="D2920" s="69" t="s">
        <v>992</v>
      </c>
      <c r="I2920" s="4" t="s">
        <v>5316</v>
      </c>
      <c r="AF2920" s="48" t="str">
        <f t="shared" si="109"/>
        <v xml:space="preserve">bring claimant home. </v>
      </c>
      <c r="AN2920" s="48" t="str">
        <f t="shared" si="110"/>
        <v xml:space="preserve">bring </v>
      </c>
      <c r="AO2920" s="48" t="str">
        <f t="shared" si="111"/>
        <v>claimant</v>
      </c>
      <c r="AP2920" s="48" t="str">
        <f t="shared" si="112"/>
        <v xml:space="preserve"> home. </v>
      </c>
    </row>
    <row r="2921" spans="2:42" ht="14.5" hidden="1" x14ac:dyDescent="0.35">
      <c r="B2921" s="48">
        <v>1</v>
      </c>
      <c r="C2921" s="400" t="s">
        <v>993</v>
      </c>
      <c r="D2921" s="69" t="s">
        <v>994</v>
      </c>
      <c r="I2921" s="4" t="s">
        <v>5316</v>
      </c>
      <c r="AF2921" s="48" t="str">
        <f t="shared" si="109"/>
        <v xml:space="preserve">bring claimant home. </v>
      </c>
      <c r="AN2921" s="48" t="str">
        <f t="shared" si="110"/>
        <v xml:space="preserve">bring </v>
      </c>
      <c r="AO2921" s="48" t="str">
        <f t="shared" si="111"/>
        <v>claimant</v>
      </c>
      <c r="AP2921" s="48" t="str">
        <f t="shared" si="112"/>
        <v xml:space="preserve"> home. </v>
      </c>
    </row>
    <row r="2922" spans="2:42" ht="14.5" hidden="1" x14ac:dyDescent="0.35">
      <c r="B2922" s="48">
        <v>1</v>
      </c>
      <c r="C2922" s="400" t="s">
        <v>995</v>
      </c>
      <c r="D2922" s="69" t="s">
        <v>996</v>
      </c>
      <c r="I2922" s="4" t="s">
        <v>5316</v>
      </c>
      <c r="AF2922" s="48" t="str">
        <f t="shared" si="109"/>
        <v xml:space="preserve">bring claimant home. </v>
      </c>
      <c r="AN2922" s="48" t="str">
        <f t="shared" si="110"/>
        <v xml:space="preserve">bring </v>
      </c>
      <c r="AO2922" s="48" t="str">
        <f t="shared" si="111"/>
        <v>claimant</v>
      </c>
      <c r="AP2922" s="48" t="str">
        <f t="shared" si="112"/>
        <v xml:space="preserve"> home. </v>
      </c>
    </row>
    <row r="2923" spans="2:42" ht="14.5" hidden="1" x14ac:dyDescent="0.35">
      <c r="B2923" s="48">
        <v>0.25</v>
      </c>
      <c r="C2923" s="400" t="s">
        <v>997</v>
      </c>
      <c r="D2923" s="69"/>
      <c r="I2923" s="4" t="s">
        <v>5316</v>
      </c>
      <c r="AF2923" s="48" t="str">
        <f t="shared" si="109"/>
        <v xml:space="preserve">bring claimant home. </v>
      </c>
      <c r="AN2923" s="48" t="str">
        <f t="shared" si="110"/>
        <v xml:space="preserve">bring </v>
      </c>
      <c r="AO2923" s="48" t="str">
        <f t="shared" si="111"/>
        <v>claimant</v>
      </c>
      <c r="AP2923" s="48" t="str">
        <f t="shared" si="112"/>
        <v xml:space="preserve"> home. </v>
      </c>
    </row>
    <row r="2924" spans="2:42" ht="14.5" hidden="1" x14ac:dyDescent="0.35">
      <c r="B2924" s="48">
        <v>0</v>
      </c>
      <c r="C2924" s="400" t="s">
        <v>998</v>
      </c>
      <c r="D2924" s="69"/>
      <c r="I2924" s="4" t="s">
        <v>5316</v>
      </c>
      <c r="AF2924" s="48" t="str">
        <f t="shared" si="109"/>
        <v xml:space="preserve">bring claimant home. </v>
      </c>
      <c r="AN2924" s="48" t="str">
        <f t="shared" si="110"/>
        <v xml:space="preserve">bring </v>
      </c>
      <c r="AO2924" s="48" t="str">
        <f t="shared" si="111"/>
        <v>claimant</v>
      </c>
      <c r="AP2924" s="48" t="str">
        <f t="shared" si="112"/>
        <v xml:space="preserve"> home. </v>
      </c>
    </row>
    <row r="2925" spans="2:42" ht="15.5" hidden="1" x14ac:dyDescent="0.35">
      <c r="B2925" s="48">
        <v>0.5</v>
      </c>
      <c r="C2925" s="69" t="s">
        <v>219</v>
      </c>
      <c r="D2925" s="569" t="str">
        <f>B326</f>
        <v>Refused rehab from maintaining innocence?</v>
      </c>
      <c r="I2925" s="4" t="s">
        <v>5317</v>
      </c>
      <c r="AF2925" s="48" t="str">
        <f t="shared" si="109"/>
        <v xml:space="preserve">correct claimant's felony record. </v>
      </c>
      <c r="AN2925" s="48" t="s">
        <v>5341</v>
      </c>
      <c r="AO2925" s="48" t="str">
        <f>BJ206</f>
        <v>claimant's</v>
      </c>
      <c r="AP2925" s="48" t="s">
        <v>5344</v>
      </c>
    </row>
    <row r="2926" spans="2:42" ht="14.5" hidden="1" x14ac:dyDescent="0.35">
      <c r="B2926" s="48">
        <v>0</v>
      </c>
      <c r="C2926" s="69" t="s">
        <v>999</v>
      </c>
      <c r="D2926" s="48" t="s">
        <v>3954</v>
      </c>
      <c r="E2926" s="48">
        <v>1</v>
      </c>
      <c r="I2926" s="4" t="s">
        <v>5317</v>
      </c>
      <c r="AF2926" s="48" t="str">
        <f t="shared" si="109"/>
        <v xml:space="preserve">correct claimant's felony record. </v>
      </c>
      <c r="AN2926" s="48" t="str">
        <f t="shared" ref="AN2926:AP2930" si="113">AN2925</f>
        <v xml:space="preserve">correct </v>
      </c>
      <c r="AO2926" s="48" t="str">
        <f t="shared" si="113"/>
        <v>claimant's</v>
      </c>
      <c r="AP2926" s="48" t="str">
        <f t="shared" si="113"/>
        <v xml:space="preserve"> felony record. </v>
      </c>
    </row>
    <row r="2927" spans="2:42" ht="14.5" hidden="1" x14ac:dyDescent="0.35">
      <c r="B2927" s="48">
        <v>0</v>
      </c>
      <c r="C2927" s="69" t="s">
        <v>1000</v>
      </c>
      <c r="D2927" s="48" t="s">
        <v>3955</v>
      </c>
      <c r="E2927" s="101">
        <f>E2926-0.25</f>
        <v>0.75</v>
      </c>
      <c r="I2927" s="4" t="s">
        <v>5317</v>
      </c>
      <c r="AF2927" s="48" t="str">
        <f t="shared" si="109"/>
        <v xml:space="preserve">correct claimant's felony record. </v>
      </c>
      <c r="AN2927" s="48" t="str">
        <f t="shared" si="113"/>
        <v xml:space="preserve">correct </v>
      </c>
      <c r="AO2927" s="48" t="str">
        <f t="shared" si="113"/>
        <v>claimant's</v>
      </c>
      <c r="AP2927" s="48" t="str">
        <f t="shared" si="113"/>
        <v xml:space="preserve"> felony record. </v>
      </c>
    </row>
    <row r="2928" spans="2:42" ht="14.5" hidden="1" x14ac:dyDescent="0.35">
      <c r="B2928" s="48">
        <v>0</v>
      </c>
      <c r="C2928" s="69" t="s">
        <v>1001</v>
      </c>
      <c r="D2928" s="48" t="s">
        <v>3957</v>
      </c>
      <c r="E2928" s="101">
        <f>E2927-0.25</f>
        <v>0.5</v>
      </c>
      <c r="I2928" s="4" t="s">
        <v>5317</v>
      </c>
      <c r="AF2928" s="48" t="str">
        <f t="shared" si="109"/>
        <v xml:space="preserve">correct claimant's felony record. </v>
      </c>
      <c r="AN2928" s="48" t="str">
        <f t="shared" si="113"/>
        <v xml:space="preserve">correct </v>
      </c>
      <c r="AO2928" s="48" t="str">
        <f t="shared" si="113"/>
        <v>claimant's</v>
      </c>
      <c r="AP2928" s="48" t="str">
        <f t="shared" si="113"/>
        <v xml:space="preserve"> felony record. </v>
      </c>
    </row>
    <row r="2929" spans="2:42" ht="14.5" hidden="1" x14ac:dyDescent="0.35">
      <c r="B2929" s="48">
        <v>0</v>
      </c>
      <c r="C2929" s="69" t="s">
        <v>1002</v>
      </c>
      <c r="D2929" s="48" t="s">
        <v>3950</v>
      </c>
      <c r="E2929" s="101">
        <f>E2928-0.25</f>
        <v>0.25</v>
      </c>
      <c r="I2929" s="4" t="s">
        <v>5317</v>
      </c>
      <c r="AF2929" s="48" t="str">
        <f t="shared" si="109"/>
        <v xml:space="preserve">correct claimant's felony record. </v>
      </c>
      <c r="AN2929" s="48" t="str">
        <f t="shared" si="113"/>
        <v xml:space="preserve">correct </v>
      </c>
      <c r="AO2929" s="48" t="str">
        <f t="shared" si="113"/>
        <v>claimant's</v>
      </c>
      <c r="AP2929" s="48" t="str">
        <f t="shared" si="113"/>
        <v xml:space="preserve"> felony record. </v>
      </c>
    </row>
    <row r="2930" spans="2:42" ht="14.5" hidden="1" x14ac:dyDescent="0.35">
      <c r="B2930" s="48">
        <v>0</v>
      </c>
      <c r="C2930" s="69" t="s">
        <v>1003</v>
      </c>
      <c r="D2930" s="48" t="s">
        <v>3952</v>
      </c>
      <c r="E2930" s="101">
        <f>E2929-1</f>
        <v>-0.75</v>
      </c>
      <c r="I2930" s="4" t="s">
        <v>5317</v>
      </c>
      <c r="AF2930" s="48" t="str">
        <f t="shared" si="109"/>
        <v xml:space="preserve">correct claimant's felony record. </v>
      </c>
      <c r="AN2930" s="48" t="str">
        <f t="shared" si="113"/>
        <v xml:space="preserve">correct </v>
      </c>
      <c r="AO2930" s="48" t="str">
        <f t="shared" si="113"/>
        <v>claimant's</v>
      </c>
      <c r="AP2930" s="48" t="str">
        <f t="shared" si="113"/>
        <v xml:space="preserve"> felony record. </v>
      </c>
    </row>
    <row r="2931" spans="2:42" ht="14.5" hidden="1" x14ac:dyDescent="0.35">
      <c r="B2931" s="48">
        <v>0</v>
      </c>
      <c r="C2931" s="69" t="s">
        <v>200</v>
      </c>
      <c r="D2931" s="48" t="s">
        <v>3953</v>
      </c>
      <c r="E2931" s="101">
        <f>E2930-0.25</f>
        <v>-1</v>
      </c>
      <c r="I2931" s="4" t="s">
        <v>5317</v>
      </c>
      <c r="AF2931" s="48" t="str">
        <f t="shared" si="109"/>
        <v xml:space="preserve">remove claimant from the registry. </v>
      </c>
      <c r="AN2931" s="48" t="s">
        <v>5342</v>
      </c>
      <c r="AO2931" s="48" t="str">
        <f>BI206</f>
        <v>claimant</v>
      </c>
      <c r="AP2931" s="48" t="s">
        <v>5345</v>
      </c>
    </row>
    <row r="2932" spans="2:42" ht="14.5" hidden="1" x14ac:dyDescent="0.35">
      <c r="B2932" s="48">
        <v>0</v>
      </c>
      <c r="C2932" s="400" t="s">
        <v>1004</v>
      </c>
      <c r="D2932" s="48" t="s">
        <v>3951</v>
      </c>
      <c r="E2932" s="101">
        <v>0</v>
      </c>
      <c r="I2932" s="4" t="s">
        <v>5316</v>
      </c>
      <c r="AF2932" s="48" t="str">
        <f t="shared" si="109"/>
        <v xml:space="preserve">bring claimant home. </v>
      </c>
      <c r="AN2932" s="48" t="str">
        <f>AN2924</f>
        <v xml:space="preserve">bring </v>
      </c>
      <c r="AO2932" s="48" t="str">
        <f>AO2924</f>
        <v>claimant</v>
      </c>
      <c r="AP2932" s="48" t="str">
        <f>AP2924</f>
        <v xml:space="preserve"> home. </v>
      </c>
    </row>
    <row r="2933" spans="2:42" ht="14.5" hidden="1" x14ac:dyDescent="0.35">
      <c r="B2933" s="48">
        <v>-2</v>
      </c>
      <c r="C2933" s="393" t="s">
        <v>1005</v>
      </c>
      <c r="D2933" s="48" t="s">
        <v>3956</v>
      </c>
      <c r="E2933" s="101">
        <v>0</v>
      </c>
      <c r="I2933" s="4" t="s">
        <v>5317</v>
      </c>
      <c r="AF2933" s="48" t="str">
        <f t="shared" si="109"/>
        <v xml:space="preserve">correct claimant's felony record. </v>
      </c>
      <c r="AN2933" s="48" t="str">
        <f t="shared" ref="AN2933:AP2936" si="114">AN2930</f>
        <v xml:space="preserve">correct </v>
      </c>
      <c r="AO2933" s="48" t="str">
        <f t="shared" si="114"/>
        <v>claimant's</v>
      </c>
      <c r="AP2933" s="48" t="str">
        <f t="shared" si="114"/>
        <v xml:space="preserve"> felony record. </v>
      </c>
    </row>
    <row r="2934" spans="2:42" ht="14.5" hidden="1" x14ac:dyDescent="0.35">
      <c r="B2934" s="48">
        <v>-5</v>
      </c>
      <c r="C2934" s="393" t="s">
        <v>1006</v>
      </c>
      <c r="D2934" s="69"/>
      <c r="I2934" s="4" t="s">
        <v>5317</v>
      </c>
      <c r="AF2934" s="48" t="str">
        <f t="shared" si="109"/>
        <v xml:space="preserve">remove claimant from the registry. </v>
      </c>
      <c r="AN2934" s="48" t="str">
        <f t="shared" si="114"/>
        <v xml:space="preserve">remove </v>
      </c>
      <c r="AO2934" s="48" t="str">
        <f t="shared" si="114"/>
        <v>claimant</v>
      </c>
      <c r="AP2934" s="48" t="str">
        <f t="shared" si="114"/>
        <v xml:space="preserve"> from the registry. </v>
      </c>
    </row>
    <row r="2935" spans="2:42" ht="14.5" hidden="1" x14ac:dyDescent="0.35">
      <c r="B2935" s="48">
        <v>-10</v>
      </c>
      <c r="C2935" s="393" t="s">
        <v>1007</v>
      </c>
      <c r="I2935" s="4" t="s">
        <v>5317</v>
      </c>
      <c r="AF2935" s="48" t="str">
        <f t="shared" si="109"/>
        <v xml:space="preserve">bring claimant home. </v>
      </c>
      <c r="AN2935" s="48" t="str">
        <f t="shared" si="114"/>
        <v xml:space="preserve">bring </v>
      </c>
      <c r="AO2935" s="48" t="str">
        <f t="shared" si="114"/>
        <v>claimant</v>
      </c>
      <c r="AP2935" s="48" t="str">
        <f t="shared" si="114"/>
        <v xml:space="preserve"> home. </v>
      </c>
    </row>
    <row r="2936" spans="2:42" ht="14.5" hidden="1" x14ac:dyDescent="0.35">
      <c r="B2936" s="48">
        <v>0</v>
      </c>
      <c r="C2936" s="69" t="s">
        <v>1008</v>
      </c>
      <c r="D2936" s="421" t="s">
        <v>1009</v>
      </c>
      <c r="I2936" s="4" t="s">
        <v>5317</v>
      </c>
      <c r="AF2936" s="48" t="str">
        <f t="shared" si="109"/>
        <v xml:space="preserve">correct claimant's felony record. </v>
      </c>
      <c r="AN2936" s="48" t="str">
        <f t="shared" si="114"/>
        <v xml:space="preserve">correct </v>
      </c>
      <c r="AO2936" s="48" t="str">
        <f t="shared" si="114"/>
        <v>claimant's</v>
      </c>
      <c r="AP2936" s="48" t="str">
        <f t="shared" si="114"/>
        <v xml:space="preserve"> felony record. </v>
      </c>
    </row>
    <row r="2937" spans="2:42" hidden="1" x14ac:dyDescent="0.3"/>
    <row r="2938" spans="2:42" ht="15.5" hidden="1" x14ac:dyDescent="0.35">
      <c r="B2938" s="570" t="str">
        <f>IF(D328="","Maxing out?",B328)</f>
        <v>Maxing out?</v>
      </c>
      <c r="C2938" s="570" t="str">
        <f>B329</f>
        <v>Sex offender registry:</v>
      </c>
      <c r="D2938" s="570" t="str">
        <f>B331</f>
        <v>If exonerated, expect to seek compensation?</v>
      </c>
      <c r="E2938" s="570" t="str">
        <f>B337</f>
        <v>How often requesting help from an innocence project:</v>
      </c>
    </row>
    <row r="2939" spans="2:42" ht="14.5" hidden="1" x14ac:dyDescent="0.35">
      <c r="B2939" s="48" t="s">
        <v>166</v>
      </c>
      <c r="C2939" s="69" t="s">
        <v>460</v>
      </c>
      <c r="D2939" s="69" t="s">
        <v>166</v>
      </c>
      <c r="E2939" s="48">
        <v>0</v>
      </c>
      <c r="F2939" s="101">
        <v>0</v>
      </c>
    </row>
    <row r="2940" spans="2:42" ht="14.5" hidden="1" x14ac:dyDescent="0.35">
      <c r="B2940" s="48" t="s">
        <v>168</v>
      </c>
      <c r="C2940" s="69" t="s">
        <v>978</v>
      </c>
      <c r="D2940" s="69" t="s">
        <v>168</v>
      </c>
      <c r="E2940" s="48">
        <v>1</v>
      </c>
      <c r="F2940" s="101">
        <f>F2939+0.2</f>
        <v>0.2</v>
      </c>
    </row>
    <row r="2941" spans="2:42" ht="14.5" hidden="1" x14ac:dyDescent="0.35">
      <c r="C2941" s="69" t="s">
        <v>979</v>
      </c>
      <c r="D2941" s="69" t="s">
        <v>169</v>
      </c>
      <c r="E2941" s="48">
        <v>2</v>
      </c>
      <c r="F2941" s="101">
        <f>F2940+0.2</f>
        <v>0.4</v>
      </c>
    </row>
    <row r="2942" spans="2:42" ht="14.5" hidden="1" x14ac:dyDescent="0.35">
      <c r="C2942" s="69" t="s">
        <v>210</v>
      </c>
      <c r="D2942" s="69" t="s">
        <v>3862</v>
      </c>
      <c r="E2942" s="48">
        <v>3</v>
      </c>
      <c r="F2942" s="101">
        <f>F2941+0.2</f>
        <v>0.60000000000000009</v>
      </c>
    </row>
    <row r="2943" spans="2:42" ht="14.5" hidden="1" x14ac:dyDescent="0.35">
      <c r="C2943" s="69"/>
      <c r="D2943" s="69"/>
      <c r="E2943" s="48">
        <v>4</v>
      </c>
      <c r="F2943" s="101">
        <f>F2942+0.2</f>
        <v>0.8</v>
      </c>
    </row>
    <row r="2944" spans="2:42" ht="15.5" hidden="1" x14ac:dyDescent="0.35">
      <c r="B2944" s="570" t="str">
        <f>B332</f>
        <v>Could compensation make up for all the loss?</v>
      </c>
      <c r="C2944" s="69"/>
      <c r="E2944" s="351" t="s">
        <v>3631</v>
      </c>
      <c r="F2944" s="101">
        <f>F2943+0.2</f>
        <v>1</v>
      </c>
    </row>
    <row r="2945" spans="2:7" ht="14.5" hidden="1" x14ac:dyDescent="0.35">
      <c r="B2945" s="69" t="s">
        <v>3626</v>
      </c>
      <c r="C2945" s="69"/>
      <c r="E2945" s="351"/>
    </row>
    <row r="2946" spans="2:7" ht="15.5" hidden="1" x14ac:dyDescent="0.35">
      <c r="B2946" s="69" t="s">
        <v>3625</v>
      </c>
      <c r="C2946" s="69"/>
      <c r="E2946" s="570" t="str">
        <f>B325</f>
        <v>How many major misconducts while incarcerated?</v>
      </c>
      <c r="G2946" s="503" t="s">
        <v>885</v>
      </c>
    </row>
    <row r="2947" spans="2:7" ht="14.5" hidden="1" x14ac:dyDescent="0.35">
      <c r="B2947" s="69" t="s">
        <v>3627</v>
      </c>
      <c r="C2947" s="69"/>
      <c r="E2947" s="48">
        <v>0</v>
      </c>
      <c r="F2947" s="48">
        <v>0</v>
      </c>
    </row>
    <row r="2948" spans="2:7" ht="14.5" hidden="1" x14ac:dyDescent="0.35">
      <c r="B2948" s="69" t="s">
        <v>3628</v>
      </c>
      <c r="C2948" s="69"/>
      <c r="E2948" s="48">
        <v>1</v>
      </c>
      <c r="F2948" s="48">
        <v>1</v>
      </c>
    </row>
    <row r="2949" spans="2:7" ht="14.5" hidden="1" x14ac:dyDescent="0.35">
      <c r="B2949" s="69" t="s">
        <v>3629</v>
      </c>
      <c r="C2949" s="69"/>
      <c r="E2949" s="48">
        <v>2</v>
      </c>
      <c r="F2949" s="48">
        <v>2</v>
      </c>
    </row>
    <row r="2950" spans="2:7" ht="14.5" hidden="1" x14ac:dyDescent="0.35">
      <c r="C2950" s="69"/>
      <c r="E2950" s="48">
        <v>3</v>
      </c>
      <c r="F2950" s="48">
        <v>3</v>
      </c>
    </row>
    <row r="2951" spans="2:7" ht="15.5" hidden="1" x14ac:dyDescent="0.35">
      <c r="B2951" s="570" t="str">
        <f>B334</f>
        <v>Any CIU?</v>
      </c>
      <c r="C2951" s="570" t="str">
        <f>C334</f>
        <v>Heard from the CIU near you?</v>
      </c>
      <c r="D2951" s="570" t="str">
        <f>D334</f>
        <v>Any favorable news from the CIU?</v>
      </c>
      <c r="E2951" s="48">
        <v>4</v>
      </c>
      <c r="F2951" s="48">
        <v>4</v>
      </c>
    </row>
    <row r="2952" spans="2:7" hidden="1" x14ac:dyDescent="0.3">
      <c r="B2952" s="48" t="s">
        <v>166</v>
      </c>
      <c r="C2952" s="48" t="str">
        <f>B2952</f>
        <v>yes</v>
      </c>
      <c r="D2952" s="48" t="str">
        <f>C2952</f>
        <v>yes</v>
      </c>
      <c r="E2952" s="48">
        <v>5</v>
      </c>
      <c r="F2952" s="48">
        <v>5</v>
      </c>
    </row>
    <row r="2953" spans="2:7" hidden="1" x14ac:dyDescent="0.3">
      <c r="B2953" s="48" t="s">
        <v>216</v>
      </c>
      <c r="C2953" s="48" t="str">
        <f t="shared" ref="C2953:D2955" si="115">B2953</f>
        <v>not yet</v>
      </c>
      <c r="D2953" s="48" t="str">
        <f t="shared" si="115"/>
        <v>not yet</v>
      </c>
      <c r="E2953" s="48">
        <v>6</v>
      </c>
      <c r="F2953" s="48">
        <v>6</v>
      </c>
    </row>
    <row r="2954" spans="2:7" hidden="1" x14ac:dyDescent="0.3">
      <c r="B2954" s="48" t="s">
        <v>924</v>
      </c>
      <c r="C2954" s="48" t="str">
        <f t="shared" si="115"/>
        <v>not that I'm aware of</v>
      </c>
      <c r="D2954" s="48" t="str">
        <f t="shared" si="115"/>
        <v>not that I'm aware of</v>
      </c>
      <c r="E2954" s="48">
        <v>7</v>
      </c>
      <c r="F2954" s="48">
        <v>7</v>
      </c>
    </row>
    <row r="2955" spans="2:7" hidden="1" x14ac:dyDescent="0.3">
      <c r="B2955" s="48" t="s">
        <v>168</v>
      </c>
      <c r="C2955" s="48" t="str">
        <f t="shared" si="115"/>
        <v>no</v>
      </c>
      <c r="D2955" s="48" t="str">
        <f t="shared" si="115"/>
        <v>no</v>
      </c>
      <c r="E2955" s="48">
        <v>8</v>
      </c>
      <c r="F2955" s="48">
        <v>8</v>
      </c>
    </row>
    <row r="2956" spans="2:7" ht="14.5" hidden="1" x14ac:dyDescent="0.35">
      <c r="C2956" s="69"/>
      <c r="E2956" s="48">
        <v>9</v>
      </c>
      <c r="F2956" s="48">
        <v>9</v>
      </c>
    </row>
    <row r="2957" spans="2:7" ht="15.5" hidden="1" x14ac:dyDescent="0.35">
      <c r="B2957" s="570" t="str">
        <f>B338</f>
        <v>Please explain why not in box below.</v>
      </c>
      <c r="E2957" s="48">
        <v>10</v>
      </c>
      <c r="F2957" s="48">
        <v>10</v>
      </c>
    </row>
    <row r="2958" spans="2:7" hidden="1" x14ac:dyDescent="0.3">
      <c r="B2958" s="391" t="s">
        <v>925</v>
      </c>
      <c r="E2958" s="48" t="s">
        <v>3933</v>
      </c>
      <c r="F2958" s="48">
        <v>11</v>
      </c>
    </row>
    <row r="2959" spans="2:7" hidden="1" x14ac:dyDescent="0.3">
      <c r="B2959" s="391" t="s">
        <v>926</v>
      </c>
    </row>
    <row r="2960" spans="2:7" hidden="1" x14ac:dyDescent="0.3">
      <c r="B2960" s="391" t="s">
        <v>927</v>
      </c>
    </row>
    <row r="2961" spans="2:4" hidden="1" x14ac:dyDescent="0.3">
      <c r="B2961" s="391" t="s">
        <v>217</v>
      </c>
      <c r="C2961" s="542" t="s">
        <v>928</v>
      </c>
    </row>
    <row r="2962" spans="2:4" hidden="1" x14ac:dyDescent="0.3">
      <c r="B2962" s="391" t="s">
        <v>929</v>
      </c>
    </row>
    <row r="2963" spans="2:4" hidden="1" x14ac:dyDescent="0.3"/>
    <row r="2964" spans="2:4" ht="15.5" hidden="1" x14ac:dyDescent="0.35">
      <c r="B2964" s="570" t="str">
        <f>B342</f>
        <v>Criminal history</v>
      </c>
      <c r="C2964" s="570"/>
      <c r="D2964" s="570" t="str">
        <f>D342</f>
        <v>Criminal history contributors</v>
      </c>
    </row>
    <row r="2965" spans="2:4" hidden="1" x14ac:dyDescent="0.3">
      <c r="B2965" s="48" t="s">
        <v>223</v>
      </c>
      <c r="C2965" s="48">
        <v>1</v>
      </c>
      <c r="D2965" s="48" t="s">
        <v>1315</v>
      </c>
    </row>
    <row r="2966" spans="2:4" hidden="1" x14ac:dyDescent="0.3">
      <c r="B2966" s="48" t="s">
        <v>1303</v>
      </c>
      <c r="C2966" s="14">
        <f t="shared" ref="C2966:C2974" si="116">C2965-0.2</f>
        <v>0.8</v>
      </c>
      <c r="D2966" s="48" t="s">
        <v>1316</v>
      </c>
    </row>
    <row r="2967" spans="2:4" hidden="1" x14ac:dyDescent="0.3">
      <c r="B2967" s="48" t="s">
        <v>1305</v>
      </c>
      <c r="C2967" s="14">
        <f t="shared" si="116"/>
        <v>0.60000000000000009</v>
      </c>
      <c r="D2967" s="48" t="s">
        <v>1317</v>
      </c>
    </row>
    <row r="2968" spans="2:4" hidden="1" x14ac:dyDescent="0.3">
      <c r="B2968" s="48" t="s">
        <v>1306</v>
      </c>
      <c r="C2968" s="14">
        <f t="shared" si="116"/>
        <v>0.40000000000000008</v>
      </c>
      <c r="D2968" s="48" t="s">
        <v>1318</v>
      </c>
    </row>
    <row r="2969" spans="2:4" hidden="1" x14ac:dyDescent="0.3">
      <c r="B2969" s="48" t="s">
        <v>1308</v>
      </c>
      <c r="C2969" s="14">
        <f t="shared" si="116"/>
        <v>0.20000000000000007</v>
      </c>
      <c r="D2969" s="48" t="s">
        <v>912</v>
      </c>
    </row>
    <row r="2970" spans="2:4" hidden="1" x14ac:dyDescent="0.3">
      <c r="B2970" s="48" t="s">
        <v>1310</v>
      </c>
      <c r="C2970" s="14">
        <f t="shared" si="116"/>
        <v>0</v>
      </c>
    </row>
    <row r="2971" spans="2:4" hidden="1" x14ac:dyDescent="0.3">
      <c r="B2971" s="48" t="s">
        <v>1312</v>
      </c>
      <c r="C2971" s="14">
        <f t="shared" si="116"/>
        <v>-0.2</v>
      </c>
    </row>
    <row r="2972" spans="2:4" hidden="1" x14ac:dyDescent="0.3">
      <c r="B2972" s="48" t="s">
        <v>1313</v>
      </c>
      <c r="C2972" s="14">
        <f t="shared" si="116"/>
        <v>-0.4</v>
      </c>
    </row>
    <row r="2973" spans="2:4" hidden="1" x14ac:dyDescent="0.3">
      <c r="B2973" s="48" t="s">
        <v>1312</v>
      </c>
      <c r="C2973" s="14">
        <f t="shared" si="116"/>
        <v>-0.60000000000000009</v>
      </c>
    </row>
    <row r="2974" spans="2:4" hidden="1" x14ac:dyDescent="0.3">
      <c r="B2974" s="48" t="s">
        <v>1314</v>
      </c>
      <c r="C2974" s="14">
        <f t="shared" si="116"/>
        <v>-0.8</v>
      </c>
    </row>
    <row r="2975" spans="2:4" hidden="1" x14ac:dyDescent="0.3"/>
    <row r="2976" spans="2:4" hidden="1" x14ac:dyDescent="0.3"/>
    <row r="2977" spans="1:54" hidden="1" x14ac:dyDescent="0.3"/>
    <row r="2978" spans="1:54" ht="17.5" hidden="1" x14ac:dyDescent="0.35">
      <c r="A2978" s="567" t="str">
        <f>A355</f>
        <v>B.</v>
      </c>
      <c r="B2978" s="567" t="str">
        <f>B355</f>
        <v>Documentation for verification</v>
      </c>
      <c r="C2978" s="567"/>
      <c r="D2978" s="567">
        <f>D355</f>
        <v>0</v>
      </c>
      <c r="E2978" s="567"/>
      <c r="F2978" s="567"/>
    </row>
    <row r="2979" spans="1:54" hidden="1" x14ac:dyDescent="0.3"/>
    <row r="2980" spans="1:54" ht="15.5" hidden="1" x14ac:dyDescent="0.35">
      <c r="B2980" s="392" t="s">
        <v>940</v>
      </c>
      <c r="D2980" s="393" t="s">
        <v>941</v>
      </c>
      <c r="BB2980" s="48"/>
    </row>
    <row r="2981" spans="1:54" ht="14.5" hidden="1" x14ac:dyDescent="0.35">
      <c r="B2981" s="48" t="s">
        <v>238</v>
      </c>
      <c r="D2981" s="69" t="s">
        <v>942</v>
      </c>
      <c r="G2981" s="4">
        <v>0.12</v>
      </c>
      <c r="AC2981" s="48" t="str">
        <f>B2981</f>
        <v>By URL below, searchable text  (best)</v>
      </c>
      <c r="AD2981" s="48" t="str">
        <f>B2982</f>
        <v>By URL below, audio/visual recording  (great)</v>
      </c>
      <c r="AE2981" s="48" t="str">
        <f>B2983</f>
        <v>By URL below, image only  (good)</v>
      </c>
      <c r="AF2981" s="48" t="str">
        <f>B2984</f>
        <v>By email below  (fair)</v>
      </c>
      <c r="AG2981" s="48" t="str">
        <f>B2985</f>
        <v>Not at this time  (poor)</v>
      </c>
      <c r="AH2981" s="48" t="str">
        <f>B2986</f>
        <v>Not applicable  (okay)</v>
      </c>
      <c r="BB2981" s="48"/>
    </row>
    <row r="2982" spans="1:54" ht="14.5" hidden="1" x14ac:dyDescent="0.35">
      <c r="B2982" s="48" t="s">
        <v>943</v>
      </c>
      <c r="D2982" s="69" t="s">
        <v>944</v>
      </c>
      <c r="G2982" s="4">
        <v>0.25</v>
      </c>
      <c r="BB2982" s="48"/>
    </row>
    <row r="2983" spans="1:54" ht="14.5" hidden="1" x14ac:dyDescent="0.35">
      <c r="B2983" s="48" t="s">
        <v>247</v>
      </c>
      <c r="D2983" s="69" t="s">
        <v>945</v>
      </c>
      <c r="G2983" s="4">
        <v>0.5</v>
      </c>
      <c r="BB2983" s="48"/>
    </row>
    <row r="2984" spans="1:54" ht="14.5" hidden="1" x14ac:dyDescent="0.35">
      <c r="B2984" s="48" t="s">
        <v>946</v>
      </c>
      <c r="D2984" s="69" t="s">
        <v>947</v>
      </c>
      <c r="G2984" s="4">
        <v>1</v>
      </c>
      <c r="BB2984" s="48"/>
    </row>
    <row r="2985" spans="1:54" ht="14.5" hidden="1" x14ac:dyDescent="0.35">
      <c r="B2985" s="48" t="s">
        <v>948</v>
      </c>
      <c r="D2985" s="69" t="s">
        <v>243</v>
      </c>
      <c r="G2985" s="4">
        <v>0</v>
      </c>
      <c r="BB2985" s="48"/>
    </row>
    <row r="2986" spans="1:54" hidden="1" x14ac:dyDescent="0.3">
      <c r="B2986" s="48" t="s">
        <v>949</v>
      </c>
      <c r="D2986" s="48" t="s">
        <v>950</v>
      </c>
      <c r="BB2986" s="48"/>
    </row>
    <row r="2987" spans="1:54" hidden="1" x14ac:dyDescent="0.3"/>
    <row r="2988" spans="1:54" ht="17.5" hidden="1" x14ac:dyDescent="0.45">
      <c r="B2988" s="574" t="s">
        <v>3863</v>
      </c>
      <c r="D2988" s="48">
        <f>IF(B500=B2989,E2989,IF(B500=B2990,E2990,IF(B500=B2991,E2991,IF(B500=B2992,E2992,IF(B500=B2995,E2993,IF(B500=B2993,E2994,IF(B500=B2994,E2995,IF(B500=B2996,E2996,IF(B500=B2997,E2997,IF(B500=B2998,E2998,0))))))))))</f>
        <v>0</v>
      </c>
      <c r="AV2988" s="636" t="str">
        <f>IF(B500=B2989,AV2989,IF(B500=B2990,AV2990,IF(B500=B2991,AV2991,IF(B500=B2992,AV2992,IF(B500=B2993,AV2993,IF(B500=B2994,AV2994,IF(B500=B2995,AV2995,IF(B500=B2996,AV2996,IF(B500=B2997,AV2997,IF(B500=B2998,AV2998,""))))))))))</f>
        <v/>
      </c>
    </row>
    <row r="2989" spans="1:54" hidden="1" x14ac:dyDescent="0.3">
      <c r="B2989" s="575" t="s">
        <v>3864</v>
      </c>
      <c r="D2989" s="48" t="s">
        <v>4078</v>
      </c>
      <c r="E2989" s="576">
        <v>0.1</v>
      </c>
      <c r="AD2989" s="48" t="str">
        <f>B2989</f>
        <v>Need help locating my case documents</v>
      </c>
      <c r="AP2989" s="48" t="s">
        <v>4253</v>
      </c>
      <c r="AQ2989" s="48" t="str">
        <f>BG501</f>
        <v>claimant's</v>
      </c>
      <c r="AR2989" s="48" t="str">
        <f>BH501</f>
        <v xml:space="preserve"> case documents. </v>
      </c>
      <c r="AV2989" s="52" t="str">
        <f t="shared" ref="AV2989:AV2998" si="117">CONCATENATE(AP2989,AQ2989,AR2989)</f>
        <v xml:space="preserve">locate all claimant's case documents. </v>
      </c>
    </row>
    <row r="2990" spans="1:54" hidden="1" x14ac:dyDescent="0.3">
      <c r="B2990" s="575" t="s">
        <v>3865</v>
      </c>
      <c r="D2990" s="48" t="s">
        <v>4079</v>
      </c>
      <c r="E2990" s="576">
        <f>E2989+0.1</f>
        <v>0.2</v>
      </c>
      <c r="AD2990" s="48" t="str">
        <f t="shared" ref="AD2990:AD2998" si="118">B2990</f>
        <v>Need help accessing my case documents</v>
      </c>
      <c r="AP2990" s="48" t="s">
        <v>4261</v>
      </c>
      <c r="AQ2990" s="48" t="str">
        <f>AQ2989</f>
        <v>claimant's</v>
      </c>
      <c r="AR2990" s="48" t="str">
        <f>AR2989</f>
        <v xml:space="preserve"> case documents. </v>
      </c>
      <c r="AV2990" s="52" t="str">
        <f t="shared" si="117"/>
        <v xml:space="preserve">affordably access all claimant's case documents. </v>
      </c>
    </row>
    <row r="2991" spans="1:54" hidden="1" x14ac:dyDescent="0.3">
      <c r="B2991" s="575" t="s">
        <v>3866</v>
      </c>
      <c r="D2991" s="48" t="s">
        <v>4081</v>
      </c>
      <c r="E2991" s="576">
        <f t="shared" ref="E2991:E2998" si="119">E2990+0.1</f>
        <v>0.30000000000000004</v>
      </c>
      <c r="AD2991" s="48" t="str">
        <f t="shared" si="118"/>
        <v>Need help scanning my case documents</v>
      </c>
      <c r="AP2991" s="48" t="s">
        <v>4254</v>
      </c>
      <c r="AQ2991" s="48" t="str">
        <f>AQ2990</f>
        <v>claimant's</v>
      </c>
      <c r="AR2991" s="48" t="str">
        <f>AR2990</f>
        <v xml:space="preserve"> case documents. </v>
      </c>
      <c r="AV2991" s="52" t="str">
        <f t="shared" si="117"/>
        <v xml:space="preserve">find a digitized copy of all claimant's case documents. </v>
      </c>
    </row>
    <row r="2992" spans="1:54" hidden="1" x14ac:dyDescent="0.3">
      <c r="B2992" s="575" t="s">
        <v>3867</v>
      </c>
      <c r="D2992" s="48" t="s">
        <v>4080</v>
      </c>
      <c r="E2992" s="576">
        <f t="shared" si="119"/>
        <v>0.4</v>
      </c>
      <c r="AD2992" s="48" t="str">
        <f t="shared" si="118"/>
        <v>Need help counting pages of case documents</v>
      </c>
      <c r="AP2992" s="48" t="s">
        <v>4255</v>
      </c>
      <c r="AQ2992" s="48" t="str">
        <f t="shared" ref="AQ2992:AQ2998" si="120">AQ2991</f>
        <v>claimant's</v>
      </c>
      <c r="AR2992" s="48" t="str">
        <f>AR2991</f>
        <v xml:space="preserve"> case documents. </v>
      </c>
      <c r="AV2992" s="52" t="str">
        <f t="shared" si="117"/>
        <v xml:space="preserve">count the pages of all claimant's case documents. </v>
      </c>
    </row>
    <row r="2993" spans="1:48" hidden="1" x14ac:dyDescent="0.3">
      <c r="B2993" s="575" t="s">
        <v>3869</v>
      </c>
      <c r="D2993" s="48" t="s">
        <v>4082</v>
      </c>
      <c r="E2993" s="576">
        <f t="shared" si="119"/>
        <v>0.5</v>
      </c>
      <c r="AD2993" s="48" t="str">
        <f t="shared" si="118"/>
        <v>Need help uploading case documents</v>
      </c>
      <c r="AP2993" s="48" t="s">
        <v>4256</v>
      </c>
      <c r="AQ2993" s="48" t="str">
        <f t="shared" si="120"/>
        <v>claimant's</v>
      </c>
      <c r="AR2993" s="48" t="str">
        <f>AR2992</f>
        <v xml:space="preserve"> case documents. </v>
      </c>
      <c r="AV2993" s="52" t="str">
        <f t="shared" si="117"/>
        <v xml:space="preserve">upload all of claimant's case documents. </v>
      </c>
    </row>
    <row r="2994" spans="1:48" hidden="1" x14ac:dyDescent="0.3">
      <c r="B2994" s="575" t="s">
        <v>3870</v>
      </c>
      <c r="D2994" s="48" t="s">
        <v>4083</v>
      </c>
      <c r="E2994" s="576">
        <f t="shared" si="119"/>
        <v>0.6</v>
      </c>
      <c r="AD2994" s="48" t="str">
        <f t="shared" si="118"/>
        <v>Need help checking if URL works</v>
      </c>
      <c r="AP2994" s="48" t="s">
        <v>4257</v>
      </c>
      <c r="AQ2994" s="48" t="str">
        <f t="shared" si="120"/>
        <v>claimant's</v>
      </c>
      <c r="AR2994" s="48" t="str">
        <f>AR2993</f>
        <v xml:space="preserve"> case documents. </v>
      </c>
      <c r="AV2994" s="52" t="str">
        <f t="shared" si="117"/>
        <v xml:space="preserve">check the links to all of claimant's case documents. </v>
      </c>
    </row>
    <row r="2995" spans="1:48" hidden="1" x14ac:dyDescent="0.3">
      <c r="B2995" s="575" t="s">
        <v>3868</v>
      </c>
      <c r="D2995" s="48" t="s">
        <v>4084</v>
      </c>
      <c r="E2995" s="576">
        <f t="shared" si="119"/>
        <v>0.7</v>
      </c>
      <c r="AD2995" s="48" t="str">
        <f t="shared" si="118"/>
        <v>Need help identifying support in case documents</v>
      </c>
      <c r="AP2995" s="48" t="s">
        <v>4258</v>
      </c>
      <c r="AQ2995" s="48" t="str">
        <f t="shared" si="120"/>
        <v>claimant's</v>
      </c>
      <c r="AR2995" s="48" t="str">
        <f>AR2994</f>
        <v xml:space="preserve"> case documents. </v>
      </c>
      <c r="AV2995" s="52" t="str">
        <f t="shared" si="117"/>
        <v xml:space="preserve">identify any support in claimant's case documents. </v>
      </c>
    </row>
    <row r="2996" spans="1:48" hidden="1" x14ac:dyDescent="0.3">
      <c r="B2996" s="575" t="s">
        <v>3871</v>
      </c>
      <c r="D2996" s="48" t="s">
        <v>4085</v>
      </c>
      <c r="E2996" s="576">
        <f t="shared" si="119"/>
        <v>0.79999999999999993</v>
      </c>
      <c r="AD2996" s="48" t="str">
        <f t="shared" si="118"/>
        <v>Need help hiring independent verifiers</v>
      </c>
      <c r="AP2996" s="48" t="s">
        <v>4262</v>
      </c>
      <c r="AQ2996" s="48" t="str">
        <f t="shared" si="120"/>
        <v>claimant's</v>
      </c>
      <c r="AR2996" s="48" t="str">
        <f>AR2995</f>
        <v xml:space="preserve"> case documents. </v>
      </c>
      <c r="AV2996" s="52" t="str">
        <f t="shared" si="117"/>
        <v xml:space="preserve">hire impartial verifiers to review claimant's case documents. </v>
      </c>
    </row>
    <row r="2997" spans="1:48" hidden="1" x14ac:dyDescent="0.3">
      <c r="B2997" s="575" t="s">
        <v>3872</v>
      </c>
      <c r="D2997" s="48" t="s">
        <v>4086</v>
      </c>
      <c r="E2997" s="576">
        <f t="shared" si="119"/>
        <v>0.89999999999999991</v>
      </c>
      <c r="AD2997" s="48" t="str">
        <f t="shared" si="118"/>
        <v>Need help verifying claim using case documents</v>
      </c>
      <c r="AP2997" s="48" t="s">
        <v>4259</v>
      </c>
      <c r="AQ2997" s="48" t="str">
        <f t="shared" si="120"/>
        <v>claimant's</v>
      </c>
      <c r="AR2997" s="48" t="s">
        <v>4263</v>
      </c>
      <c r="AV2997" s="52" t="str">
        <f t="shared" si="117"/>
        <v>independently validate or invalidate claimant's innocence claim.</v>
      </c>
    </row>
    <row r="2998" spans="1:48" hidden="1" x14ac:dyDescent="0.3">
      <c r="B2998" s="575" t="s">
        <v>3873</v>
      </c>
      <c r="D2998" s="48" t="s">
        <v>4086</v>
      </c>
      <c r="E2998" s="576">
        <f t="shared" si="119"/>
        <v>0.99999999999999989</v>
      </c>
      <c r="AD2998" s="48" t="str">
        <f t="shared" si="118"/>
        <v>Need accreditation on claim verification</v>
      </c>
      <c r="AP2998" s="48" t="s">
        <v>4260</v>
      </c>
      <c r="AQ2998" s="48" t="str">
        <f t="shared" si="120"/>
        <v>claimant's</v>
      </c>
      <c r="AR2998" s="48" t="s">
        <v>4263</v>
      </c>
      <c r="AV2998" s="52" t="str">
        <f t="shared" si="117"/>
        <v>vouch for the impartiality in qualifyin claimant's innocence claim.</v>
      </c>
    </row>
    <row r="2999" spans="1:48" hidden="1" x14ac:dyDescent="0.3"/>
    <row r="3000" spans="1:48" hidden="1" x14ac:dyDescent="0.3"/>
    <row r="3001" spans="1:48" hidden="1" x14ac:dyDescent="0.3"/>
    <row r="3002" spans="1:48" ht="17.5" hidden="1" x14ac:dyDescent="0.35">
      <c r="A3002" s="567" t="s">
        <v>3874</v>
      </c>
      <c r="B3002" s="567" t="str">
        <f>B521</f>
        <v>Common factors in wrongful convictions</v>
      </c>
      <c r="C3002" s="567"/>
      <c r="D3002" s="567"/>
      <c r="E3002" s="567"/>
      <c r="F3002" s="567"/>
    </row>
    <row r="3003" spans="1:48" hidden="1" x14ac:dyDescent="0.3"/>
    <row r="3004" spans="1:48" ht="15" hidden="1" x14ac:dyDescent="0.3">
      <c r="B3004" s="392" t="s">
        <v>930</v>
      </c>
    </row>
    <row r="3005" spans="1:48" hidden="1" x14ac:dyDescent="0.3">
      <c r="B3005" s="48" t="s">
        <v>287</v>
      </c>
      <c r="D3005" s="48">
        <v>0</v>
      </c>
      <c r="E3005" s="48">
        <v>0</v>
      </c>
    </row>
    <row r="3006" spans="1:48" hidden="1" x14ac:dyDescent="0.3">
      <c r="B3006" s="48" t="s">
        <v>304</v>
      </c>
      <c r="D3006" s="48">
        <v>0.25</v>
      </c>
      <c r="E3006" s="48">
        <v>1</v>
      </c>
    </row>
    <row r="3007" spans="1:48" hidden="1" x14ac:dyDescent="0.3">
      <c r="B3007" s="48" t="s">
        <v>335</v>
      </c>
      <c r="D3007" s="48">
        <v>0.5</v>
      </c>
      <c r="E3007" s="48">
        <v>2</v>
      </c>
    </row>
    <row r="3008" spans="1:48" hidden="1" x14ac:dyDescent="0.3">
      <c r="B3008" s="48" t="s">
        <v>295</v>
      </c>
      <c r="C3008" s="52"/>
      <c r="D3008" s="52">
        <v>1</v>
      </c>
      <c r="E3008" s="52">
        <v>4</v>
      </c>
      <c r="F3008" s="52"/>
    </row>
    <row r="3009" spans="2:54" hidden="1" x14ac:dyDescent="0.3">
      <c r="C3009" s="52"/>
      <c r="D3009" s="52"/>
      <c r="E3009" s="52"/>
      <c r="F3009" s="52"/>
    </row>
    <row r="3010" spans="2:54" ht="15" hidden="1" x14ac:dyDescent="0.3">
      <c r="B3010" s="392" t="s">
        <v>931</v>
      </c>
      <c r="C3010" s="52"/>
      <c r="D3010" s="52"/>
      <c r="E3010" s="52"/>
      <c r="F3010" s="52"/>
    </row>
    <row r="3011" spans="2:54" hidden="1" x14ac:dyDescent="0.3">
      <c r="B3011" s="48" t="s">
        <v>347</v>
      </c>
      <c r="E3011" s="101">
        <f t="shared" ref="E3011:E3016" si="121">AC3011</f>
        <v>0.25000000000000006</v>
      </c>
      <c r="F3011" s="101"/>
      <c r="G3011" s="4">
        <f>G3012-0.1</f>
        <v>0.50000000000000011</v>
      </c>
      <c r="AA3011" s="101"/>
      <c r="AB3011" s="101">
        <f t="shared" ref="AB3011:AD3014" si="122">AB3012-0.05</f>
        <v>0.49999999999999983</v>
      </c>
      <c r="AC3011" s="101">
        <f t="shared" si="122"/>
        <v>0.25000000000000006</v>
      </c>
      <c r="AD3011" s="101">
        <f t="shared" si="122"/>
        <v>0</v>
      </c>
      <c r="AE3011" s="101">
        <f>AE3012-0.2</f>
        <v>0</v>
      </c>
      <c r="BB3011" s="48"/>
    </row>
    <row r="3012" spans="2:54" hidden="1" x14ac:dyDescent="0.3">
      <c r="B3012" s="48" t="s">
        <v>315</v>
      </c>
      <c r="E3012" s="101">
        <f t="shared" si="121"/>
        <v>0.30000000000000004</v>
      </c>
      <c r="F3012" s="101"/>
      <c r="G3012" s="4">
        <f>G3013-0.1</f>
        <v>0.60000000000000009</v>
      </c>
      <c r="AA3012" s="101"/>
      <c r="AB3012" s="101">
        <f t="shared" si="122"/>
        <v>0.54999999999999982</v>
      </c>
      <c r="AC3012" s="101">
        <f t="shared" si="122"/>
        <v>0.30000000000000004</v>
      </c>
      <c r="AD3012" s="101">
        <f t="shared" si="122"/>
        <v>5.0000000000000017E-2</v>
      </c>
      <c r="AE3012" s="101">
        <f>AE3013-0.2</f>
        <v>0.20000000000000007</v>
      </c>
      <c r="BB3012" s="48"/>
    </row>
    <row r="3013" spans="2:54" hidden="1" x14ac:dyDescent="0.3">
      <c r="B3013" s="48" t="s">
        <v>322</v>
      </c>
      <c r="E3013" s="101">
        <f t="shared" si="121"/>
        <v>0.35000000000000003</v>
      </c>
      <c r="F3013" s="101"/>
      <c r="G3013" s="4">
        <f>G3014-0.1</f>
        <v>0.70000000000000007</v>
      </c>
      <c r="AA3013" s="101"/>
      <c r="AB3013" s="101">
        <f t="shared" si="122"/>
        <v>0.59999999999999987</v>
      </c>
      <c r="AC3013" s="101">
        <f t="shared" si="122"/>
        <v>0.35000000000000003</v>
      </c>
      <c r="AD3013" s="101">
        <f t="shared" si="122"/>
        <v>0.10000000000000002</v>
      </c>
      <c r="AE3013" s="101">
        <f>AE3014-0.2</f>
        <v>0.40000000000000008</v>
      </c>
      <c r="BB3013" s="48"/>
    </row>
    <row r="3014" spans="2:54" hidden="1" x14ac:dyDescent="0.3">
      <c r="B3014" s="48" t="s">
        <v>379</v>
      </c>
      <c r="E3014" s="101">
        <f t="shared" si="121"/>
        <v>0.4</v>
      </c>
      <c r="F3014" s="101"/>
      <c r="G3014" s="4">
        <f>G3015-0.1</f>
        <v>0.8</v>
      </c>
      <c r="AA3014" s="101"/>
      <c r="AB3014" s="101">
        <f t="shared" si="122"/>
        <v>0.64999999999999991</v>
      </c>
      <c r="AC3014" s="101">
        <f t="shared" si="122"/>
        <v>0.4</v>
      </c>
      <c r="AD3014" s="101">
        <f t="shared" si="122"/>
        <v>0.15000000000000002</v>
      </c>
      <c r="AE3014" s="101">
        <f>AE3015-0.2</f>
        <v>0.60000000000000009</v>
      </c>
      <c r="BB3014" s="48"/>
    </row>
    <row r="3015" spans="2:54" hidden="1" x14ac:dyDescent="0.3">
      <c r="B3015" s="48" t="s">
        <v>311</v>
      </c>
      <c r="E3015" s="101">
        <f t="shared" si="121"/>
        <v>0.45</v>
      </c>
      <c r="F3015" s="101"/>
      <c r="G3015" s="4">
        <f>G3016-0.1</f>
        <v>0.9</v>
      </c>
      <c r="AA3015" s="101"/>
      <c r="AB3015" s="101">
        <f>AB3016-0.05</f>
        <v>0.7</v>
      </c>
      <c r="AC3015" s="101">
        <f>AC3016-0.05</f>
        <v>0.45</v>
      </c>
      <c r="AD3015" s="101">
        <f>AD3016-0.05</f>
        <v>0.2</v>
      </c>
      <c r="AE3015" s="101">
        <f>AE3016-0.2</f>
        <v>0.8</v>
      </c>
      <c r="BB3015" s="48"/>
    </row>
    <row r="3016" spans="2:54" hidden="1" x14ac:dyDescent="0.3">
      <c r="B3016" s="48" t="s">
        <v>296</v>
      </c>
      <c r="E3016" s="101">
        <f t="shared" si="121"/>
        <v>0.5</v>
      </c>
      <c r="F3016" s="101"/>
      <c r="G3016" s="4">
        <v>1</v>
      </c>
      <c r="AA3016" s="101"/>
      <c r="AB3016" s="101">
        <v>0.75</v>
      </c>
      <c r="AC3016" s="48">
        <v>0.5</v>
      </c>
      <c r="AD3016" s="101">
        <v>0.25</v>
      </c>
      <c r="AE3016" s="101">
        <v>1</v>
      </c>
      <c r="BB3016" s="48"/>
    </row>
    <row r="3017" spans="2:54" hidden="1" x14ac:dyDescent="0.3">
      <c r="C3017" s="52"/>
      <c r="D3017" s="52"/>
      <c r="BB3017" s="48"/>
    </row>
    <row r="3018" spans="2:54" ht="15" hidden="1" x14ac:dyDescent="0.3">
      <c r="B3018" s="392" t="s">
        <v>932</v>
      </c>
      <c r="BB3018" s="48"/>
    </row>
    <row r="3019" spans="2:54" hidden="1" x14ac:dyDescent="0.3">
      <c r="B3019" s="48" t="s">
        <v>933</v>
      </c>
      <c r="E3019" s="101">
        <v>-2</v>
      </c>
      <c r="F3019" s="101"/>
      <c r="BB3019" s="48"/>
    </row>
    <row r="3020" spans="2:54" hidden="1" x14ac:dyDescent="0.3">
      <c r="B3020" s="48" t="s">
        <v>934</v>
      </c>
      <c r="E3020" s="101">
        <v>-1</v>
      </c>
      <c r="F3020" s="101"/>
      <c r="BB3020" s="48"/>
    </row>
    <row r="3021" spans="2:54" hidden="1" x14ac:dyDescent="0.3">
      <c r="B3021" s="48" t="s">
        <v>935</v>
      </c>
      <c r="E3021" s="101">
        <v>-0.5</v>
      </c>
      <c r="F3021" s="101"/>
      <c r="BB3021" s="48"/>
    </row>
    <row r="3022" spans="2:54" hidden="1" x14ac:dyDescent="0.3">
      <c r="B3022" s="48" t="s">
        <v>936</v>
      </c>
      <c r="E3022" s="101">
        <v>-0.25</v>
      </c>
      <c r="F3022" s="101"/>
      <c r="BB3022" s="48"/>
    </row>
    <row r="3023" spans="2:54" hidden="1" x14ac:dyDescent="0.3">
      <c r="B3023" s="48" t="s">
        <v>937</v>
      </c>
      <c r="E3023" s="101">
        <v>0</v>
      </c>
      <c r="F3023" s="101"/>
      <c r="BB3023" s="48"/>
    </row>
    <row r="3024" spans="2:54" hidden="1" x14ac:dyDescent="0.3">
      <c r="B3024" s="48" t="s">
        <v>938</v>
      </c>
      <c r="E3024" s="101">
        <v>0.25</v>
      </c>
      <c r="F3024" s="101"/>
      <c r="BB3024" s="48"/>
    </row>
    <row r="3025" spans="1:54" hidden="1" x14ac:dyDescent="0.3">
      <c r="B3025" s="48" t="s">
        <v>939</v>
      </c>
      <c r="E3025" s="101">
        <v>0.5</v>
      </c>
      <c r="F3025" s="101"/>
      <c r="BB3025" s="48"/>
    </row>
    <row r="3026" spans="1:54" hidden="1" x14ac:dyDescent="0.3">
      <c r="B3026" s="48" t="s">
        <v>305</v>
      </c>
      <c r="E3026" s="101">
        <v>1</v>
      </c>
      <c r="F3026" s="101"/>
      <c r="BB3026" s="48"/>
    </row>
    <row r="3027" spans="1:54" hidden="1" x14ac:dyDescent="0.3"/>
    <row r="3028" spans="1:54" hidden="1" x14ac:dyDescent="0.3">
      <c r="C3028" s="48" t="s">
        <v>3816</v>
      </c>
    </row>
    <row r="3029" spans="1:54" hidden="1" x14ac:dyDescent="0.3">
      <c r="C3029" s="48" t="s">
        <v>3817</v>
      </c>
    </row>
    <row r="3030" spans="1:54" hidden="1" x14ac:dyDescent="0.3"/>
    <row r="3031" spans="1:54" hidden="1" x14ac:dyDescent="0.3"/>
    <row r="3032" spans="1:54" hidden="1" x14ac:dyDescent="0.3">
      <c r="G3032" s="48"/>
      <c r="H3032" s="48"/>
      <c r="I3032" s="48"/>
      <c r="J3032" s="48"/>
      <c r="K3032" s="48"/>
      <c r="L3032" s="48"/>
      <c r="M3032" s="48"/>
      <c r="N3032" s="48"/>
      <c r="O3032" s="48"/>
      <c r="P3032" s="48"/>
      <c r="Q3032" s="48"/>
      <c r="R3032" s="48"/>
      <c r="S3032" s="48"/>
      <c r="T3032" s="48"/>
      <c r="U3032" s="48"/>
      <c r="V3032" s="48"/>
      <c r="W3032" s="48"/>
      <c r="X3032" s="48"/>
      <c r="Y3032" s="48"/>
      <c r="Z3032" s="48"/>
      <c r="BB3032" s="48"/>
    </row>
    <row r="3033" spans="1:54" ht="17.5" hidden="1" x14ac:dyDescent="0.35">
      <c r="A3033" s="567" t="str">
        <f>A783</f>
        <v>D.</v>
      </c>
      <c r="B3033" s="567" t="str">
        <f>B783</f>
        <v>Requests and responses for exoneration help</v>
      </c>
      <c r="C3033" s="567"/>
      <c r="D3033" s="567"/>
      <c r="E3033" s="567"/>
      <c r="F3033" s="567"/>
      <c r="G3033" s="48"/>
      <c r="H3033" s="48"/>
      <c r="I3033" s="48"/>
      <c r="J3033" s="48"/>
      <c r="K3033" s="48"/>
      <c r="L3033" s="48"/>
      <c r="M3033" s="48"/>
      <c r="N3033" s="48"/>
      <c r="O3033" s="48"/>
      <c r="P3033" s="48"/>
      <c r="Q3033" s="48"/>
      <c r="R3033" s="48"/>
      <c r="S3033" s="48"/>
      <c r="T3033" s="48"/>
      <c r="U3033" s="48"/>
      <c r="V3033" s="48"/>
      <c r="W3033" s="48"/>
      <c r="X3033" s="48"/>
      <c r="Y3033" s="48"/>
      <c r="Z3033" s="48"/>
      <c r="BB3033" s="48"/>
    </row>
    <row r="3034" spans="1:54" hidden="1" x14ac:dyDescent="0.3">
      <c r="G3034" s="48"/>
      <c r="H3034" s="48"/>
      <c r="I3034" s="48"/>
      <c r="J3034" s="48"/>
      <c r="K3034" s="48"/>
      <c r="L3034" s="48"/>
      <c r="M3034" s="48"/>
      <c r="N3034" s="48"/>
      <c r="O3034" s="48"/>
      <c r="P3034" s="48"/>
      <c r="Q3034" s="48"/>
      <c r="R3034" s="48"/>
      <c r="S3034" s="48"/>
      <c r="T3034" s="48"/>
      <c r="U3034" s="48"/>
      <c r="V3034" s="48"/>
      <c r="W3034" s="48"/>
      <c r="X3034" s="48"/>
      <c r="Y3034" s="48"/>
      <c r="Z3034" s="48"/>
      <c r="BB3034" s="48"/>
    </row>
    <row r="3035" spans="1:54" ht="14.5" hidden="1" x14ac:dyDescent="0.3">
      <c r="B3035" s="578" t="str">
        <f>B787</f>
        <v>Satisfaction level:</v>
      </c>
      <c r="C3035" s="577" t="s">
        <v>3875</v>
      </c>
      <c r="G3035" s="48"/>
      <c r="H3035" s="48"/>
      <c r="I3035" s="48"/>
      <c r="J3035" s="48"/>
      <c r="K3035" s="48"/>
      <c r="L3035" s="48"/>
      <c r="M3035" s="48"/>
      <c r="N3035" s="48"/>
      <c r="O3035" s="48"/>
      <c r="P3035" s="48"/>
      <c r="Q3035" s="48"/>
      <c r="R3035" s="48"/>
      <c r="S3035" s="48"/>
      <c r="T3035" s="48"/>
      <c r="U3035" s="48"/>
      <c r="V3035" s="48"/>
      <c r="W3035" s="48"/>
      <c r="X3035" s="48"/>
      <c r="Y3035" s="48"/>
      <c r="Z3035" s="48"/>
      <c r="BB3035" s="48"/>
    </row>
    <row r="3036" spans="1:54" ht="14.5" hidden="1" x14ac:dyDescent="0.3">
      <c r="C3036" s="577" t="s">
        <v>3876</v>
      </c>
      <c r="G3036" s="48"/>
      <c r="H3036" s="48"/>
      <c r="I3036" s="48"/>
      <c r="J3036" s="48"/>
      <c r="K3036" s="48"/>
      <c r="L3036" s="48"/>
      <c r="M3036" s="48"/>
      <c r="N3036" s="48"/>
      <c r="O3036" s="48"/>
      <c r="P3036" s="48"/>
      <c r="Q3036" s="48"/>
      <c r="R3036" s="48"/>
      <c r="S3036" s="48"/>
      <c r="T3036" s="48"/>
      <c r="U3036" s="48"/>
      <c r="V3036" s="48"/>
      <c r="W3036" s="48"/>
      <c r="X3036" s="48"/>
      <c r="Y3036" s="48"/>
      <c r="Z3036" s="48"/>
      <c r="BB3036" s="48"/>
    </row>
    <row r="3037" spans="1:54" ht="14.5" hidden="1" x14ac:dyDescent="0.3">
      <c r="C3037" s="577" t="s">
        <v>3877</v>
      </c>
      <c r="G3037" s="48"/>
      <c r="H3037" s="48"/>
      <c r="I3037" s="48"/>
      <c r="J3037" s="48"/>
      <c r="K3037" s="48"/>
      <c r="L3037" s="48"/>
      <c r="M3037" s="48"/>
      <c r="N3037" s="48"/>
      <c r="O3037" s="48"/>
      <c r="P3037" s="48"/>
      <c r="Q3037" s="48"/>
      <c r="R3037" s="48"/>
      <c r="S3037" s="48"/>
      <c r="T3037" s="48"/>
      <c r="U3037" s="48"/>
      <c r="V3037" s="48"/>
      <c r="W3037" s="48"/>
      <c r="X3037" s="48"/>
      <c r="Y3037" s="48"/>
      <c r="Z3037" s="48"/>
      <c r="BB3037" s="48"/>
    </row>
    <row r="3038" spans="1:54" ht="14.5" hidden="1" x14ac:dyDescent="0.3">
      <c r="C3038" s="577" t="s">
        <v>3878</v>
      </c>
      <c r="G3038" s="48"/>
      <c r="H3038" s="48"/>
      <c r="I3038" s="48"/>
      <c r="J3038" s="48"/>
      <c r="K3038" s="48"/>
      <c r="L3038" s="48"/>
      <c r="M3038" s="48"/>
      <c r="N3038" s="48"/>
      <c r="O3038" s="48"/>
      <c r="P3038" s="48"/>
      <c r="Q3038" s="48"/>
      <c r="R3038" s="48"/>
      <c r="S3038" s="48"/>
      <c r="T3038" s="48"/>
      <c r="U3038" s="48"/>
      <c r="V3038" s="48"/>
      <c r="W3038" s="48"/>
      <c r="X3038" s="48"/>
      <c r="Y3038" s="48"/>
      <c r="Z3038" s="48"/>
      <c r="BB3038" s="48"/>
    </row>
    <row r="3039" spans="1:54" ht="14.5" hidden="1" x14ac:dyDescent="0.3">
      <c r="C3039" s="577" t="s">
        <v>3879</v>
      </c>
      <c r="G3039" s="48"/>
      <c r="H3039" s="48"/>
      <c r="I3039" s="48"/>
      <c r="J3039" s="48"/>
      <c r="K3039" s="48"/>
      <c r="L3039" s="48"/>
      <c r="M3039" s="48"/>
      <c r="N3039" s="48"/>
      <c r="O3039" s="48"/>
      <c r="P3039" s="48"/>
      <c r="Q3039" s="48"/>
      <c r="R3039" s="48"/>
      <c r="S3039" s="48"/>
      <c r="T3039" s="48"/>
      <c r="U3039" s="48"/>
      <c r="V3039" s="48"/>
      <c r="W3039" s="48"/>
      <c r="X3039" s="48"/>
      <c r="Y3039" s="48"/>
      <c r="Z3039" s="48"/>
      <c r="BB3039" s="48"/>
    </row>
    <row r="3040" spans="1:54" hidden="1" x14ac:dyDescent="0.3">
      <c r="G3040" s="48"/>
      <c r="H3040" s="48"/>
      <c r="I3040" s="48"/>
      <c r="J3040" s="48"/>
      <c r="K3040" s="48"/>
      <c r="L3040" s="48"/>
      <c r="M3040" s="48"/>
      <c r="N3040" s="48"/>
      <c r="O3040" s="48"/>
      <c r="P3040" s="48"/>
      <c r="Q3040" s="48"/>
      <c r="R3040" s="48"/>
      <c r="S3040" s="48"/>
      <c r="T3040" s="48"/>
      <c r="U3040" s="48"/>
      <c r="V3040" s="48"/>
      <c r="W3040" s="48"/>
      <c r="X3040" s="48"/>
      <c r="Y3040" s="48"/>
      <c r="Z3040" s="48"/>
      <c r="BB3040" s="48"/>
    </row>
    <row r="3041" spans="2:54" ht="14.5" hidden="1" x14ac:dyDescent="0.3">
      <c r="B3041" s="578" t="str">
        <f>B788</f>
        <v>Trust level:</v>
      </c>
      <c r="C3041" s="577" t="s">
        <v>3880</v>
      </c>
      <c r="G3041" s="48"/>
      <c r="H3041" s="48"/>
      <c r="I3041" s="48"/>
      <c r="J3041" s="48"/>
      <c r="K3041" s="48"/>
      <c r="L3041" s="48"/>
      <c r="M3041" s="48"/>
      <c r="N3041" s="48"/>
      <c r="O3041" s="48"/>
      <c r="P3041" s="48"/>
      <c r="Q3041" s="48"/>
      <c r="R3041" s="48"/>
      <c r="S3041" s="48"/>
      <c r="T3041" s="48"/>
      <c r="U3041" s="48"/>
      <c r="V3041" s="48"/>
      <c r="W3041" s="48"/>
      <c r="X3041" s="48"/>
      <c r="Y3041" s="48"/>
      <c r="Z3041" s="48"/>
      <c r="BB3041" s="48"/>
    </row>
    <row r="3042" spans="2:54" ht="14.5" hidden="1" x14ac:dyDescent="0.3">
      <c r="C3042" s="577" t="s">
        <v>3881</v>
      </c>
      <c r="G3042" s="48"/>
      <c r="H3042" s="48"/>
      <c r="I3042" s="48"/>
      <c r="J3042" s="48"/>
      <c r="K3042" s="48"/>
      <c r="L3042" s="48"/>
      <c r="M3042" s="48"/>
      <c r="N3042" s="48"/>
      <c r="O3042" s="48"/>
      <c r="P3042" s="48"/>
      <c r="Q3042" s="48"/>
      <c r="R3042" s="48"/>
      <c r="S3042" s="48"/>
      <c r="T3042" s="48"/>
      <c r="U3042" s="48"/>
      <c r="V3042" s="48"/>
      <c r="W3042" s="48"/>
      <c r="X3042" s="48"/>
      <c r="Y3042" s="48"/>
      <c r="Z3042" s="48"/>
      <c r="BB3042" s="48"/>
    </row>
    <row r="3043" spans="2:54" ht="14.5" hidden="1" x14ac:dyDescent="0.3">
      <c r="C3043" s="577" t="s">
        <v>3882</v>
      </c>
      <c r="G3043" s="48"/>
      <c r="H3043" s="48"/>
      <c r="I3043" s="48"/>
      <c r="J3043" s="48"/>
      <c r="K3043" s="48"/>
      <c r="L3043" s="48"/>
      <c r="M3043" s="48"/>
      <c r="N3043" s="48"/>
      <c r="O3043" s="48"/>
      <c r="P3043" s="48"/>
      <c r="Q3043" s="48"/>
      <c r="R3043" s="48"/>
      <c r="S3043" s="48"/>
      <c r="T3043" s="48"/>
      <c r="U3043" s="48"/>
      <c r="V3043" s="48"/>
      <c r="W3043" s="48"/>
      <c r="X3043" s="48"/>
      <c r="Y3043" s="48"/>
      <c r="Z3043" s="48"/>
      <c r="BB3043" s="48"/>
    </row>
    <row r="3044" spans="2:54" ht="14.5" hidden="1" x14ac:dyDescent="0.3">
      <c r="C3044" s="577" t="s">
        <v>3883</v>
      </c>
      <c r="G3044" s="48"/>
      <c r="H3044" s="48"/>
      <c r="I3044" s="48"/>
      <c r="J3044" s="48"/>
      <c r="K3044" s="48"/>
      <c r="L3044" s="48"/>
      <c r="M3044" s="48"/>
      <c r="N3044" s="48"/>
      <c r="O3044" s="48"/>
      <c r="P3044" s="48"/>
      <c r="Q3044" s="48"/>
      <c r="R3044" s="48"/>
      <c r="S3044" s="48"/>
      <c r="T3044" s="48"/>
      <c r="U3044" s="48"/>
      <c r="V3044" s="48"/>
      <c r="W3044" s="48"/>
      <c r="X3044" s="48"/>
      <c r="Y3044" s="48"/>
      <c r="Z3044" s="48"/>
      <c r="BB3044" s="48"/>
    </row>
    <row r="3045" spans="2:54" ht="14.5" hidden="1" x14ac:dyDescent="0.3">
      <c r="B3045" s="52"/>
      <c r="C3045" s="577" t="s">
        <v>3884</v>
      </c>
      <c r="G3045" s="48"/>
      <c r="H3045" s="48"/>
      <c r="I3045" s="48"/>
      <c r="J3045" s="48"/>
      <c r="K3045" s="48"/>
      <c r="L3045" s="48"/>
      <c r="M3045" s="48"/>
      <c r="N3045" s="48"/>
      <c r="O3045" s="48"/>
      <c r="P3045" s="48"/>
      <c r="Q3045" s="48"/>
      <c r="R3045" s="48"/>
      <c r="S3045" s="48"/>
      <c r="T3045" s="48"/>
      <c r="U3045" s="48"/>
      <c r="V3045" s="48"/>
      <c r="W3045" s="48"/>
      <c r="X3045" s="48"/>
      <c r="Y3045" s="48"/>
      <c r="Z3045" s="48"/>
      <c r="BB3045" s="48"/>
    </row>
    <row r="3046" spans="2:54" hidden="1" x14ac:dyDescent="0.3">
      <c r="G3046" s="48"/>
      <c r="H3046" s="48"/>
      <c r="I3046" s="48"/>
      <c r="J3046" s="48"/>
      <c r="K3046" s="48"/>
      <c r="L3046" s="48"/>
      <c r="M3046" s="48"/>
      <c r="N3046" s="48"/>
      <c r="O3046" s="48"/>
      <c r="P3046" s="48"/>
      <c r="Q3046" s="48"/>
      <c r="R3046" s="48"/>
      <c r="S3046" s="48"/>
      <c r="T3046" s="48"/>
      <c r="U3046" s="48"/>
      <c r="V3046" s="48"/>
      <c r="W3046" s="48"/>
      <c r="X3046" s="48"/>
      <c r="Y3046" s="48"/>
      <c r="Z3046" s="48"/>
      <c r="BB3046" s="48"/>
    </row>
    <row r="3047" spans="2:54" ht="14.5" hidden="1" x14ac:dyDescent="0.3">
      <c r="B3047" s="52">
        <v>62</v>
      </c>
      <c r="C3047" s="577" t="s">
        <v>3885</v>
      </c>
      <c r="G3047" s="48"/>
      <c r="H3047" s="48"/>
      <c r="I3047" s="48"/>
      <c r="J3047" s="48"/>
      <c r="K3047" s="48"/>
      <c r="L3047" s="48"/>
      <c r="M3047" s="48"/>
      <c r="N3047" s="48"/>
      <c r="O3047" s="48"/>
      <c r="P3047" s="48"/>
      <c r="Q3047" s="48"/>
      <c r="R3047" s="48"/>
      <c r="S3047" s="48"/>
      <c r="T3047" s="48"/>
      <c r="U3047" s="48"/>
      <c r="V3047" s="48"/>
      <c r="W3047" s="48"/>
      <c r="X3047" s="48"/>
      <c r="Y3047" s="48"/>
      <c r="Z3047" s="48"/>
      <c r="BB3047" s="48"/>
    </row>
    <row r="3048" spans="2:54" ht="14.5" hidden="1" x14ac:dyDescent="0.3">
      <c r="C3048" s="577" t="s">
        <v>3886</v>
      </c>
      <c r="G3048" s="48"/>
      <c r="H3048" s="48"/>
      <c r="I3048" s="48"/>
      <c r="J3048" s="48"/>
      <c r="K3048" s="48"/>
      <c r="L3048" s="48"/>
      <c r="M3048" s="48"/>
      <c r="N3048" s="48"/>
      <c r="O3048" s="48"/>
      <c r="P3048" s="48"/>
      <c r="Q3048" s="48"/>
      <c r="R3048" s="48"/>
      <c r="S3048" s="48"/>
      <c r="T3048" s="48"/>
      <c r="U3048" s="48"/>
      <c r="V3048" s="48"/>
      <c r="W3048" s="48"/>
      <c r="X3048" s="48"/>
      <c r="Y3048" s="48"/>
      <c r="Z3048" s="48"/>
      <c r="BB3048" s="48"/>
    </row>
    <row r="3049" spans="2:54" ht="14.5" hidden="1" x14ac:dyDescent="0.3">
      <c r="C3049" s="577" t="s">
        <v>3887</v>
      </c>
      <c r="G3049" s="48"/>
      <c r="H3049" s="48"/>
      <c r="I3049" s="48"/>
      <c r="J3049" s="48"/>
      <c r="K3049" s="48"/>
      <c r="L3049" s="48"/>
      <c r="M3049" s="48"/>
      <c r="N3049" s="48"/>
      <c r="O3049" s="48"/>
      <c r="P3049" s="48"/>
      <c r="Q3049" s="48"/>
      <c r="R3049" s="48"/>
      <c r="S3049" s="48"/>
      <c r="T3049" s="48"/>
      <c r="U3049" s="48"/>
      <c r="V3049" s="48"/>
      <c r="W3049" s="48"/>
      <c r="X3049" s="48"/>
      <c r="Y3049" s="48"/>
      <c r="Z3049" s="48"/>
      <c r="BB3049" s="48"/>
    </row>
    <row r="3050" spans="2:54" ht="14.5" hidden="1" x14ac:dyDescent="0.3">
      <c r="C3050" s="577" t="s">
        <v>3888</v>
      </c>
      <c r="G3050" s="48"/>
      <c r="H3050" s="48"/>
      <c r="I3050" s="48"/>
      <c r="J3050" s="48"/>
      <c r="K3050" s="48"/>
      <c r="L3050" s="48"/>
      <c r="M3050" s="48"/>
      <c r="N3050" s="48"/>
      <c r="O3050" s="48"/>
      <c r="P3050" s="48"/>
      <c r="Q3050" s="48"/>
      <c r="R3050" s="48"/>
      <c r="S3050" s="48"/>
      <c r="T3050" s="48"/>
      <c r="U3050" s="48"/>
      <c r="V3050" s="48"/>
      <c r="W3050" s="48"/>
      <c r="X3050" s="48"/>
      <c r="Y3050" s="48"/>
      <c r="Z3050" s="48"/>
      <c r="BB3050" s="48"/>
    </row>
    <row r="3051" spans="2:54" ht="14.5" hidden="1" x14ac:dyDescent="0.3">
      <c r="C3051" s="577" t="s">
        <v>3889</v>
      </c>
      <c r="G3051" s="48"/>
      <c r="H3051" s="48"/>
      <c r="I3051" s="48"/>
      <c r="J3051" s="48"/>
      <c r="K3051" s="48"/>
      <c r="L3051" s="48"/>
      <c r="M3051" s="48"/>
      <c r="N3051" s="48"/>
      <c r="O3051" s="48"/>
      <c r="P3051" s="48"/>
      <c r="Q3051" s="48"/>
      <c r="R3051" s="48"/>
      <c r="S3051" s="48"/>
      <c r="T3051" s="48"/>
      <c r="U3051" s="48"/>
      <c r="V3051" s="48"/>
      <c r="W3051" s="48"/>
      <c r="X3051" s="48"/>
      <c r="Y3051" s="48"/>
      <c r="Z3051" s="48"/>
      <c r="BB3051" s="48"/>
    </row>
    <row r="3052" spans="2:54" hidden="1" x14ac:dyDescent="0.3">
      <c r="G3052" s="48"/>
      <c r="H3052" s="48"/>
      <c r="I3052" s="48"/>
      <c r="J3052" s="48"/>
      <c r="K3052" s="48"/>
      <c r="L3052" s="48"/>
      <c r="M3052" s="48"/>
      <c r="N3052" s="48"/>
      <c r="O3052" s="48"/>
      <c r="P3052" s="48"/>
      <c r="Q3052" s="48"/>
      <c r="R3052" s="48"/>
      <c r="S3052" s="48"/>
      <c r="T3052" s="48"/>
      <c r="U3052" s="48"/>
      <c r="V3052" s="48"/>
      <c r="W3052" s="48"/>
      <c r="X3052" s="48"/>
      <c r="Y3052" s="48"/>
      <c r="Z3052" s="48"/>
      <c r="BB3052" s="48"/>
    </row>
    <row r="3053" spans="2:54" ht="14.5" hidden="1" x14ac:dyDescent="0.3">
      <c r="B3053" s="52">
        <f>B3047</f>
        <v>62</v>
      </c>
      <c r="C3053" s="577" t="s">
        <v>3890</v>
      </c>
      <c r="G3053" s="48"/>
      <c r="H3053" s="48"/>
      <c r="I3053" s="48"/>
      <c r="J3053" s="48"/>
      <c r="K3053" s="48"/>
      <c r="L3053" s="48"/>
      <c r="M3053" s="48"/>
      <c r="N3053" s="48"/>
      <c r="O3053" s="48"/>
      <c r="P3053" s="48"/>
      <c r="Q3053" s="48"/>
      <c r="R3053" s="48"/>
      <c r="S3053" s="48"/>
      <c r="T3053" s="48"/>
      <c r="U3053" s="48"/>
      <c r="V3053" s="48"/>
      <c r="W3053" s="48"/>
      <c r="X3053" s="48"/>
      <c r="Y3053" s="48"/>
      <c r="Z3053" s="48"/>
      <c r="BB3053" s="48"/>
    </row>
    <row r="3054" spans="2:54" ht="14.5" hidden="1" x14ac:dyDescent="0.3">
      <c r="C3054" s="577" t="s">
        <v>3891</v>
      </c>
    </row>
    <row r="3055" spans="2:54" ht="14.5" hidden="1" x14ac:dyDescent="0.3">
      <c r="C3055" s="577" t="s">
        <v>3892</v>
      </c>
      <c r="BB3055" s="48"/>
    </row>
    <row r="3056" spans="2:54" ht="14.5" hidden="1" x14ac:dyDescent="0.3">
      <c r="C3056" s="577" t="s">
        <v>3893</v>
      </c>
      <c r="BB3056" s="48"/>
    </row>
    <row r="3057" spans="1:54" ht="14.5" hidden="1" x14ac:dyDescent="0.3">
      <c r="C3057" s="577" t="s">
        <v>3894</v>
      </c>
      <c r="BB3057" s="48"/>
    </row>
    <row r="3058" spans="1:54" hidden="1" x14ac:dyDescent="0.3">
      <c r="D3058" s="578" t="str">
        <f>B808</f>
        <v xml:space="preserve">OTHER: </v>
      </c>
    </row>
    <row r="3059" spans="1:54" ht="14.5" hidden="1" x14ac:dyDescent="0.35">
      <c r="B3059" s="52">
        <f>B3053</f>
        <v>62</v>
      </c>
      <c r="C3059" s="69" t="s">
        <v>959</v>
      </c>
      <c r="D3059" s="48">
        <f>C808</f>
        <v>0</v>
      </c>
    </row>
    <row r="3060" spans="1:54" ht="14.5" hidden="1" x14ac:dyDescent="0.35">
      <c r="C3060" s="69" t="s">
        <v>423</v>
      </c>
    </row>
    <row r="3061" spans="1:54" ht="14.5" hidden="1" x14ac:dyDescent="0.35">
      <c r="C3061" s="69" t="s">
        <v>421</v>
      </c>
    </row>
    <row r="3062" spans="1:54" ht="14.5" hidden="1" x14ac:dyDescent="0.35">
      <c r="C3062" s="69" t="s">
        <v>960</v>
      </c>
    </row>
    <row r="3063" spans="1:54" ht="14.5" hidden="1" x14ac:dyDescent="0.35">
      <c r="C3063" s="69" t="s">
        <v>426</v>
      </c>
    </row>
    <row r="3064" spans="1:54" ht="14.5" hidden="1" x14ac:dyDescent="0.35">
      <c r="C3064" s="69" t="s">
        <v>961</v>
      </c>
    </row>
    <row r="3065" spans="1:54" hidden="1" x14ac:dyDescent="0.3"/>
    <row r="3066" spans="1:54" hidden="1" x14ac:dyDescent="0.3">
      <c r="A3066" s="52">
        <v>63</v>
      </c>
    </row>
    <row r="3067" spans="1:54" hidden="1" x14ac:dyDescent="0.3">
      <c r="A3067" s="579">
        <f>A812</f>
        <v>1</v>
      </c>
      <c r="B3067" s="579" t="str">
        <f>B812</f>
        <v>reason for being denied review in the past</v>
      </c>
      <c r="D3067" s="581" t="s">
        <v>3895</v>
      </c>
    </row>
    <row r="3068" spans="1:54" hidden="1" x14ac:dyDescent="0.3">
      <c r="B3068" s="580" t="s">
        <v>1334</v>
      </c>
    </row>
    <row r="3069" spans="1:54" hidden="1" x14ac:dyDescent="0.3">
      <c r="B3069" s="580" t="s">
        <v>1335</v>
      </c>
    </row>
    <row r="3070" spans="1:54" hidden="1" x14ac:dyDescent="0.3">
      <c r="B3070" s="580" t="s">
        <v>1336</v>
      </c>
    </row>
    <row r="3071" spans="1:54" hidden="1" x14ac:dyDescent="0.3">
      <c r="B3071" s="580" t="s">
        <v>1383</v>
      </c>
    </row>
    <row r="3072" spans="1:54" hidden="1" x14ac:dyDescent="0.3">
      <c r="B3072" s="580" t="s">
        <v>1337</v>
      </c>
    </row>
    <row r="3073" spans="1:4" hidden="1" x14ac:dyDescent="0.3">
      <c r="B3073" s="580" t="s">
        <v>912</v>
      </c>
    </row>
    <row r="3074" spans="1:4" hidden="1" x14ac:dyDescent="0.3">
      <c r="A3074" s="579">
        <f>A813</f>
        <v>2</v>
      </c>
      <c r="B3074" s="579" t="str">
        <f>B813</f>
        <v>revisiting case risks retraumatization</v>
      </c>
      <c r="D3074" s="581" t="s">
        <v>3896</v>
      </c>
    </row>
    <row r="3075" spans="1:4" hidden="1" x14ac:dyDescent="0.3">
      <c r="B3075" s="580" t="s">
        <v>1340</v>
      </c>
    </row>
    <row r="3076" spans="1:4" hidden="1" x14ac:dyDescent="0.3">
      <c r="B3076" s="580" t="s">
        <v>1341</v>
      </c>
    </row>
    <row r="3077" spans="1:4" hidden="1" x14ac:dyDescent="0.3">
      <c r="B3077" s="580" t="s">
        <v>1342</v>
      </c>
    </row>
    <row r="3078" spans="1:4" hidden="1" x14ac:dyDescent="0.3">
      <c r="B3078" s="580" t="s">
        <v>1343</v>
      </c>
    </row>
    <row r="3079" spans="1:4" hidden="1" x14ac:dyDescent="0.3">
      <c r="B3079" s="580" t="s">
        <v>1344</v>
      </c>
    </row>
    <row r="3080" spans="1:4" hidden="1" x14ac:dyDescent="0.3">
      <c r="B3080" s="580" t="s">
        <v>1345</v>
      </c>
    </row>
    <row r="3081" spans="1:4" hidden="1" x14ac:dyDescent="0.3">
      <c r="A3081" s="579">
        <f>A814</f>
        <v>3</v>
      </c>
      <c r="B3081" s="579" t="str">
        <f>B814</f>
        <v>depression level from legal-jud. process as only option</v>
      </c>
      <c r="D3081" s="581" t="s">
        <v>3897</v>
      </c>
    </row>
    <row r="3082" spans="1:4" hidden="1" x14ac:dyDescent="0.3">
      <c r="B3082" s="580" t="s">
        <v>1347</v>
      </c>
    </row>
    <row r="3083" spans="1:4" hidden="1" x14ac:dyDescent="0.3">
      <c r="B3083" s="580" t="s">
        <v>1348</v>
      </c>
    </row>
    <row r="3084" spans="1:4" hidden="1" x14ac:dyDescent="0.3">
      <c r="B3084" s="580" t="s">
        <v>1349</v>
      </c>
    </row>
    <row r="3085" spans="1:4" hidden="1" x14ac:dyDescent="0.3">
      <c r="B3085" s="580" t="s">
        <v>1350</v>
      </c>
    </row>
    <row r="3086" spans="1:4" hidden="1" x14ac:dyDescent="0.3">
      <c r="B3086" s="580" t="s">
        <v>1351</v>
      </c>
    </row>
    <row r="3087" spans="1:4" hidden="1" x14ac:dyDescent="0.3">
      <c r="A3087" s="579">
        <f>A815</f>
        <v>4</v>
      </c>
      <c r="B3087" s="579" t="str">
        <f>B815</f>
        <v>anxiety from relying on same process creating error</v>
      </c>
      <c r="D3087" s="581" t="s">
        <v>3898</v>
      </c>
    </row>
    <row r="3088" spans="1:4" hidden="1" x14ac:dyDescent="0.3">
      <c r="B3088" s="580" t="s">
        <v>1353</v>
      </c>
    </row>
    <row r="3089" spans="1:4" hidden="1" x14ac:dyDescent="0.3">
      <c r="B3089" s="580" t="s">
        <v>1354</v>
      </c>
    </row>
    <row r="3090" spans="1:4" hidden="1" x14ac:dyDescent="0.3">
      <c r="B3090" s="580" t="s">
        <v>1355</v>
      </c>
    </row>
    <row r="3091" spans="1:4" hidden="1" x14ac:dyDescent="0.3">
      <c r="B3091" s="580" t="s">
        <v>1356</v>
      </c>
    </row>
    <row r="3092" spans="1:4" hidden="1" x14ac:dyDescent="0.3">
      <c r="B3092" s="580" t="s">
        <v>1357</v>
      </c>
    </row>
    <row r="3093" spans="1:4" hidden="1" x14ac:dyDescent="0.3">
      <c r="A3093" s="579">
        <f>A816</f>
        <v>5</v>
      </c>
      <c r="B3093" s="579" t="str">
        <f>B816</f>
        <v>anxiety from slowness of legal-judicial process</v>
      </c>
      <c r="D3093" s="581" t="s">
        <v>3899</v>
      </c>
    </row>
    <row r="3094" spans="1:4" hidden="1" x14ac:dyDescent="0.3">
      <c r="B3094" s="580" t="s">
        <v>1359</v>
      </c>
    </row>
    <row r="3095" spans="1:4" hidden="1" x14ac:dyDescent="0.3">
      <c r="B3095" s="580" t="s">
        <v>1360</v>
      </c>
    </row>
    <row r="3096" spans="1:4" hidden="1" x14ac:dyDescent="0.3">
      <c r="B3096" s="580" t="s">
        <v>1361</v>
      </c>
    </row>
    <row r="3097" spans="1:4" hidden="1" x14ac:dyDescent="0.3">
      <c r="B3097" s="580" t="s">
        <v>1362</v>
      </c>
    </row>
    <row r="3098" spans="1:4" hidden="1" x14ac:dyDescent="0.3">
      <c r="B3098" s="580" t="s">
        <v>1363</v>
      </c>
    </row>
    <row r="3099" spans="1:4" hidden="1" x14ac:dyDescent="0.3">
      <c r="A3099" s="579">
        <f>A817</f>
        <v>6</v>
      </c>
      <c r="B3099" s="579" t="str">
        <f>B817</f>
        <v>anxiety from prosecutor's power to reinforce error</v>
      </c>
      <c r="D3099" s="581" t="s">
        <v>3900</v>
      </c>
    </row>
    <row r="3100" spans="1:4" hidden="1" x14ac:dyDescent="0.3">
      <c r="B3100" s="580" t="s">
        <v>1365</v>
      </c>
    </row>
    <row r="3101" spans="1:4" hidden="1" x14ac:dyDescent="0.3">
      <c r="B3101" s="580" t="s">
        <v>1366</v>
      </c>
    </row>
    <row r="3102" spans="1:4" hidden="1" x14ac:dyDescent="0.3">
      <c r="B3102" s="580" t="s">
        <v>3755</v>
      </c>
    </row>
    <row r="3103" spans="1:4" hidden="1" x14ac:dyDescent="0.3">
      <c r="B3103" s="580" t="s">
        <v>1367</v>
      </c>
    </row>
    <row r="3104" spans="1:4" hidden="1" x14ac:dyDescent="0.3">
      <c r="B3104" s="580" t="s">
        <v>1368</v>
      </c>
    </row>
    <row r="3105" spans="1:6" hidden="1" x14ac:dyDescent="0.3">
      <c r="A3105" s="579">
        <f>A818</f>
        <v>7</v>
      </c>
      <c r="B3105" s="579" t="str">
        <f>B818</f>
        <v>anxiety from having little to no control over process</v>
      </c>
      <c r="D3105" s="581" t="s">
        <v>3901</v>
      </c>
    </row>
    <row r="3106" spans="1:6" hidden="1" x14ac:dyDescent="0.3">
      <c r="B3106" s="580" t="s">
        <v>1370</v>
      </c>
    </row>
    <row r="3107" spans="1:6" hidden="1" x14ac:dyDescent="0.3">
      <c r="B3107" s="580" t="s">
        <v>1371</v>
      </c>
    </row>
    <row r="3108" spans="1:6" hidden="1" x14ac:dyDescent="0.3">
      <c r="B3108" s="580" t="s">
        <v>1372</v>
      </c>
    </row>
    <row r="3109" spans="1:6" hidden="1" x14ac:dyDescent="0.3">
      <c r="B3109" s="580" t="s">
        <v>1373</v>
      </c>
    </row>
    <row r="3110" spans="1:6" hidden="1" x14ac:dyDescent="0.3">
      <c r="B3110" s="580" t="s">
        <v>1374</v>
      </c>
    </row>
    <row r="3111" spans="1:6" hidden="1" x14ac:dyDescent="0.3">
      <c r="A3111" s="579">
        <f>A819</f>
        <v>8</v>
      </c>
      <c r="B3111" s="579" t="str">
        <f>B819</f>
        <v>disillusionment with legal-judicial process</v>
      </c>
      <c r="D3111" s="581" t="s">
        <v>3902</v>
      </c>
    </row>
    <row r="3112" spans="1:6" hidden="1" x14ac:dyDescent="0.3">
      <c r="B3112" s="580" t="s">
        <v>1376</v>
      </c>
    </row>
    <row r="3113" spans="1:6" hidden="1" x14ac:dyDescent="0.3">
      <c r="B3113" s="580" t="s">
        <v>1377</v>
      </c>
    </row>
    <row r="3114" spans="1:6" hidden="1" x14ac:dyDescent="0.3">
      <c r="B3114" s="580" t="s">
        <v>1397</v>
      </c>
    </row>
    <row r="3115" spans="1:6" hidden="1" x14ac:dyDescent="0.3">
      <c r="B3115" s="580" t="s">
        <v>1378</v>
      </c>
    </row>
    <row r="3116" spans="1:6" hidden="1" x14ac:dyDescent="0.3">
      <c r="B3116" s="580" t="s">
        <v>1379</v>
      </c>
    </row>
    <row r="3117" spans="1:6" hidden="1" x14ac:dyDescent="0.3"/>
    <row r="3118" spans="1:6" hidden="1" x14ac:dyDescent="0.3"/>
    <row r="3119" spans="1:6" hidden="1" x14ac:dyDescent="0.3"/>
    <row r="3120" spans="1:6" ht="17.5" hidden="1" x14ac:dyDescent="0.35">
      <c r="A3120" s="567" t="str">
        <f>A826</f>
        <v>E.</v>
      </c>
      <c r="B3120" s="567" t="str">
        <f>B826</f>
        <v>Collateral consequences of wrongful conviction</v>
      </c>
      <c r="C3120" s="567"/>
      <c r="D3120" s="567"/>
      <c r="E3120" s="567"/>
      <c r="F3120" s="567"/>
    </row>
    <row r="3121" spans="1:6" hidden="1" x14ac:dyDescent="0.3"/>
    <row r="3122" spans="1:6" hidden="1" x14ac:dyDescent="0.3"/>
    <row r="3123" spans="1:6" ht="15.5" hidden="1" x14ac:dyDescent="0.35">
      <c r="A3123" s="570">
        <f>A831</f>
        <v>64</v>
      </c>
      <c r="B3123" s="570" t="str">
        <f>B831</f>
        <v>Collateral consequences impacting claimant</v>
      </c>
      <c r="C3123" s="570"/>
      <c r="D3123" s="570"/>
      <c r="E3123" s="570"/>
      <c r="F3123" s="570"/>
    </row>
    <row r="3124" spans="1:6" ht="14.5" hidden="1" x14ac:dyDescent="0.35">
      <c r="B3124" s="586" t="s">
        <v>436</v>
      </c>
    </row>
    <row r="3125" spans="1:6" ht="14.5" hidden="1" x14ac:dyDescent="0.35">
      <c r="B3125" s="586" t="s">
        <v>439</v>
      </c>
    </row>
    <row r="3126" spans="1:6" ht="14.5" hidden="1" x14ac:dyDescent="0.35">
      <c r="B3126" s="586" t="s">
        <v>441</v>
      </c>
    </row>
    <row r="3127" spans="1:6" ht="14.5" hidden="1" x14ac:dyDescent="0.35">
      <c r="B3127" s="586" t="s">
        <v>443</v>
      </c>
    </row>
    <row r="3128" spans="1:6" ht="14.5" hidden="1" x14ac:dyDescent="0.35">
      <c r="B3128" s="586" t="s">
        <v>447</v>
      </c>
    </row>
    <row r="3129" spans="1:6" ht="14.5" hidden="1" x14ac:dyDescent="0.35">
      <c r="B3129" s="586" t="s">
        <v>448</v>
      </c>
    </row>
    <row r="3130" spans="1:6" ht="14.5" hidden="1" x14ac:dyDescent="0.35">
      <c r="B3130" s="586" t="s">
        <v>449</v>
      </c>
    </row>
    <row r="3131" spans="1:6" ht="14.5" hidden="1" x14ac:dyDescent="0.35">
      <c r="B3131" s="586" t="s">
        <v>980</v>
      </c>
    </row>
    <row r="3132" spans="1:6" ht="14.5" hidden="1" x14ac:dyDescent="0.35">
      <c r="B3132" s="586" t="s">
        <v>450</v>
      </c>
    </row>
    <row r="3133" spans="1:6" ht="14.5" hidden="1" x14ac:dyDescent="0.35">
      <c r="B3133" s="586" t="s">
        <v>451</v>
      </c>
    </row>
    <row r="3134" spans="1:6" ht="14.5" hidden="1" x14ac:dyDescent="0.35">
      <c r="B3134" s="586" t="s">
        <v>453</v>
      </c>
    </row>
    <row r="3135" spans="1:6" ht="14.5" hidden="1" x14ac:dyDescent="0.35">
      <c r="B3135" s="586" t="s">
        <v>454</v>
      </c>
    </row>
    <row r="3136" spans="1:6" ht="14.5" hidden="1" x14ac:dyDescent="0.35">
      <c r="B3136" s="586" t="s">
        <v>3621</v>
      </c>
    </row>
    <row r="3137" spans="1:54" ht="14.5" hidden="1" x14ac:dyDescent="0.35">
      <c r="B3137" s="586" t="s">
        <v>457</v>
      </c>
    </row>
    <row r="3138" spans="1:54" ht="14.5" hidden="1" x14ac:dyDescent="0.35">
      <c r="B3138" s="586" t="s">
        <v>459</v>
      </c>
    </row>
    <row r="3139" spans="1:54" ht="14.5" hidden="1" x14ac:dyDescent="0.35">
      <c r="B3139" s="586" t="s">
        <v>461</v>
      </c>
    </row>
    <row r="3140" spans="1:54" ht="14.5" hidden="1" x14ac:dyDescent="0.35">
      <c r="B3140" s="586" t="s">
        <v>463</v>
      </c>
    </row>
    <row r="3141" spans="1:54" ht="14.5" hidden="1" x14ac:dyDescent="0.35">
      <c r="B3141" s="586" t="s">
        <v>464</v>
      </c>
    </row>
    <row r="3142" spans="1:54" ht="14.5" hidden="1" x14ac:dyDescent="0.35">
      <c r="B3142" s="586" t="s">
        <v>465</v>
      </c>
    </row>
    <row r="3143" spans="1:54" hidden="1" x14ac:dyDescent="0.3"/>
    <row r="3144" spans="1:54" hidden="1" x14ac:dyDescent="0.3">
      <c r="A3144" s="52">
        <v>64</v>
      </c>
      <c r="B3144" s="579" t="s">
        <v>3903</v>
      </c>
    </row>
    <row r="3145" spans="1:54" ht="14.5" hidden="1" x14ac:dyDescent="0.35">
      <c r="B3145" s="582" t="s">
        <v>460</v>
      </c>
      <c r="BB3145" s="48"/>
    </row>
    <row r="3146" spans="1:54" ht="14.5" hidden="1" x14ac:dyDescent="0.35">
      <c r="B3146" s="582" t="s">
        <v>452</v>
      </c>
      <c r="BB3146" s="48"/>
    </row>
    <row r="3147" spans="1:54" ht="14.5" hidden="1" x14ac:dyDescent="0.35">
      <c r="B3147" s="582" t="s">
        <v>435</v>
      </c>
      <c r="BB3147" s="48"/>
    </row>
    <row r="3148" spans="1:54" hidden="1" x14ac:dyDescent="0.3">
      <c r="A3148" s="52">
        <f>A3144</f>
        <v>64</v>
      </c>
      <c r="B3148" s="579" t="s">
        <v>3904</v>
      </c>
    </row>
    <row r="3149" spans="1:54" ht="14.5" hidden="1" x14ac:dyDescent="0.35">
      <c r="B3149" s="582" t="s">
        <v>455</v>
      </c>
      <c r="BB3149" s="48"/>
    </row>
    <row r="3150" spans="1:54" ht="14.5" hidden="1" x14ac:dyDescent="0.35">
      <c r="B3150" s="582" t="s">
        <v>444</v>
      </c>
      <c r="BB3150" s="48"/>
    </row>
    <row r="3151" spans="1:54" ht="14.5" hidden="1" x14ac:dyDescent="0.35">
      <c r="B3151" s="582" t="s">
        <v>437</v>
      </c>
      <c r="BB3151" s="48"/>
    </row>
    <row r="3152" spans="1:54" hidden="1" x14ac:dyDescent="0.3"/>
    <row r="3153" spans="1:2" ht="14.5" hidden="1" x14ac:dyDescent="0.35">
      <c r="A3153" s="52">
        <v>65</v>
      </c>
      <c r="B3153" s="393" t="s">
        <v>3905</v>
      </c>
    </row>
    <row r="3154" spans="1:2" ht="14.5" hidden="1" x14ac:dyDescent="0.35">
      <c r="B3154" s="582" t="s">
        <v>460</v>
      </c>
    </row>
    <row r="3155" spans="1:2" ht="14.5" hidden="1" x14ac:dyDescent="0.35">
      <c r="B3155" s="582" t="s">
        <v>452</v>
      </c>
    </row>
    <row r="3156" spans="1:2" ht="14.5" hidden="1" x14ac:dyDescent="0.35">
      <c r="B3156" s="582" t="s">
        <v>474</v>
      </c>
    </row>
    <row r="3157" spans="1:2" ht="14.5" hidden="1" x14ac:dyDescent="0.35">
      <c r="B3157" s="582" t="s">
        <v>435</v>
      </c>
    </row>
    <row r="3158" spans="1:2" ht="14.5" hidden="1" x14ac:dyDescent="0.35">
      <c r="A3158" s="52">
        <f>A3153</f>
        <v>65</v>
      </c>
      <c r="B3158" s="393" t="s">
        <v>3906</v>
      </c>
    </row>
    <row r="3159" spans="1:2" ht="14.5" hidden="1" x14ac:dyDescent="0.35">
      <c r="B3159" s="582" t="s">
        <v>490</v>
      </c>
    </row>
    <row r="3160" spans="1:2" ht="14.5" hidden="1" x14ac:dyDescent="0.35">
      <c r="B3160" s="582" t="s">
        <v>981</v>
      </c>
    </row>
    <row r="3161" spans="1:2" ht="14.5" hidden="1" x14ac:dyDescent="0.35">
      <c r="B3161" s="582" t="s">
        <v>476</v>
      </c>
    </row>
    <row r="3162" spans="1:2" ht="14.5" hidden="1" x14ac:dyDescent="0.35">
      <c r="B3162" s="582" t="s">
        <v>478</v>
      </c>
    </row>
    <row r="3163" spans="1:2" ht="14.5" hidden="1" x14ac:dyDescent="0.35">
      <c r="B3163" s="582" t="s">
        <v>982</v>
      </c>
    </row>
    <row r="3164" spans="1:2" ht="14.5" hidden="1" x14ac:dyDescent="0.35">
      <c r="B3164" s="582" t="s">
        <v>481</v>
      </c>
    </row>
    <row r="3165" spans="1:2" ht="14.5" hidden="1" x14ac:dyDescent="0.35">
      <c r="B3165" s="582" t="s">
        <v>3619</v>
      </c>
    </row>
    <row r="3166" spans="1:2" ht="14.5" hidden="1" x14ac:dyDescent="0.35">
      <c r="B3166" s="582" t="s">
        <v>3620</v>
      </c>
    </row>
    <row r="3167" spans="1:2" hidden="1" x14ac:dyDescent="0.3"/>
    <row r="3168" spans="1:2" ht="14.5" hidden="1" x14ac:dyDescent="0.35">
      <c r="A3168" s="52">
        <f>A877</f>
        <v>66</v>
      </c>
      <c r="B3168" s="393" t="str">
        <f>B877</f>
        <v>Current neglected needs due to these collateral consequences</v>
      </c>
    </row>
    <row r="3169" spans="2:3" ht="14.5" hidden="1" x14ac:dyDescent="0.35">
      <c r="B3169" s="583" t="s">
        <v>953</v>
      </c>
      <c r="C3169" s="584"/>
    </row>
    <row r="3170" spans="2:3" ht="14.5" hidden="1" x14ac:dyDescent="0.35">
      <c r="B3170" s="582" t="s">
        <v>507</v>
      </c>
    </row>
    <row r="3171" spans="2:3" ht="14.5" hidden="1" x14ac:dyDescent="0.35">
      <c r="B3171" s="582" t="s">
        <v>505</v>
      </c>
    </row>
    <row r="3172" spans="2:3" ht="14.5" hidden="1" x14ac:dyDescent="0.35">
      <c r="B3172" s="582" t="s">
        <v>506</v>
      </c>
    </row>
    <row r="3173" spans="2:3" ht="14.5" hidden="1" x14ac:dyDescent="0.35">
      <c r="B3173" s="582" t="s">
        <v>503</v>
      </c>
    </row>
    <row r="3174" spans="2:3" ht="14.5" hidden="1" x14ac:dyDescent="0.35">
      <c r="B3174" s="582" t="s">
        <v>954</v>
      </c>
    </row>
    <row r="3175" spans="2:3" ht="14.5" hidden="1" x14ac:dyDescent="0.35">
      <c r="B3175" s="585" t="str">
        <f>B887</f>
        <v>6) OTHER:</v>
      </c>
      <c r="C3175" s="48">
        <f>C887</f>
        <v>0</v>
      </c>
    </row>
    <row r="3176" spans="2:3" ht="14.5" hidden="1" x14ac:dyDescent="0.35">
      <c r="B3176" s="583" t="s">
        <v>955</v>
      </c>
      <c r="C3176" s="584"/>
    </row>
    <row r="3177" spans="2:3" ht="14.5" hidden="1" x14ac:dyDescent="0.35">
      <c r="B3177" s="582" t="s">
        <v>516</v>
      </c>
    </row>
    <row r="3178" spans="2:3" ht="14.5" hidden="1" x14ac:dyDescent="0.35">
      <c r="B3178" s="582" t="s">
        <v>956</v>
      </c>
    </row>
    <row r="3179" spans="2:3" ht="14.5" hidden="1" x14ac:dyDescent="0.35">
      <c r="B3179" s="582" t="s">
        <v>957</v>
      </c>
    </row>
    <row r="3180" spans="2:3" ht="14.5" hidden="1" x14ac:dyDescent="0.35">
      <c r="B3180" s="582" t="s">
        <v>512</v>
      </c>
    </row>
    <row r="3181" spans="2:3" ht="14.5" hidden="1" x14ac:dyDescent="0.35">
      <c r="B3181" s="582" t="s">
        <v>514</v>
      </c>
    </row>
    <row r="3182" spans="2:3" ht="14.5" hidden="1" x14ac:dyDescent="0.35">
      <c r="B3182" s="582" t="s">
        <v>958</v>
      </c>
    </row>
    <row r="3183" spans="2:3" ht="14.5" hidden="1" x14ac:dyDescent="0.35">
      <c r="B3183" s="582" t="s">
        <v>515</v>
      </c>
    </row>
    <row r="3184" spans="2:3" ht="14.5" hidden="1" x14ac:dyDescent="0.35">
      <c r="B3184" s="585" t="str">
        <f>B897</f>
        <v>12) OTHER:</v>
      </c>
      <c r="C3184" s="48">
        <f>C897</f>
        <v>0</v>
      </c>
    </row>
    <row r="3185" spans="1:31" hidden="1" x14ac:dyDescent="0.3"/>
    <row r="3186" spans="1:31" hidden="1" x14ac:dyDescent="0.3"/>
    <row r="3187" spans="1:31" hidden="1" x14ac:dyDescent="0.3"/>
    <row r="3188" spans="1:31" ht="17.5" hidden="1" x14ac:dyDescent="0.35">
      <c r="A3188" s="567" t="str">
        <f>A903</f>
        <v>F.</v>
      </c>
      <c r="B3188" s="567" t="str">
        <f>B903</f>
        <v>Claimant narrative</v>
      </c>
      <c r="C3188" s="567"/>
      <c r="D3188" s="567"/>
      <c r="E3188" s="567"/>
      <c r="F3188" s="567"/>
    </row>
    <row r="3189" spans="1:31" hidden="1" x14ac:dyDescent="0.3"/>
    <row r="3190" spans="1:31" hidden="1" x14ac:dyDescent="0.3">
      <c r="B3190" s="581" t="s">
        <v>3907</v>
      </c>
    </row>
    <row r="3191" spans="1:31" hidden="1" x14ac:dyDescent="0.3">
      <c r="B3191" s="581"/>
    </row>
    <row r="3192" spans="1:31" hidden="1" x14ac:dyDescent="0.3"/>
    <row r="3193" spans="1:31" hidden="1" x14ac:dyDescent="0.3"/>
    <row r="3194" spans="1:31" ht="17.5" hidden="1" x14ac:dyDescent="0.35">
      <c r="A3194" s="567" t="str">
        <f>A1126</f>
        <v>G.</v>
      </c>
      <c r="B3194" s="567" t="str">
        <f>B1126</f>
        <v>Compensation</v>
      </c>
      <c r="C3194" s="567"/>
      <c r="D3194" s="567"/>
      <c r="E3194" s="567"/>
      <c r="F3194" s="567"/>
    </row>
    <row r="3195" spans="1:31" hidden="1" x14ac:dyDescent="0.3"/>
    <row r="3196" spans="1:31" hidden="1" x14ac:dyDescent="0.3"/>
    <row r="3197" spans="1:31" ht="15" hidden="1" x14ac:dyDescent="0.35">
      <c r="B3197" s="409" t="str">
        <f>B1131</f>
        <v>Statute</v>
      </c>
      <c r="D3197" s="446" t="str">
        <f>IF($D$1129=B3278,AB3278,IF($D$1129=B3279,AB3279,IF($D$1129=B3280,AB3280,IF($D$1129=B3281,AB3281,IF($D$1129=B3282,AB3282,IF($D$1129=B3283,AB3283,IF($D$1129=B3284,AB3284,IF($D$1129=B3285,AB3285,IF($D$1129=B3286,AB3286,IF($D$1129=B3287,AB3287,IF($D$1129=B3288,AB3288,IF($D$1129=B3289,AB3289,IF($D$1129=B3290,AB3290,IF($D$1129=B3291,AB3291,IF($D$1129=B3292,AB3292,IF($D$1129=B3293,AB3293,IF($D$1129=B3294,AB3294,IF($D$1129=B3295,AB3295,IF($D$1129=B3296,AB3296,IF($D$1129=B3297,AB3297,IF($D$1129=B3298,AB3298,IF($D$1129=B3299,AB3299,IF($D$1129=B3300,AB3300,IF($D$1129=B3301,AB3301,IF($D$1129=B3302,AB3302,IF($D$1129=B3303,AB3303,IF($D$1129=B3304,AB3304,IF($D$1129=B3305,AB3305,IF($D$1129=B3306,AB3306,IF($D$1129=B3307,AB3307,IF($D$1129=B3308,AB3308,IF($D$1129=B3309,AB3309,IF($D$1129=B3310,AB3310,IF($D$1129=B3311,AB3311,IF($D$1129=B3312,AB3312,IF($D$1129=B3313,AB3313,IF($D$1129=B3314,AB3314,IF($D$1129=B3315,AB3315,IF($D$1129=B3316,AB3316,IF($D$1129=B3317,AB3317,IF($D$1129=B3318,AB3318,IF($D$1129=B3319,AB3319,IF($D$1129=B3320,AB3320,IF($D$1129=B3321,AB3321,IF($D$1129=B3322,AB3322,IF($D$1129=B3323,AB3323,IF($D$1129=B3324,AB3324,IF($D$1129=B3325,AB3325,IF($D$1129=B3326,AB3326,IF($D$1129=B3327,AB3327,IF($D$1129=B3328,AB3328,IF($D$1129=B3329,AB3329,AB3276))))))))))))))))))))))))))))))))))))))))))))))))))))</f>
        <v>none yet</v>
      </c>
      <c r="AE3197" s="48" t="str">
        <f ca="1">CONCATENATE(AE$3205,AM$3205,AN$3205,B$3217,AE$3207)</f>
        <v>Since your conviction occurred 125 years ago, California prevents employers and others from running a criminal background check that far back.</v>
      </c>
    </row>
    <row r="3198" spans="1:31" hidden="1" x14ac:dyDescent="0.3">
      <c r="B3198" s="366" t="str">
        <f>B1133</f>
        <v>Eligibility</v>
      </c>
      <c r="D3198" s="447" t="str">
        <f>IF($D$1129=B3278,AO3278,IF($D$1129=B3279,AO3279,IF($D$1129=B3280,AO3280,IF($D$1129=B3281,AO3281,IF($D$1129=B3282,AO3282,IF($D$1129=B3283,AO3283,IF($D$1129=B3284,AO3284,IF($D$1129=B3285,AO3285,IF($D$1129=B3286,AO3286,IF($D$1129=B3287,AO3287,IF($D$1129=B3288,AO3288,IF($D$1129=B3289,AO3289,IF($D$1129=B3290,AO3290,IF($D$1129=B3291,AO3291,IF($D$1129=B3292,AO3292,IF($D$1129=B3293,AO3293,IF($D$1129=B3294,AO3294,IF($D$1129=B3295,AO3295,IF($D$1129=B3296,AO3296,IF($D$1129=B3297,AO3297,IF($D$1129=B3298,AO3298,IF($D$1129=B3299,AO3299,IF($D$1129=B3300,AO3300,IF($D$1129=B3301,AO3301,IF($D$1129=B3302,AO3302,IF($D$1129=B3303,AO3303,IF($D$1129=B3304,AO3304,IF($D$1129=B3305,AO3305,IF($D$1129=B3306,AO3306,IF($D$1129=B3307,AO3307,IF($D$1129=B3308,AO3308,IF($D$1129=B3309,AO3309,IF($D$1129=B3310,AO3310,IF($D$1129=B3311,AO3311,IF($D$1129=B3312,AO3312,IF($D$1129=B3313,AO3313,IF($D$1129=B3314,AO3314,IF($D$1129=B3315,AO3315,IF($D$1129=B3316,AO3316,IF($D$1129=B3317,AO3317,IF($D$1129=B3318,AO3318,IF($D$1129=B3319,AO3319,IF($D$1129=B3320,AO3320,IF($D$1129=B3321,AO3321,IF($D$1129=B3322,AO3322,IF($D$1129=B3323,AO3323,IF($D$1129=B3324,AO3324,IF($D$1129=B3325,AO3325,IF($D$1129=B3326,AO3326,IF($D$1129=B3327,AO3327,IF($D$1129=B3328,AO3328,IF($D$1129=B3329,AO3329,AO3276))))))))))))))))))))))))))))))))))))))))))))))))))))</f>
        <v>no statute</v>
      </c>
      <c r="AE3198" s="48" t="str">
        <f ca="1">CONCATENATE(AE$3205,AM$3205,AN$3205,B$3239,AE$3207)</f>
        <v>Since your conviction occurred 125 years ago, Montana prevents employers and others from running a criminal background check that far back.</v>
      </c>
    </row>
    <row r="3199" spans="1:31" hidden="1" x14ac:dyDescent="0.3">
      <c r="B3199" s="366" t="str">
        <f>B1141</f>
        <v xml:space="preserve">Standard </v>
      </c>
      <c r="D3199" s="447" t="str">
        <f>IF($D$1129=B3278,AS3278,IF($D$1129=B3279,AS3279,IF($D$1129=B3280,AS3280,IF($D$1129=B3281,AS3281,IF($D$1129=B3282,AS3282,IF($D$1129=B3283,AS3283,IF($D$1129=B3284,AS3284,IF($D$1129=B3285,AS3285,IF($D$1129=B3286,AS3286,IF($D$1129=B3287,AS3287,IF($D$1129=B3288,AS3288,IF($D$1129=B3289,AS3289,IF($D$1129=B3290,AS3290,IF($D$1129=B3291,AS3291,IF($D$1129=B3292,AS3292,IF($D$1129=B3293,AS3293,IF($D$1129=B3294,AS3294,IF($D$1129=B3295,AS3295,IF($D$1129=B3296,AS3296,IF($D$1129=B3297,AS3297,IF($D$1129=B3298,AS3298,IF($D$1129=B3299,AS3299,IF($D$1129=B3300,AS3300,IF($D$1129=B3301,AS3301,IF($D$1129=B3302,AS3302,IF($D$1129=B3303,AS3303,IF($D$1129=B3304,AS3304,IF($D$1129=B3305,AS3305,IF($D$1129=B3306,AS3306,IF($D$1129=B3307,AS3307,IF($D$1129=B3308,AS3308,IF($D$1129=B3309,AS3309,IF($D$1129=B3310,AS3310,IF($D$1129=B3311,AS3311,IF($D$1129=B3312,AS3312,IF($D$1129=B3313,AS3313,IF($D$1129=B3314,AS3314,IF($D$1129=B3315,AS3315,IF($D$1129=B3316,AS3316,IF($D$1129=B3317,AS3317,IF($D$1129=B3318,AS3318,IF($D$1129=B3319,AS3319,IF($D$1129=B3320,AS3320,IF($D$1129=B3321,AS3321,IF($D$1129=B3322,AS3322,IF($D$1129=B3323,AS3323,IF($D$1129=B3324,AS3324,IF($D$1129=B3325,AS3325,IF($D$1129=B3326,AS3326,IF($D$1129=B3327,AS3327,IF($D$1129=B3328,AS3328,IF($D$1129=B3329,AS3329,AS3276))))))))))))))))))))))))))))))))))))))))))))))))))))</f>
        <v>no statute</v>
      </c>
    </row>
    <row r="3200" spans="1:31" hidden="1" x14ac:dyDescent="0.3">
      <c r="B3200" s="366" t="str">
        <f>B1145</f>
        <v xml:space="preserve">Determined </v>
      </c>
      <c r="D3200" s="446" t="str">
        <f>IF($D$1129=B3278,AD3278,IF($D$1129=B3279,AD3279,IF($D$1129=B3280,AD3280,IF($D$1129=B3281,AD3281,IF($D$1129=B3282,AD3282,IF($D$1129=B3283,AD3283,IF($D$1129=B3284,AD3284,IF($D$1129=B3285,AD3285,IF($D$1129=B3286,AD3286,IF($D$1129=B3287,AD3287,IF($D$1129=B3288,AD3288,IF($D$1129=B3289,AD3289,IF($D$1129=B3290,AD3290,IF($D$1129=B3291,AD3291,IF($D$1129=B3292,AD3292,IF($D$1129=B3293,AD3293,IF($D$1129=B3294,AD3294,IF($D$1129=B3295,AD3295,IF($D$1129=B3296,AD3296,IF($D$1129=B3297,AD3297,IF($D$1129=B3298,AD3298,IF($D$1129=B3299,AD3299,IF($D$1129=B3300,AD3300,IF($D$1129=B3301,AD3301,IF($D$1129=B3302,AD3302,IF($D$1129=B3303,AD3303,IF($D$1129=B3304,AD3304,IF($D$1129=B3305,AD3305,IF($D$1129=B3306,AD3306,IF($D$1129=B3307,AD3307,IF($D$1129=B3308,AD3308,IF($D$1129=B3309,AD3309,IF($D$1129=B3310,AD3310,IF($D$1129=B3311,AD3311,IF($D$1129=B3312,AD3312,IF($D$1129=B3313,AD3313,IF($D$1129=B3314,AD3314,IF($D$1129=B3315,AD3315,IF($D$1129=B3316,AD3316,IF($D$1129=B3317,AD3317,IF($D$1129=B3318,AD3318,IF($D$1129=B3319,AD3319,IF($D$1129=B3320,AD3320,IF($D$1129=B3321,AD3321,IF($D$1129=B3322,AD3322,IF($D$1129=B3323,AD3323,IF($D$1129=B3324,AD3324,IF($D$1129=B3325,AD3325,IF($D$1129=B3326,AD3326,IF($D$1129=B3327,AD3327,IF($D$1129=B3328,AD3328,IF($D$1129=B3329,AD3329,AD3276))))))))))))))))))))))))))))))))))))))))))))))))))))</f>
        <v>N/A</v>
      </c>
    </row>
    <row r="3201" spans="1:184" hidden="1" x14ac:dyDescent="0.3">
      <c r="B3201" s="366" t="str">
        <f>B1148</f>
        <v>Timely filing</v>
      </c>
      <c r="D3201" s="446" t="str">
        <f>IF($D$1129=B3278,AI3278,IF($D$1129=B3279,AI3279,IF($D$1129=B3280,AI3280,IF($D$1129=B3281,AI3281,IF($D$1129=B3282,AI3282,IF($D$1129=B3283,AI3283,IF($D$1129=B3284,AI3284,IF($D$1129=B3285,AI3285,IF($D$1129=B3286,AI3286,IF($D$1129=B3287,AI3287,IF($D$1129=B3288,AI3288,IF($D$1129=B3289,AI3289,IF($D$1129=B3290,AI3290,IF($D$1129=B3291,AI3291,IF($D$1129=B3292,AI3292,IF($D$1129=B3293,AI3293,IF($D$1129=B3294,AI3294,IF($D$1129=B3295,AI3295,IF($D$1129=B3296,AI3296,IF($D$1129=B3297,AI3297,IF($D$1129=B3298,AI3298,IF($D$1129=B3299,AI3299,IF($D$1129=B3300,AI3300,IF($D$1129=B3301,AI3301,IF($D$1129=B3302,AI3302,IF($D$1129=B3303,AI3303,IF($D$1129=B3304,AI3304,IF($D$1129=B3305,AI3305,IF($D$1129=B3306,AI3306,IF($D$1129=B3307,AI3307,IF($D$1129=B3308,AI3308,IF($D$1129=B3309,AI3309,IF($D$1129=B3310,AI3310,IF($D$1129=B3311,AI3311,IF($D$1129=B3312,AI3312,IF($D$1129=B3313,AI3313,IF($D$1129=B3314,AI3314,IF($D$1129=B3315,AI3315,IF($D$1129=B3316,AI3316,IF($D$1129=B3317,AI3317,IF($D$1129=B3318,AI3318,IF($D$1129=B3319,AI3319,IF($D$1129=B3320,AI3320,IF($D$1129=B3321,AI3321,IF($D$1129=B3322,AI3322,IF($D$1129=B3323,AI3323,IF($D$1129=B3324,AI3324,IF($D$1129=B3325,AI3325,IF($D$1129=B3326,AI3326,IF($D$1129=B3327,AI3327,IF($D$1129=B3328,AI3328,IF($D$1129=B3329,AI3329,AI3276))))))))))))))))))))))))))))))))))))))))))))))))))))</f>
        <v>no statute</v>
      </c>
      <c r="AE3201" s="48" t="str">
        <f ca="1">CONCATENATE(AE3205,AM3205,AN3205,AE3206,AM3206,AO3206)</f>
        <v xml:space="preserve">Since your conviction occurred 125 years ago, and you earn only about $0 per year, </v>
      </c>
      <c r="CF3201" s="48" t="s">
        <v>4312</v>
      </c>
    </row>
    <row r="3202" spans="1:184" hidden="1" x14ac:dyDescent="0.3">
      <c r="B3202" s="366" t="str">
        <f>B1150</f>
        <v xml:space="preserve">Maximum </v>
      </c>
      <c r="D3202" s="447" t="str">
        <f>IF($D$1129=B3278,D3278,IF($D$1129=B3279,D3279,IF($D$1129=B3280,D3280,IF($D$1129=B3281,D3281,IF($D$1129=B3282,D3282,IF($D$1129=B3283,D3283,IF($D$1129=B3284,D3284,IF($D$1129=B3285,D3285,IF($D$1129=B3286,D3286,IF($D$1129=B3287,D3287,IF($D$1129=B3288,D3288,IF($D$1129=B3289,D3289,IF($D$1129=B3290,D3290,IF($D$1129=B3291,D3291,IF($D$1129=B3292,D3292,IF($D$1129=B3293,D3293,IF($D$1129=B3294,D3294,IF($D$1129=B3295,D3295,IF($D$1129=B3296,D3296,IF($D$1129=B3297,D3297,IF($D$1129=B3298,D3298,IF($D$1129=B3299,D3299,IF($D$1129=B3300,D3300,IF($D$1129=B3301,D3301,IF($D$1129=B3302,D3302,IF($D$1129=B3303,D3303,IF($D$1129=B3304,D3304,IF($D$1129=B3305,D3305,IF($D$1129=B3306,D3306,IF($D$1129=B3307,D3307,IF($D$1129=B3308,D3308,IF($D$1129=B3309,D3309,IF($D$1129=B3310,D3310,IF($D$1129=B3311,D3311,IF($D$1129=B3312,D3312,IF($D$1129=B3313,D3313,IF($D$1129=B3314,D3314,IF($D$1129=B3315,D3315,IF($D$1129=B3316,D3316,IF($D$1129=B3317,D3317,IF($D$1129=B3318,D3318,IF($D$1129=B3319,D3319,IF($D$1129=B3320,D3320,IF($D$1129=B3321,D3321,IF($D$1129=B3322,D3322,IF($D$1129=B3323,D3323,IF($D$1129=B3324,D3324,IF($D$1129=B3325,D3325,IF($D$1129=B3326,D3326,IF($D$1129=B3327,D3327,IF($D$1129=B3328,D3328,IF($D$1129=B3329,D3329,D3276))))))))))))))))))))))))))))))))))))))))))))))))))))</f>
        <v>no stated maximum</v>
      </c>
      <c r="AE3202" s="48" t="str">
        <f ca="1">CONCATENATE(AE3209,AM3209,AN3209,AE3217,AJ3217,BO3217,B3234,AE3229)</f>
        <v xml:space="preserve"> does not limit how far back and employer can run a background check. Since your conviction occurred 125 years ago, and you earn only about $0 per year, California prevents employers and others from running a criminal background check that far back.Massachusetts</v>
      </c>
      <c r="CF3202" s="48" t="s">
        <v>4313</v>
      </c>
    </row>
    <row r="3203" spans="1:184" hidden="1" x14ac:dyDescent="0.3">
      <c r="B3203" s="366" t="str">
        <f>B1153</f>
        <v xml:space="preserve">Per year </v>
      </c>
      <c r="D3203" s="447" t="str">
        <f>IF($D$1129=B3278,C3278,IF($D$1129=B3279,C3279,IF($D$1129=B3280,C3280,IF($D$1129=B3281,C3281,IF($D$1129=B3282,C3282,IF($D$1129=B3283,C3283,IF($D$1129=B3284,C3284,IF($D$1129=B3285,C3285,IF($D$1129=B3286,C3286,IF($D$1129=B3287,C3287,IF($D$1129=B3288,C3288,IF($D$1129=B3289,C3289,IF($D$1129=B3290,C3290,IF($D$1129=B3291,C3291,IF($D$1129=B3292,C3292,IF($D$1129=B3293,C3293,IF($D$1129=B3294,C3294,IF($D$1129=B3295,C3295,IF($D$1129=B3296,C3296,IF($D$1129=B3297,C3297,IF($D$1129=B3298,C3298,IF($D$1129=B3299,C3299,IF($D$1129=B3300,C3300,IF($D$1129=B3301,C3301,IF($D$1129=B3302,C3302,IF($D$1129=B3303,C3303,IF($D$1129=B3304,C3304,IF($D$1129=B3305,C3305,IF($D$1129=B3306,C3306,IF($D$1129=B3307,C3307,IF($D$1129=B3308,C3308,IF($D$1129=B3309,C3309,IF($D$1129=B3310,C3310,IF($D$1129=B3311,C3311,IF($D$1129=B3312,C3312,IF($D$1129=B3313,C3313,IF($D$1129=B3314,C3314,IF($D$1129=B3315,C3315,IF($D$1129=B3316,C3316,IF($D$1129=B3317,C3317,IF($D$1129=B3318,C3318,IF($D$1129=B3319,C3319,IF($D$1129=B3320,C3326,IF($D$1129=B3321,C3321,IF($D$1129=B3322,C3322,IF($D$1129=B3323,C3323,IF($D$1129=B3324,C3324,IF($D$1129=B3325,C3325,IF($D$1129=B3326,C3326,IF($D$1129=B3327,C3327,IF($D$1129=B3328,C3328,IF($D$1129=B3329,C3329,C3276))))))))))))))))))))))))))))))))))))))))))))))))))))</f>
        <v>not applicable</v>
      </c>
      <c r="AC3203" s="49" t="str">
        <f>IF(AND($AD$104=$B3213,$AI$104=$B$3209),AC3213,IF(AND($AD$104=$B3214,$AI$104=$B$3209),AC3214,IF(AND($AD$104=$B3215,$AI$104=$B$3209),AC3215,IF(AND($AD$104=$B3216,$AI$104=$B$3209),AC3216,IF(AND($AD$104=$B3217,$AI$104=$B$3209),AC3217,IF(AND($AD$104=$B3218,$AI$104=$B$3209),AC3218,IF(AND($AD$104=$B3219,$AI$104=$B$3209),AC3219,IF(AND($AD$104=$B3220,$AI$104=$B$3209),AC3220,IF(AND($AD$104=$B3221,$AI$104=$B$3209),AC3221,IF(AND($AD$104=$B3222,$AI$104=$B$3209),AC3222,IF(AND($AD$104=$B3223,$AI$104=$B$3209),AC3223,IF(AND($AD$104=$B3224,$AI$104=$B$3209),AC3224,IF(AND($AD$104=$B3225,$AI$104=$B$3209),AC3225,IF(AND($AD$104=$B3226,$AI$104=$B$3209),AC3226,IF(AND($AD$104=$B3227,$AI$104=$B$3209),AC3227,IF(AND($AD$104=$B3228,$AI$104=$B$3209),AC3228,IF(AND($AD$104=$B3229,$AI$104=$B$3209),AC3229,IF(AND($AD$104=$B3230,$AI$104=$B$3209),AC3230,IF(AND($AD$104=$B3231,$AI$104=$B$3209),AC3231,IF(AND($AD$104=$B3232,$AI$104=$B$3209),AC3232,IF(AND($AD$104=$B3233,$AI$104=$B$3209),AC3233,IF(AND($AD$104=$B3234,$AI$104=$B$3209),AC3234,IF(AND($AD$104=$B3235,$AI$104=$B$3209),AC3235,IF(AND($AD$104=$B3236,$AI$104=$B$3209),AC3236,IF(AND($AD$104=$B3237,$AI$104=$B$3209),AC3237,IF(AND($AD$104=$B3238,$AI$104=$B$3209),AC3238,IF(AND($AD$104=$B3239,$AI$104=$B$3209),AC3239,IF(AND($AD$104=$B3240,$AI$104=$B$3209),AC3240,IF(AND($AD$104=$B3241,$AI$104=$B$3209),AC3241,IF(AND($AD$104=$B3242,$AI$104=$B$3209),AC3242,IF(AND($AD$104=$B3243,$AI$104=$B$3209),AC3243,IF(AND($AD$104=$B3244,$AI$104=$B$3209),AC3244,IF(AND($AD$104=$B3245,$AI$104=$B$3209),AC3245,IF(AND($AD$104=$B3246,$AI$104=$B$3209),AC3246,IF(AND($AD$104=$B3247,$AI$104=$B$3209),AC3247,IF(AND($AD$104=$B3248,$AI$104=$B$3209),AC3248,IF(AND($AD$104=$B3249,$AI$104=$B$3209),AC3249,IF(AND($AD$104=$B3250,$AI$104=$B$3209),AC3250,IF(AND($AD$104=$B3251,$AI$104=$B$3209),AC3251,IF(AND($AD$104=$B3252,$AI$104=$B$3209),AC3252,IF(AND($AD$104=$B3253,$AI$104=$B$3209),AC3253,IF(AND($AD$104=$B3254,$AI$104=$B$3209),AC3254,IF(AND($AD$104=$B3255,$AI$104=$B$3209),AC3255,IF(AND($AD$104=$B3256,$AI$104=$B$3209),AC3256,IF(AND($AD$104=$B3257,$AI$104=$B$3209),AC3257,IF(AND($AD$104=$B3258,$AI$104=$B$3209),AC3258,IF(AND($AD$104=$B3259,$AI$104=$B$3209),AC3259,IF(AND($AD$104=$B3260,$AI$104=$B$3209),AC3260,IF(AND($AD$104=$B3261,$AI$104=$B$3209),AC3261,IF(AND($AD$104=$B3262,$AI$104=$B$3209),AC3262,IF(AND($AD$104=$B3263,$AI$104=$B$3209),AC3263,IF(AND($AD$104=$B3264,$AI$104=$B$3209),AC3264,AC3204))))))))))))))))))))))))))))))))))))))))))))))))))))</f>
        <v>Most states allow employers to check criminal backgrounds stretching far into the past. These records provide no distinction between sound evidence-based convictions and non-exonerated wrongful convictions, permitting otherwise illicit disrimination.</v>
      </c>
      <c r="AD3203" s="49"/>
      <c r="AE3203" s="49"/>
      <c r="AF3203" s="49"/>
      <c r="AG3203" s="49"/>
      <c r="AH3203" s="49"/>
      <c r="AI3203" s="49"/>
      <c r="AJ3203" s="49"/>
      <c r="AK3203" s="49"/>
      <c r="AL3203" s="49"/>
      <c r="AM3203" s="49"/>
      <c r="AN3203" s="49"/>
      <c r="AO3203" s="49"/>
      <c r="AP3203" s="49"/>
      <c r="AQ3203" s="49"/>
      <c r="AR3203" s="49"/>
      <c r="AS3203" s="49"/>
      <c r="AT3203" s="49"/>
      <c r="AU3203" s="49"/>
      <c r="AV3203" s="49"/>
      <c r="AW3203" s="49"/>
      <c r="AX3203" s="49"/>
      <c r="AY3203" s="49"/>
      <c r="AZ3203" s="49"/>
      <c r="BA3203" s="49"/>
      <c r="BB3203" s="401"/>
      <c r="BC3203" s="49"/>
      <c r="BD3203" s="49"/>
      <c r="BE3203" s="49"/>
      <c r="BF3203" s="49"/>
      <c r="BG3203" s="49"/>
      <c r="BH3203" s="49"/>
      <c r="BI3203" s="49"/>
      <c r="BJ3203" s="49"/>
      <c r="BK3203" s="49"/>
      <c r="BL3203" s="49"/>
      <c r="BM3203" s="49"/>
      <c r="BN3203" s="49"/>
      <c r="BO3203" s="49"/>
      <c r="BP3203" s="49"/>
      <c r="BQ3203" s="49"/>
      <c r="BR3203" s="49"/>
      <c r="BT3203" s="49"/>
      <c r="BU3203" s="49"/>
    </row>
    <row r="3204" spans="1:184" hidden="1" x14ac:dyDescent="0.3">
      <c r="B3204" s="366" t="str">
        <f>B1156</f>
        <v xml:space="preserve">Future civil </v>
      </c>
      <c r="D3204" s="447">
        <f>IF($D$1129=B3278,AK3278,IF($D$1129=B3279,AK3279,IF($D$1129=B3280,AK3280,IF($D$1129=B3281,AK3281,IF($D$1129=B3282,AK3282,IF($D$1129=B3283,AK3283,IF($D$1129=B3284,AK3284,IF($D$1129=B3285,AK3285,IF($D$1129=B3286,AK3286,IF($D$1129=B3287,AK3287,IF($D$1129=B3288,AK3288,IF($D$1129=B3289,AK3289,IF($D$1129=B3290,AK3290,IF($D$1129=B3291,AK3291,IF($D$1129=B3292,AK3292,IF($D$1129=B3293,AK3293,IF($D$1129=B3294,AK3294,IF($D$1129=B3295,AK3295,IF($D$1129=B3296,AK3296,IF($D$1129=B3297,AK3297,IF($D$1129=B3298,AK3298,IF($D$1129=B3299,AK3299,IF($D$1129=B3300,AK3300,IF($D$1129=B3301,AK3301,IF($D$1129=B3302,AK3302,IF($D$1129=B3303,AK3303,IF($D$1129=B3304,AK3304,IF($D$1129=B3305,AK3305,IF($D$1129=B3306,AK3306,IF($D$1129=B3307,AK3307,IF($D$1129=B3308,AK3308,IF($D$1129=B3309,AK3309,IF($D$1129=B3310,AK3310,IF($D$1129=B3311,AK3311,IF($D$1129=B3312,AK3312,IF($D$1129=B3313,AK3313,IF($D$1129=B3314,AK3314,IF($D$1129=B3315,AK3315,IF($D$1129=B3316,AK3316,IF($D$1129=B3317,AK3317,IF($D$1129=B3318,AK3318,IF($D$1129=B3319,AK3319,IF($D$1129=B3320,AK3320,IF($D$1129=B3321,AK3321,IF($D$1129=B3322,AK3322,IF($D$1129=B3323,AK3323,IF($D$1129=B3324,AK3324,IF($D$1129=B3325,AK3325,IF($D$1129=B3326,AK3326,IF($D$1129=B3327,AK3327,IF($D$1129=B3328,AK3328,IF($D$1129=B3329,AK3329,AK3276))))))))))))))))))))))))))))))))))))))))))))))))))))</f>
        <v>0</v>
      </c>
      <c r="AC3204" s="48" t="s">
        <v>1010</v>
      </c>
      <c r="BS3204" s="49"/>
      <c r="CF3204" s="48" t="s">
        <v>4314</v>
      </c>
    </row>
    <row r="3205" spans="1:184" hidden="1" x14ac:dyDescent="0.3">
      <c r="B3205" s="366" t="s">
        <v>1406</v>
      </c>
      <c r="D3205" s="447">
        <f>IF($D$1129=B3278,BN3278,IF($D$1129=B3279,BN3279,IF($D$1129=B3280,BN3280,IF($D$1129=B3281,BN3281,IF($D$1129=B3282,BN3282,IF($D$1129=B3283,BN3283,IF($D$1129=B3284,BN3284,IF($D$1129=B3285,BN3285,IF($D$1129=B3286,BN3286,IF($D$1129=B3287,BN3287,IF($D$1129=B3288,BN3288,IF($D$1129=B3289,BN3289,IF($D$1129=B3290,BN3290,IF($D$1129=B3291,BN3291,IF($D$1129=B3292,BN3292,IF($D$1129=B3293,BN3293,IF($D$1129=B3294,BN3294,IF($D$1129=B3295,BN3295,IF($D$1129=B3296,BN3296,IF($D$1129=B3297,BN3297,IF($D$1129=B3298,BN3298,IF($D$1129=B3299,BN3299,IF($D$1129=B3300,BN3300,IF($D$1129=B3301,BN3301,IF($D$1129=B3302,BN3302,IF($D$1129=B3303,BN3303,IF($D$1129=B3304,BN3304,IF($D$1129=B3305,BN3305,IF($D$1129=B3306,BN3306,IF($D$1129=B3307,BN3307,IF($D$1129=B3308,BN3308,IF($D$1129=B3309,BN3309,IF($D$1129=B3310,BN3310,IF($D$1129=B3311,BN3311,IF($D$1129=B3312,BN3312,IF($D$1129=B3313,BN3313,IF($D$1129=B3314,BN3314,IF($D$1129=B3315,BN3315,IF($D$1129=B3316,BN3316,IF($D$1129=B3317,BN3317,IF($D$1129=B3318,BN3318,IF($D$1129=B3319,BN3319,IF($D$1129=B3320,BN3320,IF($D$1129=B3321,BN3321,IF($D$1129=B3322,BN3322,IF($D$1129=B3323,BN3323,IF($D$1129=B3324,BN3324,IF($D$1129=B3325,BN3325,IF($D$1129=B3326,BN3326,IF($D$1129=B3327,BN3327,IF($D$1129=B3328,BN3328,IF($D$1129=B3329,BN3329,BN3276))))))))))))))))))))))))))))))))))))))))))))))))))))</f>
        <v>0</v>
      </c>
      <c r="AE3205" s="48" t="s">
        <v>1011</v>
      </c>
      <c r="AM3205" s="48">
        <f ca="1">ROUND(D3207,0)</f>
        <v>125</v>
      </c>
      <c r="AN3205" s="48" t="s">
        <v>1012</v>
      </c>
      <c r="CF3205" s="48" t="s">
        <v>4315</v>
      </c>
    </row>
    <row r="3206" spans="1:184" hidden="1" x14ac:dyDescent="0.3">
      <c r="AE3206" s="48" t="s">
        <v>1013</v>
      </c>
      <c r="AM3206" s="1108">
        <f>B1165</f>
        <v>0</v>
      </c>
      <c r="AN3206" s="1108"/>
      <c r="AO3206" s="48" t="s">
        <v>1014</v>
      </c>
      <c r="CF3206" s="48" t="s">
        <v>4316</v>
      </c>
    </row>
    <row r="3207" spans="1:184" hidden="1" x14ac:dyDescent="0.3">
      <c r="B3207" s="333">
        <f ca="1">TODAY()</f>
        <v>45774</v>
      </c>
      <c r="C3207" s="333">
        <f>D259</f>
        <v>0</v>
      </c>
      <c r="D3207" s="48">
        <f ca="1">(B3207-C3207)/365.25</f>
        <v>125.3223819301848</v>
      </c>
      <c r="AE3207" s="48" t="s">
        <v>1015</v>
      </c>
      <c r="CO3207" s="48" t="s">
        <v>4321</v>
      </c>
    </row>
    <row r="3208" spans="1:184" ht="14.5" hidden="1" x14ac:dyDescent="0.35">
      <c r="AE3208" s="48" t="s">
        <v>1016</v>
      </c>
      <c r="AV3208" s="48" t="s">
        <v>1017</v>
      </c>
      <c r="CK3208"/>
      <c r="CO3208" s="48" t="s">
        <v>4320</v>
      </c>
    </row>
    <row r="3209" spans="1:184" hidden="1" x14ac:dyDescent="0.3">
      <c r="B3209" s="403" t="str">
        <f>AI104</f>
        <v/>
      </c>
      <c r="AE3209" s="48" t="s">
        <v>1018</v>
      </c>
      <c r="AV3209" s="48" t="s">
        <v>1019</v>
      </c>
      <c r="CH3209" s="48" t="s">
        <v>4335</v>
      </c>
      <c r="CJ3209" s="48" t="str">
        <f>TEXT((CK3211*100),"#.###")</f>
        <v>.5</v>
      </c>
      <c r="CK3209" s="48" t="s">
        <v>4334</v>
      </c>
      <c r="CL3209" s="48" t="str">
        <f>TEXT((CL3211*100),"#.###")</f>
        <v>15.4</v>
      </c>
      <c r="CM3209" s="245" t="s">
        <v>4339</v>
      </c>
      <c r="CN3209" s="48" t="str">
        <f>BG202</f>
        <v>Claimant</v>
      </c>
      <c r="CO3209" s="48" t="s">
        <v>4340</v>
      </c>
      <c r="CP3209" s="48">
        <f>CO3211</f>
        <v>0</v>
      </c>
      <c r="CQ3209" s="48" t="s">
        <v>4068</v>
      </c>
      <c r="CR3209" s="48">
        <f>B265</f>
        <v>0</v>
      </c>
      <c r="CS3209" s="48" t="s">
        <v>4341</v>
      </c>
    </row>
    <row r="3210" spans="1:184" ht="14.5" hidden="1" x14ac:dyDescent="0.35">
      <c r="AE3210" s="48" t="s">
        <v>1020</v>
      </c>
      <c r="BV3210" s="235" t="s">
        <v>4337</v>
      </c>
      <c r="BZ3210" s="636" t="str">
        <f>CONCATENATE(BY3211,BZ3211,CA3211,CB3211)</f>
        <v>the FALSE of 0</v>
      </c>
      <c r="CF3210" s="52" t="str">
        <f>CONCATENATE(CH3209,CJ3209,CK3209,CL3209,CM3209,CN3209,CO3209,CP3209,CQ3209,CR3209,CS3209)</f>
        <v xml:space="preserve">Researchers estimate between .5% and 15.4% of prisoners are wrongly convicted. That suggests Claimant is one of the 0 in 0 (using 2021 data) who are wrongly convicted. </v>
      </c>
    </row>
    <row r="3211" spans="1:184" ht="24" hidden="1" thickBot="1" x14ac:dyDescent="0.35">
      <c r="B3211" s="550" t="s">
        <v>3691</v>
      </c>
      <c r="AE3211" s="91" t="s">
        <v>1021</v>
      </c>
      <c r="BU3211" s="654" t="s">
        <v>4342</v>
      </c>
      <c r="BV3211" s="654" t="s">
        <v>4343</v>
      </c>
      <c r="BW3211" s="654" t="s">
        <v>4336</v>
      </c>
      <c r="BX3211" s="636" t="b">
        <f>IF($B$265=$B$3213,BX3213,IF($B$265=$B$3214,BX3214,IF($B$265=$B$3215,BX3215,IF($B$265=$B$3216,BX3216,IF($B$265=$B$3217,BX3217,IF($B$265=$B$3218,BX3218,IF($B$265=$B$3219,BX3219,IF($B$265=$B$3220,BX3220,IF($B$265=$B$3221,BX3221,IF($B$265=$B$3222,BX3222,IF($B$265=$B$3223,BX3223,IF($B$265=$B$3224,BX3224,IF($B$265=$B$3225,BX3225,IF($B$265=$B$3226,BX3226,IF($B$265=$B$3227,BX3227,IF($B$265=$B$3228,BX3228,IF($B$265=$B$3229,BX3229,IF($B$265=$B$3230,BX3230,IF($B$265=$B$3231,BX3231,IF($B$265=$B$3232,BX3232,IF($B$265=$B$3233,BX3233,IF($B$265=$B$3234,BX3234,IF($B$265=$B$3235,BX3235,IF($B$265=$B$3236,BX3236,IF($B$265=$B$3237,BX3237,IF($B$265=$B$3238,BX3238,IF($B$265=$B$3239,BX3239,IF($B$265=$B$3240,BX3240,IF($B$265=$B$3241,BX3241,IF($B$265=$B$3242,BX3242,IF($B$265=$B$3243,BX3243,IF($B$265=$B$3244,BX3244,IF($B$265=$B$3245,BX3245,IF($B$265=$B$3246,BX3246,IF($B$265=$B$3247,BX3247,IF($B$265=$B$3248,BX3248,IF($B$265=$B$3249,BX3249,IF($B$265=$B$3250,BX3250,IF($B$265=$B$3251,BX3251,IF($B$265=$B$3252,BX3252,IF($B$265=$B$3253,BX3253,IF($B$265=$B$3254=BX3254,IF($B$265=$B$3255,BX3255,IF($B$265=$B$3256,BX3256,IF($B$265=$B$3257,BX3257,IF($B$265=$B$3258,BX3258,IF($B$265=$B$3259,BX3259,IF($B$265=$B$3260,BX3260,IF($B$265=$B$3261,BX3261,IF($B$265=$B$3262,BX3262,IF($B$265=$B$3263,BX3263,IF($B$265=$B$3264,BX3264,"district attorney"))))))))))))))))))))))))))))))))))))))))))))))))))))</f>
        <v>0</v>
      </c>
      <c r="BY3211" s="48" t="s">
        <v>4148</v>
      </c>
      <c r="BZ3211" s="52" t="b">
        <f>IF($B$265=$B$3213,BZ3213,IF($B$265=$B$3214,BZ3214,IF($B$265=$B$3215,BZ3215,IF($B$265=$B$3216,BZ3216,IF($B$265=$B$3217,BZ3217,IF($B$265=$B$3218,BZ3218,IF($B$265=$B$3219,BZ3219,IF($B$265=$B$3220,BZ3220,IF($B$265=$B$3221,BZ3221,IF($B$265=$B$3222,BZ3222,IF($B$265=$B$3223,BZ3223,IF($B$265=$B$3224,BZ3224,IF($B$265=$B$3225,BZ3225,IF($B$265=$B$3226,BZ3226,IF($B$265=$B$3227,BZ3227,IF($B$265=$B$3228,BZ3228,IF($B$265=$B$3229,BZ3229,IF($B$265=$B$3230,BZ3230,IF($B$265=$B$3231,BZ3231,IF($B$265=$B$3232,BZ3232,IF($B$265=$B$3233,BZ3233,IF($B$265=$B$3234,BZ3234,IF($B$265=$B$3235,BZ3235,IF($B$265=$B$3236,BZ3236,IF($B$265=$B$3237,BZ3237,IF($B$265=$B$3238,BZ3238,IF($B$265=$B$3239,BZ3239,IF($B$265=$B$3240,BZ3240,IF($B$265=$B$3241,BZ3241,IF($B$265=$B$3242,BZ3242,IF($B$265=$B$3243,BZ3243,IF($B$265=$B$3244,BZ3244,IF($B$265=$B$3245,BZ3245,IF($B$265=$B$3246,BZ3246,IF($B$265=$B$3247,BZ3247,IF($B$265=$B$3248,BZ3248,IF($B$265=$B$3249,BZ3249,IF($B$265=$B$3250,BZ3250,IF($B$265=$B$3251,BZ3251,IF($B$265=$B$3252,BZ3252,IF($B$265=$B$3253,BZ3253,IF($B$265=$B$3254=BZ3254,IF($B$265=$B$3255,BZ3255,IF($B$265=$B$3256,BZ3256,IF($B$265=$B$3257,BZ3257,IF($B$265=$B$3258,BZ3258,IF($B$265=$B$3259,BZ3259,IF($B$265=$B$3260,BZ3260,IF($B$265=$B$3261,BZ3261,IF($B$265=$B$3262,BZ3262,IF($B$265=$B$3263,BZ3263,IF($B$265=$B$3264,BZ3264,"district attorney"))))))))))))))))))))))))))))))))))))))))))))))))))))</f>
        <v>0</v>
      </c>
      <c r="CA3211" s="48" t="s">
        <v>4147</v>
      </c>
      <c r="CB3211" s="48">
        <f>C265</f>
        <v>0</v>
      </c>
      <c r="CC3211" s="48" t="s">
        <v>4068</v>
      </c>
      <c r="CD3211" s="48">
        <f>B265</f>
        <v>0</v>
      </c>
      <c r="CE3211" s="48" t="s">
        <v>4318</v>
      </c>
      <c r="CG3211" s="649" t="s">
        <v>4311</v>
      </c>
      <c r="CH3211" s="649" t="s">
        <v>4309</v>
      </c>
      <c r="CI3211" s="649" t="s">
        <v>4310</v>
      </c>
      <c r="CK3211" s="652">
        <v>5.0000000000000001E-3</v>
      </c>
      <c r="CL3211" s="652">
        <v>0.154</v>
      </c>
      <c r="CO3211" s="636">
        <f>IF(B265=B3213,CO3213,IF(B265=B3214,CO3214,IF(B265=B3215,CO3215,IF(B265=B3216,CO3216,IF(B265=B3217,CO3217,IF(B265=B3218,CO3218,IF(B265=B3219,CO3219,IF(B265=B3220,CO3220,IF(B265=B3221,CO3221,IF(B265=B3222,CO3222,IF(B265=B3223,CO3223,IF(B265=B3224,CO3224,IF(B265=B3225,CO3225,IF(B265=B3226,CO3226,IF(B265=B3227,CO3227,IF(B265=B3228,CO3228,IF(B265=B3229,CO3229,IF(B265=B3230,CO3230,IF(B265=B3231,CO3231,IF(B265=B3232,CO3232,IF(B265=B3233,CO3233,IF(B265=B3234,CO3234,IF(B265=B3235,CO3235,IF(B265=B3236,CO3236,IF(B265=B3237,CO3237,IF(B265=B3238,CO3238,IF(B265=B3239,CO3239,IF(B265=B3240,CO3240,IF(B265=B3241,CO3241,IF(B265=B3242,CO3242,IF(B265=B3243,CO3243,IF(B265=B3244,CO3244,IF(B265=B3245,CO3245,IF(B265=B3246,CO3246,IF(B265=B3247,CO3247,IF(B265=B3248,CO3248,IF(B265=B3249,CO3249,IF(B265=B3250,CO3250,IF(B265=B3251,CO3251,IF(B265=B3252,CO3252,IF(B265=B3253,CO3253,IF(B265=B3254,CO3254,IF(B265=B3255,CO3255,IF(B265=B3256,CO3256,IF(B265=B3257,CO3257,IF(B265=B3258,CO3258,IF(B265=B3259,CO3259,IF(B265=B3260,CO3260,IF(B265=B3261,CO3261,IF(B265=B3262,CO3262,IF(B265=B3263,CO3263,IF(B265=B3264,CO3264,0))))))))))))))))))))))))))))))))))))))))))))))))))))</f>
        <v>0</v>
      </c>
      <c r="EB3211" s="4" t="s">
        <v>3695</v>
      </c>
    </row>
    <row r="3212" spans="1:184" ht="14.5" hidden="1" thickTop="1" x14ac:dyDescent="0.3">
      <c r="BZ3212" s="636" t="str">
        <f>CONCATENATE(PROPER(BZ3211),CA3211,CB3211,CC3211,CD3211)</f>
        <v>False of 0 in 0</v>
      </c>
      <c r="CP3212" s="48" t="s">
        <v>4319</v>
      </c>
    </row>
    <row r="3213" spans="1:184" ht="14.5" hidden="1" x14ac:dyDescent="0.35">
      <c r="A3213" s="322">
        <v>1</v>
      </c>
      <c r="B3213" s="404" t="str">
        <f t="shared" ref="B3213:B3220" si="123">B3278</f>
        <v>Alabama</v>
      </c>
      <c r="AC3213" s="48" t="str">
        <f>CONCATENATE(AV$3209,B3213,AE$3209,AE$3210)</f>
        <v xml:space="preserve">Unfortunately, Alabama does not limit how far back and employer can run a background check. Background screeners must rely on indiscriminate records that fail to distinguish between "reliable evidence-based convictions" and "non-exonerated wrongful convictions"--permitting illicit discrimination. </v>
      </c>
      <c r="BR3213" s="245" t="s">
        <v>885</v>
      </c>
      <c r="BT3213" s="245" t="s">
        <v>885</v>
      </c>
      <c r="BV3213" s="48">
        <v>2</v>
      </c>
      <c r="BX3213" s="52">
        <f>SUM(BU3213:BW3213)</f>
        <v>2</v>
      </c>
      <c r="BZ3213" s="48" t="s">
        <v>3721</v>
      </c>
      <c r="CF3213" t="s">
        <v>1043</v>
      </c>
      <c r="CG3213" s="650">
        <v>417</v>
      </c>
      <c r="CH3213" s="471">
        <v>20595</v>
      </c>
      <c r="CI3213" s="471">
        <v>4934193</v>
      </c>
      <c r="CJ3213" s="653">
        <f>CH3213/CI3213</f>
        <v>4.1739348258165009E-3</v>
      </c>
      <c r="CK3213" s="48">
        <f t="shared" ref="CK3213:CK3220" si="124">ROUND(CH3213*CK$3211,0)</f>
        <v>103</v>
      </c>
      <c r="CL3213" s="48">
        <f t="shared" ref="CL3213:CL3220" si="125">ROUND(CH3213*CL$3211,0)</f>
        <v>3172</v>
      </c>
      <c r="CM3213" s="48" t="str">
        <f t="shared" ref="CM3213:CM3220" si="126">TEXT(CL3213,"##,###")</f>
        <v>3,172</v>
      </c>
      <c r="CN3213" s="48" t="str">
        <f>TEXT(CH3213,"##,###")</f>
        <v>20,595</v>
      </c>
      <c r="CO3213" s="48" t="str">
        <f t="shared" ref="CO3213:CO3244" si="127">CONCATENATE(CK3213," to ",CM3213,CP$3212,CN3213)</f>
        <v>103 to 3,172 in a prison population of 20,595</v>
      </c>
      <c r="DZ3213" s="4" t="s">
        <v>3665</v>
      </c>
      <c r="EA3213" s="4"/>
      <c r="EB3213" s="4"/>
      <c r="EC3213" s="551" t="str">
        <f>B3213</f>
        <v>Alabama</v>
      </c>
      <c r="ED3213" s="551" t="str">
        <f>B3214</f>
        <v>Alaska</v>
      </c>
      <c r="EE3213" s="551" t="str">
        <f>B3215</f>
        <v>Arizona</v>
      </c>
      <c r="EF3213" s="551" t="str">
        <f>B3216</f>
        <v>Arkansas</v>
      </c>
      <c r="EG3213" s="551" t="str">
        <f>B3217</f>
        <v>California</v>
      </c>
      <c r="EH3213" s="551" t="str">
        <f>B3218</f>
        <v>Colorado</v>
      </c>
      <c r="EI3213" s="551" t="str">
        <f>B3219</f>
        <v>Connecticut</v>
      </c>
      <c r="EJ3213" s="551" t="str">
        <f>B3220</f>
        <v>Delaware</v>
      </c>
      <c r="EK3213" s="551" t="str">
        <f>B3221</f>
        <v>DC</v>
      </c>
      <c r="EL3213" s="551" t="str">
        <f>B3222</f>
        <v>Florida</v>
      </c>
      <c r="EM3213" s="551" t="str">
        <f>B3223</f>
        <v>Georgia</v>
      </c>
      <c r="EN3213" s="551" t="str">
        <f>B3224</f>
        <v>Hawaii</v>
      </c>
      <c r="EO3213" s="551" t="str">
        <f>B3225</f>
        <v>Idaho</v>
      </c>
      <c r="EP3213" s="551" t="str">
        <f>B3226</f>
        <v>Illinois</v>
      </c>
      <c r="EQ3213" s="551" t="str">
        <f>B3227</f>
        <v>Indiana</v>
      </c>
      <c r="ER3213" s="551" t="str">
        <f>B3228</f>
        <v>Iowa</v>
      </c>
      <c r="ES3213" s="551" t="str">
        <f>B3229</f>
        <v>Kansas</v>
      </c>
      <c r="ET3213" s="551" t="str">
        <f>B3230</f>
        <v>Kentucky</v>
      </c>
      <c r="EU3213" s="551" t="str">
        <f>B3231</f>
        <v>Louisiana</v>
      </c>
      <c r="EV3213" s="551" t="str">
        <f>B3232</f>
        <v>Maine</v>
      </c>
      <c r="EW3213" s="551" t="str">
        <f>B3233</f>
        <v>Maryland</v>
      </c>
      <c r="EX3213" s="551" t="str">
        <f>B3234</f>
        <v>Massachusetts</v>
      </c>
      <c r="EY3213" s="551" t="str">
        <f>B3235</f>
        <v>Michigan</v>
      </c>
      <c r="EZ3213" s="551" t="str">
        <f>B3236</f>
        <v>Minnesota</v>
      </c>
      <c r="FA3213" s="551" t="str">
        <f>B3237</f>
        <v>Mississippi</v>
      </c>
      <c r="FB3213" s="551" t="str">
        <f>B3238</f>
        <v>Missouri</v>
      </c>
      <c r="FC3213" s="551" t="str">
        <f>B3239</f>
        <v>Montana</v>
      </c>
      <c r="FD3213" s="551" t="str">
        <f>B3240</f>
        <v>Nebraska</v>
      </c>
      <c r="FE3213" s="551" t="str">
        <f>B3241</f>
        <v>Nevada</v>
      </c>
      <c r="FF3213" s="551" t="str">
        <f>B3242</f>
        <v>New Hampshire</v>
      </c>
      <c r="FG3213" s="551" t="str">
        <f>B3243</f>
        <v>New Jersey</v>
      </c>
      <c r="FH3213" s="551" t="str">
        <f>B3244</f>
        <v>New Mexico</v>
      </c>
      <c r="FI3213" s="551" t="str">
        <f>B3245</f>
        <v>New York</v>
      </c>
      <c r="FJ3213" s="551" t="str">
        <f>B3246</f>
        <v>North Carolina</v>
      </c>
      <c r="FK3213" s="551" t="str">
        <f>B3247</f>
        <v>North Dakota</v>
      </c>
      <c r="FL3213" s="551" t="str">
        <f>B3248</f>
        <v>Ohio</v>
      </c>
      <c r="FM3213" s="551" t="str">
        <f>B3249</f>
        <v>Oklahoma</v>
      </c>
      <c r="FN3213" s="551" t="str">
        <f>B3250</f>
        <v>Oregon</v>
      </c>
      <c r="FO3213" s="551" t="str">
        <f>B3251</f>
        <v>Pennsylvania</v>
      </c>
      <c r="FP3213" s="551" t="str">
        <f>B3252</f>
        <v>Rhode Island</v>
      </c>
      <c r="FQ3213" s="551" t="str">
        <f>B3253</f>
        <v>South Carolina</v>
      </c>
      <c r="FR3213" s="551" t="str">
        <f>B3254</f>
        <v>South Dakota</v>
      </c>
      <c r="FS3213" s="551" t="str">
        <f>B3255</f>
        <v>Tennessee</v>
      </c>
      <c r="FT3213" s="551" t="str">
        <f>B3256</f>
        <v>Texas</v>
      </c>
      <c r="FU3213" s="551" t="str">
        <f>B3257</f>
        <v>Utah</v>
      </c>
      <c r="FV3213" s="551" t="str">
        <f>B3258</f>
        <v>Vermont</v>
      </c>
      <c r="FW3213" s="551" t="str">
        <f>B3259</f>
        <v>Virginia</v>
      </c>
      <c r="FX3213" s="551" t="str">
        <f>B3260</f>
        <v>Washington</v>
      </c>
      <c r="FY3213" s="551" t="str">
        <f>B3261</f>
        <v>West Virginia</v>
      </c>
      <c r="FZ3213" s="551" t="str">
        <f>B3262</f>
        <v>Wisconsin</v>
      </c>
      <c r="GA3213" s="551" t="str">
        <f>B3263</f>
        <v>Wyoming</v>
      </c>
      <c r="GB3213" s="551" t="str">
        <f>B3264</f>
        <v>United States</v>
      </c>
    </row>
    <row r="3214" spans="1:184" ht="14.5" hidden="1" x14ac:dyDescent="0.35">
      <c r="A3214" s="322">
        <v>2</v>
      </c>
      <c r="B3214" s="404" t="str">
        <f t="shared" si="123"/>
        <v>Alaska</v>
      </c>
      <c r="AC3214" s="48" t="str">
        <f>CONCATENATE(AV$3209,B3214,AE$3209,AE$3210)</f>
        <v xml:space="preserve">Unfortunately, Alaska does not limit how far back and employer can run a background check. Background screeners must rely on indiscriminate records that fail to distinguish between "reliable evidence-based convictions" and "non-exonerated wrongful convictions"--permitting illicit discrimination. </v>
      </c>
      <c r="BR3214" s="245" t="s">
        <v>885</v>
      </c>
      <c r="BT3214" s="245" t="s">
        <v>885</v>
      </c>
      <c r="BX3214" s="52">
        <f t="shared" ref="BX3214:BX3263" si="128">SUM(BU3214:BW3214)</f>
        <v>0</v>
      </c>
      <c r="BZ3214" s="48" t="s">
        <v>3721</v>
      </c>
      <c r="CB3214" s="48" t="s">
        <v>4144</v>
      </c>
      <c r="CF3214" t="s">
        <v>1051</v>
      </c>
      <c r="CG3214" s="650">
        <v>246</v>
      </c>
      <c r="CH3214" s="471">
        <v>1782</v>
      </c>
      <c r="CI3214" s="471">
        <v>724357</v>
      </c>
      <c r="CJ3214" s="653">
        <f t="shared" ref="CJ3214:CJ3263" si="129">CH3214/CI3214</f>
        <v>2.4601129001307369E-3</v>
      </c>
      <c r="CK3214" s="48">
        <f t="shared" si="124"/>
        <v>9</v>
      </c>
      <c r="CL3214" s="48">
        <f t="shared" si="125"/>
        <v>274</v>
      </c>
      <c r="CM3214" s="48" t="str">
        <f t="shared" si="126"/>
        <v>274</v>
      </c>
      <c r="CN3214" s="48" t="str">
        <f t="shared" ref="CN3214:CN3264" si="130">TEXT(CH3214,"##,###")</f>
        <v>1,782</v>
      </c>
      <c r="CO3214" s="48" t="str">
        <f t="shared" si="127"/>
        <v>9 to 274 in a prison population of 1,782</v>
      </c>
      <c r="DZ3214" s="557" t="str">
        <f>IF($B$265=$EC$3213,$EC3214,IF($B$265=$ED$3213,$ED3214,IF($B$265=$EE$3213,$EE3214,IF($B$265=$EF$3213,$EF3214,IF($B$265=$EG$3213,$EG3214,IF($B$265=$EH$3213,$EH3214,IF($B$265=$EI$3213,$EI3214,IF($B$265=$EJ$3213,$EJ3214,IF($B$265=$EK$3213,$EK3214,IF($B$265=$EL$3213,$EL3214,IF($B$265=$EC$3213,$EC3214,IF($B$265=$ED$3213,$ED3214,IF($B$265=$EE$3213,$EE3214,IF($B$265=$EF$3213,$EF3214,IF($B$265=$EG$3213,$EG3214,IF($B$265=$EH$3213,$EH3214,IF($B$265=$EI$3213,$EI3214,IF($B$265=$EJ$3213,$EJ3214,IF($B$265=$EK$3213,$EK3214,IF($B$265=$EL$3213,$EL3214,IF($B$265=$EM$3213,$EM3214,IF($B$265=$EN$3213,$EN3214,IF($B$265=$EO$3213,$EO3214,IF($B$265=$EP$3213,$EP3214,IF($B$265=$EQ$3213,$EQ3214,IF($B$265=$ER$3213,$ER3214,IF($B$265=$ES$3213,$ES3214,IF($B$265=$ET$3213,$ET3214,IF($B$265=$EU$3213,$EU3214,IF($B$265=$EV$3213,$EV3214,IF($B$265=$EW$3213,$EW3214,IF($B$265=$EX$3213,$EX3214,IF($B$265=$EY$3213,$EY3214,IF($B$265=$EZ$3213,$EZ3214,IF($B$265=$FA$3213,$FA3214,IF($B$265=$FB$3213,$FB3214,IF($B$265=$FC$3213,$FC3214,IF($B$265=$FD$3213,$FD3214,IF($B$265=$FE$3213,$FE3214,IF($B$265=$FF$3213,$FF3214,IF($B$265=$FG$3213,$FG3214,IF($B$265=$FH$3213,$FH3214,IF($B$265=$FI$3213,$FI3214,IF($B$265=$FJ$3213,$FJ3214,IF($B$265=$FK$3213,$FK3214,IF($B$265=$FL$3213,$FL3214,IF($B$265=$FM$3213,$FM3214,IF($B$265=$FN$3213,$FN3214,IF($B$265=$FO$3213,$FO3214,IF($B$265=$FP$3213,$FP3214,$DZ$3213))))))))))))))))))))))))))))))))))))))))))))))))))</f>
        <v>Innocence Project</v>
      </c>
      <c r="EA3214" s="4"/>
      <c r="EB3214" s="4"/>
      <c r="EC3214" s="534" t="str">
        <f>$EB$3211</f>
        <v>Innocence Project (US national)</v>
      </c>
      <c r="ED3214" s="534" t="str">
        <f t="shared" ref="ED3214:GB3214" si="131">$EB$3211</f>
        <v>Innocence Project (US national)</v>
      </c>
      <c r="EE3214" s="347" t="s">
        <v>3693</v>
      </c>
      <c r="EF3214" s="534" t="str">
        <f t="shared" si="131"/>
        <v>Innocence Project (US national)</v>
      </c>
      <c r="EG3214" s="4" t="s">
        <v>3658</v>
      </c>
      <c r="EH3214" s="534" t="str">
        <f t="shared" si="131"/>
        <v>Innocence Project (US national)</v>
      </c>
      <c r="EI3214" s="534" t="str">
        <f t="shared" si="131"/>
        <v>Innocence Project (US national)</v>
      </c>
      <c r="EJ3214" s="534" t="str">
        <f t="shared" si="131"/>
        <v>Innocence Project (US national)</v>
      </c>
      <c r="EK3214" s="534" t="str">
        <f t="shared" si="131"/>
        <v>Innocence Project (US national)</v>
      </c>
      <c r="EL3214" s="534" t="str">
        <f t="shared" si="131"/>
        <v>Innocence Project (US national)</v>
      </c>
      <c r="EM3214" s="534" t="str">
        <f t="shared" si="131"/>
        <v>Innocence Project (US national)</v>
      </c>
      <c r="EN3214" s="534" t="str">
        <f t="shared" si="131"/>
        <v>Innocence Project (US national)</v>
      </c>
      <c r="EO3214" s="534" t="str">
        <f t="shared" si="131"/>
        <v>Innocence Project (US national)</v>
      </c>
      <c r="EP3214" s="503" t="s">
        <v>3659</v>
      </c>
      <c r="EQ3214" s="534" t="str">
        <f t="shared" si="131"/>
        <v>Innocence Project (US national)</v>
      </c>
      <c r="ER3214" s="534" t="str">
        <f t="shared" si="131"/>
        <v>Innocence Project (US national)</v>
      </c>
      <c r="ES3214" s="534" t="str">
        <f t="shared" si="131"/>
        <v>Innocence Project (US national)</v>
      </c>
      <c r="ET3214" s="534" t="str">
        <f t="shared" si="131"/>
        <v>Innocence Project (US national)</v>
      </c>
      <c r="EU3214" s="534" t="str">
        <f t="shared" si="131"/>
        <v>Innocence Project (US national)</v>
      </c>
      <c r="EV3214" s="534" t="str">
        <f t="shared" si="131"/>
        <v>Innocence Project (US national)</v>
      </c>
      <c r="EW3214" s="534" t="str">
        <f t="shared" si="131"/>
        <v>Innocence Project (US national)</v>
      </c>
      <c r="EX3214" s="534" t="str">
        <f t="shared" si="131"/>
        <v>Innocence Project (US national)</v>
      </c>
      <c r="EY3214" s="503" t="s">
        <v>3674</v>
      </c>
      <c r="EZ3214" s="534" t="str">
        <f t="shared" si="131"/>
        <v>Innocence Project (US national)</v>
      </c>
      <c r="FA3214" s="534" t="str">
        <f t="shared" si="131"/>
        <v>Innocence Project (US national)</v>
      </c>
      <c r="FB3214" s="534" t="str">
        <f t="shared" si="131"/>
        <v>Innocence Project (US national)</v>
      </c>
      <c r="FC3214" s="534" t="str">
        <f t="shared" si="131"/>
        <v>Innocence Project (US national)</v>
      </c>
      <c r="FD3214" s="534" t="str">
        <f t="shared" si="131"/>
        <v>Innocence Project (US national)</v>
      </c>
      <c r="FE3214" s="534" t="str">
        <f t="shared" si="131"/>
        <v>Innocence Project (US national)</v>
      </c>
      <c r="FF3214" s="534" t="str">
        <f t="shared" si="131"/>
        <v>Innocence Project (US national)</v>
      </c>
      <c r="FG3214" s="534" t="str">
        <f t="shared" si="131"/>
        <v>Innocence Project (US national)</v>
      </c>
      <c r="FH3214" s="534" t="str">
        <f t="shared" si="131"/>
        <v>Innocence Project (US national)</v>
      </c>
      <c r="FI3214" s="534" t="str">
        <f t="shared" si="131"/>
        <v>Innocence Project (US national)</v>
      </c>
      <c r="FJ3214" s="534" t="str">
        <f t="shared" si="131"/>
        <v>Innocence Project (US national)</v>
      </c>
      <c r="FK3214" s="534" t="str">
        <f t="shared" si="131"/>
        <v>Innocence Project (US national)</v>
      </c>
      <c r="FL3214" s="553" t="s">
        <v>3682</v>
      </c>
      <c r="FM3214" s="534" t="str">
        <f t="shared" si="131"/>
        <v>Innocence Project (US national)</v>
      </c>
      <c r="FN3214" s="534" t="str">
        <f t="shared" si="131"/>
        <v>Innocence Project (US national)</v>
      </c>
      <c r="FO3214" s="534" t="str">
        <f t="shared" si="131"/>
        <v>Innocence Project (US national)</v>
      </c>
      <c r="FP3214" s="534" t="str">
        <f t="shared" si="131"/>
        <v>Innocence Project (US national)</v>
      </c>
      <c r="FQ3214" s="534" t="str">
        <f t="shared" si="131"/>
        <v>Innocence Project (US national)</v>
      </c>
      <c r="FR3214" s="534" t="str">
        <f t="shared" si="131"/>
        <v>Innocence Project (US national)</v>
      </c>
      <c r="FS3214" s="534" t="str">
        <f t="shared" si="131"/>
        <v>Innocence Project (US national)</v>
      </c>
      <c r="FT3214" s="534" t="str">
        <f t="shared" si="131"/>
        <v>Innocence Project (US national)</v>
      </c>
      <c r="FU3214" s="534" t="str">
        <f t="shared" si="131"/>
        <v>Innocence Project (US national)</v>
      </c>
      <c r="FV3214" s="534" t="str">
        <f t="shared" si="131"/>
        <v>Innocence Project (US national)</v>
      </c>
      <c r="FW3214" s="534" t="str">
        <f t="shared" si="131"/>
        <v>Innocence Project (US national)</v>
      </c>
      <c r="FX3214" s="503" t="s">
        <v>3719</v>
      </c>
      <c r="FY3214" s="534" t="str">
        <f t="shared" si="131"/>
        <v>Innocence Project (US national)</v>
      </c>
      <c r="FZ3214" s="503" t="s">
        <v>3690</v>
      </c>
      <c r="GA3214" s="534" t="str">
        <f t="shared" si="131"/>
        <v>Innocence Project (US national)</v>
      </c>
      <c r="GB3214" s="534" t="str">
        <f t="shared" si="131"/>
        <v>Innocence Project (US national)</v>
      </c>
    </row>
    <row r="3215" spans="1:184" ht="14.5" hidden="1" x14ac:dyDescent="0.35">
      <c r="A3215" s="322">
        <v>3</v>
      </c>
      <c r="B3215" s="404" t="str">
        <f t="shared" si="123"/>
        <v>Arizona</v>
      </c>
      <c r="AC3215" s="48" t="str">
        <f>CONCATENATE(AV$3209,B3215,AE$3209,AE$3210)</f>
        <v xml:space="preserve">Unfortunately, Arizona does not limit how far back and employer can run a background check. Background screeners must rely on indiscriminate records that fail to distinguish between "reliable evidence-based convictions" and "non-exonerated wrongful convictions"--permitting illicit discrimination. </v>
      </c>
      <c r="BR3215" s="245" t="s">
        <v>885</v>
      </c>
      <c r="BT3215" s="245" t="s">
        <v>885</v>
      </c>
      <c r="BV3215" s="48">
        <v>2</v>
      </c>
      <c r="BX3215" s="52">
        <f t="shared" si="128"/>
        <v>2</v>
      </c>
      <c r="BZ3215" s="48" t="s">
        <v>4140</v>
      </c>
      <c r="CF3215" t="s">
        <v>1053</v>
      </c>
      <c r="CG3215" s="650">
        <v>545</v>
      </c>
      <c r="CH3215" s="471">
        <v>40951</v>
      </c>
      <c r="CI3215" s="471">
        <v>7520103</v>
      </c>
      <c r="CJ3215" s="653">
        <f t="shared" si="129"/>
        <v>5.4455371156485492E-3</v>
      </c>
      <c r="CK3215" s="48">
        <f t="shared" si="124"/>
        <v>205</v>
      </c>
      <c r="CL3215" s="48">
        <f t="shared" si="125"/>
        <v>6306</v>
      </c>
      <c r="CM3215" s="48" t="str">
        <f t="shared" si="126"/>
        <v>6,306</v>
      </c>
      <c r="CN3215" s="48" t="str">
        <f t="shared" si="130"/>
        <v>40,951</v>
      </c>
      <c r="CO3215" s="48" t="str">
        <f t="shared" si="127"/>
        <v>205 to 6,306 in a prison population of 40,951</v>
      </c>
      <c r="DZ3215" s="557" t="str">
        <f>IF($B$265=$EC$3213,$EC3215,IF($B$265=$ED$3213,$ED3215,IF($B$265=$EE$3213,$EE3215,IF($B$265=$EF$3213,$EF3215,IF($B$265=$EG$3213,$EG3215,IF($B$265=$EH$3213,$EH3215,IF($B$265=$EI$3213,$EI3215,IF($B$265=$EJ$3213,$EJ3215,IF($B$265=$EK$3213,$EK3215,IF($B$265=$EL$3213,$EL3215,IF($B$265=$EC$3213,$EC3215,IF($B$265=$ED$3213,$ED3215,IF($B$265=$EE$3213,$EE3215,IF($B$265=$EF$3213,$EF3215,IF($B$265=$EG$3213,$EG3215,IF($B$265=$EH$3213,$EH3215,IF($B$265=$EI$3213,$EI3215,IF($B$265=$EJ$3213,$EJ3215,IF($B$265=$EK$3213,$EK3215,IF($B$265=$EL$3213,$EL3215,IF($B$265=$EM$3213,$EM3215,IF($B$265=$EN$3213,$EN3215,IF($B$265=$EO$3213,$EO3215,IF($B$265=$EP$3213,$EP3215,IF($B$265=$EQ$3213,$EQ3215,IF($B$265=$ER$3213,$ER3215,IF($B$265=$ES$3213,$ES3215,IF($B$265=$ET$3213,$ET3215,IF($B$265=$EU$3213,$EU3215,IF($B$265=$EV$3213,$EV3215,IF($B$265=$EW$3213,$EW3215,IF($B$265=$EX$3213,$EX3215,IF($B$265=$EY$3213,$EY3215,IF($B$265=$EZ$3213,$EZ3215,IF($B$265=$FA$3213,$FA3215,IF($B$265=$FB$3213,$FB3215,IF($B$265=$FC$3213,$FC3215,IF($B$265=$FD$3213,$FD3215,IF($B$265=$FE$3213,$FE3215,IF($B$265=$FF$3213,$FF3215,IF($B$265=$FG$3213,$FG3215,IF($B$265=$FH$3213,$FH3215,IF($B$265=$FI$3213,$FI3215,IF($B$265=$FJ$3213,$FJ3215,IF($B$265=$FK$3213,$FK3215,IF($B$265=$FL$3213,$FL3215,IF($B$265=$FM$3213,$FM3215,IF($B$265=$FN$3213,$FN3215,IF($B$265=$FO$3213,$FO3215,IF($B$265=$FP$3213,$FP3215,$DZ$3213))))))))))))))))))))))))))))))))))))))))))))))))))</f>
        <v>Innocence Project</v>
      </c>
      <c r="EA3215" s="4"/>
      <c r="EB3215" s="4"/>
      <c r="EC3215" s="552" t="s">
        <v>912</v>
      </c>
      <c r="ED3215" s="347" t="s">
        <v>3655</v>
      </c>
      <c r="EE3215" s="4" t="s">
        <v>3656</v>
      </c>
      <c r="EF3215" s="552" t="str">
        <f>EE3216</f>
        <v>other</v>
      </c>
      <c r="EG3215" s="4" t="s">
        <v>3673</v>
      </c>
      <c r="EH3215" s="4" t="s">
        <v>3661</v>
      </c>
      <c r="EI3215" s="4" t="s">
        <v>3692</v>
      </c>
      <c r="EJ3215" s="4" t="s">
        <v>3680</v>
      </c>
      <c r="EK3215" s="4" t="s">
        <v>3675</v>
      </c>
      <c r="EL3215" s="4" t="s">
        <v>3669</v>
      </c>
      <c r="EM3215" s="48" t="s">
        <v>3662</v>
      </c>
      <c r="EN3215" s="48" t="s">
        <v>3698</v>
      </c>
      <c r="EO3215" s="48" t="s">
        <v>3663</v>
      </c>
      <c r="EP3215" s="48" t="s">
        <v>3664</v>
      </c>
      <c r="EQ3215" s="48" t="s">
        <v>3701</v>
      </c>
      <c r="ER3215" s="48" t="s">
        <v>3702</v>
      </c>
      <c r="ES3215" s="48" t="s">
        <v>3676</v>
      </c>
      <c r="ET3215" s="48" t="s">
        <v>3671</v>
      </c>
      <c r="EU3215" s="48" t="s">
        <v>3668</v>
      </c>
      <c r="EV3215" s="48" t="s">
        <v>3678</v>
      </c>
      <c r="EW3215" s="48" t="s">
        <v>3675</v>
      </c>
      <c r="EX3215" s="48" t="s">
        <v>3657</v>
      </c>
      <c r="EY3215" s="48" t="s">
        <v>3704</v>
      </c>
      <c r="EZ3215" s="48" t="s">
        <v>3667</v>
      </c>
      <c r="FA3215" s="48" t="s">
        <v>3668</v>
      </c>
      <c r="FB3215" s="48" t="s">
        <v>3676</v>
      </c>
      <c r="FC3215" s="48" t="s">
        <v>3677</v>
      </c>
      <c r="FD3215" s="48" t="s">
        <v>3676</v>
      </c>
      <c r="FE3215" s="48" t="s">
        <v>3686</v>
      </c>
      <c r="FF3215" s="48" t="s">
        <v>3678</v>
      </c>
      <c r="FG3215" s="48" t="s">
        <v>3707</v>
      </c>
      <c r="FH3215" s="48" t="s">
        <v>3708</v>
      </c>
      <c r="FI3215" s="48" t="s">
        <v>3709</v>
      </c>
      <c r="FJ3215" s="48" t="s">
        <v>3713</v>
      </c>
      <c r="FK3215" s="48" t="s">
        <v>3715</v>
      </c>
      <c r="FL3215" s="48" t="s">
        <v>3681</v>
      </c>
      <c r="FM3215" s="48" t="s">
        <v>3683</v>
      </c>
      <c r="FN3215" s="48" t="s">
        <v>3684</v>
      </c>
      <c r="FO3215" s="48" t="s">
        <v>3685</v>
      </c>
      <c r="FP3215" s="48" t="s">
        <v>3657</v>
      </c>
      <c r="FQ3215" s="48" t="s">
        <v>3679</v>
      </c>
      <c r="FR3215" s="48" t="s">
        <v>3667</v>
      </c>
      <c r="FS3215" s="48" t="s">
        <v>3716</v>
      </c>
      <c r="FT3215" s="48" t="s">
        <v>3717</v>
      </c>
      <c r="FU3215" s="48" t="s">
        <v>3686</v>
      </c>
      <c r="FV3215" s="48" t="s">
        <v>3678</v>
      </c>
      <c r="FW3215" s="48" t="s">
        <v>3666</v>
      </c>
      <c r="FX3215" s="552" t="str">
        <f>FW3217</f>
        <v>other</v>
      </c>
      <c r="FY3215" s="48" t="s">
        <v>3689</v>
      </c>
      <c r="FZ3215" s="552" t="str">
        <f>FY3216</f>
        <v>other</v>
      </c>
      <c r="GA3215" s="48" t="s">
        <v>3686</v>
      </c>
      <c r="GB3215" s="552" t="str">
        <f>GA3216</f>
        <v>other</v>
      </c>
    </row>
    <row r="3216" spans="1:184" ht="14.5" hidden="1" x14ac:dyDescent="0.35">
      <c r="A3216" s="322">
        <v>4</v>
      </c>
      <c r="B3216" s="404" t="str">
        <f t="shared" si="123"/>
        <v>Arkansas</v>
      </c>
      <c r="AC3216" s="48" t="str">
        <f>CONCATENATE(AV$3209,B3216,AE$3209,AE$3210)</f>
        <v xml:space="preserve">Unfortunately, Arkansas does not limit how far back and employer can run a background check. Background screeners must rely on indiscriminate records that fail to distinguish between "reliable evidence-based convictions" and "non-exonerated wrongful convictions"--permitting illicit discrimination. </v>
      </c>
      <c r="BR3216" s="245" t="s">
        <v>885</v>
      </c>
      <c r="BT3216" s="245" t="s">
        <v>885</v>
      </c>
      <c r="BX3216" s="52">
        <f t="shared" si="128"/>
        <v>0</v>
      </c>
      <c r="BZ3216" s="48" t="s">
        <v>3722</v>
      </c>
      <c r="CF3216" t="s">
        <v>1055</v>
      </c>
      <c r="CG3216" s="650">
        <v>584</v>
      </c>
      <c r="CH3216" s="471">
        <v>17713</v>
      </c>
      <c r="CI3216" s="471">
        <v>3033946</v>
      </c>
      <c r="CJ3216" s="653">
        <f t="shared" si="129"/>
        <v>5.8382713469521215E-3</v>
      </c>
      <c r="CK3216" s="48">
        <f t="shared" si="124"/>
        <v>89</v>
      </c>
      <c r="CL3216" s="48">
        <f t="shared" si="125"/>
        <v>2728</v>
      </c>
      <c r="CM3216" s="48" t="str">
        <f t="shared" si="126"/>
        <v>2,728</v>
      </c>
      <c r="CN3216" s="48" t="str">
        <f t="shared" si="130"/>
        <v>17,713</v>
      </c>
      <c r="CO3216" s="48" t="str">
        <f t="shared" si="127"/>
        <v>89 to 2,728 in a prison population of 17,713</v>
      </c>
      <c r="DZ3216" s="557" t="str">
        <f>IF($B$265=$EC$3213,$EC3216,IF($B$265=$ED$3213,$ED3216,IF($B$265=$EE$3213,$EE3216,IF($B$265=$EF$3213,$EF3216,IF($B$265=$EG$3213,$EG3216,IF($B$265=$EH$3213,$EH3216,IF($B$265=$EI$3213,$EI3216,IF($B$265=$EJ$3213,$EJ3216,IF($B$265=$EK$3213,$EK3216,IF($B$265=$EL$3213,$EL3216,IF($B$265=$EC$3213,$EC3216,IF($B$265=$ED$3213,$ED3216,IF($B$265=$EE$3213,$EE3216,IF($B$265=$EF$3213,$EF3216,IF($B$265=$EG$3213,$EG3216,IF($B$265=$EH$3213,$EH3216,IF($B$265=$EI$3213,$EI3216,IF($B$265=$EJ$3213,$EJ3216,IF($B$265=$EK$3213,$EK3216,IF($B$265=$EL$3213,$EL3216,IF($B$265=$EM$3213,$EM3216,IF($B$265=$EN$3213,$EN3216,IF($B$265=$EO$3213,$EO3216,IF($B$265=$EP$3213,$EP3216,IF($B$265=$EQ$3213,$EQ3216,IF($B$265=$ER$3213,$ER3216,IF($B$265=$ES$3213,$ES3216,IF($B$265=$ET$3213,$ET3216,IF($B$265=$EU$3213,$EU3216,IF($B$265=$EV$3213,$EV3216,IF($B$265=$EW$3213,$EW3216,IF($B$265=$EX$3213,$EX3216,IF($B$265=$EY$3213,$EY3216,IF($B$265=$EZ$3213,$EZ3216,IF($B$265=$FA$3213,$FA3216,IF($B$265=$FB$3213,$FB3216,IF($B$265=$FC$3213,$FC3216,IF($B$265=$FD$3213,$FD3216,IF($B$265=$FE$3213,$FE3216,IF($B$265=$FF$3213,$FF3216,IF($B$265=$FG$3213,$FG3216,IF($B$265=$FH$3213,$FH3216,IF($B$265=$FI$3213,$FI3216,IF($B$265=$FJ$3213,$FJ3216,IF($B$265=$FK$3213,$FK3216,IF($B$265=$FL$3213,$FL3216,IF($B$265=$FM$3213,$FM3216,IF($B$265=$FN$3213,$FN3216,IF($B$265=$FO$3213,$FO3216,IF($B$265=$FP$3213,$FP3216,$DZ$3213))))))))))))))))))))))))))))))))))))))))))))))))))</f>
        <v>Innocence Project</v>
      </c>
      <c r="EA3216" s="231"/>
      <c r="EB3216" s="4"/>
      <c r="EC3216" s="503" t="s">
        <v>885</v>
      </c>
      <c r="ED3216" s="552" t="str">
        <f>EC3215</f>
        <v>other</v>
      </c>
      <c r="EE3216" s="552" t="str">
        <f>ED3216</f>
        <v>other</v>
      </c>
      <c r="EF3216" s="503" t="s">
        <v>885</v>
      </c>
      <c r="EG3216" s="4" t="s">
        <v>3696</v>
      </c>
      <c r="EH3216" s="4" t="s">
        <v>3672</v>
      </c>
      <c r="EI3216" s="48" t="s">
        <v>3678</v>
      </c>
      <c r="EJ3216" s="552" t="str">
        <f>EI3217</f>
        <v>other</v>
      </c>
      <c r="EK3216" s="552" t="str">
        <f>EJ3216</f>
        <v>other</v>
      </c>
      <c r="EL3216" s="4" t="s">
        <v>3697</v>
      </c>
      <c r="EM3216" s="552" t="str">
        <f>EL3217</f>
        <v>other</v>
      </c>
      <c r="EN3216" s="552" t="str">
        <f>EM3216</f>
        <v>other</v>
      </c>
      <c r="EO3216" s="552" t="str">
        <f>EN3216</f>
        <v>other</v>
      </c>
      <c r="EP3216" s="48" t="s">
        <v>3699</v>
      </c>
      <c r="EQ3216" s="552" t="str">
        <f>EP3218</f>
        <v>other</v>
      </c>
      <c r="ER3216" s="48" t="s">
        <v>3676</v>
      </c>
      <c r="ES3216" s="552" t="str">
        <f>ER3217</f>
        <v>other</v>
      </c>
      <c r="ET3216" s="552" t="str">
        <f>ES3216</f>
        <v>other</v>
      </c>
      <c r="EU3216" s="552" t="str">
        <f>ET3216</f>
        <v>other</v>
      </c>
      <c r="EV3216" s="552" t="str">
        <f>EU3216</f>
        <v>other</v>
      </c>
      <c r="EW3216" s="48" t="s">
        <v>3688</v>
      </c>
      <c r="EX3216" s="48" t="s">
        <v>3660</v>
      </c>
      <c r="EY3216" s="552" t="str">
        <f>EX3219</f>
        <v>other</v>
      </c>
      <c r="EZ3216" s="552" t="str">
        <f>EY3216</f>
        <v>other</v>
      </c>
      <c r="FA3216" s="48" t="s">
        <v>3705</v>
      </c>
      <c r="FB3216" s="552" t="str">
        <f>FA3217</f>
        <v>other</v>
      </c>
      <c r="FC3216" s="552" t="str">
        <f>FB3216</f>
        <v>other</v>
      </c>
      <c r="FD3216" s="48" t="s">
        <v>3706</v>
      </c>
      <c r="FE3216" s="552" t="str">
        <f>FD3217</f>
        <v>other</v>
      </c>
      <c r="FF3216" s="552" t="str">
        <f>FE3216</f>
        <v>other</v>
      </c>
      <c r="FG3216" s="552" t="str">
        <f>FF3216</f>
        <v>other</v>
      </c>
      <c r="FH3216" s="552" t="str">
        <f>FG3216</f>
        <v>other</v>
      </c>
      <c r="FI3216" s="48" t="s">
        <v>3710</v>
      </c>
      <c r="FJ3216" s="48" t="s">
        <v>3679</v>
      </c>
      <c r="FK3216" s="48" t="s">
        <v>3667</v>
      </c>
      <c r="FL3216" s="552" t="str">
        <f>FK3217</f>
        <v>other</v>
      </c>
      <c r="FM3216" s="552" t="str">
        <f>FL3216</f>
        <v>other</v>
      </c>
      <c r="FN3216" s="552" t="str">
        <f>FM3216</f>
        <v>other</v>
      </c>
      <c r="FO3216" s="552" t="str">
        <f>FN3216</f>
        <v>other</v>
      </c>
      <c r="FP3216" s="48" t="s">
        <v>3678</v>
      </c>
      <c r="FQ3216" s="552" t="str">
        <f>FP3217</f>
        <v>other</v>
      </c>
      <c r="FR3216" s="48" t="s">
        <v>3715</v>
      </c>
      <c r="FS3216" s="552" t="str">
        <f>FR3217</f>
        <v>other</v>
      </c>
      <c r="FT3216" s="48" t="s">
        <v>3670</v>
      </c>
      <c r="FU3216" s="552" t="str">
        <f>FT3219</f>
        <v>other</v>
      </c>
      <c r="FV3216" s="552" t="str">
        <f>FU3216</f>
        <v>other</v>
      </c>
      <c r="FW3216" s="48" t="s">
        <v>3675</v>
      </c>
      <c r="FX3216" s="245" t="s">
        <v>885</v>
      </c>
      <c r="FY3216" s="552" t="str">
        <f>FX3215</f>
        <v>other</v>
      </c>
      <c r="FZ3216" s="245" t="s">
        <v>885</v>
      </c>
      <c r="GA3216" s="552" t="str">
        <f>FZ3215</f>
        <v>other</v>
      </c>
      <c r="GB3216" s="245" t="s">
        <v>885</v>
      </c>
    </row>
    <row r="3217" spans="1:184" ht="14.5" hidden="1" x14ac:dyDescent="0.35">
      <c r="A3217" s="322">
        <v>5</v>
      </c>
      <c r="B3217" s="404" t="str">
        <f t="shared" si="123"/>
        <v>California</v>
      </c>
      <c r="C3217" s="405">
        <v>0</v>
      </c>
      <c r="D3217" s="406" t="s">
        <v>1022</v>
      </c>
      <c r="AC3217" s="48" t="str">
        <f ca="1">IF($D$3207&gt;7,AE3197,BS3218)</f>
        <v>Since your conviction occurred 125 years ago, California prevents employers and others from running a criminal background check that far back.</v>
      </c>
      <c r="BO3217" s="48" t="str">
        <f ca="1">CONCATENATE($AE$3201,B3217,$AE$3207)</f>
        <v>Since your conviction occurred 125 years ago, and you earn only about $0 per year, California prevents employers and others from running a criminal background check that far back.</v>
      </c>
      <c r="BR3217" s="245" t="s">
        <v>885</v>
      </c>
      <c r="BT3217" s="245" t="s">
        <v>885</v>
      </c>
      <c r="BU3217" s="48">
        <v>7</v>
      </c>
      <c r="BV3217" s="48">
        <v>9</v>
      </c>
      <c r="BX3217" s="52">
        <f t="shared" si="128"/>
        <v>16</v>
      </c>
      <c r="BZ3217" s="48" t="s">
        <v>3721</v>
      </c>
      <c r="CF3217" t="s">
        <v>1057</v>
      </c>
      <c r="CG3217" s="650">
        <v>309</v>
      </c>
      <c r="CH3217" s="471">
        <v>122417</v>
      </c>
      <c r="CI3217" s="471">
        <v>39613493</v>
      </c>
      <c r="CJ3217" s="653">
        <f t="shared" si="129"/>
        <v>3.0902854237065134E-3</v>
      </c>
      <c r="CK3217" s="48">
        <f t="shared" si="124"/>
        <v>612</v>
      </c>
      <c r="CL3217" s="48">
        <f t="shared" si="125"/>
        <v>18852</v>
      </c>
      <c r="CM3217" s="48" t="str">
        <f t="shared" si="126"/>
        <v>18,852</v>
      </c>
      <c r="CN3217" s="48" t="str">
        <f t="shared" si="130"/>
        <v>122,417</v>
      </c>
      <c r="CO3217" s="48" t="str">
        <f t="shared" si="127"/>
        <v>612 to 18,852 in a prison population of 122,417</v>
      </c>
      <c r="DZ3217" s="557" t="str">
        <f>IF($B$265=$EC$3213,$EC3217,IF($B$265=$ED$3213,$ED3217,IF($B$265=$EE$3213,$EE3217,IF($B$265=$EF$3213,$EF3217,IF($B$265=$EG$3213,$EG3217,IF($B$265=$EH$3213,$EH3217,IF($B$265=$EI$3213,$EI3217,IF($B$265=$EJ$3213,$EJ3217,IF($B$265=$EK$3213,$EK3217,IF($B$265=$EL$3213,$EL3217,IF($B$265=$EC$3213,$EC3217,IF($B$265=$ED$3213,$ED3217,IF($B$265=$EE$3213,$EE3217,IF($B$265=$EF$3213,$EF3217,IF($B$265=$EG$3213,$EG3217,IF($B$265=$EH$3213,$EH3217,IF($B$265=$EI$3213,$EI3217,IF($B$265=$EJ$3213,$EJ3217,IF($B$265=$EK$3213,$EK3217,IF($B$265=$EL$3213,$EL3217,IF($B$265=$EM$3213,$EM3217,IF($B$265=$EN$3213,$EN3217,IF($B$265=$EO$3213,$EO3217,IF($B$265=$EP$3213,$EP3217,IF($B$265=$EQ$3213,$EQ3217,IF($B$265=$ER$3213,$ER3217,IF($B$265=$ES$3213,$ES3217,IF($B$265=$ET$3213,$ET3217,IF($B$265=$EU$3213,$EU3217,IF($B$265=$EV$3213,$EV3217,IF($B$265=$EW$3213,$EW3217,IF($B$265=$EX$3213,$EX3217,IF($B$265=$EY$3213,$EY3217,IF($B$265=$EZ$3213,$EZ3217,IF($B$265=$FA$3213,$FA3217,IF($B$265=$FB$3213,$FB3217,IF($B$265=$FC$3213,$FC3217,IF($B$265=$FD$3213,$FD3217,IF($B$265=$FE$3213,$FE3217,IF($B$265=$FF$3213,$FF3217,IF($B$265=$FG$3213,$FG3217,IF($B$265=$FH$3213,$FH3217,IF($B$265=$FI$3213,$FI3217,IF($B$265=$FJ$3213,$FJ3217,IF($B$265=$FK$3213,$FK3217,IF($B$265=$FL$3213,$FL3217,IF($B$265=$FM$3213,$FM3217,IF($B$265=$FN$3213,$FN3217,IF($B$265=$FO$3213,$FO3217,IF($B$265=$FP$3213,$FP3217,$DZ$3213))))))))))))))))))))))))))))))))))))))))))))))))))</f>
        <v>Innocence Project</v>
      </c>
      <c r="EA3217" s="231"/>
      <c r="EB3217" s="4"/>
      <c r="EC3217" s="503" t="s">
        <v>885</v>
      </c>
      <c r="ED3217" s="503" t="s">
        <v>885</v>
      </c>
      <c r="EE3217" s="503" t="s">
        <v>885</v>
      </c>
      <c r="EF3217" s="503" t="s">
        <v>885</v>
      </c>
      <c r="EG3217" s="4" t="s">
        <v>3694</v>
      </c>
      <c r="EH3217" s="552" t="str">
        <f>EG3218</f>
        <v>other</v>
      </c>
      <c r="EI3217" s="552" t="str">
        <f>EH3217</f>
        <v>other</v>
      </c>
      <c r="EJ3217" s="503" t="s">
        <v>885</v>
      </c>
      <c r="EK3217" s="503" t="s">
        <v>885</v>
      </c>
      <c r="EL3217" s="552" t="str">
        <f>EK3216</f>
        <v>other</v>
      </c>
      <c r="EM3217" s="245" t="s">
        <v>885</v>
      </c>
      <c r="EN3217" s="245" t="s">
        <v>885</v>
      </c>
      <c r="EO3217" s="245" t="s">
        <v>885</v>
      </c>
      <c r="EP3217" s="48" t="s">
        <v>3700</v>
      </c>
      <c r="ER3217" s="552" t="str">
        <f>EQ3216</f>
        <v>other</v>
      </c>
      <c r="ES3217" s="245" t="s">
        <v>885</v>
      </c>
      <c r="ET3217" s="245" t="s">
        <v>885</v>
      </c>
      <c r="EU3217" s="245" t="s">
        <v>885</v>
      </c>
      <c r="EV3217" s="245" t="s">
        <v>885</v>
      </c>
      <c r="EW3217" s="552" t="str">
        <f>EV3216</f>
        <v>other</v>
      </c>
      <c r="EX3217" s="48" t="s">
        <v>3703</v>
      </c>
      <c r="EY3217" s="245" t="s">
        <v>885</v>
      </c>
      <c r="EZ3217" s="245" t="s">
        <v>885</v>
      </c>
      <c r="FA3217" s="552" t="str">
        <f>EZ3216</f>
        <v>other</v>
      </c>
      <c r="FB3217" s="245" t="s">
        <v>885</v>
      </c>
      <c r="FC3217" s="245" t="s">
        <v>885</v>
      </c>
      <c r="FD3217" s="552" t="str">
        <f>FC3216</f>
        <v>other</v>
      </c>
      <c r="FE3217" s="245" t="s">
        <v>885</v>
      </c>
      <c r="FF3217" s="245" t="s">
        <v>885</v>
      </c>
      <c r="FG3217" s="245" t="s">
        <v>885</v>
      </c>
      <c r="FH3217" s="245" t="s">
        <v>885</v>
      </c>
      <c r="FI3217" s="48" t="s">
        <v>3711</v>
      </c>
      <c r="FJ3217" s="48" t="s">
        <v>3714</v>
      </c>
      <c r="FK3217" s="552" t="str">
        <f>FJ3218</f>
        <v>other</v>
      </c>
      <c r="FL3217" s="245" t="s">
        <v>885</v>
      </c>
      <c r="FM3217" s="245" t="s">
        <v>885</v>
      </c>
      <c r="FN3217" s="245" t="s">
        <v>885</v>
      </c>
      <c r="FO3217" s="245" t="s">
        <v>885</v>
      </c>
      <c r="FP3217" s="552" t="str">
        <f>FO3216</f>
        <v>other</v>
      </c>
      <c r="FQ3217" s="245" t="s">
        <v>885</v>
      </c>
      <c r="FR3217" s="552" t="str">
        <f>FQ3216</f>
        <v>other</v>
      </c>
      <c r="FS3217" s="245" t="s">
        <v>885</v>
      </c>
      <c r="FT3217" s="48" t="s">
        <v>3687</v>
      </c>
      <c r="FU3217" s="245" t="s">
        <v>885</v>
      </c>
      <c r="FV3217" s="245" t="s">
        <v>885</v>
      </c>
      <c r="FW3217" s="552" t="str">
        <f>FV3216</f>
        <v>other</v>
      </c>
      <c r="FX3217" s="245" t="s">
        <v>885</v>
      </c>
      <c r="FY3217" s="245" t="s">
        <v>885</v>
      </c>
      <c r="FZ3217" s="245" t="s">
        <v>885</v>
      </c>
      <c r="GA3217" s="245" t="s">
        <v>885</v>
      </c>
      <c r="GB3217" s="245" t="s">
        <v>885</v>
      </c>
    </row>
    <row r="3218" spans="1:184" ht="14.5" hidden="1" x14ac:dyDescent="0.35">
      <c r="A3218" s="322">
        <v>6</v>
      </c>
      <c r="B3218" s="404" t="str">
        <f t="shared" si="123"/>
        <v>Colorado</v>
      </c>
      <c r="C3218" s="407">
        <v>75000</v>
      </c>
      <c r="D3218" s="406" t="s">
        <v>1023</v>
      </c>
      <c r="AC3218" s="48" t="str">
        <f ca="1">IF($D$3207&gt;7,BO3218,BS3219)</f>
        <v>Since your conviction occurred 125 years ago, and you earn only about $0 per year, Colorado prevents employers and others from running a criminal background check that far back.</v>
      </c>
      <c r="BO3218" s="48" t="str">
        <f ca="1">CONCATENATE($AE$3201,B3218,$AE$3207)</f>
        <v>Since your conviction occurred 125 years ago, and you earn only about $0 per year, Colorado prevents employers and others from running a criminal background check that far back.</v>
      </c>
      <c r="BR3218" s="245" t="s">
        <v>885</v>
      </c>
      <c r="BS3218" s="48" t="str">
        <f>CONCATENATE(B3217,AE3208)</f>
        <v>California cannnot limit how far back and employer can run a background check.</v>
      </c>
      <c r="BT3218" s="245" t="s">
        <v>885</v>
      </c>
      <c r="BV3218" s="48">
        <v>3</v>
      </c>
      <c r="BX3218" s="52">
        <f t="shared" si="128"/>
        <v>3</v>
      </c>
      <c r="BZ3218" s="48" t="s">
        <v>3721</v>
      </c>
      <c r="CF3218" t="s">
        <v>1062</v>
      </c>
      <c r="CG3218" s="650">
        <v>336</v>
      </c>
      <c r="CH3218" s="471">
        <v>19785</v>
      </c>
      <c r="CI3218" s="471">
        <v>5893634</v>
      </c>
      <c r="CJ3218" s="653">
        <f t="shared" si="129"/>
        <v>3.3570119895466872E-3</v>
      </c>
      <c r="CK3218" s="48">
        <f t="shared" si="124"/>
        <v>99</v>
      </c>
      <c r="CL3218" s="48">
        <f t="shared" si="125"/>
        <v>3047</v>
      </c>
      <c r="CM3218" s="48" t="str">
        <f t="shared" si="126"/>
        <v>3,047</v>
      </c>
      <c r="CN3218" s="48" t="str">
        <f t="shared" si="130"/>
        <v>19,785</v>
      </c>
      <c r="CO3218" s="48" t="str">
        <f t="shared" si="127"/>
        <v>99 to 3,047 in a prison population of 19,785</v>
      </c>
      <c r="DZ3218" s="557" t="str">
        <f>IF($B$265=$EC$3213,$EC3218,IF($B$265=$ED$3213,$ED3218,IF($B$265=$EE$3213,$EE3218,IF($B$265=$EF$3213,$EF3218,IF($B$265=$EG$3213,$EG3218,IF($B$265=$EH$3213,$EH3218,IF($B$265=$EI$3213,$EI3218,IF($B$265=$EJ$3213,$EJ3218,IF($B$265=$EK$3213,$EK3218,IF($B$265=$EL$3213,$EL3218,IF($B$265=$EC$3213,$EC3218,IF($B$265=$ED$3213,$ED3218,IF($B$265=$EE$3213,$EE3218,IF($B$265=$EF$3213,$EF3218,IF($B$265=$EG$3213,$EG3218,IF($B$265=$EH$3213,$EH3218,IF($B$265=$EI$3213,$EI3218,IF($B$265=$EJ$3213,$EJ3218,IF($B$265=$EK$3213,$EK3218,IF($B$265=$EL$3213,$EL3218,IF($B$265=$EM$3213,$EM3218,IF($B$265=$EN$3213,$EN3218,IF($B$265=$EO$3213,$EO3218,IF($B$265=$EP$3213,$EP3218,IF($B$265=$EQ$3213,$EQ3218,IF($B$265=$ER$3213,$ER3218,IF($B$265=$ES$3213,$ES3218,IF($B$265=$ET$3213,$ET3218,IF($B$265=$EU$3213,$EU3218,IF($B$265=$EV$3213,$EV3218,IF($B$265=$EW$3213,$EW3218,IF($B$265=$EX$3213,$EX3218,IF($B$265=$EY$3213,$EY3218,IF($B$265=$EZ$3213,$EZ3218,IF($B$265=$FA$3213,$FA3218,IF($B$265=$FB$3213,$FB3218,IF($B$265=$FC$3213,$FC3218,IF($B$265=$FD$3213,$FD3218,IF($B$265=$FE$3213,$FE3218,IF($B$265=$FF$3213,$FF3218,IF($B$265=$FG$3213,$FG3218,IF($B$265=$FH$3213,$FH3218,IF($B$265=$FI$3213,$FI3218,IF($B$265=$FJ$3213,$FJ3218,IF($B$265=$FK$3213,$FK3218,IF($B$265=$FL$3213,$FL3218,IF($B$265=$FM$3213,$FM3218,IF($B$265=$FN$3213,$FN3218,IF($B$265=$FO$3213,$FO3218,IF($B$265=$FP$3213,$FP3218,$DZ$3213))))))))))))))))))))))))))))))))))))))))))))))))))</f>
        <v>Innocence Project</v>
      </c>
      <c r="EA3218" s="231"/>
      <c r="EB3218" s="4"/>
      <c r="EC3218" s="503" t="s">
        <v>885</v>
      </c>
      <c r="ED3218" s="503" t="s">
        <v>885</v>
      </c>
      <c r="EE3218" s="503" t="s">
        <v>885</v>
      </c>
      <c r="EF3218" s="503" t="s">
        <v>885</v>
      </c>
      <c r="EG3218" s="552" t="str">
        <f>EF3215</f>
        <v>other</v>
      </c>
      <c r="EH3218" s="503" t="s">
        <v>885</v>
      </c>
      <c r="EI3218" s="503" t="s">
        <v>885</v>
      </c>
      <c r="EJ3218" s="503" t="s">
        <v>885</v>
      </c>
      <c r="EK3218" s="503" t="s">
        <v>885</v>
      </c>
      <c r="EL3218" s="503" t="s">
        <v>885</v>
      </c>
      <c r="EM3218" s="245" t="s">
        <v>885</v>
      </c>
      <c r="EN3218" s="245" t="s">
        <v>885</v>
      </c>
      <c r="EO3218" s="245" t="s">
        <v>885</v>
      </c>
      <c r="EP3218" s="552" t="str">
        <f>EO3216</f>
        <v>other</v>
      </c>
      <c r="EQ3218" s="245" t="s">
        <v>885</v>
      </c>
      <c r="ER3218" s="245" t="s">
        <v>885</v>
      </c>
      <c r="ES3218" s="245" t="s">
        <v>885</v>
      </c>
      <c r="ET3218" s="245" t="s">
        <v>885</v>
      </c>
      <c r="EU3218" s="245" t="s">
        <v>885</v>
      </c>
      <c r="EV3218" s="245" t="s">
        <v>885</v>
      </c>
      <c r="EW3218" s="245" t="s">
        <v>885</v>
      </c>
      <c r="EX3218" s="48" t="s">
        <v>3678</v>
      </c>
      <c r="EY3218" s="245" t="s">
        <v>885</v>
      </c>
      <c r="EZ3218" s="245" t="s">
        <v>885</v>
      </c>
      <c r="FA3218" s="245" t="s">
        <v>885</v>
      </c>
      <c r="FB3218" s="245" t="s">
        <v>885</v>
      </c>
      <c r="FC3218" s="245" t="s">
        <v>885</v>
      </c>
      <c r="FD3218" s="245" t="s">
        <v>885</v>
      </c>
      <c r="FE3218" s="245" t="s">
        <v>885</v>
      </c>
      <c r="FF3218" s="245" t="s">
        <v>885</v>
      </c>
      <c r="FG3218" s="245" t="s">
        <v>885</v>
      </c>
      <c r="FH3218" s="245" t="s">
        <v>885</v>
      </c>
      <c r="FI3218" s="48" t="s">
        <v>3712</v>
      </c>
      <c r="FJ3218" s="552" t="str">
        <f>FI3219</f>
        <v>other</v>
      </c>
      <c r="FK3218" s="245" t="s">
        <v>885</v>
      </c>
      <c r="FL3218" s="245" t="s">
        <v>885</v>
      </c>
      <c r="FM3218" s="245" t="s">
        <v>885</v>
      </c>
      <c r="FN3218" s="245" t="s">
        <v>885</v>
      </c>
      <c r="FO3218" s="245" t="s">
        <v>885</v>
      </c>
      <c r="FP3218" s="245" t="s">
        <v>885</v>
      </c>
      <c r="FQ3218" s="245" t="s">
        <v>885</v>
      </c>
      <c r="FR3218" s="245" t="s">
        <v>885</v>
      </c>
      <c r="FT3218" s="48" t="s">
        <v>3718</v>
      </c>
      <c r="FU3218" s="245" t="s">
        <v>885</v>
      </c>
      <c r="FV3218" s="245" t="s">
        <v>885</v>
      </c>
      <c r="FW3218" s="245" t="s">
        <v>885</v>
      </c>
      <c r="FX3218" s="245" t="s">
        <v>885</v>
      </c>
      <c r="FY3218" s="245" t="s">
        <v>885</v>
      </c>
      <c r="FZ3218" s="245" t="s">
        <v>885</v>
      </c>
      <c r="GA3218" s="245" t="s">
        <v>885</v>
      </c>
      <c r="GB3218" s="245" t="s">
        <v>885</v>
      </c>
    </row>
    <row r="3219" spans="1:184" ht="14.5" hidden="1" x14ac:dyDescent="0.35">
      <c r="A3219" s="322">
        <v>7</v>
      </c>
      <c r="B3219" s="404" t="str">
        <f t="shared" si="123"/>
        <v>Connecticut</v>
      </c>
      <c r="C3219" s="407"/>
      <c r="D3219" s="406"/>
      <c r="AC3219" s="48" t="str">
        <f t="shared" ref="AC3219:AC3228" si="132">CONCATENATE(AV$3209,B3219,AE$3209,AE$3210)</f>
        <v xml:space="preserve">Unfortunately, Connecticut does not limit how far back and employer can run a background check. Background screeners must rely on indiscriminate records that fail to distinguish between "reliable evidence-based convictions" and "non-exonerated wrongful convictions"--permitting illicit discrimination. </v>
      </c>
      <c r="BR3219" s="245" t="s">
        <v>885</v>
      </c>
      <c r="BS3219" s="48" t="str">
        <f>CONCATENATE(B3218,AE$3208)</f>
        <v>Colorado cannnot limit how far back and employer can run a background check.</v>
      </c>
      <c r="BT3219" s="245" t="s">
        <v>885</v>
      </c>
      <c r="BX3219" s="52">
        <f t="shared" si="128"/>
        <v>0</v>
      </c>
      <c r="BZ3219" s="48" t="s">
        <v>3723</v>
      </c>
      <c r="CF3219" t="s">
        <v>1068</v>
      </c>
      <c r="CG3219" s="650">
        <v>246</v>
      </c>
      <c r="CH3219" s="471">
        <v>8751</v>
      </c>
      <c r="CI3219" s="471">
        <v>3552821</v>
      </c>
      <c r="CJ3219" s="653">
        <f t="shared" si="129"/>
        <v>2.4631131149022143E-3</v>
      </c>
      <c r="CK3219" s="48">
        <f t="shared" si="124"/>
        <v>44</v>
      </c>
      <c r="CL3219" s="48">
        <f t="shared" si="125"/>
        <v>1348</v>
      </c>
      <c r="CM3219" s="48" t="str">
        <f t="shared" si="126"/>
        <v>1,348</v>
      </c>
      <c r="CN3219" s="48" t="str">
        <f t="shared" si="130"/>
        <v>8,751</v>
      </c>
      <c r="CO3219" s="48" t="str">
        <f t="shared" si="127"/>
        <v>44 to 1,348 in a prison population of 8,751</v>
      </c>
      <c r="DZ3219" s="557" t="str">
        <f>IF($B$265=$EC$3213,$EC3219,IF($B$265=$ED$3213,$ED3219,IF($B$265=$EE$3213,$EE3219,IF($B$265=$EF$3213,$EF3219,IF($B$265=$EG$3213,$EG3219,IF($B$265=$EH$3213,$EH3219,IF($B$265=$EI$3213,$EI3219,IF($B$265=$EJ$3213,$EJ3219,IF($B$265=$EK$3213,$EK3219,IF($B$265=$EL$3213,$EL3219,IF($B$265=$EC$3213,$EC3219,IF($B$265=$ED$3213,$ED3219,IF($B$265=$EE$3213,$EE3219,IF($B$265=$EF$3213,$EF3219,IF($B$265=$EG$3213,$EG3219,IF($B$265=$EH$3213,$EH3219,IF($B$265=$EI$3213,$EI3219,IF($B$265=$EJ$3213,$EJ3219,IF($B$265=$EK$3213,$EK3219,IF($B$265=$EL$3213,$EL3219,IF($B$265=$EM$3213,$EM3219,IF($B$265=$EN$3213,$EN3219,IF($B$265=$EO$3213,$EO3219,IF($B$265=$EP$3213,$EP3219,IF($B$265=$EQ$3213,$EQ3219,IF($B$265=$ER$3213,$ER3219,IF($B$265=$ES$3213,$ES3219,IF($B$265=$ET$3213,$ET3219,IF($B$265=$EU$3213,$EU3219,IF($B$265=$EV$3213,$EV3219,IF($B$265=$EW$3213,$EW3219,IF($B$265=$EX$3213,$EX3219,IF($B$265=$EY$3213,$EY3219,IF($B$265=$EZ$3213,$EZ3219,IF($B$265=$FA$3213,$FA3219,IF($B$265=$FB$3213,$FB3219,IF($B$265=$FC$3213,$FC3219,IF($B$265=$FD$3213,$FD3219,IF($B$265=$FE$3213,$FE3219,IF($B$265=$FF$3213,$FF3219,IF($B$265=$FG$3213,$FG3219,IF($B$265=$FH$3213,$FH3219,IF($B$265=$FI$3213,$FI3219,IF($B$265=$FJ$3213,$FJ3219,IF($B$265=$FK$3213,$FK3219,IF($B$265=$FL$3213,$FL3219,IF($B$265=$FM$3213,$FM3219,IF($B$265=$FN$3213,$FN3219,IF($B$265=$FO$3213,$FO3219,IF($B$265=$FP$3213,$FP3219,$DZ$3213))))))))))))))))))))))))))))))))))))))))))))))))))</f>
        <v>Innocence Project</v>
      </c>
      <c r="EA3219" s="231"/>
      <c r="EB3219" s="4"/>
      <c r="EC3219" s="503" t="s">
        <v>885</v>
      </c>
      <c r="ED3219" s="503" t="s">
        <v>885</v>
      </c>
      <c r="EE3219" s="245" t="s">
        <v>885</v>
      </c>
      <c r="EF3219" s="503" t="s">
        <v>885</v>
      </c>
      <c r="EG3219" s="245" t="s">
        <v>885</v>
      </c>
      <c r="EH3219" s="245" t="s">
        <v>885</v>
      </c>
      <c r="EI3219" s="245" t="s">
        <v>885</v>
      </c>
      <c r="EJ3219" s="245" t="s">
        <v>885</v>
      </c>
      <c r="EK3219" s="245" t="s">
        <v>885</v>
      </c>
      <c r="EL3219" s="245" t="s">
        <v>885</v>
      </c>
      <c r="EM3219" s="245" t="s">
        <v>885</v>
      </c>
      <c r="EN3219" s="245" t="s">
        <v>885</v>
      </c>
      <c r="EO3219" s="245" t="s">
        <v>885</v>
      </c>
      <c r="EP3219" s="245" t="s">
        <v>885</v>
      </c>
      <c r="EQ3219" s="245" t="s">
        <v>885</v>
      </c>
      <c r="ER3219" s="245" t="s">
        <v>885</v>
      </c>
      <c r="ES3219" s="245" t="s">
        <v>885</v>
      </c>
      <c r="ET3219" s="245" t="s">
        <v>885</v>
      </c>
      <c r="EU3219" s="245" t="s">
        <v>885</v>
      </c>
      <c r="EV3219" s="245" t="s">
        <v>885</v>
      </c>
      <c r="EW3219" s="245" t="s">
        <v>885</v>
      </c>
      <c r="EX3219" s="552" t="str">
        <f>EW3217</f>
        <v>other</v>
      </c>
      <c r="EY3219" s="245" t="s">
        <v>885</v>
      </c>
      <c r="EZ3219" s="245" t="s">
        <v>885</v>
      </c>
      <c r="FA3219" s="245" t="s">
        <v>885</v>
      </c>
      <c r="FB3219" s="245" t="s">
        <v>885</v>
      </c>
      <c r="FC3219" s="245" t="s">
        <v>885</v>
      </c>
      <c r="FD3219" s="245" t="s">
        <v>885</v>
      </c>
      <c r="FE3219" s="245" t="s">
        <v>885</v>
      </c>
      <c r="FF3219" s="245" t="s">
        <v>885</v>
      </c>
      <c r="FG3219" s="245" t="s">
        <v>885</v>
      </c>
      <c r="FH3219" s="245" t="s">
        <v>885</v>
      </c>
      <c r="FI3219" s="552" t="str">
        <f>FH3216</f>
        <v>other</v>
      </c>
      <c r="FJ3219" s="245" t="s">
        <v>885</v>
      </c>
      <c r="FK3219" s="245" t="s">
        <v>885</v>
      </c>
      <c r="FL3219" s="245" t="s">
        <v>885</v>
      </c>
      <c r="FM3219" s="245" t="s">
        <v>885</v>
      </c>
      <c r="FN3219" s="245" t="s">
        <v>885</v>
      </c>
      <c r="FO3219" s="245" t="s">
        <v>885</v>
      </c>
      <c r="FP3219" s="245" t="s">
        <v>885</v>
      </c>
      <c r="FQ3219" s="245" t="s">
        <v>885</v>
      </c>
      <c r="FR3219" s="245" t="s">
        <v>885</v>
      </c>
      <c r="FS3219" s="245" t="s">
        <v>885</v>
      </c>
      <c r="FT3219" s="552" t="str">
        <f>FS3216</f>
        <v>other</v>
      </c>
      <c r="FU3219" s="245" t="s">
        <v>885</v>
      </c>
      <c r="FV3219" s="245" t="s">
        <v>885</v>
      </c>
      <c r="FW3219" s="245" t="s">
        <v>885</v>
      </c>
      <c r="FX3219" s="245" t="s">
        <v>885</v>
      </c>
      <c r="FY3219" s="245" t="s">
        <v>885</v>
      </c>
      <c r="FZ3219" s="245" t="s">
        <v>885</v>
      </c>
      <c r="GA3219" s="245" t="s">
        <v>885</v>
      </c>
      <c r="GB3219" s="245" t="s">
        <v>885</v>
      </c>
    </row>
    <row r="3220" spans="1:184" ht="15" hidden="1" thickBot="1" x14ac:dyDescent="0.4">
      <c r="A3220" s="322">
        <v>8</v>
      </c>
      <c r="B3220" s="404" t="str">
        <f t="shared" si="123"/>
        <v>Delaware</v>
      </c>
      <c r="C3220" s="407"/>
      <c r="D3220" s="406"/>
      <c r="AC3220" s="48" t="str">
        <f t="shared" si="132"/>
        <v xml:space="preserve">Unfortunately, Delaware does not limit how far back and employer can run a background check. Background screeners must rely on indiscriminate records that fail to distinguish between "reliable evidence-based convictions" and "non-exonerated wrongful convictions"--permitting illicit discrimination. </v>
      </c>
      <c r="BR3220" s="245" t="s">
        <v>885</v>
      </c>
      <c r="BT3220" s="245" t="s">
        <v>885</v>
      </c>
      <c r="BW3220" s="48">
        <v>1</v>
      </c>
      <c r="BX3220" s="52">
        <f t="shared" si="128"/>
        <v>1</v>
      </c>
      <c r="BZ3220" s="48" t="s">
        <v>4141</v>
      </c>
      <c r="CF3220" t="s">
        <v>1075</v>
      </c>
      <c r="CG3220" s="650">
        <v>418</v>
      </c>
      <c r="CH3220" s="471">
        <v>4141</v>
      </c>
      <c r="CI3220" s="471">
        <v>990334</v>
      </c>
      <c r="CJ3220" s="653">
        <f t="shared" si="129"/>
        <v>4.1814175823510049E-3</v>
      </c>
      <c r="CK3220" s="48">
        <f t="shared" si="124"/>
        <v>21</v>
      </c>
      <c r="CL3220" s="48">
        <f t="shared" si="125"/>
        <v>638</v>
      </c>
      <c r="CM3220" s="48" t="str">
        <f t="shared" si="126"/>
        <v>638</v>
      </c>
      <c r="CN3220" s="48" t="str">
        <f t="shared" si="130"/>
        <v>4,141</v>
      </c>
      <c r="CO3220" s="48" t="str">
        <f t="shared" si="127"/>
        <v>21 to 638 in a prison population of 4,141</v>
      </c>
      <c r="DZ3220" s="554"/>
      <c r="EA3220" s="555"/>
      <c r="EB3220" s="554"/>
      <c r="EC3220" s="554"/>
      <c r="ED3220" s="554"/>
      <c r="EE3220" s="554"/>
      <c r="EF3220" s="554"/>
      <c r="EG3220" s="554"/>
      <c r="EH3220" s="554"/>
      <c r="EI3220" s="554"/>
      <c r="EJ3220" s="554"/>
      <c r="EK3220" s="554"/>
      <c r="EL3220" s="554"/>
      <c r="EM3220" s="556"/>
      <c r="EN3220" s="556"/>
      <c r="EO3220" s="556"/>
      <c r="EP3220" s="556"/>
      <c r="EQ3220" s="556"/>
      <c r="ER3220" s="556"/>
      <c r="ES3220" s="556"/>
      <c r="ET3220" s="556"/>
      <c r="EU3220" s="556"/>
      <c r="EV3220" s="556"/>
      <c r="EW3220" s="556"/>
      <c r="EX3220" s="556"/>
      <c r="EY3220" s="556"/>
      <c r="EZ3220" s="556"/>
      <c r="FA3220" s="556"/>
      <c r="FB3220" s="556"/>
      <c r="FC3220" s="556"/>
      <c r="FD3220" s="556"/>
      <c r="FE3220" s="556"/>
      <c r="FF3220" s="556"/>
      <c r="FG3220" s="556"/>
      <c r="FH3220" s="556"/>
      <c r="FI3220" s="556"/>
      <c r="FJ3220" s="556"/>
      <c r="FK3220" s="556"/>
      <c r="FL3220" s="556"/>
      <c r="FM3220" s="556"/>
      <c r="FN3220" s="556"/>
      <c r="FO3220" s="556"/>
      <c r="FP3220" s="556"/>
      <c r="FQ3220" s="556"/>
      <c r="FR3220" s="556"/>
      <c r="FS3220" s="556"/>
      <c r="FT3220" s="556"/>
      <c r="FU3220" s="556"/>
      <c r="FV3220" s="556"/>
      <c r="FW3220" s="556"/>
      <c r="FX3220" s="556"/>
      <c r="FY3220" s="556"/>
      <c r="FZ3220" s="556"/>
      <c r="GA3220" s="556"/>
      <c r="GB3220" s="556"/>
    </row>
    <row r="3221" spans="1:184" ht="14.5" hidden="1" x14ac:dyDescent="0.35">
      <c r="A3221" s="322">
        <v>9</v>
      </c>
      <c r="B3221" s="404" t="s">
        <v>1024</v>
      </c>
      <c r="C3221" s="407"/>
      <c r="D3221" s="406"/>
      <c r="AC3221" s="48" t="str">
        <f t="shared" si="132"/>
        <v xml:space="preserve">Unfortunately, DC does not limit how far back and employer can run a background check. Background screeners must rely on indiscriminate records that fail to distinguish between "reliable evidence-based convictions" and "non-exonerated wrongful convictions"--permitting illicit discrimination. </v>
      </c>
      <c r="BR3221" s="245" t="s">
        <v>885</v>
      </c>
      <c r="BT3221" s="245" t="s">
        <v>885</v>
      </c>
      <c r="BV3221" s="48">
        <v>1</v>
      </c>
      <c r="BX3221" s="52">
        <f t="shared" si="128"/>
        <v>1</v>
      </c>
      <c r="BZ3221" s="82" t="s">
        <v>4146</v>
      </c>
      <c r="CN3221" s="48" t="str">
        <f t="shared" si="130"/>
        <v/>
      </c>
      <c r="CO3221" s="48" t="str">
        <f t="shared" si="127"/>
        <v xml:space="preserve"> to  in a prison population of </v>
      </c>
      <c r="DZ3221" s="4"/>
      <c r="EA3221" s="231"/>
      <c r="EB3221" s="4"/>
      <c r="EC3221" s="4"/>
      <c r="ED3221" s="4"/>
      <c r="EE3221" s="4"/>
      <c r="EF3221" s="4"/>
      <c r="EH3221" s="4"/>
      <c r="EI3221" s="4"/>
      <c r="EJ3221" s="4"/>
      <c r="EK3221" s="4"/>
      <c r="EL3221" s="4"/>
    </row>
    <row r="3222" spans="1:184" ht="14.5" hidden="1" x14ac:dyDescent="0.35">
      <c r="A3222" s="322">
        <v>10</v>
      </c>
      <c r="B3222" s="404" t="str">
        <f t="shared" ref="B3222:B3263" si="133">B3287</f>
        <v>Florida</v>
      </c>
      <c r="C3222" s="407"/>
      <c r="D3222" s="406"/>
      <c r="AC3222" s="48" t="str">
        <f t="shared" si="132"/>
        <v xml:space="preserve">Unfortunately, Florida does not limit how far back and employer can run a background check. Background screeners must rely on indiscriminate records that fail to distinguish between "reliable evidence-based convictions" and "non-exonerated wrongful convictions"--permitting illicit discrimination. </v>
      </c>
      <c r="BR3222" s="245" t="s">
        <v>885</v>
      </c>
      <c r="BT3222" s="245" t="s">
        <v>885</v>
      </c>
      <c r="BU3222" s="48">
        <v>3</v>
      </c>
      <c r="BV3222" s="48">
        <v>2</v>
      </c>
      <c r="BX3222" s="52">
        <f t="shared" si="128"/>
        <v>5</v>
      </c>
      <c r="BZ3222" s="48" t="s">
        <v>3725</v>
      </c>
      <c r="CF3222" t="s">
        <v>1083</v>
      </c>
      <c r="CG3222" s="650">
        <v>438</v>
      </c>
      <c r="CH3222" s="471">
        <v>96009</v>
      </c>
      <c r="CI3222" s="471">
        <v>21944577</v>
      </c>
      <c r="CJ3222" s="653">
        <f t="shared" si="129"/>
        <v>4.3750672432647025E-3</v>
      </c>
      <c r="CK3222" s="48">
        <f t="shared" ref="CK3222:CK3263" si="134">ROUND(CH3222*CK$3211,0)</f>
        <v>480</v>
      </c>
      <c r="CL3222" s="48">
        <f t="shared" ref="CL3222:CL3263" si="135">ROUND(CH3222*CL$3211,0)</f>
        <v>14785</v>
      </c>
      <c r="CM3222" s="48" t="str">
        <f t="shared" ref="CM3222:CM3263" si="136">TEXT(CL3222,"##,###")</f>
        <v>14,785</v>
      </c>
      <c r="CN3222" s="48" t="str">
        <f t="shared" si="130"/>
        <v>96,009</v>
      </c>
      <c r="CO3222" s="48" t="str">
        <f t="shared" si="127"/>
        <v>480 to 14,785 in a prison population of 96,009</v>
      </c>
      <c r="DZ3222" s="4"/>
      <c r="EA3222" s="231"/>
      <c r="EB3222" s="4"/>
      <c r="EC3222" s="4"/>
      <c r="ED3222" s="4"/>
      <c r="EE3222" s="4"/>
      <c r="EF3222" s="4"/>
      <c r="EG3222" s="4"/>
      <c r="EH3222" s="4"/>
      <c r="EI3222" s="4"/>
      <c r="EJ3222" s="4"/>
      <c r="EK3222" s="4"/>
      <c r="EL3222" s="4"/>
    </row>
    <row r="3223" spans="1:184" ht="14.5" hidden="1" x14ac:dyDescent="0.35">
      <c r="A3223" s="322">
        <v>11</v>
      </c>
      <c r="B3223" s="404" t="str">
        <f t="shared" si="133"/>
        <v>Georgia</v>
      </c>
      <c r="C3223" s="407"/>
      <c r="D3223" s="406"/>
      <c r="AC3223" s="48" t="str">
        <f t="shared" si="132"/>
        <v xml:space="preserve">Unfortunately, Georgia does not limit how far back and employer can run a background check. Background screeners must rely on indiscriminate records that fail to distinguish between "reliable evidence-based convictions" and "non-exonerated wrongful convictions"--permitting illicit discrimination. </v>
      </c>
      <c r="BR3223" s="245" t="s">
        <v>885</v>
      </c>
      <c r="BT3223" s="245" t="s">
        <v>885</v>
      </c>
      <c r="BV3223" s="48">
        <v>2</v>
      </c>
      <c r="BX3223" s="52">
        <f t="shared" si="128"/>
        <v>2</v>
      </c>
      <c r="BZ3223" s="48" t="s">
        <v>3721</v>
      </c>
      <c r="CF3223" t="s">
        <v>1091</v>
      </c>
      <c r="CG3223" s="650">
        <v>500</v>
      </c>
      <c r="CH3223" s="471">
        <v>54113</v>
      </c>
      <c r="CI3223" s="471">
        <v>10830007</v>
      </c>
      <c r="CJ3223" s="653">
        <f t="shared" si="129"/>
        <v>4.9965803346202825E-3</v>
      </c>
      <c r="CK3223" s="48">
        <f t="shared" si="134"/>
        <v>271</v>
      </c>
      <c r="CL3223" s="48">
        <f t="shared" si="135"/>
        <v>8333</v>
      </c>
      <c r="CM3223" s="48" t="str">
        <f t="shared" si="136"/>
        <v>8,333</v>
      </c>
      <c r="CN3223" s="48" t="str">
        <f t="shared" si="130"/>
        <v>54,113</v>
      </c>
      <c r="CO3223" s="48" t="str">
        <f t="shared" si="127"/>
        <v>271 to 8,333 in a prison population of 54,113</v>
      </c>
      <c r="DZ3223" s="4" t="s">
        <v>1414</v>
      </c>
      <c r="EA3223" s="231"/>
      <c r="EB3223" s="4"/>
      <c r="EC3223" s="4"/>
      <c r="ED3223" s="4"/>
      <c r="EE3223" s="4"/>
      <c r="EF3223" s="4"/>
      <c r="EG3223" s="4"/>
      <c r="EH3223" s="4"/>
      <c r="EI3223" s="4"/>
      <c r="EJ3223" s="4"/>
      <c r="EK3223" s="4"/>
      <c r="EL3223" s="4"/>
    </row>
    <row r="3224" spans="1:184" ht="14.5" hidden="1" x14ac:dyDescent="0.35">
      <c r="A3224" s="322">
        <v>12</v>
      </c>
      <c r="B3224" s="404" t="str">
        <f t="shared" si="133"/>
        <v>Hawaii</v>
      </c>
      <c r="C3224" s="407"/>
      <c r="D3224" s="406"/>
      <c r="AC3224" s="48" t="str">
        <f t="shared" si="132"/>
        <v xml:space="preserve">Unfortunately, Hawaii does not limit how far back and employer can run a background check. Background screeners must rely on indiscriminate records that fail to distinguish between "reliable evidence-based convictions" and "non-exonerated wrongful convictions"--permitting illicit discrimination. </v>
      </c>
      <c r="BR3224" s="245" t="s">
        <v>885</v>
      </c>
      <c r="BT3224" s="245" t="s">
        <v>885</v>
      </c>
      <c r="BX3224" s="52">
        <f t="shared" si="128"/>
        <v>0</v>
      </c>
      <c r="BZ3224" s="48" t="s">
        <v>3722</v>
      </c>
      <c r="CF3224" t="s">
        <v>1093</v>
      </c>
      <c r="CG3224" s="650">
        <v>216</v>
      </c>
      <c r="CH3224" s="471">
        <v>3037</v>
      </c>
      <c r="CI3224" s="471">
        <v>1406430</v>
      </c>
      <c r="CJ3224" s="653">
        <f t="shared" si="129"/>
        <v>2.1593680453346415E-3</v>
      </c>
      <c r="CK3224" s="48">
        <f t="shared" si="134"/>
        <v>15</v>
      </c>
      <c r="CL3224" s="48">
        <f t="shared" si="135"/>
        <v>468</v>
      </c>
      <c r="CM3224" s="48" t="str">
        <f t="shared" si="136"/>
        <v>468</v>
      </c>
      <c r="CN3224" s="48" t="str">
        <f t="shared" si="130"/>
        <v>3,037</v>
      </c>
      <c r="CO3224" s="48" t="str">
        <f t="shared" si="127"/>
        <v>15 to 468 in a prison population of 3,037</v>
      </c>
      <c r="DX3224" s="48" t="str">
        <f>BZ3212</f>
        <v>False of 0 in 0</v>
      </c>
      <c r="DZ3224" s="557" t="str">
        <f>IF($B$265=$EC$3213,$EC3224,IF($B$265=$ED$3213,$ED3224,IF($B$265=$EE$3213,$EE3224,IF($B$265=$EF$3213,$EF3224,IF($B$265=$EG$3213,$EG3224,IF($B$265=$EH$3213,$EH3224,IF($B$265=$EI$3213,$EI3224,IF($B$265=$EJ$3213,$EJ3224,IF($B$265=$EK$3213,$EK3224,IF($B$265=$EL$3213,$EL3224,IF($B$265=$EC$3213,$EC3224,IF($B$265=$ED$3213,$ED3224,IF($B$265=$EE$3213,$EE3224,IF($B$265=$EF$3213,$EF3224,IF($B$265=$EG$3213,$EG3224,IF($B$265=$EH$3213,$EH3224,IF($B$265=$EI$3213,$EI3224,IF($B$265=$EJ$3213,$EJ3224,IF($B$265=$EK$3213,$EK3224,IF($B$265=$EL$3213,$EL3224,IF($B$265=$EM$3213,$EM3224,IF($B$265=$EN$3213,$EN3224,IF($B$265=$EO$3213,$EO3224,IF($B$265=$EP$3213,$EP3224,IF($B$265=$EQ$3213,$EQ3224,IF($B$265=$ER$3213,$ER3224,IF($B$265=$ES$3213,$ES3224,IF($B$265=$ET$3213,$ET3224,IF($B$265=$EU$3213,$EU3224,IF($B$265=$EV$3213,$EV3224,IF($B$265=$EW$3213,$EW3224,IF($B$265=$EX$3213,#REF!,IF($B$265=$EY$3213,$EY3224,IF($B$265=$EZ$3213,$EZ3224,IF($B$265=$FA$3213,$FA3224,IF($B$265=$FB$3213,$FB3224,IF($B$265=$FC$3213,$FC3224,IF($B$265=$FD$3213,$FD3224,IF($B$265=$FE$3213,$FE3224,IF($B$265=$FF$3213,$FF3224,IF($B$265=$FG$3213,$FG3224,IF($B$265=$FH$3213,$FH3224,IF($B$265=$FI$3213,$FI3224,IF($B$265=$FJ$3213,$FJ3224,IF($B$265=$FK$3213,$FK3224,IF($B$265=$FL$3213,$FL3224,IF($B$265=$FM$3213,$FM3224,IF($B$265=$FN$3213,$FN3224,IF($B$265=$FO$3213,$FO3224,IF($B$265=$FP$3213,$FP3224,$DZ$3223))))))))))))))))))))))))))))))))))))))))))))))))))</f>
        <v>DA</v>
      </c>
      <c r="EA3224" s="231"/>
      <c r="EB3224" s="4"/>
      <c r="EC3224" s="4" t="s">
        <v>3721</v>
      </c>
      <c r="ED3224" s="4" t="s">
        <v>3721</v>
      </c>
      <c r="EE3224" s="4" t="s">
        <v>3720</v>
      </c>
      <c r="EF3224" s="4" t="s">
        <v>3722</v>
      </c>
      <c r="EG3224" s="4" t="s">
        <v>3721</v>
      </c>
      <c r="EH3224" s="4" t="s">
        <v>3721</v>
      </c>
      <c r="EI3224" s="4" t="s">
        <v>3723</v>
      </c>
      <c r="EJ3224" s="4" t="s">
        <v>3724</v>
      </c>
      <c r="EK3224" s="4"/>
      <c r="EL3224" s="4" t="s">
        <v>3725</v>
      </c>
      <c r="EM3224" s="4" t="s">
        <v>3721</v>
      </c>
      <c r="EN3224" s="48" t="s">
        <v>3722</v>
      </c>
      <c r="EO3224" s="48" t="s">
        <v>3722</v>
      </c>
      <c r="EP3224" s="4" t="s">
        <v>3723</v>
      </c>
      <c r="EQ3224" s="48" t="s">
        <v>3722</v>
      </c>
      <c r="ER3224" s="48" t="s">
        <v>3720</v>
      </c>
      <c r="ES3224" s="48" t="s">
        <v>3720</v>
      </c>
      <c r="ET3224" s="48" t="s">
        <v>3726</v>
      </c>
      <c r="EU3224" s="48" t="s">
        <v>3721</v>
      </c>
      <c r="EV3224" s="48" t="s">
        <v>3721</v>
      </c>
      <c r="EW3224" s="4" t="s">
        <v>3723</v>
      </c>
      <c r="EX3224" s="48" t="s">
        <v>3721</v>
      </c>
      <c r="EY3224" s="48" t="s">
        <v>3722</v>
      </c>
      <c r="EZ3224" s="48" t="s">
        <v>3720</v>
      </c>
      <c r="FA3224" s="48" t="s">
        <v>3721</v>
      </c>
      <c r="FB3224" s="48" t="s">
        <v>3722</v>
      </c>
      <c r="FC3224" s="48" t="s">
        <v>3720</v>
      </c>
      <c r="FD3224" s="48" t="s">
        <v>3720</v>
      </c>
      <c r="FE3224" s="48" t="s">
        <v>3721</v>
      </c>
      <c r="FF3224" s="48" t="s">
        <v>3720</v>
      </c>
      <c r="FG3224" s="48" t="s">
        <v>3727</v>
      </c>
      <c r="FH3224" s="48" t="s">
        <v>3721</v>
      </c>
      <c r="FI3224" s="48" t="s">
        <v>3721</v>
      </c>
      <c r="FJ3224" s="48" t="s">
        <v>3721</v>
      </c>
      <c r="FK3224" s="4" t="s">
        <v>3723</v>
      </c>
      <c r="FL3224" s="48" t="s">
        <v>3722</v>
      </c>
      <c r="FM3224" s="48" t="s">
        <v>3721</v>
      </c>
      <c r="FN3224" s="48" t="s">
        <v>3721</v>
      </c>
      <c r="FO3224" s="48" t="s">
        <v>3721</v>
      </c>
      <c r="FP3224" s="48" t="s">
        <v>3724</v>
      </c>
      <c r="FQ3224" s="48" t="s">
        <v>3728</v>
      </c>
      <c r="FR3224" s="4" t="s">
        <v>3723</v>
      </c>
      <c r="FS3224" s="48" t="s">
        <v>3721</v>
      </c>
      <c r="FT3224" s="558" t="s">
        <v>3721</v>
      </c>
      <c r="FU3224" s="558" t="s">
        <v>3721</v>
      </c>
      <c r="FV3224" s="558" t="s">
        <v>3721</v>
      </c>
      <c r="FW3224" s="558" t="s">
        <v>3721</v>
      </c>
      <c r="FX3224" s="558" t="s">
        <v>3721</v>
      </c>
      <c r="FY3224" s="558" t="s">
        <v>3721</v>
      </c>
      <c r="FZ3224" s="48" t="s">
        <v>3721</v>
      </c>
      <c r="GA3224" s="558" t="s">
        <v>3721</v>
      </c>
    </row>
    <row r="3225" spans="1:184" ht="14.5" hidden="1" x14ac:dyDescent="0.35">
      <c r="A3225" s="322">
        <v>13</v>
      </c>
      <c r="B3225" s="404" t="str">
        <f t="shared" si="133"/>
        <v>Idaho</v>
      </c>
      <c r="C3225" s="407"/>
      <c r="D3225" s="406"/>
      <c r="AC3225" s="48" t="str">
        <f t="shared" si="132"/>
        <v xml:space="preserve">Unfortunately, Idaho does not limit how far back and employer can run a background check. Background screeners must rely on indiscriminate records that fail to distinguish between "reliable evidence-based convictions" and "non-exonerated wrongful convictions"--permitting illicit discrimination. </v>
      </c>
      <c r="BR3225" s="245" t="s">
        <v>885</v>
      </c>
      <c r="BT3225" s="245" t="s">
        <v>885</v>
      </c>
      <c r="BX3225" s="52">
        <f t="shared" si="128"/>
        <v>0</v>
      </c>
      <c r="BZ3225" s="48" t="s">
        <v>3722</v>
      </c>
      <c r="CF3225" t="s">
        <v>1098</v>
      </c>
      <c r="CG3225" s="650">
        <v>461</v>
      </c>
      <c r="CH3225" s="471">
        <v>8571</v>
      </c>
      <c r="CI3225" s="471">
        <v>1860123</v>
      </c>
      <c r="CJ3225" s="653">
        <f t="shared" si="129"/>
        <v>4.6077598094319567E-3</v>
      </c>
      <c r="CK3225" s="48">
        <f t="shared" si="134"/>
        <v>43</v>
      </c>
      <c r="CL3225" s="48">
        <f t="shared" si="135"/>
        <v>1320</v>
      </c>
      <c r="CM3225" s="48" t="str">
        <f t="shared" si="136"/>
        <v>1,320</v>
      </c>
      <c r="CN3225" s="48" t="str">
        <f t="shared" si="130"/>
        <v>8,571</v>
      </c>
      <c r="CO3225" s="48" t="str">
        <f t="shared" si="127"/>
        <v>43 to 1,320 in a prison population of 8,571</v>
      </c>
      <c r="DX3225" s="48" t="str">
        <f>DZ3225</f>
        <v>DA</v>
      </c>
      <c r="DZ3225" s="557" t="str">
        <f>IF($B$265=$EC$3213,$EC3225,IF($B$265=$ED$3213,$ED3225,IF($B$265=$EE$3213,$EE3225,IF($B$265=$EF$3213,$EF3225,IF($B$265=$EG$3213,$EG3225,IF($B$265=$EH$3213,$EH3225,IF($B$265=$EI$3213,$EI3225,IF($B$265=$EJ$3213,$EJ3225,IF($B$265=$EK$3213,$EK3225,IF($B$265=$EL$3213,$EL3225,IF($B$265=$EC$3213,$EC3225,IF($B$265=$ED$3213,$ED3225,IF($B$265=$EE$3213,$EE3225,IF($B$265=$EF$3213,$EF3225,IF($B$265=$EG$3213,$EG3225,IF($B$265=$EH$3213,$EH3225,IF($B$265=$EI$3213,$EI3225,IF($B$265=$EJ$3213,$EJ3225,IF($B$265=$EK$3213,$EK3225,IF($B$265=$EL$3213,$EL3225,IF($B$265=$EM$3213,$EM3225,IF($B$265=$EN$3213,$EN3225,IF($B$265=$EO$3213,$EO3225,IF($B$265=$EP$3213,$EP3225,IF($B$265=$EQ$3213,$EQ3225,IF($B$265=$ER$3213,$ER3225,IF($B$265=$ES$3213,$ES3225,IF($B$265=$ET$3213,$ET3225,IF($B$265=$EU$3213,$EU3225,IF($B$265=$EV$3213,$EV3225,IF($B$265=$EW$3213,$EW3225,IF($B$265=$EX$3213,#REF!,IF($B$265=$EY$3213,$EY3225,IF($B$265=$EZ$3213,$EZ3225,IF($B$265=$FA$3213,$FA3225,IF($B$265=$FB$3213,$FB3225,IF($B$265=$FC$3213,$FC3225,IF($B$265=$FD$3213,$FD3225,IF($B$265=$FE$3213,$FE3225,IF($B$265=$FF$3213,$FF3225,IF($B$265=$FG$3213,$FG3225,IF($B$265=$FH$3213,$FH3225,IF($B$265=$FI$3213,$FI3225,IF($B$265=$FJ$3213,$FJ3225,IF($B$265=$FK$3213,$FK3225,IF($B$265=$FL$3213,$FL3225,IF($B$265=$FM$3213,$FM3225,IF($B$265=$FN$3213,$FN3225,IF($B$265=$FO$3213,$FO3225,IF($B$265=$FP$3213,$FP3225,$DZ$3223))))))))))))))))))))))))))))))))))))))))))))))))))</f>
        <v>DA</v>
      </c>
      <c r="EA3225" s="231"/>
      <c r="EB3225" s="4"/>
      <c r="EC3225" s="4" t="s">
        <v>3729</v>
      </c>
      <c r="ED3225" s="4"/>
      <c r="EE3225" s="4"/>
      <c r="EF3225" s="4"/>
      <c r="EG3225" s="48" t="s">
        <v>3730</v>
      </c>
      <c r="EH3225" s="4"/>
      <c r="EI3225" s="4"/>
      <c r="EJ3225" s="4"/>
      <c r="EK3225" s="4"/>
      <c r="EL3225" s="4"/>
      <c r="FI3225" s="48">
        <v>1</v>
      </c>
    </row>
    <row r="3226" spans="1:184" ht="14.5" hidden="1" x14ac:dyDescent="0.35">
      <c r="A3226" s="322">
        <v>14</v>
      </c>
      <c r="B3226" s="404" t="str">
        <f t="shared" si="133"/>
        <v>Illinois</v>
      </c>
      <c r="C3226" s="407"/>
      <c r="D3226" s="406"/>
      <c r="AC3226" s="48" t="str">
        <f t="shared" si="132"/>
        <v xml:space="preserve">Unfortunately, Illinois does not limit how far back and employer can run a background check. Background screeners must rely on indiscriminate records that fail to distinguish between "reliable evidence-based convictions" and "non-exonerated wrongful convictions"--permitting illicit discrimination. </v>
      </c>
      <c r="BR3226" s="245" t="s">
        <v>885</v>
      </c>
      <c r="BT3226" s="245" t="s">
        <v>885</v>
      </c>
      <c r="BU3226" s="48">
        <v>2</v>
      </c>
      <c r="BV3226" s="48">
        <v>2</v>
      </c>
      <c r="BX3226" s="52">
        <f t="shared" si="128"/>
        <v>4</v>
      </c>
      <c r="BZ3226" s="48" t="s">
        <v>3723</v>
      </c>
      <c r="CF3226" t="s">
        <v>1100</v>
      </c>
      <c r="CG3226" s="650">
        <v>304</v>
      </c>
      <c r="CH3226" s="471">
        <v>38259</v>
      </c>
      <c r="CI3226" s="471">
        <v>12569321</v>
      </c>
      <c r="CJ3226" s="653">
        <f t="shared" si="129"/>
        <v>3.0438398382856163E-3</v>
      </c>
      <c r="CK3226" s="48">
        <f t="shared" si="134"/>
        <v>191</v>
      </c>
      <c r="CL3226" s="48">
        <f t="shared" si="135"/>
        <v>5892</v>
      </c>
      <c r="CM3226" s="48" t="str">
        <f t="shared" si="136"/>
        <v>5,892</v>
      </c>
      <c r="CN3226" s="48" t="str">
        <f t="shared" si="130"/>
        <v>38,259</v>
      </c>
      <c r="CO3226" s="48" t="str">
        <f t="shared" si="127"/>
        <v>191 to 5,892 in a prison population of 38,259</v>
      </c>
      <c r="DX3226" s="48" t="str">
        <f t="shared" ref="DX3226:DX3240" si="137">DZ3226</f>
        <v>DA</v>
      </c>
      <c r="DZ3226" s="557" t="str">
        <f>IF($B$265=$EC$3213,$EC3226,IF($B$265=$ED$3213,$ED3226,IF($B$265=$EE$3213,$EE3226,IF($B$265=$EF$3213,$EF3226,IF($B$265=$EG$3213,$EG3226,IF($B$265=$EH$3213,$EH3226,IF($B$265=$EI$3213,$EI3226,IF($B$265=$EJ$3213,$EJ3226,IF($B$265=$EK$3213,$EK3226,IF($B$265=$EL$3213,$EL3226,IF($B$265=$EC$3213,$EC3226,IF($B$265=$ED$3213,$ED3226,IF($B$265=$EE$3213,$EE3226,IF($B$265=$EF$3213,$EF3226,IF($B$265=$EG$3213,$EG3226,IF($B$265=$EH$3213,$EH3226,IF($B$265=$EI$3213,$EI3226,IF($B$265=$EJ$3213,$EJ3226,IF($B$265=$EK$3213,$EK3226,IF($B$265=$EL$3213,$EL3226,IF($B$265=$EM$3213,$EM3226,IF($B$265=$EN$3213,$EN3226,IF($B$265=$EO$3213,$EO3226,IF($B$265=$EP$3213,$EP3226,IF($B$265=$EQ$3213,$EQ3226,IF($B$265=$ER$3213,$ER3226,IF($B$265=$ES$3213,$ES3226,IF($B$265=$ET$3213,$ET3226,IF($B$265=$EU$3213,$EU3226,IF($B$265=$EV$3213,$EV3226,IF($B$265=$EW$3213,$EW3226,IF($B$265=$EX$3213,#REF!,IF($B$265=$EY$3213,$EY3226,IF($B$265=$EZ$3213,$EZ3226,IF($B$265=$FA$3213,$FA3226,IF($B$265=$FB$3213,$FB3226,IF($B$265=$FC$3213,$FC3226,IF($B$265=$FD$3213,$FD3226,IF($B$265=$FE$3213,$FE3226,IF($B$265=$FF$3213,$FF3226,IF($B$265=$FG$3213,$FG3226,IF($B$265=$FH$3213,$FH3226,IF($B$265=$FI$3213,$FI3226,IF($B$265=$FJ$3213,$FJ3226,IF($B$265=$FK$3213,$FK3226,IF($B$265=$FL$3213,$FL3226,IF($B$265=$FM$3213,$FM3226,IF($B$265=$FN$3213,$FN3226,IF($B$265=$FO$3213,$FO3226,IF($B$265=$FP$3213,$FP3226,$DZ$3223))))))))))))))))))))))))))))))))))))))))))))))))))</f>
        <v>DA</v>
      </c>
      <c r="EA3226" s="231"/>
      <c r="EB3226" s="4"/>
      <c r="EC3226" s="4"/>
      <c r="ED3226" s="4"/>
      <c r="EE3226" s="4"/>
      <c r="EF3226" s="4"/>
      <c r="EG3226" s="4" t="s">
        <v>3731</v>
      </c>
      <c r="EH3226" s="4"/>
      <c r="EI3226" s="4"/>
      <c r="EJ3226" s="4"/>
      <c r="EK3226" s="4"/>
      <c r="EL3226" s="4"/>
      <c r="FI3226" s="48">
        <v>2</v>
      </c>
    </row>
    <row r="3227" spans="1:184" ht="14.5" hidden="1" x14ac:dyDescent="0.35">
      <c r="A3227" s="322">
        <v>15</v>
      </c>
      <c r="B3227" s="404" t="str">
        <f t="shared" si="133"/>
        <v>Indiana</v>
      </c>
      <c r="C3227" s="407"/>
      <c r="D3227" s="406"/>
      <c r="AC3227" s="48" t="str">
        <f t="shared" si="132"/>
        <v xml:space="preserve">Unfortunately, Indiana does not limit how far back and employer can run a background check. Background screeners must rely on indiscriminate records that fail to distinguish between "reliable evidence-based convictions" and "non-exonerated wrongful convictions"--permitting illicit discrimination. </v>
      </c>
      <c r="BR3227" s="245" t="s">
        <v>885</v>
      </c>
      <c r="BT3227" s="245" t="s">
        <v>885</v>
      </c>
      <c r="BV3227" s="48">
        <v>1</v>
      </c>
      <c r="BX3227" s="52">
        <f t="shared" si="128"/>
        <v>1</v>
      </c>
      <c r="BZ3227" s="48" t="s">
        <v>3722</v>
      </c>
      <c r="CF3227" t="s">
        <v>1105</v>
      </c>
      <c r="CG3227" s="650">
        <v>396</v>
      </c>
      <c r="CH3227" s="471">
        <v>26969</v>
      </c>
      <c r="CI3227" s="471">
        <v>6805663</v>
      </c>
      <c r="CJ3227" s="653">
        <f t="shared" si="129"/>
        <v>3.9627292741353784E-3</v>
      </c>
      <c r="CK3227" s="48">
        <f t="shared" si="134"/>
        <v>135</v>
      </c>
      <c r="CL3227" s="48">
        <f t="shared" si="135"/>
        <v>4153</v>
      </c>
      <c r="CM3227" s="48" t="str">
        <f t="shared" si="136"/>
        <v>4,153</v>
      </c>
      <c r="CN3227" s="48" t="str">
        <f t="shared" si="130"/>
        <v>26,969</v>
      </c>
      <c r="CO3227" s="48" t="str">
        <f t="shared" si="127"/>
        <v>135 to 4,153 in a prison population of 26,969</v>
      </c>
      <c r="DX3227" s="48" t="str">
        <f t="shared" si="137"/>
        <v>DA</v>
      </c>
      <c r="DZ3227" s="557" t="str">
        <f>IF($B$265=$EC$3213,$EC3227,IF($B$265=$ED$3213,$ED3227,IF($B$265=$EE$3213,$EE3227,IF($B$265=$EF$3213,$EF3227,IF($B$265=$EG$3213,$EG3227,IF($B$265=$EH$3213,$EH3227,IF($B$265=$EI$3213,$EI3227,IF($B$265=$EJ$3213,$EJ3227,IF($B$265=$EK$3213,$EK3227,IF($B$265=$EL$3213,$EL3227,IF($B$265=$EC$3213,$EC3227,IF($B$265=$ED$3213,$ED3227,IF($B$265=$EE$3213,$EE3227,IF($B$265=$EF$3213,$EF3227,IF($B$265=$EG$3213,$EG3227,IF($B$265=$EH$3213,$EH3227,IF($B$265=$EI$3213,$EI3227,IF($B$265=$EJ$3213,$EJ3227,IF($B$265=$EK$3213,$EK3227,IF($B$265=$EL$3213,$EL3227,IF($B$265=$EM$3213,$EM3227,IF($B$265=$EN$3213,$EN3227,IF($B$265=$EO$3213,$EO3227,IF($B$265=$EP$3213,$EP3227,IF($B$265=$EQ$3213,$EQ3227,IF($B$265=$ER$3213,$ER3227,IF($B$265=$ES$3213,$ES3227,IF($B$265=$ET$3213,$ET3227,IF($B$265=$EU$3213,$EU3227,IF($B$265=$EV$3213,$EV3227,IF($B$265=$EW$3213,$EW3227,IF($B$265=$EX$3213,#REF!,IF($B$265=$EY$3213,$EY3227,IF($B$265=$EZ$3213,$EZ3227,IF($B$265=$FA$3213,$FA3227,IF($B$265=$FB$3213,$FB3227,IF($B$265=$FC$3213,$FC3227,IF($B$265=$FD$3213,$FD3227,IF($B$265=$FE$3213,$FE3227,IF($B$265=$FF$3213,$FF3227,IF($B$265=$FG$3213,$FG3227,IF($B$265=$FH$3213,$FH3227,IF($B$265=$FI$3213,$FI3227,IF($B$265=$FJ$3213,$FJ3227,IF($B$265=$FK$3213,$FK3227,IF($B$265=$FL$3213,$FL3227,IF($B$265=$FM$3213,$FM3227,IF($B$265=$FN$3213,$FN3227,IF($B$265=$FO$3213,$FO3227,IF($B$265=$FP$3213,$FP3227,$DZ$3223))))))))))))))))))))))))))))))))))))))))))))))))))</f>
        <v>DA</v>
      </c>
      <c r="EA3227" s="231"/>
      <c r="EB3227" s="4"/>
      <c r="EC3227" s="4"/>
      <c r="ED3227" s="4"/>
      <c r="EE3227" s="4"/>
      <c r="EF3227" s="4"/>
      <c r="EG3227" s="4" t="s">
        <v>3732</v>
      </c>
      <c r="EH3227" s="4"/>
      <c r="EI3227" s="4"/>
      <c r="EJ3227" s="4"/>
      <c r="EK3227" s="4"/>
      <c r="EL3227" s="4"/>
      <c r="FI3227" s="48">
        <v>3</v>
      </c>
    </row>
    <row r="3228" spans="1:184" ht="14.5" hidden="1" x14ac:dyDescent="0.35">
      <c r="A3228" s="322">
        <v>16</v>
      </c>
      <c r="B3228" s="404" t="str">
        <f t="shared" si="133"/>
        <v>Iowa</v>
      </c>
      <c r="C3228" s="407"/>
      <c r="D3228" s="406"/>
      <c r="AC3228" s="48" t="str">
        <f t="shared" si="132"/>
        <v xml:space="preserve">Unfortunately, Iowa does not limit how far back and employer can run a background check. Background screeners must rely on indiscriminate records that fail to distinguish between "reliable evidence-based convictions" and "non-exonerated wrongful convictions"--permitting illicit discrimination. </v>
      </c>
      <c r="BR3228" s="245" t="s">
        <v>885</v>
      </c>
      <c r="BT3228" s="245" t="s">
        <v>885</v>
      </c>
      <c r="BX3228" s="52">
        <f t="shared" si="128"/>
        <v>0</v>
      </c>
      <c r="BZ3228" s="48" t="s">
        <v>3720</v>
      </c>
      <c r="CF3228" t="s">
        <v>1109</v>
      </c>
      <c r="CG3228" s="650">
        <v>292</v>
      </c>
      <c r="CH3228" s="471">
        <v>9260</v>
      </c>
      <c r="CI3228" s="471">
        <v>3167974</v>
      </c>
      <c r="CJ3228" s="653">
        <f t="shared" si="129"/>
        <v>2.9230037872785574E-3</v>
      </c>
      <c r="CK3228" s="48">
        <f t="shared" si="134"/>
        <v>46</v>
      </c>
      <c r="CL3228" s="48">
        <f t="shared" si="135"/>
        <v>1426</v>
      </c>
      <c r="CM3228" s="48" t="str">
        <f t="shared" si="136"/>
        <v>1,426</v>
      </c>
      <c r="CN3228" s="48" t="str">
        <f t="shared" si="130"/>
        <v>9,260</v>
      </c>
      <c r="CO3228" s="48" t="str">
        <f t="shared" si="127"/>
        <v>46 to 1,426 in a prison population of 9,260</v>
      </c>
      <c r="DX3228" s="48" t="str">
        <f t="shared" si="137"/>
        <v>DA</v>
      </c>
      <c r="DZ3228" s="557" t="str">
        <f>IF($B$265=$EC$3213,$EC3228,IF($B$265=$ED$3213,$ED3228,IF($B$265=$EE$3213,$EE3228,IF($B$265=$EF$3213,$EF3228,IF($B$265=$EG$3213,$EG3228,IF($B$265=$EH$3213,$EH3228,IF($B$265=$EI$3213,$EI3228,IF($B$265=$EJ$3213,$EJ3228,IF($B$265=$EK$3213,$EK3228,IF($B$265=$EL$3213,$EL3228,IF($B$265=$EC$3213,$EC3228,IF($B$265=$ED$3213,$ED3228,IF($B$265=$EE$3213,$EE3228,IF($B$265=$EF$3213,$EF3228,IF($B$265=$EG$3213,$EG3228,IF($B$265=$EH$3213,$EH3228,IF($B$265=$EI$3213,$EI3228,IF($B$265=$EJ$3213,$EJ3228,IF($B$265=$EK$3213,$EK3228,IF($B$265=$EL$3213,$EL3228,IF($B$265=$EM$3213,$EM3228,IF($B$265=$EN$3213,$EN3228,IF($B$265=$EO$3213,$EO3228,IF($B$265=$EP$3213,$EP3228,IF($B$265=$EQ$3213,$EQ3228,IF($B$265=$ER$3213,$ER3228,IF($B$265=$ES$3213,$ES3228,IF($B$265=$ET$3213,$ET3228,IF($B$265=$EU$3213,$EU3228,IF($B$265=$EV$3213,$EV3228,IF($B$265=$EW$3213,$EW3228,IF($B$265=$EX$3213,#REF!,IF($B$265=$EY$3213,$EY3228,IF($B$265=$EZ$3213,$EZ3228,IF($B$265=$FA$3213,$FA3228,IF($B$265=$FB$3213,$FB3228,IF($B$265=$FC$3213,$FC3228,IF($B$265=$FD$3213,$FD3228,IF($B$265=$FE$3213,$FE3228,IF($B$265=$FF$3213,$FF3228,IF($B$265=$FG$3213,$FG3228,IF($B$265=$FH$3213,$FH3228,IF($B$265=$FI$3213,$FI3228,IF($B$265=$FJ$3213,$FJ3228,IF($B$265=$FK$3213,$FK3228,IF($B$265=$FL$3213,$FL3228,IF($B$265=$FM$3213,$FM3228,IF($B$265=$FN$3213,$FN3228,IF($B$265=$FO$3213,$FO3228,IF($B$265=$FP$3213,$FP3228,$DZ$3223))))))))))))))))))))))))))))))))))))))))))))))))))</f>
        <v>DA</v>
      </c>
      <c r="EA3228" s="231"/>
      <c r="EB3228" s="4"/>
      <c r="EC3228" s="4"/>
      <c r="ED3228" s="4"/>
      <c r="EE3228" s="4"/>
      <c r="EF3228" s="4"/>
      <c r="EG3228" s="4" t="s">
        <v>3733</v>
      </c>
      <c r="EH3228" s="4"/>
      <c r="EI3228" s="4"/>
      <c r="EJ3228" s="4"/>
      <c r="EK3228" s="4"/>
      <c r="EL3228" s="4"/>
      <c r="FI3228" s="48">
        <v>4</v>
      </c>
    </row>
    <row r="3229" spans="1:184" ht="14.5" hidden="1" x14ac:dyDescent="0.35">
      <c r="A3229" s="322">
        <v>17</v>
      </c>
      <c r="B3229" s="404" t="str">
        <f t="shared" si="133"/>
        <v>Kansas</v>
      </c>
      <c r="C3229" s="407">
        <v>20000</v>
      </c>
      <c r="D3229" s="406" t="s">
        <v>1023</v>
      </c>
      <c r="AC3229" s="48" t="str">
        <f ca="1">IF($D$3207&gt;7,BO3229,BS3230)</f>
        <v>Since your conviction occurred 125 years ago, and you earn only about $0 per year, Kansas prevents employers and others from running a criminal background check that far back.</v>
      </c>
      <c r="BO3229" s="48" t="str">
        <f ca="1">CONCATENATE($AE$3201,B3229,$AE$3207)</f>
        <v>Since your conviction occurred 125 years ago, and you earn only about $0 per year, Kansas prevents employers and others from running a criminal background check that far back.</v>
      </c>
      <c r="BR3229" s="245" t="s">
        <v>885</v>
      </c>
      <c r="BT3229" s="245" t="s">
        <v>885</v>
      </c>
      <c r="BU3229" s="48">
        <v>1</v>
      </c>
      <c r="BX3229" s="52">
        <f t="shared" si="128"/>
        <v>1</v>
      </c>
      <c r="BZ3229" s="48" t="s">
        <v>3721</v>
      </c>
      <c r="CF3229" t="s">
        <v>1115</v>
      </c>
      <c r="CG3229" s="650">
        <v>342</v>
      </c>
      <c r="CH3229" s="471">
        <v>9965</v>
      </c>
      <c r="CI3229" s="471">
        <v>2917224</v>
      </c>
      <c r="CJ3229" s="653">
        <f t="shared" si="129"/>
        <v>3.4159186953075936E-3</v>
      </c>
      <c r="CK3229" s="48">
        <f t="shared" si="134"/>
        <v>50</v>
      </c>
      <c r="CL3229" s="48">
        <f t="shared" si="135"/>
        <v>1535</v>
      </c>
      <c r="CM3229" s="48" t="str">
        <f t="shared" si="136"/>
        <v>1,535</v>
      </c>
      <c r="CN3229" s="48" t="str">
        <f t="shared" si="130"/>
        <v>9,965</v>
      </c>
      <c r="CO3229" s="48" t="str">
        <f t="shared" si="127"/>
        <v>50 to 1,535 in a prison population of 9,965</v>
      </c>
      <c r="DX3229" s="48" t="str">
        <f t="shared" si="137"/>
        <v>DA</v>
      </c>
      <c r="DZ3229" s="557" t="str">
        <f>IF($B$265=$EC$3213,$EC3229,IF($B$265=$ED$3213,$ED3229,IF($B$265=$EE$3213,$EE3229,IF($B$265=$EF$3213,$EF3229,IF($B$265=$EG$3213,$EG3229,IF($B$265=$EH$3213,$EH3229,IF($B$265=$EI$3213,$EI3229,IF($B$265=$EJ$3213,$EJ3229,IF($B$265=$EK$3213,$EK3229,IF($B$265=$EL$3213,$EL3229,IF($B$265=$EC$3213,$EC3229,IF($B$265=$ED$3213,$ED3229,IF($B$265=$EE$3213,$EE3229,IF($B$265=$EF$3213,$EF3229,IF($B$265=$EG$3213,$EG3229,IF($B$265=$EH$3213,$EH3229,IF($B$265=$EI$3213,$EI3229,IF($B$265=$EJ$3213,$EJ3229,IF($B$265=$EK$3213,$EK3229,IF($B$265=$EL$3213,$EL3229,IF($B$265=$EM$3213,$EM3229,IF($B$265=$EN$3213,$EN3229,IF($B$265=$EO$3213,$EO3229,IF($B$265=$EP$3213,$EP3229,IF($B$265=$EQ$3213,$EQ3229,IF($B$265=$ER$3213,$ER3229,IF($B$265=$ES$3213,$ES3229,IF($B$265=$ET$3213,$ET3229,IF($B$265=$EU$3213,$EU3229,IF($B$265=$EV$3213,$EV3229,IF($B$265=$EW$3213,$EW3229,IF($B$265=$EX$3213,#REF!,IF($B$265=$EY$3213,$EY3229,IF($B$265=$EZ$3213,$EZ3229,IF($B$265=$FA$3213,$FA3229,IF($B$265=$FB$3213,$FB3229,IF($B$265=$FC$3213,$FC3229,IF($B$265=$FD$3213,$FD3229,IF($B$265=$FE$3213,$FE3229,IF($B$265=$FF$3213,$FF3229,IF($B$265=$FG$3213,$FG3229,IF($B$265=$FH$3213,$FH3229,IF($B$265=$FI$3213,$FI3229,IF($B$265=$FJ$3213,$FJ3229,IF($B$265=$FK$3213,$FK3229,IF($B$265=$FL$3213,$FL3229,IF($B$265=$FM$3213,$FM3229,IF($B$265=$FN$3213,$FN3229,IF($B$265=$FO$3213,$FO3229,IF($B$265=$FP$3213,$FP3229,$DZ$3223))))))))))))))))))))))))))))))))))))))))))))))))))</f>
        <v>DA</v>
      </c>
      <c r="EA3229" s="231"/>
      <c r="EB3229" s="4"/>
      <c r="EC3229" s="4"/>
      <c r="ED3229" s="4"/>
      <c r="EE3229" s="4"/>
      <c r="EF3229" s="4"/>
      <c r="EG3229" s="4" t="s">
        <v>3734</v>
      </c>
      <c r="EH3229" s="4"/>
      <c r="EI3229" s="4"/>
      <c r="EJ3229" s="4"/>
      <c r="EK3229" s="4"/>
      <c r="EL3229" s="4"/>
      <c r="FI3229" s="48">
        <v>5</v>
      </c>
    </row>
    <row r="3230" spans="1:184" ht="14.5" hidden="1" x14ac:dyDescent="0.35">
      <c r="A3230" s="322">
        <v>18</v>
      </c>
      <c r="B3230" s="404" t="str">
        <f t="shared" si="133"/>
        <v>Kentucky</v>
      </c>
      <c r="C3230" s="407"/>
      <c r="D3230" s="406"/>
      <c r="AC3230" s="48" t="str">
        <f>CONCATENATE(AV$3209,B3230,AE$3209,AE$3210)</f>
        <v xml:space="preserve">Unfortunately, Kentucky does not limit how far back and employer can run a background check. Background screeners must rely on indiscriminate records that fail to distinguish between "reliable evidence-based convictions" and "non-exonerated wrongful convictions"--permitting illicit discrimination. </v>
      </c>
      <c r="BR3230" s="245" t="s">
        <v>885</v>
      </c>
      <c r="BS3230" s="48" t="str">
        <f>CONCATENATE(B3229,AE$3208)</f>
        <v>Kansas cannnot limit how far back and employer can run a background check.</v>
      </c>
      <c r="BT3230" s="245" t="s">
        <v>885</v>
      </c>
      <c r="BX3230" s="52">
        <f t="shared" si="128"/>
        <v>0</v>
      </c>
      <c r="BZ3230" s="48" t="s">
        <v>4142</v>
      </c>
      <c r="CF3230" t="s">
        <v>1119</v>
      </c>
      <c r="CG3230" s="650">
        <v>515</v>
      </c>
      <c r="CH3230" s="471">
        <v>23082</v>
      </c>
      <c r="CI3230" s="471">
        <v>4480713</v>
      </c>
      <c r="CJ3230" s="653">
        <f t="shared" si="129"/>
        <v>5.1514122863928133E-3</v>
      </c>
      <c r="CK3230" s="48">
        <f t="shared" si="134"/>
        <v>115</v>
      </c>
      <c r="CL3230" s="48">
        <f t="shared" si="135"/>
        <v>3555</v>
      </c>
      <c r="CM3230" s="48" t="str">
        <f t="shared" si="136"/>
        <v>3,555</v>
      </c>
      <c r="CN3230" s="48" t="str">
        <f t="shared" si="130"/>
        <v>23,082</v>
      </c>
      <c r="CO3230" s="48" t="str">
        <f t="shared" si="127"/>
        <v>115 to 3,555 in a prison population of 23,082</v>
      </c>
      <c r="DX3230" s="48" t="str">
        <f t="shared" si="137"/>
        <v>DA</v>
      </c>
      <c r="DZ3230" s="557" t="str">
        <f>IF($B$265=$EC$3213,$EC3230,IF($B$265=$ED$3213,$ED3230,IF($B$265=$EE$3213,$EE3230,IF($B$265=$EF$3213,$EF3230,IF($B$265=$EG$3213,$EG3230,IF($B$265=$EH$3213,$EH3230,IF($B$265=$EI$3213,$EI3230,IF($B$265=$EJ$3213,$EJ3230,IF($B$265=$EK$3213,$EK3230,IF($B$265=$EL$3213,$EL3230,IF($B$265=$EC$3213,$EC3230,IF($B$265=$ED$3213,$ED3230,IF($B$265=$EE$3213,$EE3230,IF($B$265=$EF$3213,$EF3230,IF($B$265=$EG$3213,$EG3230,IF($B$265=$EH$3213,$EH3230,IF($B$265=$EI$3213,$EI3230,IF($B$265=$EJ$3213,$EJ3230,IF($B$265=$EK$3213,$EK3230,IF($B$265=$EL$3213,$EL3230,IF($B$265=$EM$3213,$EM3230,IF($B$265=$EN$3213,$EN3230,IF($B$265=$EO$3213,$EO3230,IF($B$265=$EP$3213,$EP3230,IF($B$265=$EQ$3213,$EQ3230,IF($B$265=$ER$3213,$ER3230,IF($B$265=$ES$3213,$ES3230,IF($B$265=$ET$3213,$ET3230,IF($B$265=$EU$3213,$EU3230,IF($B$265=$EV$3213,$EV3230,IF($B$265=$EW$3213,$EW3230,IF($B$265=$EX$3213,#REF!,IF($B$265=$EY$3213,$EY3230,IF($B$265=$EZ$3213,$EZ3230,IF($B$265=$FA$3213,$FA3230,IF($B$265=$FB$3213,$FB3230,IF($B$265=$FC$3213,$FC3230,IF($B$265=$FD$3213,$FD3230,IF($B$265=$FE$3213,$FE3230,IF($B$265=$FF$3213,$FF3230,IF($B$265=$FG$3213,$FG3230,IF($B$265=$FH$3213,$FH3230,IF($B$265=$FI$3213,$FI3230,IF($B$265=$FJ$3213,$FJ3230,IF($B$265=$FK$3213,$FK3230,IF($B$265=$FL$3213,$FL3230,IF($B$265=$FM$3213,$FM3230,IF($B$265=$FN$3213,$FN3230,IF($B$265=$FO$3213,$FO3230,IF($B$265=$FP$3213,$FP3230,$DZ$3223))))))))))))))))))))))))))))))))))))))))))))))))))</f>
        <v>DA</v>
      </c>
      <c r="EA3230" s="231"/>
      <c r="EB3230" s="4"/>
      <c r="EC3230" s="4"/>
      <c r="ED3230" s="4"/>
      <c r="EE3230" s="4"/>
      <c r="EF3230" s="4"/>
      <c r="EG3230" s="4" t="s">
        <v>3735</v>
      </c>
      <c r="EH3230" s="4"/>
      <c r="EI3230" s="4"/>
      <c r="EJ3230" s="4"/>
      <c r="EK3230" s="4"/>
      <c r="EL3230" s="4"/>
      <c r="FI3230" s="48">
        <v>6</v>
      </c>
    </row>
    <row r="3231" spans="1:184" ht="14.5" hidden="1" x14ac:dyDescent="0.35">
      <c r="A3231" s="322">
        <v>19</v>
      </c>
      <c r="B3231" s="404" t="str">
        <f t="shared" si="133"/>
        <v>Louisiana</v>
      </c>
      <c r="C3231" s="407"/>
      <c r="D3231" s="406"/>
      <c r="AC3231" s="48" t="str">
        <f>CONCATENATE(AV$3209,B3231,AE$3209,AE$3210)</f>
        <v xml:space="preserve">Unfortunately, Louisiana does not limit how far back and employer can run a background check. Background screeners must rely on indiscriminate records that fail to distinguish between "reliable evidence-based convictions" and "non-exonerated wrongful convictions"--permitting illicit discrimination. </v>
      </c>
      <c r="BR3231" s="245" t="s">
        <v>885</v>
      </c>
      <c r="BT3231" s="245" t="s">
        <v>885</v>
      </c>
      <c r="BX3231" s="52">
        <f t="shared" si="128"/>
        <v>0</v>
      </c>
      <c r="BZ3231" s="48" t="s">
        <v>3721</v>
      </c>
      <c r="CB3231" s="48" t="s">
        <v>4143</v>
      </c>
      <c r="CF3231" t="s">
        <v>1121</v>
      </c>
      <c r="CG3231" s="650">
        <v>683</v>
      </c>
      <c r="CH3231" s="471">
        <v>31584</v>
      </c>
      <c r="CI3231" s="471">
        <v>4627002</v>
      </c>
      <c r="CJ3231" s="653">
        <f t="shared" si="129"/>
        <v>6.8260182295144887E-3</v>
      </c>
      <c r="CK3231" s="48">
        <f t="shared" si="134"/>
        <v>158</v>
      </c>
      <c r="CL3231" s="48">
        <f t="shared" si="135"/>
        <v>4864</v>
      </c>
      <c r="CM3231" s="48" t="str">
        <f t="shared" si="136"/>
        <v>4,864</v>
      </c>
      <c r="CN3231" s="48" t="str">
        <f t="shared" si="130"/>
        <v>31,584</v>
      </c>
      <c r="CO3231" s="48" t="str">
        <f t="shared" si="127"/>
        <v>158 to 4,864 in a prison population of 31,584</v>
      </c>
      <c r="DX3231" s="48" t="str">
        <f t="shared" si="137"/>
        <v>DA</v>
      </c>
      <c r="DZ3231" s="557" t="str">
        <f>IF($B$265=$EC$3213,$EC3231,IF($B$265=$ED$3213,$ED3231,IF($B$265=$EE$3213,$EE3231,IF($B$265=$EF$3213,$EF3231,IF($B$265=$EG$3213,$EG3231,IF($B$265=$EH$3213,$EH3231,IF($B$265=$EI$3213,$EI3231,IF($B$265=$EJ$3213,$EJ3231,IF($B$265=$EK$3213,$EK3231,IF($B$265=$EL$3213,$EL3231,IF($B$265=$EC$3213,$EC3231,IF($B$265=$ED$3213,$ED3231,IF($B$265=$EE$3213,$EE3231,IF($B$265=$EF$3213,$EF3231,IF($B$265=$EG$3213,$EG3231,IF($B$265=$EH$3213,$EH3231,IF($B$265=$EI$3213,$EI3231,IF($B$265=$EJ$3213,$EJ3231,IF($B$265=$EK$3213,$EK3231,IF($B$265=$EL$3213,$EL3231,IF($B$265=$EM$3213,$EM3231,IF($B$265=$EN$3213,$EN3231,IF($B$265=$EO$3213,$EO3231,IF($B$265=$EP$3213,$EP3231,IF($B$265=$EQ$3213,$EQ3231,IF($B$265=$ER$3213,$ER3231,IF($B$265=$ES$3213,$ES3231,IF($B$265=$ET$3213,$ET3231,IF($B$265=$EU$3213,$EU3231,IF($B$265=$EV$3213,$EV3231,IF($B$265=$EW$3213,$EW3231,IF($B$265=$EX$3213,#REF!,IF($B$265=$EY$3213,$EY3231,IF($B$265=$EZ$3213,$EZ3231,IF($B$265=$FA$3213,$FA3231,IF($B$265=$FB$3213,$FB3231,IF($B$265=$FC$3213,$FC3231,IF($B$265=$FD$3213,$FD3231,IF($B$265=$FE$3213,$FE3231,IF($B$265=$FF$3213,$FF3231,IF($B$265=$FG$3213,$FG3231,IF($B$265=$FH$3213,$FH3231,IF($B$265=$FI$3213,$FI3231,IF($B$265=$FJ$3213,$FJ3231,IF($B$265=$FK$3213,$FK3231,IF($B$265=$FL$3213,$FL3231,IF($B$265=$FM$3213,$FM3231,IF($B$265=$FN$3213,$FN3231,IF($B$265=$FO$3213,$FO3231,IF($B$265=$FP$3213,$FP3231,$DZ$3223))))))))))))))))))))))))))))))))))))))))))))))))))</f>
        <v>DA</v>
      </c>
      <c r="EA3231" s="231"/>
      <c r="EB3231" s="4"/>
      <c r="EC3231" s="4"/>
      <c r="ED3231" s="4"/>
      <c r="EE3231" s="4"/>
      <c r="EF3231" s="4"/>
      <c r="EG3231" s="4" t="s">
        <v>3736</v>
      </c>
      <c r="EH3231" s="4"/>
      <c r="EI3231" s="4"/>
      <c r="EJ3231" s="4"/>
      <c r="EK3231" s="4"/>
      <c r="EL3231" s="4"/>
      <c r="FI3231" s="48">
        <v>1</v>
      </c>
    </row>
    <row r="3232" spans="1:184" ht="14.5" hidden="1" x14ac:dyDescent="0.35">
      <c r="A3232" s="322">
        <v>20</v>
      </c>
      <c r="B3232" s="404" t="str">
        <f t="shared" si="133"/>
        <v>Maine</v>
      </c>
      <c r="C3232" s="407"/>
      <c r="D3232" s="406"/>
      <c r="AC3232" s="48" t="str">
        <f>CONCATENATE(AV$3209,B3232,AE$3209,AE$3210)</f>
        <v xml:space="preserve">Unfortunately, Maine does not limit how far back and employer can run a background check. Background screeners must rely on indiscriminate records that fail to distinguish between "reliable evidence-based convictions" and "non-exonerated wrongful convictions"--permitting illicit discrimination. </v>
      </c>
      <c r="BR3232" s="245" t="s">
        <v>885</v>
      </c>
      <c r="BT3232" s="245" t="s">
        <v>885</v>
      </c>
      <c r="BX3232" s="52">
        <f t="shared" si="128"/>
        <v>0</v>
      </c>
      <c r="BZ3232" s="48" t="s">
        <v>3721</v>
      </c>
      <c r="CF3232" t="s">
        <v>1126</v>
      </c>
      <c r="CG3232" s="650">
        <v>145</v>
      </c>
      <c r="CH3232" s="471">
        <v>1967</v>
      </c>
      <c r="CI3232" s="471">
        <v>1354522</v>
      </c>
      <c r="CJ3232" s="653">
        <f t="shared" si="129"/>
        <v>1.4521727960121725E-3</v>
      </c>
      <c r="CK3232" s="48">
        <f t="shared" si="134"/>
        <v>10</v>
      </c>
      <c r="CL3232" s="48">
        <f t="shared" si="135"/>
        <v>303</v>
      </c>
      <c r="CM3232" s="48" t="str">
        <f t="shared" si="136"/>
        <v>303</v>
      </c>
      <c r="CN3232" s="48" t="str">
        <f t="shared" si="130"/>
        <v>1,967</v>
      </c>
      <c r="CO3232" s="48" t="str">
        <f t="shared" si="127"/>
        <v>10 to 303 in a prison population of 1,967</v>
      </c>
      <c r="DX3232" s="48" t="str">
        <f t="shared" si="137"/>
        <v>DA</v>
      </c>
      <c r="DZ3232" s="557" t="str">
        <f>IF($B$265=$EC$3213,$EC3232,IF($B$265=$ED$3213,$ED3232,IF($B$265=$EE$3213,$EE3232,IF($B$265=$EF$3213,$EF3232,IF($B$265=$EG$3213,$EG3232,IF($B$265=$EH$3213,$EH3232,IF($B$265=$EI$3213,$EI3232,IF($B$265=$EJ$3213,$EJ3232,IF($B$265=$EK$3213,$EK3232,IF($B$265=$EL$3213,$EL3232,IF($B$265=$EC$3213,$EC3232,IF($B$265=$ED$3213,$ED3232,IF($B$265=$EE$3213,$EE3232,IF($B$265=$EF$3213,$EF3232,IF($B$265=$EG$3213,$EG3232,IF($B$265=$EH$3213,$EH3232,IF($B$265=$EI$3213,$EI3232,IF($B$265=$EJ$3213,$EJ3232,IF($B$265=$EK$3213,$EK3232,IF($B$265=$EL$3213,$EL3232,IF($B$265=$EM$3213,$EM3232,IF($B$265=$EN$3213,$EN3232,IF($B$265=$EO$3213,$EO3232,IF($B$265=$EP$3213,$EP3232,IF($B$265=$EQ$3213,$EQ3232,IF($B$265=$ER$3213,$ER3232,IF($B$265=$ES$3213,$ES3232,IF($B$265=$ET$3213,$ET3232,IF($B$265=$EU$3213,$EU3232,IF($B$265=$EV$3213,$EV3232,IF($B$265=$EW$3213,$EW3232,IF($B$265=$EX$3213,#REF!,IF($B$265=$EY$3213,$EY3232,IF($B$265=$EZ$3213,$EZ3232,IF($B$265=$FA$3213,$FA3232,IF($B$265=$FB$3213,$FB3232,IF($B$265=$FC$3213,$FC3232,IF($B$265=$FD$3213,$FD3232,IF($B$265=$FE$3213,$FE3232,IF($B$265=$FF$3213,$FF3232,IF($B$265=$FG$3213,$FG3232,IF($B$265=$FH$3213,$FH3232,IF($B$265=$FI$3213,$FI3232,IF($B$265=$FJ$3213,$FJ3232,IF($B$265=$FK$3213,$FK3232,IF($B$265=$FL$3213,$FL3232,IF($B$265=$FM$3213,$FM3232,IF($B$265=$FN$3213,$FN3232,IF($B$265=$FO$3213,$FO3232,IF($B$265=$FP$3213,$FP3232,$DZ$3223))))))))))))))))))))))))))))))))))))))))))))))))))</f>
        <v>DA</v>
      </c>
      <c r="EA3232" s="231"/>
      <c r="EB3232" s="4"/>
      <c r="EC3232" s="4"/>
      <c r="ED3232" s="4"/>
      <c r="EE3232" s="4"/>
      <c r="EF3232" s="4"/>
      <c r="EG3232" s="4" t="s">
        <v>3739</v>
      </c>
      <c r="EH3232" s="4"/>
      <c r="EI3232" s="4"/>
      <c r="EJ3232" s="4"/>
      <c r="EK3232" s="4"/>
      <c r="EL3232" s="4"/>
      <c r="FI3232" s="48">
        <v>2</v>
      </c>
    </row>
    <row r="3233" spans="1:184" ht="14.5" hidden="1" x14ac:dyDescent="0.35">
      <c r="A3233" s="322">
        <v>21</v>
      </c>
      <c r="B3233" s="404" t="str">
        <f t="shared" si="133"/>
        <v>Maryland</v>
      </c>
      <c r="C3233" s="407">
        <v>20000</v>
      </c>
      <c r="D3233" s="406" t="s">
        <v>1023</v>
      </c>
      <c r="AC3233" s="48" t="str">
        <f ca="1">IF($D$3207&gt;7,BO3233,BS3234)</f>
        <v>Since your conviction occurred 125 years ago, and you earn only about $0 per year, Maryland prevents employers and others from running a criminal background check that far back.</v>
      </c>
      <c r="BO3233" s="48" t="str">
        <f ca="1">CONCATENATE($AE$3201,B3233,$AE$3207)</f>
        <v>Since your conviction occurred 125 years ago, and you earn only about $0 per year, Maryland prevents employers and others from running a criminal background check that far back.</v>
      </c>
      <c r="BR3233" s="245" t="s">
        <v>885</v>
      </c>
      <c r="BT3233" s="245" t="s">
        <v>885</v>
      </c>
      <c r="BU3233" s="48">
        <v>1</v>
      </c>
      <c r="BV3233" s="48">
        <v>4</v>
      </c>
      <c r="BX3233" s="52">
        <f t="shared" si="128"/>
        <v>5</v>
      </c>
      <c r="BZ3233" s="48" t="s">
        <v>3723</v>
      </c>
      <c r="CF3233" t="s">
        <v>1131</v>
      </c>
      <c r="CG3233" s="650">
        <v>305</v>
      </c>
      <c r="CH3233" s="471">
        <v>18476</v>
      </c>
      <c r="CI3233" s="471">
        <v>6065436</v>
      </c>
      <c r="CJ3233" s="653">
        <f t="shared" si="129"/>
        <v>3.046112431159112E-3</v>
      </c>
      <c r="CK3233" s="48">
        <f t="shared" si="134"/>
        <v>92</v>
      </c>
      <c r="CL3233" s="48">
        <f t="shared" si="135"/>
        <v>2845</v>
      </c>
      <c r="CM3233" s="48" t="str">
        <f t="shared" si="136"/>
        <v>2,845</v>
      </c>
      <c r="CN3233" s="48" t="str">
        <f t="shared" si="130"/>
        <v>18,476</v>
      </c>
      <c r="CO3233" s="48" t="str">
        <f t="shared" si="127"/>
        <v>92 to 2,845 in a prison population of 18,476</v>
      </c>
      <c r="DX3233" s="48" t="str">
        <f t="shared" si="137"/>
        <v>DA</v>
      </c>
      <c r="DZ3233" s="557" t="str">
        <f>IF($B$265=$EC$3213,$EC3233,IF($B$265=$ED$3213,$ED3233,IF($B$265=$EE$3213,$EE3233,IF($B$265=$EF$3213,$EF3233,IF($B$265=$EG$3213,$EG3233,IF($B$265=$EH$3213,$EH3233,IF($B$265=$EI$3213,$EI3233,IF($B$265=$EJ$3213,$EJ3233,IF($B$265=$EK$3213,$EK3233,IF($B$265=$EL$3213,$EL3233,IF($B$265=$EC$3213,$EC3233,IF($B$265=$ED$3213,$ED3233,IF($B$265=$EE$3213,$EE3233,IF($B$265=$EF$3213,$EF3233,IF($B$265=$EG$3213,$EG3233,IF($B$265=$EH$3213,$EH3233,IF($B$265=$EI$3213,$EI3233,IF($B$265=$EJ$3213,$EJ3233,IF($B$265=$EK$3213,$EK3233,IF($B$265=$EL$3213,$EL3233,IF($B$265=$EM$3213,$EM3233,IF($B$265=$EN$3213,$EN3233,IF($B$265=$EO$3213,$EO3233,IF($B$265=$EP$3213,$EP3233,IF($B$265=$EQ$3213,$EQ3233,IF($B$265=$ER$3213,$ER3233,IF($B$265=$ES$3213,$ES3233,IF($B$265=$ET$3213,$ET3233,IF($B$265=$EU$3213,$EU3233,IF($B$265=$EV$3213,$EV3233,IF($B$265=$EW$3213,$EW3233,IF($B$265=$EX$3213,#REF!,IF($B$265=$EY$3213,$EY3233,IF($B$265=$EZ$3213,$EZ3233,IF($B$265=$FA$3213,$FA3233,IF($B$265=$FB$3213,$FB3233,IF($B$265=$FC$3213,$FC3233,IF($B$265=$FD$3213,$FD3233,IF($B$265=$FE$3213,$FE3233,IF($B$265=$FF$3213,$FF3233,IF($B$265=$FG$3213,$FG3233,IF($B$265=$FH$3213,$FH3233,IF($B$265=$FI$3213,$FI3233,IF($B$265=$FJ$3213,$FJ3233,IF($B$265=$FK$3213,$FK3233,IF($B$265=$FL$3213,$FL3233,IF($B$265=$FM$3213,$FM3233,IF($B$265=$FN$3213,$FN3233,IF($B$265=$FO$3213,$FO3233,IF($B$265=$FP$3213,$FP3233,$DZ$3223))))))))))))))))))))))))))))))))))))))))))))))))))</f>
        <v>DA</v>
      </c>
      <c r="EA3233" s="231"/>
      <c r="EB3233" s="4"/>
      <c r="EC3233" s="4"/>
      <c r="ED3233" s="4"/>
      <c r="EE3233" s="4"/>
      <c r="EF3233" s="4"/>
      <c r="EG3233" s="4" t="s">
        <v>3737</v>
      </c>
      <c r="EH3233" s="4"/>
      <c r="EI3233" s="4"/>
      <c r="EJ3233" s="4"/>
      <c r="EK3233" s="4"/>
      <c r="EL3233" s="4"/>
      <c r="FI3233" s="48">
        <v>3</v>
      </c>
    </row>
    <row r="3234" spans="1:184" ht="14.5" hidden="1" x14ac:dyDescent="0.35">
      <c r="A3234" s="322">
        <v>22</v>
      </c>
      <c r="B3234" s="404" t="str">
        <f t="shared" si="133"/>
        <v>Massachusetts</v>
      </c>
      <c r="C3234" s="407">
        <v>20000</v>
      </c>
      <c r="D3234" s="406" t="s">
        <v>1023</v>
      </c>
      <c r="AC3234" s="48" t="str">
        <f ca="1">IF($D$3207&gt;7,BO3234,BS3235)</f>
        <v>Since your conviction occurred 125 years ago, and you earn only about $0 per year, Massachusetts prevents employers and others from running a criminal background check that far back.</v>
      </c>
      <c r="BO3234" s="48" t="str">
        <f ca="1">CONCATENATE($AE$3201,B3234,$AE$3207)</f>
        <v>Since your conviction occurred 125 years ago, and you earn only about $0 per year, Massachusetts prevents employers and others from running a criminal background check that far back.</v>
      </c>
      <c r="BR3234" s="245" t="s">
        <v>885</v>
      </c>
      <c r="BS3234" s="48" t="str">
        <f>CONCATENATE(B3233,AE$3208)</f>
        <v>Maryland cannnot limit how far back and employer can run a background check.</v>
      </c>
      <c r="BT3234" s="245" t="s">
        <v>885</v>
      </c>
      <c r="BU3234" s="48">
        <v>2</v>
      </c>
      <c r="BV3234" s="48">
        <v>1</v>
      </c>
      <c r="BX3234" s="52">
        <f t="shared" si="128"/>
        <v>3</v>
      </c>
      <c r="BZ3234" s="48" t="s">
        <v>3721</v>
      </c>
      <c r="CF3234" t="s">
        <v>1136</v>
      </c>
      <c r="CG3234" s="650">
        <v>109</v>
      </c>
      <c r="CH3234" s="471">
        <v>7503</v>
      </c>
      <c r="CI3234" s="471">
        <v>6912239</v>
      </c>
      <c r="CJ3234" s="653">
        <f t="shared" si="129"/>
        <v>1.085465939473447E-3</v>
      </c>
      <c r="CK3234" s="48">
        <f t="shared" si="134"/>
        <v>38</v>
      </c>
      <c r="CL3234" s="48">
        <f t="shared" si="135"/>
        <v>1155</v>
      </c>
      <c r="CM3234" s="48" t="str">
        <f t="shared" si="136"/>
        <v>1,155</v>
      </c>
      <c r="CN3234" s="48" t="str">
        <f t="shared" si="130"/>
        <v>7,503</v>
      </c>
      <c r="CO3234" s="48" t="str">
        <f t="shared" si="127"/>
        <v>38 to 1,155 in a prison population of 7,503</v>
      </c>
      <c r="DX3234" s="48" t="str">
        <f t="shared" si="137"/>
        <v>DA</v>
      </c>
      <c r="DZ3234" s="557" t="str">
        <f>IF($B$265=$EC$3213,$EC3234,IF($B$265=$ED$3213,$ED3234,IF($B$265=$EE$3213,$EE3234,IF($B$265=$EF$3213,$EF3234,IF($B$265=$EG$3213,$EG3234,IF($B$265=$EH$3213,$EH3234,IF($B$265=$EI$3213,$EI3234,IF($B$265=$EJ$3213,$EJ3234,IF($B$265=$EK$3213,$EK3234,IF($B$265=$EL$3213,$EL3234,IF($B$265=$EC$3213,$EC3234,IF($B$265=$ED$3213,$ED3234,IF($B$265=$EE$3213,$EE3234,IF($B$265=$EF$3213,$EF3234,IF($B$265=$EG$3213,$EG3234,IF($B$265=$EH$3213,$EH3234,IF($B$265=$EI$3213,$EI3234,IF($B$265=$EJ$3213,$EJ3234,IF($B$265=$EK$3213,$EK3234,IF($B$265=$EL$3213,$EL3234,IF($B$265=$EM$3213,$EM3234,IF($B$265=$EN$3213,$EN3234,IF($B$265=$EO$3213,$EO3234,IF($B$265=$EP$3213,$EP3234,IF($B$265=$EQ$3213,$EQ3234,IF($B$265=$ER$3213,$ER3234,IF($B$265=$ES$3213,$ES3234,IF($B$265=$ET$3213,$ET3234,IF($B$265=$EU$3213,$EU3234,IF($B$265=$EV$3213,$EV3234,IF($B$265=$EW$3213,$EW3234,IF($B$265=$EX$3213,#REF!,IF($B$265=$EY$3213,$EY3234,IF($B$265=$EZ$3213,$EZ3234,IF($B$265=$FA$3213,$FA3234,IF($B$265=$FB$3213,$FB3234,IF($B$265=$FC$3213,$FC3234,IF($B$265=$FD$3213,$FD3234,IF($B$265=$FE$3213,$FE3234,IF($B$265=$FF$3213,$FF3234,IF($B$265=$FG$3213,$FG3234,IF($B$265=$FH$3213,$FH3234,IF($B$265=$FI$3213,$FI3234,IF($B$265=$FJ$3213,$FJ3234,IF($B$265=$FK$3213,$FK3234,IF($B$265=$FL$3213,$FL3234,IF($B$265=$FM$3213,$FM3234,IF($B$265=$FN$3213,$FN3234,IF($B$265=$FO$3213,$FO3234,IF($B$265=$FP$3213,$FP3234,$DZ$3223))))))))))))))))))))))))))))))))))))))))))))))))))</f>
        <v>DA</v>
      </c>
      <c r="EA3234" s="231"/>
      <c r="EB3234" s="4"/>
      <c r="EC3234" s="4"/>
      <c r="ED3234" s="4"/>
      <c r="EE3234" s="4"/>
      <c r="EF3234" s="4"/>
      <c r="EG3234" s="4" t="s">
        <v>3740</v>
      </c>
      <c r="EH3234" s="4"/>
      <c r="EI3234" s="4"/>
      <c r="EJ3234" s="4"/>
      <c r="EK3234" s="4"/>
      <c r="EL3234" s="4"/>
      <c r="FI3234" s="48">
        <v>4</v>
      </c>
    </row>
    <row r="3235" spans="1:184" ht="14.5" hidden="1" x14ac:dyDescent="0.35">
      <c r="A3235" s="322">
        <v>23</v>
      </c>
      <c r="B3235" s="404" t="str">
        <f t="shared" si="133"/>
        <v>Michigan</v>
      </c>
      <c r="AC3235" s="48" t="str">
        <f>CONCATENATE(AV$3209,B3235,AE$3209,AE$3210)</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BB3235" s="48"/>
      <c r="BR3235" s="245" t="s">
        <v>885</v>
      </c>
      <c r="BS3235" s="48" t="str">
        <f>CONCATENATE(B3234,AE$3208)</f>
        <v>Massachusetts cannnot limit how far back and employer can run a background check.</v>
      </c>
      <c r="BT3235" s="245" t="s">
        <v>885</v>
      </c>
      <c r="BU3235" s="48">
        <v>1</v>
      </c>
      <c r="BW3235" s="48">
        <v>1</v>
      </c>
      <c r="BX3235" s="52">
        <f t="shared" si="128"/>
        <v>2</v>
      </c>
      <c r="BZ3235" s="48" t="s">
        <v>3722</v>
      </c>
      <c r="CE3235" s="48" t="s">
        <v>4317</v>
      </c>
      <c r="CF3235" t="s">
        <v>147</v>
      </c>
      <c r="CG3235" s="650">
        <v>381</v>
      </c>
      <c r="CH3235" s="471">
        <v>38053</v>
      </c>
      <c r="CI3235" s="471">
        <v>9992427</v>
      </c>
      <c r="CJ3235" s="653">
        <f t="shared" si="129"/>
        <v>3.8081839376960173E-3</v>
      </c>
      <c r="CK3235" s="48">
        <f t="shared" si="134"/>
        <v>190</v>
      </c>
      <c r="CL3235" s="48">
        <f t="shared" si="135"/>
        <v>5860</v>
      </c>
      <c r="CM3235" s="48" t="str">
        <f t="shared" si="136"/>
        <v>5,860</v>
      </c>
      <c r="CN3235" s="48" t="str">
        <f t="shared" si="130"/>
        <v>38,053</v>
      </c>
      <c r="CO3235" s="48" t="str">
        <f t="shared" si="127"/>
        <v>190 to 5,860 in a prison population of 38,053</v>
      </c>
      <c r="DX3235" s="48" t="str">
        <f t="shared" si="137"/>
        <v>DA</v>
      </c>
      <c r="DZ3235" s="557" t="str">
        <f>IF($B$265=$EC$3213,$EC3235,IF($B$265=$ED$3213,$ED3235,IF($B$265=$EE$3213,$EE3235,IF($B$265=$EF$3213,$EF3235,IF($B$265=$EG$3213,$EG3235,IF($B$265=$EH$3213,$EH3235,IF($B$265=$EI$3213,$EI3235,IF($B$265=$EJ$3213,$EJ3235,IF($B$265=$EK$3213,$EK3235,IF($B$265=$EL$3213,$EL3235,IF($B$265=$EC$3213,$EC3235,IF($B$265=$ED$3213,$ED3235,IF($B$265=$EE$3213,$EE3235,IF($B$265=$EF$3213,$EF3235,IF($B$265=$EG$3213,$EG3235,IF($B$265=$EH$3213,$EH3235,IF($B$265=$EI$3213,$EI3235,IF($B$265=$EJ$3213,$EJ3235,IF($B$265=$EK$3213,$EK3235,IF($B$265=$EL$3213,$EL3235,IF($B$265=$EM$3213,$EM3235,IF($B$265=$EN$3213,$EN3235,IF($B$265=$EO$3213,$EO3235,IF($B$265=$EP$3213,$EP3235,IF($B$265=$EQ$3213,$EQ3235,IF($B$265=$ER$3213,$ER3235,IF($B$265=$ES$3213,$ES3235,IF($B$265=$ET$3213,$ET3235,IF($B$265=$EU$3213,$EU3235,IF($B$265=$EV$3213,$EV3235,IF($B$265=$EW$3213,$EW3235,IF($B$265=$EX$3213,#REF!,IF($B$265=$EY$3213,$EY3235,IF($B$265=$EZ$3213,$EZ3235,IF($B$265=$FA$3213,$FA3235,IF($B$265=$FB$3213,$FB3235,IF($B$265=$FC$3213,$FC3235,IF($B$265=$FD$3213,$FD3235,IF($B$265=$FE$3213,$FE3235,IF($B$265=$FF$3213,$FF3235,IF($B$265=$FG$3213,$FG3235,IF($B$265=$FH$3213,$FH3235,IF($B$265=$FI$3213,$FI3235,IF($B$265=$FJ$3213,$FJ3235,IF($B$265=$FK$3213,$FK3235,IF($B$265=$FL$3213,$FL3235,IF($B$265=$FM$3213,$FM3235,IF($B$265=$FN$3213,$FN3235,IF($B$265=$FO$3213,$FO3235,IF($B$265=$FP$3213,$FP3235,$DZ$3223))))))))))))))))))))))))))))))))))))))))))))))))))</f>
        <v>DA</v>
      </c>
      <c r="EA3235" s="231"/>
      <c r="EB3235" s="4"/>
      <c r="EC3235" s="4"/>
      <c r="ED3235" s="4"/>
      <c r="EE3235" s="4"/>
      <c r="EF3235" s="4"/>
      <c r="EG3235" s="4" t="s">
        <v>3741</v>
      </c>
      <c r="EH3235" s="4"/>
      <c r="EI3235" s="4"/>
      <c r="EJ3235" s="4"/>
      <c r="EK3235" s="4"/>
      <c r="EL3235" s="4"/>
      <c r="FI3235" s="48">
        <v>5</v>
      </c>
    </row>
    <row r="3236" spans="1:184" ht="14.5" hidden="1" x14ac:dyDescent="0.35">
      <c r="A3236" s="322">
        <v>24</v>
      </c>
      <c r="B3236" s="404" t="str">
        <f t="shared" si="133"/>
        <v>Minnesota</v>
      </c>
      <c r="C3236" s="405"/>
      <c r="D3236" s="406"/>
      <c r="AC3236" s="48" t="str">
        <f>CONCATENATE(AV$3209,B3236,AE$3209,AE$3210)</f>
        <v xml:space="preserve">Unfortunately, Minnesota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36" s="245" t="s">
        <v>885</v>
      </c>
      <c r="BT3236" s="245" t="s">
        <v>885</v>
      </c>
      <c r="BX3236" s="52">
        <f t="shared" si="128"/>
        <v>0</v>
      </c>
      <c r="BZ3236" s="48" t="s">
        <v>3720</v>
      </c>
      <c r="CF3236" t="s">
        <v>1144</v>
      </c>
      <c r="CG3236" s="650">
        <v>175</v>
      </c>
      <c r="CH3236" s="471">
        <v>9982</v>
      </c>
      <c r="CI3236" s="471">
        <v>5706398</v>
      </c>
      <c r="CJ3236" s="653">
        <f t="shared" si="129"/>
        <v>1.7492645973870031E-3</v>
      </c>
      <c r="CK3236" s="48">
        <f t="shared" si="134"/>
        <v>50</v>
      </c>
      <c r="CL3236" s="48">
        <f t="shared" si="135"/>
        <v>1537</v>
      </c>
      <c r="CM3236" s="48" t="str">
        <f t="shared" si="136"/>
        <v>1,537</v>
      </c>
      <c r="CN3236" s="48" t="str">
        <f t="shared" si="130"/>
        <v>9,982</v>
      </c>
      <c r="CO3236" s="48" t="str">
        <f t="shared" si="127"/>
        <v>50 to 1,537 in a prison population of 9,982</v>
      </c>
      <c r="DX3236" s="48" t="str">
        <f t="shared" si="137"/>
        <v>DA</v>
      </c>
      <c r="DZ3236" s="557" t="str">
        <f>IF($B$265=$EC$3213,$EC3236,IF($B$265=$ED$3213,$ED3236,IF($B$265=$EE$3213,$EE3236,IF($B$265=$EF$3213,$EF3236,IF($B$265=$EG$3213,$EG3236,IF($B$265=$EH$3213,$EH3236,IF($B$265=$EI$3213,$EI3236,IF($B$265=$EJ$3213,$EJ3236,IF($B$265=$EK$3213,$EK3236,IF($B$265=$EL$3213,$EL3236,IF($B$265=$EC$3213,$EC3236,IF($B$265=$ED$3213,$ED3236,IF($B$265=$EE$3213,$EE3236,IF($B$265=$EF$3213,$EF3236,IF($B$265=$EG$3213,$EG3236,IF($B$265=$EH$3213,$EH3236,IF($B$265=$EI$3213,$EI3236,IF($B$265=$EJ$3213,$EJ3236,IF($B$265=$EK$3213,$EK3236,IF($B$265=$EL$3213,$EL3236,IF($B$265=$EM$3213,$EM3236,IF($B$265=$EN$3213,$EN3236,IF($B$265=$EO$3213,$EO3236,IF($B$265=$EP$3213,$EP3236,IF($B$265=$EQ$3213,$EQ3236,IF($B$265=$ER$3213,$ER3236,IF($B$265=$ES$3213,$ES3236,IF($B$265=$ET$3213,$ET3236,IF($B$265=$EU$3213,$EU3236,IF($B$265=$EV$3213,$EV3236,IF($B$265=$EW$3213,$EW3236,IF($B$265=$EX$3213,#REF!,IF($B$265=$EY$3213,$EY3236,IF($B$265=$EZ$3213,$EZ3236,IF($B$265=$FA$3213,$FA3236,IF($B$265=$FB$3213,$FB3236,IF($B$265=$FC$3213,$FC3236,IF($B$265=$FD$3213,$FD3236,IF($B$265=$FE$3213,$FE3236,IF($B$265=$FF$3213,$FF3236,IF($B$265=$FG$3213,$FG3236,IF($B$265=$FH$3213,$FH3236,IF($B$265=$FI$3213,$FI3236,IF($B$265=$FJ$3213,$FJ3236,IF($B$265=$FK$3213,$FK3236,IF($B$265=$FL$3213,$FL3236,IF($B$265=$FM$3213,$FM3236,IF($B$265=$FN$3213,$FN3236,IF($B$265=$FO$3213,$FO3236,IF($B$265=$FP$3213,$FP3236,$DZ$3223))))))))))))))))))))))))))))))))))))))))))))))))))</f>
        <v>DA</v>
      </c>
      <c r="EA3236" s="231"/>
      <c r="EB3236" s="4"/>
      <c r="EC3236" s="4"/>
      <c r="ED3236" s="4"/>
      <c r="EE3236" s="4"/>
      <c r="EF3236" s="4"/>
      <c r="EG3236" s="4" t="s">
        <v>3738</v>
      </c>
      <c r="EH3236" s="4"/>
      <c r="EI3236" s="4"/>
      <c r="EJ3236" s="4"/>
      <c r="EK3236" s="4"/>
      <c r="EL3236" s="4"/>
      <c r="FI3236" s="48">
        <v>6</v>
      </c>
    </row>
    <row r="3237" spans="1:184" ht="14.5" hidden="1" x14ac:dyDescent="0.35">
      <c r="A3237" s="322">
        <v>25</v>
      </c>
      <c r="B3237" s="404" t="str">
        <f t="shared" si="133"/>
        <v>Mississippi</v>
      </c>
      <c r="C3237" s="405"/>
      <c r="D3237" s="406"/>
      <c r="AC3237" s="48" t="str">
        <f>CONCATENATE(AV$3209,B3237,AE$3209,AE$3210)</f>
        <v xml:space="preserve">Unfortunately, Mississippi does not limit how far back and employer can run a background check. Background screeners must rely on indiscriminate records that fail to distinguish between "reliable evidence-based convictions" and "non-exonerated wrongful convictions"--permitting illicit discrimination. </v>
      </c>
      <c r="BR3237" s="245" t="s">
        <v>885</v>
      </c>
      <c r="BT3237" s="245" t="s">
        <v>885</v>
      </c>
      <c r="BX3237" s="52">
        <f t="shared" si="128"/>
        <v>0</v>
      </c>
      <c r="BZ3237" s="48" t="s">
        <v>3721</v>
      </c>
      <c r="CF3237" t="s">
        <v>1149</v>
      </c>
      <c r="CG3237" s="650">
        <v>638</v>
      </c>
      <c r="CH3237" s="471">
        <v>18915</v>
      </c>
      <c r="CI3237" s="471">
        <v>2966407</v>
      </c>
      <c r="CJ3237" s="653">
        <f t="shared" si="129"/>
        <v>6.3764008108125421E-3</v>
      </c>
      <c r="CK3237" s="48">
        <f t="shared" si="134"/>
        <v>95</v>
      </c>
      <c r="CL3237" s="48">
        <f t="shared" si="135"/>
        <v>2913</v>
      </c>
      <c r="CM3237" s="48" t="str">
        <f t="shared" si="136"/>
        <v>2,913</v>
      </c>
      <c r="CN3237" s="48" t="str">
        <f t="shared" si="130"/>
        <v>18,915</v>
      </c>
      <c r="CO3237" s="48" t="str">
        <f t="shared" si="127"/>
        <v>95 to 2,913 in a prison population of 18,915</v>
      </c>
      <c r="DX3237" s="48" t="str">
        <f t="shared" si="137"/>
        <v>DA</v>
      </c>
      <c r="DZ3237" s="557" t="str">
        <f>IF($B$265=$EC$3213,$EC3237,IF($B$265=$ED$3213,$ED3237,IF($B$265=$EE$3213,$EE3237,IF($B$265=$EF$3213,$EF3237,IF($B$265=$EG$3213,$EG3237,IF($B$265=$EH$3213,$EH3237,IF($B$265=$EI$3213,$EI3237,IF($B$265=$EJ$3213,$EJ3237,IF($B$265=$EK$3213,$EK3237,IF($B$265=$EL$3213,$EL3237,IF($B$265=$EC$3213,$EC3237,IF($B$265=$ED$3213,$ED3237,IF($B$265=$EE$3213,$EE3237,IF($B$265=$EF$3213,$EF3237,IF($B$265=$EG$3213,$EG3237,IF($B$265=$EH$3213,$EH3237,IF($B$265=$EI$3213,$EI3237,IF($B$265=$EJ$3213,$EJ3237,IF($B$265=$EK$3213,$EK3237,IF($B$265=$EL$3213,$EL3237,IF($B$265=$EM$3213,$EM3237,IF($B$265=$EN$3213,$EN3237,IF($B$265=$EO$3213,$EO3237,IF($B$265=$EP$3213,$EP3237,IF($B$265=$EQ$3213,$EQ3237,IF($B$265=$ER$3213,$ER3237,IF($B$265=$ES$3213,$ES3237,IF($B$265=$ET$3213,$ET3237,IF($B$265=$EU$3213,$EU3237,IF($B$265=$EV$3213,$EV3237,IF($B$265=$EW$3213,$EW3237,IF($B$265=$EX$3213,#REF!,IF($B$265=$EY$3213,$EY3237,IF($B$265=$EZ$3213,$EZ3237,IF($B$265=$FA$3213,$FA3237,IF($B$265=$FB$3213,$FB3237,IF($B$265=$FC$3213,$FC3237,IF($B$265=$FD$3213,$FD3237,IF($B$265=$FE$3213,$FE3237,IF($B$265=$FF$3213,$FF3237,IF($B$265=$FG$3213,$FG3237,IF($B$265=$FH$3213,$FH3237,IF($B$265=$FI$3213,$FI3237,IF($B$265=$FJ$3213,$FJ3237,IF($B$265=$FK$3213,$FK3237,IF($B$265=$FL$3213,$FL3237,IF($B$265=$FM$3213,$FM3237,IF($B$265=$FN$3213,$FN3237,IF($B$265=$FO$3213,$FO3237,IF($B$265=$FP$3213,$FP3237,$DZ$3223))))))))))))))))))))))))))))))))))))))))))))))))))</f>
        <v>DA</v>
      </c>
      <c r="EA3237" s="231"/>
      <c r="EB3237" s="4"/>
      <c r="EC3237" s="4"/>
      <c r="ED3237" s="4"/>
      <c r="EE3237" s="4"/>
      <c r="EF3237" s="4"/>
      <c r="EG3237" s="4" t="s">
        <v>3742</v>
      </c>
      <c r="EH3237" s="4"/>
      <c r="EI3237" s="4"/>
      <c r="EJ3237" s="4"/>
      <c r="EK3237" s="4"/>
      <c r="EL3237" s="4"/>
      <c r="FI3237" s="48">
        <v>7</v>
      </c>
    </row>
    <row r="3238" spans="1:184" ht="14.5" hidden="1" x14ac:dyDescent="0.35">
      <c r="A3238" s="322">
        <v>26</v>
      </c>
      <c r="B3238" s="404" t="str">
        <f t="shared" si="133"/>
        <v>Missouri</v>
      </c>
      <c r="C3238" s="405"/>
      <c r="D3238" s="406"/>
      <c r="AC3238" s="48" t="str">
        <f>CONCATENATE(AV$3209,B3238,AE$3209,AE$3210)</f>
        <v xml:space="preserve">Unfortunately, Missouri does not limit how far back and employer can run a background check. Background screeners must rely on indiscriminate records that fail to distinguish between "reliable evidence-based convictions" and "non-exonerated wrongful convictions"--permitting illicit discrimination. </v>
      </c>
      <c r="BR3238" s="245" t="s">
        <v>885</v>
      </c>
      <c r="BT3238" s="245" t="s">
        <v>885</v>
      </c>
      <c r="BU3238" s="48">
        <v>1</v>
      </c>
      <c r="BV3238" s="48">
        <v>2</v>
      </c>
      <c r="BX3238" s="52">
        <f t="shared" si="128"/>
        <v>3</v>
      </c>
      <c r="BZ3238" s="48" t="s">
        <v>3722</v>
      </c>
      <c r="CF3238" t="s">
        <v>1154</v>
      </c>
      <c r="CG3238" s="650">
        <v>422</v>
      </c>
      <c r="CH3238" s="471">
        <v>26038</v>
      </c>
      <c r="CI3238" s="471">
        <v>6169038</v>
      </c>
      <c r="CJ3238" s="653">
        <f t="shared" si="129"/>
        <v>4.220755326843505E-3</v>
      </c>
      <c r="CK3238" s="48">
        <f t="shared" si="134"/>
        <v>130</v>
      </c>
      <c r="CL3238" s="48">
        <f t="shared" si="135"/>
        <v>4010</v>
      </c>
      <c r="CM3238" s="48" t="str">
        <f t="shared" si="136"/>
        <v>4,010</v>
      </c>
      <c r="CN3238" s="48" t="str">
        <f t="shared" si="130"/>
        <v>26,038</v>
      </c>
      <c r="CO3238" s="48" t="str">
        <f t="shared" si="127"/>
        <v>130 to 4,010 in a prison population of 26,038</v>
      </c>
      <c r="DX3238" s="48" t="str">
        <f t="shared" si="137"/>
        <v>DA</v>
      </c>
      <c r="DZ3238" s="557" t="str">
        <f>IF($B$265=$EC$3213,$EC3238,IF($B$265=$ED$3213,$ED3238,IF($B$265=$EE$3213,$EE3238,IF($B$265=$EF$3213,$EF3238,IF($B$265=$EG$3213,$EG3238,IF($B$265=$EH$3213,$EH3238,IF($B$265=$EI$3213,$EI3238,IF($B$265=$EJ$3213,$EJ3238,IF($B$265=$EK$3213,$EK3238,IF($B$265=$EL$3213,$EL3238,IF($B$265=$EC$3213,$EC3238,IF($B$265=$ED$3213,$ED3238,IF($B$265=$EE$3213,$EE3238,IF($B$265=$EF$3213,$EF3238,IF($B$265=$EG$3213,$EG3238,IF($B$265=$EH$3213,$EH3238,IF($B$265=$EI$3213,$EI3238,IF($B$265=$EJ$3213,$EJ3238,IF($B$265=$EK$3213,$EK3238,IF($B$265=$EL$3213,$EL3238,IF($B$265=$EM$3213,$EM3238,IF($B$265=$EN$3213,$EN3238,IF($B$265=$EO$3213,$EO3238,IF($B$265=$EP$3213,$EP3238,IF($B$265=$EQ$3213,$EQ3238,IF($B$265=$ER$3213,$ER3238,IF($B$265=$ES$3213,$ES3238,IF($B$265=$ET$3213,$ET3238,IF($B$265=$EU$3213,$EU3238,IF($B$265=$EV$3213,$EV3238,IF($B$265=$EW$3213,$EW3238,IF($B$265=$EX$3213,#REF!,IF($B$265=$EY$3213,$EY3238,IF($B$265=$EZ$3213,$EZ3238,IF($B$265=$FA$3213,$FA3238,IF($B$265=$FB$3213,$FB3238,IF($B$265=$FC$3213,$FC3238,IF($B$265=$FD$3213,$FD3238,IF($B$265=$FE$3213,$FE3238,IF($B$265=$FF$3213,$FF3238,IF($B$265=$FG$3213,$FG3238,IF($B$265=$FH$3213,$FH3238,IF($B$265=$FI$3213,$FI3238,IF($B$265=$FJ$3213,$FJ3238,IF($B$265=$FK$3213,$FK3238,IF($B$265=$FL$3213,$FL3238,IF($B$265=$FM$3213,$FM3238,IF($B$265=$FN$3213,$FN3238,IF($B$265=$FO$3213,$FO3238,IF($B$265=$FP$3213,$FP3238,$DZ$3223))))))))))))))))))))))))))))))))))))))))))))))))))</f>
        <v>DA</v>
      </c>
      <c r="EA3238" s="231"/>
      <c r="EB3238" s="4"/>
      <c r="EC3238" s="4"/>
      <c r="ED3238" s="4"/>
      <c r="EE3238" s="4"/>
      <c r="EF3238" s="4"/>
      <c r="EG3238" s="4" t="s">
        <v>3743</v>
      </c>
      <c r="EH3238" s="4"/>
      <c r="EI3238" s="4"/>
      <c r="EJ3238" s="4"/>
      <c r="EK3238" s="4"/>
      <c r="EL3238" s="4"/>
      <c r="FI3238" s="48">
        <v>8</v>
      </c>
    </row>
    <row r="3239" spans="1:184" ht="14.5" hidden="1" x14ac:dyDescent="0.35">
      <c r="A3239" s="322">
        <v>27</v>
      </c>
      <c r="B3239" s="404" t="str">
        <f t="shared" si="133"/>
        <v>Montana</v>
      </c>
      <c r="C3239" s="405">
        <v>0</v>
      </c>
      <c r="D3239" s="406" t="s">
        <v>1022</v>
      </c>
      <c r="AC3239" s="48" t="str">
        <f ca="1">IF($D$3207&gt;7,AE3198,BS3240)</f>
        <v>Since your conviction occurred 125 years ago, Montana prevents employers and others from running a criminal background check that far back.</v>
      </c>
      <c r="BO3239" s="48" t="str">
        <f ca="1">CONCATENATE($AE$3201,B3235,$AE$3207)</f>
        <v>Since your conviction occurred 125 years ago, and you earn only about $0 per year, Michigan prevents employers and others from running a criminal background check that far back.</v>
      </c>
      <c r="BR3239" s="245" t="s">
        <v>885</v>
      </c>
      <c r="BT3239" s="245" t="s">
        <v>885</v>
      </c>
      <c r="BX3239" s="52">
        <f t="shared" si="128"/>
        <v>0</v>
      </c>
      <c r="BZ3239" s="48" t="s">
        <v>3720</v>
      </c>
      <c r="CF3239" t="s">
        <v>1160</v>
      </c>
      <c r="CG3239" s="650">
        <v>435</v>
      </c>
      <c r="CH3239" s="471">
        <v>4723</v>
      </c>
      <c r="CI3239" s="471">
        <v>1085004</v>
      </c>
      <c r="CJ3239" s="653">
        <f t="shared" si="129"/>
        <v>4.3529793438549539E-3</v>
      </c>
      <c r="CK3239" s="48">
        <f t="shared" si="134"/>
        <v>24</v>
      </c>
      <c r="CL3239" s="48">
        <f t="shared" si="135"/>
        <v>727</v>
      </c>
      <c r="CM3239" s="48" t="str">
        <f t="shared" si="136"/>
        <v>727</v>
      </c>
      <c r="CN3239" s="48" t="str">
        <f t="shared" si="130"/>
        <v>4,723</v>
      </c>
      <c r="CO3239" s="48" t="str">
        <f t="shared" si="127"/>
        <v>24 to 727 in a prison population of 4,723</v>
      </c>
      <c r="DX3239" s="48" t="str">
        <f t="shared" si="137"/>
        <v>DA</v>
      </c>
      <c r="DZ3239" s="557" t="str">
        <f>IF($B$265=$EC$3213,$EC3239,IF($B$265=$ED$3213,$ED3239,IF($B$265=$EE$3213,$EE3239,IF($B$265=$EF$3213,$EF3239,IF($B$265=$EG$3213,$EG3239,IF($B$265=$EH$3213,$EH3239,IF($B$265=$EI$3213,$EI3239,IF($B$265=$EJ$3213,$EJ3239,IF($B$265=$EK$3213,$EK3239,IF($B$265=$EL$3213,$EL3239,IF($B$265=$EC$3213,$EC3239,IF($B$265=$ED$3213,$ED3239,IF($B$265=$EE$3213,$EE3239,IF($B$265=$EF$3213,$EF3239,IF($B$265=$EG$3213,$EG3239,IF($B$265=$EH$3213,$EH3239,IF($B$265=$EI$3213,$EI3239,IF($B$265=$EJ$3213,$EJ3239,IF($B$265=$EK$3213,$EK3239,IF($B$265=$EL$3213,$EL3239,IF($B$265=$EM$3213,$EM3239,IF($B$265=$EN$3213,$EN3239,IF($B$265=$EO$3213,$EO3239,IF($B$265=$EP$3213,$EP3239,IF($B$265=$EQ$3213,$EQ3239,IF($B$265=$ER$3213,$ER3239,IF($B$265=$ES$3213,$ES3239,IF($B$265=$ET$3213,$ET3239,IF($B$265=$EU$3213,$EU3239,IF($B$265=$EV$3213,$EV3239,IF($B$265=$EW$3213,$EW3239,IF($B$265=$EX$3213,#REF!,IF($B$265=$EY$3213,$EY3239,IF($B$265=$EZ$3213,$EZ3239,IF($B$265=$FA$3213,$FA3239,IF($B$265=$FB$3213,$FB3239,IF($B$265=$FC$3213,$FC3239,IF($B$265=$FD$3213,$FD3239,IF($B$265=$FE$3213,$FE3239,IF($B$265=$FF$3213,$FF3239,IF($B$265=$FG$3213,$FG3239,IF($B$265=$FH$3213,$FH3239,IF($B$265=$FI$3213,$FI3239,IF($B$265=$FJ$3213,$FJ3239,IF($B$265=$FK$3213,$FK3239,IF($B$265=$FL$3213,$FL3239,IF($B$265=$FM$3213,$FM3239,IF($B$265=$FN$3213,$FN3239,IF($B$265=$FO$3213,$FO3239,IF($B$265=$FP$3213,$FP3239,$DZ$3223))))))))))))))))))))))))))))))))))))))))))))))))))</f>
        <v>DA</v>
      </c>
      <c r="EA3239" s="231"/>
      <c r="EB3239" s="4"/>
      <c r="EC3239" s="4"/>
      <c r="ED3239" s="4"/>
      <c r="EE3239" s="4"/>
      <c r="EF3239" s="4"/>
      <c r="EG3239" s="48" t="s">
        <v>3744</v>
      </c>
      <c r="EH3239" s="4"/>
      <c r="EI3239" s="4"/>
      <c r="EJ3239" s="4"/>
      <c r="EK3239" s="4"/>
      <c r="EL3239" s="4"/>
    </row>
    <row r="3240" spans="1:184" ht="14.5" hidden="1" x14ac:dyDescent="0.35">
      <c r="A3240" s="322">
        <v>28</v>
      </c>
      <c r="B3240" s="404" t="str">
        <f t="shared" si="133"/>
        <v>Nebraska</v>
      </c>
      <c r="C3240" s="405"/>
      <c r="D3240" s="406"/>
      <c r="AC3240" s="48" t="str">
        <f>CONCATENATE(AV$3209,B3240,AE$3209,AE$3210)</f>
        <v xml:space="preserve">Unfortunately, Nebraska does not limit how far back and employer can run a background check. Background screeners must rely on indiscriminate records that fail to distinguish between "reliable evidence-based convictions" and "non-exonerated wrongful convictions"--permitting illicit discrimination. </v>
      </c>
      <c r="BR3240" s="245" t="s">
        <v>885</v>
      </c>
      <c r="BS3240" s="48" t="str">
        <f>CONCATENATE(B3235,AE$3208)</f>
        <v>Michigan cannnot limit how far back and employer can run a background check.</v>
      </c>
      <c r="BT3240" s="245" t="s">
        <v>885</v>
      </c>
      <c r="BX3240" s="52">
        <f t="shared" si="128"/>
        <v>0</v>
      </c>
      <c r="BZ3240" s="48" t="s">
        <v>3720</v>
      </c>
      <c r="CF3240" t="s">
        <v>1166</v>
      </c>
      <c r="CG3240" s="650">
        <v>287</v>
      </c>
      <c r="CH3240" s="471">
        <v>5596</v>
      </c>
      <c r="CI3240" s="471">
        <v>1951996</v>
      </c>
      <c r="CJ3240" s="653">
        <f t="shared" si="129"/>
        <v>2.8668091532974452E-3</v>
      </c>
      <c r="CK3240" s="48">
        <f t="shared" si="134"/>
        <v>28</v>
      </c>
      <c r="CL3240" s="48">
        <f t="shared" si="135"/>
        <v>862</v>
      </c>
      <c r="CM3240" s="48" t="str">
        <f t="shared" si="136"/>
        <v>862</v>
      </c>
      <c r="CN3240" s="48" t="str">
        <f t="shared" si="130"/>
        <v>5,596</v>
      </c>
      <c r="CO3240" s="48" t="str">
        <f t="shared" si="127"/>
        <v>28 to 862 in a prison population of 5,596</v>
      </c>
      <c r="DX3240" s="48" t="str">
        <f t="shared" si="137"/>
        <v>DA</v>
      </c>
      <c r="DZ3240" s="557" t="str">
        <f>IF($B$265=$EC$3213,$EC3240,IF($B$265=$ED$3213,$ED3240,IF($B$265=$EE$3213,$EE3240,IF($B$265=$EF$3213,$EF3240,IF($B$265=$EG$3213,$EG3240,IF($B$265=$EH$3213,$EH3240,IF($B$265=$EI$3213,$EI3240,IF($B$265=$EJ$3213,$EJ3240,IF($B$265=$EK$3213,$EK3240,IF($B$265=$EL$3213,$EL3240,IF($B$265=$EC$3213,$EC3240,IF($B$265=$ED$3213,$ED3240,IF($B$265=$EE$3213,$EE3240,IF($B$265=$EF$3213,$EF3240,IF($B$265=$EG$3213,$EG3240,IF($B$265=$EH$3213,$EH3240,IF($B$265=$EI$3213,$EI3240,IF($B$265=$EJ$3213,$EJ3240,IF($B$265=$EK$3213,$EK3240,IF($B$265=$EL$3213,$EL3240,IF($B$265=$EM$3213,$EM3240,IF($B$265=$EN$3213,$EN3240,IF($B$265=$EO$3213,$EO3240,IF($B$265=$EP$3213,$EP3240,IF($B$265=$EQ$3213,$EQ3240,IF($B$265=$ER$3213,$ER3240,IF($B$265=$ES$3213,$ES3240,IF($B$265=$ET$3213,$ET3240,IF($B$265=$EU$3213,$EU3240,IF($B$265=$EV$3213,$EV3240,IF($B$265=$EW$3213,$EW3240,IF($B$265=$EX$3213,#REF!,IF($B$265=$EY$3213,$EY3240,IF($B$265=$EZ$3213,$EZ3240,IF($B$265=$FA$3213,$FA3240,IF($B$265=$FB$3213,$FB3240,IF($B$265=$FC$3213,$FC3240,IF($B$265=$FD$3213,$FD3240,IF($B$265=$FE$3213,$FE3240,IF($B$265=$FF$3213,$FF3240,IF($B$265=$FG$3213,$FG3240,IF($B$265=$FH$3213,$FH3240,IF($B$265=$FI$3213,$FI3240,IF($B$265=$FJ$3213,$FJ3240,IF($B$265=$FK$3213,$FK3240,IF($B$265=$FL$3213,$FL3240,IF($B$265=$FM$3213,$FM3240,IF($B$265=$FN$3213,$FN3240,IF($B$265=$FO$3213,$FO3240,IF($B$265=$FP$3213,$FP3240,$DZ$3223))))))))))))))))))))))))))))))))))))))))))))))))))</f>
        <v>DA</v>
      </c>
      <c r="EA3240" s="231"/>
      <c r="EB3240" s="4"/>
      <c r="EC3240" s="4"/>
      <c r="ED3240" s="4"/>
      <c r="EE3240" s="4"/>
      <c r="EF3240" s="4"/>
      <c r="EG3240" s="4" t="s">
        <v>3745</v>
      </c>
      <c r="EH3240" s="4"/>
      <c r="EI3240" s="4"/>
      <c r="EJ3240" s="4"/>
      <c r="EK3240" s="4"/>
      <c r="EL3240" s="4"/>
    </row>
    <row r="3241" spans="1:184" ht="15" hidden="1" thickBot="1" x14ac:dyDescent="0.4">
      <c r="A3241" s="322">
        <v>29</v>
      </c>
      <c r="B3241" s="404" t="str">
        <f t="shared" si="133"/>
        <v>Nevada</v>
      </c>
      <c r="C3241" s="407">
        <v>20000</v>
      </c>
      <c r="D3241" s="406" t="s">
        <v>1023</v>
      </c>
      <c r="AC3241" s="48" t="str">
        <f ca="1">IF($D$3207&gt;7,BO3241,BS3242)</f>
        <v>Since your conviction occurred 125 years ago, and you earn only about $0 per year, Nevada prevents employers and others from running a criminal background check that far back.</v>
      </c>
      <c r="BO3241" s="48" t="str">
        <f ca="1">CONCATENATE($AE$3201,B3241,$AE$3207)</f>
        <v>Since your conviction occurred 125 years ago, and you earn only about $0 per year, Nevada prevents employers and others from running a criminal background check that far back.</v>
      </c>
      <c r="BR3241" s="245" t="s">
        <v>885</v>
      </c>
      <c r="BT3241" s="245" t="s">
        <v>885</v>
      </c>
      <c r="BU3241" s="48">
        <v>1</v>
      </c>
      <c r="BX3241" s="52">
        <f t="shared" si="128"/>
        <v>1</v>
      </c>
      <c r="BZ3241" s="48" t="s">
        <v>3721</v>
      </c>
      <c r="CF3241" t="s">
        <v>1170</v>
      </c>
      <c r="CG3241" s="650">
        <v>403</v>
      </c>
      <c r="CH3241" s="471">
        <v>12840</v>
      </c>
      <c r="CI3241" s="471">
        <v>3185786</v>
      </c>
      <c r="CJ3241" s="653">
        <f t="shared" si="129"/>
        <v>4.0304025443014691E-3</v>
      </c>
      <c r="CK3241" s="48">
        <f t="shared" si="134"/>
        <v>64</v>
      </c>
      <c r="CL3241" s="48">
        <f t="shared" si="135"/>
        <v>1977</v>
      </c>
      <c r="CM3241" s="48" t="str">
        <f t="shared" si="136"/>
        <v>1,977</v>
      </c>
      <c r="CN3241" s="48" t="str">
        <f t="shared" si="130"/>
        <v>12,840</v>
      </c>
      <c r="CO3241" s="48" t="str">
        <f t="shared" si="127"/>
        <v>64 to 1,977 in a prison population of 12,840</v>
      </c>
      <c r="DZ3241" s="554"/>
      <c r="EA3241" s="555"/>
      <c r="EB3241" s="554"/>
      <c r="EC3241" s="554"/>
      <c r="ED3241" s="554"/>
      <c r="EE3241" s="554"/>
      <c r="EF3241" s="554"/>
      <c r="EG3241" s="554"/>
      <c r="EH3241" s="554"/>
      <c r="EI3241" s="554"/>
      <c r="EJ3241" s="554"/>
      <c r="EK3241" s="554"/>
      <c r="EL3241" s="554"/>
      <c r="EM3241" s="556"/>
      <c r="EN3241" s="556"/>
      <c r="EO3241" s="556"/>
      <c r="EP3241" s="556"/>
      <c r="EQ3241" s="556"/>
      <c r="ER3241" s="556"/>
      <c r="ES3241" s="556"/>
      <c r="ET3241" s="556"/>
      <c r="EU3241" s="556"/>
      <c r="EV3241" s="556"/>
      <c r="EW3241" s="556"/>
      <c r="EX3241" s="556"/>
      <c r="EY3241" s="556"/>
      <c r="EZ3241" s="556"/>
      <c r="FA3241" s="556"/>
      <c r="FB3241" s="556"/>
      <c r="FC3241" s="556"/>
      <c r="FD3241" s="556"/>
      <c r="FE3241" s="556"/>
      <c r="FF3241" s="556"/>
      <c r="FG3241" s="556"/>
      <c r="FH3241" s="556"/>
      <c r="FI3241" s="556"/>
      <c r="FJ3241" s="556"/>
      <c r="FK3241" s="556"/>
      <c r="FL3241" s="556"/>
      <c r="FM3241" s="556"/>
      <c r="FN3241" s="556"/>
      <c r="FO3241" s="556"/>
      <c r="FP3241" s="556"/>
      <c r="FQ3241" s="556"/>
      <c r="FR3241" s="556"/>
      <c r="FS3241" s="556"/>
      <c r="FT3241" s="556"/>
      <c r="FU3241" s="556"/>
      <c r="FV3241" s="556"/>
      <c r="FW3241" s="556"/>
      <c r="FX3241" s="556"/>
      <c r="FY3241" s="556"/>
      <c r="FZ3241" s="556"/>
      <c r="GA3241" s="556"/>
      <c r="GB3241" s="556"/>
    </row>
    <row r="3242" spans="1:184" ht="14.5" hidden="1" x14ac:dyDescent="0.35">
      <c r="A3242" s="322">
        <v>30</v>
      </c>
      <c r="B3242" s="404" t="str">
        <f t="shared" si="133"/>
        <v>New Hampshire</v>
      </c>
      <c r="C3242" s="407">
        <v>20000</v>
      </c>
      <c r="D3242" s="406" t="s">
        <v>1023</v>
      </c>
      <c r="AC3242" s="48" t="str">
        <f ca="1">IF($D$3207&gt;7,BO3242,BS3243)</f>
        <v>Since your conviction occurred 125 years ago, and you earn only about $0 per year, New Hampshire prevents employers and others from running a criminal background check that far back.</v>
      </c>
      <c r="BO3242" s="48" t="str">
        <f ca="1">CONCATENATE($AE$3201,B3242,$AE$3207)</f>
        <v>Since your conviction occurred 125 years ago, and you earn only about $0 per year, New Hampshire prevents employers and others from running a criminal background check that far back.</v>
      </c>
      <c r="BR3242" s="245" t="s">
        <v>885</v>
      </c>
      <c r="BS3242" s="48" t="str">
        <f>CONCATENATE(B3241,AE$3208)</f>
        <v>Nevada cannnot limit how far back and employer can run a background check.</v>
      </c>
      <c r="BT3242" s="245" t="s">
        <v>885</v>
      </c>
      <c r="BX3242" s="52">
        <f t="shared" si="128"/>
        <v>0</v>
      </c>
      <c r="BZ3242" s="48" t="s">
        <v>3720</v>
      </c>
      <c r="CF3242" t="s">
        <v>1172</v>
      </c>
      <c r="CG3242" s="650">
        <v>196</v>
      </c>
      <c r="CH3242" s="471">
        <v>2691</v>
      </c>
      <c r="CI3242" s="471">
        <v>1372203</v>
      </c>
      <c r="CJ3242" s="653">
        <f t="shared" si="129"/>
        <v>1.9610801025795746E-3</v>
      </c>
      <c r="CK3242" s="48">
        <f t="shared" si="134"/>
        <v>13</v>
      </c>
      <c r="CL3242" s="48">
        <f t="shared" si="135"/>
        <v>414</v>
      </c>
      <c r="CM3242" s="48" t="str">
        <f t="shared" si="136"/>
        <v>414</v>
      </c>
      <c r="CN3242" s="48" t="str">
        <f t="shared" si="130"/>
        <v>2,691</v>
      </c>
      <c r="CO3242" s="48" t="str">
        <f t="shared" si="127"/>
        <v>13 to 414 in a prison population of 2,691</v>
      </c>
      <c r="DZ3242" s="4"/>
      <c r="EA3242" s="231"/>
      <c r="EB3242" s="4"/>
      <c r="EC3242" s="4"/>
      <c r="ED3242" s="4"/>
      <c r="EE3242" s="4"/>
      <c r="EF3242" s="4"/>
      <c r="EG3242" s="4"/>
      <c r="EH3242" s="4"/>
      <c r="EI3242" s="4"/>
      <c r="EJ3242" s="4"/>
      <c r="EK3242" s="4"/>
      <c r="EL3242" s="4"/>
    </row>
    <row r="3243" spans="1:184" ht="14.5" hidden="1" x14ac:dyDescent="0.35">
      <c r="A3243" s="322">
        <v>31</v>
      </c>
      <c r="B3243" s="404" t="str">
        <f t="shared" si="133"/>
        <v>New Jersey</v>
      </c>
      <c r="C3243" s="407"/>
      <c r="D3243" s="406"/>
      <c r="AC3243" s="48" t="str">
        <f>CONCATENATE(AV$3209,B3243,AE$3209,AE$3210)</f>
        <v xml:space="preserve">Unfortunately, New Jersey does not limit how far back and employer can run a background check. Background screeners must rely on indiscriminate records that fail to distinguish between "reliable evidence-based convictions" and "non-exonerated wrongful convictions"--permitting illicit discrimination. </v>
      </c>
      <c r="BR3243" s="245" t="s">
        <v>885</v>
      </c>
      <c r="BS3243" s="48" t="str">
        <f>CONCATENATE(B3242,AE$3208)</f>
        <v>New Hampshire cannnot limit how far back and employer can run a background check.</v>
      </c>
      <c r="BT3243" s="245" t="s">
        <v>885</v>
      </c>
      <c r="BW3243" s="48">
        <v>1</v>
      </c>
      <c r="BX3243" s="52">
        <f t="shared" si="128"/>
        <v>1</v>
      </c>
      <c r="BZ3243" s="48" t="s">
        <v>3727</v>
      </c>
      <c r="CF3243" t="s">
        <v>1178</v>
      </c>
      <c r="CG3243" s="650">
        <v>210</v>
      </c>
      <c r="CH3243" s="471">
        <v>18613</v>
      </c>
      <c r="CI3243" s="471">
        <v>8874520</v>
      </c>
      <c r="CJ3243" s="653">
        <f t="shared" si="129"/>
        <v>2.0973528709158354E-3</v>
      </c>
      <c r="CK3243" s="48">
        <f t="shared" si="134"/>
        <v>93</v>
      </c>
      <c r="CL3243" s="48">
        <f t="shared" si="135"/>
        <v>2866</v>
      </c>
      <c r="CM3243" s="48" t="str">
        <f t="shared" si="136"/>
        <v>2,866</v>
      </c>
      <c r="CN3243" s="48" t="str">
        <f t="shared" si="130"/>
        <v>18,613</v>
      </c>
      <c r="CO3243" s="48" t="str">
        <f t="shared" si="127"/>
        <v>93 to 2,866 in a prison population of 18,613</v>
      </c>
      <c r="DZ3243" s="4"/>
      <c r="EA3243" s="231"/>
      <c r="EB3243" s="4"/>
      <c r="EC3243" s="4"/>
      <c r="ED3243" s="4"/>
      <c r="EE3243" s="4"/>
      <c r="EF3243" s="4"/>
      <c r="EG3243" s="4"/>
      <c r="EH3243" s="4"/>
      <c r="EI3243" s="4"/>
      <c r="EJ3243" s="4"/>
      <c r="EK3243" s="4"/>
      <c r="EL3243" s="4"/>
    </row>
    <row r="3244" spans="1:184" ht="14.5" hidden="1" x14ac:dyDescent="0.35">
      <c r="A3244" s="322">
        <v>32</v>
      </c>
      <c r="B3244" s="404" t="str">
        <f t="shared" si="133"/>
        <v>New Mexico</v>
      </c>
      <c r="C3244" s="407">
        <v>20000</v>
      </c>
      <c r="D3244" s="406" t="s">
        <v>1023</v>
      </c>
      <c r="AC3244" s="48" t="str">
        <f ca="1">IF($D$3207&gt;7,BO3244,BS3245)</f>
        <v>Since your conviction occurred 125 years ago, and you earn only about $0 per year, New Mexico prevents employers and others from running a criminal background check that far back.</v>
      </c>
      <c r="BO3244" s="48" t="str">
        <f ca="1">CONCATENATE($AE$3201,B3244,$AE$3207)</f>
        <v>Since your conviction occurred 125 years ago, and you earn only about $0 per year, New Mexico prevents employers and others from running a criminal background check that far back.</v>
      </c>
      <c r="BR3244" s="245" t="s">
        <v>885</v>
      </c>
      <c r="BT3244" s="245" t="s">
        <v>885</v>
      </c>
      <c r="BX3244" s="52">
        <f t="shared" si="128"/>
        <v>0</v>
      </c>
      <c r="BZ3244" s="48" t="s">
        <v>3721</v>
      </c>
      <c r="CF3244" t="s">
        <v>1183</v>
      </c>
      <c r="CG3244" s="650">
        <v>315</v>
      </c>
      <c r="CH3244" s="471">
        <v>6634</v>
      </c>
      <c r="CI3244" s="471">
        <v>2105005</v>
      </c>
      <c r="CJ3244" s="653">
        <f t="shared" si="129"/>
        <v>3.1515364571580592E-3</v>
      </c>
      <c r="CK3244" s="48">
        <f t="shared" si="134"/>
        <v>33</v>
      </c>
      <c r="CL3244" s="48">
        <f t="shared" si="135"/>
        <v>1022</v>
      </c>
      <c r="CM3244" s="48" t="str">
        <f t="shared" si="136"/>
        <v>1,022</v>
      </c>
      <c r="CN3244" s="48" t="str">
        <f t="shared" si="130"/>
        <v>6,634</v>
      </c>
      <c r="CO3244" s="48" t="str">
        <f t="shared" si="127"/>
        <v>33 to 1,022 in a prison population of 6,634</v>
      </c>
      <c r="DZ3244" s="4"/>
      <c r="EA3244" s="231"/>
      <c r="EB3244" s="4"/>
      <c r="EC3244" s="4"/>
      <c r="ED3244" s="4"/>
      <c r="EE3244" s="4"/>
      <c r="EF3244" s="4"/>
      <c r="EG3244" s="4"/>
      <c r="EH3244" s="4"/>
      <c r="EI3244" s="4"/>
      <c r="EJ3244" s="4"/>
      <c r="EK3244" s="4"/>
      <c r="EL3244" s="4"/>
    </row>
    <row r="3245" spans="1:184" ht="14.5" hidden="1" x14ac:dyDescent="0.35">
      <c r="A3245" s="322">
        <v>33</v>
      </c>
      <c r="B3245" s="404" t="str">
        <f t="shared" si="133"/>
        <v>New York</v>
      </c>
      <c r="C3245" s="407">
        <v>25000</v>
      </c>
      <c r="D3245" s="406" t="s">
        <v>1023</v>
      </c>
      <c r="AC3245" s="48" t="str">
        <f ca="1">IF($D$3207&gt;7,BO3245,BS3246)</f>
        <v>Since your conviction occurred 125 years ago, and you earn only about $0 per year, New York prevents employers and others from running a criminal background check that far back.</v>
      </c>
      <c r="BO3245" s="48" t="str">
        <f ca="1">CONCATENATE($AE$3201,B3245,$AE$3207)</f>
        <v>Since your conviction occurred 125 years ago, and you earn only about $0 per year, New York prevents employers and others from running a criminal background check that far back.</v>
      </c>
      <c r="BR3245" s="245" t="s">
        <v>885</v>
      </c>
      <c r="BS3245" s="48" t="str">
        <f>CONCATENATE(B3244,AE$3208)</f>
        <v>New Mexico cannnot limit how far back and employer can run a background check.</v>
      </c>
      <c r="BT3245" s="245" t="s">
        <v>885</v>
      </c>
      <c r="BU3245" s="48">
        <v>8</v>
      </c>
      <c r="BV3245" s="48">
        <v>5</v>
      </c>
      <c r="BW3245" s="48">
        <v>1</v>
      </c>
      <c r="BX3245" s="52">
        <f t="shared" si="128"/>
        <v>14</v>
      </c>
      <c r="BZ3245" s="48" t="s">
        <v>3721</v>
      </c>
      <c r="CF3245" t="s">
        <v>1185</v>
      </c>
      <c r="CG3245" s="650">
        <v>225</v>
      </c>
      <c r="CH3245" s="471">
        <v>43439</v>
      </c>
      <c r="CI3245" s="471">
        <v>19299981</v>
      </c>
      <c r="CJ3245" s="653">
        <f t="shared" si="129"/>
        <v>2.2507276043432375E-3</v>
      </c>
      <c r="CK3245" s="48">
        <f t="shared" si="134"/>
        <v>217</v>
      </c>
      <c r="CL3245" s="48">
        <f t="shared" si="135"/>
        <v>6690</v>
      </c>
      <c r="CM3245" s="48" t="str">
        <f t="shared" si="136"/>
        <v>6,690</v>
      </c>
      <c r="CN3245" s="48" t="str">
        <f t="shared" si="130"/>
        <v>43,439</v>
      </c>
      <c r="CO3245" s="48" t="str">
        <f t="shared" ref="CO3245:CO3263" si="138">CONCATENATE(CK3245," to ",CM3245,CP$3212,CN3245)</f>
        <v>217 to 6,690 in a prison population of 43,439</v>
      </c>
      <c r="DZ3245" s="4"/>
      <c r="EA3245" s="231"/>
      <c r="EB3245" s="4"/>
      <c r="EC3245" s="4"/>
      <c r="ED3245" s="4"/>
      <c r="EE3245" s="4"/>
      <c r="EF3245" s="4"/>
      <c r="EG3245" s="4"/>
      <c r="EH3245" s="4"/>
      <c r="EI3245" s="4"/>
      <c r="EJ3245" s="4"/>
      <c r="EK3245" s="4"/>
      <c r="EL3245" s="4"/>
    </row>
    <row r="3246" spans="1:184" ht="14.5" hidden="1" x14ac:dyDescent="0.35">
      <c r="A3246" s="322">
        <v>34</v>
      </c>
      <c r="B3246" s="404" t="str">
        <f t="shared" si="133"/>
        <v>North Carolina</v>
      </c>
      <c r="C3246" s="407"/>
      <c r="D3246" s="406"/>
      <c r="AC3246" s="48" t="str">
        <f t="shared" ref="AC3246:AC3255" si="139">CONCATENATE(AV$3209,B3246,AE$3209,AE$3210)</f>
        <v xml:space="preserve">Unfortunately, North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c r="BR3246" s="245" t="s">
        <v>885</v>
      </c>
      <c r="BS3246" s="48" t="str">
        <f>CONCATENATE(B3245,AE$3208)</f>
        <v>New York cannnot limit how far back and employer can run a background check.</v>
      </c>
      <c r="BT3246" s="245" t="s">
        <v>885</v>
      </c>
      <c r="BX3246" s="52">
        <f t="shared" si="128"/>
        <v>0</v>
      </c>
      <c r="BZ3246" s="48" t="s">
        <v>3721</v>
      </c>
      <c r="CF3246" t="s">
        <v>1188</v>
      </c>
      <c r="CG3246" s="650">
        <v>309</v>
      </c>
      <c r="CH3246" s="471">
        <v>33042</v>
      </c>
      <c r="CI3246" s="471">
        <v>10701022</v>
      </c>
      <c r="CJ3246" s="653">
        <f t="shared" si="129"/>
        <v>3.0877424604864845E-3</v>
      </c>
      <c r="CK3246" s="48">
        <f t="shared" si="134"/>
        <v>165</v>
      </c>
      <c r="CL3246" s="48">
        <f t="shared" si="135"/>
        <v>5088</v>
      </c>
      <c r="CM3246" s="48" t="str">
        <f t="shared" si="136"/>
        <v>5,088</v>
      </c>
      <c r="CN3246" s="48" t="str">
        <f t="shared" si="130"/>
        <v>33,042</v>
      </c>
      <c r="CO3246" s="48" t="str">
        <f t="shared" si="138"/>
        <v>165 to 5,088 in a prison population of 33,042</v>
      </c>
      <c r="DZ3246" s="4"/>
      <c r="EA3246" s="231"/>
      <c r="EB3246" s="4"/>
      <c r="EC3246" s="4"/>
      <c r="ED3246" s="4"/>
      <c r="EE3246" s="4"/>
      <c r="EF3246" s="4"/>
      <c r="EG3246" s="4"/>
      <c r="EH3246" s="4"/>
      <c r="EI3246" s="4"/>
      <c r="EJ3246" s="4"/>
      <c r="EK3246" s="4"/>
      <c r="EL3246" s="4"/>
    </row>
    <row r="3247" spans="1:184" ht="14.5" hidden="1" x14ac:dyDescent="0.35">
      <c r="A3247" s="322">
        <v>35</v>
      </c>
      <c r="B3247" s="404" t="str">
        <f t="shared" si="133"/>
        <v>North Dakota</v>
      </c>
      <c r="C3247" s="407"/>
      <c r="D3247" s="406"/>
      <c r="AC3247" s="48" t="str">
        <f t="shared" si="139"/>
        <v xml:space="preserve">Unfortunately, North Dakota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47" s="245" t="s">
        <v>885</v>
      </c>
      <c r="BT3247" s="245" t="s">
        <v>885</v>
      </c>
      <c r="BX3247" s="52">
        <f t="shared" si="128"/>
        <v>0</v>
      </c>
      <c r="BZ3247" s="48" t="s">
        <v>3723</v>
      </c>
      <c r="CF3247" t="s">
        <v>1193</v>
      </c>
      <c r="CG3247" s="650">
        <v>229</v>
      </c>
      <c r="CH3247" s="471">
        <v>1767</v>
      </c>
      <c r="CI3247" s="471">
        <v>770026</v>
      </c>
      <c r="CJ3247" s="653">
        <f t="shared" si="129"/>
        <v>2.2947277104928923E-3</v>
      </c>
      <c r="CK3247" s="48">
        <f t="shared" si="134"/>
        <v>9</v>
      </c>
      <c r="CL3247" s="48">
        <f t="shared" si="135"/>
        <v>272</v>
      </c>
      <c r="CM3247" s="48" t="str">
        <f t="shared" si="136"/>
        <v>272</v>
      </c>
      <c r="CN3247" s="48" t="str">
        <f t="shared" si="130"/>
        <v>1,767</v>
      </c>
      <c r="CO3247" s="48" t="str">
        <f t="shared" si="138"/>
        <v>9 to 272 in a prison population of 1,767</v>
      </c>
      <c r="DZ3247" s="4"/>
      <c r="EA3247" s="231"/>
      <c r="EB3247" s="4"/>
      <c r="EC3247" s="4"/>
      <c r="ED3247" s="4"/>
      <c r="EE3247" s="4"/>
      <c r="EF3247" s="4"/>
      <c r="EG3247" s="4"/>
      <c r="EH3247" s="4"/>
      <c r="EI3247" s="4"/>
      <c r="EJ3247" s="4"/>
      <c r="EK3247" s="4"/>
      <c r="EL3247" s="4"/>
    </row>
    <row r="3248" spans="1:184" ht="14.5" hidden="1" x14ac:dyDescent="0.35">
      <c r="A3248" s="322">
        <v>36</v>
      </c>
      <c r="B3248" s="404" t="str">
        <f t="shared" si="133"/>
        <v>Ohio</v>
      </c>
      <c r="C3248" s="407"/>
      <c r="D3248" s="406"/>
      <c r="AC3248" s="48" t="str">
        <f t="shared" si="139"/>
        <v xml:space="preserve">Unfortunately, Ohio does not limit how far back and employer can run a background check. Background screeners must rely on indiscriminate records that fail to distinguish between "reliable evidence-based convictions" and "non-exonerated wrongful convictions"--permitting illicit discrimination. </v>
      </c>
      <c r="BR3248" s="245" t="s">
        <v>885</v>
      </c>
      <c r="BT3248" s="245" t="s">
        <v>885</v>
      </c>
      <c r="BU3248" s="48">
        <v>1</v>
      </c>
      <c r="BV3248" s="48">
        <v>1</v>
      </c>
      <c r="BX3248" s="52">
        <f t="shared" si="128"/>
        <v>2</v>
      </c>
      <c r="BZ3248" s="48" t="s">
        <v>3722</v>
      </c>
      <c r="CF3248" t="s">
        <v>1195</v>
      </c>
      <c r="CG3248" s="650">
        <v>430</v>
      </c>
      <c r="CH3248" s="471">
        <v>50338</v>
      </c>
      <c r="CI3248" s="471">
        <v>11714618</v>
      </c>
      <c r="CJ3248" s="653">
        <f t="shared" si="129"/>
        <v>4.2970244526966224E-3</v>
      </c>
      <c r="CK3248" s="48">
        <f t="shared" si="134"/>
        <v>252</v>
      </c>
      <c r="CL3248" s="48">
        <f t="shared" si="135"/>
        <v>7752</v>
      </c>
      <c r="CM3248" s="48" t="str">
        <f t="shared" si="136"/>
        <v>7,752</v>
      </c>
      <c r="CN3248" s="48" t="str">
        <f t="shared" si="130"/>
        <v>50,338</v>
      </c>
      <c r="CO3248" s="48" t="str">
        <f t="shared" si="138"/>
        <v>252 to 7,752 in a prison population of 50,338</v>
      </c>
      <c r="DZ3248" s="4"/>
      <c r="EA3248" s="231"/>
      <c r="EB3248" s="4"/>
      <c r="EC3248" s="4"/>
      <c r="ED3248" s="4"/>
      <c r="EE3248" s="4"/>
      <c r="EF3248" s="4"/>
      <c r="EG3248" s="4"/>
      <c r="EH3248" s="4"/>
      <c r="EI3248" s="4"/>
      <c r="EJ3248" s="4"/>
      <c r="EK3248" s="4"/>
      <c r="EL3248" s="4"/>
    </row>
    <row r="3249" spans="1:142" ht="14.5" hidden="1" x14ac:dyDescent="0.35">
      <c r="A3249" s="322">
        <v>37</v>
      </c>
      <c r="B3249" s="404" t="str">
        <f t="shared" si="133"/>
        <v>Oklahoma</v>
      </c>
      <c r="C3249" s="407"/>
      <c r="D3249" s="406"/>
      <c r="AC3249" s="48" t="str">
        <f t="shared" si="139"/>
        <v xml:space="preserve">Unfortunately, Oklahoma does not limit how far back and employer can run a background check. Background screeners must rely on indiscriminate records that fail to distinguish between "reliable evidence-based convictions" and "non-exonerated wrongful convictions"--permitting illicit discrimination. </v>
      </c>
      <c r="BR3249" s="245" t="s">
        <v>885</v>
      </c>
      <c r="BT3249" s="245" t="s">
        <v>885</v>
      </c>
      <c r="BX3249" s="52">
        <f t="shared" si="128"/>
        <v>0</v>
      </c>
      <c r="BZ3249" s="48" t="s">
        <v>3721</v>
      </c>
      <c r="CF3249" t="s">
        <v>1200</v>
      </c>
      <c r="CG3249" s="650">
        <v>635</v>
      </c>
      <c r="CH3249" s="471">
        <v>25338</v>
      </c>
      <c r="CI3249" s="471">
        <v>3990443</v>
      </c>
      <c r="CJ3249" s="653">
        <f t="shared" si="129"/>
        <v>6.3496709513204425E-3</v>
      </c>
      <c r="CK3249" s="48">
        <f t="shared" si="134"/>
        <v>127</v>
      </c>
      <c r="CL3249" s="48">
        <f t="shared" si="135"/>
        <v>3902</v>
      </c>
      <c r="CM3249" s="48" t="str">
        <f t="shared" si="136"/>
        <v>3,902</v>
      </c>
      <c r="CN3249" s="48" t="str">
        <f t="shared" si="130"/>
        <v>25,338</v>
      </c>
      <c r="CO3249" s="48" t="str">
        <f t="shared" si="138"/>
        <v>127 to 3,902 in a prison population of 25,338</v>
      </c>
      <c r="DZ3249" s="4"/>
      <c r="EA3249" s="231"/>
      <c r="EB3249" s="4"/>
      <c r="EC3249" s="4"/>
      <c r="ED3249" s="4"/>
      <c r="EE3249" s="4"/>
      <c r="EF3249" s="4"/>
      <c r="EG3249" s="4"/>
      <c r="EH3249" s="4"/>
      <c r="EI3249" s="4"/>
      <c r="EJ3249" s="4"/>
      <c r="EK3249" s="4"/>
      <c r="EL3249" s="4"/>
    </row>
    <row r="3250" spans="1:142" ht="14.5" hidden="1" x14ac:dyDescent="0.35">
      <c r="A3250" s="322">
        <v>38</v>
      </c>
      <c r="B3250" s="404" t="str">
        <f t="shared" si="133"/>
        <v>Oregon</v>
      </c>
      <c r="C3250" s="407"/>
      <c r="D3250" s="406"/>
      <c r="AC3250" s="48" t="str">
        <f t="shared" si="139"/>
        <v xml:space="preserve">Unfortunately, Oregon does not limit how far back and employer can run a background check. Background screeners must rely on indiscriminate records that fail to distinguish between "reliable evidence-based convictions" and "non-exonerated wrongful convictions"--permitting illicit discrimination. </v>
      </c>
      <c r="BR3250" s="245" t="s">
        <v>885</v>
      </c>
      <c r="BT3250" s="245" t="s">
        <v>885</v>
      </c>
      <c r="BU3250" s="48">
        <v>1</v>
      </c>
      <c r="BX3250" s="52">
        <f t="shared" si="128"/>
        <v>1</v>
      </c>
      <c r="BZ3250" s="48" t="s">
        <v>3721</v>
      </c>
      <c r="CF3250" t="s">
        <v>1205</v>
      </c>
      <c r="CG3250" s="650">
        <v>348</v>
      </c>
      <c r="CH3250" s="471">
        <v>14943</v>
      </c>
      <c r="CI3250" s="471">
        <v>4289439</v>
      </c>
      <c r="CJ3250" s="653">
        <f t="shared" si="129"/>
        <v>3.4836723403689853E-3</v>
      </c>
      <c r="CK3250" s="48">
        <f t="shared" si="134"/>
        <v>75</v>
      </c>
      <c r="CL3250" s="48">
        <f t="shared" si="135"/>
        <v>2301</v>
      </c>
      <c r="CM3250" s="48" t="str">
        <f t="shared" si="136"/>
        <v>2,301</v>
      </c>
      <c r="CN3250" s="48" t="str">
        <f t="shared" si="130"/>
        <v>14,943</v>
      </c>
      <c r="CO3250" s="48" t="str">
        <f t="shared" si="138"/>
        <v>75 to 2,301 in a prison population of 14,943</v>
      </c>
      <c r="DZ3250" s="4"/>
      <c r="EA3250" s="231"/>
      <c r="EB3250" s="4"/>
      <c r="EC3250" s="4"/>
      <c r="ED3250" s="4"/>
      <c r="EE3250" s="4"/>
      <c r="EF3250" s="4"/>
      <c r="EG3250" s="4"/>
      <c r="EH3250" s="4"/>
      <c r="EI3250" s="4"/>
      <c r="EJ3250" s="4"/>
      <c r="EK3250" s="4"/>
      <c r="EL3250" s="4"/>
    </row>
    <row r="3251" spans="1:142" ht="14.5" hidden="1" x14ac:dyDescent="0.35">
      <c r="A3251" s="322">
        <v>39</v>
      </c>
      <c r="B3251" s="404" t="str">
        <f t="shared" si="133"/>
        <v>Pennsylvania</v>
      </c>
      <c r="C3251" s="407"/>
      <c r="D3251" s="406"/>
      <c r="AC3251" s="48" t="str">
        <f t="shared" si="139"/>
        <v xml:space="preserve">Unfortunately, Pennsylvania does not limit how far back and employer can run a background check. Background screeners must rely on indiscriminate records that fail to distinguish between "reliable evidence-based convictions" and "non-exonerated wrongful convictions"--permitting illicit discrimination. </v>
      </c>
      <c r="BR3251" s="245" t="s">
        <v>885</v>
      </c>
      <c r="BT3251" s="245" t="s">
        <v>885</v>
      </c>
      <c r="BU3251" s="48">
        <v>1</v>
      </c>
      <c r="BV3251" s="48">
        <v>2</v>
      </c>
      <c r="BW3251" s="48">
        <v>1</v>
      </c>
      <c r="BX3251" s="52">
        <f t="shared" si="128"/>
        <v>4</v>
      </c>
      <c r="BZ3251" s="48" t="s">
        <v>3721</v>
      </c>
      <c r="CF3251" t="s">
        <v>1207</v>
      </c>
      <c r="CG3251" s="650">
        <v>355</v>
      </c>
      <c r="CH3251" s="471">
        <v>45485</v>
      </c>
      <c r="CI3251" s="471">
        <v>12804123</v>
      </c>
      <c r="CJ3251" s="653">
        <f t="shared" si="129"/>
        <v>3.5523713728773144E-3</v>
      </c>
      <c r="CK3251" s="48">
        <f t="shared" si="134"/>
        <v>227</v>
      </c>
      <c r="CL3251" s="48">
        <f t="shared" si="135"/>
        <v>7005</v>
      </c>
      <c r="CM3251" s="48" t="str">
        <f t="shared" si="136"/>
        <v>7,005</v>
      </c>
      <c r="CN3251" s="48" t="str">
        <f t="shared" si="130"/>
        <v>45,485</v>
      </c>
      <c r="CO3251" s="48" t="str">
        <f t="shared" si="138"/>
        <v>227 to 7,005 in a prison population of 45,485</v>
      </c>
      <c r="DZ3251" s="4"/>
      <c r="EA3251" s="231"/>
      <c r="EB3251" s="4"/>
      <c r="EC3251" s="4"/>
      <c r="ED3251" s="4"/>
      <c r="EE3251" s="4"/>
      <c r="EF3251" s="4"/>
      <c r="EG3251" s="4"/>
      <c r="EH3251" s="4"/>
      <c r="EI3251" s="4"/>
      <c r="EJ3251" s="4"/>
      <c r="EK3251" s="4"/>
      <c r="EL3251" s="4"/>
    </row>
    <row r="3252" spans="1:142" ht="14.5" hidden="1" x14ac:dyDescent="0.35">
      <c r="A3252" s="322">
        <v>40</v>
      </c>
      <c r="B3252" s="404" t="str">
        <f t="shared" si="133"/>
        <v>Rhode Island</v>
      </c>
      <c r="C3252" s="407"/>
      <c r="D3252" s="406"/>
      <c r="AC3252" s="48" t="str">
        <f t="shared" si="139"/>
        <v xml:space="preserve">Unfortunately, Rhode Island does not limit how far back and employer can run a background check. Background screeners must rely on indiscriminate records that fail to distinguish between "reliable evidence-based convictions" and "non-exonerated wrongful convictions"--permitting illicit discrimination. </v>
      </c>
      <c r="BR3252" s="245" t="s">
        <v>885</v>
      </c>
      <c r="BT3252" s="245" t="s">
        <v>885</v>
      </c>
      <c r="BX3252" s="52">
        <f t="shared" si="128"/>
        <v>0</v>
      </c>
      <c r="BZ3252" s="48" t="s">
        <v>4145</v>
      </c>
      <c r="CF3252" t="s">
        <v>1209</v>
      </c>
      <c r="CG3252" s="650">
        <v>156</v>
      </c>
      <c r="CH3252" s="471">
        <v>1656</v>
      </c>
      <c r="CI3252" s="471">
        <v>1061509</v>
      </c>
      <c r="CJ3252" s="653">
        <f t="shared" si="129"/>
        <v>1.5600432968538185E-3</v>
      </c>
      <c r="CK3252" s="48">
        <f t="shared" si="134"/>
        <v>8</v>
      </c>
      <c r="CL3252" s="48">
        <f t="shared" si="135"/>
        <v>255</v>
      </c>
      <c r="CM3252" s="48" t="str">
        <f t="shared" si="136"/>
        <v>255</v>
      </c>
      <c r="CN3252" s="48" t="str">
        <f t="shared" si="130"/>
        <v>1,656</v>
      </c>
      <c r="CO3252" s="48" t="str">
        <f t="shared" si="138"/>
        <v>8 to 255 in a prison population of 1,656</v>
      </c>
      <c r="DZ3252" s="4"/>
      <c r="EA3252" s="231"/>
      <c r="EB3252" s="4"/>
      <c r="EC3252" s="4"/>
      <c r="ED3252" s="4"/>
      <c r="EE3252" s="4"/>
      <c r="EF3252" s="4"/>
      <c r="EG3252" s="4"/>
      <c r="EH3252" s="4"/>
      <c r="EI3252" s="4"/>
      <c r="EJ3252" s="4"/>
      <c r="EK3252" s="4"/>
      <c r="EL3252" s="4"/>
    </row>
    <row r="3253" spans="1:142" ht="14.5" hidden="1" x14ac:dyDescent="0.35">
      <c r="A3253" s="322">
        <v>41</v>
      </c>
      <c r="B3253" s="404" t="str">
        <f t="shared" si="133"/>
        <v>South Carolina</v>
      </c>
      <c r="C3253" s="407"/>
      <c r="D3253" s="406"/>
      <c r="AC3253" s="48" t="str">
        <f t="shared" si="139"/>
        <v xml:space="preserve">Unfortunately, South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c r="BR3253" s="245" t="s">
        <v>885</v>
      </c>
      <c r="BT3253" s="245" t="s">
        <v>885</v>
      </c>
      <c r="BX3253" s="52">
        <f t="shared" si="128"/>
        <v>0</v>
      </c>
      <c r="BZ3253" s="48" t="s">
        <v>3728</v>
      </c>
      <c r="CF3253" t="s">
        <v>1211</v>
      </c>
      <c r="CG3253" s="650">
        <v>347</v>
      </c>
      <c r="CH3253" s="471">
        <v>18295</v>
      </c>
      <c r="CI3253" s="471">
        <v>5277830</v>
      </c>
      <c r="CJ3253" s="653">
        <f t="shared" si="129"/>
        <v>3.4663867536468586E-3</v>
      </c>
      <c r="CK3253" s="48">
        <f t="shared" si="134"/>
        <v>91</v>
      </c>
      <c r="CL3253" s="48">
        <f t="shared" si="135"/>
        <v>2817</v>
      </c>
      <c r="CM3253" s="48" t="str">
        <f t="shared" si="136"/>
        <v>2,817</v>
      </c>
      <c r="CN3253" s="48" t="str">
        <f t="shared" si="130"/>
        <v>18,295</v>
      </c>
      <c r="CO3253" s="48" t="str">
        <f t="shared" si="138"/>
        <v>91 to 2,817 in a prison population of 18,295</v>
      </c>
      <c r="DZ3253" s="4"/>
      <c r="EA3253" s="231"/>
      <c r="EB3253" s="4"/>
      <c r="EC3253" s="4"/>
      <c r="ED3253" s="4"/>
      <c r="EE3253" s="4"/>
      <c r="EF3253" s="4"/>
      <c r="EG3253" s="4"/>
      <c r="EH3253" s="4"/>
      <c r="EI3253" s="4"/>
      <c r="EJ3253" s="4"/>
      <c r="EK3253" s="4"/>
      <c r="EL3253" s="4"/>
    </row>
    <row r="3254" spans="1:142" ht="14.5" hidden="1" x14ac:dyDescent="0.35">
      <c r="A3254" s="322">
        <v>42</v>
      </c>
      <c r="B3254" s="404" t="str">
        <f t="shared" si="133"/>
        <v>South Dakota</v>
      </c>
      <c r="C3254" s="407"/>
      <c r="D3254" s="406"/>
      <c r="AC3254" s="48" t="str">
        <f t="shared" si="139"/>
        <v xml:space="preserve">Unfortunately, South Dakota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54" s="245" t="s">
        <v>885</v>
      </c>
      <c r="BT3254" s="245" t="s">
        <v>885</v>
      </c>
      <c r="BX3254" s="52">
        <f t="shared" si="128"/>
        <v>0</v>
      </c>
      <c r="BZ3254" s="48" t="s">
        <v>3723</v>
      </c>
      <c r="CF3254" t="s">
        <v>1213</v>
      </c>
      <c r="CG3254" s="650">
        <v>423</v>
      </c>
      <c r="CH3254" s="471">
        <v>3797</v>
      </c>
      <c r="CI3254" s="471">
        <v>896581</v>
      </c>
      <c r="CJ3254" s="653">
        <f t="shared" si="129"/>
        <v>4.2349770963248162E-3</v>
      </c>
      <c r="CK3254" s="48">
        <f t="shared" si="134"/>
        <v>19</v>
      </c>
      <c r="CL3254" s="48">
        <f t="shared" si="135"/>
        <v>585</v>
      </c>
      <c r="CM3254" s="48" t="str">
        <f t="shared" si="136"/>
        <v>585</v>
      </c>
      <c r="CN3254" s="48" t="str">
        <f t="shared" si="130"/>
        <v>3,797</v>
      </c>
      <c r="CO3254" s="48" t="str">
        <f t="shared" si="138"/>
        <v>19 to 585 in a prison population of 3,797</v>
      </c>
      <c r="DZ3254" s="4"/>
      <c r="EA3254" s="231"/>
      <c r="EB3254" s="4"/>
      <c r="EC3254" s="4"/>
      <c r="ED3254" s="4"/>
      <c r="EE3254" s="4"/>
      <c r="EF3254" s="4"/>
      <c r="EG3254" s="4"/>
      <c r="EH3254" s="4"/>
      <c r="EI3254" s="4"/>
      <c r="EJ3254" s="4"/>
      <c r="EK3254" s="4"/>
      <c r="EL3254" s="4"/>
    </row>
    <row r="3255" spans="1:142" ht="14.5" hidden="1" x14ac:dyDescent="0.35">
      <c r="A3255" s="322">
        <v>43</v>
      </c>
      <c r="B3255" s="404" t="str">
        <f t="shared" si="133"/>
        <v>Tennessee</v>
      </c>
      <c r="C3255" s="407"/>
      <c r="D3255" s="406"/>
      <c r="AC3255" s="48" t="str">
        <f t="shared" si="139"/>
        <v xml:space="preserve">Unfortunately, Tennessee does not limit how far back and employer can run a background check. Background screeners must rely on indiscriminate records that fail to distinguish between "reliable evidence-based convictions" and "non-exonerated wrongful convictions"--permitting illicit discrimination. </v>
      </c>
      <c r="BR3255" s="245" t="s">
        <v>885</v>
      </c>
      <c r="BT3255" s="245" t="s">
        <v>885</v>
      </c>
      <c r="BU3255" s="48">
        <v>1</v>
      </c>
      <c r="BX3255" s="52">
        <f t="shared" si="128"/>
        <v>1</v>
      </c>
      <c r="BZ3255" s="48" t="s">
        <v>3721</v>
      </c>
      <c r="CF3255" t="s">
        <v>1215</v>
      </c>
      <c r="CG3255" s="650">
        <v>379</v>
      </c>
      <c r="CH3255" s="471">
        <v>26349</v>
      </c>
      <c r="CI3255" s="471">
        <v>6944260</v>
      </c>
      <c r="CJ3255" s="653">
        <f t="shared" si="129"/>
        <v>3.7943567781160269E-3</v>
      </c>
      <c r="CK3255" s="48">
        <f t="shared" si="134"/>
        <v>132</v>
      </c>
      <c r="CL3255" s="48">
        <f t="shared" si="135"/>
        <v>4058</v>
      </c>
      <c r="CM3255" s="48" t="str">
        <f t="shared" si="136"/>
        <v>4,058</v>
      </c>
      <c r="CN3255" s="48" t="str">
        <f t="shared" si="130"/>
        <v>26,349</v>
      </c>
      <c r="CO3255" s="48" t="str">
        <f t="shared" si="138"/>
        <v>132 to 4,058 in a prison population of 26,349</v>
      </c>
      <c r="DZ3255" s="4"/>
      <c r="EA3255" s="231"/>
      <c r="EB3255" s="4"/>
      <c r="EC3255" s="4"/>
      <c r="ED3255" s="4"/>
      <c r="EE3255" s="4"/>
      <c r="EF3255" s="4"/>
      <c r="EG3255" s="4"/>
      <c r="EH3255" s="4"/>
      <c r="EI3255" s="4"/>
      <c r="EJ3255" s="4"/>
      <c r="EK3255" s="4"/>
      <c r="EL3255" s="4"/>
    </row>
    <row r="3256" spans="1:142" ht="14.5" hidden="1" x14ac:dyDescent="0.35">
      <c r="A3256" s="322">
        <v>44</v>
      </c>
      <c r="B3256" s="404" t="str">
        <f t="shared" si="133"/>
        <v>Texas</v>
      </c>
      <c r="C3256" s="407">
        <v>75000</v>
      </c>
      <c r="D3256" s="406" t="s">
        <v>1023</v>
      </c>
      <c r="AC3256" s="48" t="str">
        <f ca="1">IF($D$3207&gt;7,BO3256,BS3257)</f>
        <v>Since your conviction occurred 125 years ago, and you earn only about $0 per year, Texas prevents employers and others from running a criminal background check that far back.</v>
      </c>
      <c r="BO3256" s="48" t="str">
        <f ca="1">CONCATENATE($AE$3201,B3256,$AE$3207)</f>
        <v>Since your conviction occurred 125 years ago, and you earn only about $0 per year, Texas prevents employers and others from running a criminal background check that far back.</v>
      </c>
      <c r="BR3256" s="245" t="s">
        <v>885</v>
      </c>
      <c r="BT3256" s="245" t="s">
        <v>885</v>
      </c>
      <c r="BU3256" s="48">
        <v>5</v>
      </c>
      <c r="BX3256" s="52">
        <f t="shared" si="128"/>
        <v>5</v>
      </c>
      <c r="BZ3256" s="82" t="s">
        <v>3721</v>
      </c>
      <c r="CF3256" t="s">
        <v>1220</v>
      </c>
      <c r="CG3256" s="650">
        <v>520</v>
      </c>
      <c r="CH3256" s="471">
        <v>154479</v>
      </c>
      <c r="CI3256" s="471">
        <v>29730311</v>
      </c>
      <c r="CJ3256" s="653">
        <f t="shared" si="129"/>
        <v>5.1960102267345938E-3</v>
      </c>
      <c r="CK3256" s="48">
        <f t="shared" si="134"/>
        <v>772</v>
      </c>
      <c r="CL3256" s="48">
        <f t="shared" si="135"/>
        <v>23790</v>
      </c>
      <c r="CM3256" s="48" t="str">
        <f t="shared" si="136"/>
        <v>23,790</v>
      </c>
      <c r="CN3256" s="48" t="str">
        <f t="shared" si="130"/>
        <v>154,479</v>
      </c>
      <c r="CO3256" s="48" t="str">
        <f t="shared" si="138"/>
        <v>772 to 23,790 in a prison population of 154,479</v>
      </c>
      <c r="DZ3256" s="4"/>
      <c r="EA3256" s="231"/>
      <c r="EB3256" s="4"/>
      <c r="EC3256" s="4"/>
      <c r="ED3256" s="4"/>
      <c r="EE3256" s="4"/>
      <c r="EF3256" s="4"/>
      <c r="EG3256" s="4"/>
      <c r="EH3256" s="4"/>
      <c r="EI3256" s="4"/>
      <c r="EJ3256" s="4"/>
      <c r="EK3256" s="4"/>
      <c r="EL3256" s="4"/>
    </row>
    <row r="3257" spans="1:142" ht="14.5" hidden="1" x14ac:dyDescent="0.35">
      <c r="A3257" s="322">
        <v>45</v>
      </c>
      <c r="B3257" s="404" t="str">
        <f t="shared" si="133"/>
        <v>Utah</v>
      </c>
      <c r="C3257" s="407"/>
      <c r="D3257" s="406"/>
      <c r="AC3257" s="48" t="str">
        <f>CONCATENATE(AV$3209,B3257,AE$3209,AE$3210)</f>
        <v xml:space="preserve">Unfortunately, Utah does not limit how far back and employer can run a background check. Background screeners must rely on indiscriminate records that fail to distinguish between "reliable evidence-based convictions" and "non-exonerated wrongful convictions"--permitting illicit discrimination. </v>
      </c>
      <c r="BR3257" s="245" t="s">
        <v>885</v>
      </c>
      <c r="BS3257" s="48" t="str">
        <f>CONCATENATE(B3256,AE$3208)</f>
        <v>Texas cannnot limit how far back and employer can run a background check.</v>
      </c>
      <c r="BT3257" s="245" t="s">
        <v>885</v>
      </c>
      <c r="BV3257" s="48">
        <v>3</v>
      </c>
      <c r="BX3257" s="52">
        <f t="shared" si="128"/>
        <v>3</v>
      </c>
      <c r="BZ3257" s="82" t="s">
        <v>3721</v>
      </c>
      <c r="CF3257" t="s">
        <v>1226</v>
      </c>
      <c r="CG3257" s="650">
        <v>201</v>
      </c>
      <c r="CH3257" s="471">
        <v>6662</v>
      </c>
      <c r="CI3257" s="471">
        <v>3310774</v>
      </c>
      <c r="CJ3257" s="653">
        <f t="shared" si="129"/>
        <v>2.0122182909494881E-3</v>
      </c>
      <c r="CK3257" s="48">
        <f t="shared" si="134"/>
        <v>33</v>
      </c>
      <c r="CL3257" s="48">
        <f t="shared" si="135"/>
        <v>1026</v>
      </c>
      <c r="CM3257" s="48" t="str">
        <f t="shared" si="136"/>
        <v>1,026</v>
      </c>
      <c r="CN3257" s="48" t="str">
        <f t="shared" si="130"/>
        <v>6,662</v>
      </c>
      <c r="CO3257" s="48" t="str">
        <f t="shared" si="138"/>
        <v>33 to 1,026 in a prison population of 6,662</v>
      </c>
      <c r="DZ3257" s="4"/>
      <c r="EA3257" s="231"/>
      <c r="EB3257" s="4"/>
      <c r="EC3257" s="4"/>
      <c r="ED3257" s="4"/>
      <c r="EE3257" s="4"/>
      <c r="EF3257" s="4"/>
      <c r="EG3257" s="4"/>
      <c r="EH3257" s="4"/>
      <c r="EI3257" s="4"/>
      <c r="EJ3257" s="4"/>
      <c r="EK3257" s="4"/>
      <c r="EL3257" s="4"/>
    </row>
    <row r="3258" spans="1:142" ht="14.5" hidden="1" x14ac:dyDescent="0.35">
      <c r="A3258" s="322">
        <v>46</v>
      </c>
      <c r="B3258" s="404" t="str">
        <f t="shared" si="133"/>
        <v>Vermont</v>
      </c>
      <c r="C3258" s="407"/>
      <c r="D3258" s="406"/>
      <c r="I3258" s="231"/>
      <c r="AC3258" s="48" t="str">
        <f>CONCATENATE(AV$3209,B3258,AE$3209,AE$3210)</f>
        <v xml:space="preserve">Unfortunately, Vermont does not limit how far back and employer can run a background check. Background screeners must rely on indiscriminate records that fail to distinguish between "reliable evidence-based convictions" and "non-exonerated wrongful convictions"--permitting illicit discrimination. </v>
      </c>
      <c r="BR3258" s="245" t="s">
        <v>885</v>
      </c>
      <c r="BT3258" s="245" t="s">
        <v>885</v>
      </c>
      <c r="BX3258" s="52">
        <f t="shared" si="128"/>
        <v>0</v>
      </c>
      <c r="BZ3258" s="82" t="s">
        <v>3721</v>
      </c>
      <c r="CF3258" t="s">
        <v>1231</v>
      </c>
      <c r="CG3258" s="650">
        <v>182</v>
      </c>
      <c r="CH3258" s="471">
        <v>1137</v>
      </c>
      <c r="CI3258" s="471">
        <v>623251</v>
      </c>
      <c r="CJ3258" s="653">
        <f t="shared" si="129"/>
        <v>1.8243051354911585E-3</v>
      </c>
      <c r="CK3258" s="48">
        <f t="shared" si="134"/>
        <v>6</v>
      </c>
      <c r="CL3258" s="48">
        <f t="shared" si="135"/>
        <v>175</v>
      </c>
      <c r="CM3258" s="48" t="str">
        <f t="shared" si="136"/>
        <v>175</v>
      </c>
      <c r="CN3258" s="48" t="str">
        <f t="shared" si="130"/>
        <v>1,137</v>
      </c>
      <c r="CO3258" s="48" t="str">
        <f t="shared" si="138"/>
        <v>6 to 175 in a prison population of 1,137</v>
      </c>
    </row>
    <row r="3259" spans="1:142" ht="14.5" hidden="1" x14ac:dyDescent="0.35">
      <c r="A3259" s="322">
        <v>47</v>
      </c>
      <c r="B3259" s="404" t="str">
        <f t="shared" si="133"/>
        <v>Virginia</v>
      </c>
      <c r="C3259" s="407"/>
      <c r="D3259" s="406"/>
      <c r="I3259" s="231"/>
      <c r="AC3259" s="48" t="str">
        <f>CONCATENATE(AV$3209,B3259,AE$3209,AE$3210)</f>
        <v xml:space="preserve">Unfortunately, Virginia does not limit how far back and employer can run a background check. Background screeners must rely on indiscriminate records that fail to distinguish between "reliable evidence-based convictions" and "non-exonerated wrongful convictions"--permitting illicit discrimination. </v>
      </c>
      <c r="BR3259" s="245" t="s">
        <v>885</v>
      </c>
      <c r="BT3259" s="245" t="s">
        <v>885</v>
      </c>
      <c r="BV3259" s="48">
        <v>1</v>
      </c>
      <c r="BW3259" s="48">
        <v>1</v>
      </c>
      <c r="BX3259" s="52">
        <f t="shared" si="128"/>
        <v>2</v>
      </c>
      <c r="BZ3259" s="82" t="s">
        <v>3721</v>
      </c>
      <c r="CF3259" t="s">
        <v>1237</v>
      </c>
      <c r="CG3259" s="650">
        <v>419</v>
      </c>
      <c r="CH3259" s="471">
        <v>36091</v>
      </c>
      <c r="CI3259" s="471">
        <v>8603985</v>
      </c>
      <c r="CJ3259" s="653">
        <f t="shared" si="129"/>
        <v>4.1946842073760007E-3</v>
      </c>
      <c r="CK3259" s="48">
        <f t="shared" si="134"/>
        <v>180</v>
      </c>
      <c r="CL3259" s="48">
        <f t="shared" si="135"/>
        <v>5558</v>
      </c>
      <c r="CM3259" s="48" t="str">
        <f t="shared" si="136"/>
        <v>5,558</v>
      </c>
      <c r="CN3259" s="48" t="str">
        <f t="shared" si="130"/>
        <v>36,091</v>
      </c>
      <c r="CO3259" s="48" t="str">
        <f t="shared" si="138"/>
        <v>180 to 5,558 in a prison population of 36,091</v>
      </c>
    </row>
    <row r="3260" spans="1:142" ht="14.5" hidden="1" x14ac:dyDescent="0.35">
      <c r="A3260" s="322">
        <v>48</v>
      </c>
      <c r="B3260" s="404" t="str">
        <f t="shared" si="133"/>
        <v>Washington</v>
      </c>
      <c r="C3260" s="407">
        <v>20000</v>
      </c>
      <c r="D3260" s="406" t="s">
        <v>1023</v>
      </c>
      <c r="I3260" s="231"/>
      <c r="AC3260" s="48" t="str">
        <f ca="1">IF($D$3207&gt;7,BO3260,BS3261)</f>
        <v>Since your conviction occurred 125 years ago, and you earn only about $0 per year, Washington prevents employers and others from running a criminal background check that far back.</v>
      </c>
      <c r="BO3260" s="48" t="str">
        <f ca="1">CONCATENATE($AE$3201,B3260,$AE$3207)</f>
        <v>Since your conviction occurred 125 years ago, and you earn only about $0 per year, Washington prevents employers and others from running a criminal background check that far back.</v>
      </c>
      <c r="BR3260" s="245" t="s">
        <v>885</v>
      </c>
      <c r="BT3260" s="245" t="s">
        <v>885</v>
      </c>
      <c r="BX3260" s="52">
        <f t="shared" si="128"/>
        <v>0</v>
      </c>
      <c r="BZ3260" s="82" t="s">
        <v>3721</v>
      </c>
      <c r="CF3260" t="s">
        <v>1242</v>
      </c>
      <c r="CG3260" s="650">
        <v>246</v>
      </c>
      <c r="CH3260" s="471">
        <v>19184</v>
      </c>
      <c r="CI3260" s="471">
        <v>7796941</v>
      </c>
      <c r="CJ3260" s="653">
        <f t="shared" si="129"/>
        <v>2.4604521183371787E-3</v>
      </c>
      <c r="CK3260" s="48">
        <f t="shared" si="134"/>
        <v>96</v>
      </c>
      <c r="CL3260" s="48">
        <f t="shared" si="135"/>
        <v>2954</v>
      </c>
      <c r="CM3260" s="48" t="str">
        <f t="shared" si="136"/>
        <v>2,954</v>
      </c>
      <c r="CN3260" s="48" t="str">
        <f t="shared" si="130"/>
        <v>19,184</v>
      </c>
      <c r="CO3260" s="48" t="str">
        <f t="shared" si="138"/>
        <v>96 to 2,954 in a prison population of 19,184</v>
      </c>
    </row>
    <row r="3261" spans="1:142" ht="14.5" hidden="1" x14ac:dyDescent="0.35">
      <c r="A3261" s="322">
        <v>49</v>
      </c>
      <c r="B3261" s="404" t="str">
        <f t="shared" si="133"/>
        <v>West Virginia</v>
      </c>
      <c r="I3261" s="231"/>
      <c r="AC3261" s="48" t="str">
        <f>CONCATENATE(AV$3209,B3261,AE$3209,AE$3210)</f>
        <v xml:space="preserve">Unfortunately, West Virginia does not limit how far back and employer can run a background check. Background screeners must rely on indiscriminate records that fail to distinguish between "reliable evidence-based convictions" and "non-exonerated wrongful convictions"--permitting illicit discrimination. </v>
      </c>
      <c r="BO3261" s="48" t="str">
        <f ca="1">CONCATENATE($AE$3201,B3261,$AE$3207)</f>
        <v>Since your conviction occurred 125 years ago, and you earn only about $0 per year, West Virginia prevents employers and others from running a criminal background check that far back.</v>
      </c>
      <c r="BR3261" s="245" t="s">
        <v>885</v>
      </c>
      <c r="BS3261" s="48" t="str">
        <f>CONCATENATE(B3260,AE$3208)</f>
        <v>Washington cannnot limit how far back and employer can run a background check.</v>
      </c>
      <c r="BT3261" s="245" t="s">
        <v>885</v>
      </c>
      <c r="BX3261" s="52">
        <f t="shared" si="128"/>
        <v>0</v>
      </c>
      <c r="BZ3261" s="82" t="s">
        <v>3721</v>
      </c>
      <c r="CF3261" t="s">
        <v>1246</v>
      </c>
      <c r="CG3261" s="650">
        <v>385</v>
      </c>
      <c r="CH3261" s="471">
        <v>6800</v>
      </c>
      <c r="CI3261" s="471">
        <v>1767859</v>
      </c>
      <c r="CJ3261" s="653">
        <f t="shared" si="129"/>
        <v>3.8464606057383535E-3</v>
      </c>
      <c r="CK3261" s="48">
        <f t="shared" si="134"/>
        <v>34</v>
      </c>
      <c r="CL3261" s="48">
        <f t="shared" si="135"/>
        <v>1047</v>
      </c>
      <c r="CM3261" s="48" t="str">
        <f t="shared" si="136"/>
        <v>1,047</v>
      </c>
      <c r="CN3261" s="48" t="str">
        <f t="shared" si="130"/>
        <v>6,800</v>
      </c>
      <c r="CO3261" s="48" t="str">
        <f t="shared" si="138"/>
        <v>34 to 1,047 in a prison population of 6,800</v>
      </c>
    </row>
    <row r="3262" spans="1:142" ht="14.5" hidden="1" x14ac:dyDescent="0.35">
      <c r="A3262" s="322">
        <v>50</v>
      </c>
      <c r="B3262" s="404" t="str">
        <f t="shared" si="133"/>
        <v>Wisconsin</v>
      </c>
      <c r="I3262" s="231"/>
      <c r="AC3262" s="48" t="str">
        <f>CONCATENATE(AV$3209,B3262,AE$3209,AE$3210)</f>
        <v xml:space="preserve">Unfortunately, Wisconsin does not limit how far back and employer can run a background check. Background screeners must rely on indiscriminate records that fail to distinguish between "reliable evidence-based convictions" and "non-exonerated wrongful convictions"--permitting illicit discrimination. </v>
      </c>
      <c r="BR3262" s="245" t="s">
        <v>885</v>
      </c>
      <c r="BS3262" s="48" t="str">
        <f>CONCATENATE(B3261,AE$3208)</f>
        <v>West Virginia cannnot limit how far back and employer can run a background check.</v>
      </c>
      <c r="BT3262" s="245" t="s">
        <v>885</v>
      </c>
      <c r="BX3262" s="52">
        <f t="shared" si="128"/>
        <v>0</v>
      </c>
      <c r="BZ3262" s="48" t="s">
        <v>3721</v>
      </c>
      <c r="CF3262" t="s">
        <v>1250</v>
      </c>
      <c r="CG3262" s="650">
        <v>377</v>
      </c>
      <c r="CH3262" s="471">
        <v>22039</v>
      </c>
      <c r="CI3262" s="471">
        <v>5852490</v>
      </c>
      <c r="CJ3262" s="653">
        <f t="shared" si="129"/>
        <v>3.7657475706921327E-3</v>
      </c>
      <c r="CK3262" s="48">
        <f t="shared" si="134"/>
        <v>110</v>
      </c>
      <c r="CL3262" s="48">
        <f t="shared" si="135"/>
        <v>3394</v>
      </c>
      <c r="CM3262" s="48" t="str">
        <f t="shared" si="136"/>
        <v>3,394</v>
      </c>
      <c r="CN3262" s="48" t="str">
        <f t="shared" si="130"/>
        <v>22,039</v>
      </c>
      <c r="CO3262" s="48" t="str">
        <f t="shared" si="138"/>
        <v>110 to 3,394 in a prison population of 22,039</v>
      </c>
    </row>
    <row r="3263" spans="1:142" ht="14.5" hidden="1" x14ac:dyDescent="0.35">
      <c r="A3263" s="322">
        <v>51</v>
      </c>
      <c r="B3263" s="404" t="str">
        <f t="shared" si="133"/>
        <v>Wyoming</v>
      </c>
      <c r="I3263" s="231"/>
      <c r="AC3263" s="48" t="str">
        <f>CONCATENATE(AV$3209,B3263,AE$3209,AE$3210)</f>
        <v xml:space="preserve">Unfortunately, Wyoming does not limit how far back and employer can run a background check. Background screeners must rely on indiscriminate records that fail to distinguish between "reliable evidence-based convictions" and "non-exonerated wrongful convictions"--permitting illicit discrimination. </v>
      </c>
      <c r="BR3263" s="245" t="s">
        <v>885</v>
      </c>
      <c r="BT3263" s="245" t="s">
        <v>885</v>
      </c>
      <c r="BX3263" s="52">
        <f t="shared" si="128"/>
        <v>0</v>
      </c>
      <c r="BZ3263" s="82" t="s">
        <v>3721</v>
      </c>
      <c r="CF3263" t="s">
        <v>1255</v>
      </c>
      <c r="CG3263" s="650">
        <v>427</v>
      </c>
      <c r="CH3263" s="471">
        <v>2479</v>
      </c>
      <c r="CI3263" s="471">
        <v>581075</v>
      </c>
      <c r="CJ3263" s="653">
        <f t="shared" si="129"/>
        <v>4.2662306931119049E-3</v>
      </c>
      <c r="CK3263" s="48">
        <f t="shared" si="134"/>
        <v>12</v>
      </c>
      <c r="CL3263" s="48">
        <f t="shared" si="135"/>
        <v>382</v>
      </c>
      <c r="CM3263" s="48" t="str">
        <f t="shared" si="136"/>
        <v>382</v>
      </c>
      <c r="CN3263" s="48" t="str">
        <f t="shared" si="130"/>
        <v>2,479</v>
      </c>
      <c r="CO3263" s="48" t="str">
        <f t="shared" si="138"/>
        <v>12 to 382 in a prison population of 2,479</v>
      </c>
    </row>
    <row r="3264" spans="1:142" ht="14.5" hidden="1" x14ac:dyDescent="0.35">
      <c r="A3264" s="322">
        <v>52</v>
      </c>
      <c r="B3264" s="408" t="s">
        <v>1025</v>
      </c>
      <c r="I3264" s="231"/>
      <c r="AC3264" s="82"/>
      <c r="AD3264" s="82"/>
      <c r="AE3264" s="82"/>
      <c r="AF3264" s="82"/>
      <c r="AG3264" s="82"/>
      <c r="AH3264" s="82"/>
      <c r="AI3264" s="82"/>
      <c r="AJ3264" s="82"/>
      <c r="AK3264" s="82"/>
      <c r="AL3264" s="82"/>
      <c r="AM3264" s="82"/>
      <c r="AN3264" s="82"/>
      <c r="AO3264" s="82"/>
      <c r="AP3264" s="82"/>
      <c r="AQ3264" s="82"/>
      <c r="AR3264" s="82"/>
      <c r="AS3264" s="82"/>
      <c r="AT3264" s="82"/>
      <c r="AU3264" s="82"/>
      <c r="AV3264" s="82"/>
      <c r="AW3264" s="82"/>
      <c r="BR3264" s="245" t="s">
        <v>885</v>
      </c>
      <c r="BT3264" s="245" t="s">
        <v>885</v>
      </c>
      <c r="BZ3264" s="48" t="s">
        <v>4146</v>
      </c>
      <c r="CG3264" s="651">
        <f>SUM(CG3213:CG3263)</f>
        <v>17862</v>
      </c>
      <c r="CH3264" s="651">
        <f>SUM(CH3213:CH3263)</f>
        <v>1222335</v>
      </c>
      <c r="CI3264" s="651">
        <f>SUM(CI3213:CI3263)</f>
        <v>330629414</v>
      </c>
      <c r="CN3264" s="48" t="str">
        <f t="shared" si="130"/>
        <v>1,222,335</v>
      </c>
    </row>
    <row r="3265" spans="1:334" hidden="1" x14ac:dyDescent="0.3">
      <c r="A3265" s="322">
        <v>53</v>
      </c>
      <c r="AC3265" s="82"/>
      <c r="AD3265" s="82"/>
      <c r="AE3265" s="82"/>
      <c r="AF3265" s="82"/>
      <c r="AG3265" s="82"/>
      <c r="AH3265" s="82"/>
      <c r="AI3265" s="82"/>
      <c r="AJ3265" s="82"/>
      <c r="AK3265" s="82"/>
      <c r="AL3265" s="82"/>
      <c r="AM3265" s="82"/>
      <c r="AN3265" s="82"/>
      <c r="AO3265" s="82"/>
      <c r="AP3265" s="82"/>
      <c r="AQ3265" s="82"/>
      <c r="AR3265" s="82"/>
      <c r="AS3265" s="82"/>
      <c r="AT3265" s="82"/>
      <c r="AU3265" s="82"/>
      <c r="AV3265" s="82"/>
      <c r="AW3265" s="82"/>
    </row>
    <row r="3266" spans="1:334" hidden="1" x14ac:dyDescent="0.3">
      <c r="A3266" s="322">
        <v>54</v>
      </c>
      <c r="EA3266" s="48" t="s">
        <v>3471</v>
      </c>
      <c r="EC3266" s="48" t="s">
        <v>3471</v>
      </c>
      <c r="ED3266" s="48" t="s">
        <v>3474</v>
      </c>
      <c r="EF3266" s="245" t="str">
        <f>IF(EC3266="","",EC3266)</f>
        <v>name</v>
      </c>
      <c r="EH3266" s="245" t="s">
        <v>3475</v>
      </c>
    </row>
    <row r="3267" spans="1:334" hidden="1" x14ac:dyDescent="0.3">
      <c r="A3267" s="322">
        <v>55</v>
      </c>
    </row>
    <row r="3268" spans="1:334" ht="14.5" hidden="1" x14ac:dyDescent="0.35">
      <c r="A3268" s="322">
        <v>56</v>
      </c>
      <c r="CK3268"/>
      <c r="DZ3268" s="474" t="s">
        <v>3472</v>
      </c>
    </row>
    <row r="3269" spans="1:334" hidden="1" x14ac:dyDescent="0.3">
      <c r="A3269" s="322">
        <v>57</v>
      </c>
      <c r="DZ3269" s="245" t="s">
        <v>3472</v>
      </c>
    </row>
    <row r="3270" spans="1:334" hidden="1" x14ac:dyDescent="0.3">
      <c r="A3270" s="322">
        <v>58</v>
      </c>
      <c r="DZ3270" s="245" t="s">
        <v>3473</v>
      </c>
    </row>
    <row r="3271" spans="1:334" hidden="1" x14ac:dyDescent="0.3">
      <c r="A3271" s="322">
        <v>59</v>
      </c>
      <c r="DZ3271" s="245" t="s">
        <v>3451</v>
      </c>
      <c r="EA3271" s="245" t="s">
        <v>885</v>
      </c>
    </row>
    <row r="3272" spans="1:334" hidden="1" x14ac:dyDescent="0.3">
      <c r="A3272" s="322">
        <v>60</v>
      </c>
      <c r="ED3272" s="48" t="b">
        <f>ISBLANK(EG3272)</f>
        <v>0</v>
      </c>
      <c r="EG3272" s="48" t="s">
        <v>3471</v>
      </c>
      <c r="EH3272" s="48" t="s">
        <v>3474</v>
      </c>
    </row>
    <row r="3273" spans="1:334" hidden="1" x14ac:dyDescent="0.3">
      <c r="DZ3273" s="245" t="s">
        <v>3453</v>
      </c>
    </row>
    <row r="3274" spans="1:334" hidden="1" x14ac:dyDescent="0.3">
      <c r="B3274" s="550" t="s">
        <v>3908</v>
      </c>
      <c r="BU3274" s="474" t="s">
        <v>3454</v>
      </c>
      <c r="DZ3274" s="245" t="s">
        <v>3452</v>
      </c>
      <c r="EA3274" s="245" t="str">
        <f>IF($C$265=BS3279,EA3278,IF($C$265=BS3555,EA3554,""))</f>
        <v/>
      </c>
    </row>
    <row r="3275" spans="1:334" hidden="1" x14ac:dyDescent="0.3"/>
    <row r="3276" spans="1:334" hidden="1" x14ac:dyDescent="0.3">
      <c r="B3276" s="410"/>
      <c r="C3276" s="48" t="s">
        <v>460</v>
      </c>
      <c r="D3276" s="48" t="s">
        <v>1026</v>
      </c>
      <c r="AB3276" s="411" t="s">
        <v>1027</v>
      </c>
      <c r="AD3276" s="48" t="s">
        <v>1028</v>
      </c>
      <c r="AI3276" s="48" t="s">
        <v>1029</v>
      </c>
      <c r="AO3276" s="48" t="s">
        <v>1029</v>
      </c>
      <c r="AS3276" s="48" t="s">
        <v>1029</v>
      </c>
      <c r="DZ3276" s="474" t="str">
        <f>IF($C265=$BS3279,DZ3278,IF($C265=$BS3280,DZ3279,IF($C265=$BS3281,DZ3280,IF($C265=$BS3282,DZ3281,IF($C265=$BS3283,DZ3282,IF($C265=$BS3284,DZ3283,IF($C265=$BS3285,DZ3284,IF($C265=$BS3286,DZ3285,IF($C265=$BS3287,DZ3286,IF($C265=$BS3288,DZ3287,IF($C265=$BS3289,DZ3288,IF($C265=$BS3290,DZ3289,IF($C265=$BS3291,DZ3290,IF($C265=$BS3292,DZ3291,IF($C265=$BS3293,DZ3292,IF($C265=$BS3294,DZ3293,IF($C265=$BS3295,DZ3294,IF($C265=$BS3296,DZ3295,IF($C265=$BS3297,DZ3296,IF($C265=$BS3298,DZ3297,IF($C265=$BS3299,DZ3298,IF($C265=$BS3300,DZ3299,IF($C265=$BS3301,DZ3300,IF($C265=$BS3302,DZ3301,IF($C265=$BS3303,DZ3302,IF($C265=$BS3304,DZ3303,IF($C265=$BS3305,DZ3304,IF($C265=$BS3306,DZ3305,IF($C265=$BS3307,DZ3306,IF($C265=$BS3308,DZ3307,IF($C265=$BS3309,DZ3308,IF($C265=$BS3310,DZ3309,IF($C265=$BS3311,DZ3310,IF($C265=$BS3312,DZ3311,IF($C265=$BS3313,DZ3312,IF($C265=$BS3314,DZ3313,IF($C265=$BS3315,DZ3314,IF($C265=$BS3316,DZ3315,IF($C265=$BS3317,DZ3316,IF($C265=$BS3318,DZ3317,IF($C265=$BS3319,DZ3318,IF($C265=$BS3320,DZ3319,IF($C265=$BS3321,DZ3320,IF($C265=$BS3322,DZ3321,IF($C265=$BS3323,DZ3322,IF($C265=$BS3324,DZ3323,IF($C265=$BS3325,DZ3324,IF($C265=$BS3326,DZ3325,IF($C265=$BS3327,DZ3326,IF($C265=$BS3328,DZ3327,IF($C265=$BS3329,DZ3328,IF($C265=$BS3330,DZ3329,IF($C265=$BS3331,DZ3330,IF($C265=$BS3332,DZ3331,IF($C265=$BS3333,DZ3332,IF($C265=$BS3334,DZ3333,IF($C265=$BS3335,DZ3334,IF($C265=$BS3336,DZ3335,IF($C265=$BS3287,DZ3286,IF($C265=$BS3288,DZ3287,IF($C265=$BS3279,DZ3278,IF($C265=$BS3280,DZ3279,IF($C265=$BS3281,DZ3280,IF($C265=$BS3282,DZ3281,""))))))))))))))))))))))))))))))))))))))))))))))))))))))))))))))))</f>
        <v/>
      </c>
    </row>
    <row r="3277" spans="1:334" ht="15" hidden="1" x14ac:dyDescent="0.3">
      <c r="A3277" s="412" t="s">
        <v>1030</v>
      </c>
      <c r="B3277" s="413" t="s">
        <v>1031</v>
      </c>
      <c r="C3277" s="412" t="s">
        <v>1032</v>
      </c>
      <c r="D3277" s="412" t="s">
        <v>1033</v>
      </c>
      <c r="E3277" s="52" t="s">
        <v>1034</v>
      </c>
      <c r="F3277" s="412"/>
      <c r="G3277" s="4" t="s">
        <v>1035</v>
      </c>
      <c r="AB3277" s="412" t="s">
        <v>726</v>
      </c>
      <c r="AC3277" s="412"/>
      <c r="AD3277" s="412" t="s">
        <v>1036</v>
      </c>
      <c r="AF3277" s="414" t="s">
        <v>1037</v>
      </c>
      <c r="AG3277" s="52" t="s">
        <v>1038</v>
      </c>
      <c r="AK3277" s="52" t="s">
        <v>1039</v>
      </c>
      <c r="AO3277" s="52" t="s">
        <v>1040</v>
      </c>
      <c r="AS3277" s="52" t="s">
        <v>1041</v>
      </c>
      <c r="BG3277" s="415">
        <f>MAX(BG3278:BG3328)</f>
        <v>0</v>
      </c>
      <c r="BH3277" s="402">
        <f>MAX(BH3278:BH3328)</f>
        <v>0</v>
      </c>
      <c r="BI3277" s="302">
        <f>MAX(BI3278:BI3328)</f>
        <v>0</v>
      </c>
      <c r="BJ3277" s="402">
        <f>MAX(BJ3278:BJ3328)</f>
        <v>0</v>
      </c>
      <c r="BK3277" s="416">
        <f>MAX(BK3278:BK3328)</f>
        <v>0</v>
      </c>
      <c r="BN3277" s="48">
        <v>0</v>
      </c>
      <c r="BT3277" s="52"/>
      <c r="BU3277" s="52" t="s">
        <v>1414</v>
      </c>
      <c r="BV3277" s="52"/>
      <c r="BW3277" s="52" t="s">
        <v>1415</v>
      </c>
      <c r="BX3277" s="52"/>
      <c r="BY3277" s="52"/>
      <c r="BZ3277" s="455" t="s">
        <v>1042</v>
      </c>
      <c r="CA3277" s="455" t="s">
        <v>1050</v>
      </c>
      <c r="CB3277" s="455" t="s">
        <v>1052</v>
      </c>
      <c r="CC3277" s="455" t="s">
        <v>1054</v>
      </c>
      <c r="CD3277" s="455" t="s">
        <v>1056</v>
      </c>
      <c r="CE3277" s="455" t="s">
        <v>1061</v>
      </c>
      <c r="CF3277" s="455" t="s">
        <v>1067</v>
      </c>
      <c r="CG3277" s="455" t="s">
        <v>1074</v>
      </c>
      <c r="CH3277" s="456" t="s">
        <v>1076</v>
      </c>
      <c r="CI3277" s="455" t="s">
        <v>1082</v>
      </c>
      <c r="CJ3277" s="455" t="s">
        <v>1090</v>
      </c>
      <c r="CK3277" s="455" t="s">
        <v>1092</v>
      </c>
      <c r="CL3277" s="455" t="s">
        <v>1097</v>
      </c>
      <c r="CM3277" s="455" t="s">
        <v>1099</v>
      </c>
      <c r="CN3277" s="455" t="s">
        <v>1104</v>
      </c>
      <c r="CO3277" s="455" t="s">
        <v>1108</v>
      </c>
      <c r="CP3277" s="455" t="s">
        <v>1114</v>
      </c>
      <c r="CQ3277" s="455" t="s">
        <v>1118</v>
      </c>
      <c r="CR3277" s="455" t="s">
        <v>1120</v>
      </c>
      <c r="CS3277" s="455" t="s">
        <v>1125</v>
      </c>
      <c r="CT3277" s="455" t="s">
        <v>1130</v>
      </c>
      <c r="CU3277" s="455" t="s">
        <v>1139</v>
      </c>
      <c r="CV3277" s="455" t="s">
        <v>1143</v>
      </c>
      <c r="CW3277" s="455" t="s">
        <v>1148</v>
      </c>
      <c r="CX3277" s="455" t="s">
        <v>1153</v>
      </c>
      <c r="CY3277" s="455" t="s">
        <v>1159</v>
      </c>
      <c r="CZ3277" s="455" t="s">
        <v>1165</v>
      </c>
      <c r="DA3277" s="455" t="s">
        <v>1169</v>
      </c>
      <c r="DB3277" s="455" t="s">
        <v>1171</v>
      </c>
      <c r="DC3277" s="455" t="s">
        <v>1177</v>
      </c>
      <c r="DD3277" s="455" t="s">
        <v>1182</v>
      </c>
      <c r="DE3277" s="455" t="s">
        <v>1184</v>
      </c>
      <c r="DF3277" s="455" t="s">
        <v>1187</v>
      </c>
      <c r="DG3277" s="455" t="s">
        <v>1192</v>
      </c>
      <c r="DH3277" s="455" t="s">
        <v>1194</v>
      </c>
      <c r="DI3277" s="455" t="s">
        <v>1199</v>
      </c>
      <c r="DJ3277" s="455" t="s">
        <v>1204</v>
      </c>
      <c r="DK3277" s="455" t="s">
        <v>1206</v>
      </c>
      <c r="DL3277" s="455" t="s">
        <v>1208</v>
      </c>
      <c r="DM3277" s="455" t="s">
        <v>1210</v>
      </c>
      <c r="DN3277" s="455" t="s">
        <v>1212</v>
      </c>
      <c r="DO3277" s="455" t="s">
        <v>1214</v>
      </c>
      <c r="DP3277" s="455" t="s">
        <v>1219</v>
      </c>
      <c r="DQ3277" s="455" t="s">
        <v>1225</v>
      </c>
      <c r="DR3277" s="455" t="s">
        <v>1230</v>
      </c>
      <c r="DS3277" s="455" t="s">
        <v>1236</v>
      </c>
      <c r="DT3277" s="455" t="s">
        <v>1241</v>
      </c>
      <c r="DU3277" s="455" t="s">
        <v>1245</v>
      </c>
      <c r="DV3277" s="455" t="s">
        <v>1249</v>
      </c>
      <c r="DW3277" s="455" t="s">
        <v>1254</v>
      </c>
      <c r="DX3277" s="455" t="s">
        <v>1256</v>
      </c>
      <c r="DY3277" s="455"/>
      <c r="DZ3277" s="455"/>
      <c r="EA3277" s="52"/>
      <c r="EB3277" s="455" t="s">
        <v>1042</v>
      </c>
      <c r="ED3277" s="455" t="s">
        <v>1050</v>
      </c>
      <c r="EF3277" s="455" t="s">
        <v>1052</v>
      </c>
      <c r="EH3277" s="455" t="s">
        <v>1054</v>
      </c>
      <c r="EJ3277" s="455" t="s">
        <v>1056</v>
      </c>
      <c r="EL3277" s="455" t="s">
        <v>1061</v>
      </c>
      <c r="EN3277" s="455" t="s">
        <v>1067</v>
      </c>
      <c r="EP3277" s="455" t="s">
        <v>1074</v>
      </c>
      <c r="ER3277" s="456" t="s">
        <v>1076</v>
      </c>
      <c r="ET3277" s="455" t="s">
        <v>1082</v>
      </c>
      <c r="EV3277" s="455" t="s">
        <v>1090</v>
      </c>
      <c r="EX3277" s="455" t="s">
        <v>1092</v>
      </c>
      <c r="EZ3277" s="455" t="s">
        <v>1097</v>
      </c>
      <c r="FB3277" s="455" t="s">
        <v>1099</v>
      </c>
      <c r="FD3277" s="455" t="s">
        <v>1104</v>
      </c>
      <c r="FF3277" s="455" t="s">
        <v>1108</v>
      </c>
      <c r="FH3277" s="455" t="s">
        <v>1114</v>
      </c>
      <c r="FJ3277" s="455" t="s">
        <v>1118</v>
      </c>
      <c r="FL3277" s="455" t="s">
        <v>1120</v>
      </c>
      <c r="FN3277" s="455" t="s">
        <v>1125</v>
      </c>
      <c r="FP3277" s="455" t="s">
        <v>1130</v>
      </c>
      <c r="FR3277" s="455" t="s">
        <v>1139</v>
      </c>
      <c r="FT3277" s="455" t="s">
        <v>1143</v>
      </c>
      <c r="FV3277" s="455" t="s">
        <v>1148</v>
      </c>
      <c r="FX3277" s="455" t="s">
        <v>1153</v>
      </c>
      <c r="FZ3277" s="455" t="s">
        <v>1159</v>
      </c>
      <c r="GB3277" s="455" t="s">
        <v>1165</v>
      </c>
      <c r="GD3277" s="455" t="s">
        <v>1169</v>
      </c>
      <c r="GF3277" s="455" t="s">
        <v>1171</v>
      </c>
      <c r="GH3277" s="455" t="s">
        <v>1177</v>
      </c>
      <c r="GI3277" s="455"/>
      <c r="GJ3277" s="455" t="s">
        <v>1182</v>
      </c>
      <c r="GK3277" s="455"/>
      <c r="GL3277" s="455" t="s">
        <v>1184</v>
      </c>
      <c r="GM3277" s="455"/>
      <c r="GN3277" s="455" t="s">
        <v>1187</v>
      </c>
      <c r="GO3277" s="455"/>
      <c r="GP3277" s="455" t="s">
        <v>1192</v>
      </c>
      <c r="GQ3277" s="455"/>
      <c r="GR3277" s="455" t="s">
        <v>1194</v>
      </c>
      <c r="GS3277" s="455"/>
      <c r="GT3277" s="455" t="s">
        <v>1199</v>
      </c>
      <c r="GU3277" s="455"/>
      <c r="GV3277" s="455" t="s">
        <v>1204</v>
      </c>
      <c r="GW3277" s="455"/>
      <c r="GX3277" s="455" t="s">
        <v>1206</v>
      </c>
      <c r="GY3277" s="455"/>
      <c r="GZ3277" s="455" t="s">
        <v>1208</v>
      </c>
      <c r="HA3277" s="455"/>
      <c r="HB3277" s="455" t="s">
        <v>1210</v>
      </c>
      <c r="HC3277" s="455"/>
      <c r="HD3277" s="455" t="s">
        <v>1212</v>
      </c>
      <c r="HE3277" s="455"/>
      <c r="HF3277" s="455" t="s">
        <v>1214</v>
      </c>
      <c r="HG3277" s="455"/>
      <c r="HH3277" s="455" t="s">
        <v>1219</v>
      </c>
      <c r="HI3277" s="455"/>
      <c r="HJ3277" s="455" t="s">
        <v>1225</v>
      </c>
      <c r="HK3277" s="455"/>
      <c r="HL3277" s="455" t="s">
        <v>1230</v>
      </c>
      <c r="HM3277" s="455"/>
      <c r="HN3277" s="455" t="s">
        <v>1236</v>
      </c>
      <c r="HO3277" s="455"/>
      <c r="HP3277" s="455" t="s">
        <v>1241</v>
      </c>
      <c r="HQ3277" s="455"/>
      <c r="HR3277" s="455" t="s">
        <v>1245</v>
      </c>
      <c r="HS3277" s="455"/>
      <c r="HT3277" s="455" t="s">
        <v>1249</v>
      </c>
      <c r="HU3277" s="455"/>
      <c r="HV3277" s="455" t="s">
        <v>1254</v>
      </c>
      <c r="HW3277" s="455"/>
      <c r="HX3277" s="455" t="s">
        <v>1256</v>
      </c>
      <c r="IA3277" s="466" t="s">
        <v>3285</v>
      </c>
      <c r="IB3277" s="467"/>
      <c r="IC3277" s="468" t="s">
        <v>1052</v>
      </c>
      <c r="ID3277" s="467"/>
      <c r="IE3277" s="468" t="s">
        <v>1054</v>
      </c>
      <c r="IF3277" s="467"/>
      <c r="IG3277" s="468" t="s">
        <v>1056</v>
      </c>
      <c r="IH3277" s="467"/>
      <c r="II3277" s="468" t="s">
        <v>1061</v>
      </c>
      <c r="IJ3277" s="467"/>
      <c r="IK3277" s="468" t="s">
        <v>1067</v>
      </c>
      <c r="IL3277" s="467"/>
      <c r="IM3277" s="468" t="s">
        <v>1074</v>
      </c>
      <c r="IN3277" s="467"/>
      <c r="IO3277" s="469" t="s">
        <v>1076</v>
      </c>
      <c r="IP3277" s="469"/>
      <c r="IQ3277" s="468" t="s">
        <v>1082</v>
      </c>
      <c r="IR3277" s="468"/>
      <c r="IS3277" s="468" t="s">
        <v>1090</v>
      </c>
      <c r="IT3277" s="468"/>
      <c r="IU3277" s="468" t="s">
        <v>1092</v>
      </c>
      <c r="IV3277" s="468"/>
      <c r="IW3277" s="468" t="s">
        <v>1097</v>
      </c>
      <c r="IX3277" s="468"/>
      <c r="IY3277" s="468" t="s">
        <v>1099</v>
      </c>
      <c r="IZ3277" s="468"/>
      <c r="JA3277" s="468" t="s">
        <v>1104</v>
      </c>
      <c r="JB3277" s="468"/>
      <c r="JC3277" s="468" t="s">
        <v>1108</v>
      </c>
      <c r="JD3277" s="468"/>
      <c r="JE3277" s="468" t="s">
        <v>1114</v>
      </c>
      <c r="JF3277" s="468"/>
      <c r="JG3277" s="468" t="s">
        <v>1118</v>
      </c>
      <c r="JH3277" s="468"/>
      <c r="JI3277" s="468" t="s">
        <v>1120</v>
      </c>
      <c r="JJ3277" s="468"/>
      <c r="JK3277" s="468" t="s">
        <v>1125</v>
      </c>
      <c r="JL3277" s="468"/>
      <c r="JM3277" s="468" t="s">
        <v>1130</v>
      </c>
      <c r="JN3277" s="468"/>
      <c r="JO3277" s="468" t="s">
        <v>1139</v>
      </c>
      <c r="JP3277" s="468"/>
      <c r="JQ3277" s="468" t="s">
        <v>1143</v>
      </c>
      <c r="JR3277" s="468"/>
      <c r="JS3277" s="468" t="s">
        <v>1148</v>
      </c>
      <c r="JT3277" s="468"/>
      <c r="JU3277" s="468" t="s">
        <v>1153</v>
      </c>
      <c r="JV3277" s="468"/>
      <c r="JW3277" s="468" t="s">
        <v>1159</v>
      </c>
      <c r="JX3277" s="468"/>
      <c r="JY3277" s="468" t="s">
        <v>1165</v>
      </c>
      <c r="JZ3277" s="468"/>
      <c r="KA3277" s="468" t="s">
        <v>1169</v>
      </c>
      <c r="KB3277" s="468"/>
      <c r="KC3277" s="468" t="s">
        <v>1171</v>
      </c>
      <c r="KD3277" s="468"/>
      <c r="KE3277" s="468" t="s">
        <v>1177</v>
      </c>
      <c r="KF3277" s="468"/>
      <c r="KG3277" s="468" t="s">
        <v>1182</v>
      </c>
      <c r="KH3277" s="468"/>
      <c r="KI3277" s="468" t="s">
        <v>1184</v>
      </c>
      <c r="KJ3277" s="468"/>
      <c r="KK3277" s="468" t="s">
        <v>1187</v>
      </c>
      <c r="KL3277" s="468"/>
      <c r="KM3277" s="468" t="s">
        <v>1192</v>
      </c>
      <c r="KN3277" s="468"/>
      <c r="KO3277" s="468" t="s">
        <v>1194</v>
      </c>
      <c r="KP3277" s="468"/>
      <c r="KQ3277" s="468" t="s">
        <v>1199</v>
      </c>
      <c r="KR3277" s="468"/>
      <c r="KS3277" s="468" t="s">
        <v>1204</v>
      </c>
      <c r="KT3277" s="468"/>
      <c r="KU3277" s="468" t="s">
        <v>1206</v>
      </c>
      <c r="KV3277" s="468"/>
      <c r="KW3277" s="468" t="s">
        <v>1208</v>
      </c>
      <c r="KX3277" s="468"/>
      <c r="KY3277" s="468" t="s">
        <v>1210</v>
      </c>
      <c r="KZ3277" s="468"/>
      <c r="LA3277" s="468" t="s">
        <v>1212</v>
      </c>
      <c r="LB3277" s="468"/>
      <c r="LC3277" s="468" t="s">
        <v>1214</v>
      </c>
      <c r="LD3277" s="468"/>
      <c r="LE3277" s="468" t="s">
        <v>1219</v>
      </c>
      <c r="LF3277" s="468"/>
      <c r="LG3277" s="468" t="s">
        <v>1225</v>
      </c>
      <c r="LH3277" s="468"/>
      <c r="LI3277" s="468" t="s">
        <v>1230</v>
      </c>
      <c r="LJ3277" s="468"/>
      <c r="LK3277" s="468" t="s">
        <v>1236</v>
      </c>
      <c r="LL3277" s="468"/>
      <c r="LM3277" s="468" t="s">
        <v>1241</v>
      </c>
      <c r="LN3277" s="468"/>
      <c r="LO3277" s="468" t="s">
        <v>1245</v>
      </c>
      <c r="LP3277" s="468"/>
      <c r="LQ3277" s="468" t="s">
        <v>1249</v>
      </c>
      <c r="LR3277" s="468"/>
      <c r="LS3277" s="468" t="s">
        <v>1254</v>
      </c>
      <c r="LT3277" s="468"/>
      <c r="LU3277" s="468" t="s">
        <v>1256</v>
      </c>
      <c r="LV3277" s="467"/>
    </row>
    <row r="3278" spans="1:334" ht="15.5" hidden="1" x14ac:dyDescent="0.35">
      <c r="A3278" s="417" t="s">
        <v>1042</v>
      </c>
      <c r="B3278" s="418" t="s">
        <v>1043</v>
      </c>
      <c r="C3278" s="419">
        <v>50000</v>
      </c>
      <c r="D3278" s="427" t="s">
        <v>885</v>
      </c>
      <c r="E3278" s="48">
        <v>50000</v>
      </c>
      <c r="G3278" s="420"/>
      <c r="H3278" s="420"/>
      <c r="I3278" s="420"/>
      <c r="J3278" s="420"/>
      <c r="K3278" s="420"/>
      <c r="L3278" s="420"/>
      <c r="M3278" s="420"/>
      <c r="N3278" s="420"/>
      <c r="O3278" s="420"/>
      <c r="P3278" s="420"/>
      <c r="Q3278" s="420"/>
      <c r="R3278" s="420"/>
      <c r="S3278" s="420"/>
      <c r="T3278" s="420"/>
      <c r="U3278" s="420"/>
      <c r="V3278" s="420"/>
      <c r="W3278" s="420"/>
      <c r="X3278" s="420"/>
      <c r="Y3278" s="420"/>
      <c r="Z3278" s="420"/>
      <c r="AB3278" s="48" t="s">
        <v>1044</v>
      </c>
      <c r="AC3278" s="245" t="s">
        <v>885</v>
      </c>
      <c r="AD3278" s="48" t="s">
        <v>1045</v>
      </c>
      <c r="AF3278" s="421">
        <v>2</v>
      </c>
      <c r="AG3278" s="48">
        <v>2</v>
      </c>
      <c r="AH3278" s="48" t="s">
        <v>1046</v>
      </c>
      <c r="AI3278" s="48" t="str">
        <f>CONCATENATE(AG3278,AH3278)</f>
        <v>2 years</v>
      </c>
      <c r="AK3278" s="48" t="s">
        <v>1047</v>
      </c>
      <c r="AL3278" s="422"/>
      <c r="AO3278" s="48" t="s">
        <v>1048</v>
      </c>
      <c r="AR3278" s="245" t="s">
        <v>885</v>
      </c>
      <c r="AS3278" s="48" t="s">
        <v>1049</v>
      </c>
      <c r="AW3278" s="245" t="s">
        <v>885</v>
      </c>
      <c r="AX3278" s="48">
        <v>1</v>
      </c>
      <c r="BB3278" s="402">
        <f t="shared" ref="BB3278:BB3309" ca="1" si="140">MIN(((C3278*$AE$321)+($AE$330*G3278)),D3278)</f>
        <v>6250000</v>
      </c>
      <c r="BF3278" s="423">
        <v>23606</v>
      </c>
      <c r="BG3278" s="415">
        <f t="shared" ref="BG3278:BG3309" si="141">IF($B$265=$B3278,$B$1165,0)</f>
        <v>0</v>
      </c>
      <c r="BH3278" s="415">
        <f>IF(BG3278=0,0,BF3278-BG3278)</f>
        <v>0</v>
      </c>
      <c r="BI3278" s="365">
        <f>BH3278/12</f>
        <v>0</v>
      </c>
      <c r="BJ3278" s="157">
        <f t="shared" ref="BJ3278:BJ3309" si="142">BH3278/52</f>
        <v>0</v>
      </c>
      <c r="BK3278" s="416">
        <f>IF(BH3278=0,0,BH3278/BF3278)</f>
        <v>0</v>
      </c>
      <c r="BN3278" s="1107">
        <f>IF(OR($AC$1127=0,$C$1153="",C$1129=AG$1129),0,$C$1153*$C$1129)</f>
        <v>0</v>
      </c>
      <c r="BO3278" s="927"/>
      <c r="BP3278" s="927"/>
      <c r="BQ3278" s="927"/>
      <c r="BS3278" s="52" t="s">
        <v>1413</v>
      </c>
      <c r="BU3278" s="474" t="s">
        <v>3454</v>
      </c>
      <c r="BZ3278" s="48" t="s">
        <v>1431</v>
      </c>
      <c r="CA3278" t="s">
        <v>1498</v>
      </c>
      <c r="CB3278" s="48" t="s">
        <v>1416</v>
      </c>
      <c r="CC3278" t="s">
        <v>1527</v>
      </c>
      <c r="CD3278" t="s">
        <v>1584</v>
      </c>
      <c r="CE3278" t="s">
        <v>1640</v>
      </c>
      <c r="CF3278" t="s">
        <v>1695</v>
      </c>
      <c r="CG3278" t="s">
        <v>148</v>
      </c>
      <c r="CH3278" s="48" t="s">
        <v>1077</v>
      </c>
      <c r="CI3278" t="s">
        <v>1705</v>
      </c>
      <c r="CJ3278" t="s">
        <v>1754</v>
      </c>
      <c r="CK3278" t="s">
        <v>1862</v>
      </c>
      <c r="CL3278" t="s">
        <v>1867</v>
      </c>
      <c r="CM3278" t="s">
        <v>1640</v>
      </c>
      <c r="CN3278" t="s">
        <v>1640</v>
      </c>
      <c r="CO3278" t="s">
        <v>1995</v>
      </c>
      <c r="CP3278" t="s">
        <v>1954</v>
      </c>
      <c r="CQ3278" t="s">
        <v>1995</v>
      </c>
      <c r="CR3278" t="s">
        <v>2162</v>
      </c>
      <c r="CS3278" t="s">
        <v>2226</v>
      </c>
      <c r="CT3278" t="s">
        <v>2244</v>
      </c>
      <c r="CU3278" t="s">
        <v>2254</v>
      </c>
      <c r="CV3278" t="s">
        <v>2316</v>
      </c>
      <c r="CW3278" t="s">
        <v>1640</v>
      </c>
      <c r="CX3278" t="s">
        <v>1995</v>
      </c>
      <c r="CY3278" t="s">
        <v>2455</v>
      </c>
      <c r="CZ3278" t="s">
        <v>1640</v>
      </c>
      <c r="DA3278" t="s">
        <v>2532</v>
      </c>
      <c r="DB3278" t="s">
        <v>2543</v>
      </c>
      <c r="DC3278" t="s">
        <v>2550</v>
      </c>
      <c r="DD3278" t="s">
        <v>2561</v>
      </c>
      <c r="DE3278" t="s">
        <v>2585</v>
      </c>
      <c r="DF3278" t="s">
        <v>2616</v>
      </c>
      <c r="DG3278" t="s">
        <v>1640</v>
      </c>
      <c r="DH3278" t="s">
        <v>1640</v>
      </c>
      <c r="DI3278" t="s">
        <v>1995</v>
      </c>
      <c r="DJ3278" t="s">
        <v>1706</v>
      </c>
      <c r="DK3278" t="s">
        <v>1640</v>
      </c>
      <c r="DL3278" t="s">
        <v>2246</v>
      </c>
      <c r="DM3278" t="s">
        <v>2839</v>
      </c>
      <c r="DN3278" t="s">
        <v>2866</v>
      </c>
      <c r="DO3278" t="s">
        <v>2040</v>
      </c>
      <c r="DP3278" t="s">
        <v>2040</v>
      </c>
      <c r="DQ3278" t="s">
        <v>2748</v>
      </c>
      <c r="DR3278" t="s">
        <v>3107</v>
      </c>
      <c r="DS3278" t="s">
        <v>3115</v>
      </c>
      <c r="DT3278" t="s">
        <v>1640</v>
      </c>
      <c r="DU3278" t="s">
        <v>1433</v>
      </c>
      <c r="DV3278" t="s">
        <v>1640</v>
      </c>
      <c r="DW3278" t="s">
        <v>2585</v>
      </c>
      <c r="DX3278" s="48" t="s">
        <v>1028</v>
      </c>
      <c r="DZ3278" s="470" t="str">
        <f>IF($B$265=$B$3278,EB3278,IF($B$265=$B$3279,ED3278,IF($B$265=$B$3280,EF3278,IF($B$265=$B$3281,EH3278,IF($B$265=$B$3282,EJ3278,IF($B$265=$B$3283,EL3278,IF($B$265=$B$3284,EN3278,IF($B$265=$B$3285,EP3278,IF($B$265=$B$3286,ER3278,IF($B$265=$B$3287,ET3278,IF($B$265=$B$3288,EV3278,IF($B$265=$B$3289,EX3278,IF($B$265=$B$3290,EZ3278,IF($B$265=$B$3291,FB3278,IF($B$265=$B$3292,FD3278,IF($B$265=$B$3293,BU3278,IF($B$265=$B$3294,FF3278,IF($B$265=$B$3295,FH3278,IF($B$265=$B$3296,FJ3278,IF($B$265=$B$3297,FL3278,IF($B$265=$B$3298,FN3278,IF($B$265=$B$3299,FP3278,IF(BI$265=$B$3300,FR3278,IF($B$265=$B$3301,FT3278,IF($B$265=$B$3302,FV3278,IF($B$265=$B$3303,FX3278,IF($B$265=$B$3304,FZ3278,IF($B$265=$B$3305,GB3278,IF($B$265=$B$3306,GD3278,IF($B$265=$B$3307,GF3278,IF($B$265=$B$3308,GH3278,IF($B$265=$B$3309,GJ3278,IF($B$265=$B$3310,GL3278,IF($B$265=$B$3311,GN3278,IF($B$265=$B$3312,GP3278,IF($B$265=$B$3313,GR3278,IF($B$265=$B$3314,GT3278,IF($B$265=$B$3315,GV3278,IF($B$265=$B$3316,GX3278,IF($B$265=$B$3317,GZ3278,IF($B$265=$B$3318,HB3278,IF($B$265=$B$3319,HD3278,IF($B$265=$B$3320,HF3278,IF($B$265=$B$3321,HH3278,IF($B$265=$B$3322,HJ3278,IF($B$265=$B$3323,HL3278,IF($B$265=$B$3324,HN3278,IF($B$265=$B$3325,HP3278,IF($B$265=$B$3326,HR3278,IF($B$265=$B$3327,HT3278,IF($B$265=$B$3328,HV3278,IF($B$265=$B$3329,HX3278,""))))))))))))))))))))))))))))))))))))))))))))))))))))</f>
        <v/>
      </c>
      <c r="EA3278" s="470" t="str">
        <f>IF($B$265=$B$3278,EC3278,IF($B$265=$B$3279,EE3278,IF($B$265=$B$3280,EG3278,IF($B$265=$B$3281,EI3278,IF($B$265=$B$3282,EK3278,IF($B$265=$B$3283,EM3278,IF($B$265=$B$3284,EO3278,IF($B$265=$B$3285,EQ3278,IF($B$265=$B$3286,ES3278,IF($B$265=$B$3287,EU3278,IF($B$265=$B$3288,EW3278,IF($B$265=$B$3289,EY3278,IF($B$265=$B$3290,FA3278,IF($B$265=$B$3291,FC3278,IF($B$265=$B$3292,FE3278,IF($B$265=$B$3293,BK3278,IF($B$265=$B$3294,FG3278,IF($B$265=$B$3295,FI3278,IF($B$265=$B$3296,FK3278,IF($B$265=$B$3297,FM3278,IF($B$265=$B$3298,FO3278,IF($B$265=$B$3299,FQ3278,IF(BJ$265=$B$3300,FS3278,IF($B$265=$B$3301,FU3278,IF($B$265=$B$3302,FW3278,IF($B$265=$B$3303,FY3278,IF($B$265=$B$3304,GA3278,IF($B$265=$B$3305,GC3278,IF($B$265=$B$3306,GE3278,IF($B$265=$B$3307,GG3278,IF($B$265=$B$3308,GI3278,IF($B$265=$B$3309,GK3278,IF($B$265=$B$3310,GM3278,IF($B$265=$B$3311,GO3278,IF($B$265=$B$3312,GQ3278,IF($B$265=$B$3313,GS3278,IF($B$265=$B$3314,GU3278,IF($B$265=$B$3315,GW3278,IF($B$265=$B$3316,GY3278,IF($B$265=$B$3317,HA3278,IF($B$265=$B$3318,HC3278,IF($B$265=$B$3319,HE3278,IF($B$265=$B$3320,HG3278,IF($B$265=$B$3321,HI3278,IF($B$265=$B$3322,HK3278,IF($B$265=$B$3323,HM3278,IF($B$265=$B$3324,HO3278,IF($B$265=$B$3325,HQ3278,IF($B$265=$B$3326,HS3278,IF($B$265=$B$3327,HU3278,IF($B$265=$B$3328,HW3278,IF($B$265=$B$3329,HY3278,""))))))))))))))))))))))))))))))))))))))))))))))))))))</f>
        <v/>
      </c>
      <c r="EB3278" t="s">
        <v>3284</v>
      </c>
      <c r="EC3278" s="471" t="s">
        <v>3283</v>
      </c>
      <c r="EF3278" t="s">
        <v>3328</v>
      </c>
      <c r="EG3278" s="473" t="s">
        <v>3288</v>
      </c>
      <c r="EH3278" t="s">
        <v>3344</v>
      </c>
      <c r="EI3278" s="473" t="s">
        <v>3294</v>
      </c>
      <c r="EJ3278" t="s">
        <v>3371</v>
      </c>
      <c r="EK3278" s="473" t="s">
        <v>3294</v>
      </c>
      <c r="EL3278" t="s">
        <v>3429</v>
      </c>
      <c r="EM3278" s="473" t="s">
        <v>3288</v>
      </c>
    </row>
    <row r="3279" spans="1:334" ht="15.5" hidden="1" x14ac:dyDescent="0.35">
      <c r="A3279" s="417" t="s">
        <v>1050</v>
      </c>
      <c r="B3279" s="418" t="s">
        <v>1051</v>
      </c>
      <c r="C3279" s="427">
        <v>0</v>
      </c>
      <c r="D3279" s="427" t="s">
        <v>885</v>
      </c>
      <c r="E3279" s="427" t="s">
        <v>885</v>
      </c>
      <c r="G3279" s="420"/>
      <c r="H3279" s="420"/>
      <c r="I3279" s="420"/>
      <c r="J3279" s="420"/>
      <c r="K3279" s="420"/>
      <c r="L3279" s="420"/>
      <c r="M3279" s="420"/>
      <c r="N3279" s="420"/>
      <c r="O3279" s="420"/>
      <c r="P3279" s="420"/>
      <c r="Q3279" s="420"/>
      <c r="R3279" s="420"/>
      <c r="S3279" s="420"/>
      <c r="T3279" s="420"/>
      <c r="U3279" s="420"/>
      <c r="V3279" s="420"/>
      <c r="W3279" s="420"/>
      <c r="X3279" s="420"/>
      <c r="Y3279" s="420"/>
      <c r="Z3279" s="420"/>
      <c r="AA3279" s="411"/>
      <c r="AB3279" s="411" t="s">
        <v>1027</v>
      </c>
      <c r="AC3279" s="245" t="s">
        <v>885</v>
      </c>
      <c r="AD3279" s="245" t="s">
        <v>885</v>
      </c>
      <c r="AE3279" s="245" t="s">
        <v>885</v>
      </c>
      <c r="AF3279" s="245" t="s">
        <v>885</v>
      </c>
      <c r="AG3279" s="245" t="s">
        <v>885</v>
      </c>
      <c r="AH3279" s="245" t="s">
        <v>885</v>
      </c>
      <c r="AI3279" s="245" t="s">
        <v>885</v>
      </c>
      <c r="AJ3279" s="245" t="s">
        <v>885</v>
      </c>
      <c r="AK3279" s="245" t="s">
        <v>885</v>
      </c>
      <c r="AL3279" s="245" t="s">
        <v>885</v>
      </c>
      <c r="AM3279" s="245" t="s">
        <v>885</v>
      </c>
      <c r="AN3279" s="245" t="s">
        <v>885</v>
      </c>
      <c r="AO3279" s="245" t="s">
        <v>885</v>
      </c>
      <c r="AP3279" s="245" t="s">
        <v>885</v>
      </c>
      <c r="AQ3279" s="245" t="s">
        <v>885</v>
      </c>
      <c r="AR3279" s="245" t="s">
        <v>885</v>
      </c>
      <c r="AS3279" s="245" t="s">
        <v>885</v>
      </c>
      <c r="AT3279" s="245" t="s">
        <v>885</v>
      </c>
      <c r="AU3279" s="245" t="s">
        <v>885</v>
      </c>
      <c r="AV3279" s="245" t="s">
        <v>885</v>
      </c>
      <c r="AW3279" s="245" t="s">
        <v>885</v>
      </c>
      <c r="AX3279" s="48">
        <v>2</v>
      </c>
      <c r="BB3279" s="402">
        <f t="shared" ca="1" si="140"/>
        <v>0</v>
      </c>
      <c r="BF3279" s="423">
        <v>33062</v>
      </c>
      <c r="BG3279" s="415">
        <f t="shared" si="141"/>
        <v>0</v>
      </c>
      <c r="BH3279" s="415">
        <f t="shared" ref="BH3279:BH3328" si="143">IF(BG3279=0,0,BF3279-BG3279)</f>
        <v>0</v>
      </c>
      <c r="BI3279" s="365">
        <f t="shared" ref="BI3279:BI3329" si="144">BH3279/12</f>
        <v>0</v>
      </c>
      <c r="BJ3279" s="157">
        <f t="shared" si="142"/>
        <v>0</v>
      </c>
      <c r="BK3279" s="416">
        <f t="shared" ref="BK3279:BK3329" si="145">IF(BH3279=0,0,BH3279/BF3279)</f>
        <v>0</v>
      </c>
      <c r="BN3279" s="1107"/>
      <c r="BO3279" s="927"/>
      <c r="BP3279" s="927"/>
      <c r="BQ3279" s="927"/>
      <c r="BS3279" s="464" t="str">
        <f>IF($B$265=$B$3278,BZ3278,IF($B$265=$B$3279,CA3278,IF($B$265=$B$3280,CB3278,IF($B$265=$B$3281,CC3278,IF($B$265=$B$3282,CD3278,IF($B$265=$B$3283,CE3278,IF($B$265=$B$3284,CF3278,IF($B$265=$B$3285,CG3278,IF($B$265=$B$3286,CH3278,IF($B$265=$B$3287,CI3278,IF($B$265=$B$3288,CJ3278,IF($B$265=$B$3289,CK3278,IF($B$265=$B$3290,CL3278,IF($B$265=$B$3291,CM3278,IF($B$265=$B$3292,CN3278,IF($B$265=$B$3293,C3278,IF($B$265=$B$3294,CO3278,IF($B$265=$B$3295,CP3278,IF($B$265=$B$3296,CQ3278,IF($B$265=$B$3297,CR3278,IF($B$265=$B$3298,CS3278,IF($B$265=$B$3299,CT3278,IF(B$265=$B$3300,CU3278,IF($B$265=$B$3301,CV3278,IF($B$265=$B$3302,CW3278,IF($B$265=$B$3303,CX3278,IF($B$265=$B$3304,CY3278,IF($B$265=$B$3305,CZ3278,IF($B$265=$B$3306,DA3278,IF($B$265=$B$3307,DB3278,IF($B$265=$B$3308,DC3278,IF($B$265=$B$3309,DD3278,IF($B$265=$B$3310,DE3278,IF($B$265=$B$3311,DF3278,IF($B$265=$B$3312,DG3278,IF($B$265=$B$3313,DH3278,IF($B$265=$B$3314,DI3278,IF($B$265=$B$3315,DJ3278,IF($B$265=$B$3316,DK3278,IF($B$265=$B$3317,DL3278,IF($B$265=$B$3318,DM3278,IF($B$265=$B$3319,DN3278,IF($B$265=$B$3320,DO3278,IF($B$265=$B$3321,DP3278,IF($B$265=$B$3322,DQ3278,IF($B$265=$B$3323,DR3278,IF($B$265=$B$3324,DS3278,IF($B$265=$B$3325,DT3278,IF($B$265=$B$3326,DU3278,IF($B$265=$B$3327,DV3278,IF($B$265=$B$3328,DW3278,IF($B$265=$B$3329,DX3278,""))))))))))))))))))))))))))))))))))))))))))))))))))))</f>
        <v/>
      </c>
      <c r="BZ3279" s="48" t="s">
        <v>1432</v>
      </c>
      <c r="CA3279" t="s">
        <v>1499</v>
      </c>
      <c r="CB3279" s="48" t="s">
        <v>1417</v>
      </c>
      <c r="CC3279" t="s">
        <v>1528</v>
      </c>
      <c r="CD3279" t="s">
        <v>1585</v>
      </c>
      <c r="CE3279" t="s">
        <v>1641</v>
      </c>
      <c r="CF3279" t="s">
        <v>1696</v>
      </c>
      <c r="CG3279" t="s">
        <v>1703</v>
      </c>
      <c r="CH3279" s="245" t="s">
        <v>885</v>
      </c>
      <c r="CI3279" t="s">
        <v>1706</v>
      </c>
      <c r="CJ3279" t="s">
        <v>1755</v>
      </c>
      <c r="CK3279" t="s">
        <v>1863</v>
      </c>
      <c r="CL3279" t="s">
        <v>1640</v>
      </c>
      <c r="CM3279" t="s">
        <v>1900</v>
      </c>
      <c r="CN3279" t="s">
        <v>1954</v>
      </c>
      <c r="CO3279" t="s">
        <v>1640</v>
      </c>
      <c r="CP3279" t="s">
        <v>2040</v>
      </c>
      <c r="CQ3279" t="s">
        <v>1954</v>
      </c>
      <c r="CR3279" t="s">
        <v>2163</v>
      </c>
      <c r="CS3279" t="s">
        <v>2227</v>
      </c>
      <c r="CT3279" t="s">
        <v>2245</v>
      </c>
      <c r="CU3279" t="s">
        <v>2255</v>
      </c>
      <c r="CV3279" t="s">
        <v>2317</v>
      </c>
      <c r="CW3279" t="s">
        <v>2377</v>
      </c>
      <c r="CX3279" t="s">
        <v>2413</v>
      </c>
      <c r="CY3279" t="s">
        <v>2456</v>
      </c>
      <c r="CZ3279" t="s">
        <v>2491</v>
      </c>
      <c r="DA3279" t="s">
        <v>2533</v>
      </c>
      <c r="DB3279" t="s">
        <v>1533</v>
      </c>
      <c r="DC3279" t="s">
        <v>2551</v>
      </c>
      <c r="DD3279" t="s">
        <v>2562</v>
      </c>
      <c r="DE3279" t="s">
        <v>2226</v>
      </c>
      <c r="DF3279" t="s">
        <v>1900</v>
      </c>
      <c r="DG3279" t="s">
        <v>2680</v>
      </c>
      <c r="DH3279" t="s">
        <v>1954</v>
      </c>
      <c r="DI3279" t="s">
        <v>2746</v>
      </c>
      <c r="DJ3279" t="s">
        <v>1530</v>
      </c>
      <c r="DK3279" t="s">
        <v>2804</v>
      </c>
      <c r="DL3279" t="s">
        <v>148</v>
      </c>
      <c r="DM3279" t="s">
        <v>2840</v>
      </c>
      <c r="DN3279" t="s">
        <v>2867</v>
      </c>
      <c r="DO3279" t="s">
        <v>2806</v>
      </c>
      <c r="DP3279" t="s">
        <v>2930</v>
      </c>
      <c r="DQ3279" t="s">
        <v>3091</v>
      </c>
      <c r="DR3279" t="s">
        <v>3108</v>
      </c>
      <c r="DS3279" t="s">
        <v>3116</v>
      </c>
      <c r="DT3279" t="s">
        <v>3198</v>
      </c>
      <c r="DU3279" t="s">
        <v>2844</v>
      </c>
      <c r="DV3279" t="s">
        <v>2711</v>
      </c>
      <c r="DW3279" t="s">
        <v>2456</v>
      </c>
      <c r="DX3279" s="245" t="s">
        <v>885</v>
      </c>
      <c r="DY3279" s="245"/>
      <c r="DZ3279" s="470" t="str">
        <f>IF($B$265=$B$3278,EB3279,IF($B$265=$B$3279,ED3279,IF($B$265=$B$3280,EF3279,IF($B$265=$B$3281,EH3279,IF($B$265=$B$3282,EJ3279,IF($B$265=$B$3283,EL3279,IF($B$265=$B$3284,EN3279,IF($B$265=$B$3285,EP3279,IF($B$265=$B$3286,ER3279,IF($B$265=$B$3287,ET3279,IF($B$265=$B$3288,EV3279,IF($B$265=$B$3289,EX3279,IF($B$265=$B$3290,EZ3279,IF($B$265=$B$3291,FB3279,IF($B$265=$B$3292,FD3279,IF($B$265=$B$3293,BU3279,IF($B$265=$B$3294,FF3279,IF($B$265=$B$3295,FH3279,IF($B$265=$B$3296,FJ3279,IF($B$265=$B$3297,FL3279,IF($B$265=$B$3298,FN3279,IF($B$265=$B$3299,FP3279,IF(BI$265=$B$3300,FR3279,IF($B$265=$B$3301,FT3279,IF($B$265=$B$3302,FV3279,IF($B$265=$B$3303,FX3279,IF($B$265=$B$3304,FZ3279,IF($B$265=$B$3305,GB3279,IF($B$265=$B$3306,GD3279,IF($B$265=$B$3307,GF3279,IF($B$265=$B$3308,GH3279,IF($B$265=$B$3309,GJ3279,IF($B$265=$B$3310,GL3279,IF($B$265=$B$3311,GN3279,IF($B$265=$B$3312,GP3279,IF($B$265=$B$3313,GR3279,IF($B$265=$B$3314,GT3279,IF($B$265=$B$3315,GV3279,IF($B$265=$B$3316,GX3279,IF($B$265=$B$3317,GZ3279,IF($B$265=$B$3318,HB3279,IF($B$265=$B$3319,HD3279,IF($B$265=$B$3320,HF3279,IF($B$265=$B$3321,HH3279,IF($B$265=$B$3322,HJ3279,IF($B$265=$B$3323,HL3279,IF($B$265=$B$3324,HN3279,IF($B$265=$B$3325,HP3279,IF($B$265=$B$3326,HR3279,IF($B$265=$B$3327,HT3279,IF($B$265=$B$3328,HV3279,IF($B$265=$B$3329,HX3279,""))))))))))))))))))))))))))))))))))))))))))))))))))))</f>
        <v/>
      </c>
      <c r="EA3279" s="470" t="str">
        <f>IF($B$265=$B$3278,EC3279,IF($B$265=$B$3279,EE3279,IF($B$265=$B$3280,EG3279,IF($B$265=$B$3281,EI3279,IF($B$265=$B$3282,EK3279,IF($B$265=$B$3283,EM3279,IF($B$265=$B$3284,EO3279,IF($B$265=$B$3285,EQ3279,IF($B$265=$B$3286,ES3279,IF($B$265=$B$3287,EU3279,IF($B$265=$B$3288,EW3279,IF($B$265=$B$3289,EY3279,IF($B$265=$B$3290,FA3279,IF($B$265=$B$3291,FC3279,IF($B$265=$B$3292,FE3279,IF($B$265=$B$3293,BK3279,IF($B$265=$B$3294,FG3279,IF($B$265=$B$3295,FI3279,IF($B$265=$B$3296,FK3279,IF($B$265=$B$3297,FM3279,IF($B$265=$B$3298,FO3279,IF($B$265=$B$3299,FQ3279,IF(BJ$265=$B$3300,FS3279,IF($B$265=$B$3301,FU3279,IF($B$265=$B$3302,FW3279,IF($B$265=$B$3303,FY3279,IF($B$265=$B$3304,GA3279,IF($B$265=$B$3305,GC3279,IF($B$265=$B$3306,GE3279,IF($B$265=$B$3307,GG3279,IF($B$265=$B$3308,GI3279,IF($B$265=$B$3309,GK3279,IF($B$265=$B$3310,GM3279,IF($B$265=$B$3311,GO3279,IF($B$265=$B$3312,GQ3279,IF($B$265=$B$3313,GS3279,IF($B$265=$B$3314,GU3279,IF($B$265=$B$3315,GW3279,IF($B$265=$B$3316,GY3279,IF($B$265=$B$3317,HA3279,IF($B$265=$B$3318,HC3279,IF($B$265=$B$3319,HE3279,IF($B$265=$B$3320,HG3279,IF($B$265=$B$3321,HI3279,IF($B$265=$B$3322,HK3279,IF($B$265=$B$3323,HM3279,IF($B$265=$B$3324,HO3279,IF($B$265=$B$3325,HQ3279,IF($B$265=$B$3326,HS3279,IF($B$265=$B$3327,HU3279,IF($B$265=$B$3328,HW3279,IF($B$265=$B$3329,HY3279,""))))))))))))))))))))))))))))))))))))))))))))))))))))</f>
        <v/>
      </c>
      <c r="EB3279" t="s">
        <v>3286</v>
      </c>
      <c r="EC3279" s="471" t="s">
        <v>3283</v>
      </c>
      <c r="EF3279" t="s">
        <v>3329</v>
      </c>
      <c r="EG3279" s="473" t="s">
        <v>3283</v>
      </c>
      <c r="EH3279" t="s">
        <v>3345</v>
      </c>
      <c r="EI3279" s="473" t="s">
        <v>3294</v>
      </c>
      <c r="EJ3279" t="s">
        <v>3372</v>
      </c>
      <c r="EK3279" s="473" t="s">
        <v>3294</v>
      </c>
      <c r="EL3279" t="s">
        <v>3430</v>
      </c>
      <c r="EM3279" s="473" t="s">
        <v>3288</v>
      </c>
    </row>
    <row r="3280" spans="1:334" ht="15.5" hidden="1" x14ac:dyDescent="0.35">
      <c r="A3280" s="417" t="s">
        <v>1052</v>
      </c>
      <c r="B3280" s="418" t="s">
        <v>1053</v>
      </c>
      <c r="C3280" s="427">
        <f>C3279</f>
        <v>0</v>
      </c>
      <c r="D3280" s="427" t="s">
        <v>885</v>
      </c>
      <c r="E3280" s="427" t="s">
        <v>885</v>
      </c>
      <c r="G3280" s="420"/>
      <c r="H3280" s="420"/>
      <c r="I3280" s="420"/>
      <c r="J3280" s="420"/>
      <c r="K3280" s="420"/>
      <c r="L3280" s="420"/>
      <c r="M3280" s="420"/>
      <c r="N3280" s="420"/>
      <c r="O3280" s="420"/>
      <c r="P3280" s="420"/>
      <c r="Q3280" s="420"/>
      <c r="R3280" s="420"/>
      <c r="S3280" s="420"/>
      <c r="T3280" s="420"/>
      <c r="U3280" s="420"/>
      <c r="V3280" s="420"/>
      <c r="W3280" s="420"/>
      <c r="X3280" s="420"/>
      <c r="Y3280" s="420"/>
      <c r="Z3280" s="420"/>
      <c r="AA3280" s="411"/>
      <c r="AB3280" s="411" t="s">
        <v>1027</v>
      </c>
      <c r="AC3280" s="245" t="s">
        <v>885</v>
      </c>
      <c r="AD3280" s="245" t="s">
        <v>885</v>
      </c>
      <c r="AE3280" s="245" t="s">
        <v>885</v>
      </c>
      <c r="AF3280" s="245" t="s">
        <v>885</v>
      </c>
      <c r="AG3280" s="245" t="s">
        <v>885</v>
      </c>
      <c r="AH3280" s="245" t="s">
        <v>885</v>
      </c>
      <c r="AI3280" s="245" t="s">
        <v>885</v>
      </c>
      <c r="AJ3280" s="245" t="s">
        <v>885</v>
      </c>
      <c r="AK3280" s="245" t="s">
        <v>885</v>
      </c>
      <c r="AL3280" s="245" t="s">
        <v>885</v>
      </c>
      <c r="AM3280" s="245" t="s">
        <v>885</v>
      </c>
      <c r="AN3280" s="245" t="s">
        <v>885</v>
      </c>
      <c r="AO3280" s="245" t="s">
        <v>885</v>
      </c>
      <c r="AP3280" s="245" t="s">
        <v>885</v>
      </c>
      <c r="AQ3280" s="245" t="s">
        <v>885</v>
      </c>
      <c r="AR3280" s="245" t="s">
        <v>885</v>
      </c>
      <c r="AS3280" s="245" t="s">
        <v>885</v>
      </c>
      <c r="AT3280" s="245" t="s">
        <v>885</v>
      </c>
      <c r="AU3280" s="245" t="s">
        <v>885</v>
      </c>
      <c r="AV3280" s="245" t="s">
        <v>885</v>
      </c>
      <c r="AW3280" s="245" t="s">
        <v>885</v>
      </c>
      <c r="AX3280" s="48">
        <v>3</v>
      </c>
      <c r="BB3280" s="402">
        <f t="shared" ca="1" si="140"/>
        <v>0</v>
      </c>
      <c r="BF3280" s="423">
        <v>25715</v>
      </c>
      <c r="BG3280" s="415">
        <f t="shared" si="141"/>
        <v>0</v>
      </c>
      <c r="BH3280" s="415">
        <f t="shared" si="143"/>
        <v>0</v>
      </c>
      <c r="BI3280" s="365">
        <f t="shared" si="144"/>
        <v>0</v>
      </c>
      <c r="BJ3280" s="157">
        <f t="shared" si="142"/>
        <v>0</v>
      </c>
      <c r="BK3280" s="416">
        <f t="shared" si="145"/>
        <v>0</v>
      </c>
      <c r="BN3280" s="1107"/>
      <c r="BO3280" s="927"/>
      <c r="BP3280" s="927"/>
      <c r="BQ3280" s="927"/>
      <c r="BS3280" s="464" t="str">
        <f>IF($B$265=B$3278,BZ3279,IF($B$265=B$3279,CA3279,IF($B$265=B$3280,CB3279,IF($B$265=B$3281,CC3279,IF($B$265=B$3282,CD3279,IF($B$265=B$3283,CE3279,IF($B$265=B$3284,CF3279,IF($B$265=B$3285,CG3279,IF($B$265=B$3286,CH3279,IF($B$265=B$3287,CI3279,IF($B$265=B$3288,CJ3279,IF($B$265=B$3289,CK3279,IF($B$265=B$3290,CL3279,IF($B$265=B$3291,CM3279,IF($B$265=B$3292,CN3279,IF($B$265=B$3293,C3279,IF($B$265=B$3294,CO3279,IF($B$265=B$3295,CP3279,IF($B$265=B$3296,CQ3279,IF($B$265=B$3297,CR3279,IF($B$265=B$3298,CS3279,IF($B$265=B$3299,CT3279,IF(B$265=B$3300,CU3279,IF($B$265=B$3301,CV3279,IF($B$265=B$3302,CW3279,IF($B$265=B$3303,CX3279,IF($B$265=B$3304,CY3279,IF($B$265=B$3305,CZ3279,IF($B$265=B$3306,DA3279,IF($B$265=B$3307,DB3279,IF($B$265=B$3308,DC3279,IF($B$265=B$3309,DD3279,IF($B$265=B$3310,DE3279,IF($B$265=B$3311,DF3279,IF($B$265=B$3312,DG3279,IF($B$265=B$3313,DH3279,IF($B$265=B$3314,DI3279,IF($B$265=B$3315,DJ3279,IF($B$265=B$3316,DK3279,IF($B$265=B$3317,DL3279,IF($B$265=B$3318,DM3279,IF($B$265=B$3319,DN3279,IF($B$265=B$3320,DO3279,IF($B$265=B$3321,DP3279,IF($B$265=B$3322,DQ3279,IF($B$265=B$3323,DR3279,IF($B$265=B$3324,DS3279,IF($B$265=B$3325,DT3279,IF($B$265=B$3326,DU3279,IF($B$265=B$3327,DV3279,IF($B$265=B$3328,DW3279,IF($B$265=B$3329,DX3279,""))))))))))))))))))))))))))))))))))))))))))))))))))))</f>
        <v/>
      </c>
      <c r="BZ3280" s="48" t="s">
        <v>1433</v>
      </c>
      <c r="CA3280" t="s">
        <v>1500</v>
      </c>
      <c r="CB3280" s="48" t="s">
        <v>1418</v>
      </c>
      <c r="CC3280" t="s">
        <v>1529</v>
      </c>
      <c r="CD3280" t="s">
        <v>1586</v>
      </c>
      <c r="CE3280" t="s">
        <v>1642</v>
      </c>
      <c r="CF3280" t="s">
        <v>1697</v>
      </c>
      <c r="CG3280" t="s">
        <v>1704</v>
      </c>
      <c r="CH3280" s="245" t="s">
        <v>885</v>
      </c>
      <c r="CI3280" t="s">
        <v>1707</v>
      </c>
      <c r="CJ3280" t="s">
        <v>1756</v>
      </c>
      <c r="CK3280" t="s">
        <v>1864</v>
      </c>
      <c r="CL3280" t="s">
        <v>1868</v>
      </c>
      <c r="CM3280" t="s">
        <v>1901</v>
      </c>
      <c r="CN3280" t="s">
        <v>1955</v>
      </c>
      <c r="CO3280" t="s">
        <v>1996</v>
      </c>
      <c r="CP3280" t="s">
        <v>2041</v>
      </c>
      <c r="CQ3280" t="s">
        <v>2040</v>
      </c>
      <c r="CR3280" t="s">
        <v>2164</v>
      </c>
      <c r="CS3280" t="s">
        <v>2228</v>
      </c>
      <c r="CT3280" t="s">
        <v>2246</v>
      </c>
      <c r="CU3280" t="s">
        <v>2256</v>
      </c>
      <c r="CV3280" t="s">
        <v>2318</v>
      </c>
      <c r="CW3280" t="s">
        <v>2378</v>
      </c>
      <c r="CX3280" t="s">
        <v>2041</v>
      </c>
      <c r="CY3280" t="s">
        <v>1872</v>
      </c>
      <c r="CZ3280" t="s">
        <v>2492</v>
      </c>
      <c r="DA3280" t="s">
        <v>1535</v>
      </c>
      <c r="DB3280" t="s">
        <v>2544</v>
      </c>
      <c r="DC3280" t="s">
        <v>2552</v>
      </c>
      <c r="DD3280" t="s">
        <v>2563</v>
      </c>
      <c r="DE3280" t="s">
        <v>2586</v>
      </c>
      <c r="DF3280" t="s">
        <v>2617</v>
      </c>
      <c r="DG3280" t="s">
        <v>2681</v>
      </c>
      <c r="DH3280" t="s">
        <v>2711</v>
      </c>
      <c r="DI3280" t="s">
        <v>2747</v>
      </c>
      <c r="DJ3280" t="s">
        <v>2788</v>
      </c>
      <c r="DK3280" t="s">
        <v>2805</v>
      </c>
      <c r="DL3280" t="s">
        <v>2837</v>
      </c>
      <c r="DM3280" t="s">
        <v>2841</v>
      </c>
      <c r="DN3280" t="s">
        <v>2868</v>
      </c>
      <c r="DO3280" t="s">
        <v>1530</v>
      </c>
      <c r="DP3280" t="s">
        <v>2931</v>
      </c>
      <c r="DQ3280" t="s">
        <v>3092</v>
      </c>
      <c r="DR3280" t="s">
        <v>3109</v>
      </c>
      <c r="DS3280" t="s">
        <v>3117</v>
      </c>
      <c r="DT3280" t="s">
        <v>1530</v>
      </c>
      <c r="DU3280" t="s">
        <v>1531</v>
      </c>
      <c r="DV3280" t="s">
        <v>3237</v>
      </c>
      <c r="DW3280" t="s">
        <v>2119</v>
      </c>
      <c r="DX3280" s="245" t="s">
        <v>885</v>
      </c>
      <c r="DY3280" s="245"/>
      <c r="DZ3280" s="470" t="str">
        <f>IF($B$265=$B$3278,EB3280,IF($B$265=$B$3279,ED3280,IF($B$265=$B$3280,EF3280,IF($B$265=$B$3281,EH3280,IF($B$265=$B$3282,EJ3280,IF($B$265=$B$3283,EL3280,IF($B$265=$B$3284,EN3280,IF($B$265=$B$3285,EP3280,IF($B$265=$B$3286,ER3280,IF($B$265=$B$3287,ET3280,IF($B$265=$B$3288,EV3280,IF($B$265=$B$3289,EX3280,IF($B$265=$B$3290,EZ3280,IF($B$265=$B$3291,FB3280,IF($B$265=$B$3292,FD3280,IF($B$265=$B$3293,BU3280,IF($B$265=$B$3294,FF3280,IF($B$265=$B$3295,FH3280,IF($B$265=$B$3296,FJ3280,IF($B$265=$B$3297,FL3280,IF($B$265=$B$3298,FN3280,IF($B$265=$B$3299,FP3280,IF(BI$265=$B$3300,FR3280,IF($B$265=$B$3301,FT3280,IF($B$265=$B$3302,FV3280,IF($B$265=$B$3303,FX3280,IF($B$265=$B$3304,FZ3280,IF($B$265=$B$3305,GB3280,IF($B$265=$B$3306,GD3280,IF($B$265=$B$3307,GF3280,IF($B$265=$B$3308,GH3280,IF($B$265=$B$3309,GJ3280,IF($B$265=$B$3310,GL3280,IF($B$265=$B$3311,GN3280,IF($B$265=$B$3312,GP3280,IF($B$265=$B$3313,GR3280,IF($B$265=$B$3314,GT3280,IF($B$265=$B$3315,GV3280,IF($B$265=$B$3316,GX3280,IF($B$265=$B$3317,GZ3280,IF($B$265=$B$3318,HB3280,IF($B$265=$B$3319,HD3280,IF($B$265=$B$3320,HF3280,IF($B$265=$B$3321,HH3280,IF($B$265=$B$3322,HJ3280,IF($B$265=$B$3323,HL3280,IF($B$265=$B$3324,HN3280,IF($B$265=$B$3325,HP3280,IF($B$265=$B$3326,HR3280,IF($B$265=$B$3327,HT3280,IF($B$265=$B$3328,HV3280,IF($B$265=$B$3329,HX3280,""))))))))))))))))))))))))))))))))))))))))))))))))))))</f>
        <v/>
      </c>
      <c r="EA3280" s="470" t="str">
        <f>IF($B$265=$B$3278,EC3280,IF($B$265=$B$3279,EE3280,IF($B$265=$B$3280,EG3280,IF($B$265=$B$3281,EI3280,IF($B$265=$B$3282,EK3280,IF($B$265=$B$3283,EM3280,IF($B$265=$B$3284,EO3280,IF($B$265=$B$3285,EQ3280,IF($B$265=$B$3286,ES3280,IF($B$265=$B$3287,EU3280,IF($B$265=$B$3288,EW3280,IF($B$265=$B$3289,EY3280,IF($B$265=$B$3290,FA3280,IF($B$265=$B$3291,FC3280,IF($B$265=$B$3292,FE3280,IF($B$265=$B$3293,BK3280,IF($B$265=$B$3294,FG3280,IF($B$265=$B$3295,FI3280,IF($B$265=$B$3296,FK3280,IF($B$265=$B$3297,FM3280,IF($B$265=$B$3298,FO3280,IF($B$265=$B$3299,FQ3280,IF(BJ$265=$B$3300,FS3280,IF($B$265=$B$3301,FU3280,IF($B$265=$B$3302,FW3280,IF($B$265=$B$3303,FY3280,IF($B$265=$B$3304,GA3280,IF($B$265=$B$3305,GC3280,IF($B$265=$B$3306,GE3280,IF($B$265=$B$3307,GG3280,IF($B$265=$B$3308,GI3280,IF($B$265=$B$3309,GK3280,IF($B$265=$B$3310,GM3280,IF($B$265=$B$3311,GO3280,IF($B$265=$B$3312,GQ3280,IF($B$265=$B$3313,GS3280,IF($B$265=$B$3314,GU3280,IF($B$265=$B$3315,GW3280,IF($B$265=$B$3316,GY3280,IF($B$265=$B$3317,HA3280,IF($B$265=$B$3318,HC3280,IF($B$265=$B$3319,HE3280,IF($B$265=$B$3320,HG3280,IF($B$265=$B$3321,HI3280,IF($B$265=$B$3322,HK3280,IF($B$265=$B$3323,HM3280,IF($B$265=$B$3324,HO3280,IF($B$265=$B$3325,HQ3280,IF($B$265=$B$3326,HS3280,IF($B$265=$B$3327,HU3280,IF($B$265=$B$3328,HW3280,IF($B$265=$B$3329,HY3280,""))))))))))))))))))))))))))))))))))))))))))))))))))))</f>
        <v/>
      </c>
      <c r="EB3280" t="s">
        <v>3287</v>
      </c>
      <c r="EC3280" s="471" t="s">
        <v>3288</v>
      </c>
      <c r="EF3280" t="s">
        <v>3330</v>
      </c>
      <c r="EG3280" s="473" t="s">
        <v>3288</v>
      </c>
      <c r="EH3280" t="s">
        <v>3346</v>
      </c>
      <c r="EI3280" s="473" t="s">
        <v>3294</v>
      </c>
      <c r="EJ3280" t="s">
        <v>3373</v>
      </c>
      <c r="EK3280" s="473" t="s">
        <v>3294</v>
      </c>
      <c r="EL3280" t="s">
        <v>3431</v>
      </c>
      <c r="EM3280" s="473" t="s">
        <v>3283</v>
      </c>
    </row>
    <row r="3281" spans="1:143" ht="15.5" hidden="1" x14ac:dyDescent="0.35">
      <c r="A3281" s="417" t="s">
        <v>1054</v>
      </c>
      <c r="B3281" s="418" t="s">
        <v>1055</v>
      </c>
      <c r="C3281" s="427">
        <f>C3280</f>
        <v>0</v>
      </c>
      <c r="D3281" s="427" t="s">
        <v>885</v>
      </c>
      <c r="E3281" s="427" t="s">
        <v>885</v>
      </c>
      <c r="G3281" s="420"/>
      <c r="H3281" s="420"/>
      <c r="I3281" s="420"/>
      <c r="J3281" s="420"/>
      <c r="K3281" s="420"/>
      <c r="L3281" s="420"/>
      <c r="M3281" s="420"/>
      <c r="N3281" s="420"/>
      <c r="O3281" s="420"/>
      <c r="P3281" s="420"/>
      <c r="Q3281" s="420"/>
      <c r="R3281" s="420"/>
      <c r="S3281" s="420"/>
      <c r="T3281" s="420"/>
      <c r="U3281" s="420"/>
      <c r="V3281" s="420"/>
      <c r="W3281" s="420"/>
      <c r="X3281" s="420"/>
      <c r="Y3281" s="420"/>
      <c r="Z3281" s="420"/>
      <c r="AA3281" s="411"/>
      <c r="AB3281" s="411" t="s">
        <v>1027</v>
      </c>
      <c r="AC3281" s="245" t="s">
        <v>885</v>
      </c>
      <c r="AD3281" s="245" t="s">
        <v>885</v>
      </c>
      <c r="AE3281" s="245" t="s">
        <v>885</v>
      </c>
      <c r="AF3281" s="245" t="s">
        <v>885</v>
      </c>
      <c r="AG3281" s="245" t="s">
        <v>885</v>
      </c>
      <c r="AH3281" s="245" t="s">
        <v>885</v>
      </c>
      <c r="AI3281" s="245" t="s">
        <v>885</v>
      </c>
      <c r="AJ3281" s="245" t="s">
        <v>885</v>
      </c>
      <c r="AK3281" s="245" t="s">
        <v>885</v>
      </c>
      <c r="AL3281" s="245" t="s">
        <v>885</v>
      </c>
      <c r="AM3281" s="245" t="s">
        <v>885</v>
      </c>
      <c r="AN3281" s="245" t="s">
        <v>885</v>
      </c>
      <c r="AO3281" s="245" t="s">
        <v>885</v>
      </c>
      <c r="AP3281" s="245" t="s">
        <v>885</v>
      </c>
      <c r="AQ3281" s="245" t="s">
        <v>885</v>
      </c>
      <c r="AR3281" s="245" t="s">
        <v>885</v>
      </c>
      <c r="AS3281" s="245" t="s">
        <v>885</v>
      </c>
      <c r="AT3281" s="245" t="s">
        <v>885</v>
      </c>
      <c r="AU3281" s="245" t="s">
        <v>885</v>
      </c>
      <c r="AV3281" s="245" t="s">
        <v>885</v>
      </c>
      <c r="AW3281" s="245" t="s">
        <v>885</v>
      </c>
      <c r="AX3281" s="48">
        <v>4</v>
      </c>
      <c r="BB3281" s="402">
        <f t="shared" ca="1" si="140"/>
        <v>0</v>
      </c>
      <c r="BF3281" s="423">
        <v>22883</v>
      </c>
      <c r="BG3281" s="415">
        <f t="shared" si="141"/>
        <v>0</v>
      </c>
      <c r="BH3281" s="415">
        <f t="shared" si="143"/>
        <v>0</v>
      </c>
      <c r="BI3281" s="365">
        <f t="shared" si="144"/>
        <v>0</v>
      </c>
      <c r="BJ3281" s="157">
        <f t="shared" si="142"/>
        <v>0</v>
      </c>
      <c r="BK3281" s="416">
        <f t="shared" si="145"/>
        <v>0</v>
      </c>
      <c r="BN3281" s="1107"/>
      <c r="BO3281" s="927"/>
      <c r="BP3281" s="927"/>
      <c r="BQ3281" s="927"/>
      <c r="BS3281" s="464" t="str">
        <f>IF($B$265=B$3278,BZ3280,IF($B$265=B$3279,CA3280,IF($B$265=B$3280,CB3280,IF($B$265=B$3281,CC3280,IF($B$265=B$3282,CD3280,IF($B$265=B$3283,CE3280,IF($B$265=B$3284,CF3280,IF($B$265=B$3285,CG3280,IF($B$265=B$3286,CH3280,IF($B$265=B$3287,CI3280,IF($B$265=B$3288,CJ3280,IF($B$265=B$3289,CK3280,IF($B$265=B$3290,CL3280,IF($B$265=B$3291,CM3280,IF($B$265=B$3292,CN3280,IF($B$265=B$3293,C3280,IF($B$265=B$3294,CO3280,IF($B$265=B$3295,CP3280,IF($B$265=B$3296,CQ3280,IF($B$265=B$3297,CR3280,IF($B$265=B$3298,CS3280,IF($B$265=B$3299,CT3280,IF(B$265=B$3300,CU3280,IF($B$265=B$3301,CV3280,IF($B$265=B$3302,CW3280,IF($B$265=B$3303,CX3280,IF($B$265=B$3304,CY3280,IF($B$265=B$3305,CZ3280,IF($B$265=B$3306,DA3280,IF($B$265=B$3307,DB3280,IF($B$265=B$3308,DC3280,IF($B$265=B$3309,DD3280,IF($B$265=B$3310,DE3280,IF($B$265=B$3311,DF3280,IF($B$265=B$3312,DG3280,IF($B$265=B$3313,DH3280,IF($B$265=B$3314,DI3280,IF($B$265=B$3315,DJ3280,IF($B$265=B$3316,DK3280,IF($B$265=B$3317,DL3280,IF($B$265=B$3318,DM3280,IF($B$265=B$3319,DN3280,IF($B$265=B$3320,DO3280,IF($B$265=B$3321,DP3280,IF($B$265=B$3322,DQ3280,IF($B$265=B$3323,DR3280,IF($B$265=B$3324,DS3280,IF($B$265=B$3325,DT3280,IF($B$265=B$3326,DU3280,IF($B$265=B$3327,DV3280,IF($B$265=B$3328,DW3280,IF($B$265=B$3329,DX3280,""))))))))))))))))))))))))))))))))))))))))))))))))))))</f>
        <v/>
      </c>
      <c r="BZ3281" s="48" t="s">
        <v>1434</v>
      </c>
      <c r="CA3281" t="s">
        <v>1501</v>
      </c>
      <c r="CB3281" s="48" t="s">
        <v>1419</v>
      </c>
      <c r="CC3281" t="s">
        <v>1530</v>
      </c>
      <c r="CD3281" t="s">
        <v>1587</v>
      </c>
      <c r="CE3281" t="s">
        <v>1643</v>
      </c>
      <c r="CF3281" t="s">
        <v>1698</v>
      </c>
      <c r="CG3281" s="245" t="s">
        <v>885</v>
      </c>
      <c r="CH3281" s="245" t="s">
        <v>885</v>
      </c>
      <c r="CI3281" t="s">
        <v>1708</v>
      </c>
      <c r="CJ3281" t="s">
        <v>1706</v>
      </c>
      <c r="CK3281" t="s">
        <v>1865</v>
      </c>
      <c r="CL3281" t="s">
        <v>1869</v>
      </c>
      <c r="CM3281" t="s">
        <v>1531</v>
      </c>
      <c r="CN3281" t="s">
        <v>1530</v>
      </c>
      <c r="CO3281" t="s">
        <v>1997</v>
      </c>
      <c r="CP3281" t="s">
        <v>2042</v>
      </c>
      <c r="CQ3281" t="s">
        <v>2107</v>
      </c>
      <c r="CR3281" t="s">
        <v>2165</v>
      </c>
      <c r="CS3281" t="s">
        <v>2229</v>
      </c>
      <c r="CT3281" t="s">
        <v>2247</v>
      </c>
      <c r="CU3281" t="s">
        <v>2257</v>
      </c>
      <c r="CV3281" t="s">
        <v>2319</v>
      </c>
      <c r="CW3281" t="s">
        <v>2379</v>
      </c>
      <c r="CX3281" t="s">
        <v>2414</v>
      </c>
      <c r="CY3281" t="s">
        <v>2457</v>
      </c>
      <c r="CZ3281" t="s">
        <v>2493</v>
      </c>
      <c r="DA3281" t="s">
        <v>1658</v>
      </c>
      <c r="DB3281" t="s">
        <v>2545</v>
      </c>
      <c r="DC3281" t="s">
        <v>1769</v>
      </c>
      <c r="DD3281" t="s">
        <v>2564</v>
      </c>
      <c r="DE3281" t="s">
        <v>2587</v>
      </c>
      <c r="DF3281" t="s">
        <v>2618</v>
      </c>
      <c r="DG3281" t="s">
        <v>2682</v>
      </c>
      <c r="DH3281" t="s">
        <v>2712</v>
      </c>
      <c r="DI3281" t="s">
        <v>2748</v>
      </c>
      <c r="DJ3281" t="s">
        <v>2789</v>
      </c>
      <c r="DK3281" t="s">
        <v>2748</v>
      </c>
      <c r="DL3281" t="s">
        <v>2838</v>
      </c>
      <c r="DM3281" t="s">
        <v>2040</v>
      </c>
      <c r="DN3281" t="s">
        <v>2869</v>
      </c>
      <c r="DO3281" t="s">
        <v>2904</v>
      </c>
      <c r="DP3281" t="s">
        <v>2932</v>
      </c>
      <c r="DQ3281" t="s">
        <v>2458</v>
      </c>
      <c r="DR3281" t="s">
        <v>3110</v>
      </c>
      <c r="DS3281" t="s">
        <v>2617</v>
      </c>
      <c r="DT3281" t="s">
        <v>3199</v>
      </c>
      <c r="DU3281" t="s">
        <v>3220</v>
      </c>
      <c r="DV3281" t="s">
        <v>3238</v>
      </c>
      <c r="DW3281" t="s">
        <v>2458</v>
      </c>
      <c r="DX3281" s="245" t="s">
        <v>885</v>
      </c>
      <c r="DY3281" s="245"/>
      <c r="DZ3281" s="470" t="str">
        <f>IF($B$265=$B$3278,EB3281,IF($B$265=$B$3279,ED3281,IF($B$265=$B$3280,EF3281,IF($B$265=$B$3281,EH3281,IF($B$265=$B$3282,EJ3281,IF($B$265=$B$3283,EL3281,IF($B$265=$B$3284,EN3281,IF($B$265=$B$3285,EP3281,IF($B$265=$B$3286,ER3281,IF($B$265=$B$3287,ET3281,IF($B$265=$B$3288,EV3281,IF($B$265=$B$3289,EX3281,IF($B$265=$B$3290,EZ3281,IF($B$265=$B$3291,FB3281,IF($B$265=$B$3292,FD3281,IF($B$265=$B$3293,BU3281,IF($B$265=$B$3294,FF3281,IF($B$265=$B$3295,FH3281,IF($B$265=$B$3296,FJ3281,IF($B$265=$B$3297,FL3281,IF($B$265=$B$3298,FN3281,IF($B$265=$B$3299,FP3281,IF(BI$265=$B$3300,FR3281,IF($B$265=$B$3301,FT3281,IF($B$265=$B$3302,FV3281,IF($B$265=$B$3303,FX3281,IF($B$265=$B$3304,FZ3281,IF($B$265=$B$3305,GB3281,IF($B$265=$B$3306,GD3281,IF($B$265=$B$3307,GF3281,IF($B$265=$B$3308,GH3281,IF($B$265=$B$3309,GJ3281,IF($B$265=$B$3310,GL3281,IF($B$265=$B$3311,GN3281,IF($B$265=$B$3312,GP3281,IF($B$265=$B$3313,GR3281,IF($B$265=$B$3314,GT3281,IF($B$265=$B$3315,GV3281,IF($B$265=$B$3316,GX3281,IF($B$265=$B$3317,GZ3281,IF($B$265=$B$3318,HB3281,IF($B$265=$B$3319,HD3281,IF($B$265=$B$3320,HF3281,IF($B$265=$B$3321,HH3281,IF($B$265=$B$3322,HJ3281,IF($B$265=$B$3323,HL3281,IF($B$265=$B$3324,HN3281,IF($B$265=$B$3325,HP3281,IF($B$265=$B$3326,HR3281,IF($B$265=$B$3327,HT3281,IF($B$265=$B$3328,HV3281,IF($B$265=$B$3329,HX3281,""))))))))))))))))))))))))))))))))))))))))))))))))))))</f>
        <v/>
      </c>
      <c r="EA3281" s="470" t="str">
        <f>IF($B$265=$B$3278,EC3281,IF($B$265=$B$3279,EE3281,IF($B$265=$B$3280,EG3281,IF($B$265=$B$3281,EI3281,IF($B$265=$B$3282,EK3281,IF($B$265=$B$3283,EM3281,IF($B$265=$B$3284,EO3281,IF($B$265=$B$3285,EQ3281,IF($B$265=$B$3286,ES3281,IF($B$265=$B$3287,EU3281,IF($B$265=$B$3288,EW3281,IF($B$265=$B$3289,EY3281,IF($B$265=$B$3290,FA3281,IF($B$265=$B$3291,FC3281,IF($B$265=$B$3292,FE3281,IF($B$265=$B$3293,BK3281,IF($B$265=$B$3294,FG3281,IF($B$265=$B$3295,FI3281,IF($B$265=$B$3296,FK3281,IF($B$265=$B$3297,FM3281,IF($B$265=$B$3298,FO3281,IF($B$265=$B$3299,FQ3281,IF(BJ$265=$B$3300,FS3281,IF($B$265=$B$3301,FU3281,IF($B$265=$B$3302,FW3281,IF($B$265=$B$3303,FY3281,IF($B$265=$B$3304,GA3281,IF($B$265=$B$3305,GC3281,IF($B$265=$B$3306,GE3281,IF($B$265=$B$3307,GG3281,IF($B$265=$B$3308,GI3281,IF($B$265=$B$3309,GK3281,IF($B$265=$B$3310,GM3281,IF($B$265=$B$3311,GO3281,IF($B$265=$B$3312,GQ3281,IF($B$265=$B$3313,GS3281,IF($B$265=$B$3314,GU3281,IF($B$265=$B$3315,GW3281,IF($B$265=$B$3316,GY3281,IF($B$265=$B$3317,HA3281,IF($B$265=$B$3318,HC3281,IF($B$265=$B$3319,HE3281,IF($B$265=$B$3320,HG3281,IF($B$265=$B$3321,HI3281,IF($B$265=$B$3322,HK3281,IF($B$265=$B$3323,HM3281,IF($B$265=$B$3324,HO3281,IF($B$265=$B$3325,HQ3281,IF($B$265=$B$3326,HS3281,IF($B$265=$B$3327,HU3281,IF($B$265=$B$3328,HW3281,IF($B$265=$B$3329,HY3281,""))))))))))))))))))))))))))))))))))))))))))))))))))))</f>
        <v/>
      </c>
      <c r="EB3281" t="s">
        <v>3289</v>
      </c>
      <c r="EC3281" s="471" t="s">
        <v>3288</v>
      </c>
      <c r="EF3281" t="s">
        <v>3331</v>
      </c>
      <c r="EG3281" s="473" t="s">
        <v>3283</v>
      </c>
      <c r="EH3281" t="s">
        <v>3347</v>
      </c>
      <c r="EI3281" s="473" t="s">
        <v>3294</v>
      </c>
      <c r="EJ3281" t="s">
        <v>3374</v>
      </c>
      <c r="EK3281" s="473" t="s">
        <v>3294</v>
      </c>
      <c r="EL3281" t="s">
        <v>3432</v>
      </c>
      <c r="EM3281" s="473" t="s">
        <v>3288</v>
      </c>
    </row>
    <row r="3282" spans="1:143" ht="15.5" hidden="1" x14ac:dyDescent="0.35">
      <c r="A3282" s="417" t="s">
        <v>1056</v>
      </c>
      <c r="B3282" s="418" t="s">
        <v>1057</v>
      </c>
      <c r="C3282" s="419">
        <f>140*365.25</f>
        <v>51135</v>
      </c>
      <c r="D3282" s="427" t="s">
        <v>885</v>
      </c>
      <c r="G3282" s="420"/>
      <c r="H3282" s="420"/>
      <c r="I3282" s="420"/>
      <c r="J3282" s="420"/>
      <c r="K3282" s="420"/>
      <c r="L3282" s="420"/>
      <c r="M3282" s="420"/>
      <c r="N3282" s="420"/>
      <c r="O3282" s="420"/>
      <c r="P3282" s="420"/>
      <c r="Q3282" s="420"/>
      <c r="R3282" s="420"/>
      <c r="S3282" s="420"/>
      <c r="T3282" s="420"/>
      <c r="U3282" s="420"/>
      <c r="V3282" s="420"/>
      <c r="W3282" s="420"/>
      <c r="X3282" s="420"/>
      <c r="Y3282" s="420"/>
      <c r="Z3282" s="420"/>
      <c r="AB3282" s="48" t="s">
        <v>1058</v>
      </c>
      <c r="AC3282" s="245" t="s">
        <v>885</v>
      </c>
      <c r="AD3282" s="48" t="s">
        <v>1059</v>
      </c>
      <c r="AF3282" s="421">
        <v>2</v>
      </c>
      <c r="AG3282" s="48">
        <v>2</v>
      </c>
      <c r="AH3282" s="48" t="s">
        <v>1046</v>
      </c>
      <c r="AI3282" s="48" t="str">
        <f>CONCATENATE(AG3282,AH3282)</f>
        <v>2 years</v>
      </c>
      <c r="AK3282" s="48" t="s">
        <v>1047</v>
      </c>
      <c r="AO3282" s="48" t="s">
        <v>1060</v>
      </c>
      <c r="AR3282" s="245" t="s">
        <v>885</v>
      </c>
      <c r="AS3282" s="48" t="s">
        <v>1049</v>
      </c>
      <c r="AW3282" s="245" t="s">
        <v>885</v>
      </c>
      <c r="AX3282" s="48">
        <v>5</v>
      </c>
      <c r="BB3282" s="402">
        <f t="shared" ca="1" si="140"/>
        <v>6391875</v>
      </c>
      <c r="BF3282" s="423">
        <v>30441</v>
      </c>
      <c r="BG3282" s="415">
        <f t="shared" si="141"/>
        <v>0</v>
      </c>
      <c r="BH3282" s="415">
        <f t="shared" si="143"/>
        <v>0</v>
      </c>
      <c r="BI3282" s="365">
        <f t="shared" si="144"/>
        <v>0</v>
      </c>
      <c r="BJ3282" s="157">
        <f t="shared" si="142"/>
        <v>0</v>
      </c>
      <c r="BK3282" s="416">
        <f t="shared" si="145"/>
        <v>0</v>
      </c>
      <c r="BN3282" s="1107">
        <f>IF(OR($AC$1127=0,$C$1153="",C$1129=AG$1129),0,$C$1153*$C$1129)</f>
        <v>0</v>
      </c>
      <c r="BO3282" s="927"/>
      <c r="BP3282" s="927"/>
      <c r="BQ3282" s="927"/>
      <c r="BS3282" s="464" t="str">
        <f>IF($B$265=B$3278,BZ3281,IF($B$265=B$3279,CA3281,IF($B$265=B$3280,CB3281,IF($B$265=B$3281,CC3281,IF($B$265=B$3282,CD3281,IF($B$265=B$3283,CE3281,IF($B$265=B$3284,CF3281,IF($B$265=B$3285,CG3281,IF($B$265=B$3286,CH3281,IF($B$265=B$3287,CI3281,IF($B$265=B$3288,CJ3281,IF($B$265=B$3289,CK3281,IF($B$265=B$3290,CL3281,IF($B$265=B$3291,CM3281,IF($B$265=B$3292,CN3281,IF($B$265=B$3293,C3281,IF($B$265=B$3294,CO3281,IF($B$265=B$3295,CP3281,IF($B$265=B$3296,CQ3281,IF($B$265=B$3297,CR3281,IF($B$265=B$3298,CS3281,IF($B$265=B$3299,CT3281,IF(B$265=B$3300,CU3281,IF($B$265=B$3301,CV3281,IF($B$265=B$3302,CW3281,IF($B$265=B$3303,CX3281,IF($B$265=B$3304,CY3281,IF($B$265=B$3305,CZ3281,IF($B$265=B$3306,DA3281,IF($B$265=B$3307,DB3281,IF($B$265=B$3308,DC3281,IF($B$265=B$3309,DD3281,IF($B$265=B$3310,DE3281,IF($B$265=B$3311,DF3281,IF($B$265=B$3312,DG3281,IF($B$265=B$3313,DH3281,IF($B$265=B$3314,DI3281,IF($B$265=B$3315,DJ3281,IF($B$265=B$3316,DK3281,IF($B$265=B$3317,DL3281,IF($B$265=B$3318,DM3281,IF($B$265=B$3319,DN3281,IF($B$265=B$3320,DO3281,IF($B$265=B$3321,DP3281,IF($B$265=B$3322,DQ3281,IF($B$265=B$3323,DR3281,IF($B$265=B$3324,DS3281,IF($B$265=B$3325,DT3281,IF($B$265=B$3326,DU3281,IF($B$265=B$3327,DV3281,IF($B$265=B$3328,DW3281,IF($B$265=B$3329,DX3281,""))))))))))))))))))))))))))))))))))))))))))))))))))))</f>
        <v/>
      </c>
      <c r="BZ3282" s="48" t="s">
        <v>1435</v>
      </c>
      <c r="CA3282" t="s">
        <v>1502</v>
      </c>
      <c r="CB3282" s="48" t="s">
        <v>1420</v>
      </c>
      <c r="CC3282" t="s">
        <v>1531</v>
      </c>
      <c r="CD3282" t="s">
        <v>1588</v>
      </c>
      <c r="CE3282" t="s">
        <v>1644</v>
      </c>
      <c r="CF3282" t="s">
        <v>1699</v>
      </c>
      <c r="CG3282" s="245" t="s">
        <v>885</v>
      </c>
      <c r="CH3282" s="245" t="s">
        <v>885</v>
      </c>
      <c r="CI3282" t="s">
        <v>1709</v>
      </c>
      <c r="CJ3282" t="s">
        <v>1432</v>
      </c>
      <c r="CK3282" t="s">
        <v>1866</v>
      </c>
      <c r="CL3282" t="s">
        <v>1870</v>
      </c>
      <c r="CM3282" t="s">
        <v>1902</v>
      </c>
      <c r="CN3282" t="s">
        <v>1956</v>
      </c>
      <c r="CO3282" t="s">
        <v>1998</v>
      </c>
      <c r="CP3282" t="s">
        <v>2043</v>
      </c>
      <c r="CQ3282" t="s">
        <v>2108</v>
      </c>
      <c r="CR3282" t="s">
        <v>2166</v>
      </c>
      <c r="CS3282" t="s">
        <v>2230</v>
      </c>
      <c r="CT3282" t="s">
        <v>2248</v>
      </c>
      <c r="CU3282" t="s">
        <v>2258</v>
      </c>
      <c r="CV3282" t="s">
        <v>1530</v>
      </c>
      <c r="CW3282" t="s">
        <v>1530</v>
      </c>
      <c r="CX3282" t="s">
        <v>2261</v>
      </c>
      <c r="CY3282" t="s">
        <v>2458</v>
      </c>
      <c r="CZ3282" t="s">
        <v>1872</v>
      </c>
      <c r="DA3282" t="s">
        <v>2534</v>
      </c>
      <c r="DB3282" t="s">
        <v>2546</v>
      </c>
      <c r="DC3282" t="s">
        <v>2553</v>
      </c>
      <c r="DD3282" t="s">
        <v>2498</v>
      </c>
      <c r="DE3282" t="s">
        <v>2588</v>
      </c>
      <c r="DF3282" t="s">
        <v>2619</v>
      </c>
      <c r="DG3282" t="s">
        <v>2683</v>
      </c>
      <c r="DH3282" t="s">
        <v>2713</v>
      </c>
      <c r="DI3282" t="s">
        <v>2749</v>
      </c>
      <c r="DJ3282" t="s">
        <v>1537</v>
      </c>
      <c r="DK3282" t="s">
        <v>2806</v>
      </c>
      <c r="DL3282" t="s">
        <v>1495</v>
      </c>
      <c r="DM3282" t="s">
        <v>2842</v>
      </c>
      <c r="DN3282" t="s">
        <v>2870</v>
      </c>
      <c r="DO3282" t="s">
        <v>1435</v>
      </c>
      <c r="DP3282" t="s">
        <v>2933</v>
      </c>
      <c r="DQ3282" t="s">
        <v>3093</v>
      </c>
      <c r="DR3282" t="s">
        <v>2248</v>
      </c>
      <c r="DS3282" t="s">
        <v>3118</v>
      </c>
      <c r="DT3282" t="s">
        <v>3200</v>
      </c>
      <c r="DU3282" t="s">
        <v>3221</v>
      </c>
      <c r="DV3282" t="s">
        <v>1902</v>
      </c>
      <c r="DW3282" t="s">
        <v>3272</v>
      </c>
      <c r="DX3282" s="245" t="s">
        <v>885</v>
      </c>
      <c r="DY3282" s="245"/>
      <c r="DZ3282" s="470" t="str">
        <f>IF($B$265=$B$3278,EB3282,IF($B$265=$B$3279,ED3282,IF($B$265=$B$3280,EF3282,IF($B$265=$B$3281,EH3282,IF($B$265=$B$3282,EJ3282,IF($B$265=$B$3283,EL3282,IF($B$265=$B$3284,EN3282,IF($B$265=$B$3285,EP3282,IF($B$265=$B$3286,ER3282,IF($B$265=$B$3287,ET3282,IF($B$265=$B$3288,EV3282,IF($B$265=$B$3289,EX3282,IF($B$265=$B$3290,EZ3282,IF($B$265=$B$3291,FB3282,IF($B$265=$B$3292,FD3282,IF($B$265=$B$3293,BU3282,IF($B$265=$B$3294,FF3282,IF($B$265=$B$3295,FH3282,IF($B$265=$B$3296,FJ3282,IF($B$265=$B$3297,FL3282,IF($B$265=$B$3298,FN3282,IF($B$265=$B$3299,FP3282,IF(BI$265=$B$3300,FR3282,IF($B$265=$B$3301,FT3282,IF($B$265=$B$3302,FV3282,IF($B$265=$B$3303,FX3282,IF($B$265=$B$3304,FZ3282,IF($B$265=$B$3305,GB3282,IF($B$265=$B$3306,GD3282,IF($B$265=$B$3307,GF3282,IF($B$265=$B$3308,GH3282,IF($B$265=$B$3309,GJ3282,IF($B$265=$B$3310,GL3282,IF($B$265=$B$3311,GN3282,IF($B$265=$B$3312,GP3282,IF($B$265=$B$3313,GR3282,IF($B$265=$B$3314,GT3282,IF($B$265=$B$3315,GV3282,IF($B$265=$B$3316,GX3282,IF($B$265=$B$3317,GZ3282,IF($B$265=$B$3318,HB3282,IF($B$265=$B$3319,HD3282,IF($B$265=$B$3320,HF3282,IF($B$265=$B$3321,HH3282,IF($B$265=$B$3322,HJ3282,IF($B$265=$B$3323,HL3282,IF($B$265=$B$3324,HN3282,IF($B$265=$B$3325,HP3282,IF($B$265=$B$3326,HR3282,IF($B$265=$B$3327,HT3282,IF($B$265=$B$3328,HV3282,IF($B$265=$B$3329,HX3282,""))))))))))))))))))))))))))))))))))))))))))))))))))))</f>
        <v/>
      </c>
      <c r="EA3282" s="470" t="str">
        <f>IF($B$265=$B$3278,EC3282,IF($B$265=$B$3279,EE3282,IF($B$265=$B$3280,EG3282,IF($B$265=$B$3281,EI3282,IF($B$265=$B$3282,EK3282,IF($B$265=$B$3283,EM3282,IF($B$265=$B$3284,EO3282,IF($B$265=$B$3285,EQ3282,IF($B$265=$B$3286,ES3282,IF($B$265=$B$3287,EU3282,IF($B$265=$B$3288,EW3282,IF($B$265=$B$3289,EY3282,IF($B$265=$B$3290,FA3282,IF($B$265=$B$3291,FC3282,IF($B$265=$B$3292,FE3282,IF($B$265=$B$3293,BK3282,IF($B$265=$B$3294,FG3282,IF($B$265=$B$3295,FI3282,IF($B$265=$B$3296,FK3282,IF($B$265=$B$3297,FM3282,IF($B$265=$B$3298,FO3282,IF($B$265=$B$3299,FQ3282,IF(BJ$265=$B$3300,FS3282,IF($B$265=$B$3301,FU3282,IF($B$265=$B$3302,FW3282,IF($B$265=$B$3303,FY3282,IF($B$265=$B$3304,GA3282,IF($B$265=$B$3305,GC3282,IF($B$265=$B$3306,GE3282,IF($B$265=$B$3307,GG3282,IF($B$265=$B$3308,GI3282,IF($B$265=$B$3309,GK3282,IF($B$265=$B$3310,GM3282,IF($B$265=$B$3311,GO3282,IF($B$265=$B$3312,GQ3282,IF($B$265=$B$3313,GS3282,IF($B$265=$B$3314,GU3282,IF($B$265=$B$3315,GW3282,IF($B$265=$B$3316,GY3282,IF($B$265=$B$3317,HA3282,IF($B$265=$B$3318,HC3282,IF($B$265=$B$3319,HE3282,IF($B$265=$B$3320,HG3282,IF($B$265=$B$3321,HI3282,IF($B$265=$B$3322,HK3282,IF($B$265=$B$3323,HM3282,IF($B$265=$B$3324,HO3282,IF($B$265=$B$3325,HQ3282,IF($B$265=$B$3326,HS3282,IF($B$265=$B$3327,HU3282,IF($B$265=$B$3328,HW3282,IF($B$265=$B$3329,HY3282,""))))))))))))))))))))))))))))))))))))))))))))))))))))</f>
        <v/>
      </c>
      <c r="EB3282" t="s">
        <v>3290</v>
      </c>
      <c r="EC3282" s="471" t="s">
        <v>3283</v>
      </c>
      <c r="EF3282" t="s">
        <v>3332</v>
      </c>
      <c r="EG3282" s="473" t="s">
        <v>3283</v>
      </c>
      <c r="EH3282" t="str">
        <f>EH3280</f>
        <v>David Ethredge</v>
      </c>
      <c r="EI3282" s="473" t="s">
        <v>3294</v>
      </c>
      <c r="EJ3282" t="s">
        <v>3375</v>
      </c>
      <c r="EK3282" s="473" t="s">
        <v>3294</v>
      </c>
      <c r="EL3282" t="s">
        <v>3433</v>
      </c>
      <c r="EM3282" s="473" t="s">
        <v>3283</v>
      </c>
    </row>
    <row r="3283" spans="1:143" ht="15.5" hidden="1" x14ac:dyDescent="0.35">
      <c r="A3283" s="417" t="s">
        <v>1061</v>
      </c>
      <c r="B3283" s="418" t="s">
        <v>1062</v>
      </c>
      <c r="C3283" s="419">
        <v>70000</v>
      </c>
      <c r="D3283" s="427" t="s">
        <v>885</v>
      </c>
      <c r="G3283" s="420">
        <v>25000</v>
      </c>
      <c r="H3283" s="420"/>
      <c r="I3283" s="420"/>
      <c r="J3283" s="420"/>
      <c r="K3283" s="420"/>
      <c r="L3283" s="420"/>
      <c r="M3283" s="420"/>
      <c r="N3283" s="420"/>
      <c r="O3283" s="420"/>
      <c r="P3283" s="420"/>
      <c r="Q3283" s="420"/>
      <c r="R3283" s="420"/>
      <c r="S3283" s="420"/>
      <c r="T3283" s="420"/>
      <c r="U3283" s="420"/>
      <c r="V3283" s="420"/>
      <c r="W3283" s="420"/>
      <c r="X3283" s="420"/>
      <c r="Y3283" s="420"/>
      <c r="Z3283" s="420"/>
      <c r="AB3283" s="48" t="s">
        <v>1063</v>
      </c>
      <c r="AC3283" s="245" t="s">
        <v>885</v>
      </c>
      <c r="AD3283" s="48" t="s">
        <v>1064</v>
      </c>
      <c r="AF3283" s="421">
        <v>2</v>
      </c>
      <c r="AG3283" s="48">
        <v>2</v>
      </c>
      <c r="AH3283" s="48" t="s">
        <v>1046</v>
      </c>
      <c r="AI3283" s="48" t="str">
        <f>CONCATENATE(AG3283,AH3283)</f>
        <v>2 years</v>
      </c>
      <c r="AK3283" s="48" t="s">
        <v>1047</v>
      </c>
      <c r="AO3283" s="411" t="s">
        <v>1065</v>
      </c>
      <c r="AR3283" s="245" t="s">
        <v>885</v>
      </c>
      <c r="AS3283" s="48" t="s">
        <v>1066</v>
      </c>
      <c r="AW3283" s="245" t="s">
        <v>885</v>
      </c>
      <c r="AX3283" s="48">
        <v>6</v>
      </c>
      <c r="BB3283" s="402">
        <f t="shared" ca="1" si="140"/>
        <v>8750000</v>
      </c>
      <c r="BF3283" s="423">
        <v>32357</v>
      </c>
      <c r="BG3283" s="415">
        <f t="shared" si="141"/>
        <v>0</v>
      </c>
      <c r="BH3283" s="415">
        <f t="shared" si="143"/>
        <v>0</v>
      </c>
      <c r="BI3283" s="365">
        <f t="shared" si="144"/>
        <v>0</v>
      </c>
      <c r="BJ3283" s="157">
        <f t="shared" si="142"/>
        <v>0</v>
      </c>
      <c r="BK3283" s="416">
        <f t="shared" si="145"/>
        <v>0</v>
      </c>
      <c r="BN3283" s="1107">
        <f>IF(OR($AC$1127=0,$C$1153="",C$1129=AG$1129),0,$C$1153*$C$1129)</f>
        <v>0</v>
      </c>
      <c r="BO3283" s="927"/>
      <c r="BP3283" s="927"/>
      <c r="BQ3283" s="927"/>
      <c r="BS3283" s="464" t="str">
        <f>IF($B$265=B$3278,BZ3282,IF($B$265=B$3279,CA3282,IF($B$265=B$3280,CB3282,IF($B$265=B$3281,CC3282,IF($B$265=B$3282,CD3282,IF($B$265=B$3283,CE3282,IF($B$265=B$3284,CF3282,IF($B$265=B$3285,CG3282,IF($B$265=B$3286,CH3282,IF($B$265=B$3287,CI3282,IF($B$265=B$3288,CJ3282,IF($B$265=B$3289,CK3282,IF($B$265=B$3290,CL3282,IF($B$265=B$3291,CM3282,IF($B$265=B$3292,CN3282,IF($B$265=B$3293,C3282,IF($B$265=B$3294,CO3282,IF($B$265=B$3295,CP3282,IF($B$265=B$3296,CQ3282,IF($B$265=B$3297,CR3282,IF($B$265=B$3298,CS3282,IF($B$265=B$3299,CT3282,IF(B$265=B$3300,CU3282,IF($B$265=B$3301,CV3282,IF($B$265=B$3302,CW3282,IF($B$265=B$3303,CX3282,IF($B$265=B$3304,CY3282,IF($B$265=B$3305,CZ3282,IF($B$265=B$3306,DA3282,IF($B$265=B$3307,DB3282,IF($B$265=B$3308,DC3282,IF($B$265=B$3309,DD3282,IF($B$265=B$3310,DE3282,IF($B$265=B$3311,DF3282,IF($B$265=B$3312,DG3282,IF($B$265=B$3313,DH3282,IF($B$265=B$3314,DI3282,IF($B$265=B$3315,DJ3282,IF($B$265=B$3316,DK3282,IF($B$265=B$3317,DL3282,IF($B$265=B$3318,DM3282,IF($B$265=B$3319,DN3282,IF($B$265=B$3320,DO3282,IF($B$265=B$3321,DP3282,IF($B$265=B$3322,DQ3282,IF($B$265=B$3323,DR3282,IF($B$265=B$3324,DS3282,IF($B$265=B$3325,DT3282,IF($B$265=B$3326,DU3282,IF($B$265=B$3327,DV3282,IF($B$265=B$3328,DW3282,IF($B$265=B$3329,DX3282,""))))))))))))))))))))))))))))))))))))))))))))))))))))</f>
        <v/>
      </c>
      <c r="BZ3283" s="48" t="s">
        <v>1436</v>
      </c>
      <c r="CA3283" t="s">
        <v>1503</v>
      </c>
      <c r="CB3283" s="48" t="s">
        <v>1421</v>
      </c>
      <c r="CC3283" t="s">
        <v>1532</v>
      </c>
      <c r="CD3283" t="s">
        <v>1589</v>
      </c>
      <c r="CE3283" t="s">
        <v>1645</v>
      </c>
      <c r="CF3283" t="s">
        <v>1700</v>
      </c>
      <c r="CG3283" s="245" t="s">
        <v>885</v>
      </c>
      <c r="CH3283" s="245" t="s">
        <v>885</v>
      </c>
      <c r="CI3283" t="s">
        <v>1710</v>
      </c>
      <c r="CJ3283" t="s">
        <v>1757</v>
      </c>
      <c r="CK3283" s="459" t="s">
        <v>885</v>
      </c>
      <c r="CL3283" t="s">
        <v>1871</v>
      </c>
      <c r="CM3283" t="s">
        <v>1903</v>
      </c>
      <c r="CN3283" t="s">
        <v>1531</v>
      </c>
      <c r="CO3283" t="s">
        <v>1530</v>
      </c>
      <c r="CP3283" t="s">
        <v>2044</v>
      </c>
      <c r="CQ3283" t="s">
        <v>2109</v>
      </c>
      <c r="CR3283" t="s">
        <v>2167</v>
      </c>
      <c r="CS3283" t="s">
        <v>2231</v>
      </c>
      <c r="CT3283" t="s">
        <v>1460</v>
      </c>
      <c r="CU3283" t="s">
        <v>2259</v>
      </c>
      <c r="CV3283" t="s">
        <v>2320</v>
      </c>
      <c r="CW3283" t="s">
        <v>2380</v>
      </c>
      <c r="CX3283" t="s">
        <v>2043</v>
      </c>
      <c r="CY3283" t="s">
        <v>2121</v>
      </c>
      <c r="CZ3283" t="s">
        <v>1531</v>
      </c>
      <c r="DA3283" t="s">
        <v>2535</v>
      </c>
      <c r="DB3283" t="s">
        <v>1727</v>
      </c>
      <c r="DC3283" t="s">
        <v>1909</v>
      </c>
      <c r="DD3283" t="s">
        <v>2565</v>
      </c>
      <c r="DE3283" t="s">
        <v>2589</v>
      </c>
      <c r="DF3283" t="s">
        <v>2620</v>
      </c>
      <c r="DG3283" t="s">
        <v>2684</v>
      </c>
      <c r="DH3283" t="s">
        <v>2714</v>
      </c>
      <c r="DI3283" t="s">
        <v>1872</v>
      </c>
      <c r="DJ3283" t="s">
        <v>2545</v>
      </c>
      <c r="DK3283" t="s">
        <v>2807</v>
      </c>
      <c r="DL3283" s="459" t="s">
        <v>885</v>
      </c>
      <c r="DM3283" t="s">
        <v>2843</v>
      </c>
      <c r="DN3283" t="s">
        <v>1902</v>
      </c>
      <c r="DO3283" t="s">
        <v>1532</v>
      </c>
      <c r="DP3283" t="s">
        <v>2805</v>
      </c>
      <c r="DQ3283" t="s">
        <v>2006</v>
      </c>
      <c r="DR3283" t="s">
        <v>1460</v>
      </c>
      <c r="DS3283" t="s">
        <v>3119</v>
      </c>
      <c r="DT3283" t="s">
        <v>1535</v>
      </c>
      <c r="DU3283" t="s">
        <v>3222</v>
      </c>
      <c r="DV3283" t="s">
        <v>2495</v>
      </c>
      <c r="DW3283" t="s">
        <v>2790</v>
      </c>
      <c r="DX3283" s="245" t="s">
        <v>885</v>
      </c>
      <c r="DY3283" s="245"/>
      <c r="DZ3283" s="470" t="str">
        <f>IF($B$265=$B$3278,EB3283,IF($B$265=$B$3279,ED3283,IF($B$265=$B$3280,EF3283,IF($B$265=$B$3281,EH3283,IF($B$265=$B$3282,EJ3283,IF($B$265=$B$3283,EL3283,IF($B$265=$B$3284,EN3283,IF($B$265=$B$3285,EP3283,IF($B$265=$B$3286,ER3283,IF($B$265=$B$3287,ET3283,IF($B$265=$B$3288,EV3283,IF($B$265=$B$3289,EX3283,IF($B$265=$B$3290,EZ3283,IF($B$265=$B$3291,FB3283,IF($B$265=$B$3292,FD3283,IF($B$265=$B$3293,BU3283,IF($B$265=$B$3294,FF3283,IF($B$265=$B$3295,FH3283,IF($B$265=$B$3296,FJ3283,IF($B$265=$B$3297,FL3283,IF($B$265=$B$3298,FN3283,IF($B$265=$B$3299,FP3283,IF(BI$265=$B$3300,FR3283,IF($B$265=$B$3301,FT3283,IF($B$265=$B$3302,FV3283,IF($B$265=$B$3303,FX3283,IF($B$265=$B$3304,FZ3283,IF($B$265=$B$3305,GB3283,IF($B$265=$B$3306,GD3283,IF($B$265=$B$3307,GF3283,IF($B$265=$B$3308,GH3283,IF($B$265=$B$3309,GJ3283,IF($B$265=$B$3310,GL3283,IF($B$265=$B$3311,GN3283,IF($B$265=$B$3312,GP3283,IF($B$265=$B$3313,GR3283,IF($B$265=$B$3314,GT3283,IF($B$265=$B$3315,GV3283,IF($B$265=$B$3316,GX3283,IF($B$265=$B$3317,GZ3283,IF($B$265=$B$3318,HB3283,IF($B$265=$B$3319,HD3283,IF($B$265=$B$3320,HF3283,IF($B$265=$B$3321,HH3283,IF($B$265=$B$3322,HJ3283,IF($B$265=$B$3323,HL3283,IF($B$265=$B$3324,HN3283,IF($B$265=$B$3325,HP3283,IF($B$265=$B$3326,HR3283,IF($B$265=$B$3327,HT3283,IF($B$265=$B$3328,HV3283,IF($B$265=$B$3329,HX3283,""))))))))))))))))))))))))))))))))))))))))))))))))))))</f>
        <v/>
      </c>
      <c r="EA3283" s="470" t="str">
        <f>IF($B$265=$B$3278,EC3283,IF($B$265=$B$3279,EE3283,IF($B$265=$B$3280,EG3283,IF($B$265=$B$3281,EI3283,IF($B$265=$B$3282,EK3283,IF($B$265=$B$3283,EM3283,IF($B$265=$B$3284,EO3283,IF($B$265=$B$3285,EQ3283,IF($B$265=$B$3286,ES3283,IF($B$265=$B$3287,EU3283,IF($B$265=$B$3288,EW3283,IF($B$265=$B$3289,EY3283,IF($B$265=$B$3290,FA3283,IF($B$265=$B$3291,FC3283,IF($B$265=$B$3292,FE3283,IF($B$265=$B$3293,BK3283,IF($B$265=$B$3294,FG3283,IF($B$265=$B$3295,FI3283,IF($B$265=$B$3296,FK3283,IF($B$265=$B$3297,FM3283,IF($B$265=$B$3298,FO3283,IF($B$265=$B$3299,FQ3283,IF(BJ$265=$B$3300,FS3283,IF($B$265=$B$3301,FU3283,IF($B$265=$B$3302,FW3283,IF($B$265=$B$3303,FY3283,IF($B$265=$B$3304,GA3283,IF($B$265=$B$3305,GC3283,IF($B$265=$B$3306,GE3283,IF($B$265=$B$3307,GG3283,IF($B$265=$B$3308,GI3283,IF($B$265=$B$3309,GK3283,IF($B$265=$B$3310,GM3283,IF($B$265=$B$3311,GO3283,IF($B$265=$B$3312,GQ3283,IF($B$265=$B$3313,GS3283,IF($B$265=$B$3314,GU3283,IF($B$265=$B$3315,GW3283,IF($B$265=$B$3316,GY3283,IF($B$265=$B$3317,HA3283,IF($B$265=$B$3318,HC3283,IF($B$265=$B$3319,HE3283,IF($B$265=$B$3320,HG3283,IF($B$265=$B$3321,HI3283,IF($B$265=$B$3322,HK3283,IF($B$265=$B$3323,HM3283,IF($B$265=$B$3324,HO3283,IF($B$265=$B$3325,HQ3283,IF($B$265=$B$3326,HS3283,IF($B$265=$B$3327,HU3283,IF($B$265=$B$3328,HW3283,IF($B$265=$B$3329,HY3283,""))))))))))))))))))))))))))))))))))))))))))))))))))))</f>
        <v/>
      </c>
      <c r="EB3283" t="str">
        <f>EB3280</f>
        <v>Ben C. Reeves, Jr.</v>
      </c>
      <c r="EC3283" t="str">
        <f>EC3280</f>
        <v>D</v>
      </c>
      <c r="EF3283" t="s">
        <v>3333</v>
      </c>
      <c r="EG3283" s="473" t="s">
        <v>3334</v>
      </c>
      <c r="EH3283" t="str">
        <f>EH3279</f>
        <v>Thomas Deen</v>
      </c>
      <c r="EI3283" s="473" t="s">
        <v>3294</v>
      </c>
      <c r="EJ3283" t="s">
        <v>3376</v>
      </c>
      <c r="EK3283" s="473" t="s">
        <v>3294</v>
      </c>
      <c r="EL3283" t="s">
        <v>3434</v>
      </c>
      <c r="EM3283" s="473" t="s">
        <v>3283</v>
      </c>
    </row>
    <row r="3284" spans="1:143" ht="15.5" hidden="1" x14ac:dyDescent="0.35">
      <c r="A3284" s="417" t="s">
        <v>1067</v>
      </c>
      <c r="B3284" s="418" t="s">
        <v>1068</v>
      </c>
      <c r="C3284" s="419">
        <f>ROUND((94449*2),-3)</f>
        <v>189000</v>
      </c>
      <c r="D3284" s="427" t="s">
        <v>885</v>
      </c>
      <c r="G3284" s="420"/>
      <c r="H3284" s="420"/>
      <c r="I3284" s="420"/>
      <c r="J3284" s="420"/>
      <c r="K3284" s="420"/>
      <c r="L3284" s="420"/>
      <c r="M3284" s="420"/>
      <c r="N3284" s="420"/>
      <c r="O3284" s="420"/>
      <c r="P3284" s="420"/>
      <c r="Q3284" s="420"/>
      <c r="R3284" s="420"/>
      <c r="S3284" s="420"/>
      <c r="T3284" s="420"/>
      <c r="U3284" s="420"/>
      <c r="V3284" s="420"/>
      <c r="W3284" s="420"/>
      <c r="X3284" s="420"/>
      <c r="Y3284" s="420"/>
      <c r="Z3284" s="420"/>
      <c r="AB3284" s="48" t="s">
        <v>1069</v>
      </c>
      <c r="AC3284" s="245" t="s">
        <v>885</v>
      </c>
      <c r="AD3284" s="48" t="s">
        <v>1070</v>
      </c>
      <c r="AF3284" s="421">
        <v>2</v>
      </c>
      <c r="AG3284" s="48">
        <v>2</v>
      </c>
      <c r="AH3284" s="48" t="s">
        <v>1046</v>
      </c>
      <c r="AI3284" s="48" t="str">
        <f>CONCATENATE(AG3284,AH3284)</f>
        <v>2 years</v>
      </c>
      <c r="AK3284" s="48" t="s">
        <v>1071</v>
      </c>
      <c r="AO3284" s="48" t="s">
        <v>1072</v>
      </c>
      <c r="AR3284" s="245" t="s">
        <v>885</v>
      </c>
      <c r="AS3284" s="48" t="s">
        <v>1073</v>
      </c>
      <c r="AW3284" s="245" t="s">
        <v>885</v>
      </c>
      <c r="AX3284" s="48">
        <v>7</v>
      </c>
      <c r="BB3284" s="402">
        <f t="shared" ca="1" si="140"/>
        <v>23625000</v>
      </c>
      <c r="BF3284" s="423">
        <v>39373</v>
      </c>
      <c r="BG3284" s="415">
        <f t="shared" si="141"/>
        <v>0</v>
      </c>
      <c r="BH3284" s="415">
        <f t="shared" si="143"/>
        <v>0</v>
      </c>
      <c r="BI3284" s="365">
        <f t="shared" si="144"/>
        <v>0</v>
      </c>
      <c r="BJ3284" s="157">
        <f t="shared" si="142"/>
        <v>0</v>
      </c>
      <c r="BK3284" s="416">
        <f t="shared" si="145"/>
        <v>0</v>
      </c>
      <c r="BN3284" s="1107">
        <f>IF(OR($AC$1127=0,$C$1153="",C$1129=AG$1129),0,$C$1153*$C$1129)</f>
        <v>0</v>
      </c>
      <c r="BO3284" s="927"/>
      <c r="BP3284" s="927"/>
      <c r="BQ3284" s="927"/>
      <c r="BS3284" s="464" t="str">
        <f>IF($B$265=B$3278,BZ3283,IF($B$265=B$3279,CA3283,IF($B$265=B$3280,CB3283,IF($B$265=B$3281,CC3283,IF($B$265=B$3282,CD3283,IF($B$265=B$3283,CE3283,IF($B$265=B$3284,CF3283,IF($B$265=B$3285,CG3283,IF($B$265=B$3286,CH3283,IF($B$265=B$3287,CI3283,IF($B$265=B$3288,CJ3283,IF($B$265=B$3289,CK3283,IF($B$265=B$3290,CL3283,IF($B$265=B$3291,CM3283,IF($B$265=B$3292,CN3283,IF($B$265=B$3293,C3283,IF($B$265=B$3294,CO3283,IF($B$265=B$3295,CP3283,IF($B$265=B$3296,CQ3283,IF($B$265=B$3297,CR3283,IF($B$265=B$3298,CS3283,IF($B$265=B$3299,CT3283,IF(B$265=B$3300,CU3283,IF($B$265=B$3301,CV3283,IF($B$265=B$3302,CW3283,IF($B$265=B$3303,CX3283,IF($B$265=B$3304,CY3283,IF($B$265=B$3305,CZ3283,IF($B$265=B$3306,DA3283,IF($B$265=B$3307,DB3283,IF($B$265=B$3308,DC3283,IF($B$265=B$3309,DD3283,IF($B$265=B$3310,DE3283,IF($B$265=B$3311,DF3283,IF($B$265=B$3312,DG3283,IF($B$265=B$3313,DH3283,IF($B$265=B$3314,DI3283,IF($B$265=B$3315,DJ3283,IF($B$265=B$3316,DK3283,IF($B$265=B$3317,DL3283,IF($B$265=B$3318,DM3283,IF($B$265=B$3319,DN3283,IF($B$265=B$3320,DO3283,IF($B$265=B$3321,DP3283,IF($B$265=B$3322,DQ3283,IF($B$265=B$3323,DR3283,IF($B$265=B$3324,DS3283,IF($B$265=B$3325,DT3283,IF($B$265=B$3326,DU3283,IF($B$265=B$3327,DV3283,IF($B$265=B$3328,DW3283,IF($B$265=B$3329,DX3283,""))))))))))))))))))))))))))))))))))))))))))))))))))))</f>
        <v/>
      </c>
      <c r="BZ3284" s="48" t="s">
        <v>1437</v>
      </c>
      <c r="CA3284" t="s">
        <v>1504</v>
      </c>
      <c r="CB3284" s="48" t="s">
        <v>1422</v>
      </c>
      <c r="CC3284" t="s">
        <v>1438</v>
      </c>
      <c r="CD3284" t="s">
        <v>1590</v>
      </c>
      <c r="CE3284" t="s">
        <v>1646</v>
      </c>
      <c r="CF3284" t="s">
        <v>1701</v>
      </c>
      <c r="CG3284" s="245" t="s">
        <v>885</v>
      </c>
      <c r="CH3284" s="245" t="s">
        <v>885</v>
      </c>
      <c r="CI3284" t="s">
        <v>1438</v>
      </c>
      <c r="CJ3284" t="s">
        <v>1758</v>
      </c>
      <c r="CK3284" s="459" t="s">
        <v>885</v>
      </c>
      <c r="CL3284" t="s">
        <v>1872</v>
      </c>
      <c r="CM3284" t="s">
        <v>1438</v>
      </c>
      <c r="CN3284" t="s">
        <v>1902</v>
      </c>
      <c r="CO3284" t="s">
        <v>1999</v>
      </c>
      <c r="CP3284" t="s">
        <v>1902</v>
      </c>
      <c r="CQ3284" t="s">
        <v>2110</v>
      </c>
      <c r="CR3284" t="s">
        <v>2168</v>
      </c>
      <c r="CS3284" t="s">
        <v>1533</v>
      </c>
      <c r="CT3284" t="s">
        <v>2249</v>
      </c>
      <c r="CU3284" t="s">
        <v>2260</v>
      </c>
      <c r="CV3284" t="s">
        <v>2321</v>
      </c>
      <c r="CW3284" t="s">
        <v>1438</v>
      </c>
      <c r="CX3284" t="s">
        <v>2415</v>
      </c>
      <c r="CY3284" t="s">
        <v>2459</v>
      </c>
      <c r="CZ3284" t="s">
        <v>2494</v>
      </c>
      <c r="DA3284" t="s">
        <v>2536</v>
      </c>
      <c r="DB3284" t="s">
        <v>2547</v>
      </c>
      <c r="DC3284" t="s">
        <v>2248</v>
      </c>
      <c r="DD3284" t="s">
        <v>2566</v>
      </c>
      <c r="DE3284" t="s">
        <v>2046</v>
      </c>
      <c r="DF3284" t="s">
        <v>2621</v>
      </c>
      <c r="DG3284" t="s">
        <v>1767</v>
      </c>
      <c r="DH3284" t="s">
        <v>2715</v>
      </c>
      <c r="DI3284" t="s">
        <v>1765</v>
      </c>
      <c r="DJ3284" t="s">
        <v>2790</v>
      </c>
      <c r="DK3284" t="s">
        <v>2808</v>
      </c>
      <c r="DL3284" s="459" t="s">
        <v>885</v>
      </c>
      <c r="DM3284" t="s">
        <v>2621</v>
      </c>
      <c r="DN3284" t="s">
        <v>2871</v>
      </c>
      <c r="DO3284" t="s">
        <v>2119</v>
      </c>
      <c r="DP3284" t="s">
        <v>2934</v>
      </c>
      <c r="DQ3284" t="s">
        <v>3094</v>
      </c>
      <c r="DR3284" t="s">
        <v>3111</v>
      </c>
      <c r="DS3284" t="s">
        <v>3120</v>
      </c>
      <c r="DT3284" t="s">
        <v>1537</v>
      </c>
      <c r="DU3284" t="s">
        <v>1438</v>
      </c>
      <c r="DV3284" t="s">
        <v>3239</v>
      </c>
      <c r="DW3284" t="s">
        <v>1662</v>
      </c>
      <c r="DX3284" s="245" t="s">
        <v>885</v>
      </c>
      <c r="DY3284" s="245"/>
      <c r="DZ3284" s="470" t="str">
        <f>IF($B$265=$B$3278,EB3284,IF($B$265=$B$3279,ED3284,IF($B$265=$B$3280,EF3284,IF($B$265=$B$3281,EH3284,IF($B$265=$B$3282,EJ3284,IF($B$265=$B$3283,EL3284,IF($B$265=$B$3284,EN3284,IF($B$265=$B$3285,EP3284,IF($B$265=$B$3286,ER3284,IF($B$265=$B$3287,ET3284,IF($B$265=$B$3288,EV3284,IF($B$265=$B$3289,EX3284,IF($B$265=$B$3290,EZ3284,IF($B$265=$B$3291,FB3284,IF($B$265=$B$3292,FD3284,IF($B$265=$B$3293,BU3284,IF($B$265=$B$3294,FF3284,IF($B$265=$B$3295,FH3284,IF($B$265=$B$3296,FJ3284,IF($B$265=$B$3297,FL3284,IF($B$265=$B$3298,FN3284,IF($B$265=$B$3299,FP3284,IF(BI$265=$B$3300,FR3284,IF($B$265=$B$3301,FT3284,IF($B$265=$B$3302,FV3284,IF($B$265=$B$3303,FX3284,IF($B$265=$B$3304,FZ3284,IF($B$265=$B$3305,GB3284,IF($B$265=$B$3306,GD3284,IF($B$265=$B$3307,GF3284,IF($B$265=$B$3308,GH3284,IF($B$265=$B$3309,GJ3284,IF($B$265=$B$3310,GL3284,IF($B$265=$B$3311,GN3284,IF($B$265=$B$3312,GP3284,IF($B$265=$B$3313,GR3284,IF($B$265=$B$3314,GT3284,IF($B$265=$B$3315,GV3284,IF($B$265=$B$3316,GX3284,IF($B$265=$B$3317,GZ3284,IF($B$265=$B$3318,HB3284,IF($B$265=$B$3319,HD3284,IF($B$265=$B$3320,HF3284,IF($B$265=$B$3321,HH3284,IF($B$265=$B$3322,HJ3284,IF($B$265=$B$3323,HL3284,IF($B$265=$B$3324,HN3284,IF($B$265=$B$3325,HP3284,IF($B$265=$B$3326,HR3284,IF($B$265=$B$3327,HT3284,IF($B$265=$B$3328,HV3284,IF($B$265=$B$3329,HX3284,""))))))))))))))))))))))))))))))))))))))))))))))))))))</f>
        <v/>
      </c>
      <c r="EA3284" s="470" t="str">
        <f>IF($B$265=$B$3278,EC3284,IF($B$265=$B$3279,EE3284,IF($B$265=$B$3280,EG3284,IF($B$265=$B$3281,EI3284,IF($B$265=$B$3282,EK3284,IF($B$265=$B$3283,EM3284,IF($B$265=$B$3284,EO3284,IF($B$265=$B$3285,EQ3284,IF($B$265=$B$3286,ES3284,IF($B$265=$B$3287,EU3284,IF($B$265=$B$3288,EW3284,IF($B$265=$B$3289,EY3284,IF($B$265=$B$3290,FA3284,IF($B$265=$B$3291,FC3284,IF($B$265=$B$3292,FE3284,IF($B$265=$B$3293,BK3284,IF($B$265=$B$3294,FG3284,IF($B$265=$B$3295,FI3284,IF($B$265=$B$3296,FK3284,IF($B$265=$B$3297,FM3284,IF($B$265=$B$3298,FO3284,IF($B$265=$B$3299,FQ3284,IF(BJ$265=$B$3300,FS3284,IF($B$265=$B$3301,FU3284,IF($B$265=$B$3302,FW3284,IF($B$265=$B$3303,FY3284,IF($B$265=$B$3304,GA3284,IF($B$265=$B$3305,GC3284,IF($B$265=$B$3306,GE3284,IF($B$265=$B$3307,GG3284,IF($B$265=$B$3308,GI3284,IF($B$265=$B$3309,GK3284,IF($B$265=$B$3310,GM3284,IF($B$265=$B$3311,GO3284,IF($B$265=$B$3312,GQ3284,IF($B$265=$B$3313,GS3284,IF($B$265=$B$3314,GU3284,IF($B$265=$B$3315,GW3284,IF($B$265=$B$3316,GY3284,IF($B$265=$B$3317,HA3284,IF($B$265=$B$3318,HC3284,IF($B$265=$B$3319,HE3284,IF($B$265=$B$3320,HG3284,IF($B$265=$B$3321,HI3284,IF($B$265=$B$3322,HK3284,IF($B$265=$B$3323,HM3284,IF($B$265=$B$3324,HO3284,IF($B$265=$B$3325,HQ3284,IF($B$265=$B$3326,HS3284,IF($B$265=$B$3327,HU3284,IF($B$265=$B$3328,HW3284,IF($B$265=$B$3329,HY3284,""))))))))))))))))))))))))))))))))))))))))))))))))))))</f>
        <v/>
      </c>
      <c r="EB3284" t="s">
        <v>3291</v>
      </c>
      <c r="EC3284" s="471" t="s">
        <v>3288</v>
      </c>
      <c r="EF3284" t="s">
        <v>3335</v>
      </c>
      <c r="EG3284" s="473" t="s">
        <v>3288</v>
      </c>
      <c r="EH3284" t="s">
        <v>3348</v>
      </c>
      <c r="EI3284" s="473" t="s">
        <v>3294</v>
      </c>
      <c r="EJ3284" t="s">
        <v>3377</v>
      </c>
      <c r="EK3284" s="473" t="s">
        <v>3294</v>
      </c>
      <c r="EL3284" t="s">
        <v>3435</v>
      </c>
      <c r="EM3284" s="473" t="s">
        <v>3288</v>
      </c>
    </row>
    <row r="3285" spans="1:143" ht="15.5" hidden="1" x14ac:dyDescent="0.35">
      <c r="A3285" s="417" t="s">
        <v>1074</v>
      </c>
      <c r="B3285" s="418" t="s">
        <v>1075</v>
      </c>
      <c r="C3285" s="427">
        <f>C3281</f>
        <v>0</v>
      </c>
      <c r="D3285" s="427" t="s">
        <v>885</v>
      </c>
      <c r="E3285" s="427" t="s">
        <v>885</v>
      </c>
      <c r="G3285" s="420"/>
      <c r="H3285" s="420"/>
      <c r="I3285" s="420"/>
      <c r="J3285" s="420"/>
      <c r="K3285" s="420"/>
      <c r="L3285" s="420"/>
      <c r="M3285" s="420"/>
      <c r="N3285" s="420"/>
      <c r="O3285" s="420"/>
      <c r="P3285" s="420"/>
      <c r="Q3285" s="420"/>
      <c r="R3285" s="420"/>
      <c r="S3285" s="420"/>
      <c r="T3285" s="420"/>
      <c r="U3285" s="420"/>
      <c r="V3285" s="420"/>
      <c r="W3285" s="420"/>
      <c r="X3285" s="420"/>
      <c r="Y3285" s="420"/>
      <c r="Z3285" s="420"/>
      <c r="AA3285" s="411"/>
      <c r="AB3285" s="411" t="s">
        <v>1027</v>
      </c>
      <c r="AC3285" s="245" t="s">
        <v>885</v>
      </c>
      <c r="AD3285" s="245" t="s">
        <v>885</v>
      </c>
      <c r="AE3285" s="245" t="s">
        <v>885</v>
      </c>
      <c r="AF3285" s="245" t="s">
        <v>885</v>
      </c>
      <c r="AG3285" s="245" t="s">
        <v>885</v>
      </c>
      <c r="AH3285" s="245" t="s">
        <v>885</v>
      </c>
      <c r="AI3285" s="245" t="s">
        <v>885</v>
      </c>
      <c r="AJ3285" s="245" t="s">
        <v>885</v>
      </c>
      <c r="AK3285" s="245" t="s">
        <v>885</v>
      </c>
      <c r="AL3285" s="245" t="s">
        <v>885</v>
      </c>
      <c r="AM3285" s="245" t="s">
        <v>885</v>
      </c>
      <c r="AN3285" s="245" t="s">
        <v>885</v>
      </c>
      <c r="AO3285" s="245" t="s">
        <v>885</v>
      </c>
      <c r="AP3285" s="245" t="s">
        <v>885</v>
      </c>
      <c r="AQ3285" s="245" t="s">
        <v>885</v>
      </c>
      <c r="AR3285" s="245" t="s">
        <v>885</v>
      </c>
      <c r="AS3285" s="245" t="s">
        <v>885</v>
      </c>
      <c r="AT3285" s="245" t="s">
        <v>885</v>
      </c>
      <c r="AU3285" s="245" t="s">
        <v>885</v>
      </c>
      <c r="AV3285" s="245" t="s">
        <v>885</v>
      </c>
      <c r="AW3285" s="245" t="s">
        <v>885</v>
      </c>
      <c r="AX3285" s="48">
        <v>8</v>
      </c>
      <c r="BB3285" s="402">
        <f t="shared" ca="1" si="140"/>
        <v>0</v>
      </c>
      <c r="BF3285" s="423">
        <v>30488</v>
      </c>
      <c r="BG3285" s="415">
        <f t="shared" si="141"/>
        <v>0</v>
      </c>
      <c r="BH3285" s="415">
        <f t="shared" si="143"/>
        <v>0</v>
      </c>
      <c r="BI3285" s="365">
        <f t="shared" si="144"/>
        <v>0</v>
      </c>
      <c r="BJ3285" s="157">
        <f t="shared" si="142"/>
        <v>0</v>
      </c>
      <c r="BK3285" s="416">
        <f t="shared" si="145"/>
        <v>0</v>
      </c>
      <c r="BN3285" s="1107"/>
      <c r="BO3285" s="927"/>
      <c r="BP3285" s="927"/>
      <c r="BQ3285" s="927"/>
      <c r="BS3285" s="464" t="str">
        <f>IF($B$265=B$3278,BZ3284,IF($B$265=B$3279,CA3284,IF($B$265=B$3280,CB3284,IF($B$265=B$3281,CC3284,IF($B$265=B$3282,CD3284,IF($B$265=B$3283,CE3284,IF($B$265=B$3284,CF3284,IF($B$265=B$3285,CG3284,IF($B$265=B$3286,CH3284,IF($B$265=B$3287,CI3284,IF($B$265=B$3288,CJ3284,IF($B$265=B$3289,CK3284,IF($B$265=B$3290,CL3284,IF($B$265=B$3291,CM3284,IF($B$265=B$3292,CN3284,IF($B$265=B$3293,C3284,IF($B$265=B$3294,CO3284,IF($B$265=B$3295,CP3284,IF($B$265=B$3296,CQ3284,IF($B$265=B$3297,CR3284,IF($B$265=B$3298,CS3284,IF($B$265=B$3299,CT3284,IF(B$265=B$3300,CU3284,IF($B$265=B$3301,CV3284,IF($B$265=B$3302,CW3284,IF($B$265=B$3303,CX3284,IF($B$265=B$3304,CY3284,IF($B$265=B$3305,CZ3284,IF($B$265=B$3306,DA3284,IF($B$265=B$3307,DB3284,IF($B$265=B$3308,DC3284,IF($B$265=B$3309,DD3284,IF($B$265=B$3310,DE3284,IF($B$265=B$3311,DF3284,IF($B$265=B$3312,DG3284,IF($B$265=B$3313,DH3284,IF($B$265=B$3314,DI3284,IF($B$265=B$3315,DJ3284,IF($B$265=B$3316,DK3284,IF($B$265=B$3317,DL3284,IF($B$265=B$3318,DM3284,IF($B$265=B$3319,DN3284,IF($B$265=B$3320,DO3284,IF($B$265=B$3321,DP3284,IF($B$265=B$3322,DQ3284,IF($B$265=B$3323,DR3284,IF($B$265=B$3324,DS3284,IF($B$265=B$3325,DT3284,IF($B$265=B$3326,DU3284,IF($B$265=B$3327,DV3284,IF($B$265=B$3328,DW3284,IF($B$265=B$3329,DX3284,""))))))))))))))))))))))))))))))))))))))))))))))))))))</f>
        <v/>
      </c>
      <c r="BZ3285" s="48" t="s">
        <v>1438</v>
      </c>
      <c r="CA3285" t="s">
        <v>1505</v>
      </c>
      <c r="CB3285" s="48" t="s">
        <v>1423</v>
      </c>
      <c r="CC3285" t="s">
        <v>1533</v>
      </c>
      <c r="CD3285" t="s">
        <v>1591</v>
      </c>
      <c r="CE3285" t="s">
        <v>1647</v>
      </c>
      <c r="CF3285" t="s">
        <v>1702</v>
      </c>
      <c r="CG3285" s="245" t="s">
        <v>885</v>
      </c>
      <c r="CH3285" s="245" t="s">
        <v>885</v>
      </c>
      <c r="CI3285" t="s">
        <v>1711</v>
      </c>
      <c r="CJ3285" t="s">
        <v>1759</v>
      </c>
      <c r="CK3285" s="459" t="s">
        <v>885</v>
      </c>
      <c r="CL3285" t="s">
        <v>1873</v>
      </c>
      <c r="CM3285" t="s">
        <v>1533</v>
      </c>
      <c r="CN3285" t="s">
        <v>1533</v>
      </c>
      <c r="CO3285" t="s">
        <v>1531</v>
      </c>
      <c r="CP3285" t="s">
        <v>1437</v>
      </c>
      <c r="CQ3285" t="s">
        <v>1531</v>
      </c>
      <c r="CR3285" t="s">
        <v>2169</v>
      </c>
      <c r="CS3285" t="s">
        <v>2232</v>
      </c>
      <c r="CT3285" t="s">
        <v>2250</v>
      </c>
      <c r="CU3285" t="s">
        <v>2261</v>
      </c>
      <c r="CV3285" t="s">
        <v>1902</v>
      </c>
      <c r="CW3285" t="s">
        <v>1533</v>
      </c>
      <c r="CX3285" t="s">
        <v>1530</v>
      </c>
      <c r="CY3285" t="s">
        <v>2460</v>
      </c>
      <c r="CZ3285" t="s">
        <v>2111</v>
      </c>
      <c r="DA3285" t="s">
        <v>1595</v>
      </c>
      <c r="DB3285" t="s">
        <v>2548</v>
      </c>
      <c r="DC3285" t="s">
        <v>2554</v>
      </c>
      <c r="DD3285" t="s">
        <v>2567</v>
      </c>
      <c r="DE3285" t="s">
        <v>2590</v>
      </c>
      <c r="DF3285" t="s">
        <v>2622</v>
      </c>
      <c r="DG3285" t="s">
        <v>2685</v>
      </c>
      <c r="DH3285" t="s">
        <v>1902</v>
      </c>
      <c r="DI3285" t="s">
        <v>2750</v>
      </c>
      <c r="DJ3285" t="s">
        <v>2565</v>
      </c>
      <c r="DK3285" t="s">
        <v>1708</v>
      </c>
      <c r="DL3285" s="459" t="s">
        <v>885</v>
      </c>
      <c r="DM3285" t="s">
        <v>2844</v>
      </c>
      <c r="DN3285" t="s">
        <v>2495</v>
      </c>
      <c r="DO3285" t="s">
        <v>2905</v>
      </c>
      <c r="DP3285" t="s">
        <v>2935</v>
      </c>
      <c r="DQ3285" t="s">
        <v>3095</v>
      </c>
      <c r="DR3285" t="s">
        <v>3112</v>
      </c>
      <c r="DS3285" t="s">
        <v>3121</v>
      </c>
      <c r="DT3285" t="s">
        <v>3201</v>
      </c>
      <c r="DU3285" t="s">
        <v>1444</v>
      </c>
      <c r="DV3285" t="s">
        <v>3240</v>
      </c>
      <c r="DW3285" t="s">
        <v>3273</v>
      </c>
      <c r="DX3285" s="245" t="s">
        <v>885</v>
      </c>
      <c r="DY3285" s="245"/>
      <c r="DZ3285" s="470" t="str">
        <f>IF($B$265=$B$3278,EB3285,IF($B$265=$B$3279,ED3285,IF($B$265=$B$3280,EF3285,IF($B$265=$B$3281,EH3285,IF($B$265=$B$3282,EJ3285,IF($B$265=$B$3283,EL3285,IF($B$265=$B$3284,EN3285,IF($B$265=$B$3285,EP3285,IF($B$265=$B$3286,ER3285,IF($B$265=$B$3287,ET3285,IF($B$265=$B$3288,EV3285,IF($B$265=$B$3289,EX3285,IF($B$265=$B$3290,EZ3285,IF($B$265=$B$3291,FB3285,IF($B$265=$B$3292,FD3285,IF($B$265=$B$3293,BU3285,IF($B$265=$B$3294,FF3285,IF($B$265=$B$3295,FH3285,IF($B$265=$B$3296,FJ3285,IF($B$265=$B$3297,FL3285,IF($B$265=$B$3298,FN3285,IF($B$265=$B$3299,FP3285,IF(BI$265=$B$3300,FR3285,IF($B$265=$B$3301,FT3285,IF($B$265=$B$3302,FV3285,IF($B$265=$B$3303,FX3285,IF($B$265=$B$3304,FZ3285,IF($B$265=$B$3305,GB3285,IF($B$265=$B$3306,GD3285,IF($B$265=$B$3307,GF3285,IF($B$265=$B$3308,GH3285,IF($B$265=$B$3309,GJ3285,IF($B$265=$B$3310,GL3285,IF($B$265=$B$3311,GN3285,IF($B$265=$B$3312,GP3285,IF($B$265=$B$3313,GR3285,IF($B$265=$B$3314,GT3285,IF($B$265=$B$3315,GV3285,IF($B$265=$B$3316,GX3285,IF($B$265=$B$3317,GZ3285,IF($B$265=$B$3318,HB3285,IF($B$265=$B$3319,HD3285,IF($B$265=$B$3320,HF3285,IF($B$265=$B$3321,HH3285,IF($B$265=$B$3322,HJ3285,IF($B$265=$B$3323,HL3285,IF($B$265=$B$3324,HN3285,IF($B$265=$B$3325,HP3285,IF($B$265=$B$3326,HR3285,IF($B$265=$B$3327,HT3285,IF($B$265=$B$3328,HV3285,IF($B$265=$B$3329,HX3285,""))))))))))))))))))))))))))))))))))))))))))))))))))))</f>
        <v/>
      </c>
      <c r="EA3285" s="470" t="str">
        <f>IF($B$265=$B$3278,EC3285,IF($B$265=$B$3279,EE3285,IF($B$265=$B$3280,EG3285,IF($B$265=$B$3281,EI3285,IF($B$265=$B$3282,EK3285,IF($B$265=$B$3283,EM3285,IF($B$265=$B$3284,EO3285,IF($B$265=$B$3285,EQ3285,IF($B$265=$B$3286,ES3285,IF($B$265=$B$3287,EU3285,IF($B$265=$B$3288,EW3285,IF($B$265=$B$3289,EY3285,IF($B$265=$B$3290,FA3285,IF($B$265=$B$3291,FC3285,IF($B$265=$B$3292,FE3285,IF($B$265=$B$3293,BK3285,IF($B$265=$B$3294,FG3285,IF($B$265=$B$3295,FI3285,IF($B$265=$B$3296,FK3285,IF($B$265=$B$3297,FM3285,IF($B$265=$B$3298,FO3285,IF($B$265=$B$3299,FQ3285,IF(BJ$265=$B$3300,FS3285,IF($B$265=$B$3301,FU3285,IF($B$265=$B$3302,FW3285,IF($B$265=$B$3303,FY3285,IF($B$265=$B$3304,GA3285,IF($B$265=$B$3305,GC3285,IF($B$265=$B$3306,GE3285,IF($B$265=$B$3307,GG3285,IF($B$265=$B$3308,GI3285,IF($B$265=$B$3309,GK3285,IF($B$265=$B$3310,GM3285,IF($B$265=$B$3311,GO3285,IF($B$265=$B$3312,GQ3285,IF($B$265=$B$3313,GS3285,IF($B$265=$B$3314,GU3285,IF($B$265=$B$3315,GW3285,IF($B$265=$B$3316,GY3285,IF($B$265=$B$3317,HA3285,IF($B$265=$B$3318,HC3285,IF($B$265=$B$3319,HE3285,IF($B$265=$B$3320,HG3285,IF($B$265=$B$3321,HI3285,IF($B$265=$B$3322,HK3285,IF($B$265=$B$3323,HM3285,IF($B$265=$B$3324,HO3285,IF($B$265=$B$3325,HQ3285,IF($B$265=$B$3326,HS3285,IF($B$265=$B$3327,HU3285,IF($B$265=$B$3328,HW3285,IF($B$265=$B$3329,HY3285,""))))))))))))))))))))))))))))))))))))))))))))))))))))</f>
        <v/>
      </c>
      <c r="EB3285" t="s">
        <v>3292</v>
      </c>
      <c r="EC3285" s="471" t="s">
        <v>3283</v>
      </c>
      <c r="EF3285" t="s">
        <v>3336</v>
      </c>
      <c r="EG3285" s="473" t="s">
        <v>3283</v>
      </c>
      <c r="EH3285" t="s">
        <v>3335</v>
      </c>
      <c r="EI3285" s="473" t="s">
        <v>3294</v>
      </c>
      <c r="EJ3285" t="s">
        <v>3378</v>
      </c>
      <c r="EK3285" s="473" t="s">
        <v>3294</v>
      </c>
      <c r="EL3285" t="str">
        <f>EL3278</f>
        <v>Brian Mason</v>
      </c>
      <c r="EM3285" s="473" t="str">
        <f>EM3278</f>
        <v>D</v>
      </c>
    </row>
    <row r="3286" spans="1:143" ht="15.5" hidden="1" x14ac:dyDescent="0.35">
      <c r="A3286" s="424" t="s">
        <v>1076</v>
      </c>
      <c r="B3286" s="425" t="s">
        <v>1077</v>
      </c>
      <c r="C3286" s="426">
        <v>200000</v>
      </c>
      <c r="D3286" s="449" t="s">
        <v>885</v>
      </c>
      <c r="G3286" s="420">
        <v>40000</v>
      </c>
      <c r="H3286" s="420"/>
      <c r="I3286" s="420"/>
      <c r="J3286" s="420"/>
      <c r="K3286" s="420"/>
      <c r="L3286" s="420"/>
      <c r="M3286" s="420"/>
      <c r="N3286" s="420"/>
      <c r="O3286" s="420"/>
      <c r="P3286" s="420"/>
      <c r="Q3286" s="420"/>
      <c r="R3286" s="420"/>
      <c r="S3286" s="420"/>
      <c r="T3286" s="420"/>
      <c r="U3286" s="420"/>
      <c r="V3286" s="420"/>
      <c r="W3286" s="420"/>
      <c r="X3286" s="420"/>
      <c r="Y3286" s="420"/>
      <c r="Z3286" s="420"/>
      <c r="AB3286" s="48" t="s">
        <v>1078</v>
      </c>
      <c r="AC3286" s="245" t="s">
        <v>885</v>
      </c>
      <c r="AD3286" s="48" t="s">
        <v>1079</v>
      </c>
      <c r="AF3286" s="421"/>
      <c r="AG3286" s="337"/>
      <c r="AI3286" s="348" t="s">
        <v>1080</v>
      </c>
      <c r="AK3286" s="48" t="s">
        <v>1047</v>
      </c>
      <c r="AO3286" s="48" t="s">
        <v>1081</v>
      </c>
      <c r="AR3286" s="245" t="s">
        <v>885</v>
      </c>
      <c r="AS3286" s="48" t="s">
        <v>1066</v>
      </c>
      <c r="AW3286" s="245" t="s">
        <v>885</v>
      </c>
      <c r="AX3286" s="48">
        <v>9</v>
      </c>
      <c r="BB3286" s="402">
        <f t="shared" ca="1" si="140"/>
        <v>25000000</v>
      </c>
      <c r="BF3286" s="423">
        <v>45877</v>
      </c>
      <c r="BG3286" s="415">
        <f t="shared" si="141"/>
        <v>0</v>
      </c>
      <c r="BH3286" s="415">
        <f t="shared" si="143"/>
        <v>0</v>
      </c>
      <c r="BI3286" s="365">
        <f t="shared" si="144"/>
        <v>0</v>
      </c>
      <c r="BJ3286" s="157">
        <f t="shared" si="142"/>
        <v>0</v>
      </c>
      <c r="BK3286" s="416">
        <f t="shared" si="145"/>
        <v>0</v>
      </c>
      <c r="BN3286" s="1107">
        <f>IF(OR($AC$1127=0,$C$1153="",C$1129=AG$1129),0,$C$1153*$C$1129)</f>
        <v>0</v>
      </c>
      <c r="BO3286" s="927"/>
      <c r="BP3286" s="927"/>
      <c r="BQ3286" s="927"/>
      <c r="BS3286" s="464" t="str">
        <f>IF($B$265=B$3278,BZ3285,IF($B$265=B$3279,CA3285,IF($B$265=B$3280,CB3285,IF($B$265=B$3281,CC3285,IF($B$265=B$3282,CD3285,IF($B$265=B$3283,CE3285,IF($B$265=B$3284,CF3285,IF($B$265=B$3285,CG3285,IF($B$265=B$3286,CH3285,IF($B$265=B$3287,CI3285,IF($B$265=B$3288,CJ3285,IF($B$265=B$3289,CK3285,IF($B$265=B$3290,CL3285,IF($B$265=B$3291,CM3285,IF($B$265=B$3292,CN3285,IF($B$265=B$3293,C3285,IF($B$265=B$3294,CO3285,IF($B$265=B$3295,CP3285,IF($B$265=B$3296,CQ3285,IF($B$265=B$3297,CR3285,IF($B$265=B$3298,CS3285,IF($B$265=B$3299,CT3285,IF(B$265=B$3300,CU3285,IF($B$265=B$3301,CV3285,IF($B$265=B$3302,CW3285,IF($B$265=B$3303,CX3285,IF($B$265=B$3304,CY3285,IF($B$265=B$3305,CZ3285,IF($B$265=B$3306,DA3285,IF($B$265=B$3307,DB3285,IF($B$265=B$3308,DC3285,IF($B$265=B$3309,DD3285,IF($B$265=B$3310,DE3285,IF($B$265=B$3311,DF3285,IF($B$265=B$3312,DG3285,IF($B$265=B$3313,DH3285,IF($B$265=B$3314,DI3285,IF($B$265=B$3315,DJ3285,IF($B$265=B$3316,DK3285,IF($B$265=B$3317,DL3285,IF($B$265=B$3318,DM3285,IF($B$265=B$3319,DN3285,IF($B$265=B$3320,DO3285,IF($B$265=B$3321,DP3285,IF($B$265=B$3322,DQ3285,IF($B$265=B$3323,DR3285,IF($B$265=B$3324,DS3285,IF($B$265=B$3325,DT3285,IF($B$265=B$3326,DU3285,IF($B$265=B$3327,DV3285,IF($B$265=B$3328,DW3285,IF($B$265=B$3329,DX3285,""))))))))))))))))))))))))))))))))))))))))))))))))))))</f>
        <v/>
      </c>
      <c r="BZ3286" s="48" t="s">
        <v>1439</v>
      </c>
      <c r="CA3286" t="s">
        <v>1506</v>
      </c>
      <c r="CB3286" s="48" t="s">
        <v>1424</v>
      </c>
      <c r="CC3286" t="s">
        <v>1534</v>
      </c>
      <c r="CD3286" t="s">
        <v>1592</v>
      </c>
      <c r="CE3286" t="s">
        <v>1648</v>
      </c>
      <c r="CF3286" s="245" t="s">
        <v>885</v>
      </c>
      <c r="CG3286" s="245" t="s">
        <v>885</v>
      </c>
      <c r="CH3286" s="245" t="s">
        <v>885</v>
      </c>
      <c r="CI3286" t="s">
        <v>1712</v>
      </c>
      <c r="CJ3286" t="s">
        <v>1760</v>
      </c>
      <c r="CK3286" s="459" t="s">
        <v>885</v>
      </c>
      <c r="CL3286" t="s">
        <v>1874</v>
      </c>
      <c r="CM3286" t="s">
        <v>1904</v>
      </c>
      <c r="CN3286" t="s">
        <v>1904</v>
      </c>
      <c r="CO3286" t="s">
        <v>2000</v>
      </c>
      <c r="CP3286" t="s">
        <v>2045</v>
      </c>
      <c r="CQ3286" t="s">
        <v>2044</v>
      </c>
      <c r="CR3286" t="s">
        <v>2170</v>
      </c>
      <c r="CS3286" t="s">
        <v>2233</v>
      </c>
      <c r="CT3286" t="s">
        <v>1698</v>
      </c>
      <c r="CU3286" t="s">
        <v>1707</v>
      </c>
      <c r="CV3286" t="s">
        <v>2322</v>
      </c>
      <c r="CW3286" t="s">
        <v>2005</v>
      </c>
      <c r="CX3286" t="s">
        <v>2416</v>
      </c>
      <c r="CY3286" t="s">
        <v>1654</v>
      </c>
      <c r="CZ3286" t="s">
        <v>1902</v>
      </c>
      <c r="DA3286" t="s">
        <v>2537</v>
      </c>
      <c r="DB3286" t="s">
        <v>2549</v>
      </c>
      <c r="DC3286" t="s">
        <v>2555</v>
      </c>
      <c r="DD3286" t="s">
        <v>2568</v>
      </c>
      <c r="DE3286" t="s">
        <v>2591</v>
      </c>
      <c r="DF3286" t="s">
        <v>2623</v>
      </c>
      <c r="DG3286" t="s">
        <v>1904</v>
      </c>
      <c r="DH3286" t="s">
        <v>1437</v>
      </c>
      <c r="DI3286" t="s">
        <v>2751</v>
      </c>
      <c r="DJ3286" t="s">
        <v>2791</v>
      </c>
      <c r="DK3286" t="s">
        <v>2809</v>
      </c>
      <c r="DL3286" s="459" t="s">
        <v>885</v>
      </c>
      <c r="DM3286" t="s">
        <v>1438</v>
      </c>
      <c r="DN3286" t="s">
        <v>1587</v>
      </c>
      <c r="DO3286" t="s">
        <v>1533</v>
      </c>
      <c r="DP3286" t="s">
        <v>2936</v>
      </c>
      <c r="DQ3286" t="s">
        <v>1663</v>
      </c>
      <c r="DR3286" t="s">
        <v>1612</v>
      </c>
      <c r="DS3286" t="s">
        <v>3122</v>
      </c>
      <c r="DT3286" t="s">
        <v>1658</v>
      </c>
      <c r="DU3286" t="s">
        <v>3223</v>
      </c>
      <c r="DV3286" t="s">
        <v>2266</v>
      </c>
      <c r="DW3286" t="s">
        <v>3274</v>
      </c>
      <c r="DX3286" s="245" t="s">
        <v>885</v>
      </c>
      <c r="DY3286" s="245"/>
      <c r="DZ3286" s="470" t="str">
        <f>IF($B$265=$B$3278,EB3286,IF($B$265=$B$3279,ED3286,IF($B$265=$B$3280,EF3286,IF($B$265=$B$3281,EH3286,IF($B$265=$B$3282,EJ3286,IF($B$265=$B$3283,EL3286,IF($B$265=$B$3284,EN3286,IF($B$265=$B$3285,EP3286,IF($B$265=$B$3286,ER3286,IF($B$265=$B$3287,ET3286,IF($B$265=$B$3288,EV3286,IF($B$265=$B$3289,EX3286,IF($B$265=$B$3290,EZ3286,IF($B$265=$B$3291,FB3286,IF($B$265=$B$3292,FD3286,IF($B$265=$B$3293,BU3286,IF($B$265=$B$3294,FF3286,IF($B$265=$B$3295,FH3286,IF($B$265=$B$3296,FJ3286,IF($B$265=$B$3297,FL3286,IF($B$265=$B$3298,FN3286,IF($B$265=$B$3299,FP3286,IF(BI$265=$B$3300,FR3286,IF($B$265=$B$3301,FT3286,IF($B$265=$B$3302,FV3286,IF($B$265=$B$3303,FX3286,IF($B$265=$B$3304,FZ3286,IF($B$265=$B$3305,GB3286,IF($B$265=$B$3306,GD3286,IF($B$265=$B$3307,GF3286,IF($B$265=$B$3308,GH3286,IF($B$265=$B$3309,GJ3286,IF($B$265=$B$3310,GL3286,IF($B$265=$B$3311,GN3286,IF($B$265=$B$3312,GP3286,IF($B$265=$B$3313,GR3286,IF($B$265=$B$3314,GT3286,IF($B$265=$B$3315,GV3286,IF($B$265=$B$3316,GX3286,IF($B$265=$B$3317,GZ3286,IF($B$265=$B$3318,HB3286,IF($B$265=$B$3319,HD3286,IF($B$265=$B$3320,HF3286,IF($B$265=$B$3321,HH3286,IF($B$265=$B$3322,HJ3286,IF($B$265=$B$3323,HL3286,IF($B$265=$B$3324,HN3286,IF($B$265=$B$3325,HP3286,IF($B$265=$B$3326,HR3286,IF($B$265=$B$3327,HT3286,IF($B$265=$B$3328,HV3286,IF($B$265=$B$3329,HX3286,""))))))))))))))))))))))))))))))))))))))))))))))))))))</f>
        <v/>
      </c>
      <c r="EA3286" s="470" t="str">
        <f>IF($B$265=$B$3278,EC3286,IF($B$265=$B$3279,EE3286,IF($B$265=$B$3280,EG3286,IF($B$265=$B$3281,EI3286,IF($B$265=$B$3282,EK3286,IF($B$265=$B$3283,EM3286,IF($B$265=$B$3284,EO3286,IF($B$265=$B$3285,EQ3286,IF($B$265=$B$3286,ES3286,IF($B$265=$B$3287,EU3286,IF($B$265=$B$3288,EW3286,IF($B$265=$B$3289,EY3286,IF($B$265=$B$3290,FA3286,IF($B$265=$B$3291,FC3286,IF($B$265=$B$3292,FE3286,IF($B$265=$B$3293,BK3286,IF($B$265=$B$3294,FG3286,IF($B$265=$B$3295,FI3286,IF($B$265=$B$3296,FK3286,IF($B$265=$B$3297,FM3286,IF($B$265=$B$3298,FO3286,IF($B$265=$B$3299,FQ3286,IF(BJ$265=$B$3300,FS3286,IF($B$265=$B$3301,FU3286,IF($B$265=$B$3302,FW3286,IF($B$265=$B$3303,FY3286,IF($B$265=$B$3304,GA3286,IF($B$265=$B$3305,GC3286,IF($B$265=$B$3306,GE3286,IF($B$265=$B$3307,GG3286,IF($B$265=$B$3308,GI3286,IF($B$265=$B$3309,GK3286,IF($B$265=$B$3310,GM3286,IF($B$265=$B$3311,GO3286,IF($B$265=$B$3312,GQ3286,IF($B$265=$B$3313,GS3286,IF($B$265=$B$3314,GU3286,IF($B$265=$B$3315,GW3286,IF($B$265=$B$3316,GY3286,IF($B$265=$B$3317,HA3286,IF($B$265=$B$3318,HC3286,IF($B$265=$B$3319,HE3286,IF($B$265=$B$3320,HG3286,IF($B$265=$B$3321,HI3286,IF($B$265=$B$3322,HK3286,IF($B$265=$B$3323,HM3286,IF($B$265=$B$3324,HO3286,IF($B$265=$B$3325,HQ3286,IF($B$265=$B$3326,HS3286,IF($B$265=$B$3327,HU3286,IF($B$265=$B$3328,HW3286,IF($B$265=$B$3329,HY3286,""))))))))))))))))))))))))))))))))))))))))))))))))))))</f>
        <v/>
      </c>
      <c r="EB3286" t="s">
        <v>3293</v>
      </c>
      <c r="EC3286" s="471" t="s">
        <v>3294</v>
      </c>
      <c r="EF3286" t="s">
        <v>3337</v>
      </c>
      <c r="EG3286" s="473" t="s">
        <v>3283</v>
      </c>
      <c r="EH3286" t="str">
        <f>EH3283</f>
        <v>Thomas Deen</v>
      </c>
      <c r="EI3286" s="473" t="s">
        <v>3294</v>
      </c>
      <c r="EJ3286" t="s">
        <v>3379</v>
      </c>
      <c r="EK3286" s="473" t="s">
        <v>3294</v>
      </c>
      <c r="EL3286" t="s">
        <v>3436</v>
      </c>
      <c r="EM3286" s="473" t="s">
        <v>3283</v>
      </c>
    </row>
    <row r="3287" spans="1:143" ht="15.5" hidden="1" x14ac:dyDescent="0.35">
      <c r="A3287" s="417" t="s">
        <v>1082</v>
      </c>
      <c r="B3287" s="418" t="s">
        <v>1083</v>
      </c>
      <c r="C3287" s="419">
        <v>50000</v>
      </c>
      <c r="D3287" s="419">
        <v>2000000</v>
      </c>
      <c r="G3287" s="420"/>
      <c r="H3287" s="420"/>
      <c r="I3287" s="420"/>
      <c r="J3287" s="420"/>
      <c r="K3287" s="420"/>
      <c r="L3287" s="420"/>
      <c r="M3287" s="420"/>
      <c r="N3287" s="420"/>
      <c r="O3287" s="420"/>
      <c r="P3287" s="420"/>
      <c r="Q3287" s="420"/>
      <c r="R3287" s="420"/>
      <c r="S3287" s="420"/>
      <c r="T3287" s="420"/>
      <c r="U3287" s="420"/>
      <c r="V3287" s="420"/>
      <c r="W3287" s="420"/>
      <c r="X3287" s="420"/>
      <c r="Y3287" s="420"/>
      <c r="Z3287" s="420"/>
      <c r="AB3287" s="48" t="s">
        <v>1084</v>
      </c>
      <c r="AC3287" s="245" t="s">
        <v>885</v>
      </c>
      <c r="AD3287" s="411" t="s">
        <v>1085</v>
      </c>
      <c r="AF3287" s="421">
        <v>2</v>
      </c>
      <c r="AG3287" s="48">
        <v>90</v>
      </c>
      <c r="AH3287" s="48" t="s">
        <v>1086</v>
      </c>
      <c r="AI3287" s="48" t="str">
        <f>CONCATENATE(AG3287,AH3287)</f>
        <v>90 days</v>
      </c>
      <c r="AK3287" s="48" t="s">
        <v>1087</v>
      </c>
      <c r="AO3287" s="48" t="s">
        <v>1088</v>
      </c>
      <c r="AR3287" s="245" t="s">
        <v>885</v>
      </c>
      <c r="AS3287" s="48" t="s">
        <v>1089</v>
      </c>
      <c r="AW3287" s="245" t="s">
        <v>885</v>
      </c>
      <c r="AX3287" s="48">
        <v>10</v>
      </c>
      <c r="BB3287" s="402">
        <f t="shared" ca="1" si="140"/>
        <v>2000000</v>
      </c>
      <c r="BF3287" s="423">
        <v>26582</v>
      </c>
      <c r="BG3287" s="415">
        <f t="shared" si="141"/>
        <v>0</v>
      </c>
      <c r="BH3287" s="415">
        <f t="shared" si="143"/>
        <v>0</v>
      </c>
      <c r="BI3287" s="365">
        <f t="shared" si="144"/>
        <v>0</v>
      </c>
      <c r="BJ3287" s="157">
        <f t="shared" si="142"/>
        <v>0</v>
      </c>
      <c r="BK3287" s="416">
        <f t="shared" si="145"/>
        <v>0</v>
      </c>
      <c r="BN3287" s="1107">
        <f>IF(OR($AC$1127=0,$C$1153="",C$1129=AG$1129),0,$C$1153*$C$1129)</f>
        <v>0</v>
      </c>
      <c r="BO3287" s="927"/>
      <c r="BP3287" s="927"/>
      <c r="BQ3287" s="927"/>
      <c r="BS3287" s="464" t="str">
        <f>IF($B$265=B$3278,BZ3286,IF($B$265=B$3279,CA3286,IF($B$265=B$3280,CB3286,IF($B$265=B$3281,CC3286,IF($B$265=B$3282,CD3286,IF($B$265=B$3283,CE3286,IF($B$265=B$3284,CF3286,IF($B$265=B$3285,CG3286,IF($B$265=B$3286,CH3286,IF($B$265=B$3287,CI3286,IF($B$265=B$3288,CJ3286,IF($B$265=B$3289,CK3286,IF($B$265=B$3290,CL3286,IF($B$265=B$3291,CM3286,IF($B$265=B$3292,CN3286,IF($B$265=B$3293,C3286,IF($B$265=B$3294,CO3286,IF($B$265=B$3295,CP3286,IF($B$265=B$3296,CQ3286,IF($B$265=B$3297,CR3286,IF($B$265=B$3298,CS3286,IF($B$265=B$3299,CT3286,IF(B$265=B$3300,CU3286,IF($B$265=B$3301,CV3286,IF($B$265=B$3302,CW3286,IF($B$265=B$3303,CX3286,IF($B$265=B$3304,CY3286,IF($B$265=B$3305,CZ3286,IF($B$265=B$3306,DA3286,IF($B$265=B$3307,DB3286,IF($B$265=B$3308,DC3286,IF($B$265=B$3309,DD3286,IF($B$265=B$3310,DE3286,IF($B$265=B$3311,DF3286,IF($B$265=B$3312,DG3286,IF($B$265=B$3313,DH3286,IF($B$265=B$3314,DI3286,IF($B$265=B$3315,DJ3286,IF($B$265=B$3316,DK3286,IF($B$265=B$3317,DL3286,IF($B$265=B$3318,DM3286,IF($B$265=B$3319,DN3286,IF($B$265=B$3320,DO3286,IF($B$265=B$3321,DP3286,IF($B$265=B$3322,DQ3286,IF($B$265=B$3323,DR3286,IF($B$265=B$3324,DS3286,IF($B$265=B$3325,DT3286,IF($B$265=B$3326,DU3286,IF($B$265=B$3327,DV3286,IF($B$265=B$3328,DW3286,IF($B$265=B$3329,DX3286,""))))))))))))))))))))))))))))))))))))))))))))))))))))</f>
        <v/>
      </c>
      <c r="BZ3287" s="48" t="s">
        <v>1440</v>
      </c>
      <c r="CA3287" t="s">
        <v>1507</v>
      </c>
      <c r="CB3287" s="48" t="s">
        <v>1425</v>
      </c>
      <c r="CC3287" t="s">
        <v>1535</v>
      </c>
      <c r="CD3287" t="s">
        <v>1593</v>
      </c>
      <c r="CE3287" t="s">
        <v>1649</v>
      </c>
      <c r="CF3287" s="245" t="s">
        <v>885</v>
      </c>
      <c r="CG3287" s="245" t="s">
        <v>885</v>
      </c>
      <c r="CH3287" s="245" t="s">
        <v>885</v>
      </c>
      <c r="CI3287" t="s">
        <v>1444</v>
      </c>
      <c r="CJ3287" t="s">
        <v>1761</v>
      </c>
      <c r="CK3287" s="459" t="s">
        <v>885</v>
      </c>
      <c r="CL3287" t="s">
        <v>1875</v>
      </c>
      <c r="CM3287" t="s">
        <v>1905</v>
      </c>
      <c r="CN3287" t="s">
        <v>1535</v>
      </c>
      <c r="CO3287" t="s">
        <v>2001</v>
      </c>
      <c r="CP3287" t="s">
        <v>2046</v>
      </c>
      <c r="CQ3287" t="s">
        <v>2111</v>
      </c>
      <c r="CR3287" t="s">
        <v>2171</v>
      </c>
      <c r="CS3287" t="s">
        <v>2234</v>
      </c>
      <c r="CT3287" t="s">
        <v>2251</v>
      </c>
      <c r="CU3287" t="s">
        <v>2262</v>
      </c>
      <c r="CV3287" t="s">
        <v>2323</v>
      </c>
      <c r="CW3287" t="s">
        <v>1442</v>
      </c>
      <c r="CX3287" t="s">
        <v>1531</v>
      </c>
      <c r="CY3287" t="s">
        <v>2461</v>
      </c>
      <c r="CZ3287" t="s">
        <v>2495</v>
      </c>
      <c r="DA3287" t="s">
        <v>1556</v>
      </c>
      <c r="DB3287" t="s">
        <v>1985</v>
      </c>
      <c r="DC3287" t="s">
        <v>2556</v>
      </c>
      <c r="DD3287" t="s">
        <v>1548</v>
      </c>
      <c r="DE3287" t="s">
        <v>1907</v>
      </c>
      <c r="DF3287" t="s">
        <v>2624</v>
      </c>
      <c r="DG3287" t="s">
        <v>2686</v>
      </c>
      <c r="DH3287" t="s">
        <v>1533</v>
      </c>
      <c r="DI3287" t="s">
        <v>2121</v>
      </c>
      <c r="DJ3287" t="s">
        <v>1658</v>
      </c>
      <c r="DK3287" t="s">
        <v>1437</v>
      </c>
      <c r="DL3287" s="459" t="s">
        <v>885</v>
      </c>
      <c r="DM3287" t="s">
        <v>2845</v>
      </c>
      <c r="DN3287" t="s">
        <v>2119</v>
      </c>
      <c r="DO3287" t="s">
        <v>2121</v>
      </c>
      <c r="DP3287" t="s">
        <v>2937</v>
      </c>
      <c r="DQ3287" t="s">
        <v>1665</v>
      </c>
      <c r="DR3287" t="s">
        <v>2600</v>
      </c>
      <c r="DS3287" t="s">
        <v>2109</v>
      </c>
      <c r="DT3287" t="s">
        <v>3202</v>
      </c>
      <c r="DU3287" t="s">
        <v>1459</v>
      </c>
      <c r="DV3287" t="s">
        <v>1535</v>
      </c>
      <c r="DW3287" t="s">
        <v>1554</v>
      </c>
      <c r="DX3287" s="245" t="s">
        <v>885</v>
      </c>
      <c r="DY3287" s="245"/>
      <c r="DZ3287" s="470" t="str">
        <f>IF($B$265=$B$3278,EB3287,IF($B$265=$B$3279,ED3287,IF($B$265=$B$3280,EF3287,IF($B$265=$B$3281,EH3287,IF($B$265=$B$3282,EJ3287,IF($B$265=$B$3283,EL3287,IF($B$265=$B$3284,EN3287,IF($B$265=$B$3285,EP3287,IF($B$265=$B$3286,ER3287,IF($B$265=$B$3287,ET3287,IF($B$265=$B$3288,EV3287,IF($B$265=$B$3289,EX3287,IF($B$265=$B$3290,EZ3287,IF($B$265=$B$3291,FB3287,IF($B$265=$B$3292,FD3287,IF($B$265=$B$3293,BU3287,IF($B$265=$B$3294,FF3287,IF($B$265=$B$3295,FH3287,IF($B$265=$B$3296,FJ3287,IF($B$265=$B$3297,FL3287,IF($B$265=$B$3298,FN3287,IF($B$265=$B$3299,FP3287,IF(BI$265=$B$3300,FR3287,IF($B$265=$B$3301,FT3287,IF($B$265=$B$3302,FV3287,IF($B$265=$B$3303,FX3287,IF($B$265=$B$3304,FZ3287,IF($B$265=$B$3305,GB3287,IF($B$265=$B$3306,GD3287,IF($B$265=$B$3307,GF3287,IF($B$265=$B$3308,GH3287,IF($B$265=$B$3309,GJ3287,IF($B$265=$B$3310,GL3287,IF($B$265=$B$3311,GN3287,IF($B$265=$B$3312,GP3287,IF($B$265=$B$3313,GR3287,IF($B$265=$B$3314,GT3287,IF($B$265=$B$3315,GV3287,IF($B$265=$B$3316,GX3287,IF($B$265=$B$3317,GZ3287,IF($B$265=$B$3318,HB3287,IF($B$265=$B$3319,HD3287,IF($B$265=$B$3320,HF3287,IF($B$265=$B$3321,HH3287,IF($B$265=$B$3322,HJ3287,IF($B$265=$B$3323,HL3287,IF($B$265=$B$3324,HN3287,IF($B$265=$B$3325,HP3287,IF($B$265=$B$3326,HR3287,IF($B$265=$B$3327,HT3287,IF($B$265=$B$3328,HV3287,IF($B$265=$B$3329,HX3287,""))))))))))))))))))))))))))))))))))))))))))))))))))))</f>
        <v/>
      </c>
      <c r="EA3287" s="470" t="str">
        <f>IF($B$265=$B$3278,EC3287,IF($B$265=$B$3279,EE3287,IF($B$265=$B$3280,EG3287,IF($B$265=$B$3281,EI3287,IF($B$265=$B$3282,EK3287,IF($B$265=$B$3283,EM3287,IF($B$265=$B$3284,EO3287,IF($B$265=$B$3285,EQ3287,IF($B$265=$B$3286,ES3287,IF($B$265=$B$3287,EU3287,IF($B$265=$B$3288,EW3287,IF($B$265=$B$3289,EY3287,IF($B$265=$B$3290,FA3287,IF($B$265=$B$3291,FC3287,IF($B$265=$B$3292,FE3287,IF($B$265=$B$3293,BK3287,IF($B$265=$B$3294,FG3287,IF($B$265=$B$3295,FI3287,IF($B$265=$B$3296,FK3287,IF($B$265=$B$3297,FM3287,IF($B$265=$B$3298,FO3287,IF($B$265=$B$3299,FQ3287,IF(BJ$265=$B$3300,FS3287,IF($B$265=$B$3301,FU3287,IF($B$265=$B$3302,FW3287,IF($B$265=$B$3303,FY3287,IF($B$265=$B$3304,GA3287,IF($B$265=$B$3305,GC3287,IF($B$265=$B$3306,GE3287,IF($B$265=$B$3307,GG3287,IF($B$265=$B$3308,GI3287,IF($B$265=$B$3309,GK3287,IF($B$265=$B$3310,GM3287,IF($B$265=$B$3311,GO3287,IF($B$265=$B$3312,GQ3287,IF($B$265=$B$3313,GS3287,IF($B$265=$B$3314,GU3287,IF($B$265=$B$3315,GW3287,IF($B$265=$B$3316,GY3287,IF($B$265=$B$3317,HA3287,IF($B$265=$B$3318,HC3287,IF($B$265=$B$3319,HE3287,IF($B$265=$B$3320,HG3287,IF($B$265=$B$3321,HI3287,IF($B$265=$B$3322,HK3287,IF($B$265=$B$3323,HM3287,IF($B$265=$B$3324,HO3287,IF($B$265=$B$3325,HQ3287,IF($B$265=$B$3326,HS3287,IF($B$265=$B$3327,HU3287,IF($B$265=$B$3328,HW3287,IF($B$265=$B$3329,HY3287,""))))))))))))))))))))))))))))))))))))))))))))))))))))</f>
        <v/>
      </c>
      <c r="EB3287" t="s">
        <v>3295</v>
      </c>
      <c r="EC3287" s="471" t="s">
        <v>3283</v>
      </c>
      <c r="EF3287" t="s">
        <v>3338</v>
      </c>
      <c r="EG3287" s="473" t="s">
        <v>3288</v>
      </c>
      <c r="EH3287" t="s">
        <v>3349</v>
      </c>
      <c r="EI3287" s="473" t="s">
        <v>3294</v>
      </c>
      <c r="EJ3287" t="s">
        <v>3380</v>
      </c>
      <c r="EK3287" s="473" t="s">
        <v>3294</v>
      </c>
      <c r="EL3287" t="str">
        <f>EL3282</f>
        <v>Joshua Vogel</v>
      </c>
      <c r="EM3287" s="473" t="str">
        <f>EM3282</f>
        <v>R</v>
      </c>
    </row>
    <row r="3288" spans="1:143" ht="15.5" hidden="1" x14ac:dyDescent="0.35">
      <c r="A3288" s="417" t="s">
        <v>1090</v>
      </c>
      <c r="B3288" s="418" t="s">
        <v>1091</v>
      </c>
      <c r="C3288" s="427">
        <f>C3285</f>
        <v>0</v>
      </c>
      <c r="D3288" s="427" t="s">
        <v>885</v>
      </c>
      <c r="E3288" s="427" t="s">
        <v>885</v>
      </c>
      <c r="G3288" s="420"/>
      <c r="H3288" s="420"/>
      <c r="I3288" s="420"/>
      <c r="J3288" s="420"/>
      <c r="K3288" s="420"/>
      <c r="L3288" s="420"/>
      <c r="M3288" s="420"/>
      <c r="N3288" s="420"/>
      <c r="O3288" s="420"/>
      <c r="P3288" s="420"/>
      <c r="Q3288" s="420"/>
      <c r="R3288" s="420"/>
      <c r="S3288" s="420"/>
      <c r="T3288" s="420"/>
      <c r="U3288" s="420"/>
      <c r="V3288" s="420"/>
      <c r="W3288" s="420"/>
      <c r="X3288" s="420"/>
      <c r="Y3288" s="420"/>
      <c r="Z3288" s="420"/>
      <c r="AA3288" s="411"/>
      <c r="AB3288" s="411" t="s">
        <v>1027</v>
      </c>
      <c r="AC3288" s="245" t="s">
        <v>885</v>
      </c>
      <c r="AD3288" s="245" t="s">
        <v>885</v>
      </c>
      <c r="AE3288" s="245" t="s">
        <v>885</v>
      </c>
      <c r="AF3288" s="245" t="s">
        <v>885</v>
      </c>
      <c r="AG3288" s="245" t="s">
        <v>885</v>
      </c>
      <c r="AH3288" s="245" t="s">
        <v>885</v>
      </c>
      <c r="AI3288" s="245" t="s">
        <v>885</v>
      </c>
      <c r="AJ3288" s="245" t="s">
        <v>885</v>
      </c>
      <c r="AK3288" s="245" t="s">
        <v>885</v>
      </c>
      <c r="AL3288" s="245" t="s">
        <v>885</v>
      </c>
      <c r="AM3288" s="245" t="s">
        <v>885</v>
      </c>
      <c r="AN3288" s="245" t="s">
        <v>885</v>
      </c>
      <c r="AO3288" s="245" t="s">
        <v>885</v>
      </c>
      <c r="AP3288" s="245" t="s">
        <v>885</v>
      </c>
      <c r="AQ3288" s="245" t="s">
        <v>885</v>
      </c>
      <c r="AR3288" s="245" t="s">
        <v>885</v>
      </c>
      <c r="AS3288" s="245" t="s">
        <v>885</v>
      </c>
      <c r="AT3288" s="245" t="s">
        <v>885</v>
      </c>
      <c r="AU3288" s="245" t="s">
        <v>885</v>
      </c>
      <c r="AV3288" s="245" t="s">
        <v>885</v>
      </c>
      <c r="AW3288" s="245" t="s">
        <v>885</v>
      </c>
      <c r="AX3288" s="48">
        <v>11</v>
      </c>
      <c r="BB3288" s="402">
        <f t="shared" ca="1" si="140"/>
        <v>0</v>
      </c>
      <c r="BF3288" s="423">
        <v>25615</v>
      </c>
      <c r="BG3288" s="415">
        <f t="shared" si="141"/>
        <v>0</v>
      </c>
      <c r="BH3288" s="415">
        <f t="shared" si="143"/>
        <v>0</v>
      </c>
      <c r="BI3288" s="365">
        <f t="shared" si="144"/>
        <v>0</v>
      </c>
      <c r="BJ3288" s="157">
        <f t="shared" si="142"/>
        <v>0</v>
      </c>
      <c r="BK3288" s="416">
        <f t="shared" si="145"/>
        <v>0</v>
      </c>
      <c r="BN3288" s="1107"/>
      <c r="BO3288" s="927"/>
      <c r="BP3288" s="927"/>
      <c r="BQ3288" s="927"/>
      <c r="BS3288" s="464" t="str">
        <f>IF($B$265=B$3278,BZ3287,IF($B$265=B$3279,CA3287,IF($B$265=B$3280,CB3287,IF($B$265=B$3281,CC3287,IF($B$265=B$3282,CD3287,IF($B$265=B$3283,CE3287,IF($B$265=B$3284,CF3287,IF($B$265=B$3285,CG3287,IF($B$265=B$3286,CH3287,IF($B$265=B$3287,CI3287,IF($B$265=B$3288,CJ3287,IF($B$265=B$3289,CK3287,IF($B$265=B$3290,CL3287,IF($B$265=B$3291,CM3287,IF($B$265=B$3292,CN3287,IF($B$265=B$3293,C3287,IF($B$265=B$3294,CO3287,IF($B$265=B$3295,CP3287,IF($B$265=B$3296,CQ3287,IF($B$265=B$3297,CR3287,IF($B$265=B$3298,CS3287,IF($B$265=B$3299,CT3287,IF(B$265=B$3300,CU3287,IF($B$265=B$3301,CV3287,IF($B$265=B$3302,CW3287,IF($B$265=B$3303,CX3287,IF($B$265=B$3304,CY3287,IF($B$265=B$3305,CZ3287,IF($B$265=B$3306,DA3287,IF($B$265=B$3307,DB3287,IF($B$265=B$3308,DC3287,IF($B$265=B$3309,DD3287,IF($B$265=B$3310,DE3287,IF($B$265=B$3311,DF3287,IF($B$265=B$3312,DG3287,IF($B$265=B$3313,DH3287,IF($B$265=B$3314,DI3287,IF($B$265=B$3315,DJ3287,IF($B$265=B$3316,DK3287,IF($B$265=B$3317,DL3287,IF($B$265=B$3318,DM3287,IF($B$265=B$3319,DN3287,IF($B$265=B$3320,DO3287,IF($B$265=B$3321,DP3287,IF($B$265=B$3322,DQ3287,IF($B$265=B$3323,DR3287,IF($B$265=B$3324,DS3287,IF($B$265=B$3325,DT3287,IF($B$265=B$3326,DU3287,IF($B$265=B$3327,DV3287,IF($B$265=B$3328,DW3287,IF($B$265=B$3329,DX3287,""))))))))))))))))))))))))))))))))))))))))))))))))))))</f>
        <v/>
      </c>
      <c r="BZ3288" s="48" t="s">
        <v>1441</v>
      </c>
      <c r="CA3288" t="s">
        <v>1508</v>
      </c>
      <c r="CB3288" s="48" t="s">
        <v>1426</v>
      </c>
      <c r="CC3288" t="s">
        <v>1444</v>
      </c>
      <c r="CD3288" t="s">
        <v>1594</v>
      </c>
      <c r="CE3288" t="s">
        <v>1650</v>
      </c>
      <c r="CF3288" s="245" t="s">
        <v>885</v>
      </c>
      <c r="CG3288" s="245" t="s">
        <v>885</v>
      </c>
      <c r="CH3288" s="245" t="s">
        <v>885</v>
      </c>
      <c r="CI3288" t="s">
        <v>1713</v>
      </c>
      <c r="CJ3288" t="s">
        <v>1434</v>
      </c>
      <c r="CK3288" s="459" t="s">
        <v>885</v>
      </c>
      <c r="CL3288" t="s">
        <v>1876</v>
      </c>
      <c r="CM3288" t="s">
        <v>1906</v>
      </c>
      <c r="CN3288" t="s">
        <v>1444</v>
      </c>
      <c r="CO3288" t="s">
        <v>2002</v>
      </c>
      <c r="CP3288" t="s">
        <v>1440</v>
      </c>
      <c r="CQ3288" t="s">
        <v>2112</v>
      </c>
      <c r="CR3288" t="s">
        <v>2172</v>
      </c>
      <c r="CS3288" t="s">
        <v>2235</v>
      </c>
      <c r="CT3288" t="s">
        <v>2252</v>
      </c>
      <c r="CU3288" t="s">
        <v>1761</v>
      </c>
      <c r="CV3288" t="s">
        <v>1904</v>
      </c>
      <c r="CW3288" t="s">
        <v>2381</v>
      </c>
      <c r="CX3288" t="s">
        <v>2001</v>
      </c>
      <c r="CY3288" t="s">
        <v>1784</v>
      </c>
      <c r="CZ3288" t="s">
        <v>2496</v>
      </c>
      <c r="DA3288" t="s">
        <v>2019</v>
      </c>
      <c r="DB3288" s="459" t="s">
        <v>885</v>
      </c>
      <c r="DC3288" t="s">
        <v>1935</v>
      </c>
      <c r="DD3288" t="s">
        <v>2569</v>
      </c>
      <c r="DE3288" t="s">
        <v>1537</v>
      </c>
      <c r="DF3288" t="s">
        <v>2625</v>
      </c>
      <c r="DG3288" t="s">
        <v>2687</v>
      </c>
      <c r="DH3288" t="s">
        <v>1905</v>
      </c>
      <c r="DI3288" t="s">
        <v>1440</v>
      </c>
      <c r="DJ3288" t="s">
        <v>2792</v>
      </c>
      <c r="DK3288" t="s">
        <v>2810</v>
      </c>
      <c r="DL3288" s="459" t="s">
        <v>885</v>
      </c>
      <c r="DM3288" t="s">
        <v>1440</v>
      </c>
      <c r="DN3288" t="s">
        <v>2872</v>
      </c>
      <c r="DO3288" t="s">
        <v>2906</v>
      </c>
      <c r="DP3288" t="s">
        <v>2938</v>
      </c>
      <c r="DQ3288" t="s">
        <v>2280</v>
      </c>
      <c r="DR3288" t="s">
        <v>3113</v>
      </c>
      <c r="DS3288" t="s">
        <v>2806</v>
      </c>
      <c r="DT3288" t="s">
        <v>1460</v>
      </c>
      <c r="DU3288" t="s">
        <v>1797</v>
      </c>
      <c r="DV3288" t="s">
        <v>1537</v>
      </c>
      <c r="DW3288" t="s">
        <v>3275</v>
      </c>
      <c r="DX3288" s="245" t="s">
        <v>885</v>
      </c>
      <c r="DY3288" s="245"/>
      <c r="DZ3288" s="470" t="str">
        <f>IF($B$265=$B$3278,EB3288,IF($B$265=$B$3279,ED3288,IF($B$265=$B$3280,EF3288,IF($B$265=$B$3281,EH3288,IF($B$265=$B$3282,EJ3288,IF($B$265=$B$3283,EL3288,IF($B$265=$B$3284,EN3288,IF($B$265=$B$3285,EP3288,IF($B$265=$B$3286,ER3288,IF($B$265=$B$3287,ET3288,IF($B$265=$B$3288,EV3288,IF($B$265=$B$3289,EX3288,IF($B$265=$B$3290,EZ3288,IF($B$265=$B$3291,FB3288,IF($B$265=$B$3292,FD3288,IF($B$265=$B$3293,BU3288,IF($B$265=$B$3294,FF3288,IF($B$265=$B$3295,FH3288,IF($B$265=$B$3296,FJ3288,IF($B$265=$B$3297,FL3288,IF($B$265=$B$3298,FN3288,IF($B$265=$B$3299,FP3288,IF(BI$265=$B$3300,FR3288,IF($B$265=$B$3301,FT3288,IF($B$265=$B$3302,FV3288,IF($B$265=$B$3303,FX3288,IF($B$265=$B$3304,FZ3288,IF($B$265=$B$3305,GB3288,IF($B$265=$B$3306,GD3288,IF($B$265=$B$3307,GF3288,IF($B$265=$B$3308,GH3288,IF($B$265=$B$3309,GJ3288,IF($B$265=$B$3310,GL3288,IF($B$265=$B$3311,GN3288,IF($B$265=$B$3312,GP3288,IF($B$265=$B$3313,GR3288,IF($B$265=$B$3314,GT3288,IF($B$265=$B$3315,GV3288,IF($B$265=$B$3316,GX3288,IF($B$265=$B$3317,GZ3288,IF($B$265=$B$3318,HB3288,IF($B$265=$B$3319,HD3288,IF($B$265=$B$3320,HF3288,IF($B$265=$B$3321,HH3288,IF($B$265=$B$3322,HJ3288,IF($B$265=$B$3323,HL3288,IF($B$265=$B$3324,HN3288,IF($B$265=$B$3325,HP3288,IF($B$265=$B$3326,HR3288,IF($B$265=$B$3327,HT3288,IF($B$265=$B$3328,HV3288,IF($B$265=$B$3329,HX3288,""))))))))))))))))))))))))))))))))))))))))))))))))))))</f>
        <v/>
      </c>
      <c r="EA3288" s="470" t="str">
        <f>IF($B$265=$B$3278,EC3288,IF($B$265=$B$3279,EE3288,IF($B$265=$B$3280,EG3288,IF($B$265=$B$3281,EI3288,IF($B$265=$B$3282,EK3288,IF($B$265=$B$3283,EM3288,IF($B$265=$B$3284,EO3288,IF($B$265=$B$3285,EQ3288,IF($B$265=$B$3286,ES3288,IF($B$265=$B$3287,EU3288,IF($B$265=$B$3288,EW3288,IF($B$265=$B$3289,EY3288,IF($B$265=$B$3290,FA3288,IF($B$265=$B$3291,FC3288,IF($B$265=$B$3292,FE3288,IF($B$265=$B$3293,BK3288,IF($B$265=$B$3294,FG3288,IF($B$265=$B$3295,FI3288,IF($B$265=$B$3296,FK3288,IF($B$265=$B$3297,FM3288,IF($B$265=$B$3298,FO3288,IF($B$265=$B$3299,FQ3288,IF(BJ$265=$B$3300,FS3288,IF($B$265=$B$3301,FU3288,IF($B$265=$B$3302,FW3288,IF($B$265=$B$3303,FY3288,IF($B$265=$B$3304,GA3288,IF($B$265=$B$3305,GC3288,IF($B$265=$B$3306,GE3288,IF($B$265=$B$3307,GG3288,IF($B$265=$B$3308,GI3288,IF($B$265=$B$3309,GK3288,IF($B$265=$B$3310,GM3288,IF($B$265=$B$3311,GO3288,IF($B$265=$B$3312,GQ3288,IF($B$265=$B$3313,GS3288,IF($B$265=$B$3314,GU3288,IF($B$265=$B$3315,GW3288,IF($B$265=$B$3316,GY3288,IF($B$265=$B$3317,HA3288,IF($B$265=$B$3318,HC3288,IF($B$265=$B$3319,HE3288,IF($B$265=$B$3320,HG3288,IF($B$265=$B$3321,HI3288,IF($B$265=$B$3322,HK3288,IF($B$265=$B$3323,HM3288,IF($B$265=$B$3324,HO3288,IF($B$265=$B$3325,HQ3288,IF($B$265=$B$3326,HS3288,IF($B$265=$B$3327,HU3288,IF($B$265=$B$3328,HW3288,IF($B$265=$B$3329,HY3288,""))))))))))))))))))))))))))))))))))))))))))))))))))))</f>
        <v/>
      </c>
      <c r="EB3288" t="str">
        <f>EB3278</f>
        <v>Randall V. Houston</v>
      </c>
      <c r="EC3288" t="str">
        <f>EC3278</f>
        <v>R</v>
      </c>
      <c r="EF3288" t="s">
        <v>3339</v>
      </c>
      <c r="EG3288" s="473" t="s">
        <v>3288</v>
      </c>
      <c r="EH3288" t="s">
        <v>3350</v>
      </c>
      <c r="EI3288" s="473" t="s">
        <v>3294</v>
      </c>
      <c r="EJ3288" t="s">
        <v>3381</v>
      </c>
      <c r="EK3288" s="473" t="s">
        <v>3294</v>
      </c>
      <c r="EL3288" t="s">
        <v>3437</v>
      </c>
      <c r="EM3288" s="473" t="s">
        <v>3288</v>
      </c>
    </row>
    <row r="3289" spans="1:143" ht="15.5" hidden="1" x14ac:dyDescent="0.35">
      <c r="A3289" s="417" t="s">
        <v>1092</v>
      </c>
      <c r="B3289" s="418" t="s">
        <v>1093</v>
      </c>
      <c r="C3289" s="427">
        <f>C3288</f>
        <v>0</v>
      </c>
      <c r="D3289" s="419">
        <f ca="1">IF(AE321&lt;=5,85350,IF(AND(AE321&gt;5,AE321&lt;=14),170000,IF(AE321&gt;14,199150,"$85,350 or $170,000 or $199,150")))</f>
        <v>199150</v>
      </c>
      <c r="G3289" s="420"/>
      <c r="H3289" s="420"/>
      <c r="I3289" s="420"/>
      <c r="J3289" s="420"/>
      <c r="K3289" s="420"/>
      <c r="L3289" s="420"/>
      <c r="M3289" s="420"/>
      <c r="N3289" s="420"/>
      <c r="O3289" s="420"/>
      <c r="P3289" s="420"/>
      <c r="Q3289" s="420"/>
      <c r="R3289" s="420"/>
      <c r="S3289" s="420"/>
      <c r="T3289" s="420"/>
      <c r="U3289" s="420"/>
      <c r="V3289" s="420"/>
      <c r="W3289" s="420"/>
      <c r="X3289" s="420"/>
      <c r="Y3289" s="420"/>
      <c r="Z3289" s="420"/>
      <c r="AA3289" s="411"/>
      <c r="AB3289" s="48" t="s">
        <v>1094</v>
      </c>
      <c r="AC3289" s="245" t="s">
        <v>885</v>
      </c>
      <c r="AD3289" s="48" t="s">
        <v>1095</v>
      </c>
      <c r="AF3289" s="421"/>
      <c r="AG3289" s="48">
        <v>2</v>
      </c>
      <c r="AH3289" s="48" t="s">
        <v>1046</v>
      </c>
      <c r="AI3289" s="48" t="str">
        <f>CONCATENATE(AG3289,AH3289)</f>
        <v>2 years</v>
      </c>
      <c r="AK3289" s="48" t="s">
        <v>1087</v>
      </c>
      <c r="AO3289" s="48" t="s">
        <v>1096</v>
      </c>
      <c r="AR3289" s="245" t="s">
        <v>885</v>
      </c>
      <c r="AS3289" s="48" t="s">
        <v>1073</v>
      </c>
      <c r="AW3289" s="245" t="s">
        <v>885</v>
      </c>
      <c r="AX3289" s="48">
        <v>12</v>
      </c>
      <c r="BB3289" s="402">
        <f t="shared" ca="1" si="140"/>
        <v>0</v>
      </c>
      <c r="BF3289" s="423">
        <v>29736</v>
      </c>
      <c r="BG3289" s="415">
        <f t="shared" si="141"/>
        <v>0</v>
      </c>
      <c r="BH3289" s="415">
        <f t="shared" si="143"/>
        <v>0</v>
      </c>
      <c r="BI3289" s="365">
        <f t="shared" si="144"/>
        <v>0</v>
      </c>
      <c r="BJ3289" s="157">
        <f t="shared" si="142"/>
        <v>0</v>
      </c>
      <c r="BK3289" s="416">
        <f t="shared" si="145"/>
        <v>0</v>
      </c>
      <c r="BN3289" s="1107">
        <f>IF(OR($AC$1127=0,$C$1153="",C$1129=AG$1129),0,$C$1153*$C$1129)</f>
        <v>0</v>
      </c>
      <c r="BO3289" s="927"/>
      <c r="BP3289" s="927"/>
      <c r="BQ3289" s="927"/>
      <c r="BS3289" s="464" t="str">
        <f>IF($B$265=B$3278,BZ3288,IF($B$265=B$3279,CA3288,IF($B$265=B$3280,CB3288,IF($B$265=B$3281,CC3288,IF($B$265=B$3282,CD3288,IF($B$265=B$3283,CE3288,IF($B$265=B$3284,CF3288,IF($B$265=B$3285,CG3288,IF($B$265=B$3286,CH3288,IF($B$265=B$3287,CI3288,IF($B$265=B$3288,CJ3288,IF($B$265=B$3289,CK3288,IF($B$265=B$3290,CL3288,IF($B$265=B$3291,CM3288,IF($B$265=B$3292,CN3288,IF($B$265=B$3293,C3288,IF($B$265=B$3294,CO3288,IF($B$265=B$3295,CP3288,IF($B$265=B$3296,CQ3288,IF($B$265=B$3297,CR3288,IF($B$265=B$3298,CS3288,IF($B$265=B$3299,CT3288,IF(B$265=B$3300,CU3288,IF($B$265=B$3301,CV3288,IF($B$265=B$3302,CW3288,IF($B$265=B$3303,CX3288,IF($B$265=B$3304,CY3288,IF($B$265=B$3305,CZ3288,IF($B$265=B$3306,DA3288,IF($B$265=B$3307,DB3288,IF($B$265=B$3308,DC3288,IF($B$265=B$3309,DD3288,IF($B$265=B$3310,DE3288,IF($B$265=B$3311,DF3288,IF($B$265=B$3312,DG3288,IF($B$265=B$3313,DH3288,IF($B$265=B$3314,DI3288,IF($B$265=B$3315,DJ3288,IF($B$265=B$3316,DK3288,IF($B$265=B$3317,DL3288,IF($B$265=B$3318,DM3288,IF($B$265=B$3319,DN3288,IF($B$265=B$3320,DO3288,IF($B$265=B$3321,DP3288,IF($B$265=B$3322,DQ3288,IF($B$265=B$3323,DR3288,IF($B$265=B$3324,DS3288,IF($B$265=B$3325,DT3288,IF($B$265=B$3326,DU3288,IF($B$265=B$3327,DV3288,IF($B$265=B$3328,DW3288,IF($B$265=B$3329,DX3288,""))))))))))))))))))))))))))))))))))))))))))))))))))))</f>
        <v/>
      </c>
      <c r="BZ3289" s="48" t="s">
        <v>1442</v>
      </c>
      <c r="CA3289" t="s">
        <v>1509</v>
      </c>
      <c r="CB3289" s="48" t="s">
        <v>1427</v>
      </c>
      <c r="CC3289" t="s">
        <v>1445</v>
      </c>
      <c r="CD3289" t="s">
        <v>1595</v>
      </c>
      <c r="CE3289" t="s">
        <v>1651</v>
      </c>
      <c r="CF3289" s="245" t="s">
        <v>885</v>
      </c>
      <c r="CG3289" s="245" t="s">
        <v>885</v>
      </c>
      <c r="CH3289" s="245" t="s">
        <v>885</v>
      </c>
      <c r="CI3289" t="s">
        <v>1537</v>
      </c>
      <c r="CJ3289" t="s">
        <v>1762</v>
      </c>
      <c r="CK3289" s="459" t="s">
        <v>885</v>
      </c>
      <c r="CL3289" t="s">
        <v>1587</v>
      </c>
      <c r="CM3289" t="s">
        <v>1535</v>
      </c>
      <c r="CN3289" t="s">
        <v>1907</v>
      </c>
      <c r="CO3289" t="s">
        <v>1437</v>
      </c>
      <c r="CP3289" t="s">
        <v>1649</v>
      </c>
      <c r="CQ3289" t="s">
        <v>2113</v>
      </c>
      <c r="CR3289" t="s">
        <v>2173</v>
      </c>
      <c r="CS3289" t="s">
        <v>2236</v>
      </c>
      <c r="CT3289" t="s">
        <v>2027</v>
      </c>
      <c r="CU3289" t="s">
        <v>2263</v>
      </c>
      <c r="CV3289" t="s">
        <v>2266</v>
      </c>
      <c r="CW3289" t="s">
        <v>1443</v>
      </c>
      <c r="CX3289" t="s">
        <v>1437</v>
      </c>
      <c r="CY3289" t="s">
        <v>2462</v>
      </c>
      <c r="CZ3289" t="s">
        <v>1437</v>
      </c>
      <c r="DA3289" t="s">
        <v>1675</v>
      </c>
      <c r="DB3289" s="459" t="s">
        <v>885</v>
      </c>
      <c r="DC3289" t="s">
        <v>1698</v>
      </c>
      <c r="DD3289" t="s">
        <v>2570</v>
      </c>
      <c r="DE3289" t="s">
        <v>2592</v>
      </c>
      <c r="DF3289" t="s">
        <v>1767</v>
      </c>
      <c r="DG3289" t="s">
        <v>2688</v>
      </c>
      <c r="DH3289" t="s">
        <v>1535</v>
      </c>
      <c r="DI3289" t="s">
        <v>1442</v>
      </c>
      <c r="DJ3289" t="s">
        <v>1548</v>
      </c>
      <c r="DK3289" t="s">
        <v>2811</v>
      </c>
      <c r="DL3289" s="459" t="s">
        <v>885</v>
      </c>
      <c r="DM3289" t="s">
        <v>2813</v>
      </c>
      <c r="DN3289" t="s">
        <v>1535</v>
      </c>
      <c r="DO3289" t="s">
        <v>2813</v>
      </c>
      <c r="DP3289" t="s">
        <v>2939</v>
      </c>
      <c r="DQ3289" t="s">
        <v>3096</v>
      </c>
      <c r="DR3289" t="s">
        <v>1495</v>
      </c>
      <c r="DS3289" t="s">
        <v>3123</v>
      </c>
      <c r="DT3289" t="s">
        <v>1663</v>
      </c>
      <c r="DU3289" t="s">
        <v>1548</v>
      </c>
      <c r="DV3289" t="s">
        <v>1540</v>
      </c>
      <c r="DW3289" t="s">
        <v>1556</v>
      </c>
      <c r="DX3289" s="245" t="s">
        <v>885</v>
      </c>
      <c r="DY3289" s="245"/>
      <c r="DZ3289" s="470" t="str">
        <f>IF($B$265=$B$3278,EB3289,IF($B$265=$B$3279,ED3289,IF($B$265=$B$3280,EF3289,IF($B$265=$B$3281,EH3289,IF($B$265=$B$3282,EJ3289,IF($B$265=$B$3283,EL3289,IF($B$265=$B$3284,EN3289,IF($B$265=$B$3285,EP3289,IF($B$265=$B$3286,ER3289,IF($B$265=$B$3287,ET3289,IF($B$265=$B$3288,EV3289,IF($B$265=$B$3289,EX3289,IF($B$265=$B$3290,EZ3289,IF($B$265=$B$3291,FB3289,IF($B$265=$B$3292,FD3289,IF($B$265=$B$3293,BU3289,IF($B$265=$B$3294,FF3289,IF($B$265=$B$3295,FH3289,IF($B$265=$B$3296,FJ3289,IF($B$265=$B$3297,FL3289,IF($B$265=$B$3298,FN3289,IF($B$265=$B$3299,FP3289,IF(BI$265=$B$3300,FR3289,IF($B$265=$B$3301,FT3289,IF($B$265=$B$3302,FV3289,IF($B$265=$B$3303,FX3289,IF($B$265=$B$3304,FZ3289,IF($B$265=$B$3305,GB3289,IF($B$265=$B$3306,GD3289,IF($B$265=$B$3307,GF3289,IF($B$265=$B$3308,GH3289,IF($B$265=$B$3309,GJ3289,IF($B$265=$B$3310,GL3289,IF($B$265=$B$3311,GN3289,IF($B$265=$B$3312,GP3289,IF($B$265=$B$3313,GR3289,IF($B$265=$B$3314,GT3289,IF($B$265=$B$3315,GV3289,IF($B$265=$B$3316,GX3289,IF($B$265=$B$3317,GZ3289,IF($B$265=$B$3318,HB3289,IF($B$265=$B$3319,HD3289,IF($B$265=$B$3320,HF3289,IF($B$265=$B$3321,HH3289,IF($B$265=$B$3322,HJ3289,IF($B$265=$B$3323,HL3289,IF($B$265=$B$3324,HN3289,IF($B$265=$B$3325,HP3289,IF($B$265=$B$3326,HR3289,IF($B$265=$B$3327,HT3289,IF($B$265=$B$3328,HV3289,IF($B$265=$B$3329,HX3289,""))))))))))))))))))))))))))))))))))))))))))))))))))))</f>
        <v/>
      </c>
      <c r="EA3289" s="470" t="str">
        <f>IF($B$265=$B$3278,EC3289,IF($B$265=$B$3279,EE3289,IF($B$265=$B$3280,EG3289,IF($B$265=$B$3281,EI3289,IF($B$265=$B$3282,EK3289,IF($B$265=$B$3283,EM3289,IF($B$265=$B$3284,EO3289,IF($B$265=$B$3285,EQ3289,IF($B$265=$B$3286,ES3289,IF($B$265=$B$3287,EU3289,IF($B$265=$B$3288,EW3289,IF($B$265=$B$3289,EY3289,IF($B$265=$B$3290,FA3289,IF($B$265=$B$3291,FC3289,IF($B$265=$B$3292,FE3289,IF($B$265=$B$3293,BK3289,IF($B$265=$B$3294,FG3289,IF($B$265=$B$3295,FI3289,IF($B$265=$B$3296,FK3289,IF($B$265=$B$3297,FM3289,IF($B$265=$B$3298,FO3289,IF($B$265=$B$3299,FQ3289,IF(BJ$265=$B$3300,FS3289,IF($B$265=$B$3301,FU3289,IF($B$265=$B$3302,FW3289,IF($B$265=$B$3303,FY3289,IF($B$265=$B$3304,GA3289,IF($B$265=$B$3305,GC3289,IF($B$265=$B$3306,GE3289,IF($B$265=$B$3307,GG3289,IF($B$265=$B$3308,GI3289,IF($B$265=$B$3309,GK3289,IF($B$265=$B$3310,GM3289,IF($B$265=$B$3311,GO3289,IF($B$265=$B$3312,GQ3289,IF($B$265=$B$3313,GS3289,IF($B$265=$B$3314,GU3289,IF($B$265=$B$3315,GW3289,IF($B$265=$B$3316,GY3289,IF($B$265=$B$3317,HA3289,IF($B$265=$B$3318,HC3289,IF($B$265=$B$3319,HE3289,IF($B$265=$B$3320,HG3289,IF($B$265=$B$3321,HI3289,IF($B$265=$B$3322,HK3289,IF($B$265=$B$3323,HM3289,IF($B$265=$B$3324,HO3289,IF($B$265=$B$3325,HQ3289,IF($B$265=$B$3326,HS3289,IF($B$265=$B$3327,HU3289,IF($B$265=$B$3328,HW3289,IF($B$265=$B$3329,HY3289,""))))))))))))))))))))))))))))))))))))))))))))))))))))</f>
        <v/>
      </c>
      <c r="EB3289" t="s">
        <v>3296</v>
      </c>
      <c r="EC3289" s="471" t="s">
        <v>3288</v>
      </c>
      <c r="EF3289" t="s">
        <v>3340</v>
      </c>
      <c r="EG3289" s="473" t="s">
        <v>3283</v>
      </c>
      <c r="EH3289" t="s">
        <v>3351</v>
      </c>
      <c r="EI3289" s="473" t="s">
        <v>3294</v>
      </c>
      <c r="EJ3289" t="s">
        <v>3382</v>
      </c>
      <c r="EK3289" s="473" t="s">
        <v>3294</v>
      </c>
      <c r="EL3289" t="str">
        <f>EL3279</f>
        <v>Alonzo C. Payne</v>
      </c>
      <c r="EM3289" s="473" t="str">
        <f>EM3279</f>
        <v>D</v>
      </c>
    </row>
    <row r="3290" spans="1:143" ht="15.5" hidden="1" x14ac:dyDescent="0.35">
      <c r="A3290" s="417" t="s">
        <v>1097</v>
      </c>
      <c r="B3290" s="418" t="s">
        <v>1098</v>
      </c>
      <c r="C3290" s="427">
        <f>C3289</f>
        <v>0</v>
      </c>
      <c r="D3290" s="427" t="s">
        <v>885</v>
      </c>
      <c r="E3290" s="427" t="s">
        <v>885</v>
      </c>
      <c r="G3290" s="420"/>
      <c r="H3290" s="420"/>
      <c r="I3290" s="420"/>
      <c r="J3290" s="420"/>
      <c r="K3290" s="420"/>
      <c r="L3290" s="420"/>
      <c r="M3290" s="420"/>
      <c r="N3290" s="420"/>
      <c r="O3290" s="420"/>
      <c r="P3290" s="420"/>
      <c r="Q3290" s="420"/>
      <c r="R3290" s="420"/>
      <c r="S3290" s="420"/>
      <c r="T3290" s="420"/>
      <c r="U3290" s="420"/>
      <c r="V3290" s="420"/>
      <c r="W3290" s="420"/>
      <c r="X3290" s="420"/>
      <c r="Y3290" s="420"/>
      <c r="Z3290" s="420"/>
      <c r="AA3290" s="411"/>
      <c r="AB3290" s="411" t="s">
        <v>1027</v>
      </c>
      <c r="AC3290" s="245" t="s">
        <v>885</v>
      </c>
      <c r="AD3290" s="245" t="s">
        <v>885</v>
      </c>
      <c r="AE3290" s="245" t="s">
        <v>885</v>
      </c>
      <c r="AF3290" s="245" t="s">
        <v>885</v>
      </c>
      <c r="AG3290" s="245" t="s">
        <v>885</v>
      </c>
      <c r="AH3290" s="245" t="s">
        <v>885</v>
      </c>
      <c r="AI3290" s="245" t="s">
        <v>885</v>
      </c>
      <c r="AJ3290" s="245" t="s">
        <v>885</v>
      </c>
      <c r="AK3290" s="245" t="s">
        <v>885</v>
      </c>
      <c r="AL3290" s="245" t="s">
        <v>885</v>
      </c>
      <c r="AM3290" s="245" t="s">
        <v>885</v>
      </c>
      <c r="AN3290" s="245" t="s">
        <v>885</v>
      </c>
      <c r="AO3290" s="245" t="s">
        <v>885</v>
      </c>
      <c r="AP3290" s="245" t="s">
        <v>885</v>
      </c>
      <c r="AQ3290" s="245" t="s">
        <v>885</v>
      </c>
      <c r="AR3290" s="245" t="s">
        <v>885</v>
      </c>
      <c r="AS3290" s="245" t="s">
        <v>885</v>
      </c>
      <c r="AT3290" s="245" t="s">
        <v>885</v>
      </c>
      <c r="AU3290" s="245" t="s">
        <v>885</v>
      </c>
      <c r="AV3290" s="245" t="s">
        <v>885</v>
      </c>
      <c r="AW3290" s="245" t="s">
        <v>885</v>
      </c>
      <c r="AX3290" s="48">
        <v>13</v>
      </c>
      <c r="BB3290" s="402">
        <f t="shared" ca="1" si="140"/>
        <v>0</v>
      </c>
      <c r="BF3290" s="423">
        <v>23938</v>
      </c>
      <c r="BG3290" s="415">
        <f t="shared" si="141"/>
        <v>0</v>
      </c>
      <c r="BH3290" s="415">
        <f t="shared" si="143"/>
        <v>0</v>
      </c>
      <c r="BI3290" s="365">
        <f t="shared" si="144"/>
        <v>0</v>
      </c>
      <c r="BJ3290" s="157">
        <f t="shared" si="142"/>
        <v>0</v>
      </c>
      <c r="BK3290" s="416">
        <f t="shared" si="145"/>
        <v>0</v>
      </c>
      <c r="BN3290" s="1107">
        <f ca="1">IF(C1129&lt;=5,85350,IF(AND(AE321&gt;5,C1129&lt;=14),170000,IF(C1129&gt;14,199150)))</f>
        <v>199150</v>
      </c>
      <c r="BO3290" s="927"/>
      <c r="BP3290" s="927"/>
      <c r="BQ3290" s="927"/>
      <c r="BS3290" s="464" t="str">
        <f>IF($B$265=B$3278,BZ3289,IF($B$265=B$3279,CA3289,IF($B$265=B$3280,CB3289,IF($B$265=B$3281,CC3289,IF($B$265=B$3282,CD3289,IF($B$265=B$3283,CE3289,IF($B$265=B$3284,CF3289,IF($B$265=B$3285,CG3289,IF($B$265=B$3286,CH3289,IF($B$265=B$3287,CI3289,IF($B$265=B$3288,CJ3289,IF($B$265=B$3289,CK3289,IF($B$265=B$3290,CL3289,IF($B$265=B$3291,CM3289,IF($B$265=B$3292,CN3289,IF($B$265=B$3293,C3289,IF($B$265=B$3294,CO3289,IF($B$265=B$3295,CP3289,IF($B$265=B$3296,CQ3289,IF($B$265=B$3297,CR3289,IF($B$265=B$3298,CS3289,IF($B$265=B$3299,CT3289,IF(B$265=B$3300,CU3289,IF($B$265=B$3301,CV3289,IF($B$265=B$3302,CW3289,IF($B$265=B$3303,CX3289,IF($B$265=B$3304,CY3289,IF($B$265=B$3305,CZ3289,IF($B$265=B$3306,DA3289,IF($B$265=B$3307,DB3289,IF($B$265=B$3308,DC3289,IF($B$265=B$3309,DD3289,IF($B$265=B$3310,DE3289,IF($B$265=B$3311,DF3289,IF($B$265=B$3312,DG3289,IF($B$265=B$3313,DH3289,IF($B$265=B$3314,DI3289,IF($B$265=B$3315,DJ3289,IF($B$265=B$3316,DK3289,IF($B$265=B$3317,DL3289,IF($B$265=B$3318,DM3289,IF($B$265=B$3319,DN3289,IF($B$265=B$3320,DO3289,IF($B$265=B$3321,DP3289,IF($B$265=B$3322,DQ3289,IF($B$265=B$3323,DR3289,IF($B$265=B$3324,DS3289,IF($B$265=B$3325,DT3289,IF($B$265=B$3326,DU3289,IF($B$265=B$3327,DV3289,IF($B$265=B$3328,DW3289,IF($B$265=B$3329,DX3289,""))))))))))))))))))))))))))))))))))))))))))))))))))))</f>
        <v/>
      </c>
      <c r="BZ3290" s="48" t="s">
        <v>1443</v>
      </c>
      <c r="CA3290" t="s">
        <v>1510</v>
      </c>
      <c r="CB3290" s="48" t="s">
        <v>1428</v>
      </c>
      <c r="CC3290" t="s">
        <v>1536</v>
      </c>
      <c r="CD3290" t="s">
        <v>1596</v>
      </c>
      <c r="CE3290" t="s">
        <v>1652</v>
      </c>
      <c r="CF3290" s="245" t="s">
        <v>885</v>
      </c>
      <c r="CG3290" s="245" t="s">
        <v>885</v>
      </c>
      <c r="CH3290" s="245" t="s">
        <v>885</v>
      </c>
      <c r="CI3290" t="s">
        <v>1714</v>
      </c>
      <c r="CJ3290" t="s">
        <v>1763</v>
      </c>
      <c r="CK3290" s="459" t="s">
        <v>885</v>
      </c>
      <c r="CL3290" t="s">
        <v>1877</v>
      </c>
      <c r="CM3290" t="s">
        <v>1444</v>
      </c>
      <c r="CN3290" t="s">
        <v>1540</v>
      </c>
      <c r="CO3290" t="s">
        <v>1438</v>
      </c>
      <c r="CP3290" t="s">
        <v>1535</v>
      </c>
      <c r="CQ3290" t="s">
        <v>2114</v>
      </c>
      <c r="CR3290" t="s">
        <v>2174</v>
      </c>
      <c r="CS3290" t="s">
        <v>2237</v>
      </c>
      <c r="CT3290" t="s">
        <v>2253</v>
      </c>
      <c r="CU3290" t="s">
        <v>1438</v>
      </c>
      <c r="CV3290" t="s">
        <v>2324</v>
      </c>
      <c r="CW3290" t="s">
        <v>1444</v>
      </c>
      <c r="CX3290" t="s">
        <v>2117</v>
      </c>
      <c r="CY3290" t="s">
        <v>2463</v>
      </c>
      <c r="CZ3290" t="s">
        <v>1904</v>
      </c>
      <c r="DA3290" t="s">
        <v>2538</v>
      </c>
      <c r="DB3290" s="459" t="s">
        <v>885</v>
      </c>
      <c r="DC3290" t="s">
        <v>2557</v>
      </c>
      <c r="DD3290" t="s">
        <v>2571</v>
      </c>
      <c r="DE3290" t="s">
        <v>1959</v>
      </c>
      <c r="DF3290" t="s">
        <v>2626</v>
      </c>
      <c r="DG3290" t="s">
        <v>2689</v>
      </c>
      <c r="DH3290" t="s">
        <v>2716</v>
      </c>
      <c r="DI3290" t="s">
        <v>2752</v>
      </c>
      <c r="DJ3290" t="s">
        <v>2793</v>
      </c>
      <c r="DK3290" t="s">
        <v>2458</v>
      </c>
      <c r="DL3290" s="459" t="s">
        <v>885</v>
      </c>
      <c r="DM3290" t="s">
        <v>2846</v>
      </c>
      <c r="DN3290" t="s">
        <v>1444</v>
      </c>
      <c r="DO3290" t="s">
        <v>2381</v>
      </c>
      <c r="DP3290" t="s">
        <v>2940</v>
      </c>
      <c r="DQ3290" t="s">
        <v>1922</v>
      </c>
      <c r="DR3290" t="s">
        <v>1702</v>
      </c>
      <c r="DS3290" t="s">
        <v>3124</v>
      </c>
      <c r="DT3290" t="s">
        <v>1548</v>
      </c>
      <c r="DU3290" t="s">
        <v>3224</v>
      </c>
      <c r="DV3290" t="s">
        <v>3241</v>
      </c>
      <c r="DW3290" t="s">
        <v>3276</v>
      </c>
      <c r="DX3290" s="245" t="s">
        <v>885</v>
      </c>
      <c r="DY3290" s="245"/>
      <c r="DZ3290" s="470" t="str">
        <f>IF($B$265=$B$3278,EB3290,IF($B$265=$B$3279,ED3290,IF($B$265=$B$3280,EF3290,IF($B$265=$B$3281,EH3290,IF($B$265=$B$3282,EJ3290,IF($B$265=$B$3283,EL3290,IF($B$265=$B$3284,EN3290,IF($B$265=$B$3285,EP3290,IF($B$265=$B$3286,ER3290,IF($B$265=$B$3287,ET3290,IF($B$265=$B$3288,EV3290,IF($B$265=$B$3289,EX3290,IF($B$265=$B$3290,EZ3290,IF($B$265=$B$3291,FB3290,IF($B$265=$B$3292,FD3290,IF($B$265=$B$3293,BU3290,IF($B$265=$B$3294,FF3290,IF($B$265=$B$3295,FH3290,IF($B$265=$B$3296,FJ3290,IF($B$265=$B$3297,FL3290,IF($B$265=$B$3298,FN3290,IF($B$265=$B$3299,FP3290,IF(BI$265=$B$3300,FR3290,IF($B$265=$B$3301,FT3290,IF($B$265=$B$3302,FV3290,IF($B$265=$B$3303,FX3290,IF($B$265=$B$3304,FZ3290,IF($B$265=$B$3305,GB3290,IF($B$265=$B$3306,GD3290,IF($B$265=$B$3307,GF3290,IF($B$265=$B$3308,GH3290,IF($B$265=$B$3309,GJ3290,IF($B$265=$B$3310,GL3290,IF($B$265=$B$3311,GN3290,IF($B$265=$B$3312,GP3290,IF($B$265=$B$3313,GR3290,IF($B$265=$B$3314,GT3290,IF($B$265=$B$3315,GV3290,IF($B$265=$B$3316,GX3290,IF($B$265=$B$3317,GZ3290,IF($B$265=$B$3318,HB3290,IF($B$265=$B$3319,HD3290,IF($B$265=$B$3320,HF3290,IF($B$265=$B$3321,HH3290,IF($B$265=$B$3322,HJ3290,IF($B$265=$B$3323,HL3290,IF($B$265=$B$3324,HN3290,IF($B$265=$B$3325,HP3290,IF($B$265=$B$3326,HR3290,IF($B$265=$B$3327,HT3290,IF($B$265=$B$3328,HV3290,IF($B$265=$B$3329,HX3290,""))))))))))))))))))))))))))))))))))))))))))))))))))))</f>
        <v/>
      </c>
      <c r="EA3290" s="470" t="str">
        <f>IF($B$265=$B$3278,EC3290,IF($B$265=$B$3279,EE3290,IF($B$265=$B$3280,EG3290,IF($B$265=$B$3281,EI3290,IF($B$265=$B$3282,EK3290,IF($B$265=$B$3283,EM3290,IF($B$265=$B$3284,EO3290,IF($B$265=$B$3285,EQ3290,IF($B$265=$B$3286,ES3290,IF($B$265=$B$3287,EU3290,IF($B$265=$B$3288,EW3290,IF($B$265=$B$3289,EY3290,IF($B$265=$B$3290,FA3290,IF($B$265=$B$3291,FC3290,IF($B$265=$B$3292,FE3290,IF($B$265=$B$3293,BK3290,IF($B$265=$B$3294,FG3290,IF($B$265=$B$3295,FI3290,IF($B$265=$B$3296,FK3290,IF($B$265=$B$3297,FM3290,IF($B$265=$B$3298,FO3290,IF($B$265=$B$3299,FQ3290,IF(BJ$265=$B$3300,FS3290,IF($B$265=$B$3301,FU3290,IF($B$265=$B$3302,FW3290,IF($B$265=$B$3303,FY3290,IF($B$265=$B$3304,GA3290,IF($B$265=$B$3305,GC3290,IF($B$265=$B$3306,GE3290,IF($B$265=$B$3307,GG3290,IF($B$265=$B$3308,GI3290,IF($B$265=$B$3309,GK3290,IF($B$265=$B$3310,GM3290,IF($B$265=$B$3311,GO3290,IF($B$265=$B$3312,GQ3290,IF($B$265=$B$3313,GS3290,IF($B$265=$B$3314,GU3290,IF($B$265=$B$3315,GW3290,IF($B$265=$B$3316,GY3290,IF($B$265=$B$3317,HA3290,IF($B$265=$B$3318,HC3290,IF($B$265=$B$3319,HE3290,IF($B$265=$B$3320,HG3290,IF($B$265=$B$3321,HI3290,IF($B$265=$B$3322,HK3290,IF($B$265=$B$3323,HM3290,IF($B$265=$B$3324,HO3290,IF($B$265=$B$3325,HQ3290,IF($B$265=$B$3326,HS3290,IF($B$265=$B$3327,HU3290,IF($B$265=$B$3328,HW3290,IF($B$265=$B$3329,HY3290,""))))))))))))))))))))))))))))))))))))))))))))))))))))</f>
        <v/>
      </c>
      <c r="EB3290" t="str">
        <f>EB3289</f>
        <v>Spencer B. Walker</v>
      </c>
      <c r="EC3290" s="471" t="str">
        <f>EC3289</f>
        <v>D</v>
      </c>
      <c r="EF3290" t="s">
        <v>3341</v>
      </c>
      <c r="EG3290" s="473" t="s">
        <v>3288</v>
      </c>
      <c r="EH3290" t="str">
        <f>EH3284</f>
        <v>Jeff Rogers</v>
      </c>
      <c r="EI3290" s="473" t="s">
        <v>3294</v>
      </c>
      <c r="EJ3290" t="s">
        <v>3383</v>
      </c>
      <c r="EK3290" s="473" t="s">
        <v>3294</v>
      </c>
      <c r="EL3290" t="str">
        <f>EL3289</f>
        <v>Alonzo C. Payne</v>
      </c>
      <c r="EM3290" s="473" t="str">
        <f>EM3289</f>
        <v>D</v>
      </c>
    </row>
    <row r="3291" spans="1:143" ht="15.5" hidden="1" x14ac:dyDescent="0.35">
      <c r="A3291" s="417" t="s">
        <v>1099</v>
      </c>
      <c r="B3291" s="418" t="s">
        <v>1100</v>
      </c>
      <c r="C3291" s="427">
        <f>C3290</f>
        <v>0</v>
      </c>
      <c r="D3291" s="448" t="s">
        <v>885</v>
      </c>
      <c r="E3291" s="245" t="s">
        <v>885</v>
      </c>
      <c r="G3291" s="420"/>
      <c r="H3291" s="420"/>
      <c r="I3291" s="420"/>
      <c r="J3291" s="420"/>
      <c r="K3291" s="420"/>
      <c r="L3291" s="420"/>
      <c r="M3291" s="420"/>
      <c r="N3291" s="420"/>
      <c r="O3291" s="420"/>
      <c r="P3291" s="420"/>
      <c r="Q3291" s="420"/>
      <c r="R3291" s="420"/>
      <c r="S3291" s="420"/>
      <c r="T3291" s="420"/>
      <c r="U3291" s="420"/>
      <c r="V3291" s="420"/>
      <c r="W3291" s="420"/>
      <c r="X3291" s="420"/>
      <c r="Y3291" s="420"/>
      <c r="Z3291" s="420"/>
      <c r="AB3291" s="48" t="s">
        <v>1101</v>
      </c>
      <c r="AC3291" s="245" t="s">
        <v>885</v>
      </c>
      <c r="AD3291" s="48" t="s">
        <v>1102</v>
      </c>
      <c r="AF3291" s="421">
        <v>2</v>
      </c>
      <c r="AG3291" s="48">
        <v>2</v>
      </c>
      <c r="AH3291" s="48" t="s">
        <v>1046</v>
      </c>
      <c r="AI3291" s="48" t="str">
        <f>CONCATENATE(AG3291,AH3291)</f>
        <v>2 years</v>
      </c>
      <c r="AK3291" s="48" t="s">
        <v>1047</v>
      </c>
      <c r="AO3291" s="48" t="s">
        <v>1103</v>
      </c>
      <c r="AR3291" s="245" t="s">
        <v>885</v>
      </c>
      <c r="AS3291" s="48" t="s">
        <v>1073</v>
      </c>
      <c r="AW3291" s="245" t="s">
        <v>885</v>
      </c>
      <c r="AX3291" s="48">
        <v>14</v>
      </c>
      <c r="BB3291" s="402">
        <f t="shared" ca="1" si="140"/>
        <v>0</v>
      </c>
      <c r="BD3291" s="48">
        <f>IF(D3291=1,"varies",C3291)</f>
        <v>0</v>
      </c>
      <c r="BF3291" s="423">
        <v>30417</v>
      </c>
      <c r="BG3291" s="415">
        <f t="shared" si="141"/>
        <v>0</v>
      </c>
      <c r="BH3291" s="415">
        <f t="shared" si="143"/>
        <v>0</v>
      </c>
      <c r="BI3291" s="365">
        <f t="shared" si="144"/>
        <v>0</v>
      </c>
      <c r="BJ3291" s="157">
        <f t="shared" si="142"/>
        <v>0</v>
      </c>
      <c r="BK3291" s="416">
        <f t="shared" si="145"/>
        <v>0</v>
      </c>
      <c r="BN3291" s="1107">
        <f>IF(OR($AC$1127=0,$C$1153="",C$1129=AG$1129),0,$C$1153*$C$1129)</f>
        <v>0</v>
      </c>
      <c r="BO3291" s="927"/>
      <c r="BP3291" s="927"/>
      <c r="BQ3291" s="927"/>
      <c r="BS3291" s="464" t="str">
        <f>IF($B$265=B$3278,BZ3290,IF($B$265=B$3279,CA3290,IF($B$265=B$3280,CB3290,IF($B$265=B$3281,CC3290,IF($B$265=B$3282,CD3290,IF($B$265=B$3283,CE3290,IF($B$265=B$3284,CF3290,IF($B$265=B$3285,CG3290,IF($B$265=B$3286,CH3290,IF($B$265=B$3287,CI3290,IF($B$265=B$3288,CJ3290,IF($B$265=B$3289,CK3290,IF($B$265=B$3290,CL3290,IF($B$265=B$3291,CM3290,IF($B$265=B$3292,CN3290,IF($B$265=B$3293,C3290,IF($B$265=B$3294,CO3290,IF($B$265=B$3295,CP3290,IF($B$265=B$3296,CQ3290,IF($B$265=B$3297,CR3290,IF($B$265=B$3298,CS3290,IF($B$265=B$3299,CT3290,IF(B$265=B$3300,CU3290,IF($B$265=B$3301,CV3290,IF($B$265=B$3302,CW3290,IF($B$265=B$3303,CX3290,IF($B$265=B$3304,CY3290,IF($B$265=B$3305,CZ3290,IF($B$265=B$3306,DA3290,IF($B$265=B$3307,DB3290,IF($B$265=B$3308,DC3290,IF($B$265=B$3309,DD3290,IF($B$265=B$3310,DE3290,IF($B$265=B$3311,DF3290,IF($B$265=B$3312,DG3290,IF($B$265=B$3313,DH3290,IF($B$265=B$3314,DI3290,IF($B$265=B$3315,DJ3290,IF($B$265=B$3316,DK3290,IF($B$265=B$3317,DL3290,IF($B$265=B$3318,DM3290,IF($B$265=B$3319,DN3290,IF($B$265=B$3320,DO3290,IF($B$265=B$3321,DP3290,IF($B$265=B$3322,DQ3290,IF($B$265=B$3323,DR3290,IF($B$265=B$3324,DS3290,IF($B$265=B$3325,DT3290,IF($B$265=B$3326,DU3290,IF($B$265=B$3327,DV3290,IF($B$265=B$3328,DW3290,IF($B$265=B$3329,DX3290,""))))))))))))))))))))))))))))))))))))))))))))))))))))</f>
        <v/>
      </c>
      <c r="BZ3291" s="48" t="s">
        <v>1444</v>
      </c>
      <c r="CA3291" t="s">
        <v>1511</v>
      </c>
      <c r="CB3291" s="48" t="s">
        <v>1429</v>
      </c>
      <c r="CC3291" t="s">
        <v>1537</v>
      </c>
      <c r="CD3291" t="s">
        <v>1597</v>
      </c>
      <c r="CE3291" t="s">
        <v>1653</v>
      </c>
      <c r="CF3291" s="245" t="s">
        <v>885</v>
      </c>
      <c r="CG3291" s="245" t="s">
        <v>885</v>
      </c>
      <c r="CH3291" s="245" t="s">
        <v>885</v>
      </c>
      <c r="CI3291" t="s">
        <v>1715</v>
      </c>
      <c r="CJ3291" t="s">
        <v>1764</v>
      </c>
      <c r="CK3291" s="459" t="s">
        <v>885</v>
      </c>
      <c r="CL3291" t="s">
        <v>1878</v>
      </c>
      <c r="CM3291" t="s">
        <v>1907</v>
      </c>
      <c r="CN3291" t="s">
        <v>1957</v>
      </c>
      <c r="CO3291" t="s">
        <v>1533</v>
      </c>
      <c r="CP3291" t="s">
        <v>1444</v>
      </c>
      <c r="CQ3291" t="s">
        <v>2115</v>
      </c>
      <c r="CR3291" t="s">
        <v>2175</v>
      </c>
      <c r="CS3291" t="s">
        <v>1551</v>
      </c>
      <c r="CT3291" t="s">
        <v>2243</v>
      </c>
      <c r="CU3291" t="s">
        <v>1904</v>
      </c>
      <c r="CV3291" t="s">
        <v>1444</v>
      </c>
      <c r="CW3291" t="s">
        <v>2382</v>
      </c>
      <c r="CX3291" t="s">
        <v>2417</v>
      </c>
      <c r="CY3291" t="s">
        <v>2464</v>
      </c>
      <c r="CZ3291" t="s">
        <v>2003</v>
      </c>
      <c r="DA3291" t="s">
        <v>2539</v>
      </c>
      <c r="DB3291" s="459" t="s">
        <v>885</v>
      </c>
      <c r="DC3291" t="s">
        <v>2073</v>
      </c>
      <c r="DD3291" t="s">
        <v>2572</v>
      </c>
      <c r="DE3291" t="s">
        <v>2593</v>
      </c>
      <c r="DF3291" t="s">
        <v>2117</v>
      </c>
      <c r="DG3291" t="s">
        <v>2568</v>
      </c>
      <c r="DH3291" t="s">
        <v>1907</v>
      </c>
      <c r="DI3291" t="s">
        <v>1536</v>
      </c>
      <c r="DJ3291" t="s">
        <v>2794</v>
      </c>
      <c r="DK3291" t="s">
        <v>2812</v>
      </c>
      <c r="DL3291" s="459" t="s">
        <v>885</v>
      </c>
      <c r="DM3291" t="s">
        <v>2847</v>
      </c>
      <c r="DN3291" t="s">
        <v>2873</v>
      </c>
      <c r="DO3291" t="s">
        <v>1444</v>
      </c>
      <c r="DP3291" t="s">
        <v>2110</v>
      </c>
      <c r="DQ3291" t="s">
        <v>3097</v>
      </c>
      <c r="DR3291" t="s">
        <v>3114</v>
      </c>
      <c r="DS3291" t="s">
        <v>3125</v>
      </c>
      <c r="DT3291" t="s">
        <v>3203</v>
      </c>
      <c r="DU3291" t="s">
        <v>2250</v>
      </c>
      <c r="DV3291" t="s">
        <v>1786</v>
      </c>
      <c r="DW3291" t="s">
        <v>3277</v>
      </c>
      <c r="DX3291" s="245" t="s">
        <v>885</v>
      </c>
      <c r="DY3291" s="245"/>
      <c r="DZ3291" s="470" t="str">
        <f>IF($B$265=$B$3278,EB3291,IF($B$265=$B$3279,ED3291,IF($B$265=$B$3280,EF3291,IF($B$265=$B$3281,EH3291,IF($B$265=$B$3282,EJ3291,IF($B$265=$B$3283,EL3291,IF($B$265=$B$3284,EN3291,IF($B$265=$B$3285,EP3291,IF($B$265=$B$3286,ER3291,IF($B$265=$B$3287,ET3291,IF($B$265=$B$3288,EV3291,IF($B$265=$B$3289,EX3291,IF($B$265=$B$3290,EZ3291,IF($B$265=$B$3291,FB3291,IF($B$265=$B$3292,FD3291,IF($B$265=$B$3293,BU3291,IF($B$265=$B$3294,FF3291,IF($B$265=$B$3295,FH3291,IF($B$265=$B$3296,FJ3291,IF($B$265=$B$3297,FL3291,IF($B$265=$B$3298,FN3291,IF($B$265=$B$3299,FP3291,IF(BI$265=$B$3300,FR3291,IF($B$265=$B$3301,FT3291,IF($B$265=$B$3302,FV3291,IF($B$265=$B$3303,FX3291,IF($B$265=$B$3304,FZ3291,IF($B$265=$B$3305,GB3291,IF($B$265=$B$3306,GD3291,IF($B$265=$B$3307,GF3291,IF($B$265=$B$3308,GH3291,IF($B$265=$B$3309,GJ3291,IF($B$265=$B$3310,GL3291,IF($B$265=$B$3311,GN3291,IF($B$265=$B$3312,GP3291,IF($B$265=$B$3313,GR3291,IF($B$265=$B$3314,GT3291,IF($B$265=$B$3315,GV3291,IF($B$265=$B$3316,GX3291,IF($B$265=$B$3317,GZ3291,IF($B$265=$B$3318,HB3291,IF($B$265=$B$3319,HD3291,IF($B$265=$B$3320,HF3291,IF($B$265=$B$3321,HH3291,IF($B$265=$B$3322,HJ3291,IF($B$265=$B$3323,HL3291,IF($B$265=$B$3324,HN3291,IF($B$265=$B$3325,HP3291,IF($B$265=$B$3326,HR3291,IF($B$265=$B$3327,HT3291,IF($B$265=$B$3328,HV3291,IF($B$265=$B$3329,HX3291,""))))))))))))))))))))))))))))))))))))))))))))))))))))</f>
        <v/>
      </c>
      <c r="EA3291" s="470" t="str">
        <f>IF($B$265=$B$3278,EC3291,IF($B$265=$B$3279,EE3291,IF($B$265=$B$3280,EG3291,IF($B$265=$B$3281,EI3291,IF($B$265=$B$3282,EK3291,IF($B$265=$B$3283,EM3291,IF($B$265=$B$3284,EO3291,IF($B$265=$B$3285,EQ3291,IF($B$265=$B$3286,ES3291,IF($B$265=$B$3287,EU3291,IF($B$265=$B$3288,EW3291,IF($B$265=$B$3289,EY3291,IF($B$265=$B$3290,FA3291,IF($B$265=$B$3291,FC3291,IF($B$265=$B$3292,FE3291,IF($B$265=$B$3293,BK3291,IF($B$265=$B$3294,FG3291,IF($B$265=$B$3295,FI3291,IF($B$265=$B$3296,FK3291,IF($B$265=$B$3297,FM3291,IF($B$265=$B$3298,FO3291,IF($B$265=$B$3299,FQ3291,IF(BJ$265=$B$3300,FS3291,IF($B$265=$B$3301,FU3291,IF($B$265=$B$3302,FW3291,IF($B$265=$B$3303,FY3291,IF($B$265=$B$3304,GA3291,IF($B$265=$B$3305,GC3291,IF($B$265=$B$3306,GE3291,IF($B$265=$B$3307,GG3291,IF($B$265=$B$3308,GI3291,IF($B$265=$B$3309,GK3291,IF($B$265=$B$3310,GM3291,IF($B$265=$B$3311,GO3291,IF($B$265=$B$3312,GQ3291,IF($B$265=$B$3313,GS3291,IF($B$265=$B$3314,GU3291,IF($B$265=$B$3315,GW3291,IF($B$265=$B$3316,GY3291,IF($B$265=$B$3317,HA3291,IF($B$265=$B$3318,HC3291,IF($B$265=$B$3319,HE3291,IF($B$265=$B$3320,HG3291,IF($B$265=$B$3321,HI3291,IF($B$265=$B$3322,HK3291,IF($B$265=$B$3323,HM3291,IF($B$265=$B$3324,HO3291,IF($B$265=$B$3325,HQ3291,IF($B$265=$B$3326,HS3291,IF($B$265=$B$3327,HU3291,IF($B$265=$B$3328,HW3291,IF($B$265=$B$3329,HY3291,""))))))))))))))))))))))))))))))))))))))))))))))))))))</f>
        <v/>
      </c>
      <c r="EB3291" t="s">
        <v>3297</v>
      </c>
      <c r="EC3291" s="471" t="s">
        <v>3283</v>
      </c>
      <c r="EF3291" t="s">
        <v>3342</v>
      </c>
      <c r="EG3291" s="473" t="s">
        <v>3283</v>
      </c>
      <c r="EH3291" t="str">
        <f>EH3290</f>
        <v>Jeff Rogers</v>
      </c>
      <c r="EI3291" s="473" t="s">
        <v>3294</v>
      </c>
      <c r="EJ3291" t="s">
        <v>3384</v>
      </c>
      <c r="EK3291" s="473" t="s">
        <v>3294</v>
      </c>
      <c r="EL3291" t="s">
        <v>3434</v>
      </c>
      <c r="EM3291" s="473" t="str">
        <f>EM3283</f>
        <v>R</v>
      </c>
    </row>
    <row r="3292" spans="1:143" ht="15.5" hidden="1" x14ac:dyDescent="0.35">
      <c r="A3292" s="417" t="s">
        <v>1104</v>
      </c>
      <c r="B3292" s="418" t="s">
        <v>1105</v>
      </c>
      <c r="C3292" s="419">
        <v>50000</v>
      </c>
      <c r="D3292" s="427" t="s">
        <v>885</v>
      </c>
      <c r="G3292" s="420"/>
      <c r="H3292" s="420"/>
      <c r="I3292" s="420"/>
      <c r="J3292" s="420"/>
      <c r="K3292" s="420"/>
      <c r="L3292" s="420"/>
      <c r="M3292" s="420"/>
      <c r="N3292" s="420"/>
      <c r="O3292" s="420"/>
      <c r="P3292" s="420"/>
      <c r="Q3292" s="420"/>
      <c r="R3292" s="420"/>
      <c r="S3292" s="420"/>
      <c r="T3292" s="420"/>
      <c r="U3292" s="420"/>
      <c r="V3292" s="420"/>
      <c r="W3292" s="420"/>
      <c r="X3292" s="420"/>
      <c r="Y3292" s="420"/>
      <c r="Z3292" s="420"/>
      <c r="AB3292" s="429" t="s">
        <v>1106</v>
      </c>
      <c r="AC3292" s="245" t="s">
        <v>885</v>
      </c>
      <c r="AD3292" s="421" t="s">
        <v>1107</v>
      </c>
      <c r="AF3292" s="421">
        <v>2</v>
      </c>
      <c r="AI3292" s="421" t="str">
        <f>AI3286</f>
        <v>unspecfied</v>
      </c>
      <c r="AK3292" s="430" t="s">
        <v>1107</v>
      </c>
      <c r="AO3292" s="421" t="s">
        <v>1107</v>
      </c>
      <c r="AR3292" s="245" t="s">
        <v>885</v>
      </c>
      <c r="AS3292" s="245" t="s">
        <v>885</v>
      </c>
      <c r="AT3292" s="245" t="s">
        <v>885</v>
      </c>
      <c r="AU3292" s="245" t="s">
        <v>885</v>
      </c>
      <c r="AV3292" s="245" t="s">
        <v>885</v>
      </c>
      <c r="AW3292" s="245" t="s">
        <v>885</v>
      </c>
      <c r="AX3292" s="48">
        <v>15</v>
      </c>
      <c r="BB3292" s="402">
        <f t="shared" ca="1" si="140"/>
        <v>6250000</v>
      </c>
      <c r="BF3292" s="423">
        <v>25140</v>
      </c>
      <c r="BG3292" s="415">
        <f t="shared" si="141"/>
        <v>0</v>
      </c>
      <c r="BH3292" s="415">
        <f t="shared" si="143"/>
        <v>0</v>
      </c>
      <c r="BI3292" s="365">
        <f t="shared" si="144"/>
        <v>0</v>
      </c>
      <c r="BJ3292" s="157">
        <f t="shared" si="142"/>
        <v>0</v>
      </c>
      <c r="BK3292" s="416">
        <f t="shared" si="145"/>
        <v>0</v>
      </c>
      <c r="BS3292" s="464" t="str">
        <f>IF($B$265=B$3278,BZ3291,IF($B$265=B$3279,CA3291,IF($B$265=B$3280,CB3291,IF($B$265=B$3281,CC3291,IF($B$265=B$3282,CD3291,IF($B$265=B$3283,CE3291,IF($B$265=B$3284,CF3291,IF($B$265=B$3285,CG3291,IF($B$265=B$3286,CH3291,IF($B$265=B$3287,CI3291,IF($B$265=B$3288,CJ3291,IF($B$265=B$3289,CK3291,IF($B$265=B$3290,CL3291,IF($B$265=B$3291,CM3291,IF($B$265=B$3292,CN3291,IF($B$265=B$3293,C3291,IF($B$265=B$3294,CO3291,IF($B$265=B$3295,CP3291,IF($B$265=B$3296,CQ3291,IF($B$265=B$3297,CR3291,IF($B$265=B$3298,CS3291,IF($B$265=B$3299,CT3291,IF(B$265=B$3300,CU3291,IF($B$265=B$3301,CV3291,IF($B$265=B$3302,CW3291,IF($B$265=B$3303,CX3291,IF($B$265=B$3304,CY3291,IF($B$265=B$3305,CZ3291,IF($B$265=B$3306,DA3291,IF($B$265=B$3307,DB3291,IF($B$265=B$3308,DC3291,IF($B$265=B$3309,DD3291,IF($B$265=B$3310,DE3291,IF($B$265=B$3311,DF3291,IF($B$265=B$3312,DG3291,IF($B$265=B$3313,DH3291,IF($B$265=B$3314,DI3291,IF($B$265=B$3315,DJ3291,IF($B$265=B$3316,DK3291,IF($B$265=B$3317,DL3291,IF($B$265=B$3318,DM3291,IF($B$265=B$3319,DN3291,IF($B$265=B$3320,DO3291,IF($B$265=B$3321,DP3291,IF($B$265=B$3322,DQ3291,IF($B$265=B$3323,DR3291,IF($B$265=B$3324,DS3291,IF($B$265=B$3325,DT3291,IF($B$265=B$3326,DU3291,IF($B$265=B$3327,DV3291,IF($B$265=B$3328,DW3291,IF($B$265=B$3329,DX3291,""))))))))))))))))))))))))))))))))))))))))))))))))))))</f>
        <v/>
      </c>
      <c r="BZ3292" s="48" t="s">
        <v>1445</v>
      </c>
      <c r="CA3292" t="s">
        <v>1512</v>
      </c>
      <c r="CB3292" s="48" t="s">
        <v>1430</v>
      </c>
      <c r="CC3292" t="s">
        <v>1538</v>
      </c>
      <c r="CD3292" t="s">
        <v>1598</v>
      </c>
      <c r="CE3292" t="s">
        <v>1654</v>
      </c>
      <c r="CF3292" s="245" t="s">
        <v>885</v>
      </c>
      <c r="CG3292" s="245" t="s">
        <v>885</v>
      </c>
      <c r="CH3292" s="245" t="s">
        <v>885</v>
      </c>
      <c r="CI3292" t="s">
        <v>1716</v>
      </c>
      <c r="CJ3292" t="s">
        <v>1765</v>
      </c>
      <c r="CK3292" s="459" t="s">
        <v>885</v>
      </c>
      <c r="CL3292" t="s">
        <v>1879</v>
      </c>
      <c r="CM3292" t="s">
        <v>1908</v>
      </c>
      <c r="CN3292" t="s">
        <v>1958</v>
      </c>
      <c r="CO3292" t="s">
        <v>1904</v>
      </c>
      <c r="CP3292" t="s">
        <v>2047</v>
      </c>
      <c r="CQ3292" t="s">
        <v>2116</v>
      </c>
      <c r="CR3292" t="s">
        <v>2176</v>
      </c>
      <c r="CS3292" t="s">
        <v>148</v>
      </c>
      <c r="CT3292" s="245" t="s">
        <v>885</v>
      </c>
      <c r="CU3292" t="s">
        <v>2264</v>
      </c>
      <c r="CV3292" t="s">
        <v>1881</v>
      </c>
      <c r="CW3292" t="s">
        <v>2383</v>
      </c>
      <c r="CX3292" t="s">
        <v>1769</v>
      </c>
      <c r="CY3292" t="s">
        <v>2465</v>
      </c>
      <c r="CZ3292" t="s">
        <v>2045</v>
      </c>
      <c r="DA3292" t="s">
        <v>2540</v>
      </c>
      <c r="DB3292" s="459" t="s">
        <v>885</v>
      </c>
      <c r="DC3292" t="s">
        <v>2558</v>
      </c>
      <c r="DD3292" t="s">
        <v>1556</v>
      </c>
      <c r="DE3292" t="s">
        <v>2594</v>
      </c>
      <c r="DF3292" t="s">
        <v>1769</v>
      </c>
      <c r="DG3292" t="s">
        <v>2690</v>
      </c>
      <c r="DH3292" t="s">
        <v>2717</v>
      </c>
      <c r="DI3292" t="s">
        <v>2753</v>
      </c>
      <c r="DJ3292" t="s">
        <v>1466</v>
      </c>
      <c r="DK3292" t="s">
        <v>2813</v>
      </c>
      <c r="DL3292" s="459" t="s">
        <v>885</v>
      </c>
      <c r="DM3292" t="s">
        <v>2848</v>
      </c>
      <c r="DN3292" t="s">
        <v>2874</v>
      </c>
      <c r="DO3292" t="s">
        <v>2907</v>
      </c>
      <c r="DP3292" t="s">
        <v>2941</v>
      </c>
      <c r="DQ3292" t="s">
        <v>1482</v>
      </c>
      <c r="DR3292" s="459" t="s">
        <v>885</v>
      </c>
      <c r="DS3292" t="s">
        <v>2624</v>
      </c>
      <c r="DT3292" t="s">
        <v>3204</v>
      </c>
      <c r="DU3292" t="s">
        <v>1805</v>
      </c>
      <c r="DV3292" t="s">
        <v>3242</v>
      </c>
      <c r="DW3292" t="s">
        <v>1681</v>
      </c>
      <c r="DX3292" s="245" t="s">
        <v>885</v>
      </c>
      <c r="DY3292" s="245"/>
      <c r="DZ3292" s="470" t="str">
        <f>IF($B$265=$B$3278,EB3292,IF($B$265=$B$3279,ED3292,IF($B$265=$B$3280,EF3292,IF($B$265=$B$3281,EH3292,IF($B$265=$B$3282,EJ3292,IF($B$265=$B$3283,EL3292,IF($B$265=$B$3284,EN3292,IF($B$265=$B$3285,EP3292,IF($B$265=$B$3286,ER3292,IF($B$265=$B$3287,ET3292,IF($B$265=$B$3288,EV3292,IF($B$265=$B$3289,EX3292,IF($B$265=$B$3290,EZ3292,IF($B$265=$B$3291,FB3292,IF($B$265=$B$3292,FD3292,IF($B$265=$B$3293,BU3292,IF($B$265=$B$3294,FF3292,IF($B$265=$B$3295,FH3292,IF($B$265=$B$3296,FJ3292,IF($B$265=$B$3297,FL3292,IF($B$265=$B$3298,FN3292,IF($B$265=$B$3299,FP3292,IF(BI$265=$B$3300,FR3292,IF($B$265=$B$3301,FT3292,IF($B$265=$B$3302,FV3292,IF($B$265=$B$3303,FX3292,IF($B$265=$B$3304,FZ3292,IF($B$265=$B$3305,GB3292,IF($B$265=$B$3306,GD3292,IF($B$265=$B$3307,GF3292,IF($B$265=$B$3308,GH3292,IF($B$265=$B$3309,GJ3292,IF($B$265=$B$3310,GL3292,IF($B$265=$B$3311,GN3292,IF($B$265=$B$3312,GP3292,IF($B$265=$B$3313,GR3292,IF($B$265=$B$3314,GT3292,IF($B$265=$B$3315,GV3292,IF($B$265=$B$3316,GX3292,IF($B$265=$B$3317,GZ3292,IF($B$265=$B$3318,HB3292,IF($B$265=$B$3319,HD3292,IF($B$265=$B$3320,HF3292,IF($B$265=$B$3321,HH3292,IF($B$265=$B$3322,HJ3292,IF($B$265=$B$3323,HL3292,IF($B$265=$B$3324,HN3292,IF($B$265=$B$3325,HP3292,IF($B$265=$B$3326,HR3292,IF($B$265=$B$3327,HT3292,IF($B$265=$B$3328,HV3292,IF($B$265=$B$3329,HX3292,""))))))))))))))))))))))))))))))))))))))))))))))))))))</f>
        <v/>
      </c>
      <c r="EA3292" s="470" t="str">
        <f>IF($B$265=$B$3278,EC3292,IF($B$265=$B$3279,EE3292,IF($B$265=$B$3280,EG3292,IF($B$265=$B$3281,EI3292,IF($B$265=$B$3282,EK3292,IF($B$265=$B$3283,EM3292,IF($B$265=$B$3284,EO3292,IF($B$265=$B$3285,EQ3292,IF($B$265=$B$3286,ES3292,IF($B$265=$B$3287,EU3292,IF($B$265=$B$3288,EW3292,IF($B$265=$B$3289,EY3292,IF($B$265=$B$3290,FA3292,IF($B$265=$B$3291,FC3292,IF($B$265=$B$3292,FE3292,IF($B$265=$B$3293,BK3292,IF($B$265=$B$3294,FG3292,IF($B$265=$B$3295,FI3292,IF($B$265=$B$3296,FK3292,IF($B$265=$B$3297,FM3292,IF($B$265=$B$3298,FO3292,IF($B$265=$B$3299,FQ3292,IF(BJ$265=$B$3300,FS3292,IF($B$265=$B$3301,FU3292,IF($B$265=$B$3302,FW3292,IF($B$265=$B$3303,FY3292,IF($B$265=$B$3304,GA3292,IF($B$265=$B$3305,GC3292,IF($B$265=$B$3306,GE3292,IF($B$265=$B$3307,GG3292,IF($B$265=$B$3308,GI3292,IF($B$265=$B$3309,GK3292,IF($B$265=$B$3310,GM3292,IF($B$265=$B$3311,GO3292,IF($B$265=$B$3312,GQ3292,IF($B$265=$B$3313,GS3292,IF($B$265=$B$3314,GU3292,IF($B$265=$B$3315,GW3292,IF($B$265=$B$3316,GY3292,IF($B$265=$B$3317,HA3292,IF($B$265=$B$3318,HC3292,IF($B$265=$B$3319,HE3292,IF($B$265=$B$3320,HG3292,IF($B$265=$B$3321,HI3292,IF($B$265=$B$3322,HK3292,IF($B$265=$B$3323,HM3292,IF($B$265=$B$3324,HO3292,IF($B$265=$B$3325,HQ3292,IF($B$265=$B$3326,HS3292,IF($B$265=$B$3327,HU3292,IF($B$265=$B$3328,HW3292,IF($B$265=$B$3329,HY3292,""))))))))))))))))))))))))))))))))))))))))))))))))))))</f>
        <v/>
      </c>
      <c r="EB3292" t="str">
        <f>EB3285</f>
        <v>Brian A. McVeigh</v>
      </c>
      <c r="EC3292" t="str">
        <f>EC3285</f>
        <v>R</v>
      </c>
      <c r="EF3292" t="s">
        <v>3343</v>
      </c>
      <c r="EG3292" s="473" t="s">
        <v>3288</v>
      </c>
      <c r="EH3292" t="s">
        <v>3352</v>
      </c>
      <c r="EI3292" s="473" t="s">
        <v>3294</v>
      </c>
      <c r="EJ3292" t="s">
        <v>3385</v>
      </c>
      <c r="EK3292" s="473" t="s">
        <v>3294</v>
      </c>
      <c r="EL3292" t="str">
        <f>EL3286</f>
        <v>Linda Stanley</v>
      </c>
      <c r="EM3292" s="473" t="str">
        <f>EM3286</f>
        <v>R</v>
      </c>
    </row>
    <row r="3293" spans="1:143" ht="15.5" hidden="1" x14ac:dyDescent="0.35">
      <c r="A3293" s="417" t="s">
        <v>1108</v>
      </c>
      <c r="B3293" s="418" t="s">
        <v>1109</v>
      </c>
      <c r="C3293" s="419">
        <f>365.25*50</f>
        <v>18262.5</v>
      </c>
      <c r="D3293" s="427" t="s">
        <v>885</v>
      </c>
      <c r="G3293" s="420"/>
      <c r="H3293" s="420"/>
      <c r="I3293" s="420"/>
      <c r="J3293" s="420"/>
      <c r="K3293" s="420"/>
      <c r="L3293" s="420"/>
      <c r="M3293" s="420"/>
      <c r="N3293" s="420"/>
      <c r="O3293" s="420"/>
      <c r="P3293" s="420"/>
      <c r="Q3293" s="420"/>
      <c r="R3293" s="420"/>
      <c r="S3293" s="420"/>
      <c r="T3293" s="420"/>
      <c r="U3293" s="420"/>
      <c r="V3293" s="420"/>
      <c r="W3293" s="420"/>
      <c r="X3293" s="420"/>
      <c r="Y3293" s="420"/>
      <c r="Z3293" s="420"/>
      <c r="AA3293" s="431"/>
      <c r="AB3293" s="431" t="s">
        <v>1110</v>
      </c>
      <c r="AC3293" s="245" t="s">
        <v>885</v>
      </c>
      <c r="AD3293" s="48" t="s">
        <v>1111</v>
      </c>
      <c r="AF3293" s="421">
        <v>2</v>
      </c>
      <c r="AG3293" s="48">
        <v>2</v>
      </c>
      <c r="AH3293" s="48" t="s">
        <v>1046</v>
      </c>
      <c r="AI3293" s="48" t="str">
        <f>CONCATENATE(AG3293,AH3293)</f>
        <v>2 years</v>
      </c>
      <c r="AK3293" s="48" t="s">
        <v>1112</v>
      </c>
      <c r="AO3293" s="48" t="s">
        <v>1113</v>
      </c>
      <c r="AR3293" s="245" t="s">
        <v>885</v>
      </c>
      <c r="AS3293" s="48" t="s">
        <v>1066</v>
      </c>
      <c r="AW3293" s="245" t="s">
        <v>885</v>
      </c>
      <c r="AX3293" s="48">
        <v>16</v>
      </c>
      <c r="BB3293" s="402">
        <f t="shared" ca="1" si="140"/>
        <v>2282812.5</v>
      </c>
      <c r="BF3293" s="423">
        <v>28361</v>
      </c>
      <c r="BG3293" s="415">
        <f t="shared" si="141"/>
        <v>0</v>
      </c>
      <c r="BH3293" s="415">
        <f t="shared" si="143"/>
        <v>0</v>
      </c>
      <c r="BI3293" s="365">
        <f t="shared" si="144"/>
        <v>0</v>
      </c>
      <c r="BJ3293" s="157">
        <f t="shared" si="142"/>
        <v>0</v>
      </c>
      <c r="BK3293" s="416">
        <f t="shared" si="145"/>
        <v>0</v>
      </c>
      <c r="BN3293" s="1107">
        <f>IF(OR($AC$1127=0,$C$1153="",C$1129=AG$1129),0,$C$1153*$C$1129)</f>
        <v>0</v>
      </c>
      <c r="BO3293" s="927"/>
      <c r="BP3293" s="927"/>
      <c r="BQ3293" s="927"/>
      <c r="BS3293" s="464" t="str">
        <f>IF($B$265=B$3278,BZ3292,IF($B$265=B$3279,CA3292,IF($B$265=B$3280,CB3292,IF($B$265=B$3281,CC3292,IF($B$265=B$3282,CD3292,IF($B$265=B$3283,CE3292,IF($B$265=B$3284,CF3292,IF($B$265=B$3285,CG3292,IF($B$265=B$3286,CH3292,IF($B$265=B$3287,CI3292,IF($B$265=B$3288,CJ3292,IF($B$265=B$3289,CK3292,IF($B$265=B$3290,CL3292,IF($B$265=B$3291,CM3292,IF($B$265=B$3292,CN3292,IF($B$265=B$3293,C3292,IF($B$265=B$3294,CO3292,IF($B$265=B$3295,CP3292,IF($B$265=B$3296,CQ3292,IF($B$265=B$3297,CR3292,IF($B$265=B$3298,CS3292,IF($B$265=B$3299,CT3292,IF(B$265=B$3300,CU3292,IF($B$265=B$3301,CV3292,IF($B$265=B$3302,CW3292,IF($B$265=B$3303,CX3292,IF($B$265=B$3304,CY3292,IF($B$265=B$3305,CZ3292,IF($B$265=B$3306,DA3292,IF($B$265=B$3307,DB3292,IF($B$265=B$3308,DC3292,IF($B$265=B$3309,DD3292,IF($B$265=B$3310,DE3292,IF($B$265=B$3311,DF3292,IF($B$265=B$3312,DG3292,IF($B$265=B$3313,DH3292,IF($B$265=B$3314,DI3292,IF($B$265=B$3315,DJ3292,IF($B$265=B$3316,DK3292,IF($B$265=B$3317,DL3292,IF($B$265=B$3318,DM3292,IF($B$265=B$3319,DN3292,IF($B$265=B$3320,DO3292,IF($B$265=B$3321,DP3292,IF($B$265=B$3322,DQ3292,IF($B$265=B$3323,DR3292,IF($B$265=B$3324,DS3292,IF($B$265=B$3325,DT3292,IF($B$265=B$3326,DU3292,IF($B$265=B$3327,DV3292,IF($B$265=B$3328,DW3292,IF($B$265=B$3329,DX3292,""))))))))))))))))))))))))))))))))))))))))))))))))))))</f>
        <v/>
      </c>
      <c r="BZ3293" s="48" t="s">
        <v>1446</v>
      </c>
      <c r="CA3293" t="s">
        <v>1513</v>
      </c>
      <c r="CB3293" s="245" t="s">
        <v>885</v>
      </c>
      <c r="CC3293" t="s">
        <v>1539</v>
      </c>
      <c r="CD3293" t="s">
        <v>1599</v>
      </c>
      <c r="CE3293" t="s">
        <v>1655</v>
      </c>
      <c r="CF3293" s="245" t="s">
        <v>885</v>
      </c>
      <c r="CG3293" s="245" t="s">
        <v>885</v>
      </c>
      <c r="CH3293" s="245" t="s">
        <v>885</v>
      </c>
      <c r="CI3293" t="s">
        <v>1457</v>
      </c>
      <c r="CJ3293" t="s">
        <v>1766</v>
      </c>
      <c r="CK3293" s="459" t="s">
        <v>885</v>
      </c>
      <c r="CL3293" t="s">
        <v>1880</v>
      </c>
      <c r="CM3293" t="s">
        <v>1780</v>
      </c>
      <c r="CN3293" t="s">
        <v>1785</v>
      </c>
      <c r="CO3293" t="s">
        <v>2003</v>
      </c>
      <c r="CP3293" t="s">
        <v>2048</v>
      </c>
      <c r="CQ3293" t="s">
        <v>1437</v>
      </c>
      <c r="CR3293" t="s">
        <v>2177</v>
      </c>
      <c r="CS3293" t="s">
        <v>1481</v>
      </c>
      <c r="CT3293" s="245" t="s">
        <v>885</v>
      </c>
      <c r="CU3293" t="s">
        <v>2265</v>
      </c>
      <c r="CV3293" t="s">
        <v>1780</v>
      </c>
      <c r="CW3293" t="s">
        <v>1450</v>
      </c>
      <c r="CX3293" t="s">
        <v>2418</v>
      </c>
      <c r="CY3293" t="s">
        <v>1915</v>
      </c>
      <c r="CZ3293" t="s">
        <v>2497</v>
      </c>
      <c r="DA3293" t="s">
        <v>2541</v>
      </c>
      <c r="DB3293" s="459" t="s">
        <v>885</v>
      </c>
      <c r="DC3293" t="s">
        <v>2559</v>
      </c>
      <c r="DD3293" t="s">
        <v>2573</v>
      </c>
      <c r="DE3293" t="s">
        <v>2248</v>
      </c>
      <c r="DF3293" t="s">
        <v>2627</v>
      </c>
      <c r="DG3293" t="s">
        <v>2691</v>
      </c>
      <c r="DH3293" t="s">
        <v>2718</v>
      </c>
      <c r="DI3293" t="s">
        <v>2049</v>
      </c>
      <c r="DJ3293" t="s">
        <v>1467</v>
      </c>
      <c r="DK3293" t="s">
        <v>2814</v>
      </c>
      <c r="DL3293" s="459" t="s">
        <v>885</v>
      </c>
      <c r="DM3293" t="s">
        <v>2849</v>
      </c>
      <c r="DN3293" t="s">
        <v>1654</v>
      </c>
      <c r="DO3293" t="s">
        <v>1446</v>
      </c>
      <c r="DP3293" t="s">
        <v>2942</v>
      </c>
      <c r="DQ3293" t="s">
        <v>3098</v>
      </c>
      <c r="DR3293" s="459" t="s">
        <v>885</v>
      </c>
      <c r="DS3293" t="s">
        <v>2001</v>
      </c>
      <c r="DT3293" t="s">
        <v>1467</v>
      </c>
      <c r="DU3293" t="s">
        <v>3225</v>
      </c>
      <c r="DV3293" t="s">
        <v>1658</v>
      </c>
      <c r="DW3293" t="s">
        <v>2440</v>
      </c>
      <c r="DX3293" s="245" t="s">
        <v>885</v>
      </c>
      <c r="DY3293" s="245"/>
      <c r="DZ3293" s="470" t="str">
        <f>IF($B$265=$B$3278,EB3293,IF($B$265=$B$3279,ED3293,IF($B$265=$B$3280,EF3293,IF($B$265=$B$3281,EH3293,IF($B$265=$B$3282,EJ3293,IF($B$265=$B$3283,EL3293,IF($B$265=$B$3284,EN3293,IF($B$265=$B$3285,EP3293,IF($B$265=$B$3286,ER3293,IF($B$265=$B$3287,ET3293,IF($B$265=$B$3288,EV3293,IF($B$265=$B$3289,EX3293,IF($B$265=$B$3290,EZ3293,IF($B$265=$B$3291,FB3293,IF($B$265=$B$3292,FD3293,IF($B$265=$B$3293,BU3293,IF($B$265=$B$3294,FF3293,IF($B$265=$B$3295,FH3293,IF($B$265=$B$3296,FJ3293,IF($B$265=$B$3297,FL3293,IF($B$265=$B$3298,FN3293,IF($B$265=$B$3299,FP3293,IF(BI$265=$B$3300,FR3293,IF($B$265=$B$3301,FT3293,IF($B$265=$B$3302,FV3293,IF($B$265=$B$3303,FX3293,IF($B$265=$B$3304,FZ3293,IF($B$265=$B$3305,GB3293,IF($B$265=$B$3306,GD3293,IF($B$265=$B$3307,GF3293,IF($B$265=$B$3308,GH3293,IF($B$265=$B$3309,GJ3293,IF($B$265=$B$3310,GL3293,IF($B$265=$B$3311,GN3293,IF($B$265=$B$3312,GP3293,IF($B$265=$B$3313,GR3293,IF($B$265=$B$3314,GT3293,IF($B$265=$B$3315,GV3293,IF($B$265=$B$3316,GX3293,IF($B$265=$B$3317,GZ3293,IF($B$265=$B$3318,HB3293,IF($B$265=$B$3319,HD3293,IF($B$265=$B$3320,HF3293,IF($B$265=$B$3321,HH3293,IF($B$265=$B$3322,HJ3293,IF($B$265=$B$3323,HL3293,IF($B$265=$B$3324,HN3293,IF($B$265=$B$3325,HP3293,IF($B$265=$B$3326,HR3293,IF($B$265=$B$3327,HT3293,IF($B$265=$B$3328,HV3293,IF($B$265=$B$3329,HX3293,""))))))))))))))))))))))))))))))))))))))))))))))))))))</f>
        <v/>
      </c>
      <c r="EA3293" s="470" t="str">
        <f>IF($B$265=$B$3278,EC3293,IF($B$265=$B$3279,EE3293,IF($B$265=$B$3280,EG3293,IF($B$265=$B$3281,EI3293,IF($B$265=$B$3282,EK3293,IF($B$265=$B$3283,EM3293,IF($B$265=$B$3284,EO3293,IF($B$265=$B$3285,EQ3293,IF($B$265=$B$3286,ES3293,IF($B$265=$B$3287,EU3293,IF($B$265=$B$3288,EW3293,IF($B$265=$B$3289,EY3293,IF($B$265=$B$3290,FA3293,IF($B$265=$B$3291,FC3293,IF($B$265=$B$3292,FE3293,IF($B$265=$B$3293,BK3293,IF($B$265=$B$3294,FG3293,IF($B$265=$B$3295,FI3293,IF($B$265=$B$3296,FK3293,IF($B$265=$B$3297,FM3293,IF($B$265=$B$3298,FO3293,IF($B$265=$B$3299,FQ3293,IF(BJ$265=$B$3300,FS3293,IF($B$265=$B$3301,FU3293,IF($B$265=$B$3302,FW3293,IF($B$265=$B$3303,FY3293,IF($B$265=$B$3304,GA3293,IF($B$265=$B$3305,GC3293,IF($B$265=$B$3306,GE3293,IF($B$265=$B$3307,GG3293,IF($B$265=$B$3308,GI3293,IF($B$265=$B$3309,GK3293,IF($B$265=$B$3310,GM3293,IF($B$265=$B$3311,GO3293,IF($B$265=$B$3312,GQ3293,IF($B$265=$B$3313,GS3293,IF($B$265=$B$3314,GU3293,IF($B$265=$B$3315,GW3293,IF($B$265=$B$3316,GY3293,IF($B$265=$B$3317,HA3293,IF($B$265=$B$3318,HC3293,IF($B$265=$B$3319,HE3293,IF($B$265=$B$3320,HG3293,IF($B$265=$B$3321,HI3293,IF($B$265=$B$3322,HK3293,IF($B$265=$B$3323,HM3293,IF($B$265=$B$3324,HO3293,IF($B$265=$B$3325,HQ3293,IF($B$265=$B$3326,HS3293,IF($B$265=$B$3327,HU3293,IF($B$265=$B$3328,HW3293,IF($B$265=$B$3329,HY3293,""))))))))))))))))))))))))))))))))))))))))))))))))))))</f>
        <v/>
      </c>
      <c r="EB3293" t="s">
        <v>3298</v>
      </c>
      <c r="EC3293" s="471" t="s">
        <v>3283</v>
      </c>
      <c r="EH3293" t="str">
        <f>EH3288</f>
        <v>Scott Ellington</v>
      </c>
      <c r="EI3293" s="473" t="s">
        <v>3294</v>
      </c>
      <c r="EJ3293" t="s">
        <v>3386</v>
      </c>
      <c r="EK3293" s="473" t="s">
        <v>3294</v>
      </c>
      <c r="EL3293" t="s">
        <v>3438</v>
      </c>
      <c r="EM3293" s="473" t="s">
        <v>3283</v>
      </c>
    </row>
    <row r="3294" spans="1:143" ht="15.5" hidden="1" x14ac:dyDescent="0.35">
      <c r="A3294" s="417" t="s">
        <v>1114</v>
      </c>
      <c r="B3294" s="418" t="s">
        <v>1115</v>
      </c>
      <c r="C3294" s="419">
        <v>65000</v>
      </c>
      <c r="D3294" s="427" t="s">
        <v>885</v>
      </c>
      <c r="G3294" s="432">
        <v>25000</v>
      </c>
      <c r="H3294" s="432"/>
      <c r="I3294" s="432"/>
      <c r="J3294" s="432"/>
      <c r="K3294" s="432"/>
      <c r="L3294" s="432"/>
      <c r="M3294" s="432"/>
      <c r="N3294" s="432"/>
      <c r="O3294" s="432"/>
      <c r="P3294" s="432"/>
      <c r="Q3294" s="432"/>
      <c r="R3294" s="432"/>
      <c r="S3294" s="432"/>
      <c r="T3294" s="432"/>
      <c r="U3294" s="432"/>
      <c r="V3294" s="432"/>
      <c r="W3294" s="432"/>
      <c r="X3294" s="432"/>
      <c r="Y3294" s="432"/>
      <c r="Z3294" s="432"/>
      <c r="AB3294" s="429" t="s">
        <v>1116</v>
      </c>
      <c r="AC3294" s="245" t="s">
        <v>885</v>
      </c>
      <c r="AD3294" s="48" t="s">
        <v>150</v>
      </c>
      <c r="AF3294" s="421"/>
      <c r="AG3294" s="48">
        <v>2</v>
      </c>
      <c r="AH3294" s="48" t="s">
        <v>1046</v>
      </c>
      <c r="AI3294" s="48" t="str">
        <f>CONCATENATE(AG3294,AH3294)</f>
        <v>2 years</v>
      </c>
      <c r="AK3294" s="48" t="s">
        <v>1071</v>
      </c>
      <c r="AO3294" s="48" t="s">
        <v>1117</v>
      </c>
      <c r="AR3294" s="245" t="s">
        <v>885</v>
      </c>
      <c r="AS3294" s="245" t="s">
        <v>885</v>
      </c>
      <c r="AW3294" s="245" t="s">
        <v>885</v>
      </c>
      <c r="AX3294" s="48">
        <v>17</v>
      </c>
      <c r="BB3294" s="402">
        <f t="shared" ca="1" si="140"/>
        <v>8125000</v>
      </c>
      <c r="BF3294" s="423">
        <v>27870</v>
      </c>
      <c r="BG3294" s="415">
        <f t="shared" si="141"/>
        <v>0</v>
      </c>
      <c r="BH3294" s="415">
        <f t="shared" si="143"/>
        <v>0</v>
      </c>
      <c r="BI3294" s="365">
        <f t="shared" si="144"/>
        <v>0</v>
      </c>
      <c r="BJ3294" s="157">
        <f t="shared" si="142"/>
        <v>0</v>
      </c>
      <c r="BK3294" s="416">
        <f t="shared" si="145"/>
        <v>0</v>
      </c>
      <c r="BN3294" s="1107">
        <f>IF(OR($AC$1127=0,$C$1153="",C$1129=AG$1129),0,$C$1153*$C$1129)</f>
        <v>0</v>
      </c>
      <c r="BO3294" s="927"/>
      <c r="BP3294" s="927"/>
      <c r="BQ3294" s="927"/>
      <c r="BS3294" s="464" t="str">
        <f>IF($B$265=B$3278,BZ3293,IF($B$265=B$3279,CA3293,IF($B$265=B$3280,CB3293,IF($B$265=B$3281,CC3293,IF($B$265=B$3282,CD3293,IF($B$265=B$3283,CE3293,IF($B$265=B$3284,CF3293,IF($B$265=B$3285,CG3293,IF($B$265=B$3286,CH3293,IF($B$265=B$3287,CI3293,IF($B$265=B$3288,CJ3293,IF($B$265=B$3289,CK3293,IF($B$265=B$3290,CL3293,IF($B$265=B$3291,CM3293,IF($B$265=B$3292,CN3293,IF($B$265=B$3293,C3293,IF($B$265=B$3294,CO3293,IF($B$265=B$3295,CP3293,IF($B$265=B$3296,CQ3293,IF($B$265=B$3297,CR3293,IF($B$265=B$3298,CS3293,IF($B$265=B$3299,CT3293,IF(B$265=B$3300,CU3293,IF($B$265=B$3301,CV3293,IF($B$265=B$3302,CW3293,IF($B$265=B$3303,CX3293,IF($B$265=B$3304,CY3293,IF($B$265=B$3305,CZ3293,IF($B$265=B$3306,DA3293,IF($B$265=B$3307,DB3293,IF($B$265=B$3308,DC3293,IF($B$265=B$3309,DD3293,IF($B$265=B$3310,DE3293,IF($B$265=B$3311,DF3293,IF($B$265=B$3312,DG3293,IF($B$265=B$3313,DH3293,IF($B$265=B$3314,DI3293,IF($B$265=B$3315,DJ3293,IF($B$265=B$3316,DK3293,IF($B$265=B$3317,DL3293,IF($B$265=B$3318,DM3293,IF($B$265=B$3319,DN3293,IF($B$265=B$3320,DO3293,IF($B$265=B$3321,DP3293,IF($B$265=B$3322,DQ3293,IF($B$265=B$3323,DR3293,IF($B$265=B$3324,DS3293,IF($B$265=B$3325,DT3293,IF($B$265=B$3326,DU3293,IF($B$265=B$3327,DV3293,IF($B$265=B$3328,DW3293,IF($B$265=B$3329,DX3293,""))))))))))))))))))))))))))))))))))))))))))))))))))))</f>
        <v/>
      </c>
      <c r="BZ3294" s="48" t="s">
        <v>1447</v>
      </c>
      <c r="CA3294" t="s">
        <v>1514</v>
      </c>
      <c r="CB3294" s="245" t="s">
        <v>885</v>
      </c>
      <c r="CC3294" t="s">
        <v>1540</v>
      </c>
      <c r="CD3294" t="s">
        <v>1600</v>
      </c>
      <c r="CE3294" t="s">
        <v>1656</v>
      </c>
      <c r="CF3294" s="245" t="s">
        <v>885</v>
      </c>
      <c r="CG3294" s="245" t="s">
        <v>885</v>
      </c>
      <c r="CH3294" s="245" t="s">
        <v>885</v>
      </c>
      <c r="CI3294" t="s">
        <v>1717</v>
      </c>
      <c r="CJ3294" t="s">
        <v>1767</v>
      </c>
      <c r="CK3294" s="459" t="s">
        <v>885</v>
      </c>
      <c r="CL3294" t="s">
        <v>1535</v>
      </c>
      <c r="CM3294" t="s">
        <v>1540</v>
      </c>
      <c r="CN3294" t="s">
        <v>1455</v>
      </c>
      <c r="CO3294" t="s">
        <v>2004</v>
      </c>
      <c r="CP3294" t="s">
        <v>2049</v>
      </c>
      <c r="CQ3294" t="s">
        <v>2117</v>
      </c>
      <c r="CR3294" t="s">
        <v>2178</v>
      </c>
      <c r="CS3294" t="s">
        <v>2238</v>
      </c>
      <c r="CT3294" s="245" t="s">
        <v>885</v>
      </c>
      <c r="CU3294" t="s">
        <v>2266</v>
      </c>
      <c r="CV3294" t="s">
        <v>2325</v>
      </c>
      <c r="CW3294" t="s">
        <v>1714</v>
      </c>
      <c r="CX3294" t="s">
        <v>1533</v>
      </c>
      <c r="CY3294" t="s">
        <v>1663</v>
      </c>
      <c r="CZ3294" t="s">
        <v>1649</v>
      </c>
      <c r="DA3294" t="s">
        <v>2542</v>
      </c>
      <c r="DB3294" s="459" t="s">
        <v>885</v>
      </c>
      <c r="DC3294" t="s">
        <v>2560</v>
      </c>
      <c r="DD3294" t="s">
        <v>2574</v>
      </c>
      <c r="DE3294" t="s">
        <v>1460</v>
      </c>
      <c r="DF3294" t="s">
        <v>2628</v>
      </c>
      <c r="DG3294" t="s">
        <v>2467</v>
      </c>
      <c r="DH3294" t="s">
        <v>1540</v>
      </c>
      <c r="DI3294" t="s">
        <v>2754</v>
      </c>
      <c r="DJ3294" t="s">
        <v>2795</v>
      </c>
      <c r="DK3294" t="s">
        <v>2815</v>
      </c>
      <c r="DL3294" s="459" t="s">
        <v>885</v>
      </c>
      <c r="DM3294" t="s">
        <v>2850</v>
      </c>
      <c r="DN3294" t="s">
        <v>2875</v>
      </c>
      <c r="DO3294" t="s">
        <v>2908</v>
      </c>
      <c r="DP3294" t="s">
        <v>2943</v>
      </c>
      <c r="DQ3294" t="s">
        <v>3099</v>
      </c>
      <c r="DR3294" s="459" t="s">
        <v>885</v>
      </c>
      <c r="DS3294" t="s">
        <v>3126</v>
      </c>
      <c r="DT3294" t="s">
        <v>3012</v>
      </c>
      <c r="DU3294" t="s">
        <v>1964</v>
      </c>
      <c r="DV3294" t="s">
        <v>2689</v>
      </c>
      <c r="DW3294" t="s">
        <v>2093</v>
      </c>
      <c r="DX3294" s="245" t="s">
        <v>885</v>
      </c>
      <c r="DY3294" s="245"/>
      <c r="DZ3294" s="470" t="str">
        <f>IF($B$265=$B$3278,EB3294,IF($B$265=$B$3279,ED3294,IF($B$265=$B$3280,EF3294,IF($B$265=$B$3281,EH3294,IF($B$265=$B$3282,EJ3294,IF($B$265=$B$3283,EL3294,IF($B$265=$B$3284,EN3294,IF($B$265=$B$3285,EP3294,IF($B$265=$B$3286,ER3294,IF($B$265=$B$3287,ET3294,IF($B$265=$B$3288,EV3294,IF($B$265=$B$3289,EX3294,IF($B$265=$B$3290,EZ3294,IF($B$265=$B$3291,FB3294,IF($B$265=$B$3292,FD3294,IF($B$265=$B$3293,BU3294,IF($B$265=$B$3294,FF3294,IF($B$265=$B$3295,FH3294,IF($B$265=$B$3296,FJ3294,IF($B$265=$B$3297,FL3294,IF($B$265=$B$3298,FN3294,IF($B$265=$B$3299,FP3294,IF(BI$265=$B$3300,FR3294,IF($B$265=$B$3301,FT3294,IF($B$265=$B$3302,FV3294,IF($B$265=$B$3303,FX3294,IF($B$265=$B$3304,FZ3294,IF($B$265=$B$3305,GB3294,IF($B$265=$B$3306,GD3294,IF($B$265=$B$3307,GF3294,IF($B$265=$B$3308,GH3294,IF($B$265=$B$3309,GJ3294,IF($B$265=$B$3310,GL3294,IF($B$265=$B$3311,GN3294,IF($B$265=$B$3312,GP3294,IF($B$265=$B$3313,GR3294,IF($B$265=$B$3314,GT3294,IF($B$265=$B$3315,GV3294,IF($B$265=$B$3316,GX3294,IF($B$265=$B$3317,GZ3294,IF($B$265=$B$3318,HB3294,IF($B$265=$B$3319,HD3294,IF($B$265=$B$3320,HF3294,IF($B$265=$B$3321,HH3294,IF($B$265=$B$3322,HJ3294,IF($B$265=$B$3323,HL3294,IF($B$265=$B$3324,HN3294,IF($B$265=$B$3325,HP3294,IF($B$265=$B$3326,HR3294,IF($B$265=$B$3327,HT3294,IF($B$265=$B$3328,HV3294,IF($B$265=$B$3329,HX3294,""))))))))))))))))))))))))))))))))))))))))))))))))))))</f>
        <v/>
      </c>
      <c r="EA3294" s="470" t="str">
        <f>IF($B$265=$B$3278,EC3294,IF($B$265=$B$3279,EE3294,IF($B$265=$B$3280,EG3294,IF($B$265=$B$3281,EI3294,IF($B$265=$B$3282,EK3294,IF($B$265=$B$3283,EM3294,IF($B$265=$B$3284,EO3294,IF($B$265=$B$3285,EQ3294,IF($B$265=$B$3286,ES3294,IF($B$265=$B$3287,EU3294,IF($B$265=$B$3288,EW3294,IF($B$265=$B$3289,EY3294,IF($B$265=$B$3290,FA3294,IF($B$265=$B$3291,FC3294,IF($B$265=$B$3292,FE3294,IF($B$265=$B$3293,BK3294,IF($B$265=$B$3294,FG3294,IF($B$265=$B$3295,FI3294,IF($B$265=$B$3296,FK3294,IF($B$265=$B$3297,FM3294,IF($B$265=$B$3298,FO3294,IF($B$265=$B$3299,FQ3294,IF(BJ$265=$B$3300,FS3294,IF($B$265=$B$3301,FU3294,IF($B$265=$B$3302,FW3294,IF($B$265=$B$3303,FY3294,IF($B$265=$B$3304,GA3294,IF($B$265=$B$3305,GC3294,IF($B$265=$B$3306,GE3294,IF($B$265=$B$3307,GG3294,IF($B$265=$B$3308,GI3294,IF($B$265=$B$3309,GK3294,IF($B$265=$B$3310,GM3294,IF($B$265=$B$3311,GO3294,IF($B$265=$B$3312,GQ3294,IF($B$265=$B$3313,GS3294,IF($B$265=$B$3314,GU3294,IF($B$265=$B$3315,GW3294,IF($B$265=$B$3316,GY3294,IF($B$265=$B$3317,HA3294,IF($B$265=$B$3318,HC3294,IF($B$265=$B$3319,HE3294,IF($B$265=$B$3320,HG3294,IF($B$265=$B$3321,HI3294,IF($B$265=$B$3322,HK3294,IF($B$265=$B$3323,HM3294,IF($B$265=$B$3324,HO3294,IF($B$265=$B$3325,HQ3294,IF($B$265=$B$3326,HS3294,IF($B$265=$B$3327,HU3294,IF($B$265=$B$3328,HW3294,IF($B$265=$B$3329,HY3294,""))))))))))))))))))))))))))))))))))))))))))))))))))))</f>
        <v/>
      </c>
      <c r="EB3294" t="s">
        <v>3299</v>
      </c>
      <c r="EC3294" s="471" t="s">
        <v>3288</v>
      </c>
      <c r="EH3294" t="s">
        <v>3353</v>
      </c>
      <c r="EI3294" s="473" t="s">
        <v>3294</v>
      </c>
      <c r="EJ3294" t="s">
        <v>3387</v>
      </c>
      <c r="EK3294" s="473" t="s">
        <v>3294</v>
      </c>
      <c r="EL3294" t="s">
        <v>3439</v>
      </c>
      <c r="EM3294" s="473" t="s">
        <v>3288</v>
      </c>
    </row>
    <row r="3295" spans="1:143" ht="15.5" hidden="1" x14ac:dyDescent="0.35">
      <c r="A3295" s="417" t="s">
        <v>1118</v>
      </c>
      <c r="B3295" s="418" t="s">
        <v>1119</v>
      </c>
      <c r="C3295" s="427">
        <f>C3291</f>
        <v>0</v>
      </c>
      <c r="D3295" s="427" t="s">
        <v>885</v>
      </c>
      <c r="E3295" s="427" t="s">
        <v>885</v>
      </c>
      <c r="G3295" s="420"/>
      <c r="H3295" s="420"/>
      <c r="I3295" s="420"/>
      <c r="J3295" s="420"/>
      <c r="K3295" s="420"/>
      <c r="L3295" s="420"/>
      <c r="M3295" s="420"/>
      <c r="N3295" s="420"/>
      <c r="O3295" s="420"/>
      <c r="P3295" s="420"/>
      <c r="Q3295" s="420"/>
      <c r="R3295" s="420"/>
      <c r="S3295" s="420"/>
      <c r="T3295" s="420"/>
      <c r="U3295" s="420"/>
      <c r="V3295" s="420"/>
      <c r="W3295" s="420"/>
      <c r="X3295" s="420"/>
      <c r="Y3295" s="420"/>
      <c r="Z3295" s="420"/>
      <c r="AA3295" s="411"/>
      <c r="AB3295" s="411" t="s">
        <v>1027</v>
      </c>
      <c r="AC3295" s="245" t="s">
        <v>885</v>
      </c>
      <c r="AD3295" s="245" t="s">
        <v>885</v>
      </c>
      <c r="AE3295" s="245" t="s">
        <v>885</v>
      </c>
      <c r="AF3295" s="245" t="s">
        <v>885</v>
      </c>
      <c r="AG3295" s="245" t="s">
        <v>885</v>
      </c>
      <c r="AH3295" s="245" t="s">
        <v>885</v>
      </c>
      <c r="AI3295" s="245" t="s">
        <v>885</v>
      </c>
      <c r="AJ3295" s="245" t="s">
        <v>885</v>
      </c>
      <c r="AK3295" s="245" t="s">
        <v>885</v>
      </c>
      <c r="AL3295" s="245" t="s">
        <v>885</v>
      </c>
      <c r="AM3295" s="245" t="s">
        <v>885</v>
      </c>
      <c r="AN3295" s="245" t="s">
        <v>885</v>
      </c>
      <c r="AO3295" s="245" t="s">
        <v>885</v>
      </c>
      <c r="AP3295" s="245" t="s">
        <v>885</v>
      </c>
      <c r="AQ3295" s="245" t="s">
        <v>885</v>
      </c>
      <c r="AR3295" s="245" t="s">
        <v>885</v>
      </c>
      <c r="AS3295" s="245" t="s">
        <v>885</v>
      </c>
      <c r="AT3295" s="245" t="s">
        <v>885</v>
      </c>
      <c r="AU3295" s="245" t="s">
        <v>885</v>
      </c>
      <c r="AV3295" s="245" t="s">
        <v>885</v>
      </c>
      <c r="AW3295" s="245" t="s">
        <v>885</v>
      </c>
      <c r="AX3295" s="48">
        <v>18</v>
      </c>
      <c r="BB3295" s="402">
        <f t="shared" ca="1" si="140"/>
        <v>0</v>
      </c>
      <c r="BF3295" s="423">
        <v>23684</v>
      </c>
      <c r="BG3295" s="415">
        <f t="shared" si="141"/>
        <v>0</v>
      </c>
      <c r="BH3295" s="415">
        <f t="shared" si="143"/>
        <v>0</v>
      </c>
      <c r="BI3295" s="365">
        <f t="shared" si="144"/>
        <v>0</v>
      </c>
      <c r="BJ3295" s="157">
        <f t="shared" si="142"/>
        <v>0</v>
      </c>
      <c r="BK3295" s="416">
        <f t="shared" si="145"/>
        <v>0</v>
      </c>
      <c r="BS3295" s="464" t="str">
        <f>IF($B$265=B$3278,BZ3294,IF($B$265=B$3279,CA3294,IF($B$265=B$3280,CB3294,IF($B$265=B$3281,CC3294,IF($B$265=B$3282,CD3294,IF($B$265=B$3283,CE3294,IF($B$265=B$3284,CF3294,IF($B$265=B$3285,CG3294,IF($B$265=B$3286,CH3294,IF($B$265=B$3287,CI3294,IF($B$265=B$3288,CJ3294,IF($B$265=B$3289,CK3294,IF($B$265=B$3290,CL3294,IF($B$265=B$3291,CM3294,IF($B$265=B$3292,CN3294,IF($B$265=B$3293,C3294,IF($B$265=B$3294,CO3294,IF($B$265=B$3295,CP3294,IF($B$265=B$3296,CQ3294,IF($B$265=B$3297,CR3294,IF($B$265=B$3298,CS3294,IF($B$265=B$3299,CT3294,IF(B$265=B$3300,CU3294,IF($B$265=B$3301,CV3294,IF($B$265=B$3302,CW3294,IF($B$265=B$3303,CX3294,IF($B$265=B$3304,CY3294,IF($B$265=B$3305,CZ3294,IF($B$265=B$3306,DA3294,IF($B$265=B$3307,DB3294,IF($B$265=B$3308,DC3294,IF($B$265=B$3309,DD3294,IF($B$265=B$3310,DE3294,IF($B$265=B$3311,DF3294,IF($B$265=B$3312,DG3294,IF($B$265=B$3313,DH3294,IF($B$265=B$3314,DI3294,IF($B$265=B$3315,DJ3294,IF($B$265=B$3316,DK3294,IF($B$265=B$3317,DL3294,IF($B$265=B$3318,DM3294,IF($B$265=B$3319,DN3294,IF($B$265=B$3320,DO3294,IF($B$265=B$3321,DP3294,IF($B$265=B$3322,DQ3294,IF($B$265=B$3323,DR3294,IF($B$265=B$3324,DS3294,IF($B$265=B$3325,DT3294,IF($B$265=B$3326,DU3294,IF($B$265=B$3327,DV3294,IF($B$265=B$3328,DW3294,IF($B$265=B$3329,DX3294,""))))))))))))))))))))))))))))))))))))))))))))))))))))</f>
        <v/>
      </c>
      <c r="BZ3295" s="48" t="s">
        <v>1448</v>
      </c>
      <c r="CA3295" t="s">
        <v>1515</v>
      </c>
      <c r="CB3295" s="245" t="s">
        <v>885</v>
      </c>
      <c r="CC3295" t="s">
        <v>1541</v>
      </c>
      <c r="CD3295" t="s">
        <v>1601</v>
      </c>
      <c r="CE3295" t="s">
        <v>1657</v>
      </c>
      <c r="CF3295" s="245" t="s">
        <v>885</v>
      </c>
      <c r="CG3295" s="245" t="s">
        <v>885</v>
      </c>
      <c r="CH3295" s="245" t="s">
        <v>885</v>
      </c>
      <c r="CI3295" t="s">
        <v>1460</v>
      </c>
      <c r="CJ3295" t="s">
        <v>1768</v>
      </c>
      <c r="CK3295" s="459" t="s">
        <v>885</v>
      </c>
      <c r="CL3295" t="s">
        <v>1881</v>
      </c>
      <c r="CM3295" t="s">
        <v>1909</v>
      </c>
      <c r="CN3295" t="s">
        <v>1959</v>
      </c>
      <c r="CO3295" t="s">
        <v>1440</v>
      </c>
      <c r="CP3295" t="s">
        <v>2050</v>
      </c>
      <c r="CQ3295" t="s">
        <v>2118</v>
      </c>
      <c r="CR3295" t="s">
        <v>2179</v>
      </c>
      <c r="CS3295" t="s">
        <v>2239</v>
      </c>
      <c r="CT3295" s="245" t="s">
        <v>885</v>
      </c>
      <c r="CU3295" t="s">
        <v>2267</v>
      </c>
      <c r="CV3295" t="s">
        <v>2326</v>
      </c>
      <c r="CW3295" t="s">
        <v>2384</v>
      </c>
      <c r="CX3295" t="s">
        <v>2121</v>
      </c>
      <c r="CY3295" t="s">
        <v>2466</v>
      </c>
      <c r="CZ3295" t="s">
        <v>1444</v>
      </c>
      <c r="DA3295" s="459" t="s">
        <v>885</v>
      </c>
      <c r="DB3295" s="459" t="s">
        <v>885</v>
      </c>
      <c r="DC3295" t="s">
        <v>2241</v>
      </c>
      <c r="DD3295" t="s">
        <v>2575</v>
      </c>
      <c r="DE3295" t="s">
        <v>1546</v>
      </c>
      <c r="DF3295" t="s">
        <v>2629</v>
      </c>
      <c r="DG3295" t="s">
        <v>2692</v>
      </c>
      <c r="DH3295" t="s">
        <v>2719</v>
      </c>
      <c r="DI3295" t="s">
        <v>2755</v>
      </c>
      <c r="DJ3295" t="s">
        <v>2796</v>
      </c>
      <c r="DK3295" t="s">
        <v>1907</v>
      </c>
      <c r="DL3295" s="459" t="s">
        <v>885</v>
      </c>
      <c r="DM3295" t="s">
        <v>2234</v>
      </c>
      <c r="DN3295" t="s">
        <v>2876</v>
      </c>
      <c r="DO3295" t="s">
        <v>1909</v>
      </c>
      <c r="DP3295" t="s">
        <v>2944</v>
      </c>
      <c r="DQ3295" t="s">
        <v>3100</v>
      </c>
      <c r="DR3295" s="459" t="s">
        <v>885</v>
      </c>
      <c r="DS3295" t="s">
        <v>3127</v>
      </c>
      <c r="DT3295" t="s">
        <v>3205</v>
      </c>
      <c r="DU3295" t="s">
        <v>1466</v>
      </c>
      <c r="DV3295" t="s">
        <v>3243</v>
      </c>
      <c r="DW3295" t="s">
        <v>3278</v>
      </c>
      <c r="DX3295" s="245" t="s">
        <v>885</v>
      </c>
      <c r="DY3295" s="245"/>
      <c r="DZ3295" s="470" t="str">
        <f>IF($B$265=$B$3278,EB3295,IF($B$265=$B$3279,ED3295,IF($B$265=$B$3280,EF3295,IF($B$265=$B$3281,EH3295,IF($B$265=$B$3282,EJ3295,IF($B$265=$B$3283,EL3295,IF($B$265=$B$3284,EN3295,IF($B$265=$B$3285,EP3295,IF($B$265=$B$3286,ER3295,IF($B$265=$B$3287,ET3295,IF($B$265=$B$3288,EV3295,IF($B$265=$B$3289,EX3295,IF($B$265=$B$3290,EZ3295,IF($B$265=$B$3291,FB3295,IF($B$265=$B$3292,FD3295,IF($B$265=$B$3293,BU3295,IF($B$265=$B$3294,FF3295,IF($B$265=$B$3295,FH3295,IF($B$265=$B$3296,FJ3295,IF($B$265=$B$3297,FL3295,IF($B$265=$B$3298,FN3295,IF($B$265=$B$3299,FP3295,IF(BI$265=$B$3300,FR3295,IF($B$265=$B$3301,FT3295,IF($B$265=$B$3302,FV3295,IF($B$265=$B$3303,FX3295,IF($B$265=$B$3304,FZ3295,IF($B$265=$B$3305,GB3295,IF($B$265=$B$3306,GD3295,IF($B$265=$B$3307,GF3295,IF($B$265=$B$3308,GH3295,IF($B$265=$B$3309,GJ3295,IF($B$265=$B$3310,GL3295,IF($B$265=$B$3311,GN3295,IF($B$265=$B$3312,GP3295,IF($B$265=$B$3313,GR3295,IF($B$265=$B$3314,GT3295,IF($B$265=$B$3315,GV3295,IF($B$265=$B$3316,GX3295,IF($B$265=$B$3317,GZ3295,IF($B$265=$B$3318,HB3295,IF($B$265=$B$3319,HD3295,IF($B$265=$B$3320,HF3295,IF($B$265=$B$3321,HH3295,IF($B$265=$B$3322,HJ3295,IF($B$265=$B$3323,HL3295,IF($B$265=$B$3324,HN3295,IF($B$265=$B$3325,HP3295,IF($B$265=$B$3326,HR3295,IF($B$265=$B$3327,HT3295,IF($B$265=$B$3328,HV3295,IF($B$265=$B$3329,HX3295,""))))))))))))))))))))))))))))))))))))))))))))))))))))</f>
        <v/>
      </c>
      <c r="EA3295" s="470" t="str">
        <f>IF($B$265=$B$3278,EC3295,IF($B$265=$B$3279,EE3295,IF($B$265=$B$3280,EG3295,IF($B$265=$B$3281,EI3295,IF($B$265=$B$3282,EK3295,IF($B$265=$B$3283,EM3295,IF($B$265=$B$3284,EO3295,IF($B$265=$B$3285,EQ3295,IF($B$265=$B$3286,ES3295,IF($B$265=$B$3287,EU3295,IF($B$265=$B$3288,EW3295,IF($B$265=$B$3289,EY3295,IF($B$265=$B$3290,FA3295,IF($B$265=$B$3291,FC3295,IF($B$265=$B$3292,FE3295,IF($B$265=$B$3293,BK3295,IF($B$265=$B$3294,FG3295,IF($B$265=$B$3295,FI3295,IF($B$265=$B$3296,FK3295,IF($B$265=$B$3297,FM3295,IF($B$265=$B$3298,FO3295,IF($B$265=$B$3299,FQ3295,IF(BJ$265=$B$3300,FS3295,IF($B$265=$B$3301,FU3295,IF($B$265=$B$3302,FW3295,IF($B$265=$B$3303,FY3295,IF($B$265=$B$3304,GA3295,IF($B$265=$B$3305,GC3295,IF($B$265=$B$3306,GE3295,IF($B$265=$B$3307,GG3295,IF($B$265=$B$3308,GI3295,IF($B$265=$B$3309,GK3295,IF($B$265=$B$3310,GM3295,IF($B$265=$B$3311,GO3295,IF($B$265=$B$3312,GQ3295,IF($B$265=$B$3313,GS3295,IF($B$265=$B$3314,GU3295,IF($B$265=$B$3315,GW3295,IF($B$265=$B$3316,GY3295,IF($B$265=$B$3317,HA3295,IF($B$265=$B$3318,HC3295,IF($B$265=$B$3319,HE3295,IF($B$265=$B$3320,HG3295,IF($B$265=$B$3321,HI3295,IF($B$265=$B$3322,HK3295,IF($B$265=$B$3323,HM3295,IF($B$265=$B$3324,HO3295,IF($B$265=$B$3325,HQ3295,IF($B$265=$B$3326,HS3295,IF($B$265=$B$3327,HU3295,IF($B$265=$B$3328,HW3295,IF($B$265=$B$3329,HY3295,""))))))))))))))))))))))))))))))))))))))))))))))))))))</f>
        <v/>
      </c>
      <c r="EB3295" t="s">
        <v>3300</v>
      </c>
      <c r="EC3295" s="471" t="s">
        <v>3288</v>
      </c>
      <c r="EH3295" t="str">
        <f>EH3293</f>
        <v>Scott Ellington</v>
      </c>
      <c r="EI3295" s="473" t="s">
        <v>3294</v>
      </c>
      <c r="EJ3295" t="s">
        <v>3388</v>
      </c>
      <c r="EK3295" s="473" t="s">
        <v>3294</v>
      </c>
      <c r="EL3295" t="s">
        <v>3440</v>
      </c>
      <c r="EM3295" s="473" t="s">
        <v>3283</v>
      </c>
    </row>
    <row r="3296" spans="1:143" ht="15.5" hidden="1" x14ac:dyDescent="0.35">
      <c r="A3296" s="417" t="s">
        <v>1120</v>
      </c>
      <c r="B3296" s="418" t="s">
        <v>1121</v>
      </c>
      <c r="C3296" s="419">
        <v>25000</v>
      </c>
      <c r="D3296" s="419">
        <f>C3296*10</f>
        <v>250000</v>
      </c>
      <c r="G3296" s="420"/>
      <c r="H3296" s="420"/>
      <c r="I3296" s="420"/>
      <c r="J3296" s="420"/>
      <c r="K3296" s="420"/>
      <c r="L3296" s="420"/>
      <c r="M3296" s="420"/>
      <c r="N3296" s="420"/>
      <c r="O3296" s="420"/>
      <c r="P3296" s="420"/>
      <c r="Q3296" s="420"/>
      <c r="R3296" s="420"/>
      <c r="S3296" s="420"/>
      <c r="T3296" s="420"/>
      <c r="U3296" s="420"/>
      <c r="V3296" s="420"/>
      <c r="W3296" s="420"/>
      <c r="X3296" s="420"/>
      <c r="Y3296" s="420"/>
      <c r="Z3296" s="420"/>
      <c r="AB3296" s="48" t="s">
        <v>1122</v>
      </c>
      <c r="AC3296" s="245" t="s">
        <v>885</v>
      </c>
      <c r="AD3296" s="48" t="s">
        <v>1123</v>
      </c>
      <c r="AF3296" s="421">
        <v>2</v>
      </c>
      <c r="AG3296" s="48">
        <v>2</v>
      </c>
      <c r="AH3296" s="48" t="s">
        <v>1046</v>
      </c>
      <c r="AI3296" s="48" t="str">
        <f>CONCATENATE(AG3296,AH3296)</f>
        <v>2 years</v>
      </c>
      <c r="AK3296" s="48" t="s">
        <v>1071</v>
      </c>
      <c r="AO3296" s="48" t="s">
        <v>1124</v>
      </c>
      <c r="AR3296" s="245" t="s">
        <v>885</v>
      </c>
      <c r="AS3296" s="48" t="s">
        <v>1066</v>
      </c>
      <c r="AW3296" s="245" t="s">
        <v>885</v>
      </c>
      <c r="AX3296" s="48">
        <v>19</v>
      </c>
      <c r="BB3296" s="402">
        <f t="shared" ca="1" si="140"/>
        <v>250000</v>
      </c>
      <c r="BF3296" s="423">
        <v>24800</v>
      </c>
      <c r="BG3296" s="415">
        <f t="shared" si="141"/>
        <v>0</v>
      </c>
      <c r="BH3296" s="415">
        <f t="shared" si="143"/>
        <v>0</v>
      </c>
      <c r="BI3296" s="365">
        <f t="shared" si="144"/>
        <v>0</v>
      </c>
      <c r="BJ3296" s="157">
        <f t="shared" si="142"/>
        <v>0</v>
      </c>
      <c r="BK3296" s="416">
        <f t="shared" si="145"/>
        <v>0</v>
      </c>
      <c r="BN3296" s="1107">
        <f t="shared" ref="BN3296:BN3305" si="146">IF(OR($AC$1127=0,$C$1153="",C$1129=AG$1129),0,$C$1153*$C$1129)</f>
        <v>0</v>
      </c>
      <c r="BO3296" s="927"/>
      <c r="BP3296" s="927"/>
      <c r="BQ3296" s="927"/>
      <c r="BS3296" s="464" t="str">
        <f>IF($B$265=B$3278,BZ3295,IF($B$265=B$3279,CA3295,IF($B$265=B$3280,CB3295,IF($B$265=B$3281,CC3295,IF($B$265=B$3282,CD3295,IF($B$265=B$3283,CE3295,IF($B$265=B$3284,CF3295,IF($B$265=B$3285,CG3295,IF($B$265=B$3286,CH3295,IF($B$265=B$3287,CI3295,IF($B$265=B$3288,CJ3295,IF($B$265=B$3289,CK3295,IF($B$265=B$3290,CL3295,IF($B$265=B$3291,CM3295,IF($B$265=B$3292,CN3295,IF($B$265=B$3293,C3295,IF($B$265=B$3294,CO3295,IF($B$265=B$3295,CP3295,IF($B$265=B$3296,CQ3295,IF($B$265=B$3297,CR3295,IF($B$265=B$3298,CS3295,IF($B$265=B$3299,CT3295,IF(B$265=B$3300,CU3295,IF($B$265=B$3301,CV3295,IF($B$265=B$3302,CW3295,IF($B$265=B$3303,CX3295,IF($B$265=B$3304,CY3295,IF($B$265=B$3305,CZ3295,IF($B$265=B$3306,DA3295,IF($B$265=B$3307,DB3295,IF($B$265=B$3308,DC3295,IF($B$265=B$3309,DD3295,IF($B$265=B$3310,DE3295,IF($B$265=B$3311,DF3295,IF($B$265=B$3312,DG3295,IF($B$265=B$3313,DH3295,IF($B$265=B$3314,DI3295,IF($B$265=B$3315,DJ3295,IF($B$265=B$3316,DK3295,IF($B$265=B$3317,DL3295,IF($B$265=B$3318,DM3295,IF($B$265=B$3319,DN3295,IF($B$265=B$3320,DO3295,IF($B$265=B$3321,DP3295,IF($B$265=B$3322,DQ3295,IF($B$265=B$3323,DR3295,IF($B$265=B$3324,DS3295,IF($B$265=B$3325,DT3295,IF($B$265=B$3326,DU3295,IF($B$265=B$3327,DV3295,IF($B$265=B$3328,DW3295,IF($B$265=B$3329,DX3295,""))))))))))))))))))))))))))))))))))))))))))))))))))))</f>
        <v/>
      </c>
      <c r="BZ3296" s="48" t="s">
        <v>1449</v>
      </c>
      <c r="CA3296" t="s">
        <v>1516</v>
      </c>
      <c r="CB3296" s="245" t="s">
        <v>885</v>
      </c>
      <c r="CC3296" t="s">
        <v>1542</v>
      </c>
      <c r="CD3296" t="s">
        <v>1602</v>
      </c>
      <c r="CE3296" t="s">
        <v>1658</v>
      </c>
      <c r="CF3296" s="245" t="s">
        <v>885</v>
      </c>
      <c r="CG3296" s="245" t="s">
        <v>885</v>
      </c>
      <c r="CH3296" s="245" t="s">
        <v>885</v>
      </c>
      <c r="CI3296" t="s">
        <v>1718</v>
      </c>
      <c r="CJ3296" t="s">
        <v>1438</v>
      </c>
      <c r="CK3296" s="459" t="s">
        <v>885</v>
      </c>
      <c r="CL3296" t="s">
        <v>1654</v>
      </c>
      <c r="CM3296" t="s">
        <v>1455</v>
      </c>
      <c r="CN3296" t="s">
        <v>1960</v>
      </c>
      <c r="CO3296" t="s">
        <v>2005</v>
      </c>
      <c r="CP3296" t="s">
        <v>1540</v>
      </c>
      <c r="CQ3296" t="s">
        <v>2119</v>
      </c>
      <c r="CR3296" t="s">
        <v>2180</v>
      </c>
      <c r="CS3296" t="s">
        <v>2240</v>
      </c>
      <c r="CT3296" s="245" t="s">
        <v>885</v>
      </c>
      <c r="CU3296" t="s">
        <v>1907</v>
      </c>
      <c r="CV3296" t="s">
        <v>2327</v>
      </c>
      <c r="CW3296" t="s">
        <v>1460</v>
      </c>
      <c r="CX3296" t="s">
        <v>1904</v>
      </c>
      <c r="CY3296" t="s">
        <v>2467</v>
      </c>
      <c r="CZ3296" t="s">
        <v>2498</v>
      </c>
      <c r="DA3296" s="459" t="s">
        <v>885</v>
      </c>
      <c r="DB3296" s="459" t="s">
        <v>885</v>
      </c>
      <c r="DC3296" t="s">
        <v>1704</v>
      </c>
      <c r="DD3296" t="s">
        <v>2576</v>
      </c>
      <c r="DE3296" t="s">
        <v>2269</v>
      </c>
      <c r="DF3296" t="s">
        <v>1773</v>
      </c>
      <c r="DG3296" t="s">
        <v>1548</v>
      </c>
      <c r="DH3296" t="s">
        <v>2720</v>
      </c>
      <c r="DI3296" t="s">
        <v>2756</v>
      </c>
      <c r="DJ3296" t="s">
        <v>1600</v>
      </c>
      <c r="DK3296" t="s">
        <v>1537</v>
      </c>
      <c r="DL3296" s="459" t="s">
        <v>885</v>
      </c>
      <c r="DM3296" t="s">
        <v>2851</v>
      </c>
      <c r="DN3296" t="s">
        <v>2501</v>
      </c>
      <c r="DO3296" t="s">
        <v>2635</v>
      </c>
      <c r="DP3296" t="s">
        <v>2945</v>
      </c>
      <c r="DQ3296" t="s">
        <v>1689</v>
      </c>
      <c r="DR3296" s="459" t="s">
        <v>885</v>
      </c>
      <c r="DS3296" t="s">
        <v>2119</v>
      </c>
      <c r="DT3296" t="s">
        <v>3206</v>
      </c>
      <c r="DU3296" t="s">
        <v>1467</v>
      </c>
      <c r="DV3296" t="s">
        <v>2852</v>
      </c>
      <c r="DW3296" t="s">
        <v>3279</v>
      </c>
      <c r="DX3296" s="245" t="s">
        <v>885</v>
      </c>
      <c r="DY3296" s="245"/>
      <c r="DZ3296" s="470" t="str">
        <f>IF($B$265=$B$3278,EB3296,IF($B$265=$B$3279,ED3296,IF($B$265=$B$3280,EF3296,IF($B$265=$B$3281,EH3296,IF($B$265=$B$3282,EJ3296,IF($B$265=$B$3283,EL3296,IF($B$265=$B$3284,EN3296,IF($B$265=$B$3285,EP3296,IF($B$265=$B$3286,ER3296,IF($B$265=$B$3287,ET3296,IF($B$265=$B$3288,EV3296,IF($B$265=$B$3289,EX3296,IF($B$265=$B$3290,EZ3296,IF($B$265=$B$3291,FB3296,IF($B$265=$B$3292,FD3296,IF($B$265=$B$3293,BU3296,IF($B$265=$B$3294,FF3296,IF($B$265=$B$3295,FH3296,IF($B$265=$B$3296,FJ3296,IF($B$265=$B$3297,FL3296,IF($B$265=$B$3298,FN3296,IF($B$265=$B$3299,FP3296,IF(BI$265=$B$3300,FR3296,IF($B$265=$B$3301,FT3296,IF($B$265=$B$3302,FV3296,IF($B$265=$B$3303,FX3296,IF($B$265=$B$3304,FZ3296,IF($B$265=$B$3305,GB3296,IF($B$265=$B$3306,GD3296,IF($B$265=$B$3307,GF3296,IF($B$265=$B$3308,GH3296,IF($B$265=$B$3309,GJ3296,IF($B$265=$B$3310,GL3296,IF($B$265=$B$3311,GN3296,IF($B$265=$B$3312,GP3296,IF($B$265=$B$3313,GR3296,IF($B$265=$B$3314,GT3296,IF($B$265=$B$3315,GV3296,IF($B$265=$B$3316,GX3296,IF($B$265=$B$3317,GZ3296,IF($B$265=$B$3318,HB3296,IF($B$265=$B$3319,HD3296,IF($B$265=$B$3320,HF3296,IF($B$265=$B$3321,HH3296,IF($B$265=$B$3322,HJ3296,IF($B$265=$B$3323,HL3296,IF($B$265=$B$3324,HN3296,IF($B$265=$B$3325,HP3296,IF($B$265=$B$3326,HR3296,IF($B$265=$B$3327,HT3296,IF($B$265=$B$3328,HV3296,IF($B$265=$B$3329,HX3296,""))))))))))))))))))))))))))))))))))))))))))))))))))))</f>
        <v/>
      </c>
      <c r="EA3296" s="470" t="str">
        <f>IF($B$265=$B$3278,EC3296,IF($B$265=$B$3279,EE3296,IF($B$265=$B$3280,EG3296,IF($B$265=$B$3281,EI3296,IF($B$265=$B$3282,EK3296,IF($B$265=$B$3283,EM3296,IF($B$265=$B$3284,EO3296,IF($B$265=$B$3285,EQ3296,IF($B$265=$B$3286,ES3296,IF($B$265=$B$3287,EU3296,IF($B$265=$B$3288,EW3296,IF($B$265=$B$3289,EY3296,IF($B$265=$B$3290,FA3296,IF($B$265=$B$3291,FC3296,IF($B$265=$B$3292,FE3296,IF($B$265=$B$3293,BK3296,IF($B$265=$B$3294,FG3296,IF($B$265=$B$3295,FI3296,IF($B$265=$B$3296,FK3296,IF($B$265=$B$3297,FM3296,IF($B$265=$B$3298,FO3296,IF($B$265=$B$3299,FQ3296,IF(BJ$265=$B$3300,FS3296,IF($B$265=$B$3301,FU3296,IF($B$265=$B$3302,FW3296,IF($B$265=$B$3303,FY3296,IF($B$265=$B$3304,GA3296,IF($B$265=$B$3305,GC3296,IF($B$265=$B$3306,GE3296,IF($B$265=$B$3307,GG3296,IF($B$265=$B$3308,GI3296,IF($B$265=$B$3309,GK3296,IF($B$265=$B$3310,GM3296,IF($B$265=$B$3311,GO3296,IF($B$265=$B$3312,GQ3296,IF($B$265=$B$3313,GS3296,IF($B$265=$B$3314,GU3296,IF($B$265=$B$3315,GW3296,IF($B$265=$B$3316,GY3296,IF($B$265=$B$3317,HA3296,IF($B$265=$B$3318,HC3296,IF($B$265=$B$3319,HE3296,IF($B$265=$B$3320,HG3296,IF($B$265=$B$3321,HI3296,IF($B$265=$B$3322,HK3296,IF($B$265=$B$3323,HM3296,IF($B$265=$B$3324,HO3296,IF($B$265=$B$3325,HQ3296,IF($B$265=$B$3326,HS3296,IF($B$265=$B$3327,HU3296,IF($B$265=$B$3328,HW3296,IF($B$265=$B$3329,HY3296,""))))))))))))))))))))))))))))))))))))))))))))))))))))</f>
        <v/>
      </c>
      <c r="EB3296" t="str">
        <f>EB3291</f>
        <v>Jeffrey A. Willis</v>
      </c>
      <c r="EC3296" t="str">
        <f>EC3291</f>
        <v>R</v>
      </c>
      <c r="EH3296" t="s">
        <v>3354</v>
      </c>
      <c r="EI3296" s="473" t="s">
        <v>3294</v>
      </c>
      <c r="EJ3296" t="s">
        <v>3389</v>
      </c>
      <c r="EK3296" s="473" t="s">
        <v>3294</v>
      </c>
      <c r="EL3296" t="str">
        <f>EL3280</f>
        <v>John Kellner</v>
      </c>
      <c r="EM3296" s="473" t="str">
        <f>EM3280</f>
        <v>R</v>
      </c>
    </row>
    <row r="3297" spans="1:143" ht="15.5" hidden="1" x14ac:dyDescent="0.35">
      <c r="A3297" s="417" t="s">
        <v>1125</v>
      </c>
      <c r="B3297" s="418" t="s">
        <v>1126</v>
      </c>
      <c r="C3297" s="427">
        <f>C3295</f>
        <v>0</v>
      </c>
      <c r="D3297" s="419">
        <v>300000</v>
      </c>
      <c r="G3297" s="420"/>
      <c r="H3297" s="420"/>
      <c r="I3297" s="420"/>
      <c r="J3297" s="420"/>
      <c r="K3297" s="420"/>
      <c r="L3297" s="420"/>
      <c r="M3297" s="420"/>
      <c r="N3297" s="420"/>
      <c r="O3297" s="420"/>
      <c r="P3297" s="420"/>
      <c r="Q3297" s="420"/>
      <c r="R3297" s="420"/>
      <c r="S3297" s="420"/>
      <c r="T3297" s="420"/>
      <c r="U3297" s="420"/>
      <c r="V3297" s="420"/>
      <c r="W3297" s="420"/>
      <c r="X3297" s="420"/>
      <c r="Y3297" s="420"/>
      <c r="Z3297" s="420"/>
      <c r="AB3297" s="48" t="s">
        <v>1127</v>
      </c>
      <c r="AC3297" s="245" t="s">
        <v>885</v>
      </c>
      <c r="AD3297" s="48" t="s">
        <v>1128</v>
      </c>
      <c r="AF3297" s="421">
        <v>2</v>
      </c>
      <c r="AG3297" s="48">
        <v>2</v>
      </c>
      <c r="AH3297" s="48" t="s">
        <v>1046</v>
      </c>
      <c r="AI3297" s="48" t="str">
        <f>CONCATENATE(AG3297,AH3297)</f>
        <v>2 years</v>
      </c>
      <c r="AK3297" s="48" t="s">
        <v>1047</v>
      </c>
      <c r="AO3297" s="48" t="s">
        <v>1129</v>
      </c>
      <c r="AR3297" s="245" t="s">
        <v>885</v>
      </c>
      <c r="AS3297" s="48" t="s">
        <v>1066</v>
      </c>
      <c r="AW3297" s="245" t="s">
        <v>885</v>
      </c>
      <c r="AX3297" s="48">
        <v>20</v>
      </c>
      <c r="BB3297" s="402">
        <f t="shared" ca="1" si="140"/>
        <v>0</v>
      </c>
      <c r="BF3297" s="423">
        <v>27978</v>
      </c>
      <c r="BG3297" s="415">
        <f t="shared" si="141"/>
        <v>0</v>
      </c>
      <c r="BH3297" s="415">
        <f t="shared" si="143"/>
        <v>0</v>
      </c>
      <c r="BI3297" s="365">
        <f t="shared" si="144"/>
        <v>0</v>
      </c>
      <c r="BJ3297" s="157">
        <f t="shared" si="142"/>
        <v>0</v>
      </c>
      <c r="BK3297" s="416">
        <f t="shared" si="145"/>
        <v>0</v>
      </c>
      <c r="BN3297" s="1107">
        <f t="shared" si="146"/>
        <v>0</v>
      </c>
      <c r="BO3297" s="927"/>
      <c r="BP3297" s="927"/>
      <c r="BQ3297" s="927"/>
      <c r="BS3297" s="464" t="str">
        <f>IF($B$265=B$3278,BZ3296,IF($B$265=B$3279,CA3296,IF($B$265=B$3280,CB3296,IF($B$265=B$3281,CC3296,IF($B$265=B$3282,CD3296,IF($B$265=B$3283,CE3296,IF($B$265=B$3284,CF3296,IF($B$265=B$3285,CG3296,IF($B$265=B$3286,CH3296,IF($B$265=B$3287,CI3296,IF($B$265=B$3288,CJ3296,IF($B$265=B$3289,CK3296,IF($B$265=B$3290,CL3296,IF($B$265=B$3291,CM3296,IF($B$265=B$3292,CN3296,IF($B$265=B$3293,C3296,IF($B$265=B$3294,CO3296,IF($B$265=B$3295,CP3296,IF($B$265=B$3296,CQ3296,IF($B$265=B$3297,CR3296,IF($B$265=B$3298,CS3296,IF($B$265=B$3299,CT3296,IF(B$265=B$3300,CU3296,IF($B$265=B$3301,CV3296,IF($B$265=B$3302,CW3296,IF($B$265=B$3303,CX3296,IF($B$265=B$3304,CY3296,IF($B$265=B$3305,CZ3296,IF($B$265=B$3306,DA3296,IF($B$265=B$3307,DB3296,IF($B$265=B$3308,DC3296,IF($B$265=B$3309,DD3296,IF($B$265=B$3310,DE3296,IF($B$265=B$3311,DF3296,IF($B$265=B$3312,DG3296,IF($B$265=B$3313,DH3296,IF($B$265=B$3314,DI3296,IF($B$265=B$3315,DJ3296,IF($B$265=B$3316,DK3296,IF($B$265=B$3317,DL3296,IF($B$265=B$3318,DM3296,IF($B$265=B$3319,DN3296,IF($B$265=B$3320,DO3296,IF($B$265=B$3321,DP3296,IF($B$265=B$3322,DQ3296,IF($B$265=B$3323,DR3296,IF($B$265=B$3324,DS3296,IF($B$265=B$3325,DT3296,IF($B$265=B$3326,DU3296,IF($B$265=B$3327,DV3296,IF($B$265=B$3328,DW3296,IF($B$265=B$3329,DX3296,""))))))))))))))))))))))))))))))))))))))))))))))))))))</f>
        <v/>
      </c>
      <c r="BZ3297" s="48" t="s">
        <v>1450</v>
      </c>
      <c r="CA3297" t="s">
        <v>1517</v>
      </c>
      <c r="CB3297" s="245" t="s">
        <v>885</v>
      </c>
      <c r="CC3297" t="s">
        <v>1454</v>
      </c>
      <c r="CD3297" t="s">
        <v>1603</v>
      </c>
      <c r="CE3297" t="s">
        <v>1659</v>
      </c>
      <c r="CF3297" s="245" t="s">
        <v>885</v>
      </c>
      <c r="CG3297" s="245" t="s">
        <v>885</v>
      </c>
      <c r="CH3297" s="245" t="s">
        <v>885</v>
      </c>
      <c r="CI3297" t="s">
        <v>1719</v>
      </c>
      <c r="CJ3297" t="s">
        <v>1769</v>
      </c>
      <c r="CK3297" s="459" t="s">
        <v>885</v>
      </c>
      <c r="CL3297" t="s">
        <v>1456</v>
      </c>
      <c r="CM3297" t="s">
        <v>1910</v>
      </c>
      <c r="CN3297" t="s">
        <v>1961</v>
      </c>
      <c r="CO3297" t="s">
        <v>1443</v>
      </c>
      <c r="CP3297" t="s">
        <v>1785</v>
      </c>
      <c r="CQ3297" t="s">
        <v>2120</v>
      </c>
      <c r="CR3297" t="s">
        <v>2181</v>
      </c>
      <c r="CS3297" t="s">
        <v>2241</v>
      </c>
      <c r="CT3297" s="245" t="s">
        <v>885</v>
      </c>
      <c r="CU3297" t="s">
        <v>1540</v>
      </c>
      <c r="CV3297" t="s">
        <v>1786</v>
      </c>
      <c r="CW3297" t="s">
        <v>2385</v>
      </c>
      <c r="CX3297" t="s">
        <v>2003</v>
      </c>
      <c r="CY3297" t="s">
        <v>2468</v>
      </c>
      <c r="CZ3297" t="s">
        <v>2499</v>
      </c>
      <c r="DA3297" s="459" t="s">
        <v>885</v>
      </c>
      <c r="DB3297" s="459" t="s">
        <v>885</v>
      </c>
      <c r="DC3297" t="s">
        <v>1579</v>
      </c>
      <c r="DD3297" t="s">
        <v>1679</v>
      </c>
      <c r="DE3297" t="s">
        <v>1462</v>
      </c>
      <c r="DF3297" t="s">
        <v>1440</v>
      </c>
      <c r="DG3297" t="s">
        <v>2693</v>
      </c>
      <c r="DH3297" t="s">
        <v>2721</v>
      </c>
      <c r="DI3297" t="s">
        <v>1654</v>
      </c>
      <c r="DJ3297" t="s">
        <v>2069</v>
      </c>
      <c r="DK3297" t="s">
        <v>1540</v>
      </c>
      <c r="DL3297" s="459" t="s">
        <v>885</v>
      </c>
      <c r="DM3297" t="s">
        <v>1695</v>
      </c>
      <c r="DN3297" t="s">
        <v>2757</v>
      </c>
      <c r="DO3297" t="s">
        <v>1785</v>
      </c>
      <c r="DP3297" t="s">
        <v>2946</v>
      </c>
      <c r="DQ3297" t="s">
        <v>3101</v>
      </c>
      <c r="DR3297" s="459" t="s">
        <v>885</v>
      </c>
      <c r="DS3297" t="s">
        <v>2231</v>
      </c>
      <c r="DT3297" t="s">
        <v>3207</v>
      </c>
      <c r="DU3297" t="s">
        <v>3226</v>
      </c>
      <c r="DV3297" t="s">
        <v>3244</v>
      </c>
      <c r="DW3297" t="s">
        <v>1897</v>
      </c>
      <c r="DX3297" s="245" t="s">
        <v>885</v>
      </c>
      <c r="DY3297" s="245"/>
      <c r="DZ3297" s="470" t="str">
        <f>IF($B$265=$B$3278,EB3297,IF($B$265=$B$3279,ED3297,IF($B$265=$B$3280,EF3297,IF($B$265=$B$3281,EH3297,IF($B$265=$B$3282,EJ3297,IF($B$265=$B$3283,EL3297,IF($B$265=$B$3284,EN3297,IF($B$265=$B$3285,EP3297,IF($B$265=$B$3286,ER3297,IF($B$265=$B$3287,ET3297,IF($B$265=$B$3288,EV3297,IF($B$265=$B$3289,EX3297,IF($B$265=$B$3290,EZ3297,IF($B$265=$B$3291,FB3297,IF($B$265=$B$3292,FD3297,IF($B$265=$B$3293,BU3297,IF($B$265=$B$3294,FF3297,IF($B$265=$B$3295,FH3297,IF($B$265=$B$3296,FJ3297,IF($B$265=$B$3297,FL3297,IF($B$265=$B$3298,FN3297,IF($B$265=$B$3299,FP3297,IF(BI$265=$B$3300,FR3297,IF($B$265=$B$3301,FT3297,IF($B$265=$B$3302,FV3297,IF($B$265=$B$3303,FX3297,IF($B$265=$B$3304,FZ3297,IF($B$265=$B$3305,GB3297,IF($B$265=$B$3306,GD3297,IF($B$265=$B$3307,GF3297,IF($B$265=$B$3308,GH3297,IF($B$265=$B$3309,GJ3297,IF($B$265=$B$3310,GL3297,IF($B$265=$B$3311,GN3297,IF($B$265=$B$3312,GP3297,IF($B$265=$B$3313,GR3297,IF($B$265=$B$3314,GT3297,IF($B$265=$B$3315,GV3297,IF($B$265=$B$3316,GX3297,IF($B$265=$B$3317,GZ3297,IF($B$265=$B$3318,HB3297,IF($B$265=$B$3319,HD3297,IF($B$265=$B$3320,HF3297,IF($B$265=$B$3321,HH3297,IF($B$265=$B$3322,HJ3297,IF($B$265=$B$3323,HL3297,IF($B$265=$B$3324,HN3297,IF($B$265=$B$3325,HP3297,IF($B$265=$B$3326,HR3297,IF($B$265=$B$3327,HT3297,IF($B$265=$B$3328,HV3297,IF($B$265=$B$3329,HX3297,""))))))))))))))))))))))))))))))))))))))))))))))))))))</f>
        <v/>
      </c>
      <c r="EA3297" s="470" t="str">
        <f>IF($B$265=$B$3278,EC3297,IF($B$265=$B$3279,EE3297,IF($B$265=$B$3280,EG3297,IF($B$265=$B$3281,EI3297,IF($B$265=$B$3282,EK3297,IF($B$265=$B$3283,EM3297,IF($B$265=$B$3284,EO3297,IF($B$265=$B$3285,EQ3297,IF($B$265=$B$3286,ES3297,IF($B$265=$B$3287,EU3297,IF($B$265=$B$3288,EW3297,IF($B$265=$B$3289,EY3297,IF($B$265=$B$3290,FA3297,IF($B$265=$B$3291,FC3297,IF($B$265=$B$3292,FE3297,IF($B$265=$B$3293,BK3297,IF($B$265=$B$3294,FG3297,IF($B$265=$B$3295,FI3297,IF($B$265=$B$3296,FK3297,IF($B$265=$B$3297,FM3297,IF($B$265=$B$3298,FO3297,IF($B$265=$B$3299,FQ3297,IF(BJ$265=$B$3300,FS3297,IF($B$265=$B$3301,FU3297,IF($B$265=$B$3302,FW3297,IF($B$265=$B$3303,FY3297,IF($B$265=$B$3304,GA3297,IF($B$265=$B$3305,GC3297,IF($B$265=$B$3306,GE3297,IF($B$265=$B$3307,GG3297,IF($B$265=$B$3308,GI3297,IF($B$265=$B$3309,GK3297,IF($B$265=$B$3310,GM3297,IF($B$265=$B$3311,GO3297,IF($B$265=$B$3312,GQ3297,IF($B$265=$B$3313,GS3297,IF($B$265=$B$3314,GU3297,IF($B$265=$B$3315,GW3297,IF($B$265=$B$3316,GY3297,IF($B$265=$B$3317,HA3297,IF($B$265=$B$3318,HC3297,IF($B$265=$B$3319,HE3297,IF($B$265=$B$3320,HG3297,IF($B$265=$B$3321,HI3297,IF($B$265=$B$3322,HK3297,IF($B$265=$B$3323,HM3297,IF($B$265=$B$3324,HO3297,IF($B$265=$B$3325,HQ3297,IF($B$265=$B$3326,HS3297,IF($B$265=$B$3327,HU3297,IF($B$265=$B$3328,HW3297,IF($B$265=$B$3329,HY3297,""))))))))))))))))))))))))))))))))))))))))))))))))))))</f>
        <v/>
      </c>
      <c r="EB3297" t="s">
        <v>3301</v>
      </c>
      <c r="EC3297" s="471" t="s">
        <v>3283</v>
      </c>
      <c r="EH3297" t="str">
        <f>EH3291</f>
        <v>Jeff Rogers</v>
      </c>
      <c r="EI3297" s="473" t="s">
        <v>3294</v>
      </c>
      <c r="EJ3297" t="s">
        <v>3390</v>
      </c>
      <c r="EK3297" s="473" t="s">
        <v>3294</v>
      </c>
      <c r="EL3297" t="str">
        <f>EL3288</f>
        <v>Heidi McCollum</v>
      </c>
      <c r="EM3297" s="473" t="str">
        <f>EM3288</f>
        <v>D</v>
      </c>
    </row>
    <row r="3298" spans="1:143" ht="15.5" hidden="1" x14ac:dyDescent="0.35">
      <c r="A3298" s="417" t="s">
        <v>1130</v>
      </c>
      <c r="B3298" s="418" t="s">
        <v>1131</v>
      </c>
      <c r="C3298" s="428">
        <v>1E-8</v>
      </c>
      <c r="D3298" s="428">
        <v>999999</v>
      </c>
      <c r="G3298" s="420"/>
      <c r="H3298" s="420"/>
      <c r="I3298" s="420"/>
      <c r="J3298" s="420"/>
      <c r="K3298" s="420"/>
      <c r="L3298" s="420"/>
      <c r="M3298" s="420"/>
      <c r="N3298" s="420"/>
      <c r="O3298" s="420"/>
      <c r="P3298" s="420"/>
      <c r="Q3298" s="420"/>
      <c r="R3298" s="420"/>
      <c r="S3298" s="420"/>
      <c r="T3298" s="420"/>
      <c r="U3298" s="420"/>
      <c r="V3298" s="420"/>
      <c r="W3298" s="420"/>
      <c r="X3298" s="420"/>
      <c r="Y3298" s="420"/>
      <c r="Z3298" s="420"/>
      <c r="AB3298" s="48" t="s">
        <v>1132</v>
      </c>
      <c r="AC3298" s="245" t="s">
        <v>885</v>
      </c>
      <c r="AD3298" s="48" t="s">
        <v>1133</v>
      </c>
      <c r="AF3298" s="421"/>
      <c r="AI3298" s="48" t="str">
        <f>AI3294</f>
        <v>2 years</v>
      </c>
      <c r="AK3298" s="48" t="s">
        <v>1047</v>
      </c>
      <c r="AO3298" s="48" t="s">
        <v>1134</v>
      </c>
      <c r="AR3298" s="245" t="s">
        <v>885</v>
      </c>
      <c r="AS3298" s="48" t="s">
        <v>1049</v>
      </c>
      <c r="AW3298" s="245" t="s">
        <v>885</v>
      </c>
      <c r="AX3298" s="48">
        <v>21</v>
      </c>
      <c r="BB3298" s="402">
        <f t="shared" ca="1" si="140"/>
        <v>1.2500000000000001E-6</v>
      </c>
      <c r="BF3298" s="423">
        <v>36338</v>
      </c>
      <c r="BG3298" s="415">
        <f t="shared" si="141"/>
        <v>0</v>
      </c>
      <c r="BH3298" s="415">
        <f t="shared" si="143"/>
        <v>0</v>
      </c>
      <c r="BI3298" s="365">
        <f t="shared" si="144"/>
        <v>0</v>
      </c>
      <c r="BJ3298" s="157">
        <f t="shared" si="142"/>
        <v>0</v>
      </c>
      <c r="BK3298" s="416">
        <f t="shared" si="145"/>
        <v>0</v>
      </c>
      <c r="BN3298" s="1107">
        <f t="shared" si="146"/>
        <v>0</v>
      </c>
      <c r="BO3298" s="927"/>
      <c r="BP3298" s="927"/>
      <c r="BQ3298" s="927"/>
      <c r="BS3298" s="464" t="str">
        <f>IF($B$265=B$3278,BZ3297,IF($B$265=B$3279,CA3297,IF($B$265=B$3280,CB3297,IF($B$265=B$3281,CC3297,IF($B$265=B$3282,CD3297,IF($B$265=B$3283,CE3297,IF($B$265=B$3284,CF3297,IF($B$265=B$3285,CG3297,IF($B$265=B$3286,CH3297,IF($B$265=B$3287,CI3297,IF($B$265=B$3288,CJ3297,IF($B$265=B$3289,CK3297,IF($B$265=B$3290,CL3297,IF($B$265=B$3291,CM3297,IF($B$265=B$3292,CN3297,IF($B$265=B$3293,C3297,IF($B$265=B$3294,CO3297,IF($B$265=B$3295,CP3297,IF($B$265=B$3296,CQ3297,IF($B$265=B$3297,CR3297,IF($B$265=B$3298,CS3297,IF($B$265=B$3299,CT3297,IF(B$265=B$3300,CU3297,IF($B$265=B$3301,CV3297,IF($B$265=B$3302,CW3297,IF($B$265=B$3303,CX3297,IF($B$265=B$3304,CY3297,IF($B$265=B$3305,CZ3297,IF($B$265=B$3306,DA3297,IF($B$265=B$3307,DB3297,IF($B$265=B$3308,DC3297,IF($B$265=B$3309,DD3297,IF($B$265=B$3310,DE3297,IF($B$265=B$3311,DF3297,IF($B$265=B$3312,DG3297,IF($B$265=B$3313,DH3297,IF($B$265=B$3314,DI3297,IF($B$265=B$3315,DJ3297,IF($B$265=B$3316,DK3297,IF($B$265=B$3317,DL3297,IF($B$265=B$3318,DM3297,IF($B$265=B$3319,DN3297,IF($B$265=B$3320,DO3297,IF($B$265=B$3321,DP3297,IF($B$265=B$3322,DQ3297,IF($B$265=B$3323,DR3297,IF($B$265=B$3324,DS3297,IF($B$265=B$3325,DT3297,IF($B$265=B$3326,DU3297,IF($B$265=B$3327,DV3297,IF($B$265=B$3328,DW3297,IF($B$265=B$3329,DX3297,""))))))))))))))))))))))))))))))))))))))))))))))))))))</f>
        <v/>
      </c>
      <c r="BZ3298" s="48" t="s">
        <v>1451</v>
      </c>
      <c r="CA3298" t="s">
        <v>1518</v>
      </c>
      <c r="CB3298" s="245" t="s">
        <v>885</v>
      </c>
      <c r="CC3298" t="s">
        <v>1543</v>
      </c>
      <c r="CD3298" t="s">
        <v>1604</v>
      </c>
      <c r="CE3298" t="s">
        <v>1660</v>
      </c>
      <c r="CF3298" s="245" t="s">
        <v>885</v>
      </c>
      <c r="CG3298" s="245" t="s">
        <v>885</v>
      </c>
      <c r="CH3298" s="245" t="s">
        <v>885</v>
      </c>
      <c r="CI3298" t="s">
        <v>1720</v>
      </c>
      <c r="CJ3298" t="s">
        <v>1770</v>
      </c>
      <c r="CK3298" s="459" t="s">
        <v>885</v>
      </c>
      <c r="CL3298" t="s">
        <v>1460</v>
      </c>
      <c r="CM3298" t="s">
        <v>1658</v>
      </c>
      <c r="CN3298" t="s">
        <v>1459</v>
      </c>
      <c r="CO3298" t="s">
        <v>1444</v>
      </c>
      <c r="CP3298" t="s">
        <v>2008</v>
      </c>
      <c r="CQ3298" t="s">
        <v>1533</v>
      </c>
      <c r="CR3298" t="s">
        <v>2182</v>
      </c>
      <c r="CS3298" t="s">
        <v>1839</v>
      </c>
      <c r="CT3298" s="245" t="s">
        <v>885</v>
      </c>
      <c r="CU3298" t="s">
        <v>1655</v>
      </c>
      <c r="CV3298" t="s">
        <v>1658</v>
      </c>
      <c r="CW3298" t="s">
        <v>1462</v>
      </c>
      <c r="CX3298" t="s">
        <v>2419</v>
      </c>
      <c r="CY3298" t="s">
        <v>2469</v>
      </c>
      <c r="CZ3298" t="s">
        <v>1654</v>
      </c>
      <c r="DA3298" s="459" t="s">
        <v>885</v>
      </c>
      <c r="DB3298" s="459" t="s">
        <v>885</v>
      </c>
      <c r="DC3298" t="s">
        <v>1854</v>
      </c>
      <c r="DD3298" t="s">
        <v>2577</v>
      </c>
      <c r="DE3298" t="s">
        <v>1722</v>
      </c>
      <c r="DF3298" t="s">
        <v>2630</v>
      </c>
      <c r="DG3298" t="s">
        <v>2694</v>
      </c>
      <c r="DH3298" t="s">
        <v>1959</v>
      </c>
      <c r="DI3298" t="s">
        <v>1959</v>
      </c>
      <c r="DJ3298" t="s">
        <v>1556</v>
      </c>
      <c r="DK3298" t="s">
        <v>1909</v>
      </c>
      <c r="DL3298" s="459" t="s">
        <v>885</v>
      </c>
      <c r="DM3298" t="s">
        <v>2852</v>
      </c>
      <c r="DN3298" t="s">
        <v>1658</v>
      </c>
      <c r="DO3298" t="s">
        <v>1455</v>
      </c>
      <c r="DP3298" t="s">
        <v>2947</v>
      </c>
      <c r="DQ3298" t="s">
        <v>1576</v>
      </c>
      <c r="DR3298" s="459" t="s">
        <v>885</v>
      </c>
      <c r="DS3298" t="s">
        <v>1533</v>
      </c>
      <c r="DT3298" t="s">
        <v>1889</v>
      </c>
      <c r="DU3298" t="s">
        <v>1889</v>
      </c>
      <c r="DV3298" t="s">
        <v>2817</v>
      </c>
      <c r="DW3298" t="s">
        <v>3280</v>
      </c>
      <c r="DX3298" s="245" t="s">
        <v>885</v>
      </c>
      <c r="DY3298" s="245"/>
      <c r="DZ3298" s="470" t="str">
        <f>IF($B$265=$B$3278,EB3298,IF($B$265=$B$3279,ED3298,IF($B$265=$B$3280,EF3298,IF($B$265=$B$3281,EH3298,IF($B$265=$B$3282,EJ3298,IF($B$265=$B$3283,EL3298,IF($B$265=$B$3284,EN3298,IF($B$265=$B$3285,EP3298,IF($B$265=$B$3286,ER3298,IF($B$265=$B$3287,ET3298,IF($B$265=$B$3288,EV3298,IF($B$265=$B$3289,EX3298,IF($B$265=$B$3290,EZ3298,IF($B$265=$B$3291,FB3298,IF($B$265=$B$3292,FD3298,IF($B$265=$B$3293,BU3298,IF($B$265=$B$3294,FF3298,IF($B$265=$B$3295,FH3298,IF($B$265=$B$3296,FJ3298,IF($B$265=$B$3297,FL3298,IF($B$265=$B$3298,FN3298,IF($B$265=$B$3299,FP3298,IF(BI$265=$B$3300,FR3298,IF($B$265=$B$3301,FT3298,IF($B$265=$B$3302,FV3298,IF($B$265=$B$3303,FX3298,IF($B$265=$B$3304,FZ3298,IF($B$265=$B$3305,GB3298,IF($B$265=$B$3306,GD3298,IF($B$265=$B$3307,GF3298,IF($B$265=$B$3308,GH3298,IF($B$265=$B$3309,GJ3298,IF($B$265=$B$3310,GL3298,IF($B$265=$B$3311,GN3298,IF($B$265=$B$3312,GP3298,IF($B$265=$B$3313,GR3298,IF($B$265=$B$3314,GT3298,IF($B$265=$B$3315,GV3298,IF($B$265=$B$3316,GX3298,IF($B$265=$B$3317,GZ3298,IF($B$265=$B$3318,HB3298,IF($B$265=$B$3319,HD3298,IF($B$265=$B$3320,HF3298,IF($B$265=$B$3321,HH3298,IF($B$265=$B$3322,HJ3298,IF($B$265=$B$3323,HL3298,IF($B$265=$B$3324,HN3298,IF($B$265=$B$3325,HP3298,IF($B$265=$B$3326,HR3298,IF($B$265=$B$3327,HT3298,IF($B$265=$B$3328,HV3298,IF($B$265=$B$3329,HX3298,""))))))))))))))))))))))))))))))))))))))))))))))))))))</f>
        <v/>
      </c>
      <c r="EA3298" s="470" t="str">
        <f>IF($B$265=$B$3278,EC3298,IF($B$265=$B$3279,EE3298,IF($B$265=$B$3280,EG3298,IF($B$265=$B$3281,EI3298,IF($B$265=$B$3282,EK3298,IF($B$265=$B$3283,EM3298,IF($B$265=$B$3284,EO3298,IF($B$265=$B$3285,EQ3298,IF($B$265=$B$3286,ES3298,IF($B$265=$B$3287,EU3298,IF($B$265=$B$3288,EW3298,IF($B$265=$B$3289,EY3298,IF($B$265=$B$3290,FA3298,IF($B$265=$B$3291,FC3298,IF($B$265=$B$3292,FE3298,IF($B$265=$B$3293,BK3298,IF($B$265=$B$3294,FG3298,IF($B$265=$B$3295,FI3298,IF($B$265=$B$3296,FK3298,IF($B$265=$B$3297,FM3298,IF($B$265=$B$3298,FO3298,IF($B$265=$B$3299,FQ3298,IF(BJ$265=$B$3300,FS3298,IF($B$265=$B$3301,FU3298,IF($B$265=$B$3302,FW3298,IF($B$265=$B$3303,FY3298,IF($B$265=$B$3304,GA3298,IF($B$265=$B$3305,GC3298,IF($B$265=$B$3306,GE3298,IF($B$265=$B$3307,GG3298,IF($B$265=$B$3308,GI3298,IF($B$265=$B$3309,GK3298,IF($B$265=$B$3310,GM3298,IF($B$265=$B$3311,GO3298,IF($B$265=$B$3312,GQ3298,IF($B$265=$B$3313,GS3298,IF($B$265=$B$3314,GU3298,IF($B$265=$B$3315,GW3298,IF($B$265=$B$3316,GY3298,IF($B$265=$B$3317,HA3298,IF($B$265=$B$3318,HC3298,IF($B$265=$B$3319,HE3298,IF($B$265=$B$3320,HG3298,IF($B$265=$B$3321,HI3298,IF($B$265=$B$3322,HK3298,IF($B$265=$B$3323,HM3298,IF($B$265=$B$3324,HO3298,IF($B$265=$B$3325,HQ3298,IF($B$265=$B$3326,HS3298,IF($B$265=$B$3327,HU3298,IF($B$265=$B$3328,HW3298,IF($B$265=$B$3329,HY3298,""))))))))))))))))))))))))))))))))))))))))))))))))))))</f>
        <v/>
      </c>
      <c r="EB3298" t="str">
        <f>EB3283</f>
        <v>Ben C. Reeves, Jr.</v>
      </c>
      <c r="EC3298" t="str">
        <f>EC3283</f>
        <v>D</v>
      </c>
      <c r="EH3298" t="str">
        <f>EH3286</f>
        <v>Thomas Deen</v>
      </c>
      <c r="EI3298" s="473" t="s">
        <v>3294</v>
      </c>
      <c r="EJ3298" t="s">
        <v>3391</v>
      </c>
      <c r="EK3298" s="473" t="s">
        <v>3294</v>
      </c>
      <c r="EL3298" t="s">
        <v>3441</v>
      </c>
      <c r="EM3298" s="473" t="s">
        <v>3283</v>
      </c>
    </row>
    <row r="3299" spans="1:143" ht="15.5" hidden="1" x14ac:dyDescent="0.35">
      <c r="A3299" s="417" t="s">
        <v>1135</v>
      </c>
      <c r="B3299" s="418" t="s">
        <v>1136</v>
      </c>
      <c r="C3299" s="427">
        <f>C3297</f>
        <v>0</v>
      </c>
      <c r="D3299" s="419">
        <v>1000000</v>
      </c>
      <c r="G3299" s="420"/>
      <c r="H3299" s="420"/>
      <c r="I3299" s="420"/>
      <c r="J3299" s="420"/>
      <c r="K3299" s="420"/>
      <c r="L3299" s="420"/>
      <c r="M3299" s="420"/>
      <c r="N3299" s="420"/>
      <c r="O3299" s="420"/>
      <c r="P3299" s="420"/>
      <c r="Q3299" s="420"/>
      <c r="R3299" s="420"/>
      <c r="S3299" s="420"/>
      <c r="T3299" s="420"/>
      <c r="U3299" s="420"/>
      <c r="V3299" s="420"/>
      <c r="W3299" s="420"/>
      <c r="X3299" s="420"/>
      <c r="Y3299" s="420"/>
      <c r="Z3299" s="420"/>
      <c r="AB3299" s="48" t="s">
        <v>1137</v>
      </c>
      <c r="AC3299" s="245" t="s">
        <v>885</v>
      </c>
      <c r="AD3299" s="48" t="s">
        <v>1128</v>
      </c>
      <c r="AF3299" s="421">
        <v>3</v>
      </c>
      <c r="AG3299" s="48">
        <v>2</v>
      </c>
      <c r="AH3299" s="48" t="s">
        <v>1046</v>
      </c>
      <c r="AI3299" s="48" t="str">
        <f t="shared" ref="AI3299:AI3305" si="147">CONCATENATE(AG3299,AH3299)</f>
        <v>2 years</v>
      </c>
      <c r="AK3299" s="48" t="s">
        <v>1071</v>
      </c>
      <c r="AO3299" s="48" t="s">
        <v>1138</v>
      </c>
      <c r="AR3299" s="245" t="s">
        <v>885</v>
      </c>
      <c r="AS3299" s="48" t="s">
        <v>1066</v>
      </c>
      <c r="AW3299" s="245" t="s">
        <v>885</v>
      </c>
      <c r="AX3299" s="48">
        <v>22</v>
      </c>
      <c r="BB3299" s="402">
        <f t="shared" ca="1" si="140"/>
        <v>0</v>
      </c>
      <c r="BF3299" s="423">
        <v>36593</v>
      </c>
      <c r="BG3299" s="415">
        <f t="shared" si="141"/>
        <v>0</v>
      </c>
      <c r="BH3299" s="415">
        <f t="shared" si="143"/>
        <v>0</v>
      </c>
      <c r="BI3299" s="365">
        <f t="shared" si="144"/>
        <v>0</v>
      </c>
      <c r="BJ3299" s="157">
        <f t="shared" si="142"/>
        <v>0</v>
      </c>
      <c r="BK3299" s="416">
        <f t="shared" si="145"/>
        <v>0</v>
      </c>
      <c r="BN3299" s="1107">
        <f t="shared" si="146"/>
        <v>0</v>
      </c>
      <c r="BO3299" s="927"/>
      <c r="BP3299" s="927"/>
      <c r="BQ3299" s="927"/>
      <c r="BS3299" s="464" t="str">
        <f>IF($B$265=B$3278,BZ3298,IF($B$265=B$3279,CA3298,IF($B$265=B$3280,CB3298,IF($B$265=B$3281,CC3298,IF($B$265=B$3282,CD3298,IF($B$265=B$3283,CE3298,IF($B$265=B$3284,CF3298,IF($B$265=B$3285,CG3298,IF($B$265=B$3286,CH3298,IF($B$265=B$3287,CI3298,IF($B$265=B$3288,CJ3298,IF($B$265=B$3289,CK3298,IF($B$265=B$3290,CL3298,IF($B$265=B$3291,CM3298,IF($B$265=B$3292,CN3298,IF($B$265=B$3293,C3298,IF($B$265=B$3294,CO3298,IF($B$265=B$3295,CP3298,IF($B$265=B$3296,CQ3298,IF($B$265=B$3297,CR3298,IF($B$265=B$3298,CS3298,IF($B$265=B$3299,CT3298,IF(B$265=B$3300,CU3298,IF($B$265=B$3301,CV3298,IF($B$265=B$3302,CW3298,IF($B$265=B$3303,CX3298,IF($B$265=B$3304,CY3298,IF($B$265=B$3305,CZ3298,IF($B$265=B$3306,DA3298,IF($B$265=B$3307,DB3298,IF($B$265=B$3308,DC3298,IF($B$265=B$3309,DD3298,IF($B$265=B$3310,DE3298,IF($B$265=B$3311,DF3298,IF($B$265=B$3312,DG3298,IF($B$265=B$3313,DH3298,IF($B$265=B$3314,DI3298,IF($B$265=B$3315,DJ3298,IF($B$265=B$3316,DK3298,IF($B$265=B$3317,DL3298,IF($B$265=B$3318,DM3298,IF($B$265=B$3319,DN3298,IF($B$265=B$3320,DO3298,IF($B$265=B$3321,DP3298,IF($B$265=B$3322,DQ3298,IF($B$265=B$3323,DR3298,IF($B$265=B$3324,DS3298,IF($B$265=B$3325,DT3298,IF($B$265=B$3326,DU3298,IF($B$265=B$3327,DV3298,IF($B$265=B$3328,DW3298,IF($B$265=B$3329,DX3298,""))))))))))))))))))))))))))))))))))))))))))))))))))))</f>
        <v/>
      </c>
      <c r="BZ3299" s="48" t="s">
        <v>1452</v>
      </c>
      <c r="CA3299" t="s">
        <v>1519</v>
      </c>
      <c r="CB3299" s="245" t="s">
        <v>885</v>
      </c>
      <c r="CC3299" t="s">
        <v>1544</v>
      </c>
      <c r="CD3299" t="s">
        <v>1605</v>
      </c>
      <c r="CE3299" t="s">
        <v>1661</v>
      </c>
      <c r="CF3299" s="245" t="s">
        <v>885</v>
      </c>
      <c r="CG3299" s="245" t="s">
        <v>885</v>
      </c>
      <c r="CH3299" s="245" t="s">
        <v>885</v>
      </c>
      <c r="CI3299" t="s">
        <v>1721</v>
      </c>
      <c r="CJ3299" t="s">
        <v>1533</v>
      </c>
      <c r="CK3299" s="459" t="s">
        <v>885</v>
      </c>
      <c r="CL3299" t="s">
        <v>1662</v>
      </c>
      <c r="CM3299" t="s">
        <v>1911</v>
      </c>
      <c r="CN3299" t="s">
        <v>1795</v>
      </c>
      <c r="CO3299" t="s">
        <v>1776</v>
      </c>
      <c r="CP3299" t="s">
        <v>2051</v>
      </c>
      <c r="CQ3299" t="s">
        <v>2121</v>
      </c>
      <c r="CR3299" t="s">
        <v>2183</v>
      </c>
      <c r="CS3299" t="s">
        <v>1495</v>
      </c>
      <c r="CT3299" s="245" t="s">
        <v>885</v>
      </c>
      <c r="CU3299" t="s">
        <v>2008</v>
      </c>
      <c r="CV3299" t="s">
        <v>2328</v>
      </c>
      <c r="CW3299" t="s">
        <v>2386</v>
      </c>
      <c r="CX3299" t="s">
        <v>1906</v>
      </c>
      <c r="CY3299" t="s">
        <v>1467</v>
      </c>
      <c r="CZ3299" t="s">
        <v>2327</v>
      </c>
      <c r="DA3299" s="459" t="s">
        <v>885</v>
      </c>
      <c r="DB3299" s="459" t="s">
        <v>885</v>
      </c>
      <c r="DC3299" s="459" t="s">
        <v>885</v>
      </c>
      <c r="DD3299" t="s">
        <v>2578</v>
      </c>
      <c r="DE3299" t="s">
        <v>2595</v>
      </c>
      <c r="DF3299" t="s">
        <v>1444</v>
      </c>
      <c r="DG3299" t="s">
        <v>2695</v>
      </c>
      <c r="DH3299" t="s">
        <v>2594</v>
      </c>
      <c r="DI3299" t="s">
        <v>2757</v>
      </c>
      <c r="DJ3299" t="s">
        <v>2016</v>
      </c>
      <c r="DK3299" t="s">
        <v>2816</v>
      </c>
      <c r="DL3299" s="459" t="s">
        <v>885</v>
      </c>
      <c r="DM3299" t="s">
        <v>2853</v>
      </c>
      <c r="DN3299" t="s">
        <v>2877</v>
      </c>
      <c r="DO3299" t="s">
        <v>2909</v>
      </c>
      <c r="DP3299" t="s">
        <v>2948</v>
      </c>
      <c r="DQ3299" t="s">
        <v>1692</v>
      </c>
      <c r="DR3299" s="459" t="s">
        <v>885</v>
      </c>
      <c r="DS3299" t="s">
        <v>3128</v>
      </c>
      <c r="DT3299" t="s">
        <v>1556</v>
      </c>
      <c r="DU3299" t="s">
        <v>1556</v>
      </c>
      <c r="DV3299" t="s">
        <v>1548</v>
      </c>
      <c r="DW3299" t="s">
        <v>3281</v>
      </c>
      <c r="DX3299" s="245" t="s">
        <v>885</v>
      </c>
      <c r="DY3299" s="245"/>
      <c r="DZ3299" s="470" t="str">
        <f>IF($B$265=$B$3278,EB3299,IF($B$265=$B$3279,ED3299,IF($B$265=$B$3280,EF3299,IF($B$265=$B$3281,EH3299,IF($B$265=$B$3282,EJ3299,IF($B$265=$B$3283,EL3299,IF($B$265=$B$3284,EN3299,IF($B$265=$B$3285,EP3299,IF($B$265=$B$3286,ER3299,IF($B$265=$B$3287,ET3299,IF($B$265=$B$3288,EV3299,IF($B$265=$B$3289,EX3299,IF($B$265=$B$3290,EZ3299,IF($B$265=$B$3291,FB3299,IF($B$265=$B$3292,FD3299,IF($B$265=$B$3293,BU3299,IF($B$265=$B$3294,FF3299,IF($B$265=$B$3295,FH3299,IF($B$265=$B$3296,FJ3299,IF($B$265=$B$3297,FL3299,IF($B$265=$B$3298,FN3299,IF($B$265=$B$3299,FP3299,IF(BI$265=$B$3300,FR3299,IF($B$265=$B$3301,FT3299,IF($B$265=$B$3302,FV3299,IF($B$265=$B$3303,FX3299,IF($B$265=$B$3304,FZ3299,IF($B$265=$B$3305,GB3299,IF($B$265=$B$3306,GD3299,IF($B$265=$B$3307,GF3299,IF($B$265=$B$3308,GH3299,IF($B$265=$B$3309,GJ3299,IF($B$265=$B$3310,GL3299,IF($B$265=$B$3311,GN3299,IF($B$265=$B$3312,GP3299,IF($B$265=$B$3313,GR3299,IF($B$265=$B$3314,GT3299,IF($B$265=$B$3315,GV3299,IF($B$265=$B$3316,GX3299,IF($B$265=$B$3317,GZ3299,IF($B$265=$B$3318,HB3299,IF($B$265=$B$3319,HD3299,IF($B$265=$B$3320,HF3299,IF($B$265=$B$3321,HH3299,IF($B$265=$B$3322,HJ3299,IF($B$265=$B$3323,HL3299,IF($B$265=$B$3324,HN3299,IF($B$265=$B$3325,HP3299,IF($B$265=$B$3326,HR3299,IF($B$265=$B$3327,HT3299,IF($B$265=$B$3328,HV3299,IF($B$265=$B$3329,HX3299,""))))))))))))))))))))))))))))))))))))))))))))))))))))</f>
        <v/>
      </c>
      <c r="EA3299" s="470" t="str">
        <f>IF($B$265=$B$3278,EC3299,IF($B$265=$B$3279,EE3299,IF($B$265=$B$3280,EG3299,IF($B$265=$B$3281,EI3299,IF($B$265=$B$3282,EK3299,IF($B$265=$B$3283,EM3299,IF($B$265=$B$3284,EO3299,IF($B$265=$B$3285,EQ3299,IF($B$265=$B$3286,ES3299,IF($B$265=$B$3287,EU3299,IF($B$265=$B$3288,EW3299,IF($B$265=$B$3289,EY3299,IF($B$265=$B$3290,FA3299,IF($B$265=$B$3291,FC3299,IF($B$265=$B$3292,FE3299,IF($B$265=$B$3293,BK3299,IF($B$265=$B$3294,FG3299,IF($B$265=$B$3295,FI3299,IF($B$265=$B$3296,FK3299,IF($B$265=$B$3297,FM3299,IF($B$265=$B$3298,FO3299,IF($B$265=$B$3299,FQ3299,IF(BJ$265=$B$3300,FS3299,IF($B$265=$B$3301,FU3299,IF($B$265=$B$3302,FW3299,IF($B$265=$B$3303,FY3299,IF($B$265=$B$3304,GA3299,IF($B$265=$B$3305,GC3299,IF($B$265=$B$3306,GE3299,IF($B$265=$B$3307,GG3299,IF($B$265=$B$3308,GI3299,IF($B$265=$B$3309,GK3299,IF($B$265=$B$3310,GM3299,IF($B$265=$B$3311,GO3299,IF($B$265=$B$3312,GQ3299,IF($B$265=$B$3313,GS3299,IF($B$265=$B$3314,GU3299,IF($B$265=$B$3315,GW3299,IF($B$265=$B$3316,GY3299,IF($B$265=$B$3317,HA3299,IF($B$265=$B$3318,HC3299,IF($B$265=$B$3319,HE3299,IF($B$265=$B$3320,HG3299,IF($B$265=$B$3321,HI3299,IF($B$265=$B$3322,HK3299,IF($B$265=$B$3323,HM3299,IF($B$265=$B$3324,HO3299,IF($B$265=$B$3325,HQ3299,IF($B$265=$B$3326,HS3299,IF($B$265=$B$3327,HU3299,IF($B$265=$B$3328,HW3299,IF($B$265=$B$3329,HY3299,""))))))))))))))))))))))))))))))))))))))))))))))))))))</f>
        <v/>
      </c>
      <c r="EB3299" t="s">
        <v>3302</v>
      </c>
      <c r="EC3299" s="471" t="s">
        <v>3283</v>
      </c>
      <c r="EH3299" t="str">
        <f>EH3298</f>
        <v>Thomas Deen</v>
      </c>
      <c r="EI3299" s="473" t="s">
        <v>3294</v>
      </c>
      <c r="EJ3299" t="s">
        <v>3392</v>
      </c>
      <c r="EK3299" s="473" t="s">
        <v>3294</v>
      </c>
      <c r="EL3299" t="str">
        <f>EL3296</f>
        <v>John Kellner</v>
      </c>
      <c r="EM3299" s="473" t="str">
        <f>EM3296</f>
        <v>R</v>
      </c>
    </row>
    <row r="3300" spans="1:143" ht="15.5" hidden="1" x14ac:dyDescent="0.35">
      <c r="A3300" s="417" t="s">
        <v>1139</v>
      </c>
      <c r="B3300" s="418" t="s">
        <v>147</v>
      </c>
      <c r="C3300" s="419">
        <v>50000</v>
      </c>
      <c r="D3300" s="419" t="s">
        <v>1140</v>
      </c>
      <c r="G3300" s="420"/>
      <c r="H3300" s="420"/>
      <c r="I3300" s="420"/>
      <c r="J3300" s="420"/>
      <c r="K3300" s="420"/>
      <c r="L3300" s="420"/>
      <c r="M3300" s="420"/>
      <c r="N3300" s="420"/>
      <c r="O3300" s="420"/>
      <c r="P3300" s="420"/>
      <c r="Q3300" s="420"/>
      <c r="R3300" s="420"/>
      <c r="S3300" s="420"/>
      <c r="T3300" s="420"/>
      <c r="U3300" s="420"/>
      <c r="V3300" s="420"/>
      <c r="W3300" s="420"/>
      <c r="X3300" s="420"/>
      <c r="Y3300" s="420"/>
      <c r="Z3300" s="420"/>
      <c r="AB3300" s="48" t="s">
        <v>1141</v>
      </c>
      <c r="AC3300" s="245" t="s">
        <v>885</v>
      </c>
      <c r="AD3300" s="48" t="s">
        <v>1102</v>
      </c>
      <c r="AF3300" s="421"/>
      <c r="AG3300" s="48">
        <v>3</v>
      </c>
      <c r="AH3300" s="48" t="s">
        <v>1046</v>
      </c>
      <c r="AI3300" s="48" t="str">
        <f t="shared" si="147"/>
        <v>3 years</v>
      </c>
      <c r="AK3300" s="48" t="s">
        <v>1112</v>
      </c>
      <c r="AO3300" s="48" t="s">
        <v>1142</v>
      </c>
      <c r="AR3300" s="245" t="s">
        <v>885</v>
      </c>
      <c r="AS3300" s="48" t="s">
        <v>1066</v>
      </c>
      <c r="AW3300" s="245" t="s">
        <v>885</v>
      </c>
      <c r="AX3300" s="48">
        <v>23</v>
      </c>
      <c r="BB3300" s="402">
        <f t="shared" ca="1" si="140"/>
        <v>6250000</v>
      </c>
      <c r="BF3300" s="423">
        <v>26613</v>
      </c>
      <c r="BG3300" s="415">
        <f t="shared" si="141"/>
        <v>0</v>
      </c>
      <c r="BH3300" s="415">
        <f t="shared" si="143"/>
        <v>0</v>
      </c>
      <c r="BI3300" s="365">
        <f t="shared" si="144"/>
        <v>0</v>
      </c>
      <c r="BJ3300" s="157">
        <f t="shared" si="142"/>
        <v>0</v>
      </c>
      <c r="BK3300" s="416">
        <f t="shared" si="145"/>
        <v>0</v>
      </c>
      <c r="BN3300" s="1107">
        <f t="shared" si="146"/>
        <v>0</v>
      </c>
      <c r="BO3300" s="927"/>
      <c r="BP3300" s="927"/>
      <c r="BQ3300" s="927"/>
      <c r="BS3300" s="464" t="str">
        <f>IF($B$265=B$3278,BZ3299,IF($B$265=B$3279,CA3299,IF($B$265=B$3280,CB3299,IF($B$265=B$3281,CC3299,IF($B$265=B$3282,CD3299,IF($B$265=B$3283,CE3299,IF($B$265=B$3284,CF3299,IF($B$265=B$3285,CG3299,IF($B$265=B$3286,CH3299,IF($B$265=B$3287,CI3299,IF($B$265=B$3288,CJ3299,IF($B$265=B$3289,CK3299,IF($B$265=B$3290,CL3299,IF($B$265=B$3291,CM3299,IF($B$265=B$3292,CN3299,IF($B$265=B$3293,C3299,IF($B$265=B$3294,CO3299,IF($B$265=B$3295,CP3299,IF($B$265=B$3296,CQ3299,IF($B$265=B$3297,CR3299,IF($B$265=B$3298,CS3299,IF($B$265=B$3299,CT3299,IF(B$265=B$3300,CU3299,IF($B$265=B$3301,CV3299,IF($B$265=B$3302,CW3299,IF($B$265=B$3303,CX3299,IF($B$265=B$3304,CY3299,IF($B$265=B$3305,CZ3299,IF($B$265=B$3306,DA3299,IF($B$265=B$3307,DB3299,IF($B$265=B$3308,DC3299,IF($B$265=B$3309,DD3299,IF($B$265=B$3310,DE3299,IF($B$265=B$3311,DF3299,IF($B$265=B$3312,DG3299,IF($B$265=B$3313,DH3299,IF($B$265=B$3314,DI3299,IF($B$265=B$3315,DJ3299,IF($B$265=B$3316,DK3299,IF($B$265=B$3317,DL3299,IF($B$265=B$3318,DM3299,IF($B$265=B$3319,DN3299,IF($B$265=B$3320,DO3299,IF($B$265=B$3321,DP3299,IF($B$265=B$3322,DQ3299,IF($B$265=B$3323,DR3299,IF($B$265=B$3324,DS3299,IF($B$265=B$3325,DT3299,IF($B$265=B$3326,DU3299,IF($B$265=B$3327,DV3299,IF($B$265=B$3328,DW3299,IF($B$265=B$3329,DX3299,""))))))))))))))))))))))))))))))))))))))))))))))))))))</f>
        <v/>
      </c>
      <c r="BZ3300" s="48" t="s">
        <v>1453</v>
      </c>
      <c r="CA3300" t="s">
        <v>1520</v>
      </c>
      <c r="CB3300" s="245" t="s">
        <v>885</v>
      </c>
      <c r="CC3300" t="s">
        <v>1545</v>
      </c>
      <c r="CD3300" t="s">
        <v>1606</v>
      </c>
      <c r="CE3300" t="s">
        <v>1662</v>
      </c>
      <c r="CF3300" s="245" t="s">
        <v>885</v>
      </c>
      <c r="CG3300" s="245" t="s">
        <v>885</v>
      </c>
      <c r="CH3300" s="245" t="s">
        <v>885</v>
      </c>
      <c r="CI3300" t="s">
        <v>1722</v>
      </c>
      <c r="CJ3300" t="s">
        <v>1771</v>
      </c>
      <c r="CK3300" s="459" t="s">
        <v>885</v>
      </c>
      <c r="CL3300" t="s">
        <v>1882</v>
      </c>
      <c r="CM3300" t="s">
        <v>1912</v>
      </c>
      <c r="CN3300" t="s">
        <v>1962</v>
      </c>
      <c r="CO3300" t="s">
        <v>1907</v>
      </c>
      <c r="CP3300" t="s">
        <v>1658</v>
      </c>
      <c r="CQ3300" t="s">
        <v>2122</v>
      </c>
      <c r="CR3300" t="s">
        <v>2184</v>
      </c>
      <c r="CS3300" t="s">
        <v>2242</v>
      </c>
      <c r="CT3300" s="245" t="s">
        <v>885</v>
      </c>
      <c r="CU3300" t="s">
        <v>2268</v>
      </c>
      <c r="CV3300" t="s">
        <v>2329</v>
      </c>
      <c r="CW3300" t="s">
        <v>1805</v>
      </c>
      <c r="CX3300" t="s">
        <v>1535</v>
      </c>
      <c r="CY3300" t="s">
        <v>2470</v>
      </c>
      <c r="CZ3300" t="s">
        <v>2500</v>
      </c>
      <c r="DA3300" s="459" t="s">
        <v>885</v>
      </c>
      <c r="DB3300" s="459" t="s">
        <v>885</v>
      </c>
      <c r="DC3300" s="459" t="s">
        <v>885</v>
      </c>
      <c r="DD3300" t="s">
        <v>2480</v>
      </c>
      <c r="DE3300" t="s">
        <v>1467</v>
      </c>
      <c r="DF3300" t="s">
        <v>1536</v>
      </c>
      <c r="DG3300" t="s">
        <v>2696</v>
      </c>
      <c r="DH3300" t="s">
        <v>1695</v>
      </c>
      <c r="DI3300" t="s">
        <v>2053</v>
      </c>
      <c r="DJ3300" t="s">
        <v>2797</v>
      </c>
      <c r="DK3300" t="s">
        <v>1959</v>
      </c>
      <c r="DL3300" s="459" t="s">
        <v>885</v>
      </c>
      <c r="DM3300" t="s">
        <v>2854</v>
      </c>
      <c r="DN3300" t="s">
        <v>2878</v>
      </c>
      <c r="DO3300" t="s">
        <v>2910</v>
      </c>
      <c r="DP3300" t="s">
        <v>2949</v>
      </c>
      <c r="DQ3300" t="s">
        <v>3102</v>
      </c>
      <c r="DR3300" s="459" t="s">
        <v>885</v>
      </c>
      <c r="DS3300" t="s">
        <v>1711</v>
      </c>
      <c r="DT3300" t="s">
        <v>1929</v>
      </c>
      <c r="DU3300" t="s">
        <v>1558</v>
      </c>
      <c r="DV3300" t="s">
        <v>2130</v>
      </c>
      <c r="DW3300" t="s">
        <v>3282</v>
      </c>
      <c r="DX3300" s="245" t="s">
        <v>885</v>
      </c>
      <c r="DY3300" s="245"/>
      <c r="DZ3300" s="470" t="str">
        <f>IF($B$265=$B$3278,EB3300,IF($B$265=$B$3279,ED3300,IF($B$265=$B$3280,EF3300,IF($B$265=$B$3281,EH3300,IF($B$265=$B$3282,EJ3300,IF($B$265=$B$3283,EL3300,IF($B$265=$B$3284,EN3300,IF($B$265=$B$3285,EP3300,IF($B$265=$B$3286,ER3300,IF($B$265=$B$3287,ET3300,IF($B$265=$B$3288,EV3300,IF($B$265=$B$3289,EX3300,IF($B$265=$B$3290,EZ3300,IF($B$265=$B$3291,FB3300,IF($B$265=$B$3292,FD3300,IF($B$265=$B$3293,BU3300,IF($B$265=$B$3294,FF3300,IF($B$265=$B$3295,FH3300,IF($B$265=$B$3296,FJ3300,IF($B$265=$B$3297,FL3300,IF($B$265=$B$3298,FN3300,IF($B$265=$B$3299,FP3300,IF(BI$265=$B$3300,FR3300,IF($B$265=$B$3301,FT3300,IF($B$265=$B$3302,FV3300,IF($B$265=$B$3303,FX3300,IF($B$265=$B$3304,FZ3300,IF($B$265=$B$3305,GB3300,IF($B$265=$B$3306,GD3300,IF($B$265=$B$3307,GF3300,IF($B$265=$B$3308,GH3300,IF($B$265=$B$3309,GJ3300,IF($B$265=$B$3310,GL3300,IF($B$265=$B$3311,GN3300,IF($B$265=$B$3312,GP3300,IF($B$265=$B$3313,GR3300,IF($B$265=$B$3314,GT3300,IF($B$265=$B$3315,GV3300,IF($B$265=$B$3316,GX3300,IF($B$265=$B$3317,GZ3300,IF($B$265=$B$3318,HB3300,IF($B$265=$B$3319,HD3300,IF($B$265=$B$3320,HF3300,IF($B$265=$B$3321,HH3300,IF($B$265=$B$3322,HJ3300,IF($B$265=$B$3323,HL3300,IF($B$265=$B$3324,HN3300,IF($B$265=$B$3325,HP3300,IF($B$265=$B$3326,HR3300,IF($B$265=$B$3327,HT3300,IF($B$265=$B$3328,HV3300,IF($B$265=$B$3329,HX3300,""))))))))))))))))))))))))))))))))))))))))))))))))))))</f>
        <v/>
      </c>
      <c r="EA3300" s="470" t="str">
        <f>IF($B$265=$B$3278,EC3300,IF($B$265=$B$3279,EE3300,IF($B$265=$B$3280,EG3300,IF($B$265=$B$3281,EI3300,IF($B$265=$B$3282,EK3300,IF($B$265=$B$3283,EM3300,IF($B$265=$B$3284,EO3300,IF($B$265=$B$3285,EQ3300,IF($B$265=$B$3286,ES3300,IF($B$265=$B$3287,EU3300,IF($B$265=$B$3288,EW3300,IF($B$265=$B$3289,EY3300,IF($B$265=$B$3290,FA3300,IF($B$265=$B$3291,FC3300,IF($B$265=$B$3292,FE3300,IF($B$265=$B$3293,BK3300,IF($B$265=$B$3294,FG3300,IF($B$265=$B$3295,FI3300,IF($B$265=$B$3296,FK3300,IF($B$265=$B$3297,FM3300,IF($B$265=$B$3298,FO3300,IF($B$265=$B$3299,FQ3300,IF(BJ$265=$B$3300,FS3300,IF($B$265=$B$3301,FU3300,IF($B$265=$B$3302,FW3300,IF($B$265=$B$3303,FY3300,IF($B$265=$B$3304,GA3300,IF($B$265=$B$3305,GC3300,IF($B$265=$B$3306,GE3300,IF($B$265=$B$3307,GG3300,IF($B$265=$B$3308,GI3300,IF($B$265=$B$3309,GK3300,IF($B$265=$B$3310,GM3300,IF($B$265=$B$3311,GO3300,IF($B$265=$B$3312,GQ3300,IF($B$265=$B$3313,GS3300,IF($B$265=$B$3314,GU3300,IF($B$265=$B$3315,GW3300,IF($B$265=$B$3316,GY3300,IF($B$265=$B$3317,HA3300,IF($B$265=$B$3318,HC3300,IF($B$265=$B$3319,HE3300,IF($B$265=$B$3320,HG3300,IF($B$265=$B$3321,HI3300,IF($B$265=$B$3322,HK3300,IF($B$265=$B$3323,HM3300,IF($B$265=$B$3324,HO3300,IF($B$265=$B$3325,HQ3300,IF($B$265=$B$3326,HS3300,IF($B$265=$B$3327,HU3300,IF($B$265=$B$3328,HW3300,IF($B$265=$B$3329,HY3300,""))))))))))))))))))))))))))))))))))))))))))))))))))))</f>
        <v/>
      </c>
      <c r="EB3300" t="s">
        <v>3303</v>
      </c>
      <c r="EC3300" s="471" t="s">
        <v>3283</v>
      </c>
      <c r="EH3300" t="s">
        <v>3355</v>
      </c>
      <c r="EI3300" s="473" t="s">
        <v>3294</v>
      </c>
      <c r="EJ3300" t="s">
        <v>3393</v>
      </c>
      <c r="EK3300" s="473" t="s">
        <v>3294</v>
      </c>
      <c r="EL3300" t="str">
        <f>EL3292</f>
        <v>Linda Stanley</v>
      </c>
      <c r="EM3300" s="473" t="str">
        <f>EM3292</f>
        <v>R</v>
      </c>
    </row>
    <row r="3301" spans="1:143" ht="15.5" hidden="1" x14ac:dyDescent="0.35">
      <c r="A3301" s="417" t="s">
        <v>1143</v>
      </c>
      <c r="B3301" s="418" t="s">
        <v>1144</v>
      </c>
      <c r="C3301" s="419">
        <v>100000</v>
      </c>
      <c r="D3301" s="419">
        <v>50000</v>
      </c>
      <c r="G3301" s="420"/>
      <c r="H3301" s="420"/>
      <c r="I3301" s="420"/>
      <c r="J3301" s="420"/>
      <c r="K3301" s="420"/>
      <c r="L3301" s="420"/>
      <c r="M3301" s="420"/>
      <c r="N3301" s="420"/>
      <c r="O3301" s="420"/>
      <c r="P3301" s="420"/>
      <c r="Q3301" s="420"/>
      <c r="R3301" s="420"/>
      <c r="S3301" s="420"/>
      <c r="T3301" s="420"/>
      <c r="U3301" s="420"/>
      <c r="V3301" s="420"/>
      <c r="W3301" s="420"/>
      <c r="X3301" s="420"/>
      <c r="Y3301" s="420"/>
      <c r="Z3301" s="420"/>
      <c r="AB3301" s="48" t="s">
        <v>1145</v>
      </c>
      <c r="AC3301" s="245" t="s">
        <v>885</v>
      </c>
      <c r="AD3301" s="48" t="s">
        <v>1146</v>
      </c>
      <c r="AF3301" s="421">
        <v>2</v>
      </c>
      <c r="AG3301" s="48">
        <v>60</v>
      </c>
      <c r="AH3301" s="48" t="s">
        <v>1086</v>
      </c>
      <c r="AI3301" s="48" t="str">
        <f t="shared" si="147"/>
        <v>60 days</v>
      </c>
      <c r="AK3301" s="48" t="s">
        <v>1112</v>
      </c>
      <c r="AO3301" s="48" t="s">
        <v>1147</v>
      </c>
      <c r="AR3301" s="245" t="s">
        <v>885</v>
      </c>
      <c r="AS3301" s="48" t="s">
        <v>1073</v>
      </c>
      <c r="AW3301" s="245" t="s">
        <v>885</v>
      </c>
      <c r="AX3301" s="48">
        <v>24</v>
      </c>
      <c r="BB3301" s="402">
        <f t="shared" ca="1" si="140"/>
        <v>50000</v>
      </c>
      <c r="BF3301" s="423">
        <v>32638</v>
      </c>
      <c r="BG3301" s="415">
        <f t="shared" si="141"/>
        <v>0</v>
      </c>
      <c r="BH3301" s="415">
        <f t="shared" si="143"/>
        <v>0</v>
      </c>
      <c r="BI3301" s="365">
        <f t="shared" si="144"/>
        <v>0</v>
      </c>
      <c r="BJ3301" s="157">
        <f t="shared" si="142"/>
        <v>0</v>
      </c>
      <c r="BK3301" s="416">
        <f t="shared" si="145"/>
        <v>0</v>
      </c>
      <c r="BN3301" s="1107">
        <f t="shared" si="146"/>
        <v>0</v>
      </c>
      <c r="BO3301" s="927"/>
      <c r="BP3301" s="927"/>
      <c r="BQ3301" s="927"/>
      <c r="BS3301" s="464" t="str">
        <f>IF($B$265=B$3278,BZ3300,IF($B$265=B$3279,CA3300,IF($B$265=B$3280,CB3300,IF($B$265=B$3281,CC3300,IF($B$265=B$3282,CD3300,IF($B$265=B$3283,CE3300,IF($B$265=B$3284,CF3300,IF($B$265=B$3285,CG3300,IF($B$265=B$3286,CH3300,IF($B$265=B$3287,CI3300,IF($B$265=B$3288,CJ3300,IF($B$265=B$3289,CK3300,IF($B$265=B$3290,CL3300,IF($B$265=B$3291,CM3300,IF($B$265=B$3292,CN3300,IF($B$265=B$3293,C3300,IF($B$265=B$3294,CO3300,IF($B$265=B$3295,CP3300,IF($B$265=B$3296,CQ3300,IF($B$265=B$3297,CR3300,IF($B$265=B$3298,CS3300,IF($B$265=B$3299,CT3300,IF(B$265=B$3300,CU3300,IF($B$265=B$3301,CV3300,IF($B$265=B$3302,CW3300,IF($B$265=B$3303,CX3300,IF($B$265=B$3304,CY3300,IF($B$265=B$3305,CZ3300,IF($B$265=B$3306,DA3300,IF($B$265=B$3307,DB3300,IF($B$265=B$3308,DC3300,IF($B$265=B$3309,DD3300,IF($B$265=B$3310,DE3300,IF($B$265=B$3311,DF3300,IF($B$265=B$3312,DG3300,IF($B$265=B$3313,DH3300,IF($B$265=B$3314,DI3300,IF($B$265=B$3315,DJ3300,IF($B$265=B$3316,DK3300,IF($B$265=B$3317,DL3300,IF($B$265=B$3318,DM3300,IF($B$265=B$3319,DN3300,IF($B$265=B$3320,DO3300,IF($B$265=B$3321,DP3300,IF($B$265=B$3322,DQ3300,IF($B$265=B$3323,DR3300,IF($B$265=B$3324,DS3300,IF($B$265=B$3325,DT3300,IF($B$265=B$3326,DU3300,IF($B$265=B$3327,DV3300,IF($B$265=B$3328,DW3300,IF($B$265=B$3329,DX3300,""))))))))))))))))))))))))))))))))))))))))))))))))))))</f>
        <v/>
      </c>
      <c r="BZ3301" s="48" t="s">
        <v>1454</v>
      </c>
      <c r="CA3301" t="s">
        <v>1521</v>
      </c>
      <c r="CB3301" s="245" t="s">
        <v>885</v>
      </c>
      <c r="CC3301" t="s">
        <v>1460</v>
      </c>
      <c r="CD3301" t="s">
        <v>1607</v>
      </c>
      <c r="CE3301" t="s">
        <v>1663</v>
      </c>
      <c r="CF3301" s="245" t="s">
        <v>885</v>
      </c>
      <c r="CG3301" s="245" t="s">
        <v>885</v>
      </c>
      <c r="CH3301" s="245" t="s">
        <v>885</v>
      </c>
      <c r="CI3301" t="s">
        <v>1723</v>
      </c>
      <c r="CJ3301" t="s">
        <v>1772</v>
      </c>
      <c r="CK3301" s="459" t="s">
        <v>885</v>
      </c>
      <c r="CL3301" t="s">
        <v>1883</v>
      </c>
      <c r="CM3301" t="s">
        <v>1913</v>
      </c>
      <c r="CN3301" t="s">
        <v>1460</v>
      </c>
      <c r="CO3301" t="s">
        <v>1540</v>
      </c>
      <c r="CP3301" t="s">
        <v>1913</v>
      </c>
      <c r="CQ3301" t="s">
        <v>1906</v>
      </c>
      <c r="CR3301" t="s">
        <v>2185</v>
      </c>
      <c r="CS3301" t="s">
        <v>2243</v>
      </c>
      <c r="CT3301" s="245" t="s">
        <v>885</v>
      </c>
      <c r="CU3301" t="s">
        <v>2010</v>
      </c>
      <c r="CV3301" t="s">
        <v>2330</v>
      </c>
      <c r="CW3301" t="s">
        <v>1964</v>
      </c>
      <c r="CX3301" t="s">
        <v>1444</v>
      </c>
      <c r="CY3301" t="s">
        <v>1600</v>
      </c>
      <c r="CZ3301" t="s">
        <v>1784</v>
      </c>
      <c r="DA3301" s="459" t="s">
        <v>885</v>
      </c>
      <c r="DB3301" s="459" t="s">
        <v>885</v>
      </c>
      <c r="DC3301" s="459" t="s">
        <v>885</v>
      </c>
      <c r="DD3301" t="s">
        <v>2579</v>
      </c>
      <c r="DE3301" t="s">
        <v>1599</v>
      </c>
      <c r="DF3301" t="s">
        <v>2631</v>
      </c>
      <c r="DG3301" t="s">
        <v>1558</v>
      </c>
      <c r="DH3301" t="s">
        <v>1459</v>
      </c>
      <c r="DI3301" t="s">
        <v>1663</v>
      </c>
      <c r="DJ3301" t="s">
        <v>1477</v>
      </c>
      <c r="DK3301" t="s">
        <v>2052</v>
      </c>
      <c r="DL3301" s="459" t="s">
        <v>885</v>
      </c>
      <c r="DM3301" t="s">
        <v>2060</v>
      </c>
      <c r="DN3301" t="s">
        <v>2879</v>
      </c>
      <c r="DO3301" t="s">
        <v>1459</v>
      </c>
      <c r="DP3301" t="s">
        <v>1764</v>
      </c>
      <c r="DQ3301" t="s">
        <v>3103</v>
      </c>
      <c r="DR3301" s="459" t="s">
        <v>885</v>
      </c>
      <c r="DS3301" t="s">
        <v>3129</v>
      </c>
      <c r="DT3301" t="s">
        <v>3208</v>
      </c>
      <c r="DU3301" t="s">
        <v>1477</v>
      </c>
      <c r="DV3301" t="s">
        <v>3245</v>
      </c>
      <c r="DW3301" s="457"/>
      <c r="DX3301" s="245" t="s">
        <v>885</v>
      </c>
      <c r="DY3301" s="245"/>
      <c r="DZ3301" s="470" t="str">
        <f>IF($B$265=$B$3278,EB3301,IF($B$265=$B$3279,ED3301,IF($B$265=$B$3280,EF3301,IF($B$265=$B$3281,EH3301,IF($B$265=$B$3282,EJ3301,IF($B$265=$B$3283,EL3301,IF($B$265=$B$3284,EN3301,IF($B$265=$B$3285,EP3301,IF($B$265=$B$3286,ER3301,IF($B$265=$B$3287,ET3301,IF($B$265=$B$3288,EV3301,IF($B$265=$B$3289,EX3301,IF($B$265=$B$3290,EZ3301,IF($B$265=$B$3291,FB3301,IF($B$265=$B$3292,FD3301,IF($B$265=$B$3293,BU3301,IF($B$265=$B$3294,FF3301,IF($B$265=$B$3295,FH3301,IF($B$265=$B$3296,FJ3301,IF($B$265=$B$3297,FL3301,IF($B$265=$B$3298,FN3301,IF($B$265=$B$3299,FP3301,IF(BI$265=$B$3300,FR3301,IF($B$265=$B$3301,FT3301,IF($B$265=$B$3302,FV3301,IF($B$265=$B$3303,FX3301,IF($B$265=$B$3304,FZ3301,IF($B$265=$B$3305,GB3301,IF($B$265=$B$3306,GD3301,IF($B$265=$B$3307,GF3301,IF($B$265=$B$3308,GH3301,IF($B$265=$B$3309,GJ3301,IF($B$265=$B$3310,GL3301,IF($B$265=$B$3311,GN3301,IF($B$265=$B$3312,GP3301,IF($B$265=$B$3313,GR3301,IF($B$265=$B$3314,GT3301,IF($B$265=$B$3315,GV3301,IF($B$265=$B$3316,GX3301,IF($B$265=$B$3317,GZ3301,IF($B$265=$B$3318,HB3301,IF($B$265=$B$3319,HD3301,IF($B$265=$B$3320,HF3301,IF($B$265=$B$3321,HH3301,IF($B$265=$B$3322,HJ3301,IF($B$265=$B$3323,HL3301,IF($B$265=$B$3324,HN3301,IF($B$265=$B$3325,HP3301,IF($B$265=$B$3326,HR3301,IF($B$265=$B$3327,HT3301,IF($B$265=$B$3328,HV3301,IF($B$265=$B$3329,HX3301,""))))))))))))))))))))))))))))))))))))))))))))))))))))</f>
        <v/>
      </c>
      <c r="EA3301" s="470" t="str">
        <f>IF($B$265=$B$3278,EC3301,IF($B$265=$B$3279,EE3301,IF($B$265=$B$3280,EG3301,IF($B$265=$B$3281,EI3301,IF($B$265=$B$3282,EK3301,IF($B$265=$B$3283,EM3301,IF($B$265=$B$3284,EO3301,IF($B$265=$B$3285,EQ3301,IF($B$265=$B$3286,ES3301,IF($B$265=$B$3287,EU3301,IF($B$265=$B$3288,EW3301,IF($B$265=$B$3289,EY3301,IF($B$265=$B$3290,FA3301,IF($B$265=$B$3291,FC3301,IF($B$265=$B$3292,FE3301,IF($B$265=$B$3293,BK3301,IF($B$265=$B$3294,FG3301,IF($B$265=$B$3295,FI3301,IF($B$265=$B$3296,FK3301,IF($B$265=$B$3297,FM3301,IF($B$265=$B$3298,FO3301,IF($B$265=$B$3299,FQ3301,IF(BJ$265=$B$3300,FS3301,IF($B$265=$B$3301,FU3301,IF($B$265=$B$3302,FW3301,IF($B$265=$B$3303,FY3301,IF($B$265=$B$3304,GA3301,IF($B$265=$B$3305,GC3301,IF($B$265=$B$3306,GE3301,IF($B$265=$B$3307,GG3301,IF($B$265=$B$3308,GI3301,IF($B$265=$B$3309,GK3301,IF($B$265=$B$3310,GM3301,IF($B$265=$B$3311,GO3301,IF($B$265=$B$3312,GQ3301,IF($B$265=$B$3313,GS3301,IF($B$265=$B$3314,GU3301,IF($B$265=$B$3315,GW3301,IF($B$265=$B$3316,GY3301,IF($B$265=$B$3317,HA3301,IF($B$265=$B$3318,HC3301,IF($B$265=$B$3319,HE3301,IF($B$265=$B$3320,HG3301,IF($B$265=$B$3321,HI3301,IF($B$265=$B$3322,HK3301,IF($B$265=$B$3323,HM3301,IF($B$265=$B$3324,HO3301,IF($B$265=$B$3325,HQ3301,IF($B$265=$B$3326,HS3301,IF($B$265=$B$3327,HU3301,IF($B$265=$B$3328,HW3301,IF($B$265=$B$3329,HY3301,""))))))))))))))))))))))))))))))))))))))))))))))))))))</f>
        <v/>
      </c>
      <c r="EB3301" t="str">
        <f>EB3281</f>
        <v>Michael W. Jackson</v>
      </c>
      <c r="EC3301" t="str">
        <f>EC3281</f>
        <v>D</v>
      </c>
      <c r="EH3301" t="s">
        <v>3356</v>
      </c>
      <c r="EI3301" s="473" t="s">
        <v>3294</v>
      </c>
      <c r="EJ3301" t="s">
        <v>3394</v>
      </c>
      <c r="EK3301" s="473" t="s">
        <v>3294</v>
      </c>
      <c r="EL3301" t="s">
        <v>3442</v>
      </c>
      <c r="EM3301" s="473" t="s">
        <v>3283</v>
      </c>
    </row>
    <row r="3302" spans="1:143" ht="15.5" hidden="1" x14ac:dyDescent="0.35">
      <c r="A3302" s="417" t="s">
        <v>1148</v>
      </c>
      <c r="B3302" s="418" t="s">
        <v>1149</v>
      </c>
      <c r="C3302" s="419">
        <v>50000</v>
      </c>
      <c r="D3302" s="419">
        <f>C3302*10</f>
        <v>500000</v>
      </c>
      <c r="G3302" s="420"/>
      <c r="H3302" s="420"/>
      <c r="I3302" s="420"/>
      <c r="J3302" s="420"/>
      <c r="K3302" s="420"/>
      <c r="L3302" s="420"/>
      <c r="M3302" s="420"/>
      <c r="N3302" s="420"/>
      <c r="O3302" s="420"/>
      <c r="P3302" s="420"/>
      <c r="Q3302" s="420"/>
      <c r="R3302" s="420"/>
      <c r="S3302" s="420"/>
      <c r="T3302" s="420"/>
      <c r="U3302" s="420"/>
      <c r="V3302" s="420"/>
      <c r="W3302" s="420"/>
      <c r="X3302" s="420"/>
      <c r="Y3302" s="420"/>
      <c r="Z3302" s="420"/>
      <c r="AB3302" s="48" t="s">
        <v>1150</v>
      </c>
      <c r="AC3302" s="245" t="s">
        <v>885</v>
      </c>
      <c r="AD3302" s="48" t="s">
        <v>1151</v>
      </c>
      <c r="AF3302" s="421"/>
      <c r="AG3302" s="48">
        <v>3</v>
      </c>
      <c r="AH3302" s="48" t="s">
        <v>1046</v>
      </c>
      <c r="AI3302" s="48" t="str">
        <f t="shared" si="147"/>
        <v>3 years</v>
      </c>
      <c r="AK3302" s="48" t="s">
        <v>1112</v>
      </c>
      <c r="AO3302" s="48" t="s">
        <v>1152</v>
      </c>
      <c r="AR3302" s="245" t="s">
        <v>885</v>
      </c>
      <c r="AS3302" s="48" t="s">
        <v>1073</v>
      </c>
      <c r="AW3302" s="245" t="s">
        <v>885</v>
      </c>
      <c r="AX3302" s="48">
        <v>25</v>
      </c>
      <c r="BB3302" s="402">
        <f t="shared" ca="1" si="140"/>
        <v>500000</v>
      </c>
      <c r="BF3302" s="423">
        <v>21036</v>
      </c>
      <c r="BG3302" s="415">
        <f t="shared" si="141"/>
        <v>0</v>
      </c>
      <c r="BH3302" s="415">
        <f t="shared" si="143"/>
        <v>0</v>
      </c>
      <c r="BI3302" s="365">
        <f t="shared" si="144"/>
        <v>0</v>
      </c>
      <c r="BJ3302" s="157">
        <f t="shared" si="142"/>
        <v>0</v>
      </c>
      <c r="BK3302" s="416">
        <f t="shared" si="145"/>
        <v>0</v>
      </c>
      <c r="BN3302" s="1107">
        <f t="shared" si="146"/>
        <v>0</v>
      </c>
      <c r="BO3302" s="927"/>
      <c r="BP3302" s="927"/>
      <c r="BQ3302" s="927"/>
      <c r="BS3302" s="464" t="str">
        <f>IF($B$265=B$3278,BZ3301,IF($B$265=B$3279,CA3301,IF($B$265=B$3280,CB3301,IF($B$265=B$3281,CC3301,IF($B$265=B$3282,CD3301,IF($B$265=B$3283,CE3301,IF($B$265=B$3284,CF3301,IF($B$265=B$3285,CG3301,IF($B$265=B$3286,CH3301,IF($B$265=B$3287,CI3301,IF($B$265=B$3288,CJ3301,IF($B$265=B$3289,CK3301,IF($B$265=B$3290,CL3301,IF($B$265=B$3291,CM3301,IF($B$265=B$3292,CN3301,IF($B$265=B$3293,C3301,IF($B$265=B$3294,CO3301,IF($B$265=B$3295,CP3301,IF($B$265=B$3296,CQ3301,IF($B$265=B$3297,CR3301,IF($B$265=B$3298,CS3301,IF($B$265=B$3299,CT3301,IF(B$265=B$3300,CU3301,IF($B$265=B$3301,CV3301,IF($B$265=B$3302,CW3301,IF($B$265=B$3303,CX3301,IF($B$265=B$3304,CY3301,IF($B$265=B$3305,CZ3301,IF($B$265=B$3306,DA3301,IF($B$265=B$3307,DB3301,IF($B$265=B$3308,DC3301,IF($B$265=B$3309,DD3301,IF($B$265=B$3310,DE3301,IF($B$265=B$3311,DF3301,IF($B$265=B$3312,DG3301,IF($B$265=B$3313,DH3301,IF($B$265=B$3314,DI3301,IF($B$265=B$3315,DJ3301,IF($B$265=B$3316,DK3301,IF($B$265=B$3317,DL3301,IF($B$265=B$3318,DM3301,IF($B$265=B$3319,DN3301,IF($B$265=B$3320,DO3301,IF($B$265=B$3321,DP3301,IF($B$265=B$3322,DQ3301,IF($B$265=B$3323,DR3301,IF($B$265=B$3324,DS3301,IF($B$265=B$3325,DT3301,IF($B$265=B$3326,DU3301,IF($B$265=B$3327,DV3301,IF($B$265=B$3328,DW3301,IF($B$265=B$3329,DX3301,""))))))))))))))))))))))))))))))))))))))))))))))))))))</f>
        <v/>
      </c>
      <c r="BZ3302" s="48" t="s">
        <v>1455</v>
      </c>
      <c r="CA3302" t="s">
        <v>1522</v>
      </c>
      <c r="CB3302" s="245" t="s">
        <v>885</v>
      </c>
      <c r="CC3302" t="s">
        <v>1546</v>
      </c>
      <c r="CD3302" t="s">
        <v>1608</v>
      </c>
      <c r="CE3302" t="s">
        <v>1664</v>
      </c>
      <c r="CF3302" s="245" t="s">
        <v>885</v>
      </c>
      <c r="CG3302" s="245" t="s">
        <v>885</v>
      </c>
      <c r="CH3302" s="245" t="s">
        <v>885</v>
      </c>
      <c r="CI3302" t="s">
        <v>1724</v>
      </c>
      <c r="CJ3302" t="s">
        <v>1773</v>
      </c>
      <c r="CK3302" s="459" t="s">
        <v>885</v>
      </c>
      <c r="CL3302" t="s">
        <v>1884</v>
      </c>
      <c r="CM3302" t="s">
        <v>1791</v>
      </c>
      <c r="CN3302" t="s">
        <v>1546</v>
      </c>
      <c r="CO3302" t="s">
        <v>1454</v>
      </c>
      <c r="CP3302" t="s">
        <v>2052</v>
      </c>
      <c r="CQ3302" t="s">
        <v>1535</v>
      </c>
      <c r="CR3302" t="s">
        <v>2186</v>
      </c>
      <c r="CS3302" s="459" t="s">
        <v>885</v>
      </c>
      <c r="CT3302" s="245" t="s">
        <v>885</v>
      </c>
      <c r="CU3302" t="s">
        <v>2269</v>
      </c>
      <c r="CV3302" t="s">
        <v>2331</v>
      </c>
      <c r="CW3302" t="s">
        <v>2387</v>
      </c>
      <c r="CX3302" t="s">
        <v>1907</v>
      </c>
      <c r="CY3302" t="s">
        <v>2471</v>
      </c>
      <c r="CZ3302" t="s">
        <v>2501</v>
      </c>
      <c r="DA3302" s="459" t="s">
        <v>885</v>
      </c>
      <c r="DB3302" s="459" t="s">
        <v>885</v>
      </c>
      <c r="DC3302" s="459" t="s">
        <v>885</v>
      </c>
      <c r="DD3302" t="s">
        <v>1689</v>
      </c>
      <c r="DE3302" t="s">
        <v>1889</v>
      </c>
      <c r="DF3302" t="s">
        <v>2632</v>
      </c>
      <c r="DG3302" t="s">
        <v>1932</v>
      </c>
      <c r="DH3302" t="s">
        <v>1460</v>
      </c>
      <c r="DI3302" t="s">
        <v>2758</v>
      </c>
      <c r="DJ3302" t="s">
        <v>2732</v>
      </c>
      <c r="DK3302" t="s">
        <v>2594</v>
      </c>
      <c r="DL3302" s="459" t="s">
        <v>885</v>
      </c>
      <c r="DM3302" t="s">
        <v>2855</v>
      </c>
      <c r="DN3302" t="s">
        <v>1548</v>
      </c>
      <c r="DO3302" t="s">
        <v>2911</v>
      </c>
      <c r="DP3302" t="s">
        <v>1902</v>
      </c>
      <c r="DQ3302" t="s">
        <v>3104</v>
      </c>
      <c r="DR3302" s="459" t="s">
        <v>885</v>
      </c>
      <c r="DS3302" t="s">
        <v>3130</v>
      </c>
      <c r="DT3302" t="s">
        <v>3209</v>
      </c>
      <c r="DU3302" t="s">
        <v>1478</v>
      </c>
      <c r="DV3302" t="s">
        <v>2013</v>
      </c>
      <c r="DW3302" s="245" t="s">
        <v>885</v>
      </c>
      <c r="DX3302" s="245" t="s">
        <v>885</v>
      </c>
      <c r="DY3302" s="245"/>
      <c r="DZ3302" s="470" t="str">
        <f>IF($B$265=$B$3278,EB3302,IF($B$265=$B$3279,ED3302,IF($B$265=$B$3280,EF3302,IF($B$265=$B$3281,EH3302,IF($B$265=$B$3282,EJ3302,IF($B$265=$B$3283,EL3302,IF($B$265=$B$3284,EN3302,IF($B$265=$B$3285,EP3302,IF($B$265=$B$3286,ER3302,IF($B$265=$B$3287,ET3302,IF($B$265=$B$3288,EV3302,IF($B$265=$B$3289,EX3302,IF($B$265=$B$3290,EZ3302,IF($B$265=$B$3291,FB3302,IF($B$265=$B$3292,FD3302,IF($B$265=$B$3293,BU3302,IF($B$265=$B$3294,FF3302,IF($B$265=$B$3295,FH3302,IF($B$265=$B$3296,FJ3302,IF($B$265=$B$3297,FL3302,IF($B$265=$B$3298,FN3302,IF($B$265=$B$3299,FP3302,IF(BI$265=$B$3300,FR3302,IF($B$265=$B$3301,FT3302,IF($B$265=$B$3302,FV3302,IF($B$265=$B$3303,FX3302,IF($B$265=$B$3304,FZ3302,IF($B$265=$B$3305,GB3302,IF($B$265=$B$3306,GD3302,IF($B$265=$B$3307,GF3302,IF($B$265=$B$3308,GH3302,IF($B$265=$B$3309,GJ3302,IF($B$265=$B$3310,GL3302,IF($B$265=$B$3311,GN3302,IF($B$265=$B$3312,GP3302,IF($B$265=$B$3313,GR3302,IF($B$265=$B$3314,GT3302,IF($B$265=$B$3315,GV3302,IF($B$265=$B$3316,GX3302,IF($B$265=$B$3317,GZ3302,IF($B$265=$B$3318,HB3302,IF($B$265=$B$3319,HD3302,IF($B$265=$B$3320,HF3302,IF($B$265=$B$3321,HH3302,IF($B$265=$B$3322,HJ3302,IF($B$265=$B$3323,HL3302,IF($B$265=$B$3324,HN3302,IF($B$265=$B$3325,HP3302,IF($B$265=$B$3326,HR3302,IF($B$265=$B$3327,HT3302,IF($B$265=$B$3328,HV3302,IF($B$265=$B$3329,HX3302,""))))))))))))))))))))))))))))))))))))))))))))))))))))</f>
        <v/>
      </c>
      <c r="EA3302" s="470" t="str">
        <f>IF($B$265=$B$3278,EC3302,IF($B$265=$B$3279,EE3302,IF($B$265=$B$3280,EG3302,IF($B$265=$B$3281,EI3302,IF($B$265=$B$3282,EK3302,IF($B$265=$B$3283,EM3302,IF($B$265=$B$3284,EO3302,IF($B$265=$B$3285,EQ3302,IF($B$265=$B$3286,ES3302,IF($B$265=$B$3287,EU3302,IF($B$265=$B$3288,EW3302,IF($B$265=$B$3289,EY3302,IF($B$265=$B$3290,FA3302,IF($B$265=$B$3291,FC3302,IF($B$265=$B$3292,FE3302,IF($B$265=$B$3293,BK3302,IF($B$265=$B$3294,FG3302,IF($B$265=$B$3295,FI3302,IF($B$265=$B$3296,FK3302,IF($B$265=$B$3297,FM3302,IF($B$265=$B$3298,FO3302,IF($B$265=$B$3299,FQ3302,IF(BJ$265=$B$3300,FS3302,IF($B$265=$B$3301,FU3302,IF($B$265=$B$3302,FW3302,IF($B$265=$B$3303,FY3302,IF($B$265=$B$3304,GA3302,IF($B$265=$B$3305,GC3302,IF($B$265=$B$3306,GE3302,IF($B$265=$B$3307,GG3302,IF($B$265=$B$3308,GI3302,IF($B$265=$B$3309,GK3302,IF($B$265=$B$3310,GM3302,IF($B$265=$B$3311,GO3302,IF($B$265=$B$3312,GQ3302,IF($B$265=$B$3313,GS3302,IF($B$265=$B$3314,GU3302,IF($B$265=$B$3315,GW3302,IF($B$265=$B$3316,GY3302,IF($B$265=$B$3317,HA3302,IF($B$265=$B$3318,HC3302,IF($B$265=$B$3319,HE3302,IF($B$265=$B$3320,HG3302,IF($B$265=$B$3321,HI3302,IF($B$265=$B$3322,HK3302,IF($B$265=$B$3323,HM3302,IF($B$265=$B$3324,HO3302,IF($B$265=$B$3325,HQ3302,IF($B$265=$B$3326,HS3302,IF($B$265=$B$3327,HU3302,IF($B$265=$B$3328,HW3302,IF($B$265=$B$3329,HY3302,""))))))))))))))))))))))))))))))))))))))))))))))))))))</f>
        <v/>
      </c>
      <c r="EB3302" t="str">
        <f>EB3287</f>
        <v>Michael E. O'Dell</v>
      </c>
      <c r="EC3302" t="str">
        <f>EC3287</f>
        <v>R</v>
      </c>
      <c r="EH3302" t="str">
        <f>EH3289</f>
        <v>Eric Hance</v>
      </c>
      <c r="EI3302" s="473" t="s">
        <v>3294</v>
      </c>
      <c r="EJ3302" t="s">
        <v>3395</v>
      </c>
      <c r="EK3302" s="473" t="s">
        <v>3294</v>
      </c>
      <c r="EL3302" t="s">
        <v>3443</v>
      </c>
      <c r="EM3302" s="473" t="s">
        <v>3288</v>
      </c>
    </row>
    <row r="3303" spans="1:143" ht="15.5" hidden="1" x14ac:dyDescent="0.35">
      <c r="A3303" s="417" t="s">
        <v>1153</v>
      </c>
      <c r="B3303" s="418" t="s">
        <v>1154</v>
      </c>
      <c r="C3303" s="419">
        <f>50*365.25</f>
        <v>18262.5</v>
      </c>
      <c r="D3303" s="427" t="s">
        <v>885</v>
      </c>
      <c r="G3303" s="420"/>
      <c r="H3303" s="420"/>
      <c r="I3303" s="420"/>
      <c r="J3303" s="420"/>
      <c r="K3303" s="420"/>
      <c r="L3303" s="420"/>
      <c r="M3303" s="420"/>
      <c r="N3303" s="420"/>
      <c r="O3303" s="420"/>
      <c r="P3303" s="420"/>
      <c r="Q3303" s="420"/>
      <c r="R3303" s="420"/>
      <c r="S3303" s="420"/>
      <c r="T3303" s="420"/>
      <c r="U3303" s="420"/>
      <c r="V3303" s="420"/>
      <c r="W3303" s="420"/>
      <c r="X3303" s="420"/>
      <c r="Y3303" s="420"/>
      <c r="Z3303" s="420"/>
      <c r="AB3303" s="48" t="s">
        <v>1155</v>
      </c>
      <c r="AC3303" s="245" t="s">
        <v>885</v>
      </c>
      <c r="AD3303" s="48" t="s">
        <v>1156</v>
      </c>
      <c r="AF3303" s="421">
        <v>1</v>
      </c>
      <c r="AI3303" s="48" t="str">
        <f>AI3298</f>
        <v>2 years</v>
      </c>
      <c r="AK3303" s="48" t="s">
        <v>1087</v>
      </c>
      <c r="AO3303" s="48" t="s">
        <v>1157</v>
      </c>
      <c r="AR3303" s="245" t="s">
        <v>885</v>
      </c>
      <c r="AS3303" s="48" t="s">
        <v>1158</v>
      </c>
      <c r="AW3303" s="245" t="s">
        <v>885</v>
      </c>
      <c r="AX3303" s="48">
        <v>26</v>
      </c>
      <c r="BB3303" s="402">
        <f t="shared" ca="1" si="140"/>
        <v>2282812.5</v>
      </c>
      <c r="BF3303" s="423">
        <v>26126</v>
      </c>
      <c r="BG3303" s="415">
        <f t="shared" si="141"/>
        <v>0</v>
      </c>
      <c r="BH3303" s="415">
        <f t="shared" si="143"/>
        <v>0</v>
      </c>
      <c r="BI3303" s="365">
        <f t="shared" si="144"/>
        <v>0</v>
      </c>
      <c r="BJ3303" s="157">
        <f t="shared" si="142"/>
        <v>0</v>
      </c>
      <c r="BK3303" s="416">
        <f t="shared" si="145"/>
        <v>0</v>
      </c>
      <c r="BN3303" s="1107">
        <f t="shared" si="146"/>
        <v>0</v>
      </c>
      <c r="BO3303" s="927"/>
      <c r="BP3303" s="927"/>
      <c r="BQ3303" s="927"/>
      <c r="BS3303" s="464" t="str">
        <f>IF($B$265=B$3278,BZ3302,IF($B$265=B$3279,CA3302,IF($B$265=B$3280,CB3302,IF($B$265=B$3281,CC3302,IF($B$265=B$3282,CD3302,IF($B$265=B$3283,CE3302,IF($B$265=B$3284,CF3302,IF($B$265=B$3285,CG3302,IF($B$265=B$3286,CH3302,IF($B$265=B$3287,CI3302,IF($B$265=B$3288,CJ3302,IF($B$265=B$3289,CK3302,IF($B$265=B$3290,CL3302,IF($B$265=B$3291,CM3302,IF($B$265=B$3292,CN3302,IF($B$265=B$3293,C3302,IF($B$265=B$3294,CO3302,IF($B$265=B$3295,CP3302,IF($B$265=B$3296,CQ3302,IF($B$265=B$3297,CR3302,IF($B$265=B$3298,CS3302,IF($B$265=B$3299,CT3302,IF(B$265=B$3300,CU3302,IF($B$265=B$3301,CV3302,IF($B$265=B$3302,CW3302,IF($B$265=B$3303,CX3302,IF($B$265=B$3304,CY3302,IF($B$265=B$3305,CZ3302,IF($B$265=B$3306,DA3302,IF($B$265=B$3307,DB3302,IF($B$265=B$3308,DC3302,IF($B$265=B$3309,DD3302,IF($B$265=B$3310,DE3302,IF($B$265=B$3311,DF3302,IF($B$265=B$3312,DG3302,IF($B$265=B$3313,DH3302,IF($B$265=B$3314,DI3302,IF($B$265=B$3315,DJ3302,IF($B$265=B$3316,DK3302,IF($B$265=B$3317,DL3302,IF($B$265=B$3318,DM3302,IF($B$265=B$3319,DN3302,IF($B$265=B$3320,DO3302,IF($B$265=B$3321,DP3302,IF($B$265=B$3322,DQ3302,IF($B$265=B$3323,DR3302,IF($B$265=B$3324,DS3302,IF($B$265=B$3325,DT3302,IF($B$265=B$3326,DU3302,IF($B$265=B$3327,DV3302,IF($B$265=B$3328,DW3302,IF($B$265=B$3329,DX3302,""))))))))))))))))))))))))))))))))))))))))))))))))))))</f>
        <v/>
      </c>
      <c r="BZ3303" s="48" t="s">
        <v>1456</v>
      </c>
      <c r="CA3303" t="s">
        <v>1523</v>
      </c>
      <c r="CB3303" s="245" t="s">
        <v>885</v>
      </c>
      <c r="CC3303" t="s">
        <v>1547</v>
      </c>
      <c r="CD3303" t="s">
        <v>1609</v>
      </c>
      <c r="CE3303" t="s">
        <v>1665</v>
      </c>
      <c r="CF3303" s="245" t="s">
        <v>885</v>
      </c>
      <c r="CG3303" s="245" t="s">
        <v>885</v>
      </c>
      <c r="CH3303" s="245" t="s">
        <v>885</v>
      </c>
      <c r="CI3303" t="s">
        <v>1725</v>
      </c>
      <c r="CJ3303" t="s">
        <v>1774</v>
      </c>
      <c r="CK3303" s="459" t="s">
        <v>885</v>
      </c>
      <c r="CL3303" t="s">
        <v>1467</v>
      </c>
      <c r="CM3303" t="s">
        <v>1459</v>
      </c>
      <c r="CN3303" t="s">
        <v>1963</v>
      </c>
      <c r="CO3303" t="s">
        <v>2006</v>
      </c>
      <c r="CP3303" t="s">
        <v>2053</v>
      </c>
      <c r="CQ3303" t="s">
        <v>1444</v>
      </c>
      <c r="CR3303" t="s">
        <v>2187</v>
      </c>
      <c r="CS3303" s="459" t="s">
        <v>885</v>
      </c>
      <c r="CT3303" s="245" t="s">
        <v>885</v>
      </c>
      <c r="CU3303" t="s">
        <v>2270</v>
      </c>
      <c r="CV3303" t="s">
        <v>1548</v>
      </c>
      <c r="CW3303" t="s">
        <v>1728</v>
      </c>
      <c r="CX3303" t="s">
        <v>2420</v>
      </c>
      <c r="CY3303" t="s">
        <v>1732</v>
      </c>
      <c r="CZ3303" t="s">
        <v>2502</v>
      </c>
      <c r="DA3303" s="459" t="s">
        <v>885</v>
      </c>
      <c r="DB3303" s="459" t="s">
        <v>885</v>
      </c>
      <c r="DC3303" s="459" t="s">
        <v>885</v>
      </c>
      <c r="DD3303" t="s">
        <v>1690</v>
      </c>
      <c r="DE3303" t="s">
        <v>1927</v>
      </c>
      <c r="DF3303" t="s">
        <v>1909</v>
      </c>
      <c r="DG3303" t="s">
        <v>1820</v>
      </c>
      <c r="DH3303" t="s">
        <v>1546</v>
      </c>
      <c r="DI3303" t="s">
        <v>1801</v>
      </c>
      <c r="DJ3303" t="s">
        <v>2798</v>
      </c>
      <c r="DK3303" t="s">
        <v>1459</v>
      </c>
      <c r="DL3303" s="459" t="s">
        <v>885</v>
      </c>
      <c r="DM3303" t="s">
        <v>2856</v>
      </c>
      <c r="DN3303" t="s">
        <v>2880</v>
      </c>
      <c r="DO3303" t="s">
        <v>1460</v>
      </c>
      <c r="DP3303" t="s">
        <v>2950</v>
      </c>
      <c r="DQ3303" t="s">
        <v>3105</v>
      </c>
      <c r="DR3303" s="459" t="s">
        <v>885</v>
      </c>
      <c r="DS3303" t="s">
        <v>2846</v>
      </c>
      <c r="DT3303" t="s">
        <v>3210</v>
      </c>
      <c r="DU3303" t="s">
        <v>1929</v>
      </c>
      <c r="DV3303" t="s">
        <v>2280</v>
      </c>
      <c r="DW3303" s="245" t="s">
        <v>885</v>
      </c>
      <c r="DX3303" s="245" t="s">
        <v>885</v>
      </c>
      <c r="DY3303" s="245"/>
      <c r="DZ3303" s="470" t="str">
        <f>IF($B$265=$B$3278,EB3303,IF($B$265=$B$3279,ED3303,IF($B$265=$B$3280,EF3303,IF($B$265=$B$3281,EH3303,IF($B$265=$B$3282,EJ3303,IF($B$265=$B$3283,EL3303,IF($B$265=$B$3284,EN3303,IF($B$265=$B$3285,EP3303,IF($B$265=$B$3286,ER3303,IF($B$265=$B$3287,ET3303,IF($B$265=$B$3288,EV3303,IF($B$265=$B$3289,EX3303,IF($B$265=$B$3290,EZ3303,IF($B$265=$B$3291,FB3303,IF($B$265=$B$3292,FD3303,IF($B$265=$B$3293,BU3303,IF($B$265=$B$3294,FF3303,IF($B$265=$B$3295,FH3303,IF($B$265=$B$3296,FJ3303,IF($B$265=$B$3297,FL3303,IF($B$265=$B$3298,FN3303,IF($B$265=$B$3299,FP3303,IF(BI$265=$B$3300,FR3303,IF($B$265=$B$3301,FT3303,IF($B$265=$B$3302,FV3303,IF($B$265=$B$3303,FX3303,IF($B$265=$B$3304,FZ3303,IF($B$265=$B$3305,GB3303,IF($B$265=$B$3306,GD3303,IF($B$265=$B$3307,GF3303,IF($B$265=$B$3308,GH3303,IF($B$265=$B$3309,GJ3303,IF($B$265=$B$3310,GL3303,IF($B$265=$B$3311,GN3303,IF($B$265=$B$3312,GP3303,IF($B$265=$B$3313,GR3303,IF($B$265=$B$3314,GT3303,IF($B$265=$B$3315,GV3303,IF($B$265=$B$3316,GX3303,IF($B$265=$B$3317,GZ3303,IF($B$265=$B$3318,HB3303,IF($B$265=$B$3319,HD3303,IF($B$265=$B$3320,HF3303,IF($B$265=$B$3321,HH3303,IF($B$265=$B$3322,HJ3303,IF($B$265=$B$3323,HL3303,IF($B$265=$B$3324,HN3303,IF($B$265=$B$3325,HP3303,IF($B$265=$B$3326,HR3303,IF($B$265=$B$3327,HT3303,IF($B$265=$B$3328,HV3303,IF($B$265=$B$3329,HX3303,""))))))))))))))))))))))))))))))))))))))))))))))))))))</f>
        <v/>
      </c>
      <c r="EA3303" s="470" t="str">
        <f>IF($B$265=$B$3278,EC3303,IF($B$265=$B$3279,EE3303,IF($B$265=$B$3280,EG3303,IF($B$265=$B$3281,EI3303,IF($B$265=$B$3282,EK3303,IF($B$265=$B$3283,EM3303,IF($B$265=$B$3284,EO3303,IF($B$265=$B$3285,EQ3303,IF($B$265=$B$3286,ES3303,IF($B$265=$B$3287,EU3303,IF($B$265=$B$3288,EW3303,IF($B$265=$B$3289,EY3303,IF($B$265=$B$3290,FA3303,IF($B$265=$B$3291,FC3303,IF($B$265=$B$3292,FE3303,IF($B$265=$B$3293,BK3303,IF($B$265=$B$3294,FG3303,IF($B$265=$B$3295,FI3303,IF($B$265=$B$3296,FK3303,IF($B$265=$B$3297,FM3303,IF($B$265=$B$3298,FO3303,IF($B$265=$B$3299,FQ3303,IF(BJ$265=$B$3300,FS3303,IF($B$265=$B$3301,FU3303,IF($B$265=$B$3302,FW3303,IF($B$265=$B$3303,FY3303,IF($B$265=$B$3304,GA3303,IF($B$265=$B$3305,GC3303,IF($B$265=$B$3306,GE3303,IF($B$265=$B$3307,GG3303,IF($B$265=$B$3308,GI3303,IF($B$265=$B$3309,GK3303,IF($B$265=$B$3310,GM3303,IF($B$265=$B$3311,GO3303,IF($B$265=$B$3312,GQ3303,IF($B$265=$B$3313,GS3303,IF($B$265=$B$3314,GU3303,IF($B$265=$B$3315,GW3303,IF($B$265=$B$3316,GY3303,IF($B$265=$B$3317,HA3303,IF($B$265=$B$3318,HC3303,IF($B$265=$B$3319,HE3303,IF($B$265=$B$3320,HG3303,IF($B$265=$B$3321,HI3303,IF($B$265=$B$3322,HK3303,IF($B$265=$B$3323,HM3303,IF($B$265=$B$3324,HO3303,IF($B$265=$B$3325,HQ3303,IF($B$265=$B$3326,HS3303,IF($B$265=$B$3327,HU3303,IF($B$265=$B$3328,HW3303,IF($B$265=$B$3329,HY3303,""))))))))))))))))))))))))))))))))))))))))))))))))))))</f>
        <v/>
      </c>
      <c r="EB3303" t="str">
        <f>EB3288</f>
        <v>Randall V. Houston</v>
      </c>
      <c r="EC3303" t="str">
        <f>EC3288</f>
        <v>R</v>
      </c>
      <c r="EH3303" t="s">
        <v>3357</v>
      </c>
      <c r="EI3303" s="473" t="s">
        <v>3294</v>
      </c>
      <c r="EJ3303" t="s">
        <v>3396</v>
      </c>
      <c r="EK3303" s="473" t="s">
        <v>3294</v>
      </c>
      <c r="EL3303" t="s">
        <v>3444</v>
      </c>
      <c r="EM3303" s="473" t="s">
        <v>3334</v>
      </c>
    </row>
    <row r="3304" spans="1:143" ht="15.5" hidden="1" x14ac:dyDescent="0.35">
      <c r="A3304" s="417" t="s">
        <v>1159</v>
      </c>
      <c r="B3304" s="418" t="s">
        <v>1160</v>
      </c>
      <c r="C3304" s="428"/>
      <c r="D3304" s="419" t="s">
        <v>1401</v>
      </c>
      <c r="G3304" s="420"/>
      <c r="H3304" s="420"/>
      <c r="I3304" s="420"/>
      <c r="J3304" s="420"/>
      <c r="K3304" s="420"/>
      <c r="L3304" s="420"/>
      <c r="M3304" s="420"/>
      <c r="N3304" s="420"/>
      <c r="O3304" s="420"/>
      <c r="P3304" s="420"/>
      <c r="Q3304" s="420"/>
      <c r="R3304" s="420"/>
      <c r="S3304" s="420"/>
      <c r="T3304" s="420"/>
      <c r="U3304" s="420"/>
      <c r="V3304" s="420"/>
      <c r="W3304" s="420"/>
      <c r="X3304" s="420"/>
      <c r="Y3304" s="420"/>
      <c r="Z3304" s="420"/>
      <c r="AB3304" s="48" t="s">
        <v>1161</v>
      </c>
      <c r="AC3304" s="245" t="s">
        <v>885</v>
      </c>
      <c r="AD3304" s="48" t="s">
        <v>1162</v>
      </c>
      <c r="AF3304" s="421"/>
      <c r="AG3304" s="48">
        <v>10</v>
      </c>
      <c r="AH3304" s="48" t="s">
        <v>1046</v>
      </c>
      <c r="AI3304" s="48" t="str">
        <f t="shared" si="147"/>
        <v>10 years</v>
      </c>
      <c r="AK3304" s="48" t="s">
        <v>1047</v>
      </c>
      <c r="AO3304" s="48" t="s">
        <v>1163</v>
      </c>
      <c r="AR3304" s="245" t="s">
        <v>885</v>
      </c>
      <c r="AS3304" s="48" t="s">
        <v>1164</v>
      </c>
      <c r="AW3304" s="245" t="s">
        <v>885</v>
      </c>
      <c r="AX3304" s="48">
        <v>27</v>
      </c>
      <c r="BB3304" s="402">
        <f t="shared" ca="1" si="140"/>
        <v>0</v>
      </c>
      <c r="BF3304" s="423">
        <v>25989</v>
      </c>
      <c r="BG3304" s="415">
        <f t="shared" si="141"/>
        <v>0</v>
      </c>
      <c r="BH3304" s="415">
        <f t="shared" si="143"/>
        <v>0</v>
      </c>
      <c r="BI3304" s="365">
        <f t="shared" si="144"/>
        <v>0</v>
      </c>
      <c r="BJ3304" s="157">
        <f t="shared" si="142"/>
        <v>0</v>
      </c>
      <c r="BK3304" s="416">
        <f t="shared" si="145"/>
        <v>0</v>
      </c>
      <c r="BN3304" s="1107">
        <f t="shared" si="146"/>
        <v>0</v>
      </c>
      <c r="BO3304" s="927"/>
      <c r="BP3304" s="927"/>
      <c r="BQ3304" s="927"/>
      <c r="BS3304" s="464" t="str">
        <f>IF($B$265=B$3278,BZ3303,IF($B$265=B$3279,CA3303,IF($B$265=B$3280,CB3303,IF($B$265=B$3281,CC3303,IF($B$265=B$3282,CD3303,IF($B$265=B$3283,CE3303,IF($B$265=B$3284,CF3303,IF($B$265=B$3285,CG3303,IF($B$265=B$3286,CH3303,IF($B$265=B$3287,CI3303,IF($B$265=B$3288,CJ3303,IF($B$265=B$3289,CK3303,IF($B$265=B$3290,CL3303,IF($B$265=B$3291,CM3303,IF($B$265=B$3292,CN3303,IF($B$265=B$3293,C3303,IF($B$265=B$3294,CO3303,IF($B$265=B$3295,CP3303,IF($B$265=B$3296,CQ3303,IF($B$265=B$3297,CR3303,IF($B$265=B$3298,CS3303,IF($B$265=B$3299,CT3303,IF(B$265=B$3300,CU3303,IF($B$265=B$3301,CV3303,IF($B$265=B$3302,CW3303,IF($B$265=B$3303,CX3303,IF($B$265=B$3304,CY3303,IF($B$265=B$3305,CZ3303,IF($B$265=B$3306,DA3303,IF($B$265=B$3307,DB3303,IF($B$265=B$3308,DC3303,IF($B$265=B$3309,DD3303,IF($B$265=B$3310,DE3303,IF($B$265=B$3311,DF3303,IF($B$265=B$3312,DG3303,IF($B$265=B$3313,DH3303,IF($B$265=B$3314,DI3303,IF($B$265=B$3315,DJ3303,IF($B$265=B$3316,DK3303,IF($B$265=B$3317,DL3303,IF($B$265=B$3318,DM3303,IF($B$265=B$3319,DN3303,IF($B$265=B$3320,DO3303,IF($B$265=B$3321,DP3303,IF($B$265=B$3322,DQ3303,IF($B$265=B$3323,DR3303,IF($B$265=B$3324,DS3303,IF($B$265=B$3325,DT3303,IF($B$265=B$3326,DU3303,IF($B$265=B$3327,DV3303,IF($B$265=B$3328,DW3303,IF($B$265=B$3329,DX3303,""))))))))))))))))))))))))))))))))))))))))))))))))))))</f>
        <v/>
      </c>
      <c r="BZ3304" s="48" t="s">
        <v>1457</v>
      </c>
      <c r="CA3304" t="s">
        <v>1524</v>
      </c>
      <c r="CB3304" s="245" t="s">
        <v>885</v>
      </c>
      <c r="CC3304" t="s">
        <v>1548</v>
      </c>
      <c r="CD3304" t="s">
        <v>1610</v>
      </c>
      <c r="CE3304" t="s">
        <v>1666</v>
      </c>
      <c r="CF3304" s="245" t="s">
        <v>885</v>
      </c>
      <c r="CG3304" s="245" t="s">
        <v>885</v>
      </c>
      <c r="CH3304" s="245" t="s">
        <v>885</v>
      </c>
      <c r="CI3304" t="s">
        <v>1726</v>
      </c>
      <c r="CJ3304" t="s">
        <v>1775</v>
      </c>
      <c r="CK3304" s="459" t="s">
        <v>885</v>
      </c>
      <c r="CL3304" t="s">
        <v>1885</v>
      </c>
      <c r="CM3304" t="s">
        <v>1914</v>
      </c>
      <c r="CN3304" t="s">
        <v>1548</v>
      </c>
      <c r="CO3304" t="s">
        <v>1785</v>
      </c>
      <c r="CP3304" t="s">
        <v>2054</v>
      </c>
      <c r="CQ3304" t="s">
        <v>1907</v>
      </c>
      <c r="CR3304" t="s">
        <v>2188</v>
      </c>
      <c r="CS3304" s="459" t="s">
        <v>885</v>
      </c>
      <c r="CT3304" s="245" t="s">
        <v>885</v>
      </c>
      <c r="CU3304" t="s">
        <v>2271</v>
      </c>
      <c r="CV3304" t="s">
        <v>2332</v>
      </c>
      <c r="CW3304" t="s">
        <v>2388</v>
      </c>
      <c r="CX3304" t="s">
        <v>2421</v>
      </c>
      <c r="CY3304" t="s">
        <v>1556</v>
      </c>
      <c r="CZ3304" t="s">
        <v>1786</v>
      </c>
      <c r="DA3304" s="459" t="s">
        <v>885</v>
      </c>
      <c r="DB3304" s="459" t="s">
        <v>885</v>
      </c>
      <c r="DC3304" s="459" t="s">
        <v>885</v>
      </c>
      <c r="DD3304" t="s">
        <v>2580</v>
      </c>
      <c r="DE3304" t="s">
        <v>1475</v>
      </c>
      <c r="DF3304" t="s">
        <v>2633</v>
      </c>
      <c r="DG3304" t="s">
        <v>2697</v>
      </c>
      <c r="DH3304" t="s">
        <v>2722</v>
      </c>
      <c r="DI3304" t="s">
        <v>1548</v>
      </c>
      <c r="DJ3304" t="s">
        <v>1567</v>
      </c>
      <c r="DK3304" t="s">
        <v>2817</v>
      </c>
      <c r="DL3304" s="459" t="s">
        <v>885</v>
      </c>
      <c r="DM3304" t="s">
        <v>1811</v>
      </c>
      <c r="DN3304" t="s">
        <v>2881</v>
      </c>
      <c r="DO3304" t="s">
        <v>1963</v>
      </c>
      <c r="DP3304" t="s">
        <v>2951</v>
      </c>
      <c r="DQ3304" t="s">
        <v>1495</v>
      </c>
      <c r="DR3304" s="459" t="s">
        <v>885</v>
      </c>
      <c r="DS3304" t="s">
        <v>1443</v>
      </c>
      <c r="DT3304" t="s">
        <v>1829</v>
      </c>
      <c r="DU3304" t="s">
        <v>2653</v>
      </c>
      <c r="DV3304" t="s">
        <v>1466</v>
      </c>
      <c r="DW3304" s="245" t="s">
        <v>885</v>
      </c>
      <c r="DX3304" s="245" t="s">
        <v>885</v>
      </c>
      <c r="DY3304" s="245"/>
      <c r="DZ3304" s="470" t="str">
        <f>IF($B$265=$B$3278,EB3304,IF($B$265=$B$3279,ED3304,IF($B$265=$B$3280,EF3304,IF($B$265=$B$3281,EH3304,IF($B$265=$B$3282,EJ3304,IF($B$265=$B$3283,EL3304,IF($B$265=$B$3284,EN3304,IF($B$265=$B$3285,EP3304,IF($B$265=$B$3286,ER3304,IF($B$265=$B$3287,ET3304,IF($B$265=$B$3288,EV3304,IF($B$265=$B$3289,EX3304,IF($B$265=$B$3290,EZ3304,IF($B$265=$B$3291,FB3304,IF($B$265=$B$3292,FD3304,IF($B$265=$B$3293,BU3304,IF($B$265=$B$3294,FF3304,IF($B$265=$B$3295,FH3304,IF($B$265=$B$3296,FJ3304,IF($B$265=$B$3297,FL3304,IF($B$265=$B$3298,FN3304,IF($B$265=$B$3299,FP3304,IF(BI$265=$B$3300,FR3304,IF($B$265=$B$3301,FT3304,IF($B$265=$B$3302,FV3304,IF($B$265=$B$3303,FX3304,IF($B$265=$B$3304,FZ3304,IF($B$265=$B$3305,GB3304,IF($B$265=$B$3306,GD3304,IF($B$265=$B$3307,GF3304,IF($B$265=$B$3308,GH3304,IF($B$265=$B$3309,GJ3304,IF($B$265=$B$3310,GL3304,IF($B$265=$B$3311,GN3304,IF($B$265=$B$3312,GP3304,IF($B$265=$B$3313,GR3304,IF($B$265=$B$3314,GT3304,IF($B$265=$B$3315,GV3304,IF($B$265=$B$3316,GX3304,IF($B$265=$B$3317,GZ3304,IF($B$265=$B$3318,HB3304,IF($B$265=$B$3319,HD3304,IF($B$265=$B$3320,HF3304,IF($B$265=$B$3321,HH3304,IF($B$265=$B$3322,HJ3304,IF($B$265=$B$3323,HL3304,IF($B$265=$B$3324,HN3304,IF($B$265=$B$3325,HP3304,IF($B$265=$B$3326,HR3304,IF($B$265=$B$3327,HT3304,IF($B$265=$B$3328,HV3304,IF($B$265=$B$3329,HX3304,""))))))))))))))))))))))))))))))))))))))))))))))))))))</f>
        <v/>
      </c>
      <c r="EA3304" s="470" t="str">
        <f>IF($B$265=$B$3278,EC3304,IF($B$265=$B$3279,EE3304,IF($B$265=$B$3280,EG3304,IF($B$265=$B$3281,EI3304,IF($B$265=$B$3282,EK3304,IF($B$265=$B$3283,EM3304,IF($B$265=$B$3284,EO3304,IF($B$265=$B$3285,EQ3304,IF($B$265=$B$3286,ES3304,IF($B$265=$B$3287,EU3304,IF($B$265=$B$3288,EW3304,IF($B$265=$B$3289,EY3304,IF($B$265=$B$3290,FA3304,IF($B$265=$B$3291,FC3304,IF($B$265=$B$3292,FE3304,IF($B$265=$B$3293,BK3304,IF($B$265=$B$3294,FG3304,IF($B$265=$B$3295,FI3304,IF($B$265=$B$3296,FK3304,IF($B$265=$B$3297,FM3304,IF($B$265=$B$3298,FO3304,IF($B$265=$B$3299,FQ3304,IF(BJ$265=$B$3300,FS3304,IF($B$265=$B$3301,FU3304,IF($B$265=$B$3302,FW3304,IF($B$265=$B$3303,FY3304,IF($B$265=$B$3304,GA3304,IF($B$265=$B$3305,GC3304,IF($B$265=$B$3306,GE3304,IF($B$265=$B$3307,GG3304,IF($B$265=$B$3308,GI3304,IF($B$265=$B$3309,GK3304,IF($B$265=$B$3310,GM3304,IF($B$265=$B$3311,GO3304,IF($B$265=$B$3312,GQ3304,IF($B$265=$B$3313,GS3304,IF($B$265=$B$3314,GU3304,IF($B$265=$B$3315,GW3304,IF($B$265=$B$3316,GY3304,IF($B$265=$B$3317,HA3304,IF($B$265=$B$3318,HC3304,IF($B$265=$B$3319,HE3304,IF($B$265=$B$3320,HG3304,IF($B$265=$B$3321,HI3304,IF($B$265=$B$3322,HK3304,IF($B$265=$B$3323,HM3304,IF($B$265=$B$3324,HO3304,IF($B$265=$B$3325,HQ3304,IF($B$265=$B$3326,HS3304,IF($B$265=$B$3327,HU3304,IF($B$265=$B$3328,HW3304,IF($B$265=$B$3329,HY3304,""))))))))))))))))))))))))))))))))))))))))))))))))))))</f>
        <v/>
      </c>
      <c r="EB3304" t="s">
        <v>3304</v>
      </c>
      <c r="EC3304" s="471" t="s">
        <v>3288</v>
      </c>
      <c r="EH3304" t="s">
        <v>3358</v>
      </c>
      <c r="EI3304" s="473" t="s">
        <v>3294</v>
      </c>
      <c r="EJ3304" t="s">
        <v>3397</v>
      </c>
      <c r="EK3304" s="473" t="s">
        <v>3294</v>
      </c>
      <c r="EL3304" t="str">
        <f>EL3293</f>
        <v>Seth D. Ryan</v>
      </c>
      <c r="EM3304" s="473" t="str">
        <f>EM3293</f>
        <v>R</v>
      </c>
    </row>
    <row r="3305" spans="1:143" ht="15.5" hidden="1" x14ac:dyDescent="0.35">
      <c r="A3305" s="417" t="s">
        <v>1165</v>
      </c>
      <c r="B3305" s="418" t="s">
        <v>1166</v>
      </c>
      <c r="C3305" s="427">
        <f>C3299</f>
        <v>0</v>
      </c>
      <c r="D3305" s="419">
        <v>500000</v>
      </c>
      <c r="G3305" s="420"/>
      <c r="H3305" s="420"/>
      <c r="I3305" s="420"/>
      <c r="J3305" s="420"/>
      <c r="K3305" s="420"/>
      <c r="L3305" s="420"/>
      <c r="M3305" s="420"/>
      <c r="N3305" s="420"/>
      <c r="O3305" s="420"/>
      <c r="P3305" s="420"/>
      <c r="Q3305" s="420"/>
      <c r="R3305" s="420"/>
      <c r="S3305" s="420"/>
      <c r="T3305" s="420"/>
      <c r="U3305" s="420"/>
      <c r="V3305" s="420"/>
      <c r="W3305" s="420"/>
      <c r="X3305" s="420"/>
      <c r="Y3305" s="420"/>
      <c r="Z3305" s="420"/>
      <c r="AB3305" s="48" t="s">
        <v>1167</v>
      </c>
      <c r="AC3305" s="245" t="s">
        <v>885</v>
      </c>
      <c r="AD3305" s="48" t="s">
        <v>1049</v>
      </c>
      <c r="AF3305" s="421"/>
      <c r="AG3305" s="48">
        <v>2</v>
      </c>
      <c r="AH3305" s="48" t="s">
        <v>1046</v>
      </c>
      <c r="AI3305" s="48" t="str">
        <f t="shared" si="147"/>
        <v>2 years</v>
      </c>
      <c r="AK3305" s="48" t="s">
        <v>1112</v>
      </c>
      <c r="AO3305" s="48" t="s">
        <v>1168</v>
      </c>
      <c r="AR3305" s="245" t="s">
        <v>885</v>
      </c>
      <c r="AS3305" s="48" t="s">
        <v>1066</v>
      </c>
      <c r="AW3305" s="245" t="s">
        <v>885</v>
      </c>
      <c r="AX3305" s="48">
        <v>28</v>
      </c>
      <c r="BB3305" s="402">
        <f t="shared" ca="1" si="140"/>
        <v>0</v>
      </c>
      <c r="BF3305" s="423">
        <v>27446</v>
      </c>
      <c r="BG3305" s="415">
        <f t="shared" si="141"/>
        <v>0</v>
      </c>
      <c r="BH3305" s="415">
        <f t="shared" si="143"/>
        <v>0</v>
      </c>
      <c r="BI3305" s="365">
        <f t="shared" si="144"/>
        <v>0</v>
      </c>
      <c r="BJ3305" s="157">
        <f t="shared" si="142"/>
        <v>0</v>
      </c>
      <c r="BK3305" s="416">
        <f t="shared" si="145"/>
        <v>0</v>
      </c>
      <c r="BN3305" s="1107">
        <f t="shared" si="146"/>
        <v>0</v>
      </c>
      <c r="BO3305" s="927"/>
      <c r="BP3305" s="927"/>
      <c r="BQ3305" s="927"/>
      <c r="BS3305" s="464" t="str">
        <f>IF($B$265=B$3278,BZ3304,IF($B$265=B$3279,CA3304,IF($B$265=B$3280,CB3304,IF($B$265=B$3281,CC3304,IF($B$265=B$3282,CD3304,IF($B$265=B$3283,CE3304,IF($B$265=B$3284,CF3304,IF($B$265=B$3285,CG3304,IF($B$265=B$3286,CH3304,IF($B$265=B$3287,CI3304,IF($B$265=B$3288,CJ3304,IF($B$265=B$3289,CK3304,IF($B$265=B$3290,CL3304,IF($B$265=B$3291,CM3304,IF($B$265=B$3292,CN3304,IF($B$265=B$3293,C3304,IF($B$265=B$3294,CO3304,IF($B$265=B$3295,CP3304,IF($B$265=B$3296,CQ3304,IF($B$265=B$3297,CR3304,IF($B$265=B$3298,CS3304,IF($B$265=B$3299,CT3304,IF(B$265=B$3300,CU3304,IF($B$265=B$3301,CV3304,IF($B$265=B$3302,CW3304,IF($B$265=B$3303,CX3304,IF($B$265=B$3304,CY3304,IF($B$265=B$3305,CZ3304,IF($B$265=B$3306,DA3304,IF($B$265=B$3307,DB3304,IF($B$265=B$3308,DC3304,IF($B$265=B$3309,DD3304,IF($B$265=B$3310,DE3304,IF($B$265=B$3311,DF3304,IF($B$265=B$3312,DG3304,IF($B$265=B$3313,DH3304,IF($B$265=B$3314,DI3304,IF($B$265=B$3315,DJ3304,IF($B$265=B$3316,DK3304,IF($B$265=B$3317,DL3304,IF($B$265=B$3318,DM3304,IF($B$265=B$3319,DN3304,IF($B$265=B$3320,DO3304,IF($B$265=B$3321,DP3304,IF($B$265=B$3322,DQ3304,IF($B$265=B$3323,DR3304,IF($B$265=B$3324,DS3304,IF($B$265=B$3325,DT3304,IF($B$265=B$3326,DU3304,IF($B$265=B$3327,DV3304,IF($B$265=B$3328,DW3304,IF($B$265=B$3329,DX3304,""))))))))))))))))))))))))))))))))))))))))))))))))))))</f>
        <v/>
      </c>
      <c r="BZ3305" s="48" t="s">
        <v>1458</v>
      </c>
      <c r="CA3305" t="s">
        <v>1525</v>
      </c>
      <c r="CB3305" s="245" t="s">
        <v>885</v>
      </c>
      <c r="CC3305" t="s">
        <v>1462</v>
      </c>
      <c r="CD3305" t="s">
        <v>1611</v>
      </c>
      <c r="CE3305" t="s">
        <v>1667</v>
      </c>
      <c r="CF3305" s="245" t="s">
        <v>885</v>
      </c>
      <c r="CG3305" s="245" t="s">
        <v>885</v>
      </c>
      <c r="CH3305" s="245" t="s">
        <v>885</v>
      </c>
      <c r="CI3305" t="s">
        <v>1727</v>
      </c>
      <c r="CJ3305" t="s">
        <v>1440</v>
      </c>
      <c r="CK3305" s="459" t="s">
        <v>885</v>
      </c>
      <c r="CL3305" t="s">
        <v>1886</v>
      </c>
      <c r="CM3305" t="s">
        <v>1460</v>
      </c>
      <c r="CN3305" t="s">
        <v>1462</v>
      </c>
      <c r="CO3305" t="s">
        <v>1959</v>
      </c>
      <c r="CP3305" t="s">
        <v>2055</v>
      </c>
      <c r="CQ3305" t="s">
        <v>1541</v>
      </c>
      <c r="CR3305" t="s">
        <v>2189</v>
      </c>
      <c r="CS3305" s="459" t="s">
        <v>885</v>
      </c>
      <c r="CT3305" s="245" t="s">
        <v>885</v>
      </c>
      <c r="CU3305" t="s">
        <v>2272</v>
      </c>
      <c r="CV3305" t="s">
        <v>1465</v>
      </c>
      <c r="CW3305" t="s">
        <v>2389</v>
      </c>
      <c r="CX3305" t="s">
        <v>1540</v>
      </c>
      <c r="CY3305" t="s">
        <v>2472</v>
      </c>
      <c r="CZ3305" t="s">
        <v>1658</v>
      </c>
      <c r="DA3305" s="459" t="s">
        <v>885</v>
      </c>
      <c r="DB3305" s="459" t="s">
        <v>885</v>
      </c>
      <c r="DC3305" s="459" t="s">
        <v>885</v>
      </c>
      <c r="DD3305" t="s">
        <v>1627</v>
      </c>
      <c r="DE3305" t="s">
        <v>1480</v>
      </c>
      <c r="DF3305" t="s">
        <v>2634</v>
      </c>
      <c r="DG3305" t="s">
        <v>1933</v>
      </c>
      <c r="DH3305" t="s">
        <v>2723</v>
      </c>
      <c r="DI3305" t="s">
        <v>2759</v>
      </c>
      <c r="DJ3305" t="s">
        <v>2094</v>
      </c>
      <c r="DK3305" t="s">
        <v>1460</v>
      </c>
      <c r="DL3305" s="459" t="s">
        <v>885</v>
      </c>
      <c r="DM3305" t="s">
        <v>2857</v>
      </c>
      <c r="DN3305" t="s">
        <v>2882</v>
      </c>
      <c r="DO3305" t="s">
        <v>2912</v>
      </c>
      <c r="DP3305" t="s">
        <v>2117</v>
      </c>
      <c r="DQ3305" t="s">
        <v>1855</v>
      </c>
      <c r="DR3305" s="459" t="s">
        <v>885</v>
      </c>
      <c r="DS3305" t="s">
        <v>3131</v>
      </c>
      <c r="DT3305" t="s">
        <v>1689</v>
      </c>
      <c r="DU3305" t="s">
        <v>1935</v>
      </c>
      <c r="DV3305" t="s">
        <v>1467</v>
      </c>
      <c r="DW3305" s="245" t="s">
        <v>885</v>
      </c>
      <c r="DX3305" s="245" t="s">
        <v>885</v>
      </c>
      <c r="DY3305" s="245"/>
      <c r="DZ3305" s="470" t="str">
        <f>IF($B$265=$B$3278,EB3305,IF($B$265=$B$3279,ED3305,IF($B$265=$B$3280,EF3305,IF($B$265=$B$3281,EH3305,IF($B$265=$B$3282,EJ3305,IF($B$265=$B$3283,EL3305,IF($B$265=$B$3284,EN3305,IF($B$265=$B$3285,EP3305,IF($B$265=$B$3286,ER3305,IF($B$265=$B$3287,ET3305,IF($B$265=$B$3288,EV3305,IF($B$265=$B$3289,EX3305,IF($B$265=$B$3290,EZ3305,IF($B$265=$B$3291,FB3305,IF($B$265=$B$3292,FD3305,IF($B$265=$B$3293,BU3305,IF($B$265=$B$3294,FF3305,IF($B$265=$B$3295,FH3305,IF($B$265=$B$3296,FJ3305,IF($B$265=$B$3297,FL3305,IF($B$265=$B$3298,FN3305,IF($B$265=$B$3299,FP3305,IF(BI$265=$B$3300,FR3305,IF($B$265=$B$3301,FT3305,IF($B$265=$B$3302,FV3305,IF($B$265=$B$3303,FX3305,IF($B$265=$B$3304,FZ3305,IF($B$265=$B$3305,GB3305,IF($B$265=$B$3306,GD3305,IF($B$265=$B$3307,GF3305,IF($B$265=$B$3308,GH3305,IF($B$265=$B$3309,GJ3305,IF($B$265=$B$3310,GL3305,IF($B$265=$B$3311,GN3305,IF($B$265=$B$3312,GP3305,IF($B$265=$B$3313,GR3305,IF($B$265=$B$3314,GT3305,IF($B$265=$B$3315,GV3305,IF($B$265=$B$3316,GX3305,IF($B$265=$B$3317,GZ3305,IF($B$265=$B$3318,HB3305,IF($B$265=$B$3319,HD3305,IF($B$265=$B$3320,HF3305,IF($B$265=$B$3321,HH3305,IF($B$265=$B$3322,HJ3305,IF($B$265=$B$3323,HL3305,IF($B$265=$B$3324,HN3305,IF($B$265=$B$3325,HP3305,IF($B$265=$B$3326,HR3305,IF($B$265=$B$3327,HT3305,IF($B$265=$B$3328,HV3305,IF($B$265=$B$3329,HX3305,""))))))))))))))))))))))))))))))))))))))))))))))))))))</f>
        <v/>
      </c>
      <c r="EA3305" s="470" t="str">
        <f>IF($B$265=$B$3278,EC3305,IF($B$265=$B$3279,EE3305,IF($B$265=$B$3280,EG3305,IF($B$265=$B$3281,EI3305,IF($B$265=$B$3282,EK3305,IF($B$265=$B$3283,EM3305,IF($B$265=$B$3284,EO3305,IF($B$265=$B$3285,EQ3305,IF($B$265=$B$3286,ES3305,IF($B$265=$B$3287,EU3305,IF($B$265=$B$3288,EW3305,IF($B$265=$B$3289,EY3305,IF($B$265=$B$3290,FA3305,IF($B$265=$B$3291,FC3305,IF($B$265=$B$3292,FE3305,IF($B$265=$B$3293,BK3305,IF($B$265=$B$3294,FG3305,IF($B$265=$B$3295,FI3305,IF($B$265=$B$3296,FK3305,IF($B$265=$B$3297,FM3305,IF($B$265=$B$3298,FO3305,IF($B$265=$B$3299,FQ3305,IF(BJ$265=$B$3300,FS3305,IF($B$265=$B$3301,FU3305,IF($B$265=$B$3302,FW3305,IF($B$265=$B$3303,FY3305,IF($B$265=$B$3304,GA3305,IF($B$265=$B$3305,GC3305,IF($B$265=$B$3306,GE3305,IF($B$265=$B$3307,GG3305,IF($B$265=$B$3308,GI3305,IF($B$265=$B$3309,GK3305,IF($B$265=$B$3310,GM3305,IF($B$265=$B$3311,GO3305,IF($B$265=$B$3312,GQ3305,IF($B$265=$B$3313,GS3305,IF($B$265=$B$3314,GU3305,IF($B$265=$B$3315,GW3305,IF($B$265=$B$3316,GY3305,IF($B$265=$B$3317,HA3305,IF($B$265=$B$3318,HC3305,IF($B$265=$B$3319,HE3305,IF($B$265=$B$3320,HG3305,IF($B$265=$B$3321,HI3305,IF($B$265=$B$3322,HK3305,IF($B$265=$B$3323,HM3305,IF($B$265=$B$3324,HO3305,IF($B$265=$B$3325,HQ3305,IF($B$265=$B$3326,HS3305,IF($B$265=$B$3327,HU3305,IF($B$265=$B$3328,HW3305,IF($B$265=$B$3329,HY3305,""))))))))))))))))))))))))))))))))))))))))))))))))))))</f>
        <v/>
      </c>
      <c r="EB3305" t="s">
        <v>3305</v>
      </c>
      <c r="EC3305" s="471" t="s">
        <v>3283</v>
      </c>
      <c r="EH3305" t="str">
        <f>EH3295</f>
        <v>Scott Ellington</v>
      </c>
      <c r="EI3305" s="473" t="s">
        <v>3294</v>
      </c>
      <c r="EJ3305" t="s">
        <v>3398</v>
      </c>
      <c r="EK3305" s="473" t="s">
        <v>3294</v>
      </c>
      <c r="EL3305" t="str">
        <f>EL3304</f>
        <v>Seth D. Ryan</v>
      </c>
      <c r="EM3305" s="473" t="str">
        <f>EM3304</f>
        <v>R</v>
      </c>
    </row>
    <row r="3306" spans="1:143" ht="15.5" hidden="1" x14ac:dyDescent="0.35">
      <c r="A3306" s="417" t="s">
        <v>1169</v>
      </c>
      <c r="B3306" s="418" t="s">
        <v>1170</v>
      </c>
      <c r="C3306" s="427">
        <f>C3305</f>
        <v>0</v>
      </c>
      <c r="D3306" s="427" t="s">
        <v>885</v>
      </c>
      <c r="E3306" s="427" t="s">
        <v>885</v>
      </c>
      <c r="G3306" s="420"/>
      <c r="H3306" s="420"/>
      <c r="I3306" s="420"/>
      <c r="J3306" s="420"/>
      <c r="K3306" s="420"/>
      <c r="L3306" s="420"/>
      <c r="M3306" s="420"/>
      <c r="N3306" s="420"/>
      <c r="O3306" s="420"/>
      <c r="P3306" s="420"/>
      <c r="Q3306" s="420"/>
      <c r="R3306" s="420"/>
      <c r="S3306" s="420"/>
      <c r="T3306" s="420"/>
      <c r="U3306" s="420"/>
      <c r="V3306" s="420"/>
      <c r="W3306" s="420"/>
      <c r="X3306" s="420"/>
      <c r="Y3306" s="420"/>
      <c r="Z3306" s="420"/>
      <c r="AA3306" s="411"/>
      <c r="AB3306" s="411" t="s">
        <v>1027</v>
      </c>
      <c r="AC3306" s="245" t="s">
        <v>885</v>
      </c>
      <c r="AD3306" s="245" t="s">
        <v>885</v>
      </c>
      <c r="AE3306" s="245" t="s">
        <v>885</v>
      </c>
      <c r="AF3306" s="245" t="s">
        <v>885</v>
      </c>
      <c r="AG3306" s="245" t="s">
        <v>885</v>
      </c>
      <c r="AH3306" s="245" t="s">
        <v>885</v>
      </c>
      <c r="AI3306" s="245" t="s">
        <v>885</v>
      </c>
      <c r="AJ3306" s="245" t="s">
        <v>885</v>
      </c>
      <c r="AK3306" s="245" t="s">
        <v>885</v>
      </c>
      <c r="AL3306" s="245" t="s">
        <v>885</v>
      </c>
      <c r="AM3306" s="245" t="s">
        <v>885</v>
      </c>
      <c r="AN3306" s="245" t="s">
        <v>885</v>
      </c>
      <c r="AO3306" s="245" t="s">
        <v>885</v>
      </c>
      <c r="AP3306" s="245" t="s">
        <v>885</v>
      </c>
      <c r="AQ3306" s="245" t="s">
        <v>885</v>
      </c>
      <c r="AR3306" s="245" t="s">
        <v>885</v>
      </c>
      <c r="AS3306" s="245" t="s">
        <v>885</v>
      </c>
      <c r="AT3306" s="245" t="s">
        <v>885</v>
      </c>
      <c r="AU3306" s="245" t="s">
        <v>885</v>
      </c>
      <c r="AV3306" s="245" t="s">
        <v>885</v>
      </c>
      <c r="AW3306" s="245" t="s">
        <v>885</v>
      </c>
      <c r="AX3306" s="48">
        <v>29</v>
      </c>
      <c r="BB3306" s="402">
        <f t="shared" ca="1" si="140"/>
        <v>0</v>
      </c>
      <c r="BF3306" s="423">
        <v>25773</v>
      </c>
      <c r="BG3306" s="415">
        <f t="shared" si="141"/>
        <v>0</v>
      </c>
      <c r="BH3306" s="415">
        <f t="shared" si="143"/>
        <v>0</v>
      </c>
      <c r="BI3306" s="365">
        <f t="shared" si="144"/>
        <v>0</v>
      </c>
      <c r="BJ3306" s="157">
        <f t="shared" si="142"/>
        <v>0</v>
      </c>
      <c r="BK3306" s="416">
        <f t="shared" si="145"/>
        <v>0</v>
      </c>
      <c r="BS3306" s="464" t="str">
        <f>IF($B$265=B$3278,BZ3305,IF($B$265=B$3279,CA3305,IF($B$265=B$3280,CB3305,IF($B$265=B$3281,CC3305,IF($B$265=B$3282,CD3305,IF($B$265=B$3283,CE3305,IF($B$265=B$3284,CF3305,IF($B$265=B$3285,CG3305,IF($B$265=B$3286,CH3305,IF($B$265=B$3287,CI3305,IF($B$265=B$3288,CJ3305,IF($B$265=B$3289,CK3305,IF($B$265=B$3290,CL3305,IF($B$265=B$3291,CM3305,IF($B$265=B$3292,CN3305,IF($B$265=B$3293,C3305,IF($B$265=B$3294,CO3305,IF($B$265=B$3295,CP3305,IF($B$265=B$3296,CQ3305,IF($B$265=B$3297,CR3305,IF($B$265=B$3298,CS3305,IF($B$265=B$3299,CT3305,IF(B$265=B$3300,CU3305,IF($B$265=B$3301,CV3305,IF($B$265=B$3302,CW3305,IF($B$265=B$3303,CX3305,IF($B$265=B$3304,CY3305,IF($B$265=B$3305,CZ3305,IF($B$265=B$3306,DA3305,IF($B$265=B$3307,DB3305,IF($B$265=B$3308,DC3305,IF($B$265=B$3309,DD3305,IF($B$265=B$3310,DE3305,IF($B$265=B$3311,DF3305,IF($B$265=B$3312,DG3305,IF($B$265=B$3313,DH3305,IF($B$265=B$3314,DI3305,IF($B$265=B$3315,DJ3305,IF($B$265=B$3316,DK3305,IF($B$265=B$3317,DL3305,IF($B$265=B$3318,DM3305,IF($B$265=B$3319,DN3305,IF($B$265=B$3320,DO3305,IF($B$265=B$3321,DP3305,IF($B$265=B$3322,DQ3305,IF($B$265=B$3323,DR3305,IF($B$265=B$3324,DS3305,IF($B$265=B$3325,DT3305,IF($B$265=B$3326,DU3305,IF($B$265=B$3327,DV3305,IF($B$265=B$3328,DW3305,IF($B$265=B$3329,DX3305,""))))))))))))))))))))))))))))))))))))))))))))))))))))</f>
        <v/>
      </c>
      <c r="BZ3306" s="48" t="s">
        <v>1459</v>
      </c>
      <c r="CA3306" t="s">
        <v>1526</v>
      </c>
      <c r="CB3306" s="245" t="s">
        <v>885</v>
      </c>
      <c r="CC3306" t="s">
        <v>1549</v>
      </c>
      <c r="CD3306" t="s">
        <v>1562</v>
      </c>
      <c r="CE3306" t="s">
        <v>1668</v>
      </c>
      <c r="CF3306" s="245" t="s">
        <v>885</v>
      </c>
      <c r="CG3306" s="245" t="s">
        <v>885</v>
      </c>
      <c r="CH3306" s="245" t="s">
        <v>885</v>
      </c>
      <c r="CI3306" t="s">
        <v>1728</v>
      </c>
      <c r="CJ3306" t="s">
        <v>1443</v>
      </c>
      <c r="CK3306" s="459" t="s">
        <v>885</v>
      </c>
      <c r="CL3306" t="s">
        <v>1887</v>
      </c>
      <c r="CM3306" t="s">
        <v>1546</v>
      </c>
      <c r="CN3306" t="s">
        <v>1722</v>
      </c>
      <c r="CO3306" t="s">
        <v>2007</v>
      </c>
      <c r="CP3306" t="s">
        <v>1914</v>
      </c>
      <c r="CQ3306" t="s">
        <v>1909</v>
      </c>
      <c r="CR3306" t="s">
        <v>2190</v>
      </c>
      <c r="CS3306" s="459" t="s">
        <v>885</v>
      </c>
      <c r="CT3306" s="245" t="s">
        <v>885</v>
      </c>
      <c r="CU3306" t="s">
        <v>2273</v>
      </c>
      <c r="CV3306" t="s">
        <v>2333</v>
      </c>
      <c r="CW3306" t="s">
        <v>2390</v>
      </c>
      <c r="CX3306" t="s">
        <v>1783</v>
      </c>
      <c r="CY3306" t="s">
        <v>1475</v>
      </c>
      <c r="CZ3306" t="s">
        <v>2503</v>
      </c>
      <c r="DA3306" s="459" t="s">
        <v>885</v>
      </c>
      <c r="DB3306" s="459" t="s">
        <v>885</v>
      </c>
      <c r="DC3306" s="459" t="s">
        <v>885</v>
      </c>
      <c r="DD3306" t="s">
        <v>2581</v>
      </c>
      <c r="DE3306" t="s">
        <v>1481</v>
      </c>
      <c r="DF3306" t="s">
        <v>2635</v>
      </c>
      <c r="DG3306" t="s">
        <v>1935</v>
      </c>
      <c r="DH3306" t="s">
        <v>1462</v>
      </c>
      <c r="DI3306" t="s">
        <v>2760</v>
      </c>
      <c r="DJ3306" t="s">
        <v>2799</v>
      </c>
      <c r="DK3306" t="s">
        <v>1546</v>
      </c>
      <c r="DL3306" s="459" t="s">
        <v>885</v>
      </c>
      <c r="DM3306" t="s">
        <v>2516</v>
      </c>
      <c r="DN3306" t="s">
        <v>2883</v>
      </c>
      <c r="DO3306" t="s">
        <v>2913</v>
      </c>
      <c r="DP3306" t="s">
        <v>1438</v>
      </c>
      <c r="DQ3306" t="s">
        <v>3106</v>
      </c>
      <c r="DR3306" s="459" t="s">
        <v>885</v>
      </c>
      <c r="DS3306" t="s">
        <v>3132</v>
      </c>
      <c r="DT3306" t="s">
        <v>3211</v>
      </c>
      <c r="DU3306" t="s">
        <v>1675</v>
      </c>
      <c r="DV3306" t="s">
        <v>3246</v>
      </c>
      <c r="DW3306" s="245" t="s">
        <v>885</v>
      </c>
      <c r="DX3306" s="245" t="s">
        <v>885</v>
      </c>
      <c r="DY3306" s="245"/>
      <c r="DZ3306" s="470" t="str">
        <f>IF($B$265=$B$3278,EB3306,IF($B$265=$B$3279,ED3306,IF($B$265=$B$3280,EF3306,IF($B$265=$B$3281,EH3306,IF($B$265=$B$3282,EJ3306,IF($B$265=$B$3283,EL3306,IF($B$265=$B$3284,EN3306,IF($B$265=$B$3285,EP3306,IF($B$265=$B$3286,ER3306,IF($B$265=$B$3287,ET3306,IF($B$265=$B$3288,EV3306,IF($B$265=$B$3289,EX3306,IF($B$265=$B$3290,EZ3306,IF($B$265=$B$3291,FB3306,IF($B$265=$B$3292,FD3306,IF($B$265=$B$3293,BU3306,IF($B$265=$B$3294,FF3306,IF($B$265=$B$3295,FH3306,IF($B$265=$B$3296,FJ3306,IF($B$265=$B$3297,FL3306,IF($B$265=$B$3298,FN3306,IF($B$265=$B$3299,FP3306,IF(BI$265=$B$3300,FR3306,IF($B$265=$B$3301,FT3306,IF($B$265=$B$3302,FV3306,IF($B$265=$B$3303,FX3306,IF($B$265=$B$3304,FZ3306,IF($B$265=$B$3305,GB3306,IF($B$265=$B$3306,GD3306,IF($B$265=$B$3307,GF3306,IF($B$265=$B$3308,GH3306,IF($B$265=$B$3309,GJ3306,IF($B$265=$B$3310,GL3306,IF($B$265=$B$3311,GN3306,IF($B$265=$B$3312,GP3306,IF($B$265=$B$3313,GR3306,IF($B$265=$B$3314,GT3306,IF($B$265=$B$3315,GV3306,IF($B$265=$B$3316,GX3306,IF($B$265=$B$3317,GZ3306,IF($B$265=$B$3318,HB3306,IF($B$265=$B$3319,HD3306,IF($B$265=$B$3320,HF3306,IF($B$265=$B$3321,HH3306,IF($B$265=$B$3322,HJ3306,IF($B$265=$B$3323,HL3306,IF($B$265=$B$3324,HN3306,IF($B$265=$B$3325,HP3306,IF($B$265=$B$3326,HR3306,IF($B$265=$B$3327,HT3306,IF($B$265=$B$3328,HV3306,IF($B$265=$B$3329,HX3306,""))))))))))))))))))))))))))))))))))))))))))))))))))))</f>
        <v/>
      </c>
      <c r="EA3306" s="470" t="str">
        <f>IF($B$265=$B$3278,EC3306,IF($B$265=$B$3279,EE3306,IF($B$265=$B$3280,EG3306,IF($B$265=$B$3281,EI3306,IF($B$265=$B$3282,EK3306,IF($B$265=$B$3283,EM3306,IF($B$265=$B$3284,EO3306,IF($B$265=$B$3285,EQ3306,IF($B$265=$B$3286,ES3306,IF($B$265=$B$3287,EU3306,IF($B$265=$B$3288,EW3306,IF($B$265=$B$3289,EY3306,IF($B$265=$B$3290,FA3306,IF($B$265=$B$3291,FC3306,IF($B$265=$B$3292,FE3306,IF($B$265=$B$3293,BK3306,IF($B$265=$B$3294,FG3306,IF($B$265=$B$3295,FI3306,IF($B$265=$B$3296,FK3306,IF($B$265=$B$3297,FM3306,IF($B$265=$B$3298,FO3306,IF($B$265=$B$3299,FQ3306,IF(BJ$265=$B$3300,FS3306,IF($B$265=$B$3301,FU3306,IF($B$265=$B$3302,FW3306,IF($B$265=$B$3303,FY3306,IF($B$265=$B$3304,GA3306,IF($B$265=$B$3305,GC3306,IF($B$265=$B$3306,GE3306,IF($B$265=$B$3307,GG3306,IF($B$265=$B$3308,GI3306,IF($B$265=$B$3309,GK3306,IF($B$265=$B$3310,GM3306,IF($B$265=$B$3311,GO3306,IF($B$265=$B$3312,GQ3306,IF($B$265=$B$3313,GS3306,IF($B$265=$B$3314,GU3306,IF($B$265=$B$3315,GW3306,IF($B$265=$B$3316,GY3306,IF($B$265=$B$3317,HA3306,IF($B$265=$B$3318,HC3306,IF($B$265=$B$3319,HE3306,IF($B$265=$B$3320,HG3306,IF($B$265=$B$3321,HI3306,IF($B$265=$B$3322,HK3306,IF($B$265=$B$3323,HM3306,IF($B$265=$B$3324,HO3306,IF($B$265=$B$3325,HQ3306,IF($B$265=$B$3326,HS3306,IF($B$265=$B$3327,HU3306,IF($B$265=$B$3328,HW3306,IF($B$265=$B$3329,HY3306,""))))))))))))))))))))))))))))))))))))))))))))))))))))</f>
        <v/>
      </c>
      <c r="EB3306" t="s">
        <v>3306</v>
      </c>
      <c r="EC3306" s="471" t="s">
        <v>3294</v>
      </c>
      <c r="EH3306" t="s">
        <v>3359</v>
      </c>
      <c r="EI3306" s="473" t="s">
        <v>3294</v>
      </c>
      <c r="EJ3306" t="s">
        <v>3399</v>
      </c>
      <c r="EK3306" s="473" t="s">
        <v>3294</v>
      </c>
      <c r="EL3306" t="s">
        <v>3445</v>
      </c>
      <c r="EM3306" s="473" t="s">
        <v>3288</v>
      </c>
    </row>
    <row r="3307" spans="1:143" ht="15.5" hidden="1" x14ac:dyDescent="0.35">
      <c r="A3307" s="417" t="s">
        <v>1171</v>
      </c>
      <c r="B3307" s="418" t="s">
        <v>1172</v>
      </c>
      <c r="C3307" s="427">
        <f>C3306</f>
        <v>0</v>
      </c>
      <c r="D3307" s="419">
        <v>20000</v>
      </c>
      <c r="G3307" s="420"/>
      <c r="H3307" s="420"/>
      <c r="I3307" s="420"/>
      <c r="J3307" s="420"/>
      <c r="K3307" s="420"/>
      <c r="L3307" s="420"/>
      <c r="M3307" s="420"/>
      <c r="N3307" s="420"/>
      <c r="O3307" s="420"/>
      <c r="P3307" s="420"/>
      <c r="Q3307" s="420"/>
      <c r="R3307" s="420"/>
      <c r="S3307" s="420"/>
      <c r="T3307" s="420"/>
      <c r="U3307" s="420"/>
      <c r="V3307" s="420"/>
      <c r="W3307" s="420"/>
      <c r="X3307" s="420"/>
      <c r="Y3307" s="420"/>
      <c r="Z3307" s="420"/>
      <c r="AB3307" s="48" t="s">
        <v>1173</v>
      </c>
      <c r="AC3307" s="245" t="s">
        <v>885</v>
      </c>
      <c r="AD3307" s="48" t="s">
        <v>1174</v>
      </c>
      <c r="AF3307" s="421">
        <v>3</v>
      </c>
      <c r="AG3307" s="48">
        <v>3</v>
      </c>
      <c r="AH3307" s="48" t="s">
        <v>1046</v>
      </c>
      <c r="AI3307" s="48" t="str">
        <f>CONCATENATE(AG3307,AH3307)</f>
        <v>3 years</v>
      </c>
      <c r="AK3307" s="48" t="s">
        <v>1112</v>
      </c>
      <c r="AO3307" s="48" t="s">
        <v>1175</v>
      </c>
      <c r="AR3307" s="245" t="s">
        <v>885</v>
      </c>
      <c r="AS3307" s="48" t="s">
        <v>1176</v>
      </c>
      <c r="AW3307" s="245" t="s">
        <v>885</v>
      </c>
      <c r="AX3307" s="48">
        <v>30</v>
      </c>
      <c r="BB3307" s="402">
        <f t="shared" ca="1" si="140"/>
        <v>0</v>
      </c>
      <c r="BF3307" s="423">
        <v>34691</v>
      </c>
      <c r="BG3307" s="415">
        <f t="shared" si="141"/>
        <v>0</v>
      </c>
      <c r="BH3307" s="415">
        <f t="shared" si="143"/>
        <v>0</v>
      </c>
      <c r="BI3307" s="365">
        <f t="shared" si="144"/>
        <v>0</v>
      </c>
      <c r="BJ3307" s="157">
        <f t="shared" si="142"/>
        <v>0</v>
      </c>
      <c r="BK3307" s="416">
        <f t="shared" si="145"/>
        <v>0</v>
      </c>
      <c r="BN3307" s="1107">
        <f>IF(OR($AC$1127=0,$C$1153="",C$1129=AG$1129),0,$C$1153*$C$1129)</f>
        <v>0</v>
      </c>
      <c r="BO3307" s="927"/>
      <c r="BP3307" s="927"/>
      <c r="BQ3307" s="927"/>
      <c r="BS3307" s="464" t="str">
        <f>IF($B$265=B$3278,BZ3306,IF($B$265=B$3279,CA3306,IF($B$265=B$3280,CB3306,IF($B$265=B$3281,CC3306,IF($B$265=B$3282,CD3306,IF($B$265=B$3283,CE3306,IF($B$265=B$3284,CF3306,IF($B$265=B$3285,CG3306,IF($B$265=B$3286,CH3306,IF($B$265=B$3287,CI3306,IF($B$265=B$3288,CJ3306,IF($B$265=B$3289,CK3306,IF($B$265=B$3290,CL3306,IF($B$265=B$3291,CM3306,IF($B$265=B$3292,CN3306,IF($B$265=B$3293,C3306,IF($B$265=B$3294,CO3306,IF($B$265=B$3295,CP3306,IF($B$265=B$3296,CQ3306,IF($B$265=B$3297,CR3306,IF($B$265=B$3298,CS3306,IF($B$265=B$3299,CT3306,IF(B$265=B$3300,CU3306,IF($B$265=B$3301,CV3306,IF($B$265=B$3302,CW3306,IF($B$265=B$3303,CX3306,IF($B$265=B$3304,CY3306,IF($B$265=B$3305,CZ3306,IF($B$265=B$3306,DA3306,IF($B$265=B$3307,DB3306,IF($B$265=B$3308,DC3306,IF($B$265=B$3309,DD3306,IF($B$265=B$3310,DE3306,IF($B$265=B$3311,DF3306,IF($B$265=B$3312,DG3306,IF($B$265=B$3313,DH3306,IF($B$265=B$3314,DI3306,IF($B$265=B$3315,DJ3306,IF($B$265=B$3316,DK3306,IF($B$265=B$3317,DL3306,IF($B$265=B$3318,DM3306,IF($B$265=B$3319,DN3306,IF($B$265=B$3320,DO3306,IF($B$265=B$3321,DP3306,IF($B$265=B$3322,DQ3306,IF($B$265=B$3323,DR3306,IF($B$265=B$3324,DS3306,IF($B$265=B$3325,DT3306,IF($B$265=B$3326,DU3306,IF($B$265=B$3327,DV3306,IF($B$265=B$3328,DW3306,IF($B$265=B$3329,DX3306,""))))))))))))))))))))))))))))))))))))))))))))))))))))</f>
        <v/>
      </c>
      <c r="BZ3307" s="48" t="s">
        <v>1460</v>
      </c>
      <c r="CA3307" s="245"/>
      <c r="CB3307" s="245" t="s">
        <v>885</v>
      </c>
      <c r="CC3307" t="s">
        <v>1550</v>
      </c>
      <c r="CD3307" t="s">
        <v>1612</v>
      </c>
      <c r="CE3307" t="s">
        <v>1466</v>
      </c>
      <c r="CF3307" s="245" t="s">
        <v>885</v>
      </c>
      <c r="CG3307" s="245" t="s">
        <v>885</v>
      </c>
      <c r="CH3307" s="245" t="s">
        <v>885</v>
      </c>
      <c r="CI3307" t="s">
        <v>1729</v>
      </c>
      <c r="CJ3307" t="s">
        <v>1444</v>
      </c>
      <c r="CK3307" s="459" t="s">
        <v>885</v>
      </c>
      <c r="CL3307" t="s">
        <v>1888</v>
      </c>
      <c r="CM3307" t="s">
        <v>1915</v>
      </c>
      <c r="CN3307" t="s">
        <v>1805</v>
      </c>
      <c r="CO3307" t="s">
        <v>2008</v>
      </c>
      <c r="CP3307" t="s">
        <v>1460</v>
      </c>
      <c r="CQ3307" t="s">
        <v>1957</v>
      </c>
      <c r="CR3307" t="s">
        <v>2191</v>
      </c>
      <c r="CS3307" s="459" t="s">
        <v>885</v>
      </c>
      <c r="CT3307" s="245" t="s">
        <v>885</v>
      </c>
      <c r="CU3307" t="s">
        <v>2274</v>
      </c>
      <c r="CV3307" t="s">
        <v>2334</v>
      </c>
      <c r="CW3307" t="s">
        <v>1466</v>
      </c>
      <c r="CX3307" t="s">
        <v>1454</v>
      </c>
      <c r="CY3307" t="s">
        <v>2473</v>
      </c>
      <c r="CZ3307" t="s">
        <v>2329</v>
      </c>
      <c r="DA3307" s="459" t="s">
        <v>885</v>
      </c>
      <c r="DB3307" s="459" t="s">
        <v>885</v>
      </c>
      <c r="DC3307" s="459" t="s">
        <v>885</v>
      </c>
      <c r="DD3307" t="s">
        <v>2582</v>
      </c>
      <c r="DE3307" t="s">
        <v>1736</v>
      </c>
      <c r="DF3307" t="s">
        <v>2636</v>
      </c>
      <c r="DG3307" t="s">
        <v>2074</v>
      </c>
      <c r="DH3307" t="s">
        <v>2724</v>
      </c>
      <c r="DI3307" t="s">
        <v>2061</v>
      </c>
      <c r="DJ3307" t="s">
        <v>2800</v>
      </c>
      <c r="DK3307" t="s">
        <v>1462</v>
      </c>
      <c r="DL3307" s="459" t="s">
        <v>885</v>
      </c>
      <c r="DM3307" t="s">
        <v>1816</v>
      </c>
      <c r="DN3307" t="s">
        <v>2884</v>
      </c>
      <c r="DO3307" t="s">
        <v>1462</v>
      </c>
      <c r="DP3307" t="s">
        <v>2952</v>
      </c>
      <c r="DQ3307" s="459" t="s">
        <v>885</v>
      </c>
      <c r="DR3307" s="459" t="s">
        <v>885</v>
      </c>
      <c r="DS3307" t="s">
        <v>2755</v>
      </c>
      <c r="DT3307" t="s">
        <v>3212</v>
      </c>
      <c r="DU3307" t="s">
        <v>3227</v>
      </c>
      <c r="DV3307" t="s">
        <v>3247</v>
      </c>
      <c r="DW3307" s="245" t="s">
        <v>885</v>
      </c>
      <c r="DX3307" s="245" t="s">
        <v>885</v>
      </c>
      <c r="DY3307" s="245"/>
      <c r="DZ3307" s="470" t="str">
        <f>IF($B$265=$B$3278,EB3307,IF($B$265=$B$3279,ED3307,IF($B$265=$B$3280,EF3307,IF($B$265=$B$3281,EH3307,IF($B$265=$B$3282,EJ3307,IF($B$265=$B$3283,EL3307,IF($B$265=$B$3284,EN3307,IF($B$265=$B$3285,EP3307,IF($B$265=$B$3286,ER3307,IF($B$265=$B$3287,ET3307,IF($B$265=$B$3288,EV3307,IF($B$265=$B$3289,EX3307,IF($B$265=$B$3290,EZ3307,IF($B$265=$B$3291,FB3307,IF($B$265=$B$3292,FD3307,IF($B$265=$B$3293,BU3307,IF($B$265=$B$3294,FF3307,IF($B$265=$B$3295,FH3307,IF($B$265=$B$3296,FJ3307,IF($B$265=$B$3297,FL3307,IF($B$265=$B$3298,FN3307,IF($B$265=$B$3299,FP3307,IF(BI$265=$B$3300,FR3307,IF($B$265=$B$3301,FT3307,IF($B$265=$B$3302,FV3307,IF($B$265=$B$3303,FX3307,IF($B$265=$B$3304,FZ3307,IF($B$265=$B$3305,GB3307,IF($B$265=$B$3306,GD3307,IF($B$265=$B$3307,GF3307,IF($B$265=$B$3308,GH3307,IF($B$265=$B$3309,GJ3307,IF($B$265=$B$3310,GL3307,IF($B$265=$B$3311,GN3307,IF($B$265=$B$3312,GP3307,IF($B$265=$B$3313,GR3307,IF($B$265=$B$3314,GT3307,IF($B$265=$B$3315,GV3307,IF($B$265=$B$3316,GX3307,IF($B$265=$B$3317,GZ3307,IF($B$265=$B$3318,HB3307,IF($B$265=$B$3319,HD3307,IF($B$265=$B$3320,HF3307,IF($B$265=$B$3321,HH3307,IF($B$265=$B$3322,HJ3307,IF($B$265=$B$3323,HL3307,IF($B$265=$B$3324,HN3307,IF($B$265=$B$3325,HP3307,IF($B$265=$B$3326,HR3307,IF($B$265=$B$3327,HT3307,IF($B$265=$B$3328,HV3307,IF($B$265=$B$3329,HX3307,""))))))))))))))))))))))))))))))))))))))))))))))))))))</f>
        <v/>
      </c>
      <c r="EA3307" s="470" t="str">
        <f>IF($B$265=$B$3278,EC3307,IF($B$265=$B$3279,EE3307,IF($B$265=$B$3280,EG3307,IF($B$265=$B$3281,EI3307,IF($B$265=$B$3282,EK3307,IF($B$265=$B$3283,EM3307,IF($B$265=$B$3284,EO3307,IF($B$265=$B$3285,EQ3307,IF($B$265=$B$3286,ES3307,IF($B$265=$B$3287,EU3307,IF($B$265=$B$3288,EW3307,IF($B$265=$B$3289,EY3307,IF($B$265=$B$3290,FA3307,IF($B$265=$B$3291,FC3307,IF($B$265=$B$3292,FE3307,IF($B$265=$B$3293,BK3307,IF($B$265=$B$3294,FG3307,IF($B$265=$B$3295,FI3307,IF($B$265=$B$3296,FK3307,IF($B$265=$B$3297,FM3307,IF($B$265=$B$3298,FO3307,IF($B$265=$B$3299,FQ3307,IF(BJ$265=$B$3300,FS3307,IF($B$265=$B$3301,FU3307,IF($B$265=$B$3302,FW3307,IF($B$265=$B$3303,FY3307,IF($B$265=$B$3304,GA3307,IF($B$265=$B$3305,GC3307,IF($B$265=$B$3306,GE3307,IF($B$265=$B$3307,GG3307,IF($B$265=$B$3308,GI3307,IF($B$265=$B$3309,GK3307,IF($B$265=$B$3310,GM3307,IF($B$265=$B$3311,GO3307,IF($B$265=$B$3312,GQ3307,IF($B$265=$B$3313,GS3307,IF($B$265=$B$3314,GU3307,IF($B$265=$B$3315,GW3307,IF($B$265=$B$3316,GY3307,IF($B$265=$B$3317,HA3307,IF($B$265=$B$3318,HC3307,IF($B$265=$B$3319,HE3307,IF($B$265=$B$3320,HG3307,IF($B$265=$B$3321,HI3307,IF($B$265=$B$3322,HK3307,IF($B$265=$B$3323,HM3307,IF($B$265=$B$3324,HO3307,IF($B$265=$B$3325,HQ3307,IF($B$265=$B$3326,HS3307,IF($B$265=$B$3327,HU3307,IF($B$265=$B$3328,HW3307,IF($B$265=$B$3329,HY3307,""))))))))))))))))))))))))))))))))))))))))))))))))))))</f>
        <v/>
      </c>
      <c r="EB3307" t="s">
        <v>3307</v>
      </c>
      <c r="EC3307" s="471" t="s">
        <v>3288</v>
      </c>
      <c r="EH3307" t="str">
        <f>EH3304</f>
        <v>Teresa Howell</v>
      </c>
      <c r="EI3307" s="473" t="s">
        <v>3294</v>
      </c>
      <c r="EJ3307" t="s">
        <v>3400</v>
      </c>
      <c r="EK3307" s="473" t="s">
        <v>3294</v>
      </c>
      <c r="EL3307" t="s">
        <v>3446</v>
      </c>
      <c r="EM3307" s="473" t="s">
        <v>3288</v>
      </c>
    </row>
    <row r="3308" spans="1:143" ht="15.5" hidden="1" x14ac:dyDescent="0.35">
      <c r="A3308" s="417" t="s">
        <v>1177</v>
      </c>
      <c r="B3308" s="418" t="s">
        <v>1178</v>
      </c>
      <c r="C3308" s="433">
        <v>50000</v>
      </c>
      <c r="D3308" s="433">
        <v>1000000</v>
      </c>
      <c r="G3308" s="420"/>
      <c r="H3308" s="420"/>
      <c r="I3308" s="420"/>
      <c r="J3308" s="420"/>
      <c r="K3308" s="420"/>
      <c r="L3308" s="420"/>
      <c r="M3308" s="420"/>
      <c r="N3308" s="420"/>
      <c r="O3308" s="420"/>
      <c r="P3308" s="420"/>
      <c r="Q3308" s="420"/>
      <c r="R3308" s="420"/>
      <c r="S3308" s="420"/>
      <c r="T3308" s="420"/>
      <c r="U3308" s="420"/>
      <c r="V3308" s="420"/>
      <c r="W3308" s="420"/>
      <c r="X3308" s="420"/>
      <c r="Y3308" s="420"/>
      <c r="Z3308" s="420"/>
      <c r="AB3308" s="48" t="s">
        <v>1179</v>
      </c>
      <c r="AC3308" s="245" t="s">
        <v>885</v>
      </c>
      <c r="AD3308" s="48" t="s">
        <v>1180</v>
      </c>
      <c r="AF3308" s="421">
        <v>2</v>
      </c>
      <c r="AG3308" s="48">
        <v>2</v>
      </c>
      <c r="AH3308" s="48" t="s">
        <v>1046</v>
      </c>
      <c r="AI3308" s="48" t="str">
        <f>CONCATENATE(AG3308,AH3308)</f>
        <v>2 years</v>
      </c>
      <c r="AK3308" s="48" t="s">
        <v>1112</v>
      </c>
      <c r="AO3308" s="48" t="s">
        <v>1181</v>
      </c>
      <c r="AR3308" s="245" t="s">
        <v>885</v>
      </c>
      <c r="AS3308" s="48" t="s">
        <v>1066</v>
      </c>
      <c r="AW3308" s="245" t="s">
        <v>885</v>
      </c>
      <c r="AX3308" s="48">
        <v>31</v>
      </c>
      <c r="BB3308" s="402">
        <f t="shared" ca="1" si="140"/>
        <v>1000000</v>
      </c>
      <c r="BF3308" s="423">
        <v>37288</v>
      </c>
      <c r="BG3308" s="415">
        <f t="shared" si="141"/>
        <v>0</v>
      </c>
      <c r="BH3308" s="415">
        <f t="shared" si="143"/>
        <v>0</v>
      </c>
      <c r="BI3308" s="365">
        <f t="shared" si="144"/>
        <v>0</v>
      </c>
      <c r="BJ3308" s="157">
        <f t="shared" si="142"/>
        <v>0</v>
      </c>
      <c r="BK3308" s="416">
        <f t="shared" si="145"/>
        <v>0</v>
      </c>
      <c r="BN3308" s="1107">
        <f>IF(OR($AC$1127=0,$C$1153="",C$1129=AG$1129),0,$C$1153*$C$1129)</f>
        <v>0</v>
      </c>
      <c r="BO3308" s="927"/>
      <c r="BP3308" s="927"/>
      <c r="BQ3308" s="927"/>
      <c r="BS3308" s="464" t="str">
        <f>IF($B$265=B$3278,BZ3307,IF($B$265=B$3279,CA3307,IF($B$265=B$3280,CB3307,IF($B$265=B$3281,CC3307,IF($B$265=B$3282,CD3307,IF($B$265=B$3283,CE3307,IF($B$265=B$3284,CF3307,IF($B$265=B$3285,CG3307,IF($B$265=B$3286,CH3307,IF($B$265=B$3287,CI3307,IF($B$265=B$3288,CJ3307,IF($B$265=B$3289,CK3307,IF($B$265=B$3290,CL3307,IF($B$265=B$3291,CM3307,IF($B$265=B$3292,CN3307,IF($B$265=B$3293,C3307,IF($B$265=B$3294,CO3307,IF($B$265=B$3295,CP3307,IF($B$265=B$3296,CQ3307,IF($B$265=B$3297,CR3307,IF($B$265=B$3298,CS3307,IF($B$265=B$3299,CT3307,IF(B$265=B$3300,CU3307,IF($B$265=B$3301,CV3307,IF($B$265=B$3302,CW3307,IF($B$265=B$3303,CX3307,IF($B$265=B$3304,CY3307,IF($B$265=B$3305,CZ3307,IF($B$265=B$3306,DA3307,IF($B$265=B$3307,DB3307,IF($B$265=B$3308,DC3307,IF($B$265=B$3309,DD3307,IF($B$265=B$3310,DE3307,IF($B$265=B$3311,DF3307,IF($B$265=B$3312,DG3307,IF($B$265=B$3313,DH3307,IF($B$265=B$3314,DI3307,IF($B$265=B$3315,DJ3307,IF($B$265=B$3316,DK3307,IF($B$265=B$3317,DL3307,IF($B$265=B$3318,DM3307,IF($B$265=B$3319,DN3307,IF($B$265=B$3320,DO3307,IF($B$265=B$3321,DP3307,IF($B$265=B$3322,DQ3307,IF($B$265=B$3323,DR3307,IF($B$265=B$3324,DS3307,IF($B$265=B$3325,DT3307,IF($B$265=B$3326,DU3307,IF($B$265=B$3327,DV3307,IF($B$265=B$3328,DW3307,IF($B$265=B$3329,DX3307,""))))))))))))))))))))))))))))))))))))))))))))))))))))</f>
        <v/>
      </c>
      <c r="BZ3308" s="48" t="s">
        <v>1461</v>
      </c>
      <c r="CA3308" s="245" t="s">
        <v>885</v>
      </c>
      <c r="CB3308" s="245" t="s">
        <v>885</v>
      </c>
      <c r="CC3308" t="s">
        <v>1551</v>
      </c>
      <c r="CD3308" t="s">
        <v>1613</v>
      </c>
      <c r="CE3308" t="s">
        <v>1467</v>
      </c>
      <c r="CF3308" s="245" t="s">
        <v>885</v>
      </c>
      <c r="CG3308" s="245" t="s">
        <v>885</v>
      </c>
      <c r="CH3308" s="245" t="s">
        <v>885</v>
      </c>
      <c r="CI3308" t="s">
        <v>1466</v>
      </c>
      <c r="CJ3308" t="s">
        <v>1776</v>
      </c>
      <c r="CK3308" s="459" t="s">
        <v>885</v>
      </c>
      <c r="CL3308" t="s">
        <v>1889</v>
      </c>
      <c r="CM3308" t="s">
        <v>1462</v>
      </c>
      <c r="CN3308" t="s">
        <v>1964</v>
      </c>
      <c r="CO3308" t="s">
        <v>2009</v>
      </c>
      <c r="CP3308" t="s">
        <v>2056</v>
      </c>
      <c r="CQ3308" t="s">
        <v>2123</v>
      </c>
      <c r="CR3308" t="s">
        <v>2192</v>
      </c>
      <c r="CS3308" s="459" t="s">
        <v>885</v>
      </c>
      <c r="CT3308" s="245" t="s">
        <v>885</v>
      </c>
      <c r="CU3308" t="s">
        <v>2275</v>
      </c>
      <c r="CV3308" t="s">
        <v>2335</v>
      </c>
      <c r="CW3308" t="s">
        <v>1811</v>
      </c>
      <c r="CX3308" t="s">
        <v>1957</v>
      </c>
      <c r="CY3308" t="s">
        <v>1675</v>
      </c>
      <c r="CZ3308" t="s">
        <v>1460</v>
      </c>
      <c r="DA3308" s="459" t="s">
        <v>885</v>
      </c>
      <c r="DB3308" s="459" t="s">
        <v>885</v>
      </c>
      <c r="DC3308" s="459" t="s">
        <v>885</v>
      </c>
      <c r="DD3308" t="s">
        <v>2583</v>
      </c>
      <c r="DE3308" t="s">
        <v>2596</v>
      </c>
      <c r="DF3308" t="s">
        <v>2637</v>
      </c>
      <c r="DG3308" t="s">
        <v>2698</v>
      </c>
      <c r="DH3308" t="s">
        <v>1722</v>
      </c>
      <c r="DI3308" t="s">
        <v>2063</v>
      </c>
      <c r="DJ3308" t="s">
        <v>1579</v>
      </c>
      <c r="DK3308" t="s">
        <v>2818</v>
      </c>
      <c r="DL3308" s="459" t="s">
        <v>885</v>
      </c>
      <c r="DM3308" t="s">
        <v>1471</v>
      </c>
      <c r="DN3308" t="s">
        <v>2570</v>
      </c>
      <c r="DO3308" t="s">
        <v>1916</v>
      </c>
      <c r="DP3308" t="s">
        <v>2811</v>
      </c>
      <c r="DQ3308" s="459" t="s">
        <v>885</v>
      </c>
      <c r="DR3308" s="459" t="s">
        <v>885</v>
      </c>
      <c r="DS3308" t="s">
        <v>3133</v>
      </c>
      <c r="DT3308" t="s">
        <v>3213</v>
      </c>
      <c r="DU3308" t="s">
        <v>3228</v>
      </c>
      <c r="DV3308" t="s">
        <v>3248</v>
      </c>
      <c r="DW3308" s="245" t="s">
        <v>885</v>
      </c>
      <c r="DX3308" s="245" t="s">
        <v>885</v>
      </c>
      <c r="DY3308" s="245"/>
      <c r="DZ3308" s="470" t="str">
        <f>IF($B$265=$B$3278,EB3308,IF($B$265=$B$3279,ED3308,IF($B$265=$B$3280,EF3308,IF($B$265=$B$3281,EH3308,IF($B$265=$B$3282,EJ3308,IF($B$265=$B$3283,EL3308,IF($B$265=$B$3284,EN3308,IF($B$265=$B$3285,EP3308,IF($B$265=$B$3286,ER3308,IF($B$265=$B$3287,ET3308,IF($B$265=$B$3288,EV3308,IF($B$265=$B$3289,EX3308,IF($B$265=$B$3290,EZ3308,IF($B$265=$B$3291,FB3308,IF($B$265=$B$3292,FD3308,IF($B$265=$B$3293,BU3308,IF($B$265=$B$3294,FF3308,IF($B$265=$B$3295,FH3308,IF($B$265=$B$3296,FJ3308,IF($B$265=$B$3297,FL3308,IF($B$265=$B$3298,FN3308,IF($B$265=$B$3299,FP3308,IF(BI$265=$B$3300,FR3308,IF($B$265=$B$3301,FT3308,IF($B$265=$B$3302,FV3308,IF($B$265=$B$3303,FX3308,IF($B$265=$B$3304,FZ3308,IF($B$265=$B$3305,GB3308,IF($B$265=$B$3306,GD3308,IF($B$265=$B$3307,GF3308,IF($B$265=$B$3308,GH3308,IF($B$265=$B$3309,GJ3308,IF($B$265=$B$3310,GL3308,IF($B$265=$B$3311,GN3308,IF($B$265=$B$3312,GP3308,IF($B$265=$B$3313,GR3308,IF($B$265=$B$3314,GT3308,IF($B$265=$B$3315,GV3308,IF($B$265=$B$3316,GX3308,IF($B$265=$B$3317,GZ3308,IF($B$265=$B$3318,HB3308,IF($B$265=$B$3319,HD3308,IF($B$265=$B$3320,HF3308,IF($B$265=$B$3321,HH3308,IF($B$265=$B$3322,HJ3308,IF($B$265=$B$3323,HL3308,IF($B$265=$B$3324,HN3308,IF($B$265=$B$3325,HP3308,IF($B$265=$B$3326,HR3308,IF($B$265=$B$3327,HT3308,IF($B$265=$B$3328,HV3308,IF($B$265=$B$3329,HX3308,""))))))))))))))))))))))))))))))))))))))))))))))))))))</f>
        <v/>
      </c>
      <c r="EA3308" s="470" t="str">
        <f>IF($B$265=$B$3278,EC3308,IF($B$265=$B$3279,EE3308,IF($B$265=$B$3280,EG3308,IF($B$265=$B$3281,EI3308,IF($B$265=$B$3282,EK3308,IF($B$265=$B$3283,EM3308,IF($B$265=$B$3284,EO3308,IF($B$265=$B$3285,EQ3308,IF($B$265=$B$3286,ES3308,IF($B$265=$B$3287,EU3308,IF($B$265=$B$3288,EW3308,IF($B$265=$B$3289,EY3308,IF($B$265=$B$3290,FA3308,IF($B$265=$B$3291,FC3308,IF($B$265=$B$3292,FE3308,IF($B$265=$B$3293,BK3308,IF($B$265=$B$3294,FG3308,IF($B$265=$B$3295,FI3308,IF($B$265=$B$3296,FK3308,IF($B$265=$B$3297,FM3308,IF($B$265=$B$3298,FO3308,IF($B$265=$B$3299,FQ3308,IF(BJ$265=$B$3300,FS3308,IF($B$265=$B$3301,FU3308,IF($B$265=$B$3302,FW3308,IF($B$265=$B$3303,FY3308,IF($B$265=$B$3304,GA3308,IF($B$265=$B$3305,GC3308,IF($B$265=$B$3306,GE3308,IF($B$265=$B$3307,GG3308,IF($B$265=$B$3308,GI3308,IF($B$265=$B$3309,GK3308,IF($B$265=$B$3310,GM3308,IF($B$265=$B$3311,GO3308,IF($B$265=$B$3312,GQ3308,IF($B$265=$B$3313,GS3308,IF($B$265=$B$3314,GU3308,IF($B$265=$B$3315,GW3308,IF($B$265=$B$3316,GY3308,IF($B$265=$B$3317,HA3308,IF($B$265=$B$3318,HC3308,IF($B$265=$B$3319,HE3308,IF($B$265=$B$3320,HG3308,IF($B$265=$B$3321,HI3308,IF($B$265=$B$3322,HK3308,IF($B$265=$B$3323,HM3308,IF($B$265=$B$3324,HO3308,IF($B$265=$B$3325,HQ3308,IF($B$265=$B$3326,HS3308,IF($B$265=$B$3327,HU3308,IF($B$265=$B$3328,HW3308,IF($B$265=$B$3329,HY3308,""))))))))))))))))))))))))))))))))))))))))))))))))))))</f>
        <v/>
      </c>
      <c r="EB3308" t="str">
        <f>EB3300</f>
        <v>T. Kirke Adams</v>
      </c>
      <c r="EC3308" t="str">
        <f>EC3300</f>
        <v>R</v>
      </c>
      <c r="EH3308" t="s">
        <v>3360</v>
      </c>
      <c r="EI3308" s="473" t="s">
        <v>3294</v>
      </c>
      <c r="EJ3308" t="s">
        <v>3401</v>
      </c>
      <c r="EK3308" s="473" t="s">
        <v>3294</v>
      </c>
      <c r="EL3308" t="str">
        <f>EL3302</f>
        <v>Alexis King</v>
      </c>
      <c r="EM3308" s="473" t="str">
        <f>EM3302</f>
        <v>D</v>
      </c>
    </row>
    <row r="3309" spans="1:143" ht="15.5" hidden="1" x14ac:dyDescent="0.35">
      <c r="A3309" s="417" t="s">
        <v>1182</v>
      </c>
      <c r="B3309" s="418" t="s">
        <v>1183</v>
      </c>
      <c r="C3309" s="427">
        <f>C3307</f>
        <v>0</v>
      </c>
      <c r="D3309" s="427" t="s">
        <v>885</v>
      </c>
      <c r="G3309" s="420"/>
      <c r="H3309" s="420"/>
      <c r="I3309" s="420"/>
      <c r="J3309" s="420"/>
      <c r="K3309" s="420"/>
      <c r="L3309" s="420"/>
      <c r="M3309" s="420"/>
      <c r="N3309" s="420"/>
      <c r="O3309" s="420"/>
      <c r="P3309" s="420"/>
      <c r="Q3309" s="420"/>
      <c r="R3309" s="420"/>
      <c r="S3309" s="420"/>
      <c r="T3309" s="420"/>
      <c r="U3309" s="420"/>
      <c r="V3309" s="420"/>
      <c r="W3309" s="420"/>
      <c r="X3309" s="420"/>
      <c r="Y3309" s="420"/>
      <c r="Z3309" s="420"/>
      <c r="AB3309" s="48" t="s">
        <v>1029</v>
      </c>
      <c r="AC3309" s="245" t="s">
        <v>885</v>
      </c>
      <c r="AD3309" s="245" t="s">
        <v>885</v>
      </c>
      <c r="AE3309" s="245" t="s">
        <v>885</v>
      </c>
      <c r="AF3309" s="245" t="s">
        <v>885</v>
      </c>
      <c r="AG3309" s="245" t="s">
        <v>885</v>
      </c>
      <c r="AH3309" s="245" t="s">
        <v>885</v>
      </c>
      <c r="AI3309" s="245" t="s">
        <v>885</v>
      </c>
      <c r="AJ3309" s="245" t="s">
        <v>885</v>
      </c>
      <c r="AK3309" s="245" t="s">
        <v>885</v>
      </c>
      <c r="AL3309" s="245" t="s">
        <v>885</v>
      </c>
      <c r="AM3309" s="245" t="s">
        <v>885</v>
      </c>
      <c r="AN3309" s="245" t="s">
        <v>885</v>
      </c>
      <c r="AO3309" s="245" t="s">
        <v>885</v>
      </c>
      <c r="AP3309" s="245" t="s">
        <v>885</v>
      </c>
      <c r="AQ3309" s="245" t="s">
        <v>885</v>
      </c>
      <c r="AR3309" s="245" t="s">
        <v>885</v>
      </c>
      <c r="AS3309" s="245" t="s">
        <v>885</v>
      </c>
      <c r="AT3309" s="245" t="s">
        <v>885</v>
      </c>
      <c r="AU3309" s="245" t="s">
        <v>885</v>
      </c>
      <c r="AV3309" s="245" t="s">
        <v>885</v>
      </c>
      <c r="AW3309" s="245" t="s">
        <v>885</v>
      </c>
      <c r="AX3309" s="48">
        <v>32</v>
      </c>
      <c r="BB3309" s="402">
        <f t="shared" ca="1" si="140"/>
        <v>0</v>
      </c>
      <c r="BF3309" s="423">
        <v>23683</v>
      </c>
      <c r="BG3309" s="415">
        <f t="shared" si="141"/>
        <v>0</v>
      </c>
      <c r="BH3309" s="415">
        <f t="shared" si="143"/>
        <v>0</v>
      </c>
      <c r="BI3309" s="365">
        <f t="shared" si="144"/>
        <v>0</v>
      </c>
      <c r="BJ3309" s="157">
        <f t="shared" si="142"/>
        <v>0</v>
      </c>
      <c r="BK3309" s="416">
        <f t="shared" si="145"/>
        <v>0</v>
      </c>
      <c r="BS3309" s="464" t="str">
        <f>IF($B$265=B$3278,BZ3308,IF($B$265=B$3279,CA3308,IF($B$265=B$3280,CB3308,IF($B$265=B$3281,CC3308,IF($B$265=B$3282,CD3308,IF($B$265=B$3283,CE3308,IF($B$265=B$3284,CF3308,IF($B$265=B$3285,CG3308,IF($B$265=B$3286,CH3308,IF($B$265=B$3287,CI3308,IF($B$265=B$3288,CJ3308,IF($B$265=B$3289,CK3308,IF($B$265=B$3290,CL3308,IF($B$265=B$3291,CM3308,IF($B$265=B$3292,CN3308,IF($B$265=B$3293,C3308,IF($B$265=B$3294,CO3308,IF($B$265=B$3295,CP3308,IF($B$265=B$3296,CQ3308,IF($B$265=B$3297,CR3308,IF($B$265=B$3298,CS3308,IF($B$265=B$3299,CT3308,IF(B$265=B$3300,CU3308,IF($B$265=B$3301,CV3308,IF($B$265=B$3302,CW3308,IF($B$265=B$3303,CX3308,IF($B$265=B$3304,CY3308,IF($B$265=B$3305,CZ3308,IF($B$265=B$3306,DA3308,IF($B$265=B$3307,DB3308,IF($B$265=B$3308,DC3308,IF($B$265=B$3309,DD3308,IF($B$265=B$3310,DE3308,IF($B$265=B$3311,DF3308,IF($B$265=B$3312,DG3308,IF($B$265=B$3313,DH3308,IF($B$265=B$3314,DI3308,IF($B$265=B$3315,DJ3308,IF($B$265=B$3316,DK3308,IF($B$265=B$3317,DL3308,IF($B$265=B$3318,DM3308,IF($B$265=B$3319,DN3308,IF($B$265=B$3320,DO3308,IF($B$265=B$3321,DP3308,IF($B$265=B$3322,DQ3308,IF($B$265=B$3323,DR3308,IF($B$265=B$3324,DS3308,IF($B$265=B$3325,DT3308,IF($B$265=B$3326,DU3308,IF($B$265=B$3327,DV3308,IF($B$265=B$3328,DW3308,IF($B$265=B$3329,DX3308,""))))))))))))))))))))))))))))))))))))))))))))))))))))</f>
        <v/>
      </c>
      <c r="BZ3309" s="48" t="s">
        <v>1462</v>
      </c>
      <c r="CA3309" s="245" t="s">
        <v>885</v>
      </c>
      <c r="CB3309" s="245" t="s">
        <v>885</v>
      </c>
      <c r="CC3309" t="s">
        <v>1552</v>
      </c>
      <c r="CD3309" t="s">
        <v>1614</v>
      </c>
      <c r="CE3309" t="s">
        <v>1669</v>
      </c>
      <c r="CF3309" s="245" t="s">
        <v>885</v>
      </c>
      <c r="CG3309" s="245" t="s">
        <v>885</v>
      </c>
      <c r="CH3309" s="245" t="s">
        <v>885</v>
      </c>
      <c r="CI3309" t="s">
        <v>1467</v>
      </c>
      <c r="CJ3309" t="s">
        <v>1777</v>
      </c>
      <c r="CK3309" s="459" t="s">
        <v>885</v>
      </c>
      <c r="CL3309" t="s">
        <v>1556</v>
      </c>
      <c r="CM3309" t="s">
        <v>1916</v>
      </c>
      <c r="CN3309" t="s">
        <v>1965</v>
      </c>
      <c r="CO3309" t="s">
        <v>2010</v>
      </c>
      <c r="CP3309" t="s">
        <v>2057</v>
      </c>
      <c r="CQ3309" t="s">
        <v>2124</v>
      </c>
      <c r="CR3309" t="s">
        <v>2193</v>
      </c>
      <c r="CS3309" s="459" t="s">
        <v>885</v>
      </c>
      <c r="CT3309" s="245" t="s">
        <v>885</v>
      </c>
      <c r="CU3309" t="s">
        <v>2276</v>
      </c>
      <c r="CV3309" t="s">
        <v>1466</v>
      </c>
      <c r="CW3309" t="s">
        <v>1467</v>
      </c>
      <c r="CX3309" t="s">
        <v>1455</v>
      </c>
      <c r="CY3309" t="s">
        <v>2474</v>
      </c>
      <c r="CZ3309" t="s">
        <v>2504</v>
      </c>
      <c r="DA3309" s="459" t="s">
        <v>885</v>
      </c>
      <c r="DB3309" s="459" t="s">
        <v>885</v>
      </c>
      <c r="DC3309" s="459" t="s">
        <v>885</v>
      </c>
      <c r="DD3309" t="s">
        <v>1579</v>
      </c>
      <c r="DE3309" t="s">
        <v>2597</v>
      </c>
      <c r="DF3309" t="s">
        <v>2638</v>
      </c>
      <c r="DG3309" t="s">
        <v>2148</v>
      </c>
      <c r="DH3309" t="s">
        <v>1805</v>
      </c>
      <c r="DI3309" t="s">
        <v>2761</v>
      </c>
      <c r="DJ3309" t="s">
        <v>2801</v>
      </c>
      <c r="DK3309" t="s">
        <v>2819</v>
      </c>
      <c r="DL3309" s="459" t="s">
        <v>885</v>
      </c>
      <c r="DM3309" t="s">
        <v>2858</v>
      </c>
      <c r="DN3309" t="s">
        <v>2761</v>
      </c>
      <c r="DO3309" t="s">
        <v>2914</v>
      </c>
      <c r="DP3309" t="s">
        <v>2953</v>
      </c>
      <c r="DQ3309" s="459" t="s">
        <v>885</v>
      </c>
      <c r="DR3309" s="459" t="s">
        <v>885</v>
      </c>
      <c r="DS3309" t="s">
        <v>1909</v>
      </c>
      <c r="DT3309" t="s">
        <v>3214</v>
      </c>
      <c r="DU3309" t="s">
        <v>1480</v>
      </c>
      <c r="DV3309" t="s">
        <v>3249</v>
      </c>
      <c r="DW3309" s="245" t="s">
        <v>885</v>
      </c>
      <c r="DX3309" s="245" t="s">
        <v>885</v>
      </c>
      <c r="DY3309" s="245"/>
      <c r="DZ3309" s="470" t="str">
        <f>IF($B$265=$B$3278,EB3309,IF($B$265=$B$3279,ED3309,IF($B$265=$B$3280,EF3309,IF($B$265=$B$3281,EH3309,IF($B$265=$B$3282,EJ3309,IF($B$265=$B$3283,EL3309,IF($B$265=$B$3284,EN3309,IF($B$265=$B$3285,EP3309,IF($B$265=$B$3286,ER3309,IF($B$265=$B$3287,ET3309,IF($B$265=$B$3288,EV3309,IF($B$265=$B$3289,EX3309,IF($B$265=$B$3290,EZ3309,IF($B$265=$B$3291,FB3309,IF($B$265=$B$3292,FD3309,IF($B$265=$B$3293,BU3309,IF($B$265=$B$3294,FF3309,IF($B$265=$B$3295,FH3309,IF($B$265=$B$3296,FJ3309,IF($B$265=$B$3297,FL3309,IF($B$265=$B$3298,FN3309,IF($B$265=$B$3299,FP3309,IF(BI$265=$B$3300,FR3309,IF($B$265=$B$3301,FT3309,IF($B$265=$B$3302,FV3309,IF($B$265=$B$3303,FX3309,IF($B$265=$B$3304,FZ3309,IF($B$265=$B$3305,GB3309,IF($B$265=$B$3306,GD3309,IF($B$265=$B$3307,GF3309,IF($B$265=$B$3308,GH3309,IF($B$265=$B$3309,GJ3309,IF($B$265=$B$3310,GL3309,IF($B$265=$B$3311,GN3309,IF($B$265=$B$3312,GP3309,IF($B$265=$B$3313,GR3309,IF($B$265=$B$3314,GT3309,IF($B$265=$B$3315,GV3309,IF($B$265=$B$3316,GX3309,IF($B$265=$B$3317,GZ3309,IF($B$265=$B$3318,HB3309,IF($B$265=$B$3319,HD3309,IF($B$265=$B$3320,HF3309,IF($B$265=$B$3321,HH3309,IF($B$265=$B$3322,HJ3309,IF($B$265=$B$3323,HL3309,IF($B$265=$B$3324,HN3309,IF($B$265=$B$3325,HP3309,IF($B$265=$B$3326,HR3309,IF($B$265=$B$3327,HT3309,IF($B$265=$B$3328,HV3309,IF($B$265=$B$3329,HX3309,""))))))))))))))))))))))))))))))))))))))))))))))))))))</f>
        <v/>
      </c>
      <c r="EA3309" s="470" t="str">
        <f>IF($B$265=$B$3278,EC3309,IF($B$265=$B$3279,EE3309,IF($B$265=$B$3280,EG3309,IF($B$265=$B$3281,EI3309,IF($B$265=$B$3282,EK3309,IF($B$265=$B$3283,EM3309,IF($B$265=$B$3284,EO3309,IF($B$265=$B$3285,EQ3309,IF($B$265=$B$3286,ES3309,IF($B$265=$B$3287,EU3309,IF($B$265=$B$3288,EW3309,IF($B$265=$B$3289,EY3309,IF($B$265=$B$3290,FA3309,IF($B$265=$B$3291,FC3309,IF($B$265=$B$3292,FE3309,IF($B$265=$B$3293,BK3309,IF($B$265=$B$3294,FG3309,IF($B$265=$B$3295,FI3309,IF($B$265=$B$3296,FK3309,IF($B$265=$B$3297,FM3309,IF($B$265=$B$3298,FO3309,IF($B$265=$B$3299,FQ3309,IF(BJ$265=$B$3300,FS3309,IF($B$265=$B$3301,FU3309,IF($B$265=$B$3302,FW3309,IF($B$265=$B$3303,FY3309,IF($B$265=$B$3304,GA3309,IF($B$265=$B$3305,GC3309,IF($B$265=$B$3306,GE3309,IF($B$265=$B$3307,GG3309,IF($B$265=$B$3308,GI3309,IF($B$265=$B$3309,GK3309,IF($B$265=$B$3310,GM3309,IF($B$265=$B$3311,GO3309,IF($B$265=$B$3312,GQ3309,IF($B$265=$B$3313,GS3309,IF($B$265=$B$3314,GU3309,IF($B$265=$B$3315,GW3309,IF($B$265=$B$3316,GY3309,IF($B$265=$B$3317,HA3309,IF($B$265=$B$3318,HC3309,IF($B$265=$B$3319,HE3309,IF($B$265=$B$3320,HG3309,IF($B$265=$B$3321,HI3309,IF($B$265=$B$3322,HK3309,IF($B$265=$B$3323,HM3309,IF($B$265=$B$3324,HO3309,IF($B$265=$B$3325,HQ3309,IF($B$265=$B$3326,HS3309,IF($B$265=$B$3327,HU3309,IF($B$265=$B$3328,HW3309,IF($B$265=$B$3329,HY3309,""))))))))))))))))))))))))))))))))))))))))))))))))))))</f>
        <v/>
      </c>
      <c r="EB3309" t="s">
        <v>3308</v>
      </c>
      <c r="EC3309" s="471" t="s">
        <v>3288</v>
      </c>
      <c r="EH3309" t="str">
        <f>EH3302</f>
        <v>Eric Hance</v>
      </c>
      <c r="EI3309" s="473" t="s">
        <v>3294</v>
      </c>
      <c r="EJ3309" t="s">
        <v>3402</v>
      </c>
      <c r="EK3309" s="473" t="s">
        <v>3294</v>
      </c>
      <c r="EL3309" t="str">
        <f>EL3287</f>
        <v>Joshua Vogel</v>
      </c>
      <c r="EM3309" s="473" t="str">
        <f>EM3287</f>
        <v>R</v>
      </c>
    </row>
    <row r="3310" spans="1:143" ht="15.5" hidden="1" x14ac:dyDescent="0.35">
      <c r="A3310" s="417" t="s">
        <v>1184</v>
      </c>
      <c r="B3310" s="418" t="s">
        <v>1185</v>
      </c>
      <c r="C3310" s="448" t="s">
        <v>885</v>
      </c>
      <c r="D3310" s="428" t="s">
        <v>1402</v>
      </c>
      <c r="G3310" s="420"/>
      <c r="H3310" s="420"/>
      <c r="I3310" s="420"/>
      <c r="J3310" s="420"/>
      <c r="K3310" s="420"/>
      <c r="L3310" s="420"/>
      <c r="M3310" s="420"/>
      <c r="N3310" s="420"/>
      <c r="O3310" s="420"/>
      <c r="P3310" s="420"/>
      <c r="Q3310" s="420"/>
      <c r="R3310" s="420"/>
      <c r="S3310" s="420"/>
      <c r="T3310" s="420"/>
      <c r="U3310" s="420"/>
      <c r="V3310" s="420"/>
      <c r="W3310" s="420"/>
      <c r="X3310" s="420"/>
      <c r="Y3310" s="420"/>
      <c r="Z3310" s="420"/>
      <c r="AB3310" s="48" t="s">
        <v>1186</v>
      </c>
      <c r="AC3310" s="245" t="s">
        <v>885</v>
      </c>
      <c r="AD3310" s="48" t="s">
        <v>1102</v>
      </c>
      <c r="AF3310" s="421">
        <v>2</v>
      </c>
      <c r="AG3310" s="48">
        <v>2</v>
      </c>
      <c r="AH3310" s="48" t="s">
        <v>1046</v>
      </c>
      <c r="AI3310" s="48" t="str">
        <f>CONCATENATE(AG3310,AH3310)</f>
        <v>2 years</v>
      </c>
      <c r="AK3310" s="48" t="s">
        <v>1047</v>
      </c>
      <c r="AO3310" s="48" t="s">
        <v>1138</v>
      </c>
      <c r="AR3310" s="245" t="s">
        <v>885</v>
      </c>
      <c r="AS3310" s="48" t="s">
        <v>1066</v>
      </c>
      <c r="AW3310" s="245" t="s">
        <v>885</v>
      </c>
      <c r="AX3310" s="48">
        <v>33</v>
      </c>
      <c r="BB3310" s="402" t="str">
        <f>D3310</f>
        <v>no limit</v>
      </c>
      <c r="BF3310" s="423">
        <v>33095</v>
      </c>
      <c r="BG3310" s="415">
        <f t="shared" ref="BG3310:BG3329" si="148">IF($B$265=$B3310,$B$1165,0)</f>
        <v>0</v>
      </c>
      <c r="BH3310" s="415">
        <f t="shared" si="143"/>
        <v>0</v>
      </c>
      <c r="BI3310" s="365">
        <f t="shared" si="144"/>
        <v>0</v>
      </c>
      <c r="BJ3310" s="157">
        <f t="shared" ref="BJ3310:BJ3329" si="149">BH3310/52</f>
        <v>0</v>
      </c>
      <c r="BK3310" s="416">
        <f t="shared" si="145"/>
        <v>0</v>
      </c>
      <c r="BN3310" s="1107">
        <f>IF(OR($AC$1127=0,$C$1153="",C$1129=AG$1129),0,$C$1153*$C$1129)</f>
        <v>0</v>
      </c>
      <c r="BO3310" s="927"/>
      <c r="BP3310" s="927"/>
      <c r="BQ3310" s="927"/>
      <c r="BS3310" s="464" t="str">
        <f>IF($B$265=B$3278,BZ3309,IF($B$265=B$3279,CA3309,IF($B$265=B$3280,CB3309,IF($B$265=B$3281,CC3309,IF($B$265=B$3282,CD3309,IF($B$265=B$3283,CE3309,IF($B$265=B$3284,CF3309,IF($B$265=B$3285,CG3309,IF($B$265=B$3286,CH3309,IF($B$265=B$3287,CI3309,IF($B$265=B$3288,CJ3309,IF($B$265=B$3289,CK3309,IF($B$265=B$3290,CL3309,IF($B$265=B$3291,CM3309,IF($B$265=B$3292,CN3309,IF($B$265=B$3293,C3309,IF($B$265=B$3294,CO3309,IF($B$265=B$3295,CP3309,IF($B$265=B$3296,CQ3309,IF($B$265=B$3297,CR3309,IF($B$265=B$3298,CS3309,IF($B$265=B$3299,CT3309,IF(B$265=B$3300,CU3309,IF($B$265=B$3301,CV3309,IF($B$265=B$3302,CW3309,IF($B$265=B$3303,CX3309,IF($B$265=B$3304,CY3309,IF($B$265=B$3305,CZ3309,IF($B$265=B$3306,DA3309,IF($B$265=B$3307,DB3309,IF($B$265=B$3308,DC3309,IF($B$265=B$3309,DD3309,IF($B$265=B$3310,DE3309,IF($B$265=B$3311,DF3309,IF($B$265=B$3312,DG3309,IF($B$265=B$3313,DH3309,IF($B$265=B$3314,DI3309,IF($B$265=B$3315,DJ3309,IF($B$265=B$3316,DK3309,IF($B$265=B$3317,DL3309,IF($B$265=B$3318,DM3309,IF($B$265=B$3319,DN3309,IF($B$265=B$3320,DO3309,IF($B$265=B$3321,DP3309,IF($B$265=B$3322,DQ3309,IF($B$265=B$3323,DR3309,IF($B$265=B$3324,DS3309,IF($B$265=B$3325,DT3309,IF($B$265=B$3326,DU3309,IF($B$265=B$3327,DV3309,IF($B$265=B$3328,DW3309,IF($B$265=B$3329,DX3309,""))))))))))))))))))))))))))))))))))))))))))))))))))))</f>
        <v/>
      </c>
      <c r="BZ3310" s="48" t="s">
        <v>1463</v>
      </c>
      <c r="CA3310" s="245" t="s">
        <v>885</v>
      </c>
      <c r="CB3310" s="245" t="s">
        <v>885</v>
      </c>
      <c r="CC3310" t="s">
        <v>1553</v>
      </c>
      <c r="CD3310" t="s">
        <v>1615</v>
      </c>
      <c r="CE3310" t="s">
        <v>1670</v>
      </c>
      <c r="CF3310" s="245" t="s">
        <v>885</v>
      </c>
      <c r="CG3310" s="245" t="s">
        <v>885</v>
      </c>
      <c r="CH3310" s="245" t="s">
        <v>885</v>
      </c>
      <c r="CI3310" t="s">
        <v>1555</v>
      </c>
      <c r="CJ3310" t="s">
        <v>1778</v>
      </c>
      <c r="CK3310" s="459" t="s">
        <v>885</v>
      </c>
      <c r="CL3310" t="s">
        <v>1475</v>
      </c>
      <c r="CM3310" t="s">
        <v>1722</v>
      </c>
      <c r="CN3310" t="s">
        <v>1464</v>
      </c>
      <c r="CO3310" t="s">
        <v>1459</v>
      </c>
      <c r="CP3310" t="s">
        <v>1420</v>
      </c>
      <c r="CQ3310" t="s">
        <v>2125</v>
      </c>
      <c r="CR3310" t="s">
        <v>2194</v>
      </c>
      <c r="CS3310" s="459" t="s">
        <v>885</v>
      </c>
      <c r="CT3310" s="245" t="s">
        <v>885</v>
      </c>
      <c r="CU3310" t="s">
        <v>2277</v>
      </c>
      <c r="CV3310" t="s">
        <v>2336</v>
      </c>
      <c r="CW3310" t="s">
        <v>2391</v>
      </c>
      <c r="CX3310" t="s">
        <v>2422</v>
      </c>
      <c r="CY3310" t="s">
        <v>2475</v>
      </c>
      <c r="CZ3310" t="s">
        <v>2505</v>
      </c>
      <c r="DA3310" s="459" t="s">
        <v>885</v>
      </c>
      <c r="DB3310" s="459" t="s">
        <v>885</v>
      </c>
      <c r="DC3310" s="459" t="s">
        <v>885</v>
      </c>
      <c r="DD3310" t="s">
        <v>2584</v>
      </c>
      <c r="DE3310" t="s">
        <v>1892</v>
      </c>
      <c r="DF3310" t="s">
        <v>2639</v>
      </c>
      <c r="DG3310" t="s">
        <v>2699</v>
      </c>
      <c r="DH3310" t="s">
        <v>1917</v>
      </c>
      <c r="DI3310" t="s">
        <v>1466</v>
      </c>
      <c r="DJ3310" t="s">
        <v>2802</v>
      </c>
      <c r="DK3310" t="s">
        <v>1467</v>
      </c>
      <c r="DL3310" s="459" t="s">
        <v>885</v>
      </c>
      <c r="DM3310" t="s">
        <v>1477</v>
      </c>
      <c r="DN3310" t="s">
        <v>2885</v>
      </c>
      <c r="DO3310" t="s">
        <v>1722</v>
      </c>
      <c r="DP3310" t="s">
        <v>2954</v>
      </c>
      <c r="DQ3310" s="459" t="s">
        <v>885</v>
      </c>
      <c r="DR3310" s="459" t="s">
        <v>885</v>
      </c>
      <c r="DS3310" t="s">
        <v>3134</v>
      </c>
      <c r="DT3310" t="s">
        <v>2098</v>
      </c>
      <c r="DU3310" t="s">
        <v>1482</v>
      </c>
      <c r="DV3310" t="s">
        <v>1555</v>
      </c>
      <c r="DW3310" s="245" t="s">
        <v>885</v>
      </c>
      <c r="DX3310" s="245" t="s">
        <v>885</v>
      </c>
      <c r="DY3310" s="245"/>
      <c r="DZ3310" s="470" t="str">
        <f>IF($B$265=$B$3278,EB3310,IF($B$265=$B$3279,ED3310,IF($B$265=$B$3280,EF3310,IF($B$265=$B$3281,EH3310,IF($B$265=$B$3282,EJ3310,IF($B$265=$B$3283,EL3310,IF($B$265=$B$3284,EN3310,IF($B$265=$B$3285,EP3310,IF($B$265=$B$3286,ER3310,IF($B$265=$B$3287,ET3310,IF($B$265=$B$3288,EV3310,IF($B$265=$B$3289,EX3310,IF($B$265=$B$3290,EZ3310,IF($B$265=$B$3291,FB3310,IF($B$265=$B$3292,FD3310,IF($B$265=$B$3293,BU3310,IF($B$265=$B$3294,FF3310,IF($B$265=$B$3295,FH3310,IF($B$265=$B$3296,FJ3310,IF($B$265=$B$3297,FL3310,IF($B$265=$B$3298,FN3310,IF($B$265=$B$3299,FP3310,IF(BI$265=$B$3300,FR3310,IF($B$265=$B$3301,FT3310,IF($B$265=$B$3302,FV3310,IF($B$265=$B$3303,FX3310,IF($B$265=$B$3304,FZ3310,IF($B$265=$B$3305,GB3310,IF($B$265=$B$3306,GD3310,IF($B$265=$B$3307,GF3310,IF($B$265=$B$3308,GH3310,IF($B$265=$B$3309,GJ3310,IF($B$265=$B$3310,GL3310,IF($B$265=$B$3311,GN3310,IF($B$265=$B$3312,GP3310,IF($B$265=$B$3313,GR3310,IF($B$265=$B$3314,GT3310,IF($B$265=$B$3315,GV3310,IF($B$265=$B$3316,GX3310,IF($B$265=$B$3317,GZ3310,IF($B$265=$B$3318,HB3310,IF($B$265=$B$3319,HD3310,IF($B$265=$B$3320,HF3310,IF($B$265=$B$3321,HH3310,IF($B$265=$B$3322,HJ3310,IF($B$265=$B$3323,HL3310,IF($B$265=$B$3324,HN3310,IF($B$265=$B$3325,HP3310,IF($B$265=$B$3326,HR3310,IF($B$265=$B$3327,HT3310,IF($B$265=$B$3328,HV3310,IF($B$265=$B$3329,HX3310,""))))))))))))))))))))))))))))))))))))))))))))))))))))</f>
        <v/>
      </c>
      <c r="EA3310" s="470" t="str">
        <f>IF($B$265=$B$3278,EC3310,IF($B$265=$B$3279,EE3310,IF($B$265=$B$3280,EG3310,IF($B$265=$B$3281,EI3310,IF($B$265=$B$3282,EK3310,IF($B$265=$B$3283,EM3310,IF($B$265=$B$3284,EO3310,IF($B$265=$B$3285,EQ3310,IF($B$265=$B$3286,ES3310,IF($B$265=$B$3287,EU3310,IF($B$265=$B$3288,EW3310,IF($B$265=$B$3289,EY3310,IF($B$265=$B$3290,FA3310,IF($B$265=$B$3291,FC3310,IF($B$265=$B$3292,FE3310,IF($B$265=$B$3293,BK3310,IF($B$265=$B$3294,FG3310,IF($B$265=$B$3295,FI3310,IF($B$265=$B$3296,FK3310,IF($B$265=$B$3297,FM3310,IF($B$265=$B$3298,FO3310,IF($B$265=$B$3299,FQ3310,IF(BJ$265=$B$3300,FS3310,IF($B$265=$B$3301,FU3310,IF($B$265=$B$3302,FW3310,IF($B$265=$B$3303,FY3310,IF($B$265=$B$3304,GA3310,IF($B$265=$B$3305,GC3310,IF($B$265=$B$3306,GE3310,IF($B$265=$B$3307,GG3310,IF($B$265=$B$3308,GI3310,IF($B$265=$B$3309,GK3310,IF($B$265=$B$3310,GM3310,IF($B$265=$B$3311,GO3310,IF($B$265=$B$3312,GQ3310,IF($B$265=$B$3313,GS3310,IF($B$265=$B$3314,GU3310,IF($B$265=$B$3315,GW3310,IF($B$265=$B$3316,GY3310,IF($B$265=$B$3317,HA3310,IF($B$265=$B$3318,HC3310,IF($B$265=$B$3319,HE3310,IF($B$265=$B$3320,HG3310,IF($B$265=$B$3321,HI3310,IF($B$265=$B$3322,HK3310,IF($B$265=$B$3323,HM3310,IF($B$265=$B$3324,HO3310,IF($B$265=$B$3325,HQ3310,IF($B$265=$B$3326,HS3310,IF($B$265=$B$3327,HU3310,IF($B$265=$B$3328,HW3310,IF($B$265=$B$3329,HY3310,""))))))))))))))))))))))))))))))))))))))))))))))))))))</f>
        <v/>
      </c>
      <c r="EB3310" t="str">
        <f>EB3301</f>
        <v>Michael W. Jackson</v>
      </c>
      <c r="EC3310" t="str">
        <f>EC3301</f>
        <v>D</v>
      </c>
      <c r="EH3310" t="str">
        <f>EH3309</f>
        <v>Eric Hance</v>
      </c>
      <c r="EI3310" s="473" t="s">
        <v>3294</v>
      </c>
      <c r="EJ3310" t="s">
        <v>3403</v>
      </c>
      <c r="EK3310" s="473" t="s">
        <v>3294</v>
      </c>
      <c r="EL3310" t="s">
        <v>3447</v>
      </c>
      <c r="EM3310" s="473" t="s">
        <v>3283</v>
      </c>
    </row>
    <row r="3311" spans="1:143" ht="15.5" hidden="1" x14ac:dyDescent="0.35">
      <c r="A3311" s="417" t="s">
        <v>1187</v>
      </c>
      <c r="B3311" s="418" t="s">
        <v>1188</v>
      </c>
      <c r="C3311" s="419">
        <v>50000</v>
      </c>
      <c r="D3311" s="419">
        <v>750000</v>
      </c>
      <c r="G3311" s="420"/>
      <c r="H3311" s="420"/>
      <c r="I3311" s="420"/>
      <c r="J3311" s="420"/>
      <c r="K3311" s="420"/>
      <c r="L3311" s="420"/>
      <c r="M3311" s="420"/>
      <c r="N3311" s="420"/>
      <c r="O3311" s="420"/>
      <c r="P3311" s="420"/>
      <c r="Q3311" s="420"/>
      <c r="R3311" s="420"/>
      <c r="S3311" s="420"/>
      <c r="T3311" s="420"/>
      <c r="U3311" s="420"/>
      <c r="V3311" s="420"/>
      <c r="W3311" s="420"/>
      <c r="X3311" s="420"/>
      <c r="Y3311" s="420"/>
      <c r="Z3311" s="420"/>
      <c r="AB3311" s="48" t="s">
        <v>1189</v>
      </c>
      <c r="AC3311" s="245" t="s">
        <v>885</v>
      </c>
      <c r="AD3311" s="48" t="s">
        <v>1190</v>
      </c>
      <c r="AF3311" s="421">
        <v>5</v>
      </c>
      <c r="AG3311" s="48">
        <v>5</v>
      </c>
      <c r="AH3311" s="48" t="s">
        <v>1046</v>
      </c>
      <c r="AI3311" s="48" t="str">
        <f>CONCATENATE(AG3311,AH3311)</f>
        <v>5 years</v>
      </c>
      <c r="AK3311" s="48" t="s">
        <v>1047</v>
      </c>
      <c r="AO3311" s="48" t="s">
        <v>1191</v>
      </c>
      <c r="AR3311" s="245" t="s">
        <v>885</v>
      </c>
      <c r="AS3311" s="48" t="s">
        <v>1049</v>
      </c>
      <c r="AW3311" s="245" t="s">
        <v>885</v>
      </c>
      <c r="AX3311" s="48">
        <v>34</v>
      </c>
      <c r="BB3311" s="402">
        <f t="shared" ref="BB3311:BB3319" ca="1" si="150">MIN(((C3311*$AE$321)+($AE$330*G3311)),D3311)</f>
        <v>750000</v>
      </c>
      <c r="BF3311" s="423">
        <v>25774</v>
      </c>
      <c r="BG3311" s="415">
        <f t="shared" si="148"/>
        <v>0</v>
      </c>
      <c r="BH3311" s="415">
        <f t="shared" si="143"/>
        <v>0</v>
      </c>
      <c r="BI3311" s="365">
        <f t="shared" si="144"/>
        <v>0</v>
      </c>
      <c r="BJ3311" s="157">
        <f t="shared" si="149"/>
        <v>0</v>
      </c>
      <c r="BK3311" s="416">
        <f t="shared" si="145"/>
        <v>0</v>
      </c>
      <c r="BN3311" s="1107">
        <f>IF(OR($AC$1127=0,$C$1153="",C$1129=AG$1129),0,$C$1153*$C$1129)</f>
        <v>0</v>
      </c>
      <c r="BO3311" s="927"/>
      <c r="BP3311" s="927"/>
      <c r="BQ3311" s="927"/>
      <c r="BS3311" s="464" t="str">
        <f>IF($B$265=B$3278,BZ3310,IF($B$265=B$3279,CA3310,IF($B$265=B$3280,CB3310,IF($B$265=B$3281,CC3310,IF($B$265=B$3282,CD3310,IF($B$265=B$3283,CE3310,IF($B$265=B$3284,CF3310,IF($B$265=B$3285,CG3310,IF($B$265=B$3286,CH3310,IF($B$265=B$3287,CI3310,IF($B$265=B$3288,CJ3310,IF($B$265=B$3289,CK3310,IF($B$265=B$3290,CL3310,IF($B$265=B$3291,CM3310,IF($B$265=B$3292,CN3310,IF($B$265=B$3293,C3310,IF($B$265=B$3294,CO3310,IF($B$265=B$3295,CP3310,IF($B$265=B$3296,CQ3310,IF($B$265=B$3297,CR3310,IF($B$265=B$3298,CS3310,IF($B$265=B$3299,CT3310,IF(B$265=B$3300,CU3310,IF($B$265=B$3301,CV3310,IF($B$265=B$3302,CW3310,IF($B$265=B$3303,CX3310,IF($B$265=B$3304,CY3310,IF($B$265=B$3305,CZ3310,IF($B$265=B$3306,DA3310,IF($B$265=B$3307,DB3310,IF($B$265=B$3308,DC3310,IF($B$265=B$3309,DD3310,IF($B$265=B$3310,DE3310,IF($B$265=B$3311,DF3310,IF($B$265=B$3312,DG3310,IF($B$265=B$3313,DH3310,IF($B$265=B$3314,DI3310,IF($B$265=B$3315,DJ3310,IF($B$265=B$3316,DK3310,IF($B$265=B$3317,DL3310,IF($B$265=B$3318,DM3310,IF($B$265=B$3319,DN3310,IF($B$265=B$3320,DO3310,IF($B$265=B$3321,DP3310,IF($B$265=B$3322,DQ3310,IF($B$265=B$3323,DR3310,IF($B$265=B$3324,DS3310,IF($B$265=B$3325,DT3310,IF($B$265=B$3326,DU3310,IF($B$265=B$3327,DV3310,IF($B$265=B$3328,DW3310,IF($B$265=B$3329,DX3310,""))))))))))))))))))))))))))))))))))))))))))))))))))))</f>
        <v/>
      </c>
      <c r="BZ3311" s="48" t="s">
        <v>1464</v>
      </c>
      <c r="CA3311" s="245" t="s">
        <v>885</v>
      </c>
      <c r="CB3311" s="245" t="s">
        <v>885</v>
      </c>
      <c r="CC3311" t="s">
        <v>1466</v>
      </c>
      <c r="CD3311" t="s">
        <v>1616</v>
      </c>
      <c r="CE3311" t="s">
        <v>1671</v>
      </c>
      <c r="CF3311" s="245" t="s">
        <v>885</v>
      </c>
      <c r="CG3311" s="245" t="s">
        <v>885</v>
      </c>
      <c r="CH3311" s="245" t="s">
        <v>885</v>
      </c>
      <c r="CI3311" t="s">
        <v>1600</v>
      </c>
      <c r="CJ3311" t="s">
        <v>1446</v>
      </c>
      <c r="CK3311" s="459" t="s">
        <v>885</v>
      </c>
      <c r="CL3311" t="s">
        <v>1890</v>
      </c>
      <c r="CM3311" t="s">
        <v>1805</v>
      </c>
      <c r="CN3311" t="s">
        <v>1551</v>
      </c>
      <c r="CO3311" t="s">
        <v>1795</v>
      </c>
      <c r="CP3311" t="s">
        <v>1548</v>
      </c>
      <c r="CQ3311" t="s">
        <v>1459</v>
      </c>
      <c r="CR3311" t="s">
        <v>2195</v>
      </c>
      <c r="CS3311" s="459" t="s">
        <v>885</v>
      </c>
      <c r="CT3311" s="245" t="s">
        <v>885</v>
      </c>
      <c r="CU3311" t="s">
        <v>2278</v>
      </c>
      <c r="CV3311" t="s">
        <v>2337</v>
      </c>
      <c r="CW3311" t="s">
        <v>1814</v>
      </c>
      <c r="CX3311" t="s">
        <v>1658</v>
      </c>
      <c r="CY3311" t="s">
        <v>1681</v>
      </c>
      <c r="CZ3311" t="s">
        <v>2506</v>
      </c>
      <c r="DA3311" s="459" t="s">
        <v>885</v>
      </c>
      <c r="DB3311" s="459" t="s">
        <v>885</v>
      </c>
      <c r="DC3311" s="459" t="s">
        <v>885</v>
      </c>
      <c r="DD3311" s="459" t="s">
        <v>885</v>
      </c>
      <c r="DE3311" t="s">
        <v>2598</v>
      </c>
      <c r="DF3311" t="s">
        <v>1796</v>
      </c>
      <c r="DG3311" t="s">
        <v>2700</v>
      </c>
      <c r="DH3311" t="s">
        <v>1964</v>
      </c>
      <c r="DI3311" t="s">
        <v>1467</v>
      </c>
      <c r="DJ3311" t="s">
        <v>1495</v>
      </c>
      <c r="DK3311" t="s">
        <v>2820</v>
      </c>
      <c r="DL3311" s="459" t="s">
        <v>885</v>
      </c>
      <c r="DM3311" t="s">
        <v>2859</v>
      </c>
      <c r="DN3311" t="s">
        <v>2649</v>
      </c>
      <c r="DO3311" t="s">
        <v>1805</v>
      </c>
      <c r="DP3311" t="s">
        <v>1904</v>
      </c>
      <c r="DQ3311" s="459" t="s">
        <v>885</v>
      </c>
      <c r="DR3311" s="459" t="s">
        <v>885</v>
      </c>
      <c r="DS3311" t="s">
        <v>3135</v>
      </c>
      <c r="DT3311" t="s">
        <v>2530</v>
      </c>
      <c r="DU3311" t="s">
        <v>2149</v>
      </c>
      <c r="DV3311" t="s">
        <v>3250</v>
      </c>
      <c r="DW3311" s="245" t="s">
        <v>885</v>
      </c>
      <c r="DX3311" s="245" t="s">
        <v>885</v>
      </c>
      <c r="DY3311" s="245"/>
      <c r="DZ3311" s="470" t="str">
        <f>IF($B$265=$B$3278,EB3311,IF($B$265=$B$3279,ED3311,IF($B$265=$B$3280,EF3311,IF($B$265=$B$3281,EH3311,IF($B$265=$B$3282,EJ3311,IF($B$265=$B$3283,EL3311,IF($B$265=$B$3284,EN3311,IF($B$265=$B$3285,EP3311,IF($B$265=$B$3286,ER3311,IF($B$265=$B$3287,ET3311,IF($B$265=$B$3288,EV3311,IF($B$265=$B$3289,EX3311,IF($B$265=$B$3290,EZ3311,IF($B$265=$B$3291,FB3311,IF($B$265=$B$3292,FD3311,IF($B$265=$B$3293,BU3311,IF($B$265=$B$3294,FF3311,IF($B$265=$B$3295,FH3311,IF($B$265=$B$3296,FJ3311,IF($B$265=$B$3297,FL3311,IF($B$265=$B$3298,FN3311,IF($B$265=$B$3299,FP3311,IF(BI$265=$B$3300,FR3311,IF($B$265=$B$3301,FT3311,IF($B$265=$B$3302,FV3311,IF($B$265=$B$3303,FX3311,IF($B$265=$B$3304,FZ3311,IF($B$265=$B$3305,GB3311,IF($B$265=$B$3306,GD3311,IF($B$265=$B$3307,GF3311,IF($B$265=$B$3308,GH3311,IF($B$265=$B$3309,GJ3311,IF($B$265=$B$3310,GL3311,IF($B$265=$B$3311,GN3311,IF($B$265=$B$3312,GP3311,IF($B$265=$B$3313,GR3311,IF($B$265=$B$3314,GT3311,IF($B$265=$B$3315,GV3311,IF($B$265=$B$3316,GX3311,IF($B$265=$B$3317,GZ3311,IF($B$265=$B$3318,HB3311,IF($B$265=$B$3319,HD3311,IF($B$265=$B$3320,HF3311,IF($B$265=$B$3321,HH3311,IF($B$265=$B$3322,HJ3311,IF($B$265=$B$3323,HL3311,IF($B$265=$B$3324,HN3311,IF($B$265=$B$3325,HP3311,IF($B$265=$B$3326,HR3311,IF($B$265=$B$3327,HT3311,IF($B$265=$B$3328,HV3311,IF($B$265=$B$3329,HX3311,""))))))))))))))))))))))))))))))))))))))))))))))))))))</f>
        <v/>
      </c>
      <c r="EA3311" s="470" t="str">
        <f>IF($B$265=$B$3278,EC3311,IF($B$265=$B$3279,EE3311,IF($B$265=$B$3280,EG3311,IF($B$265=$B$3281,EI3311,IF($B$265=$B$3282,EK3311,IF($B$265=$B$3283,EM3311,IF($B$265=$B$3284,EO3311,IF($B$265=$B$3285,EQ3311,IF($B$265=$B$3286,ES3311,IF($B$265=$B$3287,EU3311,IF($B$265=$B$3288,EW3311,IF($B$265=$B$3289,EY3311,IF($B$265=$B$3290,FA3311,IF($B$265=$B$3291,FC3311,IF($B$265=$B$3292,FE3311,IF($B$265=$B$3293,BK3311,IF($B$265=$B$3294,FG3311,IF($B$265=$B$3295,FI3311,IF($B$265=$B$3296,FK3311,IF($B$265=$B$3297,FM3311,IF($B$265=$B$3298,FO3311,IF($B$265=$B$3299,FQ3311,IF(BJ$265=$B$3300,FS3311,IF($B$265=$B$3301,FU3311,IF($B$265=$B$3302,FW3311,IF($B$265=$B$3303,FY3311,IF($B$265=$B$3304,GA3311,IF($B$265=$B$3305,GC3311,IF($B$265=$B$3306,GE3311,IF($B$265=$B$3307,GG3311,IF($B$265=$B$3308,GI3311,IF($B$265=$B$3309,GK3311,IF($B$265=$B$3310,GM3311,IF($B$265=$B$3311,GO3311,IF($B$265=$B$3312,GQ3311,IF($B$265=$B$3313,GS3311,IF($B$265=$B$3314,GU3311,IF($B$265=$B$3315,GW3311,IF($B$265=$B$3316,GY3311,IF($B$265=$B$3317,HA3311,IF($B$265=$B$3318,HC3311,IF($B$265=$B$3319,HE3311,IF($B$265=$B$3320,HG3311,IF($B$265=$B$3321,HI3311,IF($B$265=$B$3322,HK3311,IF($B$265=$B$3323,HM3311,IF($B$265=$B$3324,HO3311,IF($B$265=$B$3325,HQ3311,IF($B$265=$B$3326,HS3311,IF($B$265=$B$3327,HU3311,IF($B$265=$B$3328,HW3311,IF($B$265=$B$3329,HY3311,""))))))))))))))))))))))))))))))))))))))))))))))))))))</f>
        <v/>
      </c>
      <c r="EB3311" t="s">
        <v>3309</v>
      </c>
      <c r="EC3311" s="471" t="s">
        <v>3283</v>
      </c>
      <c r="EH3311" t="s">
        <v>3361</v>
      </c>
      <c r="EI3311" s="473" t="s">
        <v>3294</v>
      </c>
      <c r="EJ3311" t="s">
        <v>3404</v>
      </c>
      <c r="EK3311" s="473" t="s">
        <v>3294</v>
      </c>
      <c r="EL3311" t="str">
        <f>EL3281</f>
        <v>Christian Champagne</v>
      </c>
      <c r="EM3311" s="473" t="str">
        <f>EM3281</f>
        <v>D</v>
      </c>
    </row>
    <row r="3312" spans="1:143" ht="15.5" hidden="1" x14ac:dyDescent="0.35">
      <c r="A3312" s="417" t="s">
        <v>1192</v>
      </c>
      <c r="B3312" s="418" t="s">
        <v>1193</v>
      </c>
      <c r="C3312" s="427">
        <f>C3309</f>
        <v>0</v>
      </c>
      <c r="D3312" s="427" t="s">
        <v>885</v>
      </c>
      <c r="E3312" s="427" t="s">
        <v>885</v>
      </c>
      <c r="G3312" s="420"/>
      <c r="H3312" s="420"/>
      <c r="I3312" s="420"/>
      <c r="J3312" s="420"/>
      <c r="K3312" s="420"/>
      <c r="L3312" s="420"/>
      <c r="M3312" s="420"/>
      <c r="N3312" s="420"/>
      <c r="O3312" s="420"/>
      <c r="P3312" s="420"/>
      <c r="Q3312" s="420"/>
      <c r="R3312" s="420"/>
      <c r="S3312" s="420"/>
      <c r="T3312" s="420"/>
      <c r="U3312" s="420"/>
      <c r="V3312" s="420"/>
      <c r="W3312" s="420"/>
      <c r="X3312" s="420"/>
      <c r="Y3312" s="420"/>
      <c r="Z3312" s="420"/>
      <c r="AA3312" s="411"/>
      <c r="AB3312" s="411" t="s">
        <v>1027</v>
      </c>
      <c r="AC3312" s="245" t="s">
        <v>885</v>
      </c>
      <c r="AD3312" s="245" t="s">
        <v>885</v>
      </c>
      <c r="AE3312" s="245" t="s">
        <v>885</v>
      </c>
      <c r="AF3312" s="245" t="s">
        <v>885</v>
      </c>
      <c r="AG3312" s="245" t="s">
        <v>885</v>
      </c>
      <c r="AH3312" s="245" t="s">
        <v>885</v>
      </c>
      <c r="AI3312" s="245" t="s">
        <v>885</v>
      </c>
      <c r="AJ3312" s="245" t="s">
        <v>885</v>
      </c>
      <c r="AK3312" s="245" t="s">
        <v>885</v>
      </c>
      <c r="AL3312" s="245" t="s">
        <v>885</v>
      </c>
      <c r="AM3312" s="245" t="s">
        <v>885</v>
      </c>
      <c r="AN3312" s="245" t="s">
        <v>885</v>
      </c>
      <c r="AO3312" s="245" t="s">
        <v>885</v>
      </c>
      <c r="AP3312" s="245" t="s">
        <v>885</v>
      </c>
      <c r="AQ3312" s="245" t="s">
        <v>885</v>
      </c>
      <c r="AR3312" s="245" t="s">
        <v>885</v>
      </c>
      <c r="AS3312" s="245" t="s">
        <v>885</v>
      </c>
      <c r="AT3312" s="245" t="s">
        <v>885</v>
      </c>
      <c r="AU3312" s="245" t="s">
        <v>885</v>
      </c>
      <c r="AV3312" s="245" t="s">
        <v>885</v>
      </c>
      <c r="AW3312" s="245" t="s">
        <v>885</v>
      </c>
      <c r="AX3312" s="48">
        <v>35</v>
      </c>
      <c r="BB3312" s="402">
        <f t="shared" ca="1" si="150"/>
        <v>0</v>
      </c>
      <c r="BF3312" s="423">
        <v>33071</v>
      </c>
      <c r="BG3312" s="415">
        <f t="shared" si="148"/>
        <v>0</v>
      </c>
      <c r="BH3312" s="415">
        <f t="shared" si="143"/>
        <v>0</v>
      </c>
      <c r="BI3312" s="365">
        <f t="shared" si="144"/>
        <v>0</v>
      </c>
      <c r="BJ3312" s="157">
        <f t="shared" si="149"/>
        <v>0</v>
      </c>
      <c r="BK3312" s="416">
        <f t="shared" si="145"/>
        <v>0</v>
      </c>
      <c r="BS3312" s="464" t="str">
        <f>IF($B$265=B$3278,BZ3311,IF($B$265=B$3279,CA3311,IF($B$265=B$3280,CB3311,IF($B$265=B$3281,CC3311,IF($B$265=B$3282,CD3311,IF($B$265=B$3283,CE3311,IF($B$265=B$3284,CF3311,IF($B$265=B$3285,CG3311,IF($B$265=B$3286,CH3311,IF($B$265=B$3287,CI3311,IF($B$265=B$3288,CJ3311,IF($B$265=B$3289,CK3311,IF($B$265=B$3290,CL3311,IF($B$265=B$3291,CM3311,IF($B$265=B$3292,CN3311,IF($B$265=B$3293,C3311,IF($B$265=B$3294,CO3311,IF($B$265=B$3295,CP3311,IF($B$265=B$3296,CQ3311,IF($B$265=B$3297,CR3311,IF($B$265=B$3298,CS3311,IF($B$265=B$3299,CT3311,IF(B$265=B$3300,CU3311,IF($B$265=B$3301,CV3311,IF($B$265=B$3302,CW3311,IF($B$265=B$3303,CX3311,IF($B$265=B$3304,CY3311,IF($B$265=B$3305,CZ3311,IF($B$265=B$3306,DA3311,IF($B$265=B$3307,DB3311,IF($B$265=B$3308,DC3311,IF($B$265=B$3309,DD3311,IF($B$265=B$3310,DE3311,IF($B$265=B$3311,DF3311,IF($B$265=B$3312,DG3311,IF($B$265=B$3313,DH3311,IF($B$265=B$3314,DI3311,IF($B$265=B$3315,DJ3311,IF($B$265=B$3316,DK3311,IF($B$265=B$3317,DL3311,IF($B$265=B$3318,DM3311,IF($B$265=B$3319,DN3311,IF($B$265=B$3320,DO3311,IF($B$265=B$3321,DP3311,IF($B$265=B$3322,DQ3311,IF($B$265=B$3323,DR3311,IF($B$265=B$3324,DS3311,IF($B$265=B$3325,DT3311,IF($B$265=B$3326,DU3311,IF($B$265=B$3327,DV3311,IF($B$265=B$3328,DW3311,IF($B$265=B$3329,DX3311,""))))))))))))))))))))))))))))))))))))))))))))))))))))</f>
        <v/>
      </c>
      <c r="BZ3312" s="48" t="s">
        <v>1465</v>
      </c>
      <c r="CA3312" s="245" t="s">
        <v>885</v>
      </c>
      <c r="CB3312" s="245" t="s">
        <v>885</v>
      </c>
      <c r="CC3312" t="s">
        <v>1467</v>
      </c>
      <c r="CD3312" t="s">
        <v>1617</v>
      </c>
      <c r="CE3312" t="s">
        <v>1600</v>
      </c>
      <c r="CF3312" s="245" t="s">
        <v>885</v>
      </c>
      <c r="CG3312" s="245" t="s">
        <v>885</v>
      </c>
      <c r="CH3312" s="245" t="s">
        <v>885</v>
      </c>
      <c r="CI3312" t="s">
        <v>1471</v>
      </c>
      <c r="CJ3312" t="s">
        <v>1779</v>
      </c>
      <c r="CK3312" s="459" t="s">
        <v>885</v>
      </c>
      <c r="CL3312" t="s">
        <v>1891</v>
      </c>
      <c r="CM3312" t="s">
        <v>1917</v>
      </c>
      <c r="CN3312" t="s">
        <v>1966</v>
      </c>
      <c r="CO3312" t="s">
        <v>1460</v>
      </c>
      <c r="CP3312" t="s">
        <v>2058</v>
      </c>
      <c r="CQ3312" t="s">
        <v>2126</v>
      </c>
      <c r="CR3312" t="s">
        <v>2196</v>
      </c>
      <c r="CS3312" s="459" t="s">
        <v>885</v>
      </c>
      <c r="CT3312" s="245" t="s">
        <v>885</v>
      </c>
      <c r="CU3312" t="s">
        <v>2279</v>
      </c>
      <c r="CV3312" t="s">
        <v>2338</v>
      </c>
      <c r="CW3312" t="s">
        <v>2392</v>
      </c>
      <c r="CX3312" t="s">
        <v>2423</v>
      </c>
      <c r="CY3312" t="s">
        <v>2476</v>
      </c>
      <c r="CZ3312" t="s">
        <v>2507</v>
      </c>
      <c r="DA3312" s="459" t="s">
        <v>885</v>
      </c>
      <c r="DB3312" s="459" t="s">
        <v>885</v>
      </c>
      <c r="DC3312" s="459" t="s">
        <v>885</v>
      </c>
      <c r="DD3312" s="459" t="s">
        <v>885</v>
      </c>
      <c r="DE3312" t="s">
        <v>2599</v>
      </c>
      <c r="DF3312" t="s">
        <v>1460</v>
      </c>
      <c r="DG3312" t="s">
        <v>1829</v>
      </c>
      <c r="DH3312" t="s">
        <v>1464</v>
      </c>
      <c r="DI3312" t="s">
        <v>2651</v>
      </c>
      <c r="DJ3312" t="s">
        <v>1857</v>
      </c>
      <c r="DK3312" t="s">
        <v>2821</v>
      </c>
      <c r="DL3312" s="459" t="s">
        <v>885</v>
      </c>
      <c r="DM3312" t="s">
        <v>2860</v>
      </c>
      <c r="DN3312" t="s">
        <v>1466</v>
      </c>
      <c r="DO3312" t="s">
        <v>2915</v>
      </c>
      <c r="DP3312" t="s">
        <v>2955</v>
      </c>
      <c r="DQ3312" s="459" t="s">
        <v>885</v>
      </c>
      <c r="DR3312" s="459" t="s">
        <v>885</v>
      </c>
      <c r="DS3312" t="s">
        <v>3136</v>
      </c>
      <c r="DT3312" t="s">
        <v>3215</v>
      </c>
      <c r="DU3312" t="s">
        <v>1974</v>
      </c>
      <c r="DV3312" t="s">
        <v>1556</v>
      </c>
      <c r="DW3312" s="245" t="s">
        <v>885</v>
      </c>
      <c r="DX3312" s="245" t="s">
        <v>885</v>
      </c>
      <c r="DY3312" s="245"/>
      <c r="DZ3312" s="470" t="str">
        <f>IF($B$265=$B$3278,EB3312,IF($B$265=$B$3279,ED3312,IF($B$265=$B$3280,EF3312,IF($B$265=$B$3281,EH3312,IF($B$265=$B$3282,EJ3312,IF($B$265=$B$3283,EL3312,IF($B$265=$B$3284,EN3312,IF($B$265=$B$3285,EP3312,IF($B$265=$B$3286,ER3312,IF($B$265=$B$3287,ET3312,IF($B$265=$B$3288,EV3312,IF($B$265=$B$3289,EX3312,IF($B$265=$B$3290,EZ3312,IF($B$265=$B$3291,FB3312,IF($B$265=$B$3292,FD3312,IF($B$265=$B$3293,BU3312,IF($B$265=$B$3294,FF3312,IF($B$265=$B$3295,FH3312,IF($B$265=$B$3296,FJ3312,IF($B$265=$B$3297,FL3312,IF($B$265=$B$3298,FN3312,IF($B$265=$B$3299,FP3312,IF(BI$265=$B$3300,FR3312,IF($B$265=$B$3301,FT3312,IF($B$265=$B$3302,FV3312,IF($B$265=$B$3303,FX3312,IF($B$265=$B$3304,FZ3312,IF($B$265=$B$3305,GB3312,IF($B$265=$B$3306,GD3312,IF($B$265=$B$3307,GF3312,IF($B$265=$B$3308,GH3312,IF($B$265=$B$3309,GJ3312,IF($B$265=$B$3310,GL3312,IF($B$265=$B$3311,GN3312,IF($B$265=$B$3312,GP3312,IF($B$265=$B$3313,GR3312,IF($B$265=$B$3314,GT3312,IF($B$265=$B$3315,GV3312,IF($B$265=$B$3316,GX3312,IF($B$265=$B$3317,GZ3312,IF($B$265=$B$3318,HB3312,IF($B$265=$B$3319,HD3312,IF($B$265=$B$3320,HF3312,IF($B$265=$B$3321,HH3312,IF($B$265=$B$3322,HJ3312,IF($B$265=$B$3323,HL3312,IF($B$265=$B$3324,HN3312,IF($B$265=$B$3325,HP3312,IF($B$265=$B$3326,HR3312,IF($B$265=$B$3327,HT3312,IF($B$265=$B$3328,HV3312,IF($B$265=$B$3329,HX3312,""))))))))))))))))))))))))))))))))))))))))))))))))))))</f>
        <v/>
      </c>
      <c r="EA3312" s="470" t="str">
        <f>IF($B$265=$B$3278,EC3312,IF($B$265=$B$3279,EE3312,IF($B$265=$B$3280,EG3312,IF($B$265=$B$3281,EI3312,IF($B$265=$B$3282,EK3312,IF($B$265=$B$3283,EM3312,IF($B$265=$B$3284,EO3312,IF($B$265=$B$3285,EQ3312,IF($B$265=$B$3286,ES3312,IF($B$265=$B$3287,EU3312,IF($B$265=$B$3288,EW3312,IF($B$265=$B$3289,EY3312,IF($B$265=$B$3290,FA3312,IF($B$265=$B$3291,FC3312,IF($B$265=$B$3292,FE3312,IF($B$265=$B$3293,BK3312,IF($B$265=$B$3294,FG3312,IF($B$265=$B$3295,FI3312,IF($B$265=$B$3296,FK3312,IF($B$265=$B$3297,FM3312,IF($B$265=$B$3298,FO3312,IF($B$265=$B$3299,FQ3312,IF(BJ$265=$B$3300,FS3312,IF($B$265=$B$3301,FU3312,IF($B$265=$B$3302,FW3312,IF($B$265=$B$3303,FY3312,IF($B$265=$B$3304,GA3312,IF($B$265=$B$3305,GC3312,IF($B$265=$B$3306,GE3312,IF($B$265=$B$3307,GG3312,IF($B$265=$B$3308,GI3312,IF($B$265=$B$3309,GK3312,IF($B$265=$B$3310,GM3312,IF($B$265=$B$3311,GO3312,IF($B$265=$B$3312,GQ3312,IF($B$265=$B$3313,GS3312,IF($B$265=$B$3314,GU3312,IF($B$265=$B$3315,GW3312,IF($B$265=$B$3316,GY3312,IF($B$265=$B$3317,HA3312,IF($B$265=$B$3318,HC3312,IF($B$265=$B$3319,HE3312,IF($B$265=$B$3320,HG3312,IF($B$265=$B$3321,HI3312,IF($B$265=$B$3322,HK3312,IF($B$265=$B$3323,HM3312,IF($B$265=$B$3324,HO3312,IF($B$265=$B$3325,HQ3312,IF($B$265=$B$3326,HS3312,IF($B$265=$B$3327,HU3312,IF($B$265=$B$3328,HW3312,IF($B$265=$B$3329,HY3312,""))))))))))))))))))))))))))))))))))))))))))))))))))))</f>
        <v/>
      </c>
      <c r="EB3312" t="str">
        <f>EB3311</f>
        <v>Patrick B. Jones III</v>
      </c>
      <c r="EC3312" t="str">
        <f>EC3311</f>
        <v>R</v>
      </c>
      <c r="EH3312" t="s">
        <v>3362</v>
      </c>
      <c r="EI3312" s="473" t="s">
        <v>3294</v>
      </c>
      <c r="EJ3312" t="s">
        <v>3405</v>
      </c>
      <c r="EK3312" s="473" t="s">
        <v>3294</v>
      </c>
      <c r="EL3312" t="str">
        <f>EL3297</f>
        <v>Heidi McCollum</v>
      </c>
      <c r="EM3312" s="473" t="str">
        <f>EM3297</f>
        <v>D</v>
      </c>
    </row>
    <row r="3313" spans="1:143" ht="15.5" hidden="1" x14ac:dyDescent="0.35">
      <c r="A3313" s="417" t="s">
        <v>1194</v>
      </c>
      <c r="B3313" s="418" t="s">
        <v>1195</v>
      </c>
      <c r="C3313" s="433">
        <v>40330</v>
      </c>
      <c r="D3313" s="427" t="s">
        <v>885</v>
      </c>
      <c r="G3313" s="420"/>
      <c r="H3313" s="420"/>
      <c r="I3313" s="420"/>
      <c r="J3313" s="420"/>
      <c r="K3313" s="420"/>
      <c r="L3313" s="420"/>
      <c r="M3313" s="420"/>
      <c r="N3313" s="420"/>
      <c r="O3313" s="420"/>
      <c r="P3313" s="420"/>
      <c r="Q3313" s="420"/>
      <c r="R3313" s="420"/>
      <c r="S3313" s="420"/>
      <c r="T3313" s="420"/>
      <c r="U3313" s="420"/>
      <c r="V3313" s="420"/>
      <c r="W3313" s="420"/>
      <c r="X3313" s="420"/>
      <c r="Y3313" s="420"/>
      <c r="Z3313" s="420"/>
      <c r="AB3313" s="48" t="s">
        <v>1196</v>
      </c>
      <c r="AC3313" s="245" t="s">
        <v>885</v>
      </c>
      <c r="AD3313" s="48" t="s">
        <v>1197</v>
      </c>
      <c r="AF3313" s="421">
        <v>2</v>
      </c>
      <c r="AG3313" s="48">
        <v>2</v>
      </c>
      <c r="AH3313" s="48" t="s">
        <v>1046</v>
      </c>
      <c r="AI3313" s="48" t="str">
        <f>CONCATENATE(AG3313,AH3313)</f>
        <v>2 years</v>
      </c>
      <c r="AK3313" s="48" t="s">
        <v>1047</v>
      </c>
      <c r="AO3313" s="48" t="s">
        <v>1113</v>
      </c>
      <c r="AR3313" s="245" t="s">
        <v>885</v>
      </c>
      <c r="AS3313" s="48" t="s">
        <v>1198</v>
      </c>
      <c r="AW3313" s="245" t="s">
        <v>885</v>
      </c>
      <c r="AX3313" s="48">
        <v>36</v>
      </c>
      <c r="BB3313" s="402">
        <f t="shared" ca="1" si="150"/>
        <v>5041250</v>
      </c>
      <c r="BF3313" s="423">
        <v>26937</v>
      </c>
      <c r="BG3313" s="415">
        <f t="shared" si="148"/>
        <v>0</v>
      </c>
      <c r="BH3313" s="415">
        <f t="shared" si="143"/>
        <v>0</v>
      </c>
      <c r="BI3313" s="365">
        <f t="shared" si="144"/>
        <v>0</v>
      </c>
      <c r="BJ3313" s="157">
        <f t="shared" si="149"/>
        <v>0</v>
      </c>
      <c r="BK3313" s="416">
        <f t="shared" si="145"/>
        <v>0</v>
      </c>
      <c r="BN3313" s="1107">
        <f>IF(OR($AC$1127=0,$C$1153="",C$1129=AG$1129),0,$C$1153*$C$1129)</f>
        <v>0</v>
      </c>
      <c r="BO3313" s="927"/>
      <c r="BP3313" s="927"/>
      <c r="BQ3313" s="927"/>
      <c r="BS3313" s="464" t="str">
        <f>IF($B$265=B$3278,BZ3312,IF($B$265=B$3279,CA3312,IF($B$265=B$3280,CB3312,IF($B$265=B$3281,CC3312,IF($B$265=B$3282,CD3312,IF($B$265=B$3283,CE3312,IF($B$265=B$3284,CF3312,IF($B$265=B$3285,CG3312,IF($B$265=B$3286,CH3312,IF($B$265=B$3287,CI3312,IF($B$265=B$3288,CJ3312,IF($B$265=B$3289,CK3312,IF($B$265=B$3290,CL3312,IF($B$265=B$3291,CM3312,IF($B$265=B$3292,CN3312,IF($B$265=B$3293,C3312,IF($B$265=B$3294,CO3312,IF($B$265=B$3295,CP3312,IF($B$265=B$3296,CQ3312,IF($B$265=B$3297,CR3312,IF($B$265=B$3298,CS3312,IF($B$265=B$3299,CT3312,IF(B$265=B$3300,CU3312,IF($B$265=B$3301,CV3312,IF($B$265=B$3302,CW3312,IF($B$265=B$3303,CX3312,IF($B$265=B$3304,CY3312,IF($B$265=B$3305,CZ3312,IF($B$265=B$3306,DA3312,IF($B$265=B$3307,DB3312,IF($B$265=B$3308,DC3312,IF($B$265=B$3309,DD3312,IF($B$265=B$3310,DE3312,IF($B$265=B$3311,DF3312,IF($B$265=B$3312,DG3312,IF($B$265=B$3313,DH3312,IF($B$265=B$3314,DI3312,IF($B$265=B$3315,DJ3312,IF($B$265=B$3316,DK3312,IF($B$265=B$3317,DL3312,IF($B$265=B$3318,DM3312,IF($B$265=B$3319,DN3312,IF($B$265=B$3320,DO3312,IF($B$265=B$3321,DP3312,IF($B$265=B$3322,DQ3312,IF($B$265=B$3323,DR3312,IF($B$265=B$3324,DS3312,IF($B$265=B$3325,DT3312,IF($B$265=B$3326,DU3312,IF($B$265=B$3327,DV3312,IF($B$265=B$3328,DW3312,IF($B$265=B$3329,DX3312,""))))))))))))))))))))))))))))))))))))))))))))))))))))</f>
        <v/>
      </c>
      <c r="BZ3313" s="48" t="s">
        <v>1466</v>
      </c>
      <c r="CA3313" s="245" t="s">
        <v>885</v>
      </c>
      <c r="CB3313" s="245" t="s">
        <v>885</v>
      </c>
      <c r="CC3313" t="s">
        <v>1554</v>
      </c>
      <c r="CD3313" t="s">
        <v>1618</v>
      </c>
      <c r="CE3313" t="s">
        <v>1672</v>
      </c>
      <c r="CF3313" s="245" t="s">
        <v>885</v>
      </c>
      <c r="CG3313" s="245" t="s">
        <v>885</v>
      </c>
      <c r="CH3313" s="245" t="s">
        <v>885</v>
      </c>
      <c r="CI3313" t="s">
        <v>1730</v>
      </c>
      <c r="CJ3313" t="s">
        <v>1537</v>
      </c>
      <c r="CK3313" s="459" t="s">
        <v>885</v>
      </c>
      <c r="CL3313" t="s">
        <v>1892</v>
      </c>
      <c r="CM3313" t="s">
        <v>1918</v>
      </c>
      <c r="CN3313" t="s">
        <v>1466</v>
      </c>
      <c r="CO3313" t="s">
        <v>1662</v>
      </c>
      <c r="CP3313" t="s">
        <v>2059</v>
      </c>
      <c r="CQ3313" t="s">
        <v>1795</v>
      </c>
      <c r="CR3313" t="s">
        <v>2197</v>
      </c>
      <c r="CS3313" s="459" t="s">
        <v>885</v>
      </c>
      <c r="CT3313" s="245" t="s">
        <v>885</v>
      </c>
      <c r="CU3313" t="s">
        <v>2280</v>
      </c>
      <c r="CV3313" t="s">
        <v>2339</v>
      </c>
      <c r="CW3313" t="s">
        <v>1555</v>
      </c>
      <c r="CX3313" t="s">
        <v>1460</v>
      </c>
      <c r="CY3313" t="s">
        <v>1565</v>
      </c>
      <c r="CZ3313" t="s">
        <v>1663</v>
      </c>
      <c r="DA3313" s="459" t="s">
        <v>885</v>
      </c>
      <c r="DB3313" s="459" t="s">
        <v>885</v>
      </c>
      <c r="DC3313" s="459" t="s">
        <v>885</v>
      </c>
      <c r="DD3313" s="459" t="s">
        <v>885</v>
      </c>
      <c r="DE3313" t="s">
        <v>1612</v>
      </c>
      <c r="DF3313" t="s">
        <v>2640</v>
      </c>
      <c r="DG3313" t="s">
        <v>2357</v>
      </c>
      <c r="DH3313" t="s">
        <v>2725</v>
      </c>
      <c r="DI3313" t="s">
        <v>2762</v>
      </c>
      <c r="DJ3313" t="s">
        <v>2803</v>
      </c>
      <c r="DK3313" t="s">
        <v>2516</v>
      </c>
      <c r="DL3313" s="459" t="s">
        <v>885</v>
      </c>
      <c r="DM3313" t="s">
        <v>2861</v>
      </c>
      <c r="DN3313" t="s">
        <v>2886</v>
      </c>
      <c r="DO3313" t="s">
        <v>1917</v>
      </c>
      <c r="DP3313" t="s">
        <v>1439</v>
      </c>
      <c r="DQ3313" s="459" t="s">
        <v>885</v>
      </c>
      <c r="DR3313" s="459" t="s">
        <v>885</v>
      </c>
      <c r="DS3313" t="s">
        <v>3137</v>
      </c>
      <c r="DT3313" t="s">
        <v>3216</v>
      </c>
      <c r="DU3313" t="s">
        <v>2152</v>
      </c>
      <c r="DV3313" t="s">
        <v>3251</v>
      </c>
      <c r="DW3313" s="245" t="s">
        <v>885</v>
      </c>
      <c r="DX3313" s="245" t="s">
        <v>885</v>
      </c>
      <c r="DY3313" s="245"/>
      <c r="DZ3313" s="470" t="str">
        <f>IF($B$265=$B$3278,EB3313,IF($B$265=$B$3279,ED3313,IF($B$265=$B$3280,EF3313,IF($B$265=$B$3281,EH3313,IF($B$265=$B$3282,EJ3313,IF($B$265=$B$3283,EL3313,IF($B$265=$B$3284,EN3313,IF($B$265=$B$3285,EP3313,IF($B$265=$B$3286,ER3313,IF($B$265=$B$3287,ET3313,IF($B$265=$B$3288,EV3313,IF($B$265=$B$3289,EX3313,IF($B$265=$B$3290,EZ3313,IF($B$265=$B$3291,FB3313,IF($B$265=$B$3292,FD3313,IF($B$265=$B$3293,BU3313,IF($B$265=$B$3294,FF3313,IF($B$265=$B$3295,FH3313,IF($B$265=$B$3296,FJ3313,IF($B$265=$B$3297,FL3313,IF($B$265=$B$3298,FN3313,IF($B$265=$B$3299,FP3313,IF(BI$265=$B$3300,FR3313,IF($B$265=$B$3301,FT3313,IF($B$265=$B$3302,FV3313,IF($B$265=$B$3303,FX3313,IF($B$265=$B$3304,FZ3313,IF($B$265=$B$3305,GB3313,IF($B$265=$B$3306,GD3313,IF($B$265=$B$3307,GF3313,IF($B$265=$B$3308,GH3313,IF($B$265=$B$3309,GJ3313,IF($B$265=$B$3310,GL3313,IF($B$265=$B$3311,GN3313,IF($B$265=$B$3312,GP3313,IF($B$265=$B$3313,GR3313,IF($B$265=$B$3314,GT3313,IF($B$265=$B$3315,GV3313,IF($B$265=$B$3316,GX3313,IF($B$265=$B$3317,GZ3313,IF($B$265=$B$3318,HB3313,IF($B$265=$B$3319,HD3313,IF($B$265=$B$3320,HF3313,IF($B$265=$B$3321,HH3313,IF($B$265=$B$3322,HJ3313,IF($B$265=$B$3323,HL3313,IF($B$265=$B$3324,HN3313,IF($B$265=$B$3325,HP3313,IF($B$265=$B$3326,HR3313,IF($B$265=$B$3327,HT3313,IF($B$265=$B$3328,HV3313,IF($B$265=$B$3329,HX3313,""))))))))))))))))))))))))))))))))))))))))))))))))))))</f>
        <v/>
      </c>
      <c r="EA3313" s="470" t="str">
        <f>IF($B$265=$B$3278,EC3313,IF($B$265=$B$3279,EE3313,IF($B$265=$B$3280,EG3313,IF($B$265=$B$3281,EI3313,IF($B$265=$B$3282,EK3313,IF($B$265=$B$3283,EM3313,IF($B$265=$B$3284,EO3313,IF($B$265=$B$3285,EQ3313,IF($B$265=$B$3286,ES3313,IF($B$265=$B$3287,EU3313,IF($B$265=$B$3288,EW3313,IF($B$265=$B$3289,EY3313,IF($B$265=$B$3290,FA3313,IF($B$265=$B$3291,FC3313,IF($B$265=$B$3292,FE3313,IF($B$265=$B$3293,BK3313,IF($B$265=$B$3294,FG3313,IF($B$265=$B$3295,FI3313,IF($B$265=$B$3296,FK3313,IF($B$265=$B$3297,FM3313,IF($B$265=$B$3298,FO3313,IF($B$265=$B$3299,FQ3313,IF(BJ$265=$B$3300,FS3313,IF($B$265=$B$3301,FU3313,IF($B$265=$B$3302,FW3313,IF($B$265=$B$3303,FY3313,IF($B$265=$B$3304,GA3313,IF($B$265=$B$3305,GC3313,IF($B$265=$B$3306,GE3313,IF($B$265=$B$3307,GG3313,IF($B$265=$B$3308,GI3313,IF($B$265=$B$3309,GK3313,IF($B$265=$B$3310,GM3313,IF($B$265=$B$3311,GO3313,IF($B$265=$B$3312,GQ3313,IF($B$265=$B$3313,GS3313,IF($B$265=$B$3314,GU3313,IF($B$265=$B$3315,GW3313,IF($B$265=$B$3316,GY3313,IF($B$265=$B$3317,HA3313,IF($B$265=$B$3318,HC3313,IF($B$265=$B$3319,HE3313,IF($B$265=$B$3320,HG3313,IF($B$265=$B$3321,HI3313,IF($B$265=$B$3322,HK3313,IF($B$265=$B$3323,HM3313,IF($B$265=$B$3324,HO3313,IF($B$265=$B$3325,HQ3313,IF($B$265=$B$3326,HS3313,IF($B$265=$B$3327,HU3313,IF($B$265=$B$3328,HW3313,IF($B$265=$B$3329,HY3313,""))))))))))))))))))))))))))))))))))))))))))))))))))))</f>
        <v/>
      </c>
      <c r="EB3313" t="s">
        <v>3310</v>
      </c>
      <c r="EC3313" s="471" t="s">
        <v>3283</v>
      </c>
      <c r="EH3313" t="str">
        <f>EH3301</f>
        <v>Jeff Phillips</v>
      </c>
      <c r="EI3313" s="473" t="s">
        <v>3294</v>
      </c>
      <c r="EJ3313" t="s">
        <v>3406</v>
      </c>
      <c r="EK3313" s="473" t="s">
        <v>3294</v>
      </c>
      <c r="EL3313" t="str">
        <f>EL3307</f>
        <v>Gordon McLaughlin</v>
      </c>
      <c r="EM3313" s="473" t="str">
        <f>EM3307</f>
        <v>D</v>
      </c>
    </row>
    <row r="3314" spans="1:143" ht="15.5" hidden="1" x14ac:dyDescent="0.35">
      <c r="A3314" s="417" t="s">
        <v>1199</v>
      </c>
      <c r="B3314" s="418" t="s">
        <v>1200</v>
      </c>
      <c r="C3314" s="427">
        <f>C3312</f>
        <v>0</v>
      </c>
      <c r="D3314" s="419">
        <v>175000</v>
      </c>
      <c r="G3314" s="420"/>
      <c r="H3314" s="420"/>
      <c r="I3314" s="420"/>
      <c r="J3314" s="420"/>
      <c r="K3314" s="420"/>
      <c r="L3314" s="420"/>
      <c r="M3314" s="420"/>
      <c r="N3314" s="420"/>
      <c r="O3314" s="420"/>
      <c r="P3314" s="420"/>
      <c r="Q3314" s="420"/>
      <c r="R3314" s="420"/>
      <c r="S3314" s="420"/>
      <c r="T3314" s="420"/>
      <c r="U3314" s="420"/>
      <c r="V3314" s="420"/>
      <c r="W3314" s="420"/>
      <c r="X3314" s="420"/>
      <c r="Y3314" s="420"/>
      <c r="Z3314" s="420"/>
      <c r="AB3314" s="48" t="s">
        <v>1201</v>
      </c>
      <c r="AC3314" s="245" t="s">
        <v>885</v>
      </c>
      <c r="AD3314" s="48" t="s">
        <v>1202</v>
      </c>
      <c r="AF3314" s="421">
        <v>0</v>
      </c>
      <c r="AG3314" s="48">
        <v>1</v>
      </c>
      <c r="AH3314" s="48" t="s">
        <v>1046</v>
      </c>
      <c r="AI3314" s="48" t="str">
        <f>CONCATENATE(AG3314,AH3314)</f>
        <v>1 years</v>
      </c>
      <c r="AK3314" s="48" t="s">
        <v>1047</v>
      </c>
      <c r="AO3314" s="48" t="s">
        <v>1203</v>
      </c>
      <c r="AR3314" s="245" t="s">
        <v>885</v>
      </c>
      <c r="AS3314" s="48" t="s">
        <v>1066</v>
      </c>
      <c r="AW3314" s="245" t="s">
        <v>885</v>
      </c>
      <c r="AX3314" s="48">
        <v>37</v>
      </c>
      <c r="BB3314" s="402">
        <f t="shared" ca="1" si="150"/>
        <v>0</v>
      </c>
      <c r="BF3314" s="423">
        <v>25229</v>
      </c>
      <c r="BG3314" s="415">
        <f t="shared" si="148"/>
        <v>0</v>
      </c>
      <c r="BH3314" s="415">
        <f t="shared" si="143"/>
        <v>0</v>
      </c>
      <c r="BI3314" s="365">
        <f t="shared" si="144"/>
        <v>0</v>
      </c>
      <c r="BJ3314" s="157">
        <f t="shared" si="149"/>
        <v>0</v>
      </c>
      <c r="BK3314" s="416">
        <f t="shared" si="145"/>
        <v>0</v>
      </c>
      <c r="BN3314" s="1107">
        <f>IF(OR($AC$1127=0,$C$1153="",C$1129=AG$1129),0,$C$1153*$C$1129)</f>
        <v>0</v>
      </c>
      <c r="BO3314" s="927"/>
      <c r="BP3314" s="927"/>
      <c r="BQ3314" s="927"/>
      <c r="BS3314" s="464" t="str">
        <f>IF($B$265=B$3278,BZ3313,IF($B$265=B$3279,CA3313,IF($B$265=B$3280,CB3313,IF($B$265=B$3281,CC3313,IF($B$265=B$3282,CD3313,IF($B$265=B$3283,CE3313,IF($B$265=B$3284,CF3313,IF($B$265=B$3285,CG3313,IF($B$265=B$3286,CH3313,IF($B$265=B$3287,CI3313,IF($B$265=B$3288,CJ3313,IF($B$265=B$3289,CK3313,IF($B$265=B$3290,CL3313,IF($B$265=B$3291,CM3313,IF($B$265=B$3292,CN3313,IF($B$265=B$3293,C3313,IF($B$265=B$3294,CO3313,IF($B$265=B$3295,CP3313,IF($B$265=B$3296,CQ3313,IF($B$265=B$3297,CR3313,IF($B$265=B$3298,CS3313,IF($B$265=B$3299,CT3313,IF(B$265=B$3300,CU3313,IF($B$265=B$3301,CV3313,IF($B$265=B$3302,CW3313,IF($B$265=B$3303,CX3313,IF($B$265=B$3304,CY3313,IF($B$265=B$3305,CZ3313,IF($B$265=B$3306,DA3313,IF($B$265=B$3307,DB3313,IF($B$265=B$3308,DC3313,IF($B$265=B$3309,DD3313,IF($B$265=B$3310,DE3313,IF($B$265=B$3311,DF3313,IF($B$265=B$3312,DG3313,IF($B$265=B$3313,DH3313,IF($B$265=B$3314,DI3313,IF($B$265=B$3315,DJ3313,IF($B$265=B$3316,DK3313,IF($B$265=B$3317,DL3313,IF($B$265=B$3318,DM3313,IF($B$265=B$3319,DN3313,IF($B$265=B$3320,DO3313,IF($B$265=B$3321,DP3313,IF($B$265=B$3322,DQ3313,IF($B$265=B$3323,DR3313,IF($B$265=B$3324,DS3313,IF($B$265=B$3325,DT3313,IF($B$265=B$3326,DU3313,IF($B$265=B$3327,DV3313,IF($B$265=B$3328,DW3313,IF($B$265=B$3329,DX3313,""))))))))))))))))))))))))))))))))))))))))))))))))))))</f>
        <v/>
      </c>
      <c r="BZ3314" s="48" t="s">
        <v>1467</v>
      </c>
      <c r="CA3314" s="245" t="s">
        <v>885</v>
      </c>
      <c r="CB3314" s="245" t="s">
        <v>885</v>
      </c>
      <c r="CC3314" t="s">
        <v>1555</v>
      </c>
      <c r="CD3314" t="s">
        <v>1619</v>
      </c>
      <c r="CE3314" t="s">
        <v>1673</v>
      </c>
      <c r="CF3314" s="245" t="s">
        <v>885</v>
      </c>
      <c r="CG3314" s="245" t="s">
        <v>885</v>
      </c>
      <c r="CH3314" s="245" t="s">
        <v>885</v>
      </c>
      <c r="CI3314" t="s">
        <v>1731</v>
      </c>
      <c r="CJ3314" t="s">
        <v>1780</v>
      </c>
      <c r="CK3314" s="459" t="s">
        <v>885</v>
      </c>
      <c r="CL3314" t="s">
        <v>1893</v>
      </c>
      <c r="CM3314" t="s">
        <v>1464</v>
      </c>
      <c r="CN3314" t="s">
        <v>1811</v>
      </c>
      <c r="CO3314" t="s">
        <v>1462</v>
      </c>
      <c r="CP3314" t="s">
        <v>2060</v>
      </c>
      <c r="CQ3314" t="s">
        <v>1460</v>
      </c>
      <c r="CR3314" t="s">
        <v>2198</v>
      </c>
      <c r="CS3314" s="459" t="s">
        <v>885</v>
      </c>
      <c r="CT3314" s="245" t="s">
        <v>885</v>
      </c>
      <c r="CU3314" t="s">
        <v>2281</v>
      </c>
      <c r="CV3314" t="s">
        <v>2340</v>
      </c>
      <c r="CW3314" t="s">
        <v>1468</v>
      </c>
      <c r="CX3314" t="s">
        <v>2424</v>
      </c>
      <c r="CY3314" t="s">
        <v>2477</v>
      </c>
      <c r="CZ3314" t="s">
        <v>2508</v>
      </c>
      <c r="DA3314" s="459" t="s">
        <v>885</v>
      </c>
      <c r="DB3314" s="459" t="s">
        <v>885</v>
      </c>
      <c r="DC3314" s="459" t="s">
        <v>885</v>
      </c>
      <c r="DD3314" s="459" t="s">
        <v>885</v>
      </c>
      <c r="DE3314" t="s">
        <v>2600</v>
      </c>
      <c r="DF3314" t="s">
        <v>2641</v>
      </c>
      <c r="DG3314" t="s">
        <v>2701</v>
      </c>
      <c r="DH3314" t="s">
        <v>2726</v>
      </c>
      <c r="DI3314" t="s">
        <v>2763</v>
      </c>
      <c r="DJ3314" s="459" t="s">
        <v>885</v>
      </c>
      <c r="DK3314" t="s">
        <v>1470</v>
      </c>
      <c r="DL3314" s="459" t="s">
        <v>885</v>
      </c>
      <c r="DM3314" t="s">
        <v>1825</v>
      </c>
      <c r="DN3314" t="s">
        <v>1814</v>
      </c>
      <c r="DO3314" t="s">
        <v>2916</v>
      </c>
      <c r="DP3314" t="s">
        <v>1440</v>
      </c>
      <c r="DQ3314" s="459" t="s">
        <v>885</v>
      </c>
      <c r="DR3314" s="459" t="s">
        <v>885</v>
      </c>
      <c r="DS3314" t="s">
        <v>2248</v>
      </c>
      <c r="DT3314" t="s">
        <v>3217</v>
      </c>
      <c r="DU3314" t="s">
        <v>3229</v>
      </c>
      <c r="DV3314" t="s">
        <v>3252</v>
      </c>
      <c r="DW3314" s="245" t="s">
        <v>885</v>
      </c>
      <c r="DX3314" s="245" t="s">
        <v>885</v>
      </c>
      <c r="DY3314" s="245"/>
      <c r="DZ3314" s="470" t="str">
        <f>IF($B$265=$B$3278,EB3314,IF($B$265=$B$3279,ED3314,IF($B$265=$B$3280,EF3314,IF($B$265=$B$3281,EH3314,IF($B$265=$B$3282,EJ3314,IF($B$265=$B$3283,EL3314,IF($B$265=$B$3284,EN3314,IF($B$265=$B$3285,EP3314,IF($B$265=$B$3286,ER3314,IF($B$265=$B$3287,ET3314,IF($B$265=$B$3288,EV3314,IF($B$265=$B$3289,EX3314,IF($B$265=$B$3290,EZ3314,IF($B$265=$B$3291,FB3314,IF($B$265=$B$3292,FD3314,IF($B$265=$B$3293,BU3314,IF($B$265=$B$3294,FF3314,IF($B$265=$B$3295,FH3314,IF($B$265=$B$3296,FJ3314,IF($B$265=$B$3297,FL3314,IF($B$265=$B$3298,FN3314,IF($B$265=$B$3299,FP3314,IF(BI$265=$B$3300,FR3314,IF($B$265=$B$3301,FT3314,IF($B$265=$B$3302,FV3314,IF($B$265=$B$3303,FX3314,IF($B$265=$B$3304,FZ3314,IF($B$265=$B$3305,GB3314,IF($B$265=$B$3306,GD3314,IF($B$265=$B$3307,GF3314,IF($B$265=$B$3308,GH3314,IF($B$265=$B$3309,GJ3314,IF($B$265=$B$3310,GL3314,IF($B$265=$B$3311,GN3314,IF($B$265=$B$3312,GP3314,IF($B$265=$B$3313,GR3314,IF($B$265=$B$3314,GT3314,IF($B$265=$B$3315,GV3314,IF($B$265=$B$3316,GX3314,IF($B$265=$B$3317,GZ3314,IF($B$265=$B$3318,HB3314,IF($B$265=$B$3319,HD3314,IF($B$265=$B$3320,HF3314,IF($B$265=$B$3321,HH3314,IF($B$265=$B$3322,HJ3314,IF($B$265=$B$3323,HL3314,IF($B$265=$B$3324,HN3314,IF($B$265=$B$3325,HP3314,IF($B$265=$B$3326,HR3314,IF($B$265=$B$3327,HT3314,IF($B$265=$B$3328,HV3314,IF($B$265=$B$3329,HX3314,""))))))))))))))))))))))))))))))))))))))))))))))))))))</f>
        <v/>
      </c>
      <c r="EA3314" s="470" t="str">
        <f>IF($B$265=$B$3278,EC3314,IF($B$265=$B$3279,EE3314,IF($B$265=$B$3280,EG3314,IF($B$265=$B$3281,EI3314,IF($B$265=$B$3282,EK3314,IF($B$265=$B$3283,EM3314,IF($B$265=$B$3284,EO3314,IF($B$265=$B$3285,EQ3314,IF($B$265=$B$3286,ES3314,IF($B$265=$B$3287,EU3314,IF($B$265=$B$3288,EW3314,IF($B$265=$B$3289,EY3314,IF($B$265=$B$3290,FA3314,IF($B$265=$B$3291,FC3314,IF($B$265=$B$3292,FE3314,IF($B$265=$B$3293,BK3314,IF($B$265=$B$3294,FG3314,IF($B$265=$B$3295,FI3314,IF($B$265=$B$3296,FK3314,IF($B$265=$B$3297,FM3314,IF($B$265=$B$3298,FO3314,IF($B$265=$B$3299,FQ3314,IF(BJ$265=$B$3300,FS3314,IF($B$265=$B$3301,FU3314,IF($B$265=$B$3302,FW3314,IF($B$265=$B$3303,FY3314,IF($B$265=$B$3304,GA3314,IF($B$265=$B$3305,GC3314,IF($B$265=$B$3306,GE3314,IF($B$265=$B$3307,GG3314,IF($B$265=$B$3308,GI3314,IF($B$265=$B$3309,GK3314,IF($B$265=$B$3310,GM3314,IF($B$265=$B$3311,GO3314,IF($B$265=$B$3312,GQ3314,IF($B$265=$B$3313,GS3314,IF($B$265=$B$3314,GU3314,IF($B$265=$B$3315,GW3314,IF($B$265=$B$3316,GY3314,IF($B$265=$B$3317,HA3314,IF($B$265=$B$3318,HC3314,IF($B$265=$B$3319,HE3314,IF($B$265=$B$3320,HG3314,IF($B$265=$B$3321,HI3314,IF($B$265=$B$3322,HK3314,IF($B$265=$B$3323,HM3314,IF($B$265=$B$3324,HO3314,IF($B$265=$B$3325,HQ3314,IF($B$265=$B$3326,HS3314,IF($B$265=$B$3327,HU3314,IF($B$265=$B$3328,HW3314,IF($B$265=$B$3329,HY3314,""))))))))))))))))))))))))))))))))))))))))))))))))))))</f>
        <v/>
      </c>
      <c r="EB3314" t="s">
        <v>3311</v>
      </c>
      <c r="EC3314" s="471" t="s">
        <v>3288</v>
      </c>
      <c r="EH3314" t="s">
        <v>3363</v>
      </c>
      <c r="EI3314" s="473" t="s">
        <v>3294</v>
      </c>
      <c r="EJ3314" t="s">
        <v>3407</v>
      </c>
      <c r="EK3314" s="473" t="s">
        <v>3294</v>
      </c>
      <c r="EL3314" t="str">
        <f>EL3306</f>
        <v>Henry Solano</v>
      </c>
      <c r="EM3314" s="473" t="str">
        <f>EM3306</f>
        <v>D</v>
      </c>
    </row>
    <row r="3315" spans="1:143" ht="15.5" hidden="1" x14ac:dyDescent="0.35">
      <c r="A3315" s="417" t="s">
        <v>1204</v>
      </c>
      <c r="B3315" s="418" t="s">
        <v>1205</v>
      </c>
      <c r="C3315" s="427">
        <f t="shared" ref="C3315:C3320" si="151">C3314</f>
        <v>0</v>
      </c>
      <c r="D3315" s="427" t="s">
        <v>885</v>
      </c>
      <c r="E3315" s="427" t="s">
        <v>885</v>
      </c>
      <c r="G3315" s="420"/>
      <c r="H3315" s="420"/>
      <c r="I3315" s="420"/>
      <c r="J3315" s="420"/>
      <c r="K3315" s="420"/>
      <c r="L3315" s="420"/>
      <c r="M3315" s="420"/>
      <c r="N3315" s="420"/>
      <c r="O3315" s="420"/>
      <c r="P3315" s="420"/>
      <c r="Q3315" s="420"/>
      <c r="R3315" s="420"/>
      <c r="S3315" s="420"/>
      <c r="T3315" s="420"/>
      <c r="U3315" s="420"/>
      <c r="V3315" s="420"/>
      <c r="W3315" s="420"/>
      <c r="X3315" s="420"/>
      <c r="Y3315" s="420"/>
      <c r="Z3315" s="420"/>
      <c r="AA3315" s="411"/>
      <c r="AB3315" s="411" t="s">
        <v>1027</v>
      </c>
      <c r="AC3315" s="245" t="s">
        <v>885</v>
      </c>
      <c r="AD3315" s="245" t="s">
        <v>885</v>
      </c>
      <c r="AE3315" s="245" t="s">
        <v>885</v>
      </c>
      <c r="AF3315" s="245" t="s">
        <v>885</v>
      </c>
      <c r="AG3315" s="245" t="s">
        <v>885</v>
      </c>
      <c r="AH3315" s="245" t="s">
        <v>885</v>
      </c>
      <c r="AI3315" s="245" t="s">
        <v>885</v>
      </c>
      <c r="AJ3315" s="245" t="s">
        <v>885</v>
      </c>
      <c r="AK3315" s="245" t="s">
        <v>885</v>
      </c>
      <c r="AL3315" s="245" t="s">
        <v>885</v>
      </c>
      <c r="AM3315" s="245" t="s">
        <v>885</v>
      </c>
      <c r="AN3315" s="245" t="s">
        <v>885</v>
      </c>
      <c r="AO3315" s="245" t="s">
        <v>885</v>
      </c>
      <c r="AP3315" s="245" t="s">
        <v>885</v>
      </c>
      <c r="AQ3315" s="245" t="s">
        <v>885</v>
      </c>
      <c r="AR3315" s="245" t="s">
        <v>885</v>
      </c>
      <c r="AS3315" s="245" t="s">
        <v>885</v>
      </c>
      <c r="AT3315" s="245" t="s">
        <v>885</v>
      </c>
      <c r="AU3315" s="245" t="s">
        <v>885</v>
      </c>
      <c r="AV3315" s="245" t="s">
        <v>885</v>
      </c>
      <c r="AW3315" s="245" t="s">
        <v>885</v>
      </c>
      <c r="AX3315" s="48">
        <v>38</v>
      </c>
      <c r="BB3315" s="402">
        <f t="shared" ca="1" si="150"/>
        <v>0</v>
      </c>
      <c r="BF3315" s="423">
        <v>27646</v>
      </c>
      <c r="BG3315" s="415">
        <f t="shared" si="148"/>
        <v>0</v>
      </c>
      <c r="BH3315" s="415">
        <f t="shared" si="143"/>
        <v>0</v>
      </c>
      <c r="BI3315" s="365">
        <f t="shared" si="144"/>
        <v>0</v>
      </c>
      <c r="BJ3315" s="157">
        <f t="shared" si="149"/>
        <v>0</v>
      </c>
      <c r="BK3315" s="416">
        <f t="shared" si="145"/>
        <v>0</v>
      </c>
      <c r="BS3315" s="464" t="str">
        <f>IF($B$265=B$3278,BZ3314,IF($B$265=B$3279,CA3314,IF($B$265=B$3280,CB3314,IF($B$265=B$3281,CC3314,IF($B$265=B$3282,CD3314,IF($B$265=B$3283,CE3314,IF($B$265=B$3284,CF3314,IF($B$265=B$3285,CG3314,IF($B$265=B$3286,CH3314,IF($B$265=B$3287,CI3314,IF($B$265=B$3288,CJ3314,IF($B$265=B$3289,CK3314,IF($B$265=B$3290,CL3314,IF($B$265=B$3291,CM3314,IF($B$265=B$3292,CN3314,IF($B$265=B$3293,C3314,IF($B$265=B$3294,CO3314,IF($B$265=B$3295,CP3314,IF($B$265=B$3296,CQ3314,IF($B$265=B$3297,CR3314,IF($B$265=B$3298,CS3314,IF($B$265=B$3299,CT3314,IF(B$265=B$3300,CU3314,IF($B$265=B$3301,CV3314,IF($B$265=B$3302,CW3314,IF($B$265=B$3303,CX3314,IF($B$265=B$3304,CY3314,IF($B$265=B$3305,CZ3314,IF($B$265=B$3306,DA3314,IF($B$265=B$3307,DB3314,IF($B$265=B$3308,DC3314,IF($B$265=B$3309,DD3314,IF($B$265=B$3310,DE3314,IF($B$265=B$3311,DF3314,IF($B$265=B$3312,DG3314,IF($B$265=B$3313,DH3314,IF($B$265=B$3314,DI3314,IF($B$265=B$3315,DJ3314,IF($B$265=B$3316,DK3314,IF($B$265=B$3317,DL3314,IF($B$265=B$3318,DM3314,IF($B$265=B$3319,DN3314,IF($B$265=B$3320,DO3314,IF($B$265=B$3321,DP3314,IF($B$265=B$3322,DQ3314,IF($B$265=B$3323,DR3314,IF($B$265=B$3324,DS3314,IF($B$265=B$3325,DT3314,IF($B$265=B$3326,DU3314,IF($B$265=B$3327,DV3314,IF($B$265=B$3328,DW3314,IF($B$265=B$3329,DX3314,""))))))))))))))))))))))))))))))))))))))))))))))))))))</f>
        <v/>
      </c>
      <c r="BZ3315" s="48" t="s">
        <v>1468</v>
      </c>
      <c r="CA3315" s="245" t="s">
        <v>885</v>
      </c>
      <c r="CB3315" s="245" t="s">
        <v>885</v>
      </c>
      <c r="CC3315" t="s">
        <v>1470</v>
      </c>
      <c r="CD3315" t="s">
        <v>1620</v>
      </c>
      <c r="CE3315" t="s">
        <v>1556</v>
      </c>
      <c r="CF3315" s="245" t="s">
        <v>885</v>
      </c>
      <c r="CG3315" s="245" t="s">
        <v>885</v>
      </c>
      <c r="CH3315" s="245" t="s">
        <v>885</v>
      </c>
      <c r="CI3315" t="s">
        <v>1732</v>
      </c>
      <c r="CJ3315" t="s">
        <v>1781</v>
      </c>
      <c r="CK3315" s="459" t="s">
        <v>885</v>
      </c>
      <c r="CL3315" t="s">
        <v>1894</v>
      </c>
      <c r="CM3315" t="s">
        <v>1919</v>
      </c>
      <c r="CN3315" t="s">
        <v>1967</v>
      </c>
      <c r="CO3315" t="s">
        <v>1916</v>
      </c>
      <c r="CP3315" t="s">
        <v>1722</v>
      </c>
      <c r="CQ3315" t="s">
        <v>1546</v>
      </c>
      <c r="CR3315" t="s">
        <v>2199</v>
      </c>
      <c r="CS3315" s="459" t="s">
        <v>885</v>
      </c>
      <c r="CT3315" s="245" t="s">
        <v>885</v>
      </c>
      <c r="CU3315" t="s">
        <v>1466</v>
      </c>
      <c r="CV3315" t="s">
        <v>1600</v>
      </c>
      <c r="CW3315" t="s">
        <v>1469</v>
      </c>
      <c r="CX3315" t="s">
        <v>2425</v>
      </c>
      <c r="CY3315" t="s">
        <v>2478</v>
      </c>
      <c r="CZ3315" t="s">
        <v>1548</v>
      </c>
      <c r="DA3315" s="459" t="s">
        <v>885</v>
      </c>
      <c r="DB3315" s="459" t="s">
        <v>885</v>
      </c>
      <c r="DC3315" s="459" t="s">
        <v>885</v>
      </c>
      <c r="DD3315" s="459" t="s">
        <v>885</v>
      </c>
      <c r="DE3315" t="s">
        <v>2601</v>
      </c>
      <c r="DF3315" t="s">
        <v>1420</v>
      </c>
      <c r="DG3315" t="s">
        <v>2360</v>
      </c>
      <c r="DH3315" t="s">
        <v>1728</v>
      </c>
      <c r="DI3315" t="s">
        <v>1669</v>
      </c>
      <c r="DJ3315" s="459" t="s">
        <v>885</v>
      </c>
      <c r="DK3315" t="s">
        <v>2822</v>
      </c>
      <c r="DL3315" s="459" t="s">
        <v>885</v>
      </c>
      <c r="DM3315" t="s">
        <v>2862</v>
      </c>
      <c r="DN3315" t="s">
        <v>2887</v>
      </c>
      <c r="DO3315" t="s">
        <v>2646</v>
      </c>
      <c r="DP3315" t="s">
        <v>2956</v>
      </c>
      <c r="DQ3315" s="459" t="s">
        <v>885</v>
      </c>
      <c r="DR3315" s="459" t="s">
        <v>885</v>
      </c>
      <c r="DS3315" t="s">
        <v>3138</v>
      </c>
      <c r="DT3315" t="s">
        <v>3218</v>
      </c>
      <c r="DU3315" t="s">
        <v>2028</v>
      </c>
      <c r="DV3315" t="s">
        <v>3253</v>
      </c>
      <c r="DW3315" s="245" t="s">
        <v>885</v>
      </c>
      <c r="DX3315" s="245" t="s">
        <v>885</v>
      </c>
      <c r="DY3315" s="245"/>
      <c r="DZ3315" s="470" t="str">
        <f>IF($B$265=$B$3278,EB3315,IF($B$265=$B$3279,ED3315,IF($B$265=$B$3280,EF3315,IF($B$265=$B$3281,EH3315,IF($B$265=$B$3282,EJ3315,IF($B$265=$B$3283,EL3315,IF($B$265=$B$3284,EN3315,IF($B$265=$B$3285,EP3315,IF($B$265=$B$3286,ER3315,IF($B$265=$B$3287,ET3315,IF($B$265=$B$3288,EV3315,IF($B$265=$B$3289,EX3315,IF($B$265=$B$3290,EZ3315,IF($B$265=$B$3291,FB3315,IF($B$265=$B$3292,FD3315,IF($B$265=$B$3293,BU3315,IF($B$265=$B$3294,FF3315,IF($B$265=$B$3295,FH3315,IF($B$265=$B$3296,FJ3315,IF($B$265=$B$3297,FL3315,IF($B$265=$B$3298,FN3315,IF($B$265=$B$3299,FP3315,IF(BI$265=$B$3300,FR3315,IF($B$265=$B$3301,FT3315,IF($B$265=$B$3302,FV3315,IF($B$265=$B$3303,FX3315,IF($B$265=$B$3304,FZ3315,IF($B$265=$B$3305,GB3315,IF($B$265=$B$3306,GD3315,IF($B$265=$B$3307,GF3315,IF($B$265=$B$3308,GH3315,IF($B$265=$B$3309,GJ3315,IF($B$265=$B$3310,GL3315,IF($B$265=$B$3311,GN3315,IF($B$265=$B$3312,GP3315,IF($B$265=$B$3313,GR3315,IF($B$265=$B$3314,GT3315,IF($B$265=$B$3315,GV3315,IF($B$265=$B$3316,GX3315,IF($B$265=$B$3317,GZ3315,IF($B$265=$B$3318,HB3315,IF($B$265=$B$3319,HD3315,IF($B$265=$B$3320,HF3315,IF($B$265=$B$3321,HH3315,IF($B$265=$B$3322,HJ3315,IF($B$265=$B$3323,HL3315,IF($B$265=$B$3324,HN3315,IF($B$265=$B$3325,HP3315,IF($B$265=$B$3326,HR3315,IF($B$265=$B$3327,HT3315,IF($B$265=$B$3328,HV3315,IF($B$265=$B$3329,HX3315,""))))))))))))))))))))))))))))))))))))))))))))))))))))</f>
        <v/>
      </c>
      <c r="EA3315" s="470" t="str">
        <f>IF($B$265=$B$3278,EC3315,IF($B$265=$B$3279,EE3315,IF($B$265=$B$3280,EG3315,IF($B$265=$B$3281,EI3315,IF($B$265=$B$3282,EK3315,IF($B$265=$B$3283,EM3315,IF($B$265=$B$3284,EO3315,IF($B$265=$B$3285,EQ3315,IF($B$265=$B$3286,ES3315,IF($B$265=$B$3287,EU3315,IF($B$265=$B$3288,EW3315,IF($B$265=$B$3289,EY3315,IF($B$265=$B$3290,FA3315,IF($B$265=$B$3291,FC3315,IF($B$265=$B$3292,FE3315,IF($B$265=$B$3293,BK3315,IF($B$265=$B$3294,FG3315,IF($B$265=$B$3295,FI3315,IF($B$265=$B$3296,FK3315,IF($B$265=$B$3297,FM3315,IF($B$265=$B$3298,FO3315,IF($B$265=$B$3299,FQ3315,IF(BJ$265=$B$3300,FS3315,IF($B$265=$B$3301,FU3315,IF($B$265=$B$3302,FW3315,IF($B$265=$B$3303,FY3315,IF($B$265=$B$3304,GA3315,IF($B$265=$B$3305,GC3315,IF($B$265=$B$3306,GE3315,IF($B$265=$B$3307,GG3315,IF($B$265=$B$3308,GI3315,IF($B$265=$B$3309,GK3315,IF($B$265=$B$3310,GM3315,IF($B$265=$B$3311,GO3315,IF($B$265=$B$3312,GQ3315,IF($B$265=$B$3313,GS3315,IF($B$265=$B$3314,GU3315,IF($B$265=$B$3315,GW3315,IF($B$265=$B$3316,GY3315,IF($B$265=$B$3317,HA3315,IF($B$265=$B$3318,HC3315,IF($B$265=$B$3319,HE3315,IF($B$265=$B$3320,HG3315,IF($B$265=$B$3321,HI3315,IF($B$265=$B$3322,HK3315,IF($B$265=$B$3323,HM3315,IF($B$265=$B$3324,HO3315,IF($B$265=$B$3325,HQ3315,IF($B$265=$B$3326,HS3315,IF($B$265=$B$3327,HU3315,IF($B$265=$B$3328,HW3315,IF($B$265=$B$3329,HY3315,""))))))))))))))))))))))))))))))))))))))))))))))))))))</f>
        <v/>
      </c>
      <c r="EB3315" t="str">
        <f>EB3306</f>
        <v>Andy Hamlin</v>
      </c>
      <c r="EC3315" t="str">
        <f>EC3306</f>
        <v>n</v>
      </c>
      <c r="EH3315" t="str">
        <f>EH3311</f>
        <v>Henry H. Boyce</v>
      </c>
      <c r="EI3315" s="473" t="s">
        <v>3294</v>
      </c>
      <c r="EJ3315" t="s">
        <v>3408</v>
      </c>
      <c r="EK3315" s="473" t="s">
        <v>3294</v>
      </c>
      <c r="EL3315" t="str">
        <f>EL3299</f>
        <v>John Kellner</v>
      </c>
      <c r="EM3315" s="473" t="str">
        <f>EM3299</f>
        <v>R</v>
      </c>
    </row>
    <row r="3316" spans="1:143" ht="15.5" hidden="1" x14ac:dyDescent="0.35">
      <c r="A3316" s="417" t="s">
        <v>1206</v>
      </c>
      <c r="B3316" s="418" t="s">
        <v>1207</v>
      </c>
      <c r="C3316" s="427">
        <f t="shared" si="151"/>
        <v>0</v>
      </c>
      <c r="D3316" s="427" t="s">
        <v>885</v>
      </c>
      <c r="E3316" s="427" t="s">
        <v>885</v>
      </c>
      <c r="G3316" s="420"/>
      <c r="H3316" s="420"/>
      <c r="I3316" s="420"/>
      <c r="J3316" s="420"/>
      <c r="K3316" s="420"/>
      <c r="L3316" s="420"/>
      <c r="M3316" s="420"/>
      <c r="N3316" s="420"/>
      <c r="O3316" s="420"/>
      <c r="P3316" s="420"/>
      <c r="Q3316" s="420"/>
      <c r="R3316" s="420"/>
      <c r="S3316" s="420"/>
      <c r="T3316" s="420"/>
      <c r="U3316" s="420"/>
      <c r="V3316" s="420"/>
      <c r="W3316" s="420"/>
      <c r="X3316" s="420"/>
      <c r="Y3316" s="420"/>
      <c r="Z3316" s="420"/>
      <c r="AA3316" s="411"/>
      <c r="AB3316" s="411" t="s">
        <v>1027</v>
      </c>
      <c r="AC3316" s="245" t="s">
        <v>885</v>
      </c>
      <c r="AD3316" s="245" t="s">
        <v>885</v>
      </c>
      <c r="AE3316" s="245" t="s">
        <v>885</v>
      </c>
      <c r="AF3316" s="245" t="s">
        <v>885</v>
      </c>
      <c r="AG3316" s="245" t="s">
        <v>885</v>
      </c>
      <c r="AH3316" s="245" t="s">
        <v>885</v>
      </c>
      <c r="AI3316" s="245" t="s">
        <v>885</v>
      </c>
      <c r="AJ3316" s="245" t="s">
        <v>885</v>
      </c>
      <c r="AK3316" s="245" t="s">
        <v>885</v>
      </c>
      <c r="AL3316" s="245" t="s">
        <v>885</v>
      </c>
      <c r="AM3316" s="245" t="s">
        <v>885</v>
      </c>
      <c r="AN3316" s="245" t="s">
        <v>885</v>
      </c>
      <c r="AO3316" s="245" t="s">
        <v>885</v>
      </c>
      <c r="AP3316" s="245" t="s">
        <v>885</v>
      </c>
      <c r="AQ3316" s="245" t="s">
        <v>885</v>
      </c>
      <c r="AR3316" s="245" t="s">
        <v>885</v>
      </c>
      <c r="AS3316" s="245" t="s">
        <v>885</v>
      </c>
      <c r="AT3316" s="245" t="s">
        <v>885</v>
      </c>
      <c r="AU3316" s="245" t="s">
        <v>885</v>
      </c>
      <c r="AV3316" s="245" t="s">
        <v>885</v>
      </c>
      <c r="AW3316" s="245" t="s">
        <v>885</v>
      </c>
      <c r="AX3316" s="48">
        <v>39</v>
      </c>
      <c r="BB3316" s="402">
        <f t="shared" ca="1" si="150"/>
        <v>0</v>
      </c>
      <c r="BF3316" s="423">
        <v>29220</v>
      </c>
      <c r="BG3316" s="415">
        <f t="shared" si="148"/>
        <v>0</v>
      </c>
      <c r="BH3316" s="415">
        <f t="shared" si="143"/>
        <v>0</v>
      </c>
      <c r="BI3316" s="365">
        <f t="shared" si="144"/>
        <v>0</v>
      </c>
      <c r="BJ3316" s="157">
        <f t="shared" si="149"/>
        <v>0</v>
      </c>
      <c r="BK3316" s="416">
        <f t="shared" si="145"/>
        <v>0</v>
      </c>
      <c r="BS3316" s="464" t="str">
        <f>IF($B$265=B$3278,BZ3315,IF($B$265=B$3279,CA3315,IF($B$265=B$3280,CB3315,IF($B$265=B$3281,CC3315,IF($B$265=B$3282,CD3315,IF($B$265=B$3283,CE3315,IF($B$265=B$3284,CF3315,IF($B$265=B$3285,CG3315,IF($B$265=B$3286,CH3315,IF($B$265=B$3287,CI3315,IF($B$265=B$3288,CJ3315,IF($B$265=B$3289,CK3315,IF($B$265=B$3290,CL3315,IF($B$265=B$3291,CM3315,IF($B$265=B$3292,CN3315,IF($B$265=B$3293,C3315,IF($B$265=B$3294,CO3315,IF($B$265=B$3295,CP3315,IF($B$265=B$3296,CQ3315,IF($B$265=B$3297,CR3315,IF($B$265=B$3298,CS3315,IF($B$265=B$3299,CT3315,IF(B$265=B$3300,CU3315,IF($B$265=B$3301,CV3315,IF($B$265=B$3302,CW3315,IF($B$265=B$3303,CX3315,IF($B$265=B$3304,CY3315,IF($B$265=B$3305,CZ3315,IF($B$265=B$3306,DA3315,IF($B$265=B$3307,DB3315,IF($B$265=B$3308,DC3315,IF($B$265=B$3309,DD3315,IF($B$265=B$3310,DE3315,IF($B$265=B$3311,DF3315,IF($B$265=B$3312,DG3315,IF($B$265=B$3313,DH3315,IF($B$265=B$3314,DI3315,IF($B$265=B$3315,DJ3315,IF($B$265=B$3316,DK3315,IF($B$265=B$3317,DL3315,IF($B$265=B$3318,DM3315,IF($B$265=B$3319,DN3315,IF($B$265=B$3320,DO3315,IF($B$265=B$3321,DP3315,IF($B$265=B$3322,DQ3315,IF($B$265=B$3323,DR3315,IF($B$265=B$3324,DS3315,IF($B$265=B$3325,DT3315,IF($B$265=B$3326,DU3315,IF($B$265=B$3327,DV3315,IF($B$265=B$3328,DW3315,IF($B$265=B$3329,DX3315,""))))))))))))))))))))))))))))))))))))))))))))))))))))</f>
        <v/>
      </c>
      <c r="BZ3316" s="48" t="s">
        <v>1469</v>
      </c>
      <c r="CA3316" s="245" t="s">
        <v>885</v>
      </c>
      <c r="CB3316" s="245" t="s">
        <v>885</v>
      </c>
      <c r="CC3316" t="s">
        <v>1471</v>
      </c>
      <c r="CD3316" t="s">
        <v>1621</v>
      </c>
      <c r="CE3316" t="s">
        <v>1558</v>
      </c>
      <c r="CF3316" s="245" t="s">
        <v>885</v>
      </c>
      <c r="CG3316" s="245" t="s">
        <v>885</v>
      </c>
      <c r="CH3316" s="245" t="s">
        <v>885</v>
      </c>
      <c r="CI3316" t="s">
        <v>1475</v>
      </c>
      <c r="CJ3316" t="s">
        <v>1540</v>
      </c>
      <c r="CK3316" s="459" t="s">
        <v>885</v>
      </c>
      <c r="CL3316" t="s">
        <v>1895</v>
      </c>
      <c r="CM3316" t="s">
        <v>1466</v>
      </c>
      <c r="CN3316" t="s">
        <v>1467</v>
      </c>
      <c r="CO3316" t="s">
        <v>2011</v>
      </c>
      <c r="CP3316" t="s">
        <v>2061</v>
      </c>
      <c r="CQ3316" t="s">
        <v>1915</v>
      </c>
      <c r="CR3316" t="s">
        <v>2200</v>
      </c>
      <c r="CS3316" s="459" t="s">
        <v>885</v>
      </c>
      <c r="CT3316" s="245" t="s">
        <v>885</v>
      </c>
      <c r="CU3316" t="s">
        <v>2282</v>
      </c>
      <c r="CV3316" t="s">
        <v>2341</v>
      </c>
      <c r="CW3316" t="s">
        <v>1470</v>
      </c>
      <c r="CX3316" t="s">
        <v>1462</v>
      </c>
      <c r="CY3316" t="s">
        <v>2153</v>
      </c>
      <c r="CZ3316" t="s">
        <v>2059</v>
      </c>
      <c r="DA3316" s="459" t="s">
        <v>885</v>
      </c>
      <c r="DB3316" s="459" t="s">
        <v>885</v>
      </c>
      <c r="DC3316" s="459" t="s">
        <v>885</v>
      </c>
      <c r="DD3316" s="459" t="s">
        <v>885</v>
      </c>
      <c r="DE3316" t="s">
        <v>2306</v>
      </c>
      <c r="DF3316" t="s">
        <v>2642</v>
      </c>
      <c r="DG3316" t="s">
        <v>1940</v>
      </c>
      <c r="DH3316" t="s">
        <v>2276</v>
      </c>
      <c r="DI3316" t="s">
        <v>2764</v>
      </c>
      <c r="DJ3316" s="459" t="s">
        <v>885</v>
      </c>
      <c r="DK3316" t="s">
        <v>2823</v>
      </c>
      <c r="DL3316" s="459" t="s">
        <v>885</v>
      </c>
      <c r="DM3316" t="s">
        <v>1484</v>
      </c>
      <c r="DN3316" t="s">
        <v>1600</v>
      </c>
      <c r="DO3316" t="s">
        <v>1918</v>
      </c>
      <c r="DP3316" t="s">
        <v>1444</v>
      </c>
      <c r="DQ3316" s="459" t="s">
        <v>885</v>
      </c>
      <c r="DR3316" s="459" t="s">
        <v>885</v>
      </c>
      <c r="DS3316" t="s">
        <v>3139</v>
      </c>
      <c r="DT3316" t="s">
        <v>3219</v>
      </c>
      <c r="DU3316" t="s">
        <v>3230</v>
      </c>
      <c r="DV3316" t="s">
        <v>2292</v>
      </c>
      <c r="DW3316" s="245" t="s">
        <v>885</v>
      </c>
      <c r="DX3316" s="245" t="s">
        <v>885</v>
      </c>
      <c r="DY3316" s="245"/>
      <c r="DZ3316" s="470" t="str">
        <f>IF($B$265=$B$3278,EB3316,IF($B$265=$B$3279,ED3316,IF($B$265=$B$3280,EF3316,IF($B$265=$B$3281,EH3316,IF($B$265=$B$3282,EJ3316,IF($B$265=$B$3283,EL3316,IF($B$265=$B$3284,EN3316,IF($B$265=$B$3285,EP3316,IF($B$265=$B$3286,ER3316,IF($B$265=$B$3287,ET3316,IF($B$265=$B$3288,EV3316,IF($B$265=$B$3289,EX3316,IF($B$265=$B$3290,EZ3316,IF($B$265=$B$3291,FB3316,IF($B$265=$B$3292,FD3316,IF($B$265=$B$3293,BU3316,IF($B$265=$B$3294,FF3316,IF($B$265=$B$3295,FH3316,IF($B$265=$B$3296,FJ3316,IF($B$265=$B$3297,FL3316,IF($B$265=$B$3298,FN3316,IF($B$265=$B$3299,FP3316,IF(BI$265=$B$3300,FR3316,IF($B$265=$B$3301,FT3316,IF($B$265=$B$3302,FV3316,IF($B$265=$B$3303,FX3316,IF($B$265=$B$3304,FZ3316,IF($B$265=$B$3305,GB3316,IF($B$265=$B$3306,GD3316,IF($B$265=$B$3307,GF3316,IF($B$265=$B$3308,GH3316,IF($B$265=$B$3309,GJ3316,IF($B$265=$B$3310,GL3316,IF($B$265=$B$3311,GN3316,IF($B$265=$B$3312,GP3316,IF($B$265=$B$3313,GR3316,IF($B$265=$B$3314,GT3316,IF($B$265=$B$3315,GV3316,IF($B$265=$B$3316,GX3316,IF($B$265=$B$3317,GZ3316,IF($B$265=$B$3318,HB3316,IF($B$265=$B$3319,HD3316,IF($B$265=$B$3320,HF3316,IF($B$265=$B$3321,HH3316,IF($B$265=$B$3322,HJ3316,IF($B$265=$B$3323,HL3316,IF($B$265=$B$3324,HN3316,IF($B$265=$B$3325,HP3316,IF($B$265=$B$3326,HR3316,IF($B$265=$B$3327,HT3316,IF($B$265=$B$3328,HV3316,IF($B$265=$B$3329,HX3316,""))))))))))))))))))))))))))))))))))))))))))))))))))))</f>
        <v/>
      </c>
      <c r="EA3316" s="470" t="str">
        <f>IF($B$265=$B$3278,EC3316,IF($B$265=$B$3279,EE3316,IF($B$265=$B$3280,EG3316,IF($B$265=$B$3281,EI3316,IF($B$265=$B$3282,EK3316,IF($B$265=$B$3283,EM3316,IF($B$265=$B$3284,EO3316,IF($B$265=$B$3285,EQ3316,IF($B$265=$B$3286,ES3316,IF($B$265=$B$3287,EU3316,IF($B$265=$B$3288,EW3316,IF($B$265=$B$3289,EY3316,IF($B$265=$B$3290,FA3316,IF($B$265=$B$3291,FC3316,IF($B$265=$B$3292,FE3316,IF($B$265=$B$3293,BK3316,IF($B$265=$B$3294,FG3316,IF($B$265=$B$3295,FI3316,IF($B$265=$B$3296,FK3316,IF($B$265=$B$3297,FM3316,IF($B$265=$B$3298,FO3316,IF($B$265=$B$3299,FQ3316,IF(BJ$265=$B$3300,FS3316,IF($B$265=$B$3301,FU3316,IF($B$265=$B$3302,FW3316,IF($B$265=$B$3303,FY3316,IF($B$265=$B$3304,GA3316,IF($B$265=$B$3305,GC3316,IF($B$265=$B$3306,GE3316,IF($B$265=$B$3307,GG3316,IF($B$265=$B$3308,GI3316,IF($B$265=$B$3309,GK3316,IF($B$265=$B$3310,GM3316,IF($B$265=$B$3311,GO3316,IF($B$265=$B$3312,GQ3316,IF($B$265=$B$3313,GS3316,IF($B$265=$B$3314,GU3316,IF($B$265=$B$3315,GW3316,IF($B$265=$B$3316,GY3316,IF($B$265=$B$3317,HA3316,IF($B$265=$B$3318,HC3316,IF($B$265=$B$3319,HE3316,IF($B$265=$B$3320,HG3316,IF($B$265=$B$3321,HI3316,IF($B$265=$B$3322,HK3316,IF($B$265=$B$3323,HM3316,IF($B$265=$B$3324,HO3316,IF($B$265=$B$3325,HQ3316,IF($B$265=$B$3326,HS3316,IF($B$265=$B$3327,HU3316,IF($B$265=$B$3328,HW3316,IF($B$265=$B$3329,HY3316,""))))))))))))))))))))))))))))))))))))))))))))))))))))</f>
        <v/>
      </c>
      <c r="EB3316" t="s">
        <v>3312</v>
      </c>
      <c r="EC3316" s="471" t="s">
        <v>3283</v>
      </c>
      <c r="EH3316" t="str">
        <f>EH3296</f>
        <v>Todd Murray</v>
      </c>
      <c r="EI3316" s="473" t="s">
        <v>3294</v>
      </c>
      <c r="EJ3316" t="s">
        <v>3409</v>
      </c>
      <c r="EK3316" s="473" t="s">
        <v>3294</v>
      </c>
      <c r="EL3316" t="str">
        <f>EL3310</f>
        <v>Travis Sides</v>
      </c>
      <c r="EM3316" s="473" t="str">
        <f>EM3310</f>
        <v>R</v>
      </c>
    </row>
    <row r="3317" spans="1:143" ht="15.5" hidden="1" x14ac:dyDescent="0.35">
      <c r="A3317" s="417" t="s">
        <v>1208</v>
      </c>
      <c r="B3317" s="418" t="s">
        <v>1209</v>
      </c>
      <c r="C3317" s="427">
        <f t="shared" si="151"/>
        <v>0</v>
      </c>
      <c r="D3317" s="427" t="s">
        <v>885</v>
      </c>
      <c r="E3317" s="427" t="s">
        <v>885</v>
      </c>
      <c r="G3317" s="420"/>
      <c r="H3317" s="420"/>
      <c r="I3317" s="420"/>
      <c r="J3317" s="420"/>
      <c r="K3317" s="420"/>
      <c r="L3317" s="420"/>
      <c r="M3317" s="420"/>
      <c r="N3317" s="420"/>
      <c r="O3317" s="420"/>
      <c r="P3317" s="420"/>
      <c r="Q3317" s="420"/>
      <c r="R3317" s="420"/>
      <c r="S3317" s="420"/>
      <c r="T3317" s="420"/>
      <c r="U3317" s="420"/>
      <c r="V3317" s="420"/>
      <c r="W3317" s="420"/>
      <c r="X3317" s="420"/>
      <c r="Y3317" s="420"/>
      <c r="Z3317" s="420"/>
      <c r="AA3317" s="411"/>
      <c r="AB3317" s="411" t="s">
        <v>1027</v>
      </c>
      <c r="AC3317" s="245" t="s">
        <v>885</v>
      </c>
      <c r="AD3317" s="245" t="s">
        <v>885</v>
      </c>
      <c r="AE3317" s="245" t="s">
        <v>885</v>
      </c>
      <c r="AF3317" s="245" t="s">
        <v>885</v>
      </c>
      <c r="AG3317" s="245" t="s">
        <v>885</v>
      </c>
      <c r="AH3317" s="245" t="s">
        <v>885</v>
      </c>
      <c r="AI3317" s="245" t="s">
        <v>885</v>
      </c>
      <c r="AJ3317" s="245" t="s">
        <v>885</v>
      </c>
      <c r="AK3317" s="245" t="s">
        <v>885</v>
      </c>
      <c r="AL3317" s="245" t="s">
        <v>885</v>
      </c>
      <c r="AM3317" s="245" t="s">
        <v>885</v>
      </c>
      <c r="AN3317" s="245" t="s">
        <v>885</v>
      </c>
      <c r="AO3317" s="245" t="s">
        <v>885</v>
      </c>
      <c r="AP3317" s="245" t="s">
        <v>885</v>
      </c>
      <c r="AQ3317" s="245" t="s">
        <v>885</v>
      </c>
      <c r="AR3317" s="245" t="s">
        <v>885</v>
      </c>
      <c r="AS3317" s="245" t="s">
        <v>885</v>
      </c>
      <c r="AT3317" s="245" t="s">
        <v>885</v>
      </c>
      <c r="AU3317" s="245" t="s">
        <v>885</v>
      </c>
      <c r="AV3317" s="245" t="s">
        <v>885</v>
      </c>
      <c r="AW3317" s="245" t="s">
        <v>885</v>
      </c>
      <c r="AX3317" s="48">
        <v>40</v>
      </c>
      <c r="BB3317" s="402">
        <f t="shared" ca="1" si="150"/>
        <v>0</v>
      </c>
      <c r="BF3317" s="423">
        <v>30830</v>
      </c>
      <c r="BG3317" s="415">
        <f t="shared" si="148"/>
        <v>0</v>
      </c>
      <c r="BH3317" s="415">
        <f t="shared" si="143"/>
        <v>0</v>
      </c>
      <c r="BI3317" s="365">
        <f t="shared" si="144"/>
        <v>0</v>
      </c>
      <c r="BJ3317" s="157">
        <f t="shared" si="149"/>
        <v>0</v>
      </c>
      <c r="BK3317" s="416">
        <f t="shared" si="145"/>
        <v>0</v>
      </c>
      <c r="BS3317" s="464" t="str">
        <f>IF($B$265=B$3278,BZ3316,IF($B$265=B$3279,CA3316,IF($B$265=B$3280,CB3316,IF($B$265=B$3281,CC3316,IF($B$265=B$3282,CD3316,IF($B$265=B$3283,CE3316,IF($B$265=B$3284,CF3316,IF($B$265=B$3285,CG3316,IF($B$265=B$3286,CH3316,IF($B$265=B$3287,CI3316,IF($B$265=B$3288,CJ3316,IF($B$265=B$3289,CK3316,IF($B$265=B$3290,CL3316,IF($B$265=B$3291,CM3316,IF($B$265=B$3292,CN3316,IF($B$265=B$3293,C3316,IF($B$265=B$3294,CO3316,IF($B$265=B$3295,CP3316,IF($B$265=B$3296,CQ3316,IF($B$265=B$3297,CR3316,IF($B$265=B$3298,CS3316,IF($B$265=B$3299,CT3316,IF(B$265=B$3300,CU3316,IF($B$265=B$3301,CV3316,IF($B$265=B$3302,CW3316,IF($B$265=B$3303,CX3316,IF($B$265=B$3304,CY3316,IF($B$265=B$3305,CZ3316,IF($B$265=B$3306,DA3316,IF($B$265=B$3307,DB3316,IF($B$265=B$3308,DC3316,IF($B$265=B$3309,DD3316,IF($B$265=B$3310,DE3316,IF($B$265=B$3311,DF3316,IF($B$265=B$3312,DG3316,IF($B$265=B$3313,DH3316,IF($B$265=B$3314,DI3316,IF($B$265=B$3315,DJ3316,IF($B$265=B$3316,DK3316,IF($B$265=B$3317,DL3316,IF($B$265=B$3318,DM3316,IF($B$265=B$3319,DN3316,IF($B$265=B$3320,DO3316,IF($B$265=B$3321,DP3316,IF($B$265=B$3322,DQ3316,IF($B$265=B$3323,DR3316,IF($B$265=B$3324,DS3316,IF($B$265=B$3325,DT3316,IF($B$265=B$3326,DU3316,IF($B$265=B$3327,DV3316,IF($B$265=B$3328,DW3316,IF($B$265=B$3329,DX3316,""))))))))))))))))))))))))))))))))))))))))))))))))))))</f>
        <v/>
      </c>
      <c r="BZ3317" s="48" t="s">
        <v>1470</v>
      </c>
      <c r="CA3317" s="245" t="s">
        <v>885</v>
      </c>
      <c r="CB3317" s="245" t="s">
        <v>885</v>
      </c>
      <c r="CC3317" t="s">
        <v>1556</v>
      </c>
      <c r="CD3317" t="s">
        <v>1622</v>
      </c>
      <c r="CE3317" t="s">
        <v>1674</v>
      </c>
      <c r="CF3317" s="245" t="s">
        <v>885</v>
      </c>
      <c r="CG3317" s="245" t="s">
        <v>885</v>
      </c>
      <c r="CH3317" s="245" t="s">
        <v>885</v>
      </c>
      <c r="CI3317" t="s">
        <v>1733</v>
      </c>
      <c r="CJ3317" t="s">
        <v>1782</v>
      </c>
      <c r="CK3317" s="459" t="s">
        <v>885</v>
      </c>
      <c r="CL3317" t="s">
        <v>1896</v>
      </c>
      <c r="CM3317" t="s">
        <v>1811</v>
      </c>
      <c r="CN3317" t="s">
        <v>1968</v>
      </c>
      <c r="CO3317" t="s">
        <v>1722</v>
      </c>
      <c r="CP3317" t="s">
        <v>2062</v>
      </c>
      <c r="CQ3317" t="s">
        <v>2127</v>
      </c>
      <c r="CR3317" t="s">
        <v>2201</v>
      </c>
      <c r="CS3317" s="459" t="s">
        <v>885</v>
      </c>
      <c r="CT3317" s="245" t="s">
        <v>885</v>
      </c>
      <c r="CU3317" t="s">
        <v>2283</v>
      </c>
      <c r="CV3317" t="s">
        <v>2342</v>
      </c>
      <c r="CW3317" t="s">
        <v>2393</v>
      </c>
      <c r="CX3317" t="s">
        <v>1916</v>
      </c>
      <c r="CY3317" t="s">
        <v>1569</v>
      </c>
      <c r="CZ3317" t="s">
        <v>1804</v>
      </c>
      <c r="DA3317" s="459" t="s">
        <v>885</v>
      </c>
      <c r="DB3317" s="459" t="s">
        <v>885</v>
      </c>
      <c r="DC3317" s="459" t="s">
        <v>885</v>
      </c>
      <c r="DD3317" s="459" t="s">
        <v>885</v>
      </c>
      <c r="DE3317" t="s">
        <v>1743</v>
      </c>
      <c r="DF3317" t="s">
        <v>1462</v>
      </c>
      <c r="DG3317" t="s">
        <v>2702</v>
      </c>
      <c r="DH3317" t="s">
        <v>1466</v>
      </c>
      <c r="DI3317" t="s">
        <v>2765</v>
      </c>
      <c r="DJ3317" s="459" t="s">
        <v>885</v>
      </c>
      <c r="DK3317" t="s">
        <v>2824</v>
      </c>
      <c r="DL3317" s="459" t="s">
        <v>885</v>
      </c>
      <c r="DM3317" t="s">
        <v>1940</v>
      </c>
      <c r="DN3317" t="s">
        <v>1470</v>
      </c>
      <c r="DO3317" t="s">
        <v>1464</v>
      </c>
      <c r="DP3317" t="s">
        <v>2957</v>
      </c>
      <c r="DQ3317" s="459" t="s">
        <v>885</v>
      </c>
      <c r="DR3317" s="459" t="s">
        <v>885</v>
      </c>
      <c r="DS3317" t="s">
        <v>3140</v>
      </c>
      <c r="DT3317" s="459" t="s">
        <v>885</v>
      </c>
      <c r="DU3317" t="s">
        <v>1743</v>
      </c>
      <c r="DV3317" t="s">
        <v>2294</v>
      </c>
      <c r="DW3317" s="245" t="s">
        <v>885</v>
      </c>
      <c r="DX3317" s="245" t="s">
        <v>885</v>
      </c>
      <c r="DY3317" s="245"/>
      <c r="DZ3317" s="470" t="str">
        <f>IF($B$265=$B$3278,EB3317,IF($B$265=$B$3279,ED3317,IF($B$265=$B$3280,EF3317,IF($B$265=$B$3281,EH3317,IF($B$265=$B$3282,EJ3317,IF($B$265=$B$3283,EL3317,IF($B$265=$B$3284,EN3317,IF($B$265=$B$3285,EP3317,IF($B$265=$B$3286,ER3317,IF($B$265=$B$3287,ET3317,IF($B$265=$B$3288,EV3317,IF($B$265=$B$3289,EX3317,IF($B$265=$B$3290,EZ3317,IF($B$265=$B$3291,FB3317,IF($B$265=$B$3292,FD3317,IF($B$265=$B$3293,BU3317,IF($B$265=$B$3294,FF3317,IF($B$265=$B$3295,FH3317,IF($B$265=$B$3296,FJ3317,IF($B$265=$B$3297,FL3317,IF($B$265=$B$3298,FN3317,IF($B$265=$B$3299,FP3317,IF(BI$265=$B$3300,FR3317,IF($B$265=$B$3301,FT3317,IF($B$265=$B$3302,FV3317,IF($B$265=$B$3303,FX3317,IF($B$265=$B$3304,FZ3317,IF($B$265=$B$3305,GB3317,IF($B$265=$B$3306,GD3317,IF($B$265=$B$3307,GF3317,IF($B$265=$B$3308,GH3317,IF($B$265=$B$3309,GJ3317,IF($B$265=$B$3310,GL3317,IF($B$265=$B$3311,GN3317,IF($B$265=$B$3312,GP3317,IF($B$265=$B$3313,GR3317,IF($B$265=$B$3314,GT3317,IF($B$265=$B$3315,GV3317,IF($B$265=$B$3316,GX3317,IF($B$265=$B$3317,GZ3317,IF($B$265=$B$3318,HB3317,IF($B$265=$B$3319,HD3317,IF($B$265=$B$3320,HF3317,IF($B$265=$B$3321,HH3317,IF($B$265=$B$3322,HJ3317,IF($B$265=$B$3323,HL3317,IF($B$265=$B$3324,HN3317,IF($B$265=$B$3325,HP3317,IF($B$265=$B$3326,HR3317,IF($B$265=$B$3327,HT3317,IF($B$265=$B$3328,HV3317,IF($B$265=$B$3329,HX3317,""))))))))))))))))))))))))))))))))))))))))))))))))))))</f>
        <v/>
      </c>
      <c r="EA3317" s="470" t="str">
        <f>IF($B$265=$B$3278,EC3317,IF($B$265=$B$3279,EE3317,IF($B$265=$B$3280,EG3317,IF($B$265=$B$3281,EI3317,IF($B$265=$B$3282,EK3317,IF($B$265=$B$3283,EM3317,IF($B$265=$B$3284,EO3317,IF($B$265=$B$3285,EQ3317,IF($B$265=$B$3286,ES3317,IF($B$265=$B$3287,EU3317,IF($B$265=$B$3288,EW3317,IF($B$265=$B$3289,EY3317,IF($B$265=$B$3290,FA3317,IF($B$265=$B$3291,FC3317,IF($B$265=$B$3292,FE3317,IF($B$265=$B$3293,BK3317,IF($B$265=$B$3294,FG3317,IF($B$265=$B$3295,FI3317,IF($B$265=$B$3296,FK3317,IF($B$265=$B$3297,FM3317,IF($B$265=$B$3298,FO3317,IF($B$265=$B$3299,FQ3317,IF(BJ$265=$B$3300,FS3317,IF($B$265=$B$3301,FU3317,IF($B$265=$B$3302,FW3317,IF($B$265=$B$3303,FY3317,IF($B$265=$B$3304,GA3317,IF($B$265=$B$3305,GC3317,IF($B$265=$B$3306,GE3317,IF($B$265=$B$3307,GG3317,IF($B$265=$B$3308,GI3317,IF($B$265=$B$3309,GK3317,IF($B$265=$B$3310,GM3317,IF($B$265=$B$3311,GO3317,IF($B$265=$B$3312,GQ3317,IF($B$265=$B$3313,GS3317,IF($B$265=$B$3314,GU3317,IF($B$265=$B$3315,GW3317,IF($B$265=$B$3316,GY3317,IF($B$265=$B$3317,HA3317,IF($B$265=$B$3318,HC3317,IF($B$265=$B$3319,HE3317,IF($B$265=$B$3320,HG3317,IF($B$265=$B$3321,HI3317,IF($B$265=$B$3322,HK3317,IF($B$265=$B$3323,HM3317,IF($B$265=$B$3324,HO3317,IF($B$265=$B$3325,HQ3317,IF($B$265=$B$3326,HS3317,IF($B$265=$B$3327,HU3317,IF($B$265=$B$3328,HW3317,IF($B$265=$B$3329,HY3317,""))))))))))))))))))))))))))))))))))))))))))))))))))))</f>
        <v/>
      </c>
      <c r="EB3317" t="s">
        <v>3313</v>
      </c>
      <c r="EC3317" s="471" t="s">
        <v>3283</v>
      </c>
      <c r="EH3317" t="str">
        <f>EH3312</f>
        <v>Kyle Hunter</v>
      </c>
      <c r="EI3317" s="473" t="s">
        <v>3294</v>
      </c>
      <c r="EJ3317" t="s">
        <v>3410</v>
      </c>
      <c r="EK3317" s="473" t="s">
        <v>3294</v>
      </c>
      <c r="EL3317" t="s">
        <v>3448</v>
      </c>
      <c r="EM3317" s="473" t="s">
        <v>3283</v>
      </c>
    </row>
    <row r="3318" spans="1:143" ht="15.5" hidden="1" x14ac:dyDescent="0.35">
      <c r="A3318" s="417" t="s">
        <v>1210</v>
      </c>
      <c r="B3318" s="418" t="s">
        <v>1211</v>
      </c>
      <c r="C3318" s="427">
        <f t="shared" si="151"/>
        <v>0</v>
      </c>
      <c r="D3318" s="427" t="s">
        <v>885</v>
      </c>
      <c r="E3318" s="427" t="s">
        <v>885</v>
      </c>
      <c r="G3318" s="420"/>
      <c r="H3318" s="420"/>
      <c r="I3318" s="420"/>
      <c r="J3318" s="420"/>
      <c r="K3318" s="420"/>
      <c r="L3318" s="420"/>
      <c r="M3318" s="420"/>
      <c r="N3318" s="420"/>
      <c r="O3318" s="420"/>
      <c r="P3318" s="420"/>
      <c r="Q3318" s="420"/>
      <c r="R3318" s="420"/>
      <c r="S3318" s="420"/>
      <c r="T3318" s="420"/>
      <c r="U3318" s="420"/>
      <c r="V3318" s="420"/>
      <c r="W3318" s="420"/>
      <c r="X3318" s="420"/>
      <c r="Y3318" s="420"/>
      <c r="Z3318" s="420"/>
      <c r="AA3318" s="411"/>
      <c r="AB3318" s="411" t="s">
        <v>1027</v>
      </c>
      <c r="AC3318" s="245" t="s">
        <v>885</v>
      </c>
      <c r="AD3318" s="245" t="s">
        <v>885</v>
      </c>
      <c r="AE3318" s="245" t="s">
        <v>885</v>
      </c>
      <c r="AF3318" s="245" t="s">
        <v>885</v>
      </c>
      <c r="AG3318" s="245" t="s">
        <v>885</v>
      </c>
      <c r="AH3318" s="245" t="s">
        <v>885</v>
      </c>
      <c r="AI3318" s="245" t="s">
        <v>885</v>
      </c>
      <c r="AJ3318" s="245" t="s">
        <v>885</v>
      </c>
      <c r="AK3318" s="245" t="s">
        <v>885</v>
      </c>
      <c r="AL3318" s="245" t="s">
        <v>885</v>
      </c>
      <c r="AM3318" s="245" t="s">
        <v>885</v>
      </c>
      <c r="AN3318" s="245" t="s">
        <v>885</v>
      </c>
      <c r="AO3318" s="245" t="s">
        <v>885</v>
      </c>
      <c r="AP3318" s="245" t="s">
        <v>885</v>
      </c>
      <c r="AQ3318" s="245" t="s">
        <v>885</v>
      </c>
      <c r="AR3318" s="245" t="s">
        <v>885</v>
      </c>
      <c r="AS3318" s="245" t="s">
        <v>885</v>
      </c>
      <c r="AT3318" s="245" t="s">
        <v>885</v>
      </c>
      <c r="AU3318" s="245" t="s">
        <v>885</v>
      </c>
      <c r="AV3318" s="245" t="s">
        <v>885</v>
      </c>
      <c r="AW3318" s="245" t="s">
        <v>885</v>
      </c>
      <c r="AX3318" s="48">
        <v>41</v>
      </c>
      <c r="BB3318" s="402">
        <f t="shared" ca="1" si="150"/>
        <v>0</v>
      </c>
      <c r="BF3318" s="423">
        <v>24596</v>
      </c>
      <c r="BG3318" s="415">
        <f t="shared" si="148"/>
        <v>0</v>
      </c>
      <c r="BH3318" s="415">
        <f t="shared" si="143"/>
        <v>0</v>
      </c>
      <c r="BI3318" s="365">
        <f t="shared" si="144"/>
        <v>0</v>
      </c>
      <c r="BJ3318" s="157">
        <f t="shared" si="149"/>
        <v>0</v>
      </c>
      <c r="BK3318" s="416">
        <f t="shared" si="145"/>
        <v>0</v>
      </c>
      <c r="BS3318" s="464" t="str">
        <f>IF($B$265=B$3278,BZ3317,IF($B$265=B$3279,CA3317,IF($B$265=B$3280,CB3317,IF($B$265=B$3281,CC3317,IF($B$265=B$3282,CD3317,IF($B$265=B$3283,CE3317,IF($B$265=B$3284,CF3317,IF($B$265=B$3285,CG3317,IF($B$265=B$3286,CH3317,IF($B$265=B$3287,CI3317,IF($B$265=B$3288,CJ3317,IF($B$265=B$3289,CK3317,IF($B$265=B$3290,CL3317,IF($B$265=B$3291,CM3317,IF($B$265=B$3292,CN3317,IF($B$265=B$3293,C3317,IF($B$265=B$3294,CO3317,IF($B$265=B$3295,CP3317,IF($B$265=B$3296,CQ3317,IF($B$265=B$3297,CR3317,IF($B$265=B$3298,CS3317,IF($B$265=B$3299,CT3317,IF(B$265=B$3300,CU3317,IF($B$265=B$3301,CV3317,IF($B$265=B$3302,CW3317,IF($B$265=B$3303,CX3317,IF($B$265=B$3304,CY3317,IF($B$265=B$3305,CZ3317,IF($B$265=B$3306,DA3317,IF($B$265=B$3307,DB3317,IF($B$265=B$3308,DC3317,IF($B$265=B$3309,DD3317,IF($B$265=B$3310,DE3317,IF($B$265=B$3311,DF3317,IF($B$265=B$3312,DG3317,IF($B$265=B$3313,DH3317,IF($B$265=B$3314,DI3317,IF($B$265=B$3315,DJ3317,IF($B$265=B$3316,DK3317,IF($B$265=B$3317,DL3317,IF($B$265=B$3318,DM3317,IF($B$265=B$3319,DN3317,IF($B$265=B$3320,DO3317,IF($B$265=B$3321,DP3317,IF($B$265=B$3322,DQ3317,IF($B$265=B$3323,DR3317,IF($B$265=B$3324,DS3317,IF($B$265=B$3325,DT3317,IF($B$265=B$3326,DU3317,IF($B$265=B$3327,DV3317,IF($B$265=B$3328,DW3317,IF($B$265=B$3329,DX3317,""))))))))))))))))))))))))))))))))))))))))))))))))))))</f>
        <v/>
      </c>
      <c r="BZ3318" s="48" t="s">
        <v>1471</v>
      </c>
      <c r="CA3318" s="245" t="s">
        <v>885</v>
      </c>
      <c r="CB3318" s="245" t="s">
        <v>885</v>
      </c>
      <c r="CC3318" t="s">
        <v>1557</v>
      </c>
      <c r="CD3318" t="s">
        <v>1623</v>
      </c>
      <c r="CE3318" t="s">
        <v>1675</v>
      </c>
      <c r="CF3318" s="245" t="s">
        <v>885</v>
      </c>
      <c r="CG3318" s="245" t="s">
        <v>885</v>
      </c>
      <c r="CH3318" s="245" t="s">
        <v>885</v>
      </c>
      <c r="CI3318" t="s">
        <v>1477</v>
      </c>
      <c r="CJ3318" t="s">
        <v>1783</v>
      </c>
      <c r="CK3318" s="459" t="s">
        <v>885</v>
      </c>
      <c r="CL3318" t="s">
        <v>1897</v>
      </c>
      <c r="CM3318" t="s">
        <v>1467</v>
      </c>
      <c r="CN3318" t="s">
        <v>1554</v>
      </c>
      <c r="CO3318" t="s">
        <v>1805</v>
      </c>
      <c r="CP3318" t="s">
        <v>2063</v>
      </c>
      <c r="CQ3318" t="s">
        <v>1548</v>
      </c>
      <c r="CR3318" t="s">
        <v>2202</v>
      </c>
      <c r="CS3318" s="459" t="s">
        <v>885</v>
      </c>
      <c r="CT3318" s="245" t="s">
        <v>885</v>
      </c>
      <c r="CU3318" t="s">
        <v>148</v>
      </c>
      <c r="CV3318" t="s">
        <v>1556</v>
      </c>
      <c r="CW3318" t="s">
        <v>1471</v>
      </c>
      <c r="CX3318" t="s">
        <v>1964</v>
      </c>
      <c r="CY3318" t="s">
        <v>2479</v>
      </c>
      <c r="CZ3318" t="s">
        <v>1722</v>
      </c>
      <c r="DA3318" s="459" t="s">
        <v>885</v>
      </c>
      <c r="DB3318" s="459" t="s">
        <v>885</v>
      </c>
      <c r="DC3318" s="459" t="s">
        <v>885</v>
      </c>
      <c r="DD3318" s="459" t="s">
        <v>885</v>
      </c>
      <c r="DE3318" t="s">
        <v>2602</v>
      </c>
      <c r="DF3318" t="s">
        <v>2643</v>
      </c>
      <c r="DG3318" t="s">
        <v>2703</v>
      </c>
      <c r="DH3318" t="s">
        <v>1467</v>
      </c>
      <c r="DI3318" t="s">
        <v>1556</v>
      </c>
      <c r="DJ3318" s="459" t="s">
        <v>885</v>
      </c>
      <c r="DK3318" t="s">
        <v>2825</v>
      </c>
      <c r="DL3318" s="459" t="s">
        <v>885</v>
      </c>
      <c r="DM3318" t="s">
        <v>2863</v>
      </c>
      <c r="DN3318" t="s">
        <v>1556</v>
      </c>
      <c r="DO3318" t="s">
        <v>2133</v>
      </c>
      <c r="DP3318" t="s">
        <v>2958</v>
      </c>
      <c r="DQ3318" s="459" t="s">
        <v>885</v>
      </c>
      <c r="DR3318" s="459" t="s">
        <v>885</v>
      </c>
      <c r="DS3318" t="s">
        <v>3141</v>
      </c>
      <c r="DT3318" s="459" t="s">
        <v>885</v>
      </c>
      <c r="DU3318" t="s">
        <v>3231</v>
      </c>
      <c r="DV3318" t="s">
        <v>3254</v>
      </c>
      <c r="DW3318" s="245" t="s">
        <v>885</v>
      </c>
      <c r="DX3318" s="245" t="s">
        <v>885</v>
      </c>
      <c r="DY3318" s="245"/>
      <c r="DZ3318" s="470" t="str">
        <f>IF($B$265=$B$3278,EB3318,IF($B$265=$B$3279,ED3318,IF($B$265=$B$3280,EF3318,IF($B$265=$B$3281,EH3318,IF($B$265=$B$3282,EJ3318,IF($B$265=$B$3283,EL3318,IF($B$265=$B$3284,EN3318,IF($B$265=$B$3285,EP3318,IF($B$265=$B$3286,ER3318,IF($B$265=$B$3287,ET3318,IF($B$265=$B$3288,EV3318,IF($B$265=$B$3289,EX3318,IF($B$265=$B$3290,EZ3318,IF($B$265=$B$3291,FB3318,IF($B$265=$B$3292,FD3318,IF($B$265=$B$3293,BU3318,IF($B$265=$B$3294,FF3318,IF($B$265=$B$3295,FH3318,IF($B$265=$B$3296,FJ3318,IF($B$265=$B$3297,FL3318,IF($B$265=$B$3298,FN3318,IF($B$265=$B$3299,FP3318,IF(BI$265=$B$3300,FR3318,IF($B$265=$B$3301,FT3318,IF($B$265=$B$3302,FV3318,IF($B$265=$B$3303,FX3318,IF($B$265=$B$3304,FZ3318,IF($B$265=$B$3305,GB3318,IF($B$265=$B$3306,GD3318,IF($B$265=$B$3307,GF3318,IF($B$265=$B$3308,GH3318,IF($B$265=$B$3309,GJ3318,IF($B$265=$B$3310,GL3318,IF($B$265=$B$3311,GN3318,IF($B$265=$B$3312,GP3318,IF($B$265=$B$3313,GR3318,IF($B$265=$B$3314,GT3318,IF($B$265=$B$3315,GV3318,IF($B$265=$B$3316,GX3318,IF($B$265=$B$3317,GZ3318,IF($B$265=$B$3318,HB3318,IF($B$265=$B$3319,HD3318,IF($B$265=$B$3320,HF3318,IF($B$265=$B$3321,HH3318,IF($B$265=$B$3322,HJ3318,IF($B$265=$B$3323,HL3318,IF($B$265=$B$3324,HN3318,IF($B$265=$B$3325,HP3318,IF($B$265=$B$3326,HR3318,IF($B$265=$B$3327,HT3318,IF($B$265=$B$3328,HV3318,IF($B$265=$B$3329,HX3318,""))))))))))))))))))))))))))))))))))))))))))))))))))))</f>
        <v/>
      </c>
      <c r="EA3318" s="470" t="str">
        <f>IF($B$265=$B$3278,EC3318,IF($B$265=$B$3279,EE3318,IF($B$265=$B$3280,EG3318,IF($B$265=$B$3281,EI3318,IF($B$265=$B$3282,EK3318,IF($B$265=$B$3283,EM3318,IF($B$265=$B$3284,EO3318,IF($B$265=$B$3285,EQ3318,IF($B$265=$B$3286,ES3318,IF($B$265=$B$3287,EU3318,IF($B$265=$B$3288,EW3318,IF($B$265=$B$3289,EY3318,IF($B$265=$B$3290,FA3318,IF($B$265=$B$3291,FC3318,IF($B$265=$B$3292,FE3318,IF($B$265=$B$3293,BK3318,IF($B$265=$B$3294,FG3318,IF($B$265=$B$3295,FI3318,IF($B$265=$B$3296,FK3318,IF($B$265=$B$3297,FM3318,IF($B$265=$B$3298,FO3318,IF($B$265=$B$3299,FQ3318,IF(BJ$265=$B$3300,FS3318,IF($B$265=$B$3301,FU3318,IF($B$265=$B$3302,FW3318,IF($B$265=$B$3303,FY3318,IF($B$265=$B$3304,GA3318,IF($B$265=$B$3305,GC3318,IF($B$265=$B$3306,GE3318,IF($B$265=$B$3307,GG3318,IF($B$265=$B$3308,GI3318,IF($B$265=$B$3309,GK3318,IF($B$265=$B$3310,GM3318,IF($B$265=$B$3311,GO3318,IF($B$265=$B$3312,GQ3318,IF($B$265=$B$3313,GS3318,IF($B$265=$B$3314,GU3318,IF($B$265=$B$3315,GW3318,IF($B$265=$B$3316,GY3318,IF($B$265=$B$3317,HA3318,IF($B$265=$B$3318,HC3318,IF($B$265=$B$3319,HE3318,IF($B$265=$B$3320,HG3318,IF($B$265=$B$3321,HI3318,IF($B$265=$B$3322,HK3318,IF($B$265=$B$3323,HM3318,IF($B$265=$B$3324,HO3318,IF($B$265=$B$3325,HQ3318,IF($B$265=$B$3326,HS3318,IF($B$265=$B$3327,HU3318,IF($B$265=$B$3328,HW3318,IF($B$265=$B$3329,HY3318,""))))))))))))))))))))))))))))))))))))))))))))))))))))</f>
        <v/>
      </c>
      <c r="EB3318" t="s">
        <v>3314</v>
      </c>
      <c r="EC3318" s="471" t="s">
        <v>3283</v>
      </c>
      <c r="EH3318" t="str">
        <f>EH3308</f>
        <v>Bryan Chesshir</v>
      </c>
      <c r="EI3318" s="473" t="s">
        <v>3294</v>
      </c>
      <c r="EJ3318" t="s">
        <v>3411</v>
      </c>
      <c r="EK3318" s="473" t="s">
        <v>3294</v>
      </c>
      <c r="EL3318" t="str">
        <f>EL3290</f>
        <v>Alonzo C. Payne</v>
      </c>
      <c r="EM3318" s="473" t="str">
        <f>EM3290</f>
        <v>D</v>
      </c>
    </row>
    <row r="3319" spans="1:143" ht="15.5" hidden="1" x14ac:dyDescent="0.35">
      <c r="A3319" s="417" t="s">
        <v>1212</v>
      </c>
      <c r="B3319" s="418" t="s">
        <v>1213</v>
      </c>
      <c r="C3319" s="427">
        <f t="shared" si="151"/>
        <v>0</v>
      </c>
      <c r="D3319" s="427" t="s">
        <v>885</v>
      </c>
      <c r="E3319" s="427" t="s">
        <v>885</v>
      </c>
      <c r="G3319" s="420"/>
      <c r="H3319" s="420"/>
      <c r="I3319" s="420"/>
      <c r="J3319" s="420"/>
      <c r="K3319" s="420"/>
      <c r="L3319" s="420"/>
      <c r="M3319" s="420"/>
      <c r="N3319" s="420"/>
      <c r="O3319" s="420"/>
      <c r="P3319" s="420"/>
      <c r="Q3319" s="420"/>
      <c r="R3319" s="420"/>
      <c r="S3319" s="420"/>
      <c r="T3319" s="420"/>
      <c r="U3319" s="420"/>
      <c r="V3319" s="420"/>
      <c r="W3319" s="420"/>
      <c r="X3319" s="420"/>
      <c r="Y3319" s="420"/>
      <c r="Z3319" s="420"/>
      <c r="AA3319" s="411"/>
      <c r="AB3319" s="411" t="s">
        <v>1027</v>
      </c>
      <c r="AC3319" s="245" t="s">
        <v>885</v>
      </c>
      <c r="AD3319" s="245" t="s">
        <v>885</v>
      </c>
      <c r="AE3319" s="245" t="s">
        <v>885</v>
      </c>
      <c r="AF3319" s="245" t="s">
        <v>885</v>
      </c>
      <c r="AG3319" s="245" t="s">
        <v>885</v>
      </c>
      <c r="AH3319" s="245" t="s">
        <v>885</v>
      </c>
      <c r="AI3319" s="245" t="s">
        <v>885</v>
      </c>
      <c r="AJ3319" s="245" t="s">
        <v>885</v>
      </c>
      <c r="AK3319" s="245" t="s">
        <v>885</v>
      </c>
      <c r="AL3319" s="245" t="s">
        <v>885</v>
      </c>
      <c r="AM3319" s="245" t="s">
        <v>885</v>
      </c>
      <c r="AN3319" s="245" t="s">
        <v>885</v>
      </c>
      <c r="AO3319" s="245" t="s">
        <v>885</v>
      </c>
      <c r="AP3319" s="245" t="s">
        <v>885</v>
      </c>
      <c r="AQ3319" s="245" t="s">
        <v>885</v>
      </c>
      <c r="AR3319" s="245" t="s">
        <v>885</v>
      </c>
      <c r="AS3319" s="245" t="s">
        <v>885</v>
      </c>
      <c r="AT3319" s="245" t="s">
        <v>885</v>
      </c>
      <c r="AU3319" s="245" t="s">
        <v>885</v>
      </c>
      <c r="AV3319" s="245" t="s">
        <v>885</v>
      </c>
      <c r="AW3319" s="245" t="s">
        <v>885</v>
      </c>
      <c r="AX3319" s="48">
        <v>42</v>
      </c>
      <c r="BB3319" s="402">
        <f t="shared" ca="1" si="150"/>
        <v>0</v>
      </c>
      <c r="BF3319" s="423">
        <v>26959</v>
      </c>
      <c r="BG3319" s="415">
        <f t="shared" si="148"/>
        <v>0</v>
      </c>
      <c r="BH3319" s="415">
        <f t="shared" si="143"/>
        <v>0</v>
      </c>
      <c r="BI3319" s="365">
        <f t="shared" si="144"/>
        <v>0</v>
      </c>
      <c r="BJ3319" s="157">
        <f t="shared" si="149"/>
        <v>0</v>
      </c>
      <c r="BK3319" s="416">
        <f t="shared" si="145"/>
        <v>0</v>
      </c>
      <c r="BS3319" s="464" t="str">
        <f>IF($B$265=B$3278,BZ3318,IF($B$265=B$3279,CA3318,IF($B$265=B$3280,CB3318,IF($B$265=B$3281,CC3318,IF($B$265=B$3282,CD3318,IF($B$265=B$3283,CE3318,IF($B$265=B$3284,CF3318,IF($B$265=B$3285,CG3318,IF($B$265=B$3286,CH3318,IF($B$265=B$3287,CI3318,IF($B$265=B$3288,CJ3318,IF($B$265=B$3289,CK3318,IF($B$265=B$3290,CL3318,IF($B$265=B$3291,CM3318,IF($B$265=B$3292,CN3318,IF($B$265=B$3293,C3318,IF($B$265=B$3294,CO3318,IF($B$265=B$3295,CP3318,IF($B$265=B$3296,CQ3318,IF($B$265=B$3297,CR3318,IF($B$265=B$3298,CS3318,IF($B$265=B$3299,CT3318,IF(B$265=B$3300,CU3318,IF($B$265=B$3301,CV3318,IF($B$265=B$3302,CW3318,IF($B$265=B$3303,CX3318,IF($B$265=B$3304,CY3318,IF($B$265=B$3305,CZ3318,IF($B$265=B$3306,DA3318,IF($B$265=B$3307,DB3318,IF($B$265=B$3308,DC3318,IF($B$265=B$3309,DD3318,IF($B$265=B$3310,DE3318,IF($B$265=B$3311,DF3318,IF($B$265=B$3312,DG3318,IF($B$265=B$3313,DH3318,IF($B$265=B$3314,DI3318,IF($B$265=B$3315,DJ3318,IF($B$265=B$3316,DK3318,IF($B$265=B$3317,DL3318,IF($B$265=B$3318,DM3318,IF($B$265=B$3319,DN3318,IF($B$265=B$3320,DO3318,IF($B$265=B$3321,DP3318,IF($B$265=B$3322,DQ3318,IF($B$265=B$3323,DR3318,IF($B$265=B$3324,DS3318,IF($B$265=B$3325,DT3318,IF($B$265=B$3326,DU3318,IF($B$265=B$3327,DV3318,IF($B$265=B$3328,DW3318,IF($B$265=B$3329,DX3318,""))))))))))))))))))))))))))))))))))))))))))))))))))))</f>
        <v/>
      </c>
      <c r="BZ3319" s="48" t="s">
        <v>1472</v>
      </c>
      <c r="CA3319" s="245" t="s">
        <v>885</v>
      </c>
      <c r="CB3319" s="245" t="s">
        <v>885</v>
      </c>
      <c r="CC3319" t="s">
        <v>1558</v>
      </c>
      <c r="CD3319" t="s">
        <v>1624</v>
      </c>
      <c r="CE3319" t="s">
        <v>1676</v>
      </c>
      <c r="CF3319" s="245" t="s">
        <v>885</v>
      </c>
      <c r="CG3319" s="245" t="s">
        <v>885</v>
      </c>
      <c r="CH3319" s="245" t="s">
        <v>885</v>
      </c>
      <c r="CI3319" t="s">
        <v>1734</v>
      </c>
      <c r="CJ3319" t="s">
        <v>1784</v>
      </c>
      <c r="CK3319" s="459" t="s">
        <v>885</v>
      </c>
      <c r="CL3319" t="s">
        <v>1898</v>
      </c>
      <c r="CM3319" t="s">
        <v>1920</v>
      </c>
      <c r="CN3319" t="s">
        <v>1925</v>
      </c>
      <c r="CO3319" t="s">
        <v>1917</v>
      </c>
      <c r="CP3319" t="s">
        <v>2064</v>
      </c>
      <c r="CQ3319" t="s">
        <v>2128</v>
      </c>
      <c r="CR3319" t="s">
        <v>2203</v>
      </c>
      <c r="CS3319" s="459" t="s">
        <v>885</v>
      </c>
      <c r="CT3319" s="245" t="s">
        <v>885</v>
      </c>
      <c r="CU3319" t="s">
        <v>2284</v>
      </c>
      <c r="CV3319" t="s">
        <v>2019</v>
      </c>
      <c r="CW3319" t="s">
        <v>2394</v>
      </c>
      <c r="CX3319" t="s">
        <v>1464</v>
      </c>
      <c r="CY3319" t="s">
        <v>1940</v>
      </c>
      <c r="CZ3319" t="s">
        <v>2132</v>
      </c>
      <c r="DA3319" s="459" t="s">
        <v>885</v>
      </c>
      <c r="DB3319" s="459" t="s">
        <v>885</v>
      </c>
      <c r="DC3319" s="459" t="s">
        <v>885</v>
      </c>
      <c r="DD3319" s="459" t="s">
        <v>885</v>
      </c>
      <c r="DE3319" t="s">
        <v>2603</v>
      </c>
      <c r="DF3319" t="s">
        <v>2644</v>
      </c>
      <c r="DG3319" t="s">
        <v>2093</v>
      </c>
      <c r="DH3319" t="s">
        <v>1925</v>
      </c>
      <c r="DI3319" t="s">
        <v>1558</v>
      </c>
      <c r="DJ3319" s="459" t="s">
        <v>885</v>
      </c>
      <c r="DK3319" t="s">
        <v>2826</v>
      </c>
      <c r="DL3319" s="459" t="s">
        <v>885</v>
      </c>
      <c r="DM3319" t="s">
        <v>2864</v>
      </c>
      <c r="DN3319" t="s">
        <v>2888</v>
      </c>
      <c r="DO3319" t="s">
        <v>1465</v>
      </c>
      <c r="DP3319" t="s">
        <v>2959</v>
      </c>
      <c r="DQ3319" s="459" t="s">
        <v>885</v>
      </c>
      <c r="DR3319" s="459" t="s">
        <v>885</v>
      </c>
      <c r="DS3319" t="s">
        <v>1795</v>
      </c>
      <c r="DT3319" s="459" t="s">
        <v>885</v>
      </c>
      <c r="DU3319" t="s">
        <v>1486</v>
      </c>
      <c r="DV3319" t="s">
        <v>1480</v>
      </c>
      <c r="DW3319" s="245" t="s">
        <v>885</v>
      </c>
      <c r="DX3319" s="245" t="s">
        <v>885</v>
      </c>
      <c r="DY3319" s="245"/>
      <c r="DZ3319" s="470" t="str">
        <f>IF($B$265=$B$3278,EB3319,IF($B$265=$B$3279,ED3319,IF($B$265=$B$3280,EF3319,IF($B$265=$B$3281,EH3319,IF($B$265=$B$3282,EJ3319,IF($B$265=$B$3283,EL3319,IF($B$265=$B$3284,EN3319,IF($B$265=$B$3285,EP3319,IF($B$265=$B$3286,ER3319,IF($B$265=$B$3287,ET3319,IF($B$265=$B$3288,EV3319,IF($B$265=$B$3289,EX3319,IF($B$265=$B$3290,EZ3319,IF($B$265=$B$3291,FB3319,IF($B$265=$B$3292,FD3319,IF($B$265=$B$3293,BU3319,IF($B$265=$B$3294,FF3319,IF($B$265=$B$3295,FH3319,IF($B$265=$B$3296,FJ3319,IF($B$265=$B$3297,FL3319,IF($B$265=$B$3298,FN3319,IF($B$265=$B$3299,FP3319,IF(BI$265=$B$3300,FR3319,IF($B$265=$B$3301,FT3319,IF($B$265=$B$3302,FV3319,IF($B$265=$B$3303,FX3319,IF($B$265=$B$3304,FZ3319,IF($B$265=$B$3305,GB3319,IF($B$265=$B$3306,GD3319,IF($B$265=$B$3307,GF3319,IF($B$265=$B$3308,GH3319,IF($B$265=$B$3309,GJ3319,IF($B$265=$B$3310,GL3319,IF($B$265=$B$3311,GN3319,IF($B$265=$B$3312,GP3319,IF($B$265=$B$3313,GR3319,IF($B$265=$B$3314,GT3319,IF($B$265=$B$3315,GV3319,IF($B$265=$B$3316,GX3319,IF($B$265=$B$3317,GZ3319,IF($B$265=$B$3318,HB3319,IF($B$265=$B$3319,HD3319,IF($B$265=$B$3320,HF3319,IF($B$265=$B$3321,HH3319,IF($B$265=$B$3322,HJ3319,IF($B$265=$B$3323,HL3319,IF($B$265=$B$3324,HN3319,IF($B$265=$B$3325,HP3319,IF($B$265=$B$3326,HR3319,IF($B$265=$B$3327,HT3319,IF($B$265=$B$3328,HV3319,IF($B$265=$B$3329,HX3319,""))))))))))))))))))))))))))))))))))))))))))))))))))))</f>
        <v/>
      </c>
      <c r="EA3319" s="470" t="str">
        <f>IF($B$265=$B$3278,EC3319,IF($B$265=$B$3279,EE3319,IF($B$265=$B$3280,EG3319,IF($B$265=$B$3281,EI3319,IF($B$265=$B$3282,EK3319,IF($B$265=$B$3283,EM3319,IF($B$265=$B$3284,EO3319,IF($B$265=$B$3285,EQ3319,IF($B$265=$B$3286,ES3319,IF($B$265=$B$3287,EU3319,IF($B$265=$B$3288,EW3319,IF($B$265=$B$3289,EY3319,IF($B$265=$B$3290,FA3319,IF($B$265=$B$3291,FC3319,IF($B$265=$B$3292,FE3319,IF($B$265=$B$3293,BK3319,IF($B$265=$B$3294,FG3319,IF($B$265=$B$3295,FI3319,IF($B$265=$B$3296,FK3319,IF($B$265=$B$3297,FM3319,IF($B$265=$B$3298,FO3319,IF($B$265=$B$3299,FQ3319,IF(BJ$265=$B$3300,FS3319,IF($B$265=$B$3301,FU3319,IF($B$265=$B$3302,FW3319,IF($B$265=$B$3303,FY3319,IF($B$265=$B$3304,GA3319,IF($B$265=$B$3305,GC3319,IF($B$265=$B$3306,GE3319,IF($B$265=$B$3307,GG3319,IF($B$265=$B$3308,GI3319,IF($B$265=$B$3309,GK3319,IF($B$265=$B$3310,GM3319,IF($B$265=$B$3311,GO3319,IF($B$265=$B$3312,GQ3319,IF($B$265=$B$3313,GS3319,IF($B$265=$B$3314,GU3319,IF($B$265=$B$3315,GW3319,IF($B$265=$B$3316,GY3319,IF($B$265=$B$3317,HA3319,IF($B$265=$B$3318,HC3319,IF($B$265=$B$3319,HE3319,IF($B$265=$B$3320,HG3319,IF($B$265=$B$3321,HI3319,IF($B$265=$B$3322,HK3319,IF($B$265=$B$3323,HM3319,IF($B$265=$B$3324,HO3319,IF($B$265=$B$3325,HQ3319,IF($B$265=$B$3326,HS3319,IF($B$265=$B$3327,HU3319,IF($B$265=$B$3328,HW3319,IF($B$265=$B$3329,HY3319,""))))))))))))))))))))))))))))))))))))))))))))))))))))</f>
        <v/>
      </c>
      <c r="EB3319" t="s">
        <v>3315</v>
      </c>
      <c r="EC3319" s="471" t="s">
        <v>3283</v>
      </c>
      <c r="EH3319" t="str">
        <f>EH3292</f>
        <v>Tom Tatum II</v>
      </c>
      <c r="EI3319" s="473" t="s">
        <v>3294</v>
      </c>
      <c r="EJ3319" t="s">
        <v>3412</v>
      </c>
      <c r="EK3319" s="473" t="s">
        <v>3294</v>
      </c>
      <c r="EL3319" t="str">
        <f>EL3303</f>
        <v>Matthew Karzen</v>
      </c>
      <c r="EM3319" s="473" t="str">
        <f>EM3303</f>
        <v>I</v>
      </c>
    </row>
    <row r="3320" spans="1:143" ht="15.5" hidden="1" x14ac:dyDescent="0.35">
      <c r="A3320" s="417" t="s">
        <v>1214</v>
      </c>
      <c r="B3320" s="418" t="s">
        <v>1215</v>
      </c>
      <c r="C3320" s="427">
        <f t="shared" si="151"/>
        <v>0</v>
      </c>
      <c r="D3320" s="419">
        <v>1000000</v>
      </c>
      <c r="G3320" s="420"/>
      <c r="H3320" s="420"/>
      <c r="I3320" s="420"/>
      <c r="J3320" s="420"/>
      <c r="K3320" s="420"/>
      <c r="L3320" s="420"/>
      <c r="M3320" s="420"/>
      <c r="N3320" s="420"/>
      <c r="O3320" s="420"/>
      <c r="P3320" s="420"/>
      <c r="Q3320" s="420"/>
      <c r="R3320" s="420"/>
      <c r="S3320" s="420"/>
      <c r="T3320" s="420"/>
      <c r="U3320" s="420"/>
      <c r="V3320" s="420"/>
      <c r="W3320" s="420"/>
      <c r="X3320" s="420"/>
      <c r="Y3320" s="420"/>
      <c r="Z3320" s="420"/>
      <c r="AB3320" s="48" t="s">
        <v>1216</v>
      </c>
      <c r="AC3320" s="245" t="s">
        <v>885</v>
      </c>
      <c r="AD3320" s="48" t="s">
        <v>1174</v>
      </c>
      <c r="AF3320" s="421">
        <v>1</v>
      </c>
      <c r="AG3320" s="48">
        <v>1</v>
      </c>
      <c r="AH3320" s="48" t="s">
        <v>1217</v>
      </c>
      <c r="AI3320" s="48" t="str">
        <f>CONCATENATE(AG3320,AH3320)</f>
        <v>1 year</v>
      </c>
      <c r="AK3320" s="48" t="s">
        <v>1047</v>
      </c>
      <c r="AO3320" s="48" t="s">
        <v>1218</v>
      </c>
      <c r="AR3320" s="245" t="s">
        <v>885</v>
      </c>
      <c r="AS3320" s="48" t="s">
        <v>1049</v>
      </c>
      <c r="AW3320" s="245" t="s">
        <v>885</v>
      </c>
      <c r="AX3320" s="48">
        <v>43</v>
      </c>
      <c r="BB3320" s="402">
        <f ca="1">MIN(((C3326*$AE$321)+($AE$330*G3320)),D3320)</f>
        <v>0</v>
      </c>
      <c r="BF3320" s="423">
        <v>24922</v>
      </c>
      <c r="BG3320" s="415">
        <f t="shared" si="148"/>
        <v>0</v>
      </c>
      <c r="BH3320" s="415">
        <f t="shared" si="143"/>
        <v>0</v>
      </c>
      <c r="BI3320" s="365">
        <f t="shared" si="144"/>
        <v>0</v>
      </c>
      <c r="BJ3320" s="157">
        <f t="shared" si="149"/>
        <v>0</v>
      </c>
      <c r="BK3320" s="416">
        <f t="shared" si="145"/>
        <v>0</v>
      </c>
      <c r="BN3320" s="1107">
        <f t="shared" ref="BN3320:BN3327" si="152">IF(OR($AC$1127=0,$C$1153="",C$1129=AG$1129),0,$C$1153*$C$1129)</f>
        <v>0</v>
      </c>
      <c r="BO3320" s="927"/>
      <c r="BP3320" s="927"/>
      <c r="BQ3320" s="927"/>
      <c r="BS3320" s="464" t="str">
        <f>IF($B$265=B$3278,BZ3319,IF($B$265=B$3279,CA3319,IF($B$265=B$3280,CB3319,IF($B$265=B$3281,CC3319,IF($B$265=B$3282,CD3319,IF($B$265=B$3283,CE3319,IF($B$265=B$3284,CF3319,IF($B$265=B$3285,CG3319,IF($B$265=B$3286,CH3319,IF($B$265=B$3287,CI3319,IF($B$265=B$3288,CJ3319,IF($B$265=B$3289,CK3319,IF($B$265=B$3290,CL3319,IF($B$265=B$3291,CM3319,IF($B$265=B$3292,CN3319,IF($B$265=B$3293,C3319,IF($B$265=B$3294,CO3319,IF($B$265=B$3295,CP3319,IF($B$265=B$3296,CQ3319,IF($B$265=B$3297,CR3319,IF($B$265=B$3298,CS3319,IF($B$265=B$3299,CT3319,IF(B$265=B$3300,CU3319,IF($B$265=B$3301,CV3319,IF($B$265=B$3302,CW3319,IF($B$265=B$3303,CX3319,IF($B$265=B$3304,CY3319,IF($B$265=B$3305,CZ3319,IF($B$265=B$3306,DA3319,IF($B$265=B$3307,DB3319,IF($B$265=B$3308,DC3319,IF($B$265=B$3309,DD3319,IF($B$265=B$3310,DE3319,IF($B$265=B$3311,DF3319,IF($B$265=B$3312,DG3319,IF($B$265=B$3313,DH3319,IF($B$265=B$3314,DI3319,IF($B$265=B$3315,DJ3319,IF($B$265=B$3316,DK3319,IF($B$265=B$3317,DL3319,IF($B$265=B$3318,DM3319,IF($B$265=B$3319,DN3319,IF($B$265=B$3320,DO3319,IF($B$265=B$3321,DP3319,IF($B$265=B$3322,DQ3319,IF($B$265=B$3323,DR3319,IF($B$265=B$3324,DS3319,IF($B$265=B$3325,DT3319,IF($B$265=B$3326,DU3319,IF($B$265=B$3327,DV3319,IF($B$265=B$3328,DW3319,IF($B$265=B$3329,DX3319,""))))))))))))))))))))))))))))))))))))))))))))))))))))</f>
        <v/>
      </c>
      <c r="BZ3320" s="48" t="s">
        <v>1473</v>
      </c>
      <c r="CA3320" s="245" t="s">
        <v>885</v>
      </c>
      <c r="CB3320" s="245" t="s">
        <v>885</v>
      </c>
      <c r="CC3320" t="s">
        <v>1559</v>
      </c>
      <c r="CD3320" t="s">
        <v>1625</v>
      </c>
      <c r="CE3320" t="s">
        <v>1677</v>
      </c>
      <c r="CF3320" s="245" t="s">
        <v>885</v>
      </c>
      <c r="CG3320" s="245" t="s">
        <v>885</v>
      </c>
      <c r="CH3320" s="245" t="s">
        <v>885</v>
      </c>
      <c r="CI3320" t="s">
        <v>1735</v>
      </c>
      <c r="CJ3320" t="s">
        <v>1785</v>
      </c>
      <c r="CK3320" s="459" t="s">
        <v>885</v>
      </c>
      <c r="CL3320" t="s">
        <v>1899</v>
      </c>
      <c r="CM3320" t="s">
        <v>1921</v>
      </c>
      <c r="CN3320" t="s">
        <v>1969</v>
      </c>
      <c r="CO3320" t="s">
        <v>1964</v>
      </c>
      <c r="CP3320" t="s">
        <v>1466</v>
      </c>
      <c r="CQ3320" t="s">
        <v>2129</v>
      </c>
      <c r="CR3320" t="s">
        <v>2204</v>
      </c>
      <c r="CS3320" s="459" t="s">
        <v>885</v>
      </c>
      <c r="CT3320" s="245" t="s">
        <v>885</v>
      </c>
      <c r="CU3320" t="s">
        <v>1600</v>
      </c>
      <c r="CV3320" t="s">
        <v>2343</v>
      </c>
      <c r="CW3320" t="s">
        <v>1556</v>
      </c>
      <c r="CX3320" t="s">
        <v>2426</v>
      </c>
      <c r="CY3320" t="s">
        <v>2480</v>
      </c>
      <c r="CZ3320" t="s">
        <v>2509</v>
      </c>
      <c r="DA3320" s="459" t="s">
        <v>885</v>
      </c>
      <c r="DB3320" s="459" t="s">
        <v>885</v>
      </c>
      <c r="DC3320" s="459" t="s">
        <v>885</v>
      </c>
      <c r="DD3320" s="459" t="s">
        <v>885</v>
      </c>
      <c r="DE3320" t="s">
        <v>1832</v>
      </c>
      <c r="DF3320" t="s">
        <v>2645</v>
      </c>
      <c r="DG3320" t="s">
        <v>2033</v>
      </c>
      <c r="DH3320" t="s">
        <v>1600</v>
      </c>
      <c r="DI3320" t="s">
        <v>2766</v>
      </c>
      <c r="DJ3320" s="459" t="s">
        <v>885</v>
      </c>
      <c r="DK3320" t="s">
        <v>1935</v>
      </c>
      <c r="DL3320" s="459" t="s">
        <v>885</v>
      </c>
      <c r="DM3320" t="s">
        <v>1490</v>
      </c>
      <c r="DN3320" t="s">
        <v>1478</v>
      </c>
      <c r="DO3320" t="s">
        <v>2388</v>
      </c>
      <c r="DP3320" t="s">
        <v>2960</v>
      </c>
      <c r="DQ3320" s="459" t="s">
        <v>885</v>
      </c>
      <c r="DR3320" s="459" t="s">
        <v>885</v>
      </c>
      <c r="DS3320" t="s">
        <v>3142</v>
      </c>
      <c r="DT3320" s="459" t="s">
        <v>885</v>
      </c>
      <c r="DU3320" t="s">
        <v>3232</v>
      </c>
      <c r="DV3320" t="s">
        <v>3255</v>
      </c>
      <c r="DW3320" s="245" t="s">
        <v>885</v>
      </c>
      <c r="DX3320" s="245" t="s">
        <v>885</v>
      </c>
      <c r="DY3320" s="245"/>
      <c r="DZ3320" s="470" t="str">
        <f>IF($B$265=$B$3278,EB3320,IF($B$265=$B$3279,ED3320,IF($B$265=$B$3280,EF3320,IF($B$265=$B$3281,EH3320,IF($B$265=$B$3282,EJ3320,IF($B$265=$B$3283,EL3320,IF($B$265=$B$3284,EN3320,IF($B$265=$B$3285,EP3320,IF($B$265=$B$3286,ER3320,IF($B$265=$B$3287,ET3320,IF($B$265=$B$3288,EV3320,IF($B$265=$B$3289,EX3320,IF($B$265=$B$3290,EZ3320,IF($B$265=$B$3291,FB3320,IF($B$265=$B$3292,FD3320,IF($B$265=$B$3293,BU3320,IF($B$265=$B$3294,FF3320,IF($B$265=$B$3295,FH3320,IF($B$265=$B$3296,FJ3320,IF($B$265=$B$3297,FL3320,IF($B$265=$B$3298,FN3320,IF($B$265=$B$3299,FP3320,IF(BI$265=$B$3300,FR3320,IF($B$265=$B$3301,FT3320,IF($B$265=$B$3302,FV3320,IF($B$265=$B$3303,FX3320,IF($B$265=$B$3304,FZ3320,IF($B$265=$B$3305,GB3320,IF($B$265=$B$3306,GD3320,IF($B$265=$B$3307,GF3320,IF($B$265=$B$3308,GH3320,IF($B$265=$B$3309,GJ3320,IF($B$265=$B$3310,GL3320,IF($B$265=$B$3311,GN3320,IF($B$265=$B$3312,GP3320,IF($B$265=$B$3313,GR3320,IF($B$265=$B$3314,GT3320,IF($B$265=$B$3315,GV3320,IF($B$265=$B$3316,GX3320,IF($B$265=$B$3317,GZ3320,IF($B$265=$B$3318,HB3320,IF($B$265=$B$3319,HD3320,IF($B$265=$B$3320,HF3320,IF($B$265=$B$3321,HH3320,IF($B$265=$B$3322,HJ3320,IF($B$265=$B$3323,HL3320,IF($B$265=$B$3324,HN3320,IF($B$265=$B$3325,HP3320,IF($B$265=$B$3326,HR3320,IF($B$265=$B$3327,HT3320,IF($B$265=$B$3328,HV3320,IF($B$265=$B$3329,HX3320,""))))))))))))))))))))))))))))))))))))))))))))))))))))</f>
        <v/>
      </c>
      <c r="EA3320" s="470" t="str">
        <f>IF($B$265=$B$3278,EC3320,IF($B$265=$B$3279,EE3320,IF($B$265=$B$3280,EG3320,IF($B$265=$B$3281,EI3320,IF($B$265=$B$3282,EK3320,IF($B$265=$B$3283,EM3320,IF($B$265=$B$3284,EO3320,IF($B$265=$B$3285,EQ3320,IF($B$265=$B$3286,ES3320,IF($B$265=$B$3287,EU3320,IF($B$265=$B$3288,EW3320,IF($B$265=$B$3289,EY3320,IF($B$265=$B$3290,FA3320,IF($B$265=$B$3291,FC3320,IF($B$265=$B$3292,FE3320,IF($B$265=$B$3293,BK3320,IF($B$265=$B$3294,FG3320,IF($B$265=$B$3295,FI3320,IF($B$265=$B$3296,FK3320,IF($B$265=$B$3297,FM3320,IF($B$265=$B$3298,FO3320,IF($B$265=$B$3299,FQ3320,IF(BJ$265=$B$3300,FS3320,IF($B$265=$B$3301,FU3320,IF($B$265=$B$3302,FW3320,IF($B$265=$B$3303,FY3320,IF($B$265=$B$3304,GA3320,IF($B$265=$B$3305,GC3320,IF($B$265=$B$3306,GE3320,IF($B$265=$B$3307,GG3320,IF($B$265=$B$3308,GI3320,IF($B$265=$B$3309,GK3320,IF($B$265=$B$3310,GM3320,IF($B$265=$B$3311,GO3320,IF($B$265=$B$3312,GQ3320,IF($B$265=$B$3313,GS3320,IF($B$265=$B$3314,GU3320,IF($B$265=$B$3315,GW3320,IF($B$265=$B$3316,GY3320,IF($B$265=$B$3317,HA3320,IF($B$265=$B$3318,HC3320,IF($B$265=$B$3319,HE3320,IF($B$265=$B$3320,HG3320,IF($B$265=$B$3321,HI3320,IF($B$265=$B$3322,HK3320,IF($B$265=$B$3323,HM3320,IF($B$265=$B$3324,HO3320,IF($B$265=$B$3325,HQ3320,IF($B$265=$B$3326,HS3320,IF($B$265=$B$3327,HU3320,IF($B$265=$B$3328,HW3320,IF($B$265=$B$3329,HY3320,""))))))))))))))))))))))))))))))))))))))))))))))))))))</f>
        <v/>
      </c>
      <c r="EB3320" t="str">
        <f>EB3284</f>
        <v>Charlotte M. Tesmer</v>
      </c>
      <c r="EC3320" t="str">
        <f>EC3284</f>
        <v>D</v>
      </c>
      <c r="EH3320" t="s">
        <v>3364</v>
      </c>
      <c r="EI3320" s="473" t="s">
        <v>3294</v>
      </c>
      <c r="EJ3320" t="s">
        <v>3413</v>
      </c>
      <c r="EK3320" s="473" t="s">
        <v>3294</v>
      </c>
      <c r="EL3320" t="str">
        <f>EL3295</f>
        <v>Matthew G. Margeson</v>
      </c>
      <c r="EM3320" s="473" t="str">
        <f>EM3295</f>
        <v>R</v>
      </c>
    </row>
    <row r="3321" spans="1:143" ht="15.5" hidden="1" x14ac:dyDescent="0.35">
      <c r="A3321" s="417" t="s">
        <v>1219</v>
      </c>
      <c r="B3321" s="418" t="s">
        <v>1220</v>
      </c>
      <c r="C3321" s="419">
        <v>80000</v>
      </c>
      <c r="D3321" s="427" t="s">
        <v>885</v>
      </c>
      <c r="G3321" s="420"/>
      <c r="H3321" s="420"/>
      <c r="I3321" s="420"/>
      <c r="J3321" s="420"/>
      <c r="K3321" s="420"/>
      <c r="L3321" s="420"/>
      <c r="M3321" s="420"/>
      <c r="N3321" s="420"/>
      <c r="O3321" s="420"/>
      <c r="P3321" s="420"/>
      <c r="Q3321" s="420"/>
      <c r="R3321" s="420"/>
      <c r="S3321" s="420"/>
      <c r="T3321" s="420"/>
      <c r="U3321" s="420"/>
      <c r="V3321" s="420"/>
      <c r="W3321" s="420"/>
      <c r="X3321" s="420"/>
      <c r="Y3321" s="420"/>
      <c r="Z3321" s="420"/>
      <c r="AB3321" s="48" t="s">
        <v>1221</v>
      </c>
      <c r="AC3321" s="245" t="s">
        <v>885</v>
      </c>
      <c r="AD3321" s="48" t="s">
        <v>1222</v>
      </c>
      <c r="AF3321" s="421"/>
      <c r="AG3321" s="48">
        <v>3</v>
      </c>
      <c r="AH3321" s="48" t="s">
        <v>1046</v>
      </c>
      <c r="AI3321" s="48" t="str">
        <f>CONCATENATE(AG3321,AH3321)</f>
        <v>3 years</v>
      </c>
      <c r="AK3321" s="48" t="s">
        <v>1112</v>
      </c>
      <c r="AO3321" s="48" t="s">
        <v>1223</v>
      </c>
      <c r="AR3321" s="245" t="s">
        <v>885</v>
      </c>
      <c r="AS3321" s="48" t="s">
        <v>1224</v>
      </c>
      <c r="AW3321" s="245" t="s">
        <v>885</v>
      </c>
      <c r="AX3321" s="48">
        <v>44</v>
      </c>
      <c r="BB3321" s="402">
        <f ca="1">MIN(((C3321*$AE$321)+($AE$330*G3321)),D3321)</f>
        <v>10000000</v>
      </c>
      <c r="BF3321" s="423">
        <v>27125</v>
      </c>
      <c r="BG3321" s="415">
        <f t="shared" si="148"/>
        <v>0</v>
      </c>
      <c r="BH3321" s="415">
        <f t="shared" si="143"/>
        <v>0</v>
      </c>
      <c r="BI3321" s="365">
        <f t="shared" si="144"/>
        <v>0</v>
      </c>
      <c r="BJ3321" s="157">
        <f t="shared" si="149"/>
        <v>0</v>
      </c>
      <c r="BK3321" s="416">
        <f t="shared" si="145"/>
        <v>0</v>
      </c>
      <c r="BN3321" s="1107">
        <f t="shared" si="152"/>
        <v>0</v>
      </c>
      <c r="BO3321" s="927"/>
      <c r="BP3321" s="927"/>
      <c r="BQ3321" s="927"/>
      <c r="BS3321" s="464" t="str">
        <f>IF($B$265=B$3278,BZ3320,IF($B$265=B$3279,CA3320,IF($B$265=B$3280,CB3320,IF($B$265=B$3281,CC3320,IF($B$265=B$3282,CD3320,IF($B$265=B$3283,CE3320,IF($B$265=B$3284,CF3320,IF($B$265=B$3285,CG3320,IF($B$265=B$3286,CH3320,IF($B$265=B$3287,CI3320,IF($B$265=B$3288,CJ3320,IF($B$265=B$3289,CK3320,IF($B$265=B$3290,CL3320,IF($B$265=B$3291,CM3320,IF($B$265=B$3292,CN3320,IF($B$265=B$3293,C3320,IF($B$265=B$3294,CO3320,IF($B$265=B$3295,CP3320,IF($B$265=B$3296,CQ3320,IF($B$265=B$3297,CR3320,IF($B$265=B$3298,CS3320,IF($B$265=B$3299,CT3320,IF(B$265=B$3300,CU3320,IF($B$265=B$3301,CV3320,IF($B$265=B$3302,CW3320,IF($B$265=B$3303,CX3320,IF($B$265=B$3304,CY3320,IF($B$265=B$3305,CZ3320,IF($B$265=B$3306,DA3320,IF($B$265=B$3307,DB3320,IF($B$265=B$3308,DC3320,IF($B$265=B$3309,DD3320,IF($B$265=B$3310,DE3320,IF($B$265=B$3311,DF3320,IF($B$265=B$3312,DG3320,IF($B$265=B$3313,DH3320,IF($B$265=B$3314,DI3320,IF($B$265=B$3315,DJ3320,IF($B$265=B$3316,DK3320,IF($B$265=B$3317,DL3320,IF($B$265=B$3318,DM3320,IF($B$265=B$3319,DN3320,IF($B$265=B$3320,DO3320,IF($B$265=B$3321,DP3320,IF($B$265=B$3322,DQ3320,IF($B$265=B$3323,DR3320,IF($B$265=B$3324,DS3320,IF($B$265=B$3325,DT3320,IF($B$265=B$3326,DU3320,IF($B$265=B$3327,DV3320,IF($B$265=B$3328,DW3320,IF($B$265=B$3329,DX3320,""))))))))))))))))))))))))))))))))))))))))))))))))))))</f>
        <v/>
      </c>
      <c r="BZ3321" s="48" t="s">
        <v>1474</v>
      </c>
      <c r="CA3321" s="245" t="s">
        <v>885</v>
      </c>
      <c r="CB3321" s="245" t="s">
        <v>885</v>
      </c>
      <c r="CC3321" t="s">
        <v>1475</v>
      </c>
      <c r="CD3321" t="s">
        <v>1428</v>
      </c>
      <c r="CE3321" t="s">
        <v>1678</v>
      </c>
      <c r="CF3321" s="245" t="s">
        <v>885</v>
      </c>
      <c r="CG3321" s="245" t="s">
        <v>885</v>
      </c>
      <c r="CH3321" s="245" t="s">
        <v>885</v>
      </c>
      <c r="CI3321" t="s">
        <v>1480</v>
      </c>
      <c r="CJ3321" t="s">
        <v>1455</v>
      </c>
      <c r="CK3321" s="459" t="s">
        <v>885</v>
      </c>
      <c r="CL3321" t="s">
        <v>1495</v>
      </c>
      <c r="CM3321" t="s">
        <v>1554</v>
      </c>
      <c r="CN3321" t="s">
        <v>1970</v>
      </c>
      <c r="CO3321" t="s">
        <v>1464</v>
      </c>
      <c r="CP3321" t="s">
        <v>1467</v>
      </c>
      <c r="CQ3321" t="s">
        <v>2130</v>
      </c>
      <c r="CR3321" t="s">
        <v>2205</v>
      </c>
      <c r="CS3321" s="459" t="s">
        <v>885</v>
      </c>
      <c r="CT3321" s="245" t="s">
        <v>885</v>
      </c>
      <c r="CU3321" t="s">
        <v>2285</v>
      </c>
      <c r="CV3321" t="s">
        <v>2344</v>
      </c>
      <c r="CW3321" t="s">
        <v>1473</v>
      </c>
      <c r="CX3321" t="s">
        <v>2427</v>
      </c>
      <c r="CY3321" t="s">
        <v>2481</v>
      </c>
      <c r="CZ3321" t="s">
        <v>2510</v>
      </c>
      <c r="DA3321" s="459" t="s">
        <v>885</v>
      </c>
      <c r="DB3321" s="459" t="s">
        <v>885</v>
      </c>
      <c r="DC3321" s="459" t="s">
        <v>885</v>
      </c>
      <c r="DD3321" s="459" t="s">
        <v>885</v>
      </c>
      <c r="DE3321" t="s">
        <v>2604</v>
      </c>
      <c r="DF3321" t="s">
        <v>2646</v>
      </c>
      <c r="DG3321" t="s">
        <v>2704</v>
      </c>
      <c r="DH3321" t="s">
        <v>1470</v>
      </c>
      <c r="DI3321" t="s">
        <v>2767</v>
      </c>
      <c r="DJ3321" s="459" t="s">
        <v>885</v>
      </c>
      <c r="DK3321" t="s">
        <v>2827</v>
      </c>
      <c r="DL3321" s="459" t="s">
        <v>885</v>
      </c>
      <c r="DM3321" t="s">
        <v>1579</v>
      </c>
      <c r="DN3321" t="s">
        <v>2889</v>
      </c>
      <c r="DO3321" t="s">
        <v>1466</v>
      </c>
      <c r="DP3321" t="s">
        <v>2961</v>
      </c>
      <c r="DQ3321" s="459" t="s">
        <v>885</v>
      </c>
      <c r="DR3321" s="459" t="s">
        <v>885</v>
      </c>
      <c r="DS3321" t="s">
        <v>3143</v>
      </c>
      <c r="DT3321" s="459" t="s">
        <v>885</v>
      </c>
      <c r="DU3321" t="s">
        <v>2925</v>
      </c>
      <c r="DV3321" t="s">
        <v>1892</v>
      </c>
      <c r="DW3321" s="245" t="s">
        <v>885</v>
      </c>
      <c r="DX3321" s="245" t="s">
        <v>885</v>
      </c>
      <c r="DY3321" s="245"/>
      <c r="DZ3321" s="470" t="str">
        <f>IF($B$265=$B$3278,EB3321,IF($B$265=$B$3279,ED3321,IF($B$265=$B$3280,EF3321,IF($B$265=$B$3281,EH3321,IF($B$265=$B$3282,EJ3321,IF($B$265=$B$3283,EL3321,IF($B$265=$B$3284,EN3321,IF($B$265=$B$3285,EP3321,IF($B$265=$B$3286,ER3321,IF($B$265=$B$3287,ET3321,IF($B$265=$B$3288,EV3321,IF($B$265=$B$3289,EX3321,IF($B$265=$B$3290,EZ3321,IF($B$265=$B$3291,FB3321,IF($B$265=$B$3292,FD3321,IF($B$265=$B$3293,BU3321,IF($B$265=$B$3294,FF3321,IF($B$265=$B$3295,FH3321,IF($B$265=$B$3296,FJ3321,IF($B$265=$B$3297,FL3321,IF($B$265=$B$3298,FN3321,IF($B$265=$B$3299,FP3321,IF(BI$265=$B$3300,FR3321,IF($B$265=$B$3301,FT3321,IF($B$265=$B$3302,FV3321,IF($B$265=$B$3303,FX3321,IF($B$265=$B$3304,FZ3321,IF($B$265=$B$3305,GB3321,IF($B$265=$B$3306,GD3321,IF($B$265=$B$3307,GF3321,IF($B$265=$B$3308,GH3321,IF($B$265=$B$3309,GJ3321,IF($B$265=$B$3310,GL3321,IF($B$265=$B$3311,GN3321,IF($B$265=$B$3312,GP3321,IF($B$265=$B$3313,GR3321,IF($B$265=$B$3314,GT3321,IF($B$265=$B$3315,GV3321,IF($B$265=$B$3316,GX3321,IF($B$265=$B$3317,GZ3321,IF($B$265=$B$3318,HB3321,IF($B$265=$B$3319,HD3321,IF($B$265=$B$3320,HF3321,IF($B$265=$B$3321,HH3321,IF($B$265=$B$3322,HJ3321,IF($B$265=$B$3323,HL3321,IF($B$265=$B$3324,HN3321,IF($B$265=$B$3325,HP3321,IF($B$265=$B$3326,HR3321,IF($B$265=$B$3327,HT3321,IF($B$265=$B$3328,HV3321,IF($B$265=$B$3329,HX3321,""))))))))))))))))))))))))))))))))))))))))))))))))))))</f>
        <v/>
      </c>
      <c r="EA3321" s="470" t="str">
        <f>IF($B$265=$B$3278,EC3321,IF($B$265=$B$3279,EE3321,IF($B$265=$B$3280,EG3321,IF($B$265=$B$3281,EI3321,IF($B$265=$B$3282,EK3321,IF($B$265=$B$3283,EM3321,IF($B$265=$B$3284,EO3321,IF($B$265=$B$3285,EQ3321,IF($B$265=$B$3286,ES3321,IF($B$265=$B$3287,EU3321,IF($B$265=$B$3288,EW3321,IF($B$265=$B$3289,EY3321,IF($B$265=$B$3290,FA3321,IF($B$265=$B$3291,FC3321,IF($B$265=$B$3292,FE3321,IF($B$265=$B$3293,BK3321,IF($B$265=$B$3294,FG3321,IF($B$265=$B$3295,FI3321,IF($B$265=$B$3296,FK3321,IF($B$265=$B$3297,FM3321,IF($B$265=$B$3298,FO3321,IF($B$265=$B$3299,FQ3321,IF(BJ$265=$B$3300,FS3321,IF($B$265=$B$3301,FU3321,IF($B$265=$B$3302,FW3321,IF($B$265=$B$3303,FY3321,IF($B$265=$B$3304,GA3321,IF($B$265=$B$3305,GC3321,IF($B$265=$B$3306,GE3321,IF($B$265=$B$3307,GG3321,IF($B$265=$B$3308,GI3321,IF($B$265=$B$3309,GK3321,IF($B$265=$B$3310,GM3321,IF($B$265=$B$3311,GO3321,IF($B$265=$B$3312,GQ3321,IF($B$265=$B$3313,GS3321,IF($B$265=$B$3314,GU3321,IF($B$265=$B$3315,GW3321,IF($B$265=$B$3316,GY3321,IF($B$265=$B$3317,HA3321,IF($B$265=$B$3318,HC3321,IF($B$265=$B$3319,HE3321,IF($B$265=$B$3320,HG3321,IF($B$265=$B$3321,HI3321,IF($B$265=$B$3322,HK3321,IF($B$265=$B$3323,HM3321,IF($B$265=$B$3324,HO3321,IF($B$265=$B$3325,HQ3321,IF($B$265=$B$3326,HS3321,IF($B$265=$B$3327,HU3321,IF($B$265=$B$3328,HW3321,IF($B$265=$B$3329,HY3321,""))))))))))))))))))))))))))))))))))))))))))))))))))))</f>
        <v/>
      </c>
      <c r="EB3321" t="str">
        <f>EB3286</f>
        <v>Douglas Jeremy Duerr</v>
      </c>
      <c r="EC3321" t="str">
        <f>EC3286</f>
        <v>n</v>
      </c>
      <c r="EH3321" t="s">
        <v>3365</v>
      </c>
      <c r="EI3321" s="473" t="s">
        <v>3294</v>
      </c>
      <c r="EJ3321" t="s">
        <v>3414</v>
      </c>
      <c r="EK3321" s="473" t="s">
        <v>3294</v>
      </c>
      <c r="EL3321" t="str">
        <f>EL3305</f>
        <v>Seth D. Ryan</v>
      </c>
      <c r="EM3321" s="473" t="str">
        <f>EM3305</f>
        <v>R</v>
      </c>
    </row>
    <row r="3322" spans="1:143" ht="15.5" hidden="1" x14ac:dyDescent="0.35">
      <c r="A3322" s="417" t="s">
        <v>1225</v>
      </c>
      <c r="B3322" s="418" t="s">
        <v>1226</v>
      </c>
      <c r="C3322" s="450" t="s">
        <v>885</v>
      </c>
      <c r="D3322" s="433">
        <f>65977*15</f>
        <v>989655</v>
      </c>
      <c r="G3322" s="420"/>
      <c r="H3322" s="420"/>
      <c r="I3322" s="420"/>
      <c r="J3322" s="420"/>
      <c r="K3322" s="420"/>
      <c r="L3322" s="420"/>
      <c r="M3322" s="420"/>
      <c r="N3322" s="420"/>
      <c r="O3322" s="420"/>
      <c r="P3322" s="420"/>
      <c r="Q3322" s="420"/>
      <c r="R3322" s="420"/>
      <c r="S3322" s="420"/>
      <c r="T3322" s="420"/>
      <c r="U3322" s="420"/>
      <c r="V3322" s="420"/>
      <c r="W3322" s="420"/>
      <c r="X3322" s="420"/>
      <c r="Y3322" s="420"/>
      <c r="Z3322" s="420"/>
      <c r="AB3322" s="48" t="s">
        <v>1227</v>
      </c>
      <c r="AC3322" s="245" t="s">
        <v>885</v>
      </c>
      <c r="AD3322" s="48" t="s">
        <v>1228</v>
      </c>
      <c r="AF3322" s="421">
        <v>1</v>
      </c>
      <c r="AI3322" s="48" t="str">
        <f>AI3303</f>
        <v>2 years</v>
      </c>
      <c r="AK3322" s="48" t="s">
        <v>1112</v>
      </c>
      <c r="AO3322" s="48" t="s">
        <v>1229</v>
      </c>
      <c r="AR3322" s="245" t="s">
        <v>885</v>
      </c>
      <c r="AS3322" s="48" t="s">
        <v>1164</v>
      </c>
      <c r="AW3322" s="245" t="s">
        <v>885</v>
      </c>
      <c r="AX3322" s="48">
        <v>45</v>
      </c>
      <c r="BB3322" s="402">
        <f>D3322</f>
        <v>989655</v>
      </c>
      <c r="BF3322" s="423">
        <v>24877</v>
      </c>
      <c r="BG3322" s="415">
        <f t="shared" si="148"/>
        <v>0</v>
      </c>
      <c r="BH3322" s="415">
        <f t="shared" si="143"/>
        <v>0</v>
      </c>
      <c r="BI3322" s="365">
        <f t="shared" si="144"/>
        <v>0</v>
      </c>
      <c r="BJ3322" s="157">
        <f t="shared" si="149"/>
        <v>0</v>
      </c>
      <c r="BK3322" s="416">
        <f t="shared" si="145"/>
        <v>0</v>
      </c>
      <c r="BN3322" s="1107">
        <f t="shared" si="152"/>
        <v>0</v>
      </c>
      <c r="BO3322" s="927"/>
      <c r="BP3322" s="927"/>
      <c r="BQ3322" s="927"/>
      <c r="BS3322" s="464" t="str">
        <f>IF($B$265=B$3278,BZ3321,IF($B$265=B$3279,CA3321,IF($B$265=B$3280,CB3321,IF($B$265=B$3281,CC3321,IF($B$265=B$3282,CD3321,IF($B$265=B$3283,CE3321,IF($B$265=B$3284,CF3321,IF($B$265=B$3285,CG3321,IF($B$265=B$3286,CH3321,IF($B$265=B$3287,CI3321,IF($B$265=B$3288,CJ3321,IF($B$265=B$3289,CK3321,IF($B$265=B$3290,CL3321,IF($B$265=B$3291,CM3321,IF($B$265=B$3292,CN3321,IF($B$265=B$3293,C3321,IF($B$265=B$3294,CO3321,IF($B$265=B$3295,CP3321,IF($B$265=B$3296,CQ3321,IF($B$265=B$3297,CR3321,IF($B$265=B$3298,CS3321,IF($B$265=B$3299,CT3321,IF(B$265=B$3300,CU3321,IF($B$265=B$3301,CV3321,IF($B$265=B$3302,CW3321,IF($B$265=B$3303,CX3321,IF($B$265=B$3304,CY3321,IF($B$265=B$3305,CZ3321,IF($B$265=B$3306,DA3321,IF($B$265=B$3307,DB3321,IF($B$265=B$3308,DC3321,IF($B$265=B$3309,DD3321,IF($B$265=B$3310,DE3321,IF($B$265=B$3311,DF3321,IF($B$265=B$3312,DG3321,IF($B$265=B$3313,DH3321,IF($B$265=B$3314,DI3321,IF($B$265=B$3315,DJ3321,IF($B$265=B$3316,DK3321,IF($B$265=B$3317,DL3321,IF($B$265=B$3318,DM3321,IF($B$265=B$3319,DN3321,IF($B$265=B$3320,DO3321,IF($B$265=B$3321,DP3321,IF($B$265=B$3322,DQ3321,IF($B$265=B$3323,DR3321,IF($B$265=B$3324,DS3321,IF($B$265=B$3325,DT3321,IF($B$265=B$3326,DU3321,IF($B$265=B$3327,DV3321,IF($B$265=B$3328,DW3321,IF($B$265=B$3329,DX3321,""))))))))))))))))))))))))))))))))))))))))))))))))))))</f>
        <v/>
      </c>
      <c r="BZ3322" s="48" t="s">
        <v>1475</v>
      </c>
      <c r="CA3322" s="245" t="s">
        <v>885</v>
      </c>
      <c r="CB3322" s="245" t="s">
        <v>885</v>
      </c>
      <c r="CC3322" t="s">
        <v>1477</v>
      </c>
      <c r="CD3322" t="s">
        <v>1626</v>
      </c>
      <c r="CE3322" t="s">
        <v>1482</v>
      </c>
      <c r="CF3322" s="245" t="s">
        <v>885</v>
      </c>
      <c r="CG3322" s="245" t="s">
        <v>885</v>
      </c>
      <c r="CH3322" s="245" t="s">
        <v>885</v>
      </c>
      <c r="CI3322" t="s">
        <v>1736</v>
      </c>
      <c r="CJ3322" t="s">
        <v>1786</v>
      </c>
      <c r="CK3322" s="459" t="s">
        <v>885</v>
      </c>
      <c r="CL3322" s="459" t="s">
        <v>885</v>
      </c>
      <c r="CM3322" t="s">
        <v>1922</v>
      </c>
      <c r="CN3322" t="s">
        <v>1600</v>
      </c>
      <c r="CO3322" t="s">
        <v>1551</v>
      </c>
      <c r="CP3322" t="s">
        <v>2065</v>
      </c>
      <c r="CQ3322" t="s">
        <v>2131</v>
      </c>
      <c r="CR3322" t="s">
        <v>2206</v>
      </c>
      <c r="CS3322" s="459" t="s">
        <v>885</v>
      </c>
      <c r="CT3322" s="245" t="s">
        <v>885</v>
      </c>
      <c r="CU3322" t="s">
        <v>2286</v>
      </c>
      <c r="CV3322" t="s">
        <v>1478</v>
      </c>
      <c r="CW3322" t="s">
        <v>1475</v>
      </c>
      <c r="CX3322" t="s">
        <v>1551</v>
      </c>
      <c r="CY3322" t="s">
        <v>2482</v>
      </c>
      <c r="CZ3322" t="s">
        <v>2427</v>
      </c>
      <c r="DA3322" s="459" t="s">
        <v>885</v>
      </c>
      <c r="DB3322" s="459" t="s">
        <v>885</v>
      </c>
      <c r="DC3322" s="459" t="s">
        <v>885</v>
      </c>
      <c r="DD3322" s="459" t="s">
        <v>885</v>
      </c>
      <c r="DE3322" t="s">
        <v>2605</v>
      </c>
      <c r="DF3322" t="s">
        <v>1918</v>
      </c>
      <c r="DG3322" t="s">
        <v>1944</v>
      </c>
      <c r="DH3322" t="s">
        <v>2727</v>
      </c>
      <c r="DI3322" t="s">
        <v>1478</v>
      </c>
      <c r="DJ3322" s="459" t="s">
        <v>885</v>
      </c>
      <c r="DK3322" t="s">
        <v>1480</v>
      </c>
      <c r="DL3322" s="459" t="s">
        <v>885</v>
      </c>
      <c r="DM3322" t="s">
        <v>2865</v>
      </c>
      <c r="DN3322" t="s">
        <v>2071</v>
      </c>
      <c r="DO3322" t="s">
        <v>1467</v>
      </c>
      <c r="DP3322" t="s">
        <v>2962</v>
      </c>
      <c r="DQ3322" s="459" t="s">
        <v>885</v>
      </c>
      <c r="DR3322" s="459" t="s">
        <v>885</v>
      </c>
      <c r="DS3322" t="s">
        <v>1460</v>
      </c>
      <c r="DT3322" s="459" t="s">
        <v>885</v>
      </c>
      <c r="DU3322" t="s">
        <v>3233</v>
      </c>
      <c r="DV3322" t="s">
        <v>3256</v>
      </c>
      <c r="DW3322" s="245" t="s">
        <v>885</v>
      </c>
      <c r="DX3322" s="245" t="s">
        <v>885</v>
      </c>
      <c r="DY3322" s="245"/>
      <c r="DZ3322" s="470" t="str">
        <f>IF($B$265=$B$3278,EB3322,IF($B$265=$B$3279,ED3322,IF($B$265=$B$3280,EF3322,IF($B$265=$B$3281,EH3322,IF($B$265=$B$3282,EJ3322,IF($B$265=$B$3283,EL3322,IF($B$265=$B$3284,EN3322,IF($B$265=$B$3285,EP3322,IF($B$265=$B$3286,ER3322,IF($B$265=$B$3287,ET3322,IF($B$265=$B$3288,EV3322,IF($B$265=$B$3289,EX3322,IF($B$265=$B$3290,EZ3322,IF($B$265=$B$3291,FB3322,IF($B$265=$B$3292,FD3322,IF($B$265=$B$3293,BU3322,IF($B$265=$B$3294,FF3322,IF($B$265=$B$3295,FH3322,IF($B$265=$B$3296,FJ3322,IF($B$265=$B$3297,FL3322,IF($B$265=$B$3298,FN3322,IF($B$265=$B$3299,FP3322,IF(BI$265=$B$3300,FR3322,IF($B$265=$B$3301,FT3322,IF($B$265=$B$3302,FV3322,IF($B$265=$B$3303,FX3322,IF($B$265=$B$3304,FZ3322,IF($B$265=$B$3305,GB3322,IF($B$265=$B$3306,GD3322,IF($B$265=$B$3307,GF3322,IF($B$265=$B$3308,GH3322,IF($B$265=$B$3309,GJ3322,IF($B$265=$B$3310,GL3322,IF($B$265=$B$3311,GN3322,IF($B$265=$B$3312,GP3322,IF($B$265=$B$3313,GR3322,IF($B$265=$B$3314,GT3322,IF($B$265=$B$3315,GV3322,IF($B$265=$B$3316,GX3322,IF($B$265=$B$3317,GZ3322,IF($B$265=$B$3318,HB3322,IF($B$265=$B$3319,HD3322,IF($B$265=$B$3320,HF3322,IF($B$265=$B$3321,HH3322,IF($B$265=$B$3322,HJ3322,IF($B$265=$B$3323,HL3322,IF($B$265=$B$3324,HN3322,IF($B$265=$B$3325,HP3322,IF($B$265=$B$3326,HR3322,IF($B$265=$B$3327,HT3322,IF($B$265=$B$3328,HV3322,IF($B$265=$B$3329,HX3322,""))))))))))))))))))))))))))))))))))))))))))))))))))))</f>
        <v/>
      </c>
      <c r="EA3322" s="470" t="str">
        <f>IF($B$265=$B$3278,EC3322,IF($B$265=$B$3279,EE3322,IF($B$265=$B$3280,EG3322,IF($B$265=$B$3281,EI3322,IF($B$265=$B$3282,EK3322,IF($B$265=$B$3283,EM3322,IF($B$265=$B$3284,EO3322,IF($B$265=$B$3285,EQ3322,IF($B$265=$B$3286,ES3322,IF($B$265=$B$3287,EU3322,IF($B$265=$B$3288,EW3322,IF($B$265=$B$3289,EY3322,IF($B$265=$B$3290,FA3322,IF($B$265=$B$3291,FC3322,IF($B$265=$B$3292,FE3322,IF($B$265=$B$3293,BK3322,IF($B$265=$B$3294,FG3322,IF($B$265=$B$3295,FI3322,IF($B$265=$B$3296,FK3322,IF($B$265=$B$3297,FM3322,IF($B$265=$B$3298,FO3322,IF($B$265=$B$3299,FQ3322,IF(BJ$265=$B$3300,FS3322,IF($B$265=$B$3301,FU3322,IF($B$265=$B$3302,FW3322,IF($B$265=$B$3303,FY3322,IF($B$265=$B$3304,GA3322,IF($B$265=$B$3305,GC3322,IF($B$265=$B$3306,GE3322,IF($B$265=$B$3307,GG3322,IF($B$265=$B$3308,GI3322,IF($B$265=$B$3309,GK3322,IF($B$265=$B$3310,GM3322,IF($B$265=$B$3311,GO3322,IF($B$265=$B$3312,GQ3322,IF($B$265=$B$3313,GS3322,IF($B$265=$B$3314,GU3322,IF($B$265=$B$3315,GW3322,IF($B$265=$B$3316,GY3322,IF($B$265=$B$3317,HA3322,IF($B$265=$B$3318,HC3322,IF($B$265=$B$3319,HE3322,IF($B$265=$B$3320,HG3322,IF($B$265=$B$3321,HI3322,IF($B$265=$B$3322,HK3322,IF($B$265=$B$3323,HM3322,IF($B$265=$B$3324,HO3322,IF($B$265=$B$3325,HQ3322,IF($B$265=$B$3326,HS3322,IF($B$265=$B$3327,HU3322,IF($B$265=$B$3328,HW3322,IF($B$265=$B$3329,HY3322,""))))))))))))))))))))))))))))))))))))))))))))))))))))</f>
        <v/>
      </c>
      <c r="EB3322" t="s">
        <v>3316</v>
      </c>
      <c r="EC3322" s="471" t="s">
        <v>3283</v>
      </c>
      <c r="EH3322" t="str">
        <f>EH3282</f>
        <v>David Ethredge</v>
      </c>
      <c r="EI3322" s="473" t="s">
        <v>3294</v>
      </c>
      <c r="EJ3322" t="s">
        <v>3415</v>
      </c>
      <c r="EK3322" s="473" t="s">
        <v>3294</v>
      </c>
      <c r="EL3322" t="str">
        <f>EL3316</f>
        <v>Travis Sides</v>
      </c>
      <c r="EM3322" s="473" t="str">
        <f>EM3316</f>
        <v>R</v>
      </c>
    </row>
    <row r="3323" spans="1:143" ht="15.5" hidden="1" x14ac:dyDescent="0.35">
      <c r="A3323" s="417" t="s">
        <v>1230</v>
      </c>
      <c r="B3323" s="418" t="s">
        <v>1231</v>
      </c>
      <c r="C3323" s="419">
        <v>60000</v>
      </c>
      <c r="D3323" s="427" t="s">
        <v>885</v>
      </c>
      <c r="G3323" s="420"/>
      <c r="H3323" s="420"/>
      <c r="I3323" s="420"/>
      <c r="J3323" s="420"/>
      <c r="K3323" s="420"/>
      <c r="L3323" s="420"/>
      <c r="M3323" s="420"/>
      <c r="N3323" s="420"/>
      <c r="O3323" s="420"/>
      <c r="P3323" s="420"/>
      <c r="Q3323" s="420"/>
      <c r="R3323" s="420"/>
      <c r="S3323" s="420"/>
      <c r="T3323" s="420"/>
      <c r="U3323" s="420"/>
      <c r="V3323" s="420"/>
      <c r="W3323" s="420"/>
      <c r="X3323" s="420"/>
      <c r="Y3323" s="420"/>
      <c r="Z3323" s="420"/>
      <c r="AB3323" s="48" t="s">
        <v>1232</v>
      </c>
      <c r="AC3323" s="245" t="s">
        <v>885</v>
      </c>
      <c r="AD3323" s="48" t="s">
        <v>1233</v>
      </c>
      <c r="AF3323" s="421">
        <v>3</v>
      </c>
      <c r="AG3323" s="48">
        <v>3</v>
      </c>
      <c r="AH3323" s="48" t="s">
        <v>1046</v>
      </c>
      <c r="AI3323" s="48" t="str">
        <f>CONCATENATE(AG3323,AH3323)</f>
        <v>3 years</v>
      </c>
      <c r="AK3323" s="48" t="s">
        <v>1087</v>
      </c>
      <c r="AO3323" s="48" t="s">
        <v>1234</v>
      </c>
      <c r="AR3323" s="245" t="s">
        <v>885</v>
      </c>
      <c r="AS3323" s="48" t="s">
        <v>1235</v>
      </c>
      <c r="AW3323" s="245" t="s">
        <v>885</v>
      </c>
      <c r="AX3323" s="48">
        <v>46</v>
      </c>
      <c r="BB3323" s="402">
        <f ca="1">MIN(((C3323*$AE$321)+($AE$330*G3323)),D3323)</f>
        <v>7500000</v>
      </c>
      <c r="BF3323" s="423">
        <v>29178</v>
      </c>
      <c r="BG3323" s="415">
        <f t="shared" si="148"/>
        <v>0</v>
      </c>
      <c r="BH3323" s="415">
        <f t="shared" si="143"/>
        <v>0</v>
      </c>
      <c r="BI3323" s="365">
        <f t="shared" si="144"/>
        <v>0</v>
      </c>
      <c r="BJ3323" s="157">
        <f t="shared" si="149"/>
        <v>0</v>
      </c>
      <c r="BK3323" s="416">
        <f t="shared" si="145"/>
        <v>0</v>
      </c>
      <c r="BN3323" s="1107">
        <f t="shared" si="152"/>
        <v>0</v>
      </c>
      <c r="BO3323" s="927"/>
      <c r="BP3323" s="927"/>
      <c r="BQ3323" s="927"/>
      <c r="BS3323" s="464" t="str">
        <f>IF($B$265=B$3278,BZ3322,IF($B$265=B$3279,CA3322,IF($B$265=B$3280,CB3322,IF($B$265=B$3281,CC3322,IF($B$265=B$3282,CD3322,IF($B$265=B$3283,CE3322,IF($B$265=B$3284,CF3322,IF($B$265=B$3285,CG3322,IF($B$265=B$3286,CH3322,IF($B$265=B$3287,CI3322,IF($B$265=B$3288,CJ3322,IF($B$265=B$3289,CK3322,IF($B$265=B$3290,CL3322,IF($B$265=B$3291,CM3322,IF($B$265=B$3292,CN3322,IF($B$265=B$3293,C3322,IF($B$265=B$3294,CO3322,IF($B$265=B$3295,CP3322,IF($B$265=B$3296,CQ3322,IF($B$265=B$3297,CR3322,IF($B$265=B$3298,CS3322,IF($B$265=B$3299,CT3322,IF(B$265=B$3300,CU3322,IF($B$265=B$3301,CV3322,IF($B$265=B$3302,CW3322,IF($B$265=B$3303,CX3322,IF($B$265=B$3304,CY3322,IF($B$265=B$3305,CZ3322,IF($B$265=B$3306,DA3322,IF($B$265=B$3307,DB3322,IF($B$265=B$3308,DC3322,IF($B$265=B$3309,DD3322,IF($B$265=B$3310,DE3322,IF($B$265=B$3311,DF3322,IF($B$265=B$3312,DG3322,IF($B$265=B$3313,DH3322,IF($B$265=B$3314,DI3322,IF($B$265=B$3315,DJ3322,IF($B$265=B$3316,DK3322,IF($B$265=B$3317,DL3322,IF($B$265=B$3318,DM3322,IF($B$265=B$3319,DN3322,IF($B$265=B$3320,DO3322,IF($B$265=B$3321,DP3322,IF($B$265=B$3322,DQ3322,IF($B$265=B$3323,DR3322,IF($B$265=B$3324,DS3322,IF($B$265=B$3325,DT3322,IF($B$265=B$3326,DU3322,IF($B$265=B$3327,DV3322,IF($B$265=B$3328,DW3322,IF($B$265=B$3329,DX3322,""))))))))))))))))))))))))))))))))))))))))))))))))))))</f>
        <v/>
      </c>
      <c r="BZ3323" s="48" t="s">
        <v>1476</v>
      </c>
      <c r="CA3323" s="245" t="s">
        <v>885</v>
      </c>
      <c r="CB3323" s="245" t="s">
        <v>885</v>
      </c>
      <c r="CC3323" t="s">
        <v>1560</v>
      </c>
      <c r="CD3323" t="s">
        <v>1627</v>
      </c>
      <c r="CE3323" t="s">
        <v>1679</v>
      </c>
      <c r="CF3323" s="245" t="s">
        <v>885</v>
      </c>
      <c r="CG3323" s="245" t="s">
        <v>885</v>
      </c>
      <c r="CH3323" s="245" t="s">
        <v>885</v>
      </c>
      <c r="CI3323" t="s">
        <v>1737</v>
      </c>
      <c r="CJ3323" t="s">
        <v>1787</v>
      </c>
      <c r="CK3323" s="459" t="s">
        <v>885</v>
      </c>
      <c r="CL3323" s="459" t="s">
        <v>885</v>
      </c>
      <c r="CM3323" t="s">
        <v>1923</v>
      </c>
      <c r="CN3323" t="s">
        <v>1971</v>
      </c>
      <c r="CO3323" t="s">
        <v>1595</v>
      </c>
      <c r="CP3323" t="s">
        <v>1554</v>
      </c>
      <c r="CQ3323" t="s">
        <v>1805</v>
      </c>
      <c r="CR3323" t="s">
        <v>2207</v>
      </c>
      <c r="CS3323" s="459" t="s">
        <v>885</v>
      </c>
      <c r="CT3323" s="245" t="s">
        <v>885</v>
      </c>
      <c r="CU3323" t="s">
        <v>2287</v>
      </c>
      <c r="CV3323" t="s">
        <v>1734</v>
      </c>
      <c r="CW3323" t="s">
        <v>1477</v>
      </c>
      <c r="CX3323" t="s">
        <v>2428</v>
      </c>
      <c r="CY3323" t="s">
        <v>2093</v>
      </c>
      <c r="CZ3323" t="s">
        <v>2511</v>
      </c>
      <c r="DA3323" s="459" t="s">
        <v>885</v>
      </c>
      <c r="DB3323" s="459" t="s">
        <v>885</v>
      </c>
      <c r="DC3323" s="459" t="s">
        <v>885</v>
      </c>
      <c r="DD3323" s="459" t="s">
        <v>885</v>
      </c>
      <c r="DE3323" t="s">
        <v>2606</v>
      </c>
      <c r="DF3323" t="s">
        <v>2647</v>
      </c>
      <c r="DG3323" t="s">
        <v>2367</v>
      </c>
      <c r="DH3323" t="s">
        <v>1558</v>
      </c>
      <c r="DI3323" t="s">
        <v>2768</v>
      </c>
      <c r="DJ3323" s="459" t="s">
        <v>885</v>
      </c>
      <c r="DK3323" t="s">
        <v>1481</v>
      </c>
      <c r="DL3323" s="459" t="s">
        <v>885</v>
      </c>
      <c r="DM3323" t="s">
        <v>2531</v>
      </c>
      <c r="DN3323" t="s">
        <v>2072</v>
      </c>
      <c r="DO3323" t="s">
        <v>1554</v>
      </c>
      <c r="DP3323" t="s">
        <v>2963</v>
      </c>
      <c r="DQ3323" s="459" t="s">
        <v>885</v>
      </c>
      <c r="DR3323" s="459" t="s">
        <v>885</v>
      </c>
      <c r="DS3323" t="s">
        <v>2235</v>
      </c>
      <c r="DT3323" s="459" t="s">
        <v>885</v>
      </c>
      <c r="DU3323" t="s">
        <v>1750</v>
      </c>
      <c r="DV3323" t="s">
        <v>3257</v>
      </c>
      <c r="DW3323" s="245" t="s">
        <v>885</v>
      </c>
      <c r="DX3323" s="245" t="s">
        <v>885</v>
      </c>
      <c r="DY3323" s="245"/>
      <c r="DZ3323" s="470" t="str">
        <f>IF($B$265=$B$3278,EB3323,IF($B$265=$B$3279,ED3323,IF($B$265=$B$3280,EF3323,IF($B$265=$B$3281,EH3323,IF($B$265=$B$3282,EJ3323,IF($B$265=$B$3283,EL3323,IF($B$265=$B$3284,EN3323,IF($B$265=$B$3285,EP3323,IF($B$265=$B$3286,ER3323,IF($B$265=$B$3287,ET3323,IF($B$265=$B$3288,EV3323,IF($B$265=$B$3289,EX3323,IF($B$265=$B$3290,EZ3323,IF($B$265=$B$3291,FB3323,IF($B$265=$B$3292,FD3323,IF($B$265=$B$3293,BU3323,IF($B$265=$B$3294,FF3323,IF($B$265=$B$3295,FH3323,IF($B$265=$B$3296,FJ3323,IF($B$265=$B$3297,FL3323,IF($B$265=$B$3298,FN3323,IF($B$265=$B$3299,FP3323,IF(BI$265=$B$3300,FR3323,IF($B$265=$B$3301,FT3323,IF($B$265=$B$3302,FV3323,IF($B$265=$B$3303,FX3323,IF($B$265=$B$3304,FZ3323,IF($B$265=$B$3305,GB3323,IF($B$265=$B$3306,GD3323,IF($B$265=$B$3307,GF3323,IF($B$265=$B$3308,GH3323,IF($B$265=$B$3309,GJ3323,IF($B$265=$B$3310,GL3323,IF($B$265=$B$3311,GN3323,IF($B$265=$B$3312,GP3323,IF($B$265=$B$3313,GR3323,IF($B$265=$B$3314,GT3323,IF($B$265=$B$3315,GV3323,IF($B$265=$B$3316,GX3323,IF($B$265=$B$3317,GZ3323,IF($B$265=$B$3318,HB3323,IF($B$265=$B$3319,HD3323,IF($B$265=$B$3320,HF3323,IF($B$265=$B$3321,HH3323,IF($B$265=$B$3322,HJ3323,IF($B$265=$B$3323,HL3323,IF($B$265=$B$3324,HN3323,IF($B$265=$B$3325,HP3323,IF($B$265=$B$3326,HR3323,IF($B$265=$B$3327,HT3323,IF($B$265=$B$3328,HV3323,IF($B$265=$B$3329,HX3323,""))))))))))))))))))))))))))))))))))))))))))))))))))))</f>
        <v/>
      </c>
      <c r="EA3323" s="470" t="str">
        <f>IF($B$265=$B$3278,EC3323,IF($B$265=$B$3279,EE3323,IF($B$265=$B$3280,EG3323,IF($B$265=$B$3281,EI3323,IF($B$265=$B$3282,EK3323,IF($B$265=$B$3283,EM3323,IF($B$265=$B$3284,EO3323,IF($B$265=$B$3285,EQ3323,IF($B$265=$B$3286,ES3323,IF($B$265=$B$3287,EU3323,IF($B$265=$B$3288,EW3323,IF($B$265=$B$3289,EY3323,IF($B$265=$B$3290,FA3323,IF($B$265=$B$3291,FC3323,IF($B$265=$B$3292,FE3323,IF($B$265=$B$3293,BK3323,IF($B$265=$B$3294,FG3323,IF($B$265=$B$3295,FI3323,IF($B$265=$B$3296,FK3323,IF($B$265=$B$3297,FM3323,IF($B$265=$B$3298,FO3323,IF($B$265=$B$3299,FQ3323,IF(BJ$265=$B$3300,FS3323,IF($B$265=$B$3301,FU3323,IF($B$265=$B$3302,FW3323,IF($B$265=$B$3303,FY3323,IF($B$265=$B$3304,GA3323,IF($B$265=$B$3305,GC3323,IF($B$265=$B$3306,GE3323,IF($B$265=$B$3307,GG3323,IF($B$265=$B$3308,GI3323,IF($B$265=$B$3309,GK3323,IF($B$265=$B$3310,GM3323,IF($B$265=$B$3311,GO3323,IF($B$265=$B$3312,GQ3323,IF($B$265=$B$3313,GS3323,IF($B$265=$B$3314,GU3323,IF($B$265=$B$3315,GW3323,IF($B$265=$B$3316,GY3323,IF($B$265=$B$3317,HA3323,IF($B$265=$B$3318,HC3323,IF($B$265=$B$3319,HE3323,IF($B$265=$B$3320,HG3323,IF($B$265=$B$3321,HI3323,IF($B$265=$B$3322,HK3323,IF($B$265=$B$3323,HM3323,IF($B$265=$B$3324,HO3323,IF($B$265=$B$3325,HQ3323,IF($B$265=$B$3326,HS3323,IF($B$265=$B$3327,HU3323,IF($B$265=$B$3328,HW3323,IF($B$265=$B$3329,HY3323,""))))))))))))))))))))))))))))))))))))))))))))))))))))</f>
        <v/>
      </c>
      <c r="EB3323" t="str">
        <f>EB3309</f>
        <v>Gregory S. Griggers</v>
      </c>
      <c r="EC3323" t="str">
        <f>EC3309</f>
        <v>D</v>
      </c>
      <c r="EH3323" t="str">
        <f>EH3314</f>
        <v>Stephanie Potter-Barrett</v>
      </c>
      <c r="EI3323" s="473" t="s">
        <v>3294</v>
      </c>
      <c r="EJ3323" t="s">
        <v>3416</v>
      </c>
      <c r="EK3323" s="473" t="s">
        <v>3294</v>
      </c>
      <c r="EL3323" t="str">
        <f>EL3291</f>
        <v>William Culver</v>
      </c>
      <c r="EM3323" s="473" t="str">
        <f>EM3291</f>
        <v>R</v>
      </c>
    </row>
    <row r="3324" spans="1:143" ht="15.5" hidden="1" x14ac:dyDescent="0.35">
      <c r="A3324" s="417" t="s">
        <v>1236</v>
      </c>
      <c r="B3324" s="418" t="s">
        <v>1237</v>
      </c>
      <c r="C3324" s="433">
        <f>23975*0.9</f>
        <v>21577.5</v>
      </c>
      <c r="D3324" s="427" t="s">
        <v>885</v>
      </c>
      <c r="G3324" s="420"/>
      <c r="H3324" s="420"/>
      <c r="I3324" s="420"/>
      <c r="J3324" s="420"/>
      <c r="K3324" s="420"/>
      <c r="L3324" s="420"/>
      <c r="M3324" s="420"/>
      <c r="N3324" s="420"/>
      <c r="O3324" s="420"/>
      <c r="P3324" s="420"/>
      <c r="Q3324" s="420"/>
      <c r="R3324" s="420"/>
      <c r="S3324" s="420"/>
      <c r="T3324" s="420"/>
      <c r="U3324" s="420"/>
      <c r="V3324" s="420"/>
      <c r="W3324" s="420"/>
      <c r="X3324" s="420"/>
      <c r="Y3324" s="420"/>
      <c r="Z3324" s="420"/>
      <c r="AB3324" s="48" t="s">
        <v>1238</v>
      </c>
      <c r="AC3324" s="245" t="s">
        <v>885</v>
      </c>
      <c r="AD3324" s="48" t="s">
        <v>1239</v>
      </c>
      <c r="AF3324" s="421"/>
      <c r="AI3324" s="48" t="str">
        <f>AI3322</f>
        <v>2 years</v>
      </c>
      <c r="AK3324" s="48" t="s">
        <v>1112</v>
      </c>
      <c r="AO3324" s="48" t="s">
        <v>1240</v>
      </c>
      <c r="AR3324" s="245" t="s">
        <v>885</v>
      </c>
      <c r="AS3324" s="48" t="s">
        <v>1049</v>
      </c>
      <c r="AW3324" s="245" t="s">
        <v>885</v>
      </c>
      <c r="AX3324" s="48">
        <v>47</v>
      </c>
      <c r="BB3324" s="402">
        <f ca="1">MIN(((C3324*$AE$321)+($AE$330*G3324)),D3324)</f>
        <v>2697187.5</v>
      </c>
      <c r="BF3324" s="423">
        <v>34052</v>
      </c>
      <c r="BG3324" s="415">
        <f t="shared" si="148"/>
        <v>0</v>
      </c>
      <c r="BH3324" s="415">
        <f t="shared" si="143"/>
        <v>0</v>
      </c>
      <c r="BI3324" s="365">
        <f t="shared" si="144"/>
        <v>0</v>
      </c>
      <c r="BJ3324" s="157">
        <f t="shared" si="149"/>
        <v>0</v>
      </c>
      <c r="BK3324" s="416">
        <f t="shared" si="145"/>
        <v>0</v>
      </c>
      <c r="BN3324" s="1107">
        <f t="shared" si="152"/>
        <v>0</v>
      </c>
      <c r="BO3324" s="927"/>
      <c r="BP3324" s="927"/>
      <c r="BQ3324" s="927"/>
      <c r="BS3324" s="464" t="str">
        <f>IF($B$265=B$3278,BZ3323,IF($B$265=B$3279,CA3323,IF($B$265=B$3280,CB3323,IF($B$265=B$3281,CC3323,IF($B$265=B$3282,CD3323,IF($B$265=B$3283,CE3323,IF($B$265=B$3284,CF3323,IF($B$265=B$3285,CG3323,IF($B$265=B$3286,CH3323,IF($B$265=B$3287,CI3323,IF($B$265=B$3288,CJ3323,IF($B$265=B$3289,CK3323,IF($B$265=B$3290,CL3323,IF($B$265=B$3291,CM3323,IF($B$265=B$3292,CN3323,IF($B$265=B$3293,C3323,IF($B$265=B$3294,CO3323,IF($B$265=B$3295,CP3323,IF($B$265=B$3296,CQ3323,IF($B$265=B$3297,CR3323,IF($B$265=B$3298,CS3323,IF($B$265=B$3299,CT3323,IF(B$265=B$3300,CU3323,IF($B$265=B$3301,CV3323,IF($B$265=B$3302,CW3323,IF($B$265=B$3303,CX3323,IF($B$265=B$3304,CY3323,IF($B$265=B$3305,CZ3323,IF($B$265=B$3306,DA3323,IF($B$265=B$3307,DB3323,IF($B$265=B$3308,DC3323,IF($B$265=B$3309,DD3323,IF($B$265=B$3310,DE3323,IF($B$265=B$3311,DF3323,IF($B$265=B$3312,DG3323,IF($B$265=B$3313,DH3323,IF($B$265=B$3314,DI3323,IF($B$265=B$3315,DJ3323,IF($B$265=B$3316,DK3323,IF($B$265=B$3317,DL3323,IF($B$265=B$3318,DM3323,IF($B$265=B$3319,DN3323,IF($B$265=B$3320,DO3323,IF($B$265=B$3321,DP3323,IF($B$265=B$3322,DQ3323,IF($B$265=B$3323,DR3323,IF($B$265=B$3324,DS3323,IF($B$265=B$3325,DT3323,IF($B$265=B$3326,DU3323,IF($B$265=B$3327,DV3323,IF($B$265=B$3328,DW3323,IF($B$265=B$3329,DX3323,""))))))))))))))))))))))))))))))))))))))))))))))))))))</f>
        <v/>
      </c>
      <c r="BZ3324" s="48" t="s">
        <v>1477</v>
      </c>
      <c r="CA3324" s="245" t="s">
        <v>885</v>
      </c>
      <c r="CB3324" s="245" t="s">
        <v>885</v>
      </c>
      <c r="CC3324" t="s">
        <v>1561</v>
      </c>
      <c r="CD3324" t="s">
        <v>1628</v>
      </c>
      <c r="CE3324" t="s">
        <v>1680</v>
      </c>
      <c r="CF3324" s="245" t="s">
        <v>885</v>
      </c>
      <c r="CG3324" s="245" t="s">
        <v>885</v>
      </c>
      <c r="CH3324" s="245" t="s">
        <v>885</v>
      </c>
      <c r="CI3324" t="s">
        <v>1738</v>
      </c>
      <c r="CJ3324" t="s">
        <v>1788</v>
      </c>
      <c r="CK3324" s="459" t="s">
        <v>885</v>
      </c>
      <c r="CL3324" s="459" t="s">
        <v>885</v>
      </c>
      <c r="CM3324" t="s">
        <v>1924</v>
      </c>
      <c r="CN3324" t="s">
        <v>1470</v>
      </c>
      <c r="CO3324" t="s">
        <v>2012</v>
      </c>
      <c r="CP3324" t="s">
        <v>2066</v>
      </c>
      <c r="CQ3324" t="s">
        <v>1917</v>
      </c>
      <c r="CR3324" t="s">
        <v>2208</v>
      </c>
      <c r="CS3324" s="459" t="s">
        <v>885</v>
      </c>
      <c r="CT3324" s="245" t="s">
        <v>885</v>
      </c>
      <c r="CU3324" t="s">
        <v>1927</v>
      </c>
      <c r="CV3324" t="s">
        <v>2345</v>
      </c>
      <c r="CW3324" t="s">
        <v>1478</v>
      </c>
      <c r="CX3324" t="s">
        <v>2280</v>
      </c>
      <c r="CY3324" t="s">
        <v>2483</v>
      </c>
      <c r="CZ3324" t="s">
        <v>1551</v>
      </c>
      <c r="DA3324" s="459" t="s">
        <v>885</v>
      </c>
      <c r="DB3324" s="459" t="s">
        <v>885</v>
      </c>
      <c r="DC3324" s="459" t="s">
        <v>885</v>
      </c>
      <c r="DD3324" s="459" t="s">
        <v>885</v>
      </c>
      <c r="DE3324" t="s">
        <v>2607</v>
      </c>
      <c r="DF3324" t="s">
        <v>2648</v>
      </c>
      <c r="DG3324" t="s">
        <v>2705</v>
      </c>
      <c r="DH3324" t="s">
        <v>2728</v>
      </c>
      <c r="DI3324" t="s">
        <v>2769</v>
      </c>
      <c r="DJ3324" s="459" t="s">
        <v>885</v>
      </c>
      <c r="DK3324" t="s">
        <v>2828</v>
      </c>
      <c r="DL3324" s="459" t="s">
        <v>885</v>
      </c>
      <c r="DM3324" s="459" t="s">
        <v>885</v>
      </c>
      <c r="DN3324" t="s">
        <v>2890</v>
      </c>
      <c r="DO3324" t="s">
        <v>1925</v>
      </c>
      <c r="DP3324" t="s">
        <v>2049</v>
      </c>
      <c r="DQ3324" s="459" t="s">
        <v>885</v>
      </c>
      <c r="DR3324" s="459" t="s">
        <v>885</v>
      </c>
      <c r="DS3324" t="s">
        <v>3144</v>
      </c>
      <c r="DT3324" s="459" t="s">
        <v>885</v>
      </c>
      <c r="DU3324" t="s">
        <v>3234</v>
      </c>
      <c r="DV3324" t="s">
        <v>3258</v>
      </c>
      <c r="DW3324" s="245" t="s">
        <v>885</v>
      </c>
      <c r="DX3324" s="245" t="s">
        <v>885</v>
      </c>
      <c r="DY3324" s="245"/>
      <c r="DZ3324" s="470" t="str">
        <f>IF($B$265=$B$3278,EB3324,IF($B$265=$B$3279,ED3324,IF($B$265=$B$3280,EF3324,IF($B$265=$B$3281,EH3324,IF($B$265=$B$3282,EJ3324,IF($B$265=$B$3283,EL3324,IF($B$265=$B$3284,EN3324,IF($B$265=$B$3285,EP3324,IF($B$265=$B$3286,ER3324,IF($B$265=$B$3287,ET3324,IF($B$265=$B$3288,EV3324,IF($B$265=$B$3289,EX3324,IF($B$265=$B$3290,EZ3324,IF($B$265=$B$3291,FB3324,IF($B$265=$B$3292,FD3324,IF($B$265=$B$3293,BU3324,IF($B$265=$B$3294,FF3324,IF($B$265=$B$3295,FH3324,IF($B$265=$B$3296,FJ3324,IF($B$265=$B$3297,FL3324,IF($B$265=$B$3298,FN3324,IF($B$265=$B$3299,FP3324,IF(BI$265=$B$3300,FR3324,IF($B$265=$B$3301,FT3324,IF($B$265=$B$3302,FV3324,IF($B$265=$B$3303,FX3324,IF($B$265=$B$3304,FZ3324,IF($B$265=$B$3305,GB3324,IF($B$265=$B$3306,GD3324,IF($B$265=$B$3307,GF3324,IF($B$265=$B$3308,GH3324,IF($B$265=$B$3309,GJ3324,IF($B$265=$B$3310,GL3324,IF($B$265=$B$3311,GN3324,IF($B$265=$B$3312,GP3324,IF($B$265=$B$3313,GR3324,IF($B$265=$B$3314,GT3324,IF($B$265=$B$3315,GV3324,IF($B$265=$B$3316,GX3324,IF($B$265=$B$3317,GZ3324,IF($B$265=$B$3318,HB3324,IF($B$265=$B$3319,HD3324,IF($B$265=$B$3320,HF3324,IF($B$265=$B$3321,HH3324,IF($B$265=$B$3322,HJ3324,IF($B$265=$B$3323,HL3324,IF($B$265=$B$3324,HN3324,IF($B$265=$B$3325,HP3324,IF($B$265=$B$3326,HR3324,IF($B$265=$B$3327,HT3324,IF($B$265=$B$3328,HV3324,IF($B$265=$B$3329,HX3324,""))))))))))))))))))))))))))))))))))))))))))))))))))))</f>
        <v/>
      </c>
      <c r="EA3324" s="470" t="str">
        <f>IF($B$265=$B$3278,EC3324,IF($B$265=$B$3279,EE3324,IF($B$265=$B$3280,EG3324,IF($B$265=$B$3281,EI3324,IF($B$265=$B$3282,EK3324,IF($B$265=$B$3283,EM3324,IF($B$265=$B$3284,EO3324,IF($B$265=$B$3285,EQ3324,IF($B$265=$B$3286,ES3324,IF($B$265=$B$3287,EU3324,IF($B$265=$B$3288,EW3324,IF($B$265=$B$3289,EY3324,IF($B$265=$B$3290,FA3324,IF($B$265=$B$3291,FC3324,IF($B$265=$B$3292,FE3324,IF($B$265=$B$3293,BK3324,IF($B$265=$B$3294,FG3324,IF($B$265=$B$3295,FI3324,IF($B$265=$B$3296,FK3324,IF($B$265=$B$3297,FM3324,IF($B$265=$B$3298,FO3324,IF($B$265=$B$3299,FQ3324,IF(BJ$265=$B$3300,FS3324,IF($B$265=$B$3301,FU3324,IF($B$265=$B$3302,FW3324,IF($B$265=$B$3303,FY3324,IF($B$265=$B$3304,GA3324,IF($B$265=$B$3305,GC3324,IF($B$265=$B$3306,GE3324,IF($B$265=$B$3307,GG3324,IF($B$265=$B$3308,GI3324,IF($B$265=$B$3309,GK3324,IF($B$265=$B$3310,GM3324,IF($B$265=$B$3311,GO3324,IF($B$265=$B$3312,GQ3324,IF($B$265=$B$3313,GS3324,IF($B$265=$B$3314,GU3324,IF($B$265=$B$3315,GW3324,IF($B$265=$B$3316,GY3324,IF($B$265=$B$3317,HA3324,IF($B$265=$B$3318,HC3324,IF($B$265=$B$3319,HE3324,IF($B$265=$B$3320,HG3324,IF($B$265=$B$3321,HI3324,IF($B$265=$B$3322,HK3324,IF($B$265=$B$3323,HM3324,IF($B$265=$B$3324,HO3324,IF($B$265=$B$3325,HQ3324,IF($B$265=$B$3326,HS3324,IF($B$265=$B$3327,HU3324,IF($B$265=$B$3328,HW3324,IF($B$265=$B$3329,HY3324,""))))))))))))))))))))))))))))))))))))))))))))))))))))</f>
        <v/>
      </c>
      <c r="EB3324" t="s">
        <v>3317</v>
      </c>
      <c r="EC3324" s="471" t="s">
        <v>3283</v>
      </c>
      <c r="EH3324" t="str">
        <f>EH3305</f>
        <v>Scott Ellington</v>
      </c>
      <c r="EI3324" s="473" t="s">
        <v>3294</v>
      </c>
      <c r="EJ3324" t="s">
        <v>3417</v>
      </c>
      <c r="EK3324" s="473" t="s">
        <v>3294</v>
      </c>
      <c r="EL3324" t="str">
        <f>EL3321</f>
        <v>Seth D. Ryan</v>
      </c>
      <c r="EM3324" s="473" t="str">
        <f>EM3321</f>
        <v>R</v>
      </c>
    </row>
    <row r="3325" spans="1:143" ht="15.5" hidden="1" x14ac:dyDescent="0.35">
      <c r="A3325" s="417" t="s">
        <v>1241</v>
      </c>
      <c r="B3325" s="418" t="s">
        <v>1242</v>
      </c>
      <c r="C3325" s="419">
        <v>50000</v>
      </c>
      <c r="D3325" s="419">
        <v>25000</v>
      </c>
      <c r="G3325" s="420"/>
      <c r="H3325" s="420"/>
      <c r="I3325" s="420"/>
      <c r="J3325" s="420"/>
      <c r="K3325" s="420"/>
      <c r="L3325" s="420"/>
      <c r="M3325" s="420"/>
      <c r="N3325" s="420"/>
      <c r="O3325" s="420"/>
      <c r="P3325" s="420"/>
      <c r="Q3325" s="420"/>
      <c r="R3325" s="420"/>
      <c r="S3325" s="420"/>
      <c r="T3325" s="420"/>
      <c r="U3325" s="420"/>
      <c r="V3325" s="420"/>
      <c r="W3325" s="420"/>
      <c r="X3325" s="420"/>
      <c r="Y3325" s="420"/>
      <c r="Z3325" s="420"/>
      <c r="AB3325" s="48" t="s">
        <v>1243</v>
      </c>
      <c r="AC3325" s="245" t="s">
        <v>885</v>
      </c>
      <c r="AD3325" s="48" t="s">
        <v>1180</v>
      </c>
      <c r="AF3325" s="421">
        <v>3</v>
      </c>
      <c r="AG3325" s="48">
        <v>3</v>
      </c>
      <c r="AH3325" s="48" t="s">
        <v>1046</v>
      </c>
      <c r="AI3325" s="48" t="str">
        <f>CONCATENATE(AG3325,AH3325)</f>
        <v>3 years</v>
      </c>
      <c r="AK3325" s="48" t="s">
        <v>1112</v>
      </c>
      <c r="AO3325" s="48" t="s">
        <v>1244</v>
      </c>
      <c r="AR3325" s="245" t="s">
        <v>885</v>
      </c>
      <c r="AS3325" s="48" t="s">
        <v>1235</v>
      </c>
      <c r="AW3325" s="245" t="s">
        <v>885</v>
      </c>
      <c r="AX3325" s="48">
        <v>48</v>
      </c>
      <c r="BB3325" s="402">
        <f ca="1">MIN(((C3325*$AE$321)+($AE$330*G3325)),D3325)</f>
        <v>25000</v>
      </c>
      <c r="BF3325" s="423">
        <v>31841</v>
      </c>
      <c r="BG3325" s="415">
        <f t="shared" si="148"/>
        <v>0</v>
      </c>
      <c r="BH3325" s="415">
        <f t="shared" si="143"/>
        <v>0</v>
      </c>
      <c r="BI3325" s="365">
        <f t="shared" si="144"/>
        <v>0</v>
      </c>
      <c r="BJ3325" s="157">
        <f t="shared" si="149"/>
        <v>0</v>
      </c>
      <c r="BK3325" s="416">
        <f t="shared" si="145"/>
        <v>0</v>
      </c>
      <c r="BN3325" s="1107">
        <f t="shared" si="152"/>
        <v>0</v>
      </c>
      <c r="BO3325" s="927"/>
      <c r="BP3325" s="927"/>
      <c r="BQ3325" s="927"/>
      <c r="BS3325" s="464" t="str">
        <f>IF($B$265=B$3278,BZ3324,IF($B$265=B$3279,CA3324,IF($B$265=B$3280,CB3324,IF($B$265=B$3281,CC3324,IF($B$265=B$3282,CD3324,IF($B$265=B$3283,CE3324,IF($B$265=B$3284,CF3324,IF($B$265=B$3285,CG3324,IF($B$265=B$3286,CH3324,IF($B$265=B$3287,CI3324,IF($B$265=B$3288,CJ3324,IF($B$265=B$3289,CK3324,IF($B$265=B$3290,CL3324,IF($B$265=B$3291,CM3324,IF($B$265=B$3292,CN3324,IF($B$265=B$3293,C3324,IF($B$265=B$3294,CO3324,IF($B$265=B$3295,CP3324,IF($B$265=B$3296,CQ3324,IF($B$265=B$3297,CR3324,IF($B$265=B$3298,CS3324,IF($B$265=B$3299,CT3324,IF(B$265=B$3300,CU3324,IF($B$265=B$3301,CV3324,IF($B$265=B$3302,CW3324,IF($B$265=B$3303,CX3324,IF($B$265=B$3304,CY3324,IF($B$265=B$3305,CZ3324,IF($B$265=B$3306,DA3324,IF($B$265=B$3307,DB3324,IF($B$265=B$3308,DC3324,IF($B$265=B$3309,DD3324,IF($B$265=B$3310,DE3324,IF($B$265=B$3311,DF3324,IF($B$265=B$3312,DG3324,IF($B$265=B$3313,DH3324,IF($B$265=B$3314,DI3324,IF($B$265=B$3315,DJ3324,IF($B$265=B$3316,DK3324,IF($B$265=B$3317,DL3324,IF($B$265=B$3318,DM3324,IF($B$265=B$3319,DN3324,IF($B$265=B$3320,DO3324,IF($B$265=B$3321,DP3324,IF($B$265=B$3322,DQ3324,IF($B$265=B$3323,DR3324,IF($B$265=B$3324,DS3324,IF($B$265=B$3325,DT3324,IF($B$265=B$3326,DU3324,IF($B$265=B$3327,DV3324,IF($B$265=B$3328,DW3324,IF($B$265=B$3329,DX3324,""))))))))))))))))))))))))))))))))))))))))))))))))))))</f>
        <v/>
      </c>
      <c r="BZ3325" s="48" t="s">
        <v>1478</v>
      </c>
      <c r="CA3325" s="245" t="s">
        <v>885</v>
      </c>
      <c r="CB3325" s="245" t="s">
        <v>885</v>
      </c>
      <c r="CC3325" t="s">
        <v>1480</v>
      </c>
      <c r="CD3325" t="s">
        <v>1629</v>
      </c>
      <c r="CE3325" t="s">
        <v>1681</v>
      </c>
      <c r="CF3325" s="245" t="s">
        <v>885</v>
      </c>
      <c r="CG3325" s="245" t="s">
        <v>885</v>
      </c>
      <c r="CH3325" s="245" t="s">
        <v>885</v>
      </c>
      <c r="CI3325" t="s">
        <v>1612</v>
      </c>
      <c r="CJ3325" t="s">
        <v>1658</v>
      </c>
      <c r="CK3325" s="459" t="s">
        <v>885</v>
      </c>
      <c r="CL3325" s="459" t="s">
        <v>885</v>
      </c>
      <c r="CM3325" t="s">
        <v>1925</v>
      </c>
      <c r="CN3325" t="s">
        <v>1475</v>
      </c>
      <c r="CO3325" t="s">
        <v>2013</v>
      </c>
      <c r="CP3325" t="s">
        <v>2067</v>
      </c>
      <c r="CQ3325" t="s">
        <v>2132</v>
      </c>
      <c r="CR3325" t="s">
        <v>2209</v>
      </c>
      <c r="CS3325" s="459" t="s">
        <v>885</v>
      </c>
      <c r="CT3325" s="245" t="s">
        <v>885</v>
      </c>
      <c r="CU3325" t="s">
        <v>2288</v>
      </c>
      <c r="CV3325" t="s">
        <v>2346</v>
      </c>
      <c r="CW3325" t="s">
        <v>1480</v>
      </c>
      <c r="CX3325" t="s">
        <v>1466</v>
      </c>
      <c r="CY3325" t="s">
        <v>2484</v>
      </c>
      <c r="CZ3325" t="s">
        <v>1467</v>
      </c>
      <c r="DA3325" s="459" t="s">
        <v>885</v>
      </c>
      <c r="DB3325" s="459" t="s">
        <v>885</v>
      </c>
      <c r="DC3325" s="459" t="s">
        <v>885</v>
      </c>
      <c r="DD3325" s="459" t="s">
        <v>885</v>
      </c>
      <c r="DE3325" t="s">
        <v>2608</v>
      </c>
      <c r="DF3325" t="s">
        <v>2649</v>
      </c>
      <c r="DG3325" t="s">
        <v>2706</v>
      </c>
      <c r="DH3325" t="s">
        <v>2018</v>
      </c>
      <c r="DI3325" t="s">
        <v>2770</v>
      </c>
      <c r="DJ3325" s="459" t="s">
        <v>885</v>
      </c>
      <c r="DK3325" t="s">
        <v>2658</v>
      </c>
      <c r="DL3325" s="459" t="s">
        <v>885</v>
      </c>
      <c r="DM3325" s="459" t="s">
        <v>885</v>
      </c>
      <c r="DN3325" t="s">
        <v>2891</v>
      </c>
      <c r="DO3325" t="s">
        <v>1600</v>
      </c>
      <c r="DP3325" t="s">
        <v>2964</v>
      </c>
      <c r="DQ3325" s="459" t="s">
        <v>885</v>
      </c>
      <c r="DR3325" s="459" t="s">
        <v>885</v>
      </c>
      <c r="DS3325" t="s">
        <v>3145</v>
      </c>
      <c r="DT3325" s="459" t="s">
        <v>885</v>
      </c>
      <c r="DU3325" t="s">
        <v>3073</v>
      </c>
      <c r="DV3325" t="s">
        <v>1829</v>
      </c>
      <c r="DW3325" s="245" t="s">
        <v>885</v>
      </c>
      <c r="DX3325" s="245" t="s">
        <v>885</v>
      </c>
      <c r="DY3325" s="245"/>
      <c r="DZ3325" s="470" t="str">
        <f>IF($B$265=$B$3278,EB3325,IF($B$265=$B$3279,ED3325,IF($B$265=$B$3280,EF3325,IF($B$265=$B$3281,EH3325,IF($B$265=$B$3282,EJ3325,IF($B$265=$B$3283,EL3325,IF($B$265=$B$3284,EN3325,IF($B$265=$B$3285,EP3325,IF($B$265=$B$3286,ER3325,IF($B$265=$B$3287,ET3325,IF($B$265=$B$3288,EV3325,IF($B$265=$B$3289,EX3325,IF($B$265=$B$3290,EZ3325,IF($B$265=$B$3291,FB3325,IF($B$265=$B$3292,FD3325,IF($B$265=$B$3293,BU3325,IF($B$265=$B$3294,FF3325,IF($B$265=$B$3295,FH3325,IF($B$265=$B$3296,FJ3325,IF($B$265=$B$3297,FL3325,IF($B$265=$B$3298,FN3325,IF($B$265=$B$3299,FP3325,IF(BI$265=$B$3300,FR3325,IF($B$265=$B$3301,FT3325,IF($B$265=$B$3302,FV3325,IF($B$265=$B$3303,FX3325,IF($B$265=$B$3304,FZ3325,IF($B$265=$B$3305,GB3325,IF($B$265=$B$3306,GD3325,IF($B$265=$B$3307,GF3325,IF($B$265=$B$3308,GH3325,IF($B$265=$B$3309,GJ3325,IF($B$265=$B$3310,GL3325,IF($B$265=$B$3311,GN3325,IF($B$265=$B$3312,GP3325,IF($B$265=$B$3313,GR3325,IF($B$265=$B$3314,GT3325,IF($B$265=$B$3315,GV3325,IF($B$265=$B$3316,GX3325,IF($B$265=$B$3317,GZ3325,IF($B$265=$B$3318,HB3325,IF($B$265=$B$3319,HD3325,IF($B$265=$B$3320,HF3325,IF($B$265=$B$3321,HH3325,IF($B$265=$B$3322,HJ3325,IF($B$265=$B$3323,HL3325,IF($B$265=$B$3324,HN3325,IF($B$265=$B$3325,HP3325,IF($B$265=$B$3326,HR3325,IF($B$265=$B$3327,HT3325,IF($B$265=$B$3328,HV3325,IF($B$265=$B$3329,HX3325,""))))))))))))))))))))))))))))))))))))))))))))))))))))</f>
        <v/>
      </c>
      <c r="EA3325" s="470" t="str">
        <f>IF($B$265=$B$3278,EC3325,IF($B$265=$B$3279,EE3325,IF($B$265=$B$3280,EG3325,IF($B$265=$B$3281,EI3325,IF($B$265=$B$3282,EK3325,IF($B$265=$B$3283,EM3325,IF($B$265=$B$3284,EO3325,IF($B$265=$B$3285,EQ3325,IF($B$265=$B$3286,ES3325,IF($B$265=$B$3287,EU3325,IF($B$265=$B$3288,EW3325,IF($B$265=$B$3289,EY3325,IF($B$265=$B$3290,FA3325,IF($B$265=$B$3291,FC3325,IF($B$265=$B$3292,FE3325,IF($B$265=$B$3293,BK3325,IF($B$265=$B$3294,FG3325,IF($B$265=$B$3295,FI3325,IF($B$265=$B$3296,FK3325,IF($B$265=$B$3297,FM3325,IF($B$265=$B$3298,FO3325,IF($B$265=$B$3299,FQ3325,IF(BJ$265=$B$3300,FS3325,IF($B$265=$B$3301,FU3325,IF($B$265=$B$3302,FW3325,IF($B$265=$B$3303,FY3325,IF($B$265=$B$3304,GA3325,IF($B$265=$B$3305,GC3325,IF($B$265=$B$3306,GE3325,IF($B$265=$B$3307,GG3325,IF($B$265=$B$3308,GI3325,IF($B$265=$B$3309,GK3325,IF($B$265=$B$3310,GM3325,IF($B$265=$B$3311,GO3325,IF($B$265=$B$3312,GQ3325,IF($B$265=$B$3313,GS3325,IF($B$265=$B$3314,GU3325,IF($B$265=$B$3315,GW3325,IF($B$265=$B$3316,GY3325,IF($B$265=$B$3317,HA3325,IF($B$265=$B$3318,HC3325,IF($B$265=$B$3319,HE3325,IF($B$265=$B$3320,HG3325,IF($B$265=$B$3321,HI3325,IF($B$265=$B$3322,HK3325,IF($B$265=$B$3323,HM3325,IF($B$265=$B$3324,HO3325,IF($B$265=$B$3325,HQ3325,IF($B$265=$B$3326,HS3325,IF($B$265=$B$3327,HU3325,IF($B$265=$B$3328,HW3325,IF($B$265=$B$3329,HY3325,""))))))))))))))))))))))))))))))))))))))))))))))))))))</f>
        <v/>
      </c>
      <c r="EB3325" t="s">
        <v>3318</v>
      </c>
      <c r="EC3325" s="471" t="s">
        <v>3294</v>
      </c>
      <c r="EH3325" t="str">
        <f>EH3316</f>
        <v>Todd Murray</v>
      </c>
      <c r="EI3325" s="473" t="s">
        <v>3294</v>
      </c>
      <c r="EJ3325" t="s">
        <v>3418</v>
      </c>
      <c r="EK3325" s="473" t="s">
        <v>3294</v>
      </c>
      <c r="EL3325" t="str">
        <f>EL3300</f>
        <v>Linda Stanley</v>
      </c>
      <c r="EM3325" s="473" t="str">
        <f>EM3300</f>
        <v>R</v>
      </c>
    </row>
    <row r="3326" spans="1:143" ht="15.5" hidden="1" x14ac:dyDescent="0.35">
      <c r="A3326" s="417" t="s">
        <v>1245</v>
      </c>
      <c r="B3326" s="418" t="s">
        <v>1246</v>
      </c>
      <c r="C3326" s="427"/>
      <c r="D3326" s="428" t="str">
        <f>D3310</f>
        <v>no limit</v>
      </c>
      <c r="G3326" s="420"/>
      <c r="H3326" s="420"/>
      <c r="I3326" s="420"/>
      <c r="J3326" s="420"/>
      <c r="K3326" s="420"/>
      <c r="L3326" s="420"/>
      <c r="M3326" s="420"/>
      <c r="N3326" s="420"/>
      <c r="O3326" s="420"/>
      <c r="P3326" s="420"/>
      <c r="Q3326" s="420"/>
      <c r="R3326" s="420"/>
      <c r="S3326" s="420"/>
      <c r="T3326" s="420"/>
      <c r="U3326" s="420"/>
      <c r="V3326" s="420"/>
      <c r="W3326" s="420"/>
      <c r="X3326" s="420"/>
      <c r="Y3326" s="420"/>
      <c r="Z3326" s="420"/>
      <c r="AB3326" s="48" t="s">
        <v>1247</v>
      </c>
      <c r="AC3326" s="245" t="s">
        <v>885</v>
      </c>
      <c r="AD3326" s="48" t="s">
        <v>1102</v>
      </c>
      <c r="AF3326" s="421"/>
      <c r="AG3326" s="48">
        <v>2</v>
      </c>
      <c r="AH3326" s="48" t="s">
        <v>1046</v>
      </c>
      <c r="AI3326" s="48" t="str">
        <f>CONCATENATE(AG3326,AH3326)</f>
        <v>2 years</v>
      </c>
      <c r="AK3326" s="245" t="s">
        <v>885</v>
      </c>
      <c r="AO3326" s="48" t="s">
        <v>1248</v>
      </c>
      <c r="AR3326" s="245" t="s">
        <v>885</v>
      </c>
      <c r="AS3326" s="48" t="s">
        <v>1235</v>
      </c>
      <c r="AW3326" s="245" t="s">
        <v>885</v>
      </c>
      <c r="AX3326" s="48">
        <v>49</v>
      </c>
      <c r="BB3326" s="402" t="str">
        <f>D3326</f>
        <v>no limit</v>
      </c>
      <c r="BF3326" s="423">
        <v>22714</v>
      </c>
      <c r="BG3326" s="415">
        <f t="shared" si="148"/>
        <v>0</v>
      </c>
      <c r="BH3326" s="415">
        <f t="shared" si="143"/>
        <v>0</v>
      </c>
      <c r="BI3326" s="365">
        <f t="shared" si="144"/>
        <v>0</v>
      </c>
      <c r="BJ3326" s="157">
        <f t="shared" si="149"/>
        <v>0</v>
      </c>
      <c r="BK3326" s="416">
        <f t="shared" si="145"/>
        <v>0</v>
      </c>
      <c r="BN3326" s="1107">
        <f t="shared" si="152"/>
        <v>0</v>
      </c>
      <c r="BO3326" s="927"/>
      <c r="BP3326" s="927"/>
      <c r="BQ3326" s="927"/>
      <c r="BS3326" s="464" t="str">
        <f>IF($B$265=B$3278,BZ3325,IF($B$265=B$3279,CA3325,IF($B$265=B$3280,CB3325,IF($B$265=B$3281,CC3325,IF($B$265=B$3282,CD3325,IF($B$265=B$3283,CE3325,IF($B$265=B$3284,CF3325,IF($B$265=B$3285,CG3325,IF($B$265=B$3286,CH3325,IF($B$265=B$3287,CI3325,IF($B$265=B$3288,CJ3325,IF($B$265=B$3289,CK3325,IF($B$265=B$3290,CL3325,IF($B$265=B$3291,CM3325,IF($B$265=B$3292,CN3325,IF($B$265=B$3293,C3325,IF($B$265=B$3294,CO3325,IF($B$265=B$3295,CP3325,IF($B$265=B$3296,CQ3325,IF($B$265=B$3297,CR3325,IF($B$265=B$3298,CS3325,IF($B$265=B$3299,CT3325,IF(B$265=B$3300,CU3325,IF($B$265=B$3301,CV3325,IF($B$265=B$3302,CW3325,IF($B$265=B$3303,CX3325,IF($B$265=B$3304,CY3325,IF($B$265=B$3305,CZ3325,IF($B$265=B$3306,DA3325,IF($B$265=B$3307,DB3325,IF($B$265=B$3308,DC3325,IF($B$265=B$3309,DD3325,IF($B$265=B$3310,DE3325,IF($B$265=B$3311,DF3325,IF($B$265=B$3312,DG3325,IF($B$265=B$3313,DH3325,IF($B$265=B$3314,DI3325,IF($B$265=B$3315,DJ3325,IF($B$265=B$3316,DK3325,IF($B$265=B$3317,DL3325,IF($B$265=B$3318,DM3325,IF($B$265=B$3319,DN3325,IF($B$265=B$3320,DO3325,IF($B$265=B$3321,DP3325,IF($B$265=B$3322,DQ3325,IF($B$265=B$3323,DR3325,IF($B$265=B$3324,DS3325,IF($B$265=B$3325,DT3325,IF($B$265=B$3326,DU3325,IF($B$265=B$3327,DV3325,IF($B$265=B$3328,DW3325,IF($B$265=B$3329,DX3325,""))))))))))))))))))))))))))))))))))))))))))))))))))))</f>
        <v/>
      </c>
      <c r="BZ3326" s="48" t="s">
        <v>1479</v>
      </c>
      <c r="CA3326" s="245" t="s">
        <v>885</v>
      </c>
      <c r="CB3326" s="245" t="s">
        <v>885</v>
      </c>
      <c r="CC3326" t="s">
        <v>1481</v>
      </c>
      <c r="CD3326" t="s">
        <v>1630</v>
      </c>
      <c r="CE3326" t="s">
        <v>1565</v>
      </c>
      <c r="CF3326" s="245" t="s">
        <v>885</v>
      </c>
      <c r="CG3326" s="245" t="s">
        <v>885</v>
      </c>
      <c r="CH3326" s="245" t="s">
        <v>885</v>
      </c>
      <c r="CI3326" t="s">
        <v>1739</v>
      </c>
      <c r="CJ3326" t="s">
        <v>1789</v>
      </c>
      <c r="CK3326" s="459" t="s">
        <v>885</v>
      </c>
      <c r="CL3326" s="459" t="s">
        <v>885</v>
      </c>
      <c r="CM3326" t="s">
        <v>1600</v>
      </c>
      <c r="CN3326" t="s">
        <v>1477</v>
      </c>
      <c r="CO3326" t="s">
        <v>1466</v>
      </c>
      <c r="CP3326" t="s">
        <v>1669</v>
      </c>
      <c r="CQ3326" t="s">
        <v>1964</v>
      </c>
      <c r="CR3326" t="s">
        <v>2210</v>
      </c>
      <c r="CS3326" s="459" t="s">
        <v>885</v>
      </c>
      <c r="CT3326" s="245" t="s">
        <v>885</v>
      </c>
      <c r="CU3326" t="s">
        <v>2289</v>
      </c>
      <c r="CV3326" t="s">
        <v>2347</v>
      </c>
      <c r="CW3326" t="s">
        <v>1481</v>
      </c>
      <c r="CX3326" t="s">
        <v>1811</v>
      </c>
      <c r="CY3326" t="s">
        <v>2485</v>
      </c>
      <c r="CZ3326" t="s">
        <v>1554</v>
      </c>
      <c r="DA3326" s="459" t="s">
        <v>885</v>
      </c>
      <c r="DB3326" s="459" t="s">
        <v>885</v>
      </c>
      <c r="DC3326" s="459" t="s">
        <v>885</v>
      </c>
      <c r="DD3326" s="459" t="s">
        <v>885</v>
      </c>
      <c r="DE3326" t="s">
        <v>1943</v>
      </c>
      <c r="DF3326" t="s">
        <v>2650</v>
      </c>
      <c r="DG3326" t="s">
        <v>2707</v>
      </c>
      <c r="DH3326" t="s">
        <v>1475</v>
      </c>
      <c r="DI3326" t="s">
        <v>1820</v>
      </c>
      <c r="DJ3326" s="459" t="s">
        <v>885</v>
      </c>
      <c r="DK3326" t="s">
        <v>2829</v>
      </c>
      <c r="DL3326" s="459" t="s">
        <v>885</v>
      </c>
      <c r="DM3326" s="459" t="s">
        <v>885</v>
      </c>
      <c r="DN3326" t="s">
        <v>2892</v>
      </c>
      <c r="DO3326" t="s">
        <v>1469</v>
      </c>
      <c r="DP3326" t="s">
        <v>2965</v>
      </c>
      <c r="DQ3326" s="459" t="s">
        <v>885</v>
      </c>
      <c r="DR3326" s="459" t="s">
        <v>885</v>
      </c>
      <c r="DS3326" t="s">
        <v>2912</v>
      </c>
      <c r="DT3326" s="459" t="s">
        <v>885</v>
      </c>
      <c r="DU3326" t="s">
        <v>3074</v>
      </c>
      <c r="DV3326" t="s">
        <v>1567</v>
      </c>
      <c r="DW3326" s="245" t="s">
        <v>885</v>
      </c>
      <c r="DX3326" s="245" t="s">
        <v>885</v>
      </c>
      <c r="DY3326" s="245"/>
      <c r="DZ3326" s="470" t="str">
        <f>IF($B$265=$B$3278,EB3326,IF($B$265=$B$3279,ED3326,IF($B$265=$B$3280,EF3326,IF($B$265=$B$3281,EH3326,IF($B$265=$B$3282,EJ3326,IF($B$265=$B$3283,EL3326,IF($B$265=$B$3284,EN3326,IF($B$265=$B$3285,EP3326,IF($B$265=$B$3286,ER3326,IF($B$265=$B$3287,ET3326,IF($B$265=$B$3288,EV3326,IF($B$265=$B$3289,EX3326,IF($B$265=$B$3290,EZ3326,IF($B$265=$B$3291,FB3326,IF($B$265=$B$3292,FD3326,IF($B$265=$B$3293,BU3326,IF($B$265=$B$3294,FF3326,IF($B$265=$B$3295,FH3326,IF($B$265=$B$3296,FJ3326,IF($B$265=$B$3297,FL3326,IF($B$265=$B$3298,FN3326,IF($B$265=$B$3299,FP3326,IF(BI$265=$B$3300,FR3326,IF($B$265=$B$3301,FT3326,IF($B$265=$B$3302,FV3326,IF($B$265=$B$3303,FX3326,IF($B$265=$B$3304,FZ3326,IF($B$265=$B$3305,GB3326,IF($B$265=$B$3306,GD3326,IF($B$265=$B$3307,GF3326,IF($B$265=$B$3308,GH3326,IF($B$265=$B$3309,GJ3326,IF($B$265=$B$3310,GL3326,IF($B$265=$B$3311,GN3326,IF($B$265=$B$3312,GP3326,IF($B$265=$B$3313,GR3326,IF($B$265=$B$3314,GT3326,IF($B$265=$B$3315,GV3326,IF($B$265=$B$3316,GX3326,IF($B$265=$B$3317,GZ3326,IF($B$265=$B$3318,HB3326,IF($B$265=$B$3319,HD3326,IF($B$265=$B$3320,HF3326,IF($B$265=$B$3321,HH3326,IF($B$265=$B$3322,HJ3326,IF($B$265=$B$3323,HL3326,IF($B$265=$B$3324,HN3326,IF($B$265=$B$3325,HP3326,IF($B$265=$B$3326,HR3326,IF($B$265=$B$3327,HT3326,IF($B$265=$B$3328,HV3326,IF($B$265=$B$3329,HX3326,""))))))))))))))))))))))))))))))))))))))))))))))))))))</f>
        <v/>
      </c>
      <c r="EA3326" s="470" t="str">
        <f>IF($B$265=$B$3278,EC3326,IF($B$265=$B$3279,EE3326,IF($B$265=$B$3280,EG3326,IF($B$265=$B$3281,EI3326,IF($B$265=$B$3282,EK3326,IF($B$265=$B$3283,EM3326,IF($B$265=$B$3284,EO3326,IF($B$265=$B$3285,EQ3326,IF($B$265=$B$3286,ES3326,IF($B$265=$B$3287,EU3326,IF($B$265=$B$3288,EW3326,IF($B$265=$B$3289,EY3326,IF($B$265=$B$3290,FA3326,IF($B$265=$B$3291,FC3326,IF($B$265=$B$3292,FE3326,IF($B$265=$B$3293,BK3326,IF($B$265=$B$3294,FG3326,IF($B$265=$B$3295,FI3326,IF($B$265=$B$3296,FK3326,IF($B$265=$B$3297,FM3326,IF($B$265=$B$3298,FO3326,IF($B$265=$B$3299,FQ3326,IF(BJ$265=$B$3300,FS3326,IF($B$265=$B$3301,FU3326,IF($B$265=$B$3302,FW3326,IF($B$265=$B$3303,FY3326,IF($B$265=$B$3304,GA3326,IF($B$265=$B$3305,GC3326,IF($B$265=$B$3306,GE3326,IF($B$265=$B$3307,GG3326,IF($B$265=$B$3308,GI3326,IF($B$265=$B$3309,GK3326,IF($B$265=$B$3310,GM3326,IF($B$265=$B$3311,GO3326,IF($B$265=$B$3312,GQ3326,IF($B$265=$B$3313,GS3326,IF($B$265=$B$3314,GU3326,IF($B$265=$B$3315,GW3326,IF($B$265=$B$3316,GY3326,IF($B$265=$B$3317,HA3326,IF($B$265=$B$3318,HC3326,IF($B$265=$B$3319,HE3326,IF($B$265=$B$3320,HG3326,IF($B$265=$B$3321,HI3326,IF($B$265=$B$3322,HK3326,IF($B$265=$B$3323,HM3326,IF($B$265=$B$3324,HO3326,IF($B$265=$B$3325,HQ3326,IF($B$265=$B$3326,HS3326,IF($B$265=$B$3327,HU3326,IF($B$265=$B$3328,HW3326,IF($B$265=$B$3329,HY3326,""))))))))))))))))))))))))))))))))))))))))))))))))))))</f>
        <v/>
      </c>
      <c r="EB3326" t="s">
        <v>3319</v>
      </c>
      <c r="EC3326" s="471" t="s">
        <v>3283</v>
      </c>
      <c r="EH3326" t="s">
        <v>3366</v>
      </c>
      <c r="EI3326" s="473" t="s">
        <v>3294</v>
      </c>
      <c r="EJ3326" t="s">
        <v>3419</v>
      </c>
      <c r="EK3326" s="473" t="s">
        <v>3294</v>
      </c>
      <c r="EL3326" t="str">
        <f>EL3322</f>
        <v>Travis Sides</v>
      </c>
      <c r="EM3326" s="473" t="str">
        <f>EM3322</f>
        <v>R</v>
      </c>
    </row>
    <row r="3327" spans="1:143" ht="15.5" hidden="1" x14ac:dyDescent="0.35">
      <c r="A3327" s="417" t="s">
        <v>1249</v>
      </c>
      <c r="B3327" s="418" t="s">
        <v>1250</v>
      </c>
      <c r="C3327" s="419">
        <v>25000</v>
      </c>
      <c r="D3327" s="427" t="s">
        <v>885</v>
      </c>
      <c r="G3327" s="420"/>
      <c r="H3327" s="420"/>
      <c r="I3327" s="420"/>
      <c r="J3327" s="420"/>
      <c r="K3327" s="420"/>
      <c r="L3327" s="420"/>
      <c r="M3327" s="420"/>
      <c r="N3327" s="420"/>
      <c r="O3327" s="420"/>
      <c r="P3327" s="420"/>
      <c r="Q3327" s="420"/>
      <c r="R3327" s="420"/>
      <c r="S3327" s="420"/>
      <c r="T3327" s="420"/>
      <c r="U3327" s="420"/>
      <c r="V3327" s="420"/>
      <c r="W3327" s="420"/>
      <c r="X3327" s="420"/>
      <c r="Y3327" s="420"/>
      <c r="Z3327" s="420"/>
      <c r="AB3327" s="48" t="s">
        <v>1251</v>
      </c>
      <c r="AC3327" s="245" t="s">
        <v>885</v>
      </c>
      <c r="AD3327" s="48" t="s">
        <v>1252</v>
      </c>
      <c r="AF3327" s="421"/>
      <c r="AI3327" s="48" t="str">
        <f>AI3324</f>
        <v>2 years</v>
      </c>
      <c r="AK3327" s="48" t="s">
        <v>1047</v>
      </c>
      <c r="AO3327" s="48" t="s">
        <v>1253</v>
      </c>
      <c r="AR3327" s="245" t="s">
        <v>885</v>
      </c>
      <c r="AS3327" s="48" t="s">
        <v>1235</v>
      </c>
      <c r="AW3327" s="245" t="s">
        <v>885</v>
      </c>
      <c r="AX3327" s="48">
        <v>50</v>
      </c>
      <c r="BB3327" s="402">
        <f ca="1">MIN(((C3327*$AE$321)+($AE$330*G3327)),D3327)</f>
        <v>3125000</v>
      </c>
      <c r="BF3327" s="423">
        <v>28213</v>
      </c>
      <c r="BG3327" s="415">
        <f t="shared" si="148"/>
        <v>0</v>
      </c>
      <c r="BH3327" s="415">
        <f t="shared" si="143"/>
        <v>0</v>
      </c>
      <c r="BI3327" s="365">
        <f t="shared" si="144"/>
        <v>0</v>
      </c>
      <c r="BJ3327" s="157">
        <f t="shared" si="149"/>
        <v>0</v>
      </c>
      <c r="BK3327" s="416">
        <f t="shared" si="145"/>
        <v>0</v>
      </c>
      <c r="BN3327" s="1107">
        <f t="shared" si="152"/>
        <v>0</v>
      </c>
      <c r="BO3327" s="927"/>
      <c r="BP3327" s="927"/>
      <c r="BQ3327" s="927"/>
      <c r="BS3327" s="464" t="str">
        <f>IF($B$265=B$3278,BZ3326,IF($B$265=B$3279,CA3326,IF($B$265=B$3280,CB3326,IF($B$265=B$3281,CC3326,IF($B$265=B$3282,CD3326,IF($B$265=B$3283,CE3326,IF($B$265=B$3284,CF3326,IF($B$265=B$3285,CG3326,IF($B$265=B$3286,CH3326,IF($B$265=B$3287,CI3326,IF($B$265=B$3288,CJ3326,IF($B$265=B$3289,CK3326,IF($B$265=B$3290,CL3326,IF($B$265=B$3291,CM3326,IF($B$265=B$3292,CN3326,IF($B$265=B$3293,C3326,IF($B$265=B$3294,CO3326,IF($B$265=B$3295,CP3326,IF($B$265=B$3296,CQ3326,IF($B$265=B$3297,CR3326,IF($B$265=B$3298,CS3326,IF($B$265=B$3299,CT3326,IF(B$265=B$3300,CU3326,IF($B$265=B$3301,CV3326,IF($B$265=B$3302,CW3326,IF($B$265=B$3303,CX3326,IF($B$265=B$3304,CY3326,IF($B$265=B$3305,CZ3326,IF($B$265=B$3306,DA3326,IF($B$265=B$3307,DB3326,IF($B$265=B$3308,DC3326,IF($B$265=B$3309,DD3326,IF($B$265=B$3310,DE3326,IF($B$265=B$3311,DF3326,IF($B$265=B$3312,DG3326,IF($B$265=B$3313,DH3326,IF($B$265=B$3314,DI3326,IF($B$265=B$3315,DJ3326,IF($B$265=B$3316,DK3326,IF($B$265=B$3317,DL3326,IF($B$265=B$3318,DM3326,IF($B$265=B$3319,DN3326,IF($B$265=B$3320,DO3326,IF($B$265=B$3321,DP3326,IF($B$265=B$3322,DQ3326,IF($B$265=B$3323,DR3326,IF($B$265=B$3324,DS3326,IF($B$265=B$3325,DT3326,IF($B$265=B$3326,DU3326,IF($B$265=B$3327,DV3326,IF($B$265=B$3328,DW3326,IF($B$265=B$3329,DX3326,""))))))))))))))))))))))))))))))))))))))))))))))))))))</f>
        <v/>
      </c>
      <c r="BZ3327" s="48" t="s">
        <v>1480</v>
      </c>
      <c r="CA3327" s="245" t="s">
        <v>885</v>
      </c>
      <c r="CB3327" s="245" t="s">
        <v>885</v>
      </c>
      <c r="CC3327" t="s">
        <v>1562</v>
      </c>
      <c r="CD3327" t="s">
        <v>1631</v>
      </c>
      <c r="CE3327" t="s">
        <v>1682</v>
      </c>
      <c r="CF3327" s="245" t="s">
        <v>885</v>
      </c>
      <c r="CG3327" s="245" t="s">
        <v>885</v>
      </c>
      <c r="CH3327" s="245" t="s">
        <v>885</v>
      </c>
      <c r="CI3327" t="s">
        <v>1740</v>
      </c>
      <c r="CJ3327" t="s">
        <v>1790</v>
      </c>
      <c r="CK3327" s="459" t="s">
        <v>885</v>
      </c>
      <c r="CL3327" s="459" t="s">
        <v>885</v>
      </c>
      <c r="CM3327" t="s">
        <v>1926</v>
      </c>
      <c r="CN3327" t="s">
        <v>1478</v>
      </c>
      <c r="CO3327" t="s">
        <v>1811</v>
      </c>
      <c r="CP3327" t="s">
        <v>2068</v>
      </c>
      <c r="CQ3327" t="s">
        <v>1808</v>
      </c>
      <c r="CR3327" t="s">
        <v>2211</v>
      </c>
      <c r="CS3327" s="459" t="s">
        <v>885</v>
      </c>
      <c r="CT3327" s="245" t="s">
        <v>885</v>
      </c>
      <c r="CU3327" t="s">
        <v>2290</v>
      </c>
      <c r="CV3327" t="s">
        <v>2348</v>
      </c>
      <c r="CW3327" t="s">
        <v>2395</v>
      </c>
      <c r="CX3327" t="s">
        <v>1467</v>
      </c>
      <c r="CY3327" t="s">
        <v>1897</v>
      </c>
      <c r="CZ3327" t="s">
        <v>2512</v>
      </c>
      <c r="DA3327" s="459" t="s">
        <v>885</v>
      </c>
      <c r="DB3327" s="459" t="s">
        <v>885</v>
      </c>
      <c r="DC3327" s="459" t="s">
        <v>885</v>
      </c>
      <c r="DD3327" s="459" t="s">
        <v>885</v>
      </c>
      <c r="DE3327" t="s">
        <v>2609</v>
      </c>
      <c r="DF3327" t="s">
        <v>1466</v>
      </c>
      <c r="DG3327" t="s">
        <v>2708</v>
      </c>
      <c r="DH3327" t="s">
        <v>2729</v>
      </c>
      <c r="DI3327" t="s">
        <v>1823</v>
      </c>
      <c r="DJ3327" s="459" t="s">
        <v>885</v>
      </c>
      <c r="DK3327" t="s">
        <v>1483</v>
      </c>
      <c r="DL3327" s="459" t="s">
        <v>885</v>
      </c>
      <c r="DM3327" s="459" t="s">
        <v>885</v>
      </c>
      <c r="DN3327" t="s">
        <v>2893</v>
      </c>
      <c r="DO3327" t="s">
        <v>1470</v>
      </c>
      <c r="DP3327" t="s">
        <v>2966</v>
      </c>
      <c r="DQ3327" s="459" t="s">
        <v>885</v>
      </c>
      <c r="DR3327" s="459" t="s">
        <v>885</v>
      </c>
      <c r="DS3327" t="s">
        <v>2554</v>
      </c>
      <c r="DT3327" s="459" t="s">
        <v>885</v>
      </c>
      <c r="DU3327" t="s">
        <v>1855</v>
      </c>
      <c r="DV3327" t="s">
        <v>2735</v>
      </c>
      <c r="DW3327" s="245" t="s">
        <v>885</v>
      </c>
      <c r="DX3327" s="245" t="s">
        <v>885</v>
      </c>
      <c r="DY3327" s="245"/>
      <c r="DZ3327" s="470" t="str">
        <f>IF($B$265=$B$3278,EB3327,IF($B$265=$B$3279,ED3327,IF($B$265=$B$3280,EF3327,IF($B$265=$B$3281,EH3327,IF($B$265=$B$3282,EJ3327,IF($B$265=$B$3283,EL3327,IF($B$265=$B$3284,EN3327,IF($B$265=$B$3285,EP3327,IF($B$265=$B$3286,ER3327,IF($B$265=$B$3287,ET3327,IF($B$265=$B$3288,EV3327,IF($B$265=$B$3289,EX3327,IF($B$265=$B$3290,EZ3327,IF($B$265=$B$3291,FB3327,IF($B$265=$B$3292,FD3327,IF($B$265=$B$3293,BU3327,IF($B$265=$B$3294,FF3327,IF($B$265=$B$3295,FH3327,IF($B$265=$B$3296,FJ3327,IF($B$265=$B$3297,FL3327,IF($B$265=$B$3298,FN3327,IF($B$265=$B$3299,FP3327,IF(BI$265=$B$3300,FR3327,IF($B$265=$B$3301,FT3327,IF($B$265=$B$3302,FV3327,IF($B$265=$B$3303,FX3327,IF($B$265=$B$3304,FZ3327,IF($B$265=$B$3305,GB3327,IF($B$265=$B$3306,GD3327,IF($B$265=$B$3307,GF3327,IF($B$265=$B$3308,GH3327,IF($B$265=$B$3309,GJ3327,IF($B$265=$B$3310,GL3327,IF($B$265=$B$3311,GN3327,IF($B$265=$B$3312,GP3327,IF($B$265=$B$3313,GR3327,IF($B$265=$B$3314,GT3327,IF($B$265=$B$3315,GV3327,IF($B$265=$B$3316,GX3327,IF($B$265=$B$3317,GZ3327,IF($B$265=$B$3318,HB3327,IF($B$265=$B$3319,HD3327,IF($B$265=$B$3320,HF3327,IF($B$265=$B$3321,HH3327,IF($B$265=$B$3322,HJ3327,IF($B$265=$B$3323,HL3327,IF($B$265=$B$3324,HN3327,IF($B$265=$B$3325,HP3327,IF($B$265=$B$3326,HR3327,IF($B$265=$B$3327,HT3327,IF($B$265=$B$3328,HV3327,IF($B$265=$B$3329,HX3327,""))))))))))))))))))))))))))))))))))))))))))))))))))))</f>
        <v/>
      </c>
      <c r="EA3327" s="470" t="str">
        <f>IF($B$265=$B$3278,EC3327,IF($B$265=$B$3279,EE3327,IF($B$265=$B$3280,EG3327,IF($B$265=$B$3281,EI3327,IF($B$265=$B$3282,EK3327,IF($B$265=$B$3283,EM3327,IF($B$265=$B$3284,EO3327,IF($B$265=$B$3285,EQ3327,IF($B$265=$B$3286,ES3327,IF($B$265=$B$3287,EU3327,IF($B$265=$B$3288,EW3327,IF($B$265=$B$3289,EY3327,IF($B$265=$B$3290,FA3327,IF($B$265=$B$3291,FC3327,IF($B$265=$B$3292,FE3327,IF($B$265=$B$3293,BK3327,IF($B$265=$B$3294,FG3327,IF($B$265=$B$3295,FI3327,IF($B$265=$B$3296,FK3327,IF($B$265=$B$3297,FM3327,IF($B$265=$B$3298,FO3327,IF($B$265=$B$3299,FQ3327,IF(BJ$265=$B$3300,FS3327,IF($B$265=$B$3301,FU3327,IF($B$265=$B$3302,FW3327,IF($B$265=$B$3303,FY3327,IF($B$265=$B$3304,GA3327,IF($B$265=$B$3305,GC3327,IF($B$265=$B$3306,GE3327,IF($B$265=$B$3307,GG3327,IF($B$265=$B$3308,GI3327,IF($B$265=$B$3309,GK3327,IF($B$265=$B$3310,GM3327,IF($B$265=$B$3311,GO3327,IF($B$265=$B$3312,GQ3327,IF($B$265=$B$3313,GS3327,IF($B$265=$B$3314,GU3327,IF($B$265=$B$3315,GW3327,IF($B$265=$B$3316,GY3327,IF($B$265=$B$3317,HA3327,IF($B$265=$B$3318,HC3327,IF($B$265=$B$3319,HE3327,IF($B$265=$B$3320,HG3327,IF($B$265=$B$3321,HI3327,IF($B$265=$B$3322,HK3327,IF($B$265=$B$3323,HM3327,IF($B$265=$B$3324,HO3327,IF($B$265=$B$3325,HQ3327,IF($B$265=$B$3326,HS3327,IF($B$265=$B$3327,HU3327,IF($B$265=$B$3328,HW3327,IF($B$265=$B$3329,HY3327,""))))))))))))))))))))))))))))))))))))))))))))))))))))</f>
        <v/>
      </c>
      <c r="EB3327" t="str">
        <f>EB3295</f>
        <v>Stephen A. Wadlington</v>
      </c>
      <c r="EC3327" t="str">
        <f>EC3295</f>
        <v>D</v>
      </c>
      <c r="EH3327" t="str">
        <f>EH3306</f>
        <v>Christi McQueen</v>
      </c>
      <c r="EI3327" s="473" t="s">
        <v>3294</v>
      </c>
      <c r="EJ3327" t="s">
        <v>3420</v>
      </c>
      <c r="EK3327" s="473" t="s">
        <v>3294</v>
      </c>
      <c r="EL3327" t="str">
        <f>EL3301</f>
        <v>Jeff Cheney</v>
      </c>
      <c r="EM3327" s="473" t="str">
        <f>EM3301</f>
        <v>R</v>
      </c>
    </row>
    <row r="3328" spans="1:143" ht="15.5" hidden="1" x14ac:dyDescent="0.35">
      <c r="A3328" s="417" t="s">
        <v>1254</v>
      </c>
      <c r="B3328" s="418" t="s">
        <v>1255</v>
      </c>
      <c r="C3328" s="427">
        <f>C3326</f>
        <v>0</v>
      </c>
      <c r="D3328" s="427" t="s">
        <v>885</v>
      </c>
      <c r="E3328" s="427" t="s">
        <v>885</v>
      </c>
      <c r="G3328" s="420"/>
      <c r="H3328" s="420"/>
      <c r="I3328" s="420"/>
      <c r="J3328" s="420"/>
      <c r="K3328" s="420"/>
      <c r="L3328" s="420"/>
      <c r="M3328" s="420"/>
      <c r="N3328" s="420"/>
      <c r="O3328" s="420"/>
      <c r="P3328" s="420"/>
      <c r="Q3328" s="420"/>
      <c r="R3328" s="420"/>
      <c r="S3328" s="420"/>
      <c r="T3328" s="420"/>
      <c r="U3328" s="420"/>
      <c r="V3328" s="420"/>
      <c r="W3328" s="420"/>
      <c r="X3328" s="420"/>
      <c r="Y3328" s="420"/>
      <c r="Z3328" s="420"/>
      <c r="AA3328" s="411"/>
      <c r="AB3328" s="411" t="s">
        <v>1027</v>
      </c>
      <c r="AC3328" s="245" t="s">
        <v>885</v>
      </c>
      <c r="AD3328" s="245" t="s">
        <v>885</v>
      </c>
      <c r="AE3328" s="245" t="s">
        <v>885</v>
      </c>
      <c r="AF3328" s="245" t="s">
        <v>885</v>
      </c>
      <c r="AG3328" s="245" t="s">
        <v>885</v>
      </c>
      <c r="AH3328" s="245" t="s">
        <v>885</v>
      </c>
      <c r="AI3328" s="245" t="s">
        <v>885</v>
      </c>
      <c r="AJ3328" s="245" t="s">
        <v>885</v>
      </c>
      <c r="AK3328" s="245" t="s">
        <v>885</v>
      </c>
      <c r="AO3328" s="245" t="s">
        <v>885</v>
      </c>
      <c r="AP3328" s="245" t="s">
        <v>885</v>
      </c>
      <c r="AQ3328" s="245" t="s">
        <v>885</v>
      </c>
      <c r="AR3328" s="245" t="s">
        <v>885</v>
      </c>
      <c r="AS3328" s="245" t="s">
        <v>885</v>
      </c>
      <c r="AT3328" s="245" t="s">
        <v>885</v>
      </c>
      <c r="AU3328" s="245" t="s">
        <v>885</v>
      </c>
      <c r="AV3328" s="245" t="s">
        <v>885</v>
      </c>
      <c r="AW3328" s="245" t="s">
        <v>885</v>
      </c>
      <c r="AX3328" s="48">
        <v>51</v>
      </c>
      <c r="BB3328" s="402">
        <f ca="1">MIN(((C3328*$AE$321)+($AE$330*G3328)),D3328)</f>
        <v>0</v>
      </c>
      <c r="BF3328" s="423">
        <v>29698</v>
      </c>
      <c r="BG3328" s="415">
        <f t="shared" si="148"/>
        <v>0</v>
      </c>
      <c r="BH3328" s="415">
        <f t="shared" si="143"/>
        <v>0</v>
      </c>
      <c r="BI3328" s="365">
        <f t="shared" si="144"/>
        <v>0</v>
      </c>
      <c r="BJ3328" s="157">
        <f t="shared" si="149"/>
        <v>0</v>
      </c>
      <c r="BK3328" s="416">
        <f t="shared" si="145"/>
        <v>0</v>
      </c>
      <c r="BS3328" s="464" t="str">
        <f>IF($B$265=B$3278,BZ3327,IF($B$265=B$3279,CA3327,IF($B$265=B$3280,CB3327,IF($B$265=B$3281,CC3327,IF($B$265=B$3282,CD3327,IF($B$265=B$3283,CE3327,IF($B$265=B$3284,CF3327,IF($B$265=B$3285,CG3327,IF($B$265=B$3286,CH3327,IF($B$265=B$3287,CI3327,IF($B$265=B$3288,CJ3327,IF($B$265=B$3289,CK3327,IF($B$265=B$3290,CL3327,IF($B$265=B$3291,CM3327,IF($B$265=B$3292,CN3327,IF($B$265=B$3293,C3327,IF($B$265=B$3294,CO3327,IF($B$265=B$3295,CP3327,IF($B$265=B$3296,CQ3327,IF($B$265=B$3297,CR3327,IF($B$265=B$3298,CS3327,IF($B$265=B$3299,CT3327,IF(B$265=B$3300,CU3327,IF($B$265=B$3301,CV3327,IF($B$265=B$3302,CW3327,IF($B$265=B$3303,CX3327,IF($B$265=B$3304,CY3327,IF($B$265=B$3305,CZ3327,IF($B$265=B$3306,DA3327,IF($B$265=B$3307,DB3327,IF($B$265=B$3308,DC3327,IF($B$265=B$3309,DD3327,IF($B$265=B$3310,DE3327,IF($B$265=B$3311,DF3327,IF($B$265=B$3312,DG3327,IF($B$265=B$3313,DH3327,IF($B$265=B$3314,DI3327,IF($B$265=B$3315,DJ3327,IF($B$265=B$3316,DK3327,IF($B$265=B$3317,DL3327,IF($B$265=B$3318,DM3327,IF($B$265=B$3319,DN3327,IF($B$265=B$3320,DO3327,IF($B$265=B$3321,DP3327,IF($B$265=B$3322,DQ3327,IF($B$265=B$3323,DR3327,IF($B$265=B$3324,DS3327,IF($B$265=B$3325,DT3327,IF($B$265=B$3326,DU3327,IF($B$265=B$3327,DV3327,IF($B$265=B$3328,DW3327,IF($B$265=B$3329,DX3327,""))))))))))))))))))))))))))))))))))))))))))))))))))))</f>
        <v/>
      </c>
      <c r="BZ3328" s="48" t="s">
        <v>1481</v>
      </c>
      <c r="CA3328" s="245" t="s">
        <v>885</v>
      </c>
      <c r="CB3328" s="245" t="s">
        <v>885</v>
      </c>
      <c r="CC3328" t="s">
        <v>1563</v>
      </c>
      <c r="CD3328" t="s">
        <v>1632</v>
      </c>
      <c r="CE3328" t="s">
        <v>1683</v>
      </c>
      <c r="CF3328" s="245" t="s">
        <v>885</v>
      </c>
      <c r="CG3328" s="245" t="s">
        <v>885</v>
      </c>
      <c r="CH3328" s="245" t="s">
        <v>885</v>
      </c>
      <c r="CI3328" t="s">
        <v>1741</v>
      </c>
      <c r="CJ3328" t="s">
        <v>1791</v>
      </c>
      <c r="CK3328" s="459" t="s">
        <v>885</v>
      </c>
      <c r="CL3328" s="459" t="s">
        <v>885</v>
      </c>
      <c r="CM3328" t="s">
        <v>1470</v>
      </c>
      <c r="CN3328" t="s">
        <v>1734</v>
      </c>
      <c r="CO3328" t="s">
        <v>1467</v>
      </c>
      <c r="CP3328" t="s">
        <v>2069</v>
      </c>
      <c r="CQ3328" t="s">
        <v>1918</v>
      </c>
      <c r="CR3328" t="s">
        <v>2212</v>
      </c>
      <c r="CS3328" s="459" t="s">
        <v>885</v>
      </c>
      <c r="CT3328" s="245" t="s">
        <v>885</v>
      </c>
      <c r="CU3328" t="s">
        <v>2291</v>
      </c>
      <c r="CV3328" t="s">
        <v>1823</v>
      </c>
      <c r="CW3328" t="s">
        <v>1563</v>
      </c>
      <c r="CX3328" t="s">
        <v>1554</v>
      </c>
      <c r="CY3328" t="s">
        <v>2486</v>
      </c>
      <c r="CZ3328" t="s">
        <v>2513</v>
      </c>
      <c r="DA3328" s="459" t="s">
        <v>885</v>
      </c>
      <c r="DB3328" s="459" t="s">
        <v>885</v>
      </c>
      <c r="DC3328" s="459" t="s">
        <v>885</v>
      </c>
      <c r="DD3328" s="459" t="s">
        <v>885</v>
      </c>
      <c r="DE3328" t="s">
        <v>1984</v>
      </c>
      <c r="DF3328" t="s">
        <v>2651</v>
      </c>
      <c r="DG3328" t="s">
        <v>2709</v>
      </c>
      <c r="DH3328" t="s">
        <v>1477</v>
      </c>
      <c r="DI3328" t="s">
        <v>2771</v>
      </c>
      <c r="DJ3328" s="459" t="s">
        <v>885</v>
      </c>
      <c r="DK3328" t="s">
        <v>2830</v>
      </c>
      <c r="DL3328" s="459" t="s">
        <v>885</v>
      </c>
      <c r="DM3328" s="459" t="s">
        <v>885</v>
      </c>
      <c r="DN3328" t="s">
        <v>2894</v>
      </c>
      <c r="DO3328" t="s">
        <v>1889</v>
      </c>
      <c r="DP3328" t="s">
        <v>2967</v>
      </c>
      <c r="DQ3328" s="459" t="s">
        <v>885</v>
      </c>
      <c r="DR3328" s="459" t="s">
        <v>885</v>
      </c>
      <c r="DS3328" t="s">
        <v>3146</v>
      </c>
      <c r="DT3328" s="459" t="s">
        <v>885</v>
      </c>
      <c r="DU3328" t="s">
        <v>1856</v>
      </c>
      <c r="DV3328" t="s">
        <v>3259</v>
      </c>
      <c r="DW3328" s="245" t="s">
        <v>885</v>
      </c>
      <c r="DX3328" s="245" t="s">
        <v>885</v>
      </c>
      <c r="DY3328" s="245"/>
      <c r="DZ3328" s="470" t="str">
        <f>IF($B$265=$B$3278,EB3328,IF($B$265=$B$3279,ED3328,IF($B$265=$B$3280,EF3328,IF($B$265=$B$3281,EH3328,IF($B$265=$B$3282,EJ3328,IF($B$265=$B$3283,EL3328,IF($B$265=$B$3284,EN3328,IF($B$265=$B$3285,EP3328,IF($B$265=$B$3286,ER3328,IF($B$265=$B$3287,ET3328,IF($B$265=$B$3288,EV3328,IF($B$265=$B$3289,EX3328,IF($B$265=$B$3290,EZ3328,IF($B$265=$B$3291,FB3328,IF($B$265=$B$3292,FD3328,IF($B$265=$B$3293,BU3328,IF($B$265=$B$3294,FF3328,IF($B$265=$B$3295,FH3328,IF($B$265=$B$3296,FJ3328,IF($B$265=$B$3297,FL3328,IF($B$265=$B$3298,FN3328,IF($B$265=$B$3299,FP3328,IF(BI$265=$B$3300,FR3328,IF($B$265=$B$3301,FT3328,IF($B$265=$B$3302,FV3328,IF($B$265=$B$3303,FX3328,IF($B$265=$B$3304,FZ3328,IF($B$265=$B$3305,GB3328,IF($B$265=$B$3306,GD3328,IF($B$265=$B$3307,GF3328,IF($B$265=$B$3308,GH3328,IF($B$265=$B$3309,GJ3328,IF($B$265=$B$3310,GL3328,IF($B$265=$B$3311,GN3328,IF($B$265=$B$3312,GP3328,IF($B$265=$B$3313,GR3328,IF($B$265=$B$3314,GT3328,IF($B$265=$B$3315,GV3328,IF($B$265=$B$3316,GX3328,IF($B$265=$B$3317,GZ3328,IF($B$265=$B$3318,HB3328,IF($B$265=$B$3319,HD3328,IF($B$265=$B$3320,HF3328,IF($B$265=$B$3321,HH3328,IF($B$265=$B$3322,HJ3328,IF($B$265=$B$3323,HL3328,IF($B$265=$B$3324,HN3328,IF($B$265=$B$3325,HP3328,IF($B$265=$B$3326,HR3328,IF($B$265=$B$3327,HT3328,IF($B$265=$B$3328,HV3328,IF($B$265=$B$3329,HX3328,""))))))))))))))))))))))))))))))))))))))))))))))))))))</f>
        <v/>
      </c>
      <c r="EA3328" s="470" t="str">
        <f>IF($B$265=$B$3278,EC3328,IF($B$265=$B$3279,EE3328,IF($B$265=$B$3280,EG3328,IF($B$265=$B$3281,EI3328,IF($B$265=$B$3282,EK3328,IF($B$265=$B$3283,EM3328,IF($B$265=$B$3284,EO3328,IF($B$265=$B$3285,EQ3328,IF($B$265=$B$3286,ES3328,IF($B$265=$B$3287,EU3328,IF($B$265=$B$3288,EW3328,IF($B$265=$B$3289,EY3328,IF($B$265=$B$3290,FA3328,IF($B$265=$B$3291,FC3328,IF($B$265=$B$3292,FE3328,IF($B$265=$B$3293,BK3328,IF($B$265=$B$3294,FG3328,IF($B$265=$B$3295,FI3328,IF($B$265=$B$3296,FK3328,IF($B$265=$B$3297,FM3328,IF($B$265=$B$3298,FO3328,IF($B$265=$B$3299,FQ3328,IF(BJ$265=$B$3300,FS3328,IF($B$265=$B$3301,FU3328,IF($B$265=$B$3302,FW3328,IF($B$265=$B$3303,FY3328,IF($B$265=$B$3304,GA3328,IF($B$265=$B$3305,GC3328,IF($B$265=$B$3306,GE3328,IF($B$265=$B$3307,GG3328,IF($B$265=$B$3308,GI3328,IF($B$265=$B$3309,GK3328,IF($B$265=$B$3310,GM3328,IF($B$265=$B$3311,GO3328,IF($B$265=$B$3312,GQ3328,IF($B$265=$B$3313,GS3328,IF($B$265=$B$3314,GU3328,IF($B$265=$B$3315,GW3328,IF($B$265=$B$3316,GY3328,IF($B$265=$B$3317,HA3328,IF($B$265=$B$3318,HC3328,IF($B$265=$B$3319,HE3328,IF($B$265=$B$3320,HG3328,IF($B$265=$B$3321,HI3328,IF($B$265=$B$3322,HK3328,IF($B$265=$B$3323,HM3328,IF($B$265=$B$3324,HO3328,IF($B$265=$B$3325,HQ3328,IF($B$265=$B$3326,HS3328,IF($B$265=$B$3327,HU3328,IF($B$265=$B$3328,HW3328,IF($B$265=$B$3329,HY3328,""))))))))))))))))))))))))))))))))))))))))))))))))))))</f>
        <v/>
      </c>
      <c r="EB3328" t="s">
        <v>3320</v>
      </c>
      <c r="EC3328" s="471" t="s">
        <v>3288</v>
      </c>
      <c r="EH3328" t="str">
        <f>EH3322</f>
        <v>David Ethredge</v>
      </c>
      <c r="EI3328" s="473" t="s">
        <v>3294</v>
      </c>
      <c r="EJ3328" t="s">
        <v>3421</v>
      </c>
      <c r="EK3328" s="473" t="s">
        <v>3294</v>
      </c>
      <c r="EL3328" t="str">
        <f>EL3309</f>
        <v>Joshua Vogel</v>
      </c>
      <c r="EM3328" s="473" t="str">
        <f>EM3309</f>
        <v>R</v>
      </c>
    </row>
    <row r="3329" spans="1:143" ht="15.5" hidden="1" x14ac:dyDescent="0.35">
      <c r="A3329" s="417" t="s">
        <v>1256</v>
      </c>
      <c r="B3329" s="418" t="s">
        <v>1257</v>
      </c>
      <c r="C3329" s="419">
        <v>50000</v>
      </c>
      <c r="D3329" s="427" t="s">
        <v>885</v>
      </c>
      <c r="G3329" s="420"/>
      <c r="H3329" s="420"/>
      <c r="I3329" s="420"/>
      <c r="J3329" s="420"/>
      <c r="K3329" s="420"/>
      <c r="L3329" s="420"/>
      <c r="M3329" s="420"/>
      <c r="N3329" s="420"/>
      <c r="O3329" s="420"/>
      <c r="P3329" s="420"/>
      <c r="Q3329" s="420"/>
      <c r="R3329" s="420"/>
      <c r="S3329" s="420"/>
      <c r="T3329" s="420"/>
      <c r="U3329" s="420"/>
      <c r="V3329" s="420"/>
      <c r="W3329" s="420"/>
      <c r="X3329" s="420"/>
      <c r="Y3329" s="420"/>
      <c r="Z3329" s="420"/>
      <c r="AB3329" s="429" t="s">
        <v>1258</v>
      </c>
      <c r="AC3329" s="245" t="s">
        <v>885</v>
      </c>
      <c r="AD3329" s="48" t="s">
        <v>1259</v>
      </c>
      <c r="AF3329" s="421"/>
      <c r="AG3329" s="245" t="s">
        <v>885</v>
      </c>
      <c r="AH3329" s="245" t="s">
        <v>885</v>
      </c>
      <c r="AI3329" s="245" t="s">
        <v>885</v>
      </c>
      <c r="AJ3329" s="245" t="s">
        <v>885</v>
      </c>
      <c r="AK3329" s="48" t="s">
        <v>1047</v>
      </c>
      <c r="AO3329" s="48" t="s">
        <v>1260</v>
      </c>
      <c r="AR3329" s="245" t="s">
        <v>885</v>
      </c>
      <c r="AS3329" s="48" t="s">
        <v>1049</v>
      </c>
      <c r="AW3329" s="245" t="s">
        <v>885</v>
      </c>
      <c r="AX3329" s="48">
        <v>52</v>
      </c>
      <c r="BB3329" s="402"/>
      <c r="BF3329" s="423">
        <v>28889</v>
      </c>
      <c r="BG3329" s="415">
        <f t="shared" si="148"/>
        <v>0</v>
      </c>
      <c r="BH3329" s="415">
        <f>BF3329-BG3329</f>
        <v>28889</v>
      </c>
      <c r="BI3329" s="157">
        <f t="shared" si="144"/>
        <v>2407.4166666666665</v>
      </c>
      <c r="BJ3329" s="157">
        <f t="shared" si="149"/>
        <v>555.55769230769226</v>
      </c>
      <c r="BK3329" s="416">
        <f t="shared" si="145"/>
        <v>1</v>
      </c>
      <c r="BS3329" s="464" t="str">
        <f>IF($B$265=B$3278,BZ3328,IF($B$265=B$3279,CA3328,IF($B$265=B$3280,CB3328,IF($B$265=B$3281,CC3328,IF($B$265=B$3282,CD3328,IF($B$265=B$3283,CE3328,IF($B$265=B$3284,CF3328,IF($B$265=B$3285,CG3328,IF($B$265=B$3286,CH3328,IF($B$265=B$3287,CI3328,IF($B$265=B$3288,CJ3328,IF($B$265=B$3289,CK3328,IF($B$265=B$3290,CL3328,IF($B$265=B$3291,CM3328,IF($B$265=B$3292,CN3328,IF($B$265=B$3293,C3328,IF($B$265=B$3294,CO3328,IF($B$265=B$3295,CP3328,IF($B$265=B$3296,CQ3328,IF($B$265=B$3297,CR3328,IF($B$265=B$3298,CS3328,IF($B$265=B$3299,CT3328,IF(B$265=B$3300,CU3328,IF($B$265=B$3301,CV3328,IF($B$265=B$3302,CW3328,IF($B$265=B$3303,CX3328,IF($B$265=B$3304,CY3328,IF($B$265=B$3305,CZ3328,IF($B$265=B$3306,DA3328,IF($B$265=B$3307,DB3328,IF($B$265=B$3308,DC3328,IF($B$265=B$3309,DD3328,IF($B$265=B$3310,DE3328,IF($B$265=B$3311,DF3328,IF($B$265=B$3312,DG3328,IF($B$265=B$3313,DH3328,IF($B$265=B$3314,DI3328,IF($B$265=B$3315,DJ3328,IF($B$265=B$3316,DK3328,IF($B$265=B$3317,DL3328,IF($B$265=B$3318,DM3328,IF($B$265=B$3319,DN3328,IF($B$265=B$3320,DO3328,IF($B$265=B$3321,DP3328,IF($B$265=B$3322,DQ3328,IF($B$265=B$3323,DR3328,IF($B$265=B$3324,DS3328,IF($B$265=B$3325,DT3328,IF($B$265=B$3326,DU3328,IF($B$265=B$3327,DV3328,IF($B$265=B$3328,DW3328,IF($B$265=B$3329,DX3328,""))))))))))))))))))))))))))))))))))))))))))))))))))))</f>
        <v/>
      </c>
      <c r="BZ3329" s="48" t="s">
        <v>1482</v>
      </c>
      <c r="CA3329" s="245" t="s">
        <v>885</v>
      </c>
      <c r="CB3329" s="245" t="s">
        <v>885</v>
      </c>
      <c r="CC3329" t="s">
        <v>1564</v>
      </c>
      <c r="CD3329" t="s">
        <v>1633</v>
      </c>
      <c r="CE3329" t="s">
        <v>1684</v>
      </c>
      <c r="CF3329" s="245" t="s">
        <v>885</v>
      </c>
      <c r="CG3329" s="245" t="s">
        <v>885</v>
      </c>
      <c r="CH3329" s="245" t="s">
        <v>885</v>
      </c>
      <c r="CI3329" t="s">
        <v>1742</v>
      </c>
      <c r="CJ3329" t="s">
        <v>1661</v>
      </c>
      <c r="CK3329" s="459" t="s">
        <v>885</v>
      </c>
      <c r="CL3329" s="459" t="s">
        <v>885</v>
      </c>
      <c r="CM3329" t="s">
        <v>1471</v>
      </c>
      <c r="CN3329" t="s">
        <v>1972</v>
      </c>
      <c r="CO3329" t="s">
        <v>1554</v>
      </c>
      <c r="CP3329" t="s">
        <v>2070</v>
      </c>
      <c r="CQ3329" t="s">
        <v>1464</v>
      </c>
      <c r="CR3329" t="s">
        <v>2213</v>
      </c>
      <c r="CS3329" s="459" t="s">
        <v>885</v>
      </c>
      <c r="CT3329" s="245" t="s">
        <v>885</v>
      </c>
      <c r="CU3329" t="s">
        <v>2292</v>
      </c>
      <c r="CV3329" t="s">
        <v>2349</v>
      </c>
      <c r="CW3329" t="s">
        <v>2396</v>
      </c>
      <c r="CX3329" t="s">
        <v>1925</v>
      </c>
      <c r="CY3329" t="s">
        <v>2487</v>
      </c>
      <c r="CZ3329" t="s">
        <v>2514</v>
      </c>
      <c r="DA3329" s="459" t="s">
        <v>885</v>
      </c>
      <c r="DB3329" s="459" t="s">
        <v>885</v>
      </c>
      <c r="DC3329" s="459" t="s">
        <v>885</v>
      </c>
      <c r="DD3329" s="459" t="s">
        <v>885</v>
      </c>
      <c r="DE3329" t="s">
        <v>2253</v>
      </c>
      <c r="DF3329" t="s">
        <v>1814</v>
      </c>
      <c r="DG3329" t="s">
        <v>1993</v>
      </c>
      <c r="DH3329" t="s">
        <v>2730</v>
      </c>
      <c r="DI3329" t="s">
        <v>1973</v>
      </c>
      <c r="DJ3329" s="459" t="s">
        <v>885</v>
      </c>
      <c r="DK3329" t="s">
        <v>1485</v>
      </c>
      <c r="DL3329" s="459" t="s">
        <v>885</v>
      </c>
      <c r="DM3329" s="459" t="s">
        <v>885</v>
      </c>
      <c r="DN3329" t="s">
        <v>2354</v>
      </c>
      <c r="DO3329" t="s">
        <v>1556</v>
      </c>
      <c r="DP3329" t="s">
        <v>2968</v>
      </c>
      <c r="DQ3329" s="459" t="s">
        <v>885</v>
      </c>
      <c r="DR3329" s="459" t="s">
        <v>885</v>
      </c>
      <c r="DS3329" t="s">
        <v>2129</v>
      </c>
      <c r="DT3329" s="459" t="s">
        <v>885</v>
      </c>
      <c r="DU3329" t="s">
        <v>3235</v>
      </c>
      <c r="DV3329" t="s">
        <v>3260</v>
      </c>
      <c r="DW3329" s="245" t="s">
        <v>885</v>
      </c>
      <c r="DX3329" s="245" t="s">
        <v>885</v>
      </c>
      <c r="DY3329" s="245"/>
      <c r="DZ3329" s="470" t="str">
        <f>IF($B$265=$B$3278,EB3329,IF($B$265=$B$3279,ED3329,IF($B$265=$B$3280,EF3329,IF($B$265=$B$3281,EH3329,IF($B$265=$B$3282,EJ3329,IF($B$265=$B$3283,EL3329,IF($B$265=$B$3284,EN3329,IF($B$265=$B$3285,EP3329,IF($B$265=$B$3286,ER3329,IF($B$265=$B$3287,ET3329,IF($B$265=$B$3288,EV3329,IF($B$265=$B$3289,EX3329,IF($B$265=$B$3290,EZ3329,IF($B$265=$B$3291,FB3329,IF($B$265=$B$3292,FD3329,IF($B$265=$B$3293,BU3329,IF($B$265=$B$3294,FF3329,IF($B$265=$B$3295,FH3329,IF($B$265=$B$3296,FJ3329,IF($B$265=$B$3297,FL3329,IF($B$265=$B$3298,FN3329,IF($B$265=$B$3299,FP3329,IF(BI$265=$B$3300,FR3329,IF($B$265=$B$3301,FT3329,IF($B$265=$B$3302,FV3329,IF($B$265=$B$3303,FX3329,IF($B$265=$B$3304,FZ3329,IF($B$265=$B$3305,GB3329,IF($B$265=$B$3306,GD3329,IF($B$265=$B$3307,GF3329,IF($B$265=$B$3308,GH3329,IF($B$265=$B$3309,GJ3329,IF($B$265=$B$3310,GL3329,IF($B$265=$B$3311,GN3329,IF($B$265=$B$3312,GP3329,IF($B$265=$B$3313,GR3329,IF($B$265=$B$3314,GT3329,IF($B$265=$B$3315,GV3329,IF($B$265=$B$3316,GX3329,IF($B$265=$B$3317,GZ3329,IF($B$265=$B$3318,HB3329,IF($B$265=$B$3319,HD3329,IF($B$265=$B$3320,HF3329,IF($B$265=$B$3321,HH3329,IF($B$265=$B$3322,HJ3329,IF($B$265=$B$3323,HL3329,IF($B$265=$B$3324,HN3329,IF($B$265=$B$3325,HP3329,IF($B$265=$B$3326,HR3329,IF($B$265=$B$3327,HT3329,IF($B$265=$B$3328,HV3329,IF($B$265=$B$3329,HX3329,""))))))))))))))))))))))))))))))))))))))))))))))))))))</f>
        <v/>
      </c>
      <c r="EA3329" s="470" t="str">
        <f>IF($B$265=$B$3278,EC3329,IF($B$265=$B$3279,EE3329,IF($B$265=$B$3280,EG3329,IF($B$265=$B$3281,EI3329,IF($B$265=$B$3282,EK3329,IF($B$265=$B$3283,EM3329,IF($B$265=$B$3284,EO3329,IF($B$265=$B$3285,EQ3329,IF($B$265=$B$3286,ES3329,IF($B$265=$B$3287,EU3329,IF($B$265=$B$3288,EW3329,IF($B$265=$B$3289,EY3329,IF($B$265=$B$3290,FA3329,IF($B$265=$B$3291,FC3329,IF($B$265=$B$3292,FE3329,IF($B$265=$B$3293,BK3329,IF($B$265=$B$3294,FG3329,IF($B$265=$B$3295,FI3329,IF($B$265=$B$3296,FK3329,IF($B$265=$B$3297,FM3329,IF($B$265=$B$3298,FO3329,IF($B$265=$B$3299,FQ3329,IF(BJ$265=$B$3300,FS3329,IF($B$265=$B$3301,FU3329,IF($B$265=$B$3302,FW3329,IF($B$265=$B$3303,FY3329,IF($B$265=$B$3304,GA3329,IF($B$265=$B$3305,GC3329,IF($B$265=$B$3306,GE3329,IF($B$265=$B$3307,GG3329,IF($B$265=$B$3308,GI3329,IF($B$265=$B$3309,GK3329,IF($B$265=$B$3310,GM3329,IF($B$265=$B$3311,GO3329,IF($B$265=$B$3312,GQ3329,IF($B$265=$B$3313,GS3329,IF($B$265=$B$3314,GU3329,IF($B$265=$B$3315,GW3329,IF($B$265=$B$3316,GY3329,IF($B$265=$B$3317,HA3329,IF($B$265=$B$3318,HC3329,IF($B$265=$B$3319,HE3329,IF($B$265=$B$3320,HG3329,IF($B$265=$B$3321,HI3329,IF($B$265=$B$3322,HK3329,IF($B$265=$B$3323,HM3329,IF($B$265=$B$3324,HO3329,IF($B$265=$B$3325,HQ3329,IF($B$265=$B$3326,HS3329,IF($B$265=$B$3327,HU3329,IF($B$265=$B$3328,HW3329,IF($B$265=$B$3329,HY3329,""))))))))))))))))))))))))))))))))))))))))))))))))))))</f>
        <v/>
      </c>
      <c r="EB3329" t="s">
        <v>3321</v>
      </c>
      <c r="EC3329" s="471" t="s">
        <v>3283</v>
      </c>
      <c r="EH3329" t="str">
        <f>EH3297</f>
        <v>Jeff Rogers</v>
      </c>
      <c r="EI3329" s="473" t="s">
        <v>3294</v>
      </c>
      <c r="EJ3329" t="s">
        <v>3422</v>
      </c>
      <c r="EK3329" s="473" t="s">
        <v>3294</v>
      </c>
      <c r="EL3329" t="s">
        <v>3449</v>
      </c>
      <c r="EM3329" s="473" t="s">
        <v>3288</v>
      </c>
    </row>
    <row r="3330" spans="1:143" ht="15.5" hidden="1" x14ac:dyDescent="0.35">
      <c r="A3330" s="48" t="s">
        <v>912</v>
      </c>
      <c r="B3330" s="418" t="s">
        <v>912</v>
      </c>
      <c r="G3330" s="420"/>
      <c r="H3330" s="420"/>
      <c r="I3330" s="420"/>
      <c r="J3330" s="420"/>
      <c r="K3330" s="420"/>
      <c r="L3330" s="420"/>
      <c r="M3330" s="420"/>
      <c r="N3330" s="420"/>
      <c r="O3330" s="420"/>
      <c r="P3330" s="420"/>
      <c r="Q3330" s="420"/>
      <c r="R3330" s="420"/>
      <c r="S3330" s="420"/>
      <c r="T3330" s="420"/>
      <c r="U3330" s="420"/>
      <c r="V3330" s="420"/>
      <c r="W3330" s="420"/>
      <c r="X3330" s="420"/>
      <c r="Y3330" s="420"/>
      <c r="Z3330" s="420"/>
      <c r="AF3330" s="421"/>
      <c r="AW3330" s="245" t="s">
        <v>885</v>
      </c>
      <c r="BS3330" s="464" t="str">
        <f>IF($B$265=B$3278,BZ3329,IF($B$265=B$3279,CA3329,IF($B$265=B$3280,CB3329,IF($B$265=B$3281,CC3329,IF($B$265=B$3282,CD3329,IF($B$265=B$3283,CE3329,IF($B$265=B$3284,CF3329,IF($B$265=B$3285,CG3329,IF($B$265=B$3286,CH3329,IF($B$265=B$3287,CI3329,IF($B$265=B$3288,CJ3329,IF($B$265=B$3289,CK3329,IF($B$265=B$3290,CL3329,IF($B$265=B$3291,CM3329,IF($B$265=B$3292,CN3329,IF($B$265=B$3293,C3329,IF($B$265=B$3294,CO3329,IF($B$265=B$3295,CP3329,IF($B$265=B$3296,CQ3329,IF($B$265=B$3297,CR3329,IF($B$265=B$3298,CS3329,IF($B$265=B$3299,CT3329,IF(B$265=B$3300,CU3329,IF($B$265=B$3301,CV3329,IF($B$265=B$3302,CW3329,IF($B$265=B$3303,CX3329,IF($B$265=B$3304,CY3329,IF($B$265=B$3305,CZ3329,IF($B$265=B$3306,DA3329,IF($B$265=B$3307,DB3329,IF($B$265=B$3308,DC3329,IF($B$265=B$3309,DD3329,IF($B$265=B$3310,DE3329,IF($B$265=B$3311,DF3329,IF($B$265=B$3312,DG3329,IF($B$265=B$3313,DH3329,IF($B$265=B$3314,DI3329,IF($B$265=B$3315,DJ3329,IF($B$265=B$3316,DK3329,IF($B$265=B$3317,DL3329,IF($B$265=B$3318,DM3329,IF($B$265=B$3319,DN3329,IF($B$265=B$3320,DO3329,IF($B$265=B$3321,DP3329,IF($B$265=B$3322,DQ3329,IF($B$265=B$3323,DR3329,IF($B$265=B$3324,DS3329,IF($B$265=B$3325,DT3329,IF($B$265=B$3326,DU3329,IF($B$265=B$3327,DV3329,IF($B$265=B$3328,DW3329,IF($B$265=B$3329,DX3329,""))))))))))))))))))))))))))))))))))))))))))))))))))))</f>
        <v/>
      </c>
      <c r="BZ3330" s="48" t="s">
        <v>1483</v>
      </c>
      <c r="CA3330" s="245" t="s">
        <v>885</v>
      </c>
      <c r="CB3330" s="245" t="s">
        <v>885</v>
      </c>
      <c r="CC3330" t="s">
        <v>1483</v>
      </c>
      <c r="CD3330" t="s">
        <v>1634</v>
      </c>
      <c r="CE3330" t="s">
        <v>1685</v>
      </c>
      <c r="CF3330" s="245" t="s">
        <v>885</v>
      </c>
      <c r="CG3330" s="245" t="s">
        <v>885</v>
      </c>
      <c r="CH3330" s="245" t="s">
        <v>885</v>
      </c>
      <c r="CI3330" t="s">
        <v>1567</v>
      </c>
      <c r="CJ3330" t="s">
        <v>1792</v>
      </c>
      <c r="CK3330" s="459" t="s">
        <v>885</v>
      </c>
      <c r="CL3330" s="459" t="s">
        <v>885</v>
      </c>
      <c r="CM3330" t="s">
        <v>1927</v>
      </c>
      <c r="CN3330" t="s">
        <v>1480</v>
      </c>
      <c r="CO3330" t="s">
        <v>1814</v>
      </c>
      <c r="CP3330" t="s">
        <v>1556</v>
      </c>
      <c r="CQ3330" t="s">
        <v>2133</v>
      </c>
      <c r="CR3330" t="s">
        <v>2214</v>
      </c>
      <c r="CS3330" s="459" t="s">
        <v>885</v>
      </c>
      <c r="CT3330" s="245" t="s">
        <v>885</v>
      </c>
      <c r="CU3330" t="s">
        <v>1929</v>
      </c>
      <c r="CV3330" t="s">
        <v>2350</v>
      </c>
      <c r="CW3330" t="s">
        <v>2397</v>
      </c>
      <c r="CX3330" t="s">
        <v>2429</v>
      </c>
      <c r="CY3330" t="s">
        <v>1899</v>
      </c>
      <c r="CZ3330" t="s">
        <v>2515</v>
      </c>
      <c r="DA3330" s="459" t="s">
        <v>885</v>
      </c>
      <c r="DB3330" s="459" t="s">
        <v>885</v>
      </c>
      <c r="DC3330" s="459" t="s">
        <v>885</v>
      </c>
      <c r="DD3330" s="459" t="s">
        <v>885</v>
      </c>
      <c r="DE3330" t="s">
        <v>1985</v>
      </c>
      <c r="DF3330" t="s">
        <v>1471</v>
      </c>
      <c r="DG3330" t="s">
        <v>2710</v>
      </c>
      <c r="DH3330" t="s">
        <v>2731</v>
      </c>
      <c r="DI3330" t="s">
        <v>2772</v>
      </c>
      <c r="DJ3330" s="459" t="s">
        <v>885</v>
      </c>
      <c r="DK3330" t="s">
        <v>2831</v>
      </c>
      <c r="DL3330" s="459" t="s">
        <v>885</v>
      </c>
      <c r="DM3330" s="459" t="s">
        <v>885</v>
      </c>
      <c r="DN3330" t="s">
        <v>2523</v>
      </c>
      <c r="DO3330" t="s">
        <v>2917</v>
      </c>
      <c r="DP3330" t="s">
        <v>2908</v>
      </c>
      <c r="DQ3330" s="459" t="s">
        <v>885</v>
      </c>
      <c r="DR3330" s="459" t="s">
        <v>885</v>
      </c>
      <c r="DS3330" t="s">
        <v>1462</v>
      </c>
      <c r="DT3330" s="459" t="s">
        <v>885</v>
      </c>
      <c r="DU3330" t="s">
        <v>3236</v>
      </c>
      <c r="DV3330" t="s">
        <v>1940</v>
      </c>
      <c r="DW3330" s="245" t="s">
        <v>885</v>
      </c>
      <c r="DX3330" s="245" t="s">
        <v>885</v>
      </c>
      <c r="DY3330" s="245"/>
      <c r="DZ3330" s="470" t="str">
        <f>IF($B$265=$B$3278,EB3330,IF($B$265=$B$3279,ED3330,IF($B$265=$B$3280,EF3330,IF($B$265=$B$3281,EH3330,IF($B$265=$B$3282,EJ3330,IF($B$265=$B$3283,EL3330,IF($B$265=$B$3284,EN3330,IF($B$265=$B$3285,EP3330,IF($B$265=$B$3286,ER3330,IF($B$265=$B$3287,ET3330,IF($B$265=$B$3288,EV3330,IF($B$265=$B$3289,EX3330,IF($B$265=$B$3290,EZ3330,IF($B$265=$B$3291,FB3330,IF($B$265=$B$3292,FD3330,IF($B$265=$B$3293,BU3330,IF($B$265=$B$3294,FF3330,IF($B$265=$B$3295,FH3330,IF($B$265=$B$3296,FJ3330,IF($B$265=$B$3297,FL3330,IF($B$265=$B$3298,FN3330,IF($B$265=$B$3299,FP3330,IF(BI$265=$B$3300,FR3330,IF($B$265=$B$3301,FT3330,IF($B$265=$B$3302,FV3330,IF($B$265=$B$3303,FX3330,IF($B$265=$B$3304,FZ3330,IF($B$265=$B$3305,GB3330,IF($B$265=$B$3306,GD3330,IF($B$265=$B$3307,GF3330,IF($B$265=$B$3308,GH3330,IF($B$265=$B$3309,GJ3330,IF($B$265=$B$3310,GL3330,IF($B$265=$B$3311,GN3330,IF($B$265=$B$3312,GP3330,IF($B$265=$B$3313,GR3330,IF($B$265=$B$3314,GT3330,IF($B$265=$B$3315,GV3330,IF($B$265=$B$3316,GX3330,IF($B$265=$B$3317,GZ3330,IF($B$265=$B$3318,HB3330,IF($B$265=$B$3319,HD3330,IF($B$265=$B$3320,HF3330,IF($B$265=$B$3321,HH3330,IF($B$265=$B$3322,HJ3330,IF($B$265=$B$3323,HL3330,IF($B$265=$B$3324,HN3330,IF($B$265=$B$3325,HP3330,IF($B$265=$B$3326,HR3330,IF($B$265=$B$3327,HT3330,IF($B$265=$B$3328,HV3330,IF($B$265=$B$3329,HX3330,""))))))))))))))))))))))))))))))))))))))))))))))))))))</f>
        <v/>
      </c>
      <c r="EA3330" s="470" t="str">
        <f>IF($B$265=$B$3278,EC3330,IF($B$265=$B$3279,EE3330,IF($B$265=$B$3280,EG3330,IF($B$265=$B$3281,EI3330,IF($B$265=$B$3282,EK3330,IF($B$265=$B$3283,EM3330,IF($B$265=$B$3284,EO3330,IF($B$265=$B$3285,EQ3330,IF($B$265=$B$3286,ES3330,IF($B$265=$B$3287,EU3330,IF($B$265=$B$3288,EW3330,IF($B$265=$B$3289,EY3330,IF($B$265=$B$3290,FA3330,IF($B$265=$B$3291,FC3330,IF($B$265=$B$3292,FE3330,IF($B$265=$B$3293,BK3330,IF($B$265=$B$3294,FG3330,IF($B$265=$B$3295,FI3330,IF($B$265=$B$3296,FK3330,IF($B$265=$B$3297,FM3330,IF($B$265=$B$3298,FO3330,IF($B$265=$B$3299,FQ3330,IF(BJ$265=$B$3300,FS3330,IF($B$265=$B$3301,FU3330,IF($B$265=$B$3302,FW3330,IF($B$265=$B$3303,FY3330,IF($B$265=$B$3304,GA3330,IF($B$265=$B$3305,GC3330,IF($B$265=$B$3306,GE3330,IF($B$265=$B$3307,GG3330,IF($B$265=$B$3308,GI3330,IF($B$265=$B$3309,GK3330,IF($B$265=$B$3310,GM3330,IF($B$265=$B$3311,GO3330,IF($B$265=$B$3312,GQ3330,IF($B$265=$B$3313,GS3330,IF($B$265=$B$3314,GU3330,IF($B$265=$B$3315,GW3330,IF($B$265=$B$3316,GY3330,IF($B$265=$B$3317,HA3330,IF($B$265=$B$3318,HC3330,IF($B$265=$B$3319,HE3330,IF($B$265=$B$3320,HG3330,IF($B$265=$B$3321,HI3330,IF($B$265=$B$3322,HK3330,IF($B$265=$B$3323,HM3330,IF($B$265=$B$3324,HO3330,IF($B$265=$B$3325,HQ3330,IF($B$265=$B$3326,HS3330,IF($B$265=$B$3327,HU3330,IF($B$265=$B$3328,HW3330,IF($B$265=$B$3329,HY3330,""))))))))))))))))))))))))))))))))))))))))))))))))))))</f>
        <v/>
      </c>
      <c r="EB3330" t="str">
        <f>EB3310</f>
        <v>Michael W. Jackson</v>
      </c>
      <c r="EC3330" t="str">
        <f>EC3310</f>
        <v>D</v>
      </c>
      <c r="EH3330" t="s">
        <v>3367</v>
      </c>
      <c r="EI3330" s="473" t="s">
        <v>3294</v>
      </c>
      <c r="EJ3330" t="s">
        <v>3423</v>
      </c>
      <c r="EK3330" s="473" t="s">
        <v>3294</v>
      </c>
      <c r="EL3330" t="str">
        <f>EL3327</f>
        <v>Jeff Cheney</v>
      </c>
      <c r="EM3330" s="473" t="str">
        <f>EM3327</f>
        <v>R</v>
      </c>
    </row>
    <row r="3331" spans="1:143" ht="14.5" hidden="1" x14ac:dyDescent="0.35">
      <c r="AF3331" s="421"/>
      <c r="BS3331" s="464" t="str">
        <f>IF($B$265=B$3278,BZ3330,IF($B$265=B$3279,CA3330,IF($B$265=B$3280,CB3330,IF($B$265=B$3281,CC3330,IF($B$265=B$3282,CD3330,IF($B$265=B$3283,CE3330,IF($B$265=B$3284,CF3330,IF($B$265=B$3285,CG3330,IF($B$265=B$3286,CH3330,IF($B$265=B$3287,CI3330,IF($B$265=B$3288,CJ3330,IF($B$265=B$3289,CK3330,IF($B$265=B$3290,CL3330,IF($B$265=B$3291,CM3330,IF($B$265=B$3292,CN3330,IF($B$265=B$3293,C3330,IF($B$265=B$3294,CO3330,IF($B$265=B$3295,CP3330,IF($B$265=B$3296,CQ3330,IF($B$265=B$3297,CR3330,IF($B$265=B$3298,CS3330,IF($B$265=B$3299,CT3330,IF(B$265=B$3300,CU3330,IF($B$265=B$3301,CV3330,IF($B$265=B$3302,CW3330,IF($B$265=B$3303,CX3330,IF($B$265=B$3304,CY3330,IF($B$265=B$3305,CZ3330,IF($B$265=B$3306,DA3330,IF($B$265=B$3307,DB3330,IF($B$265=B$3308,DC3330,IF($B$265=B$3309,DD3330,IF($B$265=B$3310,DE3330,IF($B$265=B$3311,DF3330,IF($B$265=B$3312,DG3330,IF($B$265=B$3313,DH3330,IF($B$265=B$3314,DI3330,IF($B$265=B$3315,DJ3330,IF($B$265=B$3316,DK3330,IF($B$265=B$3317,DL3330,IF($B$265=B$3318,DM3330,IF($B$265=B$3319,DN3330,IF($B$265=B$3320,DO3330,IF($B$265=B$3321,DP3330,IF($B$265=B$3322,DQ3330,IF($B$265=B$3323,DR3330,IF($B$265=B$3324,DS3330,IF($B$265=B$3325,DT3330,IF($B$265=B$3326,DU3330,IF($B$265=B$3327,DV3330,IF($B$265=B$3328,DW3330,IF($B$265=B$3329,DX3330,""))))))))))))))))))))))))))))))))))))))))))))))))))))</f>
        <v/>
      </c>
      <c r="BZ3331" s="48" t="s">
        <v>1484</v>
      </c>
      <c r="CA3331" s="245" t="s">
        <v>885</v>
      </c>
      <c r="CB3331" s="245" t="s">
        <v>885</v>
      </c>
      <c r="CC3331" t="s">
        <v>1565</v>
      </c>
      <c r="CD3331" t="s">
        <v>1635</v>
      </c>
      <c r="CE3331" t="s">
        <v>1686</v>
      </c>
      <c r="CF3331" s="245" t="s">
        <v>885</v>
      </c>
      <c r="CG3331" s="245" t="s">
        <v>885</v>
      </c>
      <c r="CH3331" s="245" t="s">
        <v>885</v>
      </c>
      <c r="CI3331" t="s">
        <v>1743</v>
      </c>
      <c r="CJ3331" t="s">
        <v>1793</v>
      </c>
      <c r="CK3331" s="459" t="s">
        <v>885</v>
      </c>
      <c r="CL3331" s="459" t="s">
        <v>885</v>
      </c>
      <c r="CM3331" t="s">
        <v>1558</v>
      </c>
      <c r="CN3331" t="s">
        <v>1481</v>
      </c>
      <c r="CO3331" t="s">
        <v>2014</v>
      </c>
      <c r="CP3331" t="s">
        <v>2016</v>
      </c>
      <c r="CQ3331" t="s">
        <v>2134</v>
      </c>
      <c r="CR3331" t="s">
        <v>2215</v>
      </c>
      <c r="CS3331" s="459" t="s">
        <v>885</v>
      </c>
      <c r="CT3331" s="245" t="s">
        <v>885</v>
      </c>
      <c r="CU3331" t="s">
        <v>2293</v>
      </c>
      <c r="CV3331" t="s">
        <v>2351</v>
      </c>
      <c r="CW3331" t="s">
        <v>2398</v>
      </c>
      <c r="CX3331" t="s">
        <v>1555</v>
      </c>
      <c r="CY3331" t="s">
        <v>2488</v>
      </c>
      <c r="CZ3331" t="s">
        <v>1925</v>
      </c>
      <c r="DA3331" s="459" t="s">
        <v>885</v>
      </c>
      <c r="DB3331" s="459" t="s">
        <v>885</v>
      </c>
      <c r="DC3331" s="459" t="s">
        <v>885</v>
      </c>
      <c r="DD3331" s="459" t="s">
        <v>885</v>
      </c>
      <c r="DE3331" t="s">
        <v>2610</v>
      </c>
      <c r="DF3331" t="s">
        <v>2652</v>
      </c>
      <c r="DG3331" s="459" t="s">
        <v>885</v>
      </c>
      <c r="DH3331" t="s">
        <v>1935</v>
      </c>
      <c r="DI3331" t="s">
        <v>2773</v>
      </c>
      <c r="DJ3331" s="459" t="s">
        <v>885</v>
      </c>
      <c r="DK3331" t="s">
        <v>2832</v>
      </c>
      <c r="DL3331" s="459" t="s">
        <v>885</v>
      </c>
      <c r="DM3331" s="459" t="s">
        <v>885</v>
      </c>
      <c r="DN3331" t="s">
        <v>2831</v>
      </c>
      <c r="DO3331" t="s">
        <v>1474</v>
      </c>
      <c r="DP3331" t="s">
        <v>2969</v>
      </c>
      <c r="DQ3331" s="459" t="s">
        <v>885</v>
      </c>
      <c r="DR3331" s="459" t="s">
        <v>885</v>
      </c>
      <c r="DS3331" t="s">
        <v>3147</v>
      </c>
      <c r="DT3331" s="459" t="s">
        <v>885</v>
      </c>
      <c r="DU3331" t="s">
        <v>2744</v>
      </c>
      <c r="DV3331" t="s">
        <v>2361</v>
      </c>
      <c r="DW3331" s="245" t="s">
        <v>885</v>
      </c>
      <c r="DX3331" s="245" t="s">
        <v>885</v>
      </c>
      <c r="DY3331" s="245"/>
      <c r="DZ3331" s="470" t="str">
        <f>IF($B$265=$B$3278,EB3331,IF($B$265=$B$3279,ED3331,IF($B$265=$B$3280,EF3331,IF($B$265=$B$3281,EH3331,IF($B$265=$B$3282,EJ3331,IF($B$265=$B$3283,EL3331,IF($B$265=$B$3284,EN3331,IF($B$265=$B$3285,EP3331,IF($B$265=$B$3286,ER3331,IF($B$265=$B$3287,ET3331,IF($B$265=$B$3288,EV3331,IF($B$265=$B$3289,EX3331,IF($B$265=$B$3290,EZ3331,IF($B$265=$B$3291,FB3331,IF($B$265=$B$3292,FD3331,IF($B$265=$B$3293,BU3331,IF($B$265=$B$3294,FF3331,IF($B$265=$B$3295,FH3331,IF($B$265=$B$3296,FJ3331,IF($B$265=$B$3297,FL3331,IF($B$265=$B$3298,FN3331,IF($B$265=$B$3299,FP3331,IF(BI$265=$B$3300,FR3331,IF($B$265=$B$3301,FT3331,IF($B$265=$B$3302,FV3331,IF($B$265=$B$3303,FX3331,IF($B$265=$B$3304,FZ3331,IF($B$265=$B$3305,GB3331,IF($B$265=$B$3306,GD3331,IF($B$265=$B$3307,GF3331,IF($B$265=$B$3308,GH3331,IF($B$265=$B$3309,GJ3331,IF($B$265=$B$3310,GL3331,IF($B$265=$B$3311,GN3331,IF($B$265=$B$3312,GP3331,IF($B$265=$B$3313,GR3331,IF($B$265=$B$3314,GT3331,IF($B$265=$B$3315,GV3331,IF($B$265=$B$3316,GX3331,IF($B$265=$B$3317,GZ3331,IF($B$265=$B$3318,HB3331,IF($B$265=$B$3319,HD3331,IF($B$265=$B$3320,HF3331,IF($B$265=$B$3321,HH3331,IF($B$265=$B$3322,HJ3331,IF($B$265=$B$3323,HL3331,IF($B$265=$B$3324,HN3331,IF($B$265=$B$3325,HP3331,IF($B$265=$B$3326,HR3331,IF($B$265=$B$3327,HT3331,IF($B$265=$B$3328,HV3331,IF($B$265=$B$3329,HX3331,""))))))))))))))))))))))))))))))))))))))))))))))))))))</f>
        <v/>
      </c>
      <c r="EA3331" s="470" t="str">
        <f>IF($B$265=$B$3278,EC3331,IF($B$265=$B$3279,EE3331,IF($B$265=$B$3280,EG3331,IF($B$265=$B$3281,EI3331,IF($B$265=$B$3282,EK3331,IF($B$265=$B$3283,EM3331,IF($B$265=$B$3284,EO3331,IF($B$265=$B$3285,EQ3331,IF($B$265=$B$3286,ES3331,IF($B$265=$B$3287,EU3331,IF($B$265=$B$3288,EW3331,IF($B$265=$B$3289,EY3331,IF($B$265=$B$3290,FA3331,IF($B$265=$B$3291,FC3331,IF($B$265=$B$3292,FE3331,IF($B$265=$B$3293,BK3331,IF($B$265=$B$3294,FG3331,IF($B$265=$B$3295,FI3331,IF($B$265=$B$3296,FK3331,IF($B$265=$B$3297,FM3331,IF($B$265=$B$3298,FO3331,IF($B$265=$B$3299,FQ3331,IF(BJ$265=$B$3300,FS3331,IF($B$265=$B$3301,FU3331,IF($B$265=$B$3302,FW3331,IF($B$265=$B$3303,FY3331,IF($B$265=$B$3304,GA3331,IF($B$265=$B$3305,GC3331,IF($B$265=$B$3306,GE3331,IF($B$265=$B$3307,GG3331,IF($B$265=$B$3308,GI3331,IF($B$265=$B$3309,GK3331,IF($B$265=$B$3310,GM3331,IF($B$265=$B$3311,GO3331,IF($B$265=$B$3312,GQ3331,IF($B$265=$B$3313,GS3331,IF($B$265=$B$3314,GU3331,IF($B$265=$B$3315,GW3331,IF($B$265=$B$3316,GY3331,IF($B$265=$B$3317,HA3331,IF($B$265=$B$3318,HC3331,IF($B$265=$B$3319,HE3331,IF($B$265=$B$3320,HG3331,IF($B$265=$B$3321,HI3331,IF($B$265=$B$3322,HK3331,IF($B$265=$B$3323,HM3331,IF($B$265=$B$3324,HO3331,IF($B$265=$B$3325,HQ3331,IF($B$265=$B$3326,HS3331,IF($B$265=$B$3327,HU3331,IF($B$265=$B$3328,HW3331,IF($B$265=$B$3329,HY3331,""))))))))))))))))))))))))))))))))))))))))))))))))))))</f>
        <v/>
      </c>
      <c r="EB3331" t="str">
        <f>EB3315</f>
        <v>Andy Hamlin</v>
      </c>
      <c r="EC3331" t="str">
        <f>EC3315</f>
        <v>n</v>
      </c>
      <c r="EH3331" t="str">
        <f>EH3325</f>
        <v>Todd Murray</v>
      </c>
      <c r="EI3331" s="473" t="s">
        <v>3294</v>
      </c>
      <c r="EJ3331" t="s">
        <v>3424</v>
      </c>
      <c r="EK3331" s="473" t="s">
        <v>3294</v>
      </c>
      <c r="EL3331" t="str">
        <f>EL3318</f>
        <v>Alonzo C. Payne</v>
      </c>
      <c r="EM3331" s="473" t="str">
        <f>EM3318</f>
        <v>D</v>
      </c>
    </row>
    <row r="3332" spans="1:143" ht="14.5" hidden="1" x14ac:dyDescent="0.35">
      <c r="AF3332" s="421"/>
      <c r="BS3332" s="464" t="str">
        <f>IF($B$265=B$3278,BZ3331,IF($B$265=B$3279,CA3331,IF($B$265=B$3280,CB3331,IF($B$265=B$3281,CC3331,IF($B$265=B$3282,CD3331,IF($B$265=B$3283,CE3331,IF($B$265=B$3284,CF3331,IF($B$265=B$3285,CG3331,IF($B$265=B$3286,CH3331,IF($B$265=B$3287,CI3331,IF($B$265=B$3288,CJ3331,IF($B$265=B$3289,CK3331,IF($B$265=B$3290,CL3331,IF($B$265=B$3291,CM3331,IF($B$265=B$3292,CN3331,IF($B$265=B$3293,C3331,IF($B$265=B$3294,CO3331,IF($B$265=B$3295,CP3331,IF($B$265=B$3296,CQ3331,IF($B$265=B$3297,CR3331,IF($B$265=B$3298,CS3331,IF($B$265=B$3299,CT3331,IF(B$265=B$3300,CU3331,IF($B$265=B$3301,CV3331,IF($B$265=B$3302,CW3331,IF($B$265=B$3303,CX3331,IF($B$265=B$3304,CY3331,IF($B$265=B$3305,CZ3331,IF($B$265=B$3306,DA3331,IF($B$265=B$3307,DB3331,IF($B$265=B$3308,DC3331,IF($B$265=B$3309,DD3331,IF($B$265=B$3310,DE3331,IF($B$265=B$3311,DF3331,IF($B$265=B$3312,DG3331,IF($B$265=B$3313,DH3331,IF($B$265=B$3314,DI3331,IF($B$265=B$3315,DJ3331,IF($B$265=B$3316,DK3331,IF($B$265=B$3317,DL3331,IF($B$265=B$3318,DM3331,IF($B$265=B$3319,DN3331,IF($B$265=B$3320,DO3331,IF($B$265=B$3321,DP3331,IF($B$265=B$3322,DQ3331,IF($B$265=B$3323,DR3331,IF($B$265=B$3324,DS3331,IF($B$265=B$3325,DT3331,IF($B$265=B$3326,DU3331,IF($B$265=B$3327,DV3331,IF($B$265=B$3328,DW3331,IF($B$265=B$3329,DX3331,""))))))))))))))))))))))))))))))))))))))))))))))))))))</f>
        <v/>
      </c>
      <c r="BZ3332" s="48" t="s">
        <v>1485</v>
      </c>
      <c r="CA3332" s="245" t="s">
        <v>885</v>
      </c>
      <c r="CB3332" s="245" t="s">
        <v>885</v>
      </c>
      <c r="CC3332" t="s">
        <v>1485</v>
      </c>
      <c r="CD3332" t="s">
        <v>1636</v>
      </c>
      <c r="CE3332" t="s">
        <v>1687</v>
      </c>
      <c r="CF3332" s="245" t="s">
        <v>885</v>
      </c>
      <c r="CG3332" s="245" t="s">
        <v>885</v>
      </c>
      <c r="CH3332" s="245" t="s">
        <v>885</v>
      </c>
      <c r="CI3332" t="s">
        <v>1744</v>
      </c>
      <c r="CJ3332" t="s">
        <v>1794</v>
      </c>
      <c r="CK3332" s="459" t="s">
        <v>885</v>
      </c>
      <c r="CL3332" s="459" t="s">
        <v>885</v>
      </c>
      <c r="CM3332" t="s">
        <v>1474</v>
      </c>
      <c r="CN3332" t="s">
        <v>1482</v>
      </c>
      <c r="CO3332" t="s">
        <v>2015</v>
      </c>
      <c r="CP3332" t="s">
        <v>1558</v>
      </c>
      <c r="CQ3332" t="s">
        <v>1466</v>
      </c>
      <c r="CR3332" t="s">
        <v>2216</v>
      </c>
      <c r="CS3332" s="459" t="s">
        <v>885</v>
      </c>
      <c r="CT3332" s="245" t="s">
        <v>885</v>
      </c>
      <c r="CU3332" t="s">
        <v>2294</v>
      </c>
      <c r="CV3332" t="s">
        <v>2352</v>
      </c>
      <c r="CW3332" t="s">
        <v>2399</v>
      </c>
      <c r="CX3332" t="s">
        <v>1470</v>
      </c>
      <c r="CY3332" t="s">
        <v>2489</v>
      </c>
      <c r="CZ3332" t="s">
        <v>2516</v>
      </c>
      <c r="DA3332" s="459" t="s">
        <v>885</v>
      </c>
      <c r="DB3332" s="459" t="s">
        <v>885</v>
      </c>
      <c r="DC3332" s="459" t="s">
        <v>885</v>
      </c>
      <c r="DD3332" s="459" t="s">
        <v>885</v>
      </c>
      <c r="DE3332" t="s">
        <v>2611</v>
      </c>
      <c r="DF3332" t="s">
        <v>1556</v>
      </c>
      <c r="DG3332" s="459" t="s">
        <v>885</v>
      </c>
      <c r="DH3332" t="s">
        <v>1972</v>
      </c>
      <c r="DI3332" t="s">
        <v>2774</v>
      </c>
      <c r="DJ3332" s="459" t="s">
        <v>885</v>
      </c>
      <c r="DK3332" t="s">
        <v>2833</v>
      </c>
      <c r="DL3332" s="459" t="s">
        <v>885</v>
      </c>
      <c r="DM3332" s="459" t="s">
        <v>885</v>
      </c>
      <c r="DN3332" t="s">
        <v>2895</v>
      </c>
      <c r="DO3332" t="s">
        <v>1475</v>
      </c>
      <c r="DP3332" t="s">
        <v>2970</v>
      </c>
      <c r="DQ3332" s="459" t="s">
        <v>885</v>
      </c>
      <c r="DR3332" s="459" t="s">
        <v>885</v>
      </c>
      <c r="DS3332" t="s">
        <v>2644</v>
      </c>
      <c r="DT3332" s="459" t="s">
        <v>885</v>
      </c>
      <c r="DU3332" t="s">
        <v>2614</v>
      </c>
      <c r="DV3332" t="s">
        <v>3052</v>
      </c>
      <c r="DW3332" s="245" t="s">
        <v>885</v>
      </c>
      <c r="DX3332" s="245" t="s">
        <v>885</v>
      </c>
      <c r="DY3332" s="245"/>
      <c r="DZ3332" s="470" t="str">
        <f>IF($B$265=$B$3278,EB3332,IF($B$265=$B$3279,ED3332,IF($B$265=$B$3280,EF3332,IF($B$265=$B$3281,EH3332,IF($B$265=$B$3282,EJ3332,IF($B$265=$B$3283,EL3332,IF($B$265=$B$3284,EN3332,IF($B$265=$B$3285,EP3332,IF($B$265=$B$3286,ER3332,IF($B$265=$B$3287,ET3332,IF($B$265=$B$3288,EV3332,IF($B$265=$B$3289,EX3332,IF($B$265=$B$3290,EZ3332,IF($B$265=$B$3291,FB3332,IF($B$265=$B$3292,FD3332,IF($B$265=$B$3293,BU3332,IF($B$265=$B$3294,FF3332,IF($B$265=$B$3295,FH3332,IF($B$265=$B$3296,FJ3332,IF($B$265=$B$3297,FL3332,IF($B$265=$B$3298,FN3332,IF($B$265=$B$3299,FP3332,IF(BI$265=$B$3300,FR3332,IF($B$265=$B$3301,FT3332,IF($B$265=$B$3302,FV3332,IF($B$265=$B$3303,FX3332,IF($B$265=$B$3304,FZ3332,IF($B$265=$B$3305,GB3332,IF($B$265=$B$3306,GD3332,IF($B$265=$B$3307,GF3332,IF($B$265=$B$3308,GH3332,IF($B$265=$B$3309,GJ3332,IF($B$265=$B$3310,GL3332,IF($B$265=$B$3311,GN3332,IF($B$265=$B$3312,GP3332,IF($B$265=$B$3313,GR3332,IF($B$265=$B$3314,GT3332,IF($B$265=$B$3315,GV3332,IF($B$265=$B$3316,GX3332,IF($B$265=$B$3317,GZ3332,IF($B$265=$B$3318,HB3332,IF($B$265=$B$3319,HD3332,IF($B$265=$B$3320,HF3332,IF($B$265=$B$3321,HH3332,IF($B$265=$B$3322,HJ3332,IF($B$265=$B$3323,HL3332,IF($B$265=$B$3324,HN3332,IF($B$265=$B$3325,HP3332,IF($B$265=$B$3326,HR3332,IF($B$265=$B$3327,HT3332,IF($B$265=$B$3328,HV3332,IF($B$265=$B$3329,HX3332,""))))))))))))))))))))))))))))))))))))))))))))))))))))</f>
        <v/>
      </c>
      <c r="EA3332" s="470" t="str">
        <f>IF($B$265=$B$3278,EC3332,IF($B$265=$B$3279,EE3332,IF($B$265=$B$3280,EG3332,IF($B$265=$B$3281,EI3332,IF($B$265=$B$3282,EK3332,IF($B$265=$B$3283,EM3332,IF($B$265=$B$3284,EO3332,IF($B$265=$B$3285,EQ3332,IF($B$265=$B$3286,ES3332,IF($B$265=$B$3287,EU3332,IF($B$265=$B$3288,EW3332,IF($B$265=$B$3289,EY3332,IF($B$265=$B$3290,FA3332,IF($B$265=$B$3291,FC3332,IF($B$265=$B$3292,FE3332,IF($B$265=$B$3293,BK3332,IF($B$265=$B$3294,FG3332,IF($B$265=$B$3295,FI3332,IF($B$265=$B$3296,FK3332,IF($B$265=$B$3297,FM3332,IF($B$265=$B$3298,FO3332,IF($B$265=$B$3299,FQ3332,IF(BJ$265=$B$3300,FS3332,IF($B$265=$B$3301,FU3332,IF($B$265=$B$3302,FW3332,IF($B$265=$B$3303,FY3332,IF($B$265=$B$3304,GA3332,IF($B$265=$B$3305,GC3332,IF($B$265=$B$3306,GE3332,IF($B$265=$B$3307,GG3332,IF($B$265=$B$3308,GI3332,IF($B$265=$B$3309,GK3332,IF($B$265=$B$3310,GM3332,IF($B$265=$B$3311,GO3332,IF($B$265=$B$3312,GQ3332,IF($B$265=$B$3313,GS3332,IF($B$265=$B$3314,GU3332,IF($B$265=$B$3315,GW3332,IF($B$265=$B$3316,GY3332,IF($B$265=$B$3317,HA3332,IF($B$265=$B$3318,HC3332,IF($B$265=$B$3319,HE3332,IF($B$265=$B$3320,HG3332,IF($B$265=$B$3321,HI3332,IF($B$265=$B$3322,HK3332,IF($B$265=$B$3323,HM3332,IF($B$265=$B$3324,HO3332,IF($B$265=$B$3325,HQ3332,IF($B$265=$B$3326,HS3332,IF($B$265=$B$3327,HU3332,IF($B$265=$B$3328,HW3332,IF($B$265=$B$3329,HY3332,""))))))))))))))))))))))))))))))))))))))))))))))))))))</f>
        <v/>
      </c>
      <c r="EB3332" t="s">
        <v>3298</v>
      </c>
      <c r="EC3332" s="471" t="s">
        <v>3283</v>
      </c>
      <c r="EH3332" t="str">
        <f>EH3318</f>
        <v>Bryan Chesshir</v>
      </c>
      <c r="EI3332" s="473" t="s">
        <v>3294</v>
      </c>
      <c r="EJ3332" t="s">
        <v>3425</v>
      </c>
      <c r="EK3332" s="473" t="s">
        <v>3294</v>
      </c>
      <c r="EL3332" t="str">
        <f>EL3319</f>
        <v>Matthew Karzen</v>
      </c>
      <c r="EM3332" s="473" t="str">
        <f>EM3319</f>
        <v>I</v>
      </c>
    </row>
    <row r="3333" spans="1:143" ht="14.5" hidden="1" x14ac:dyDescent="0.35">
      <c r="BS3333" s="464" t="str">
        <f>IF($B$265=B$3278,BZ3332,IF($B$265=B$3279,CA3332,IF($B$265=B$3280,CB3332,IF($B$265=B$3281,CC3332,IF($B$265=B$3282,CD3332,IF($B$265=B$3283,CE3332,IF($B$265=B$3284,CF3332,IF($B$265=B$3285,CG3332,IF($B$265=B$3286,CH3332,IF($B$265=B$3287,CI3332,IF($B$265=B$3288,CJ3332,IF($B$265=B$3289,CK3332,IF($B$265=B$3290,CL3332,IF($B$265=B$3291,CM3332,IF($B$265=B$3292,CN3332,IF($B$265=B$3293,C3332,IF($B$265=B$3294,CO3332,IF($B$265=B$3295,CP3332,IF($B$265=B$3296,CQ3332,IF($B$265=B$3297,CR3332,IF($B$265=B$3298,CS3332,IF($B$265=B$3299,CT3332,IF(B$265=B$3300,CU3332,IF($B$265=B$3301,CV3332,IF($B$265=B$3302,CW3332,IF($B$265=B$3303,CX3332,IF($B$265=B$3304,CY3332,IF($B$265=B$3305,CZ3332,IF($B$265=B$3306,DA3332,IF($B$265=B$3307,DB3332,IF($B$265=B$3308,DC3332,IF($B$265=B$3309,DD3332,IF($B$265=B$3310,DE3332,IF($B$265=B$3311,DF3332,IF($B$265=B$3312,DG3332,IF($B$265=B$3313,DH3332,IF($B$265=B$3314,DI3332,IF($B$265=B$3315,DJ3332,IF($B$265=B$3316,DK3332,IF($B$265=B$3317,DL3332,IF($B$265=B$3318,DM3332,IF($B$265=B$3319,DN3332,IF($B$265=B$3320,DO3332,IF($B$265=B$3321,DP3332,IF($B$265=B$3322,DQ3332,IF($B$265=B$3323,DR3332,IF($B$265=B$3324,DS3332,IF($B$265=B$3325,DT3332,IF($B$265=B$3326,DU3332,IF($B$265=B$3327,DV3332,IF($B$265=B$3328,DW3332,IF($B$265=B$3329,DX3332,""))))))))))))))))))))))))))))))))))))))))))))))))))))</f>
        <v/>
      </c>
      <c r="BZ3333" s="48" t="s">
        <v>1486</v>
      </c>
      <c r="CA3333" s="245" t="s">
        <v>885</v>
      </c>
      <c r="CB3333" s="245" t="s">
        <v>885</v>
      </c>
      <c r="CC3333" t="s">
        <v>1566</v>
      </c>
      <c r="CD3333" t="s">
        <v>1637</v>
      </c>
      <c r="CE3333" t="s">
        <v>1688</v>
      </c>
      <c r="CF3333" s="245" t="s">
        <v>885</v>
      </c>
      <c r="CG3333" s="245" t="s">
        <v>885</v>
      </c>
      <c r="CH3333" s="245" t="s">
        <v>885</v>
      </c>
      <c r="CI3333" t="s">
        <v>1745</v>
      </c>
      <c r="CJ3333" t="s">
        <v>1459</v>
      </c>
      <c r="CK3333" s="459" t="s">
        <v>885</v>
      </c>
      <c r="CL3333" s="459" t="s">
        <v>885</v>
      </c>
      <c r="CM3333" t="s">
        <v>1928</v>
      </c>
      <c r="CN3333" t="s">
        <v>1563</v>
      </c>
      <c r="CO3333" t="s">
        <v>1471</v>
      </c>
      <c r="CP3333" t="s">
        <v>2019</v>
      </c>
      <c r="CQ3333" t="s">
        <v>1467</v>
      </c>
      <c r="CR3333" t="s">
        <v>2217</v>
      </c>
      <c r="CS3333" s="459" t="s">
        <v>885</v>
      </c>
      <c r="CT3333" s="245" t="s">
        <v>885</v>
      </c>
      <c r="CU3333" t="s">
        <v>2295</v>
      </c>
      <c r="CV3333" t="s">
        <v>2353</v>
      </c>
      <c r="CW3333" t="s">
        <v>1483</v>
      </c>
      <c r="CX3333" t="s">
        <v>1889</v>
      </c>
      <c r="CY3333" t="s">
        <v>2490</v>
      </c>
      <c r="CZ3333" t="s">
        <v>1556</v>
      </c>
      <c r="DA3333" s="459" t="s">
        <v>885</v>
      </c>
      <c r="DB3333" s="459" t="s">
        <v>885</v>
      </c>
      <c r="DC3333" s="459" t="s">
        <v>885</v>
      </c>
      <c r="DD3333" s="459" t="s">
        <v>885</v>
      </c>
      <c r="DE3333" t="s">
        <v>2612</v>
      </c>
      <c r="DF3333" t="s">
        <v>2653</v>
      </c>
      <c r="DG3333" s="459" t="s">
        <v>885</v>
      </c>
      <c r="DH3333" t="s">
        <v>1480</v>
      </c>
      <c r="DI3333" t="s">
        <v>2775</v>
      </c>
      <c r="DJ3333" s="459" t="s">
        <v>885</v>
      </c>
      <c r="DK3333" t="s">
        <v>2241</v>
      </c>
      <c r="DL3333" s="459" t="s">
        <v>885</v>
      </c>
      <c r="DM3333" s="459" t="s">
        <v>885</v>
      </c>
      <c r="DN3333" t="s">
        <v>2896</v>
      </c>
      <c r="DO3333" t="s">
        <v>1477</v>
      </c>
      <c r="DP3333" t="s">
        <v>2971</v>
      </c>
      <c r="DQ3333" s="459" t="s">
        <v>885</v>
      </c>
      <c r="DR3333" s="459" t="s">
        <v>885</v>
      </c>
      <c r="DS3333" t="s">
        <v>3148</v>
      </c>
      <c r="DT3333" s="459" t="s">
        <v>885</v>
      </c>
      <c r="DU3333" s="459" t="s">
        <v>885</v>
      </c>
      <c r="DV3333" t="s">
        <v>3261</v>
      </c>
      <c r="DW3333" s="245" t="s">
        <v>885</v>
      </c>
      <c r="DX3333" s="245" t="s">
        <v>885</v>
      </c>
      <c r="DY3333" s="245"/>
      <c r="DZ3333" s="470" t="str">
        <f>IF($B$265=$B$3278,EB3333,IF($B$265=$B$3279,ED3333,IF($B$265=$B$3280,EF3333,IF($B$265=$B$3281,EH3333,IF($B$265=$B$3282,EJ3333,IF($B$265=$B$3283,EL3333,IF($B$265=$B$3284,EN3333,IF($B$265=$B$3285,EP3333,IF($B$265=$B$3286,ER3333,IF($B$265=$B$3287,ET3333,IF($B$265=$B$3288,EV3333,IF($B$265=$B$3289,EX3333,IF($B$265=$B$3290,EZ3333,IF($B$265=$B$3291,FB3333,IF($B$265=$B$3292,FD3333,IF($B$265=$B$3293,BU3333,IF($B$265=$B$3294,FF3333,IF($B$265=$B$3295,FH3333,IF($B$265=$B$3296,FJ3333,IF($B$265=$B$3297,FL3333,IF($B$265=$B$3298,FN3333,IF($B$265=$B$3299,FP3333,IF(BI$265=$B$3300,FR3333,IF($B$265=$B$3301,FT3333,IF($B$265=$B$3302,FV3333,IF($B$265=$B$3303,FX3333,IF($B$265=$B$3304,FZ3333,IF($B$265=$B$3305,GB3333,IF($B$265=$B$3306,GD3333,IF($B$265=$B$3307,GF3333,IF($B$265=$B$3308,GH3333,IF($B$265=$B$3309,GJ3333,IF($B$265=$B$3310,GL3333,IF($B$265=$B$3311,GN3333,IF($B$265=$B$3312,GP3333,IF($B$265=$B$3313,GR3333,IF($B$265=$B$3314,GT3333,IF($B$265=$B$3315,GV3333,IF($B$265=$B$3316,GX3333,IF($B$265=$B$3317,GZ3333,IF($B$265=$B$3318,HB3333,IF($B$265=$B$3319,HD3333,IF($B$265=$B$3320,HF3333,IF($B$265=$B$3321,HH3333,IF($B$265=$B$3322,HJ3333,IF($B$265=$B$3323,HL3333,IF($B$265=$B$3324,HN3333,IF($B$265=$B$3325,HP3333,IF($B$265=$B$3326,HR3333,IF($B$265=$B$3327,HT3333,IF($B$265=$B$3328,HV3333,IF($B$265=$B$3329,HX3333,""))))))))))))))))))))))))))))))))))))))))))))))))))))</f>
        <v/>
      </c>
      <c r="EA3333" s="470" t="str">
        <f>IF($B$265=$B$3278,EC3333,IF($B$265=$B$3279,EE3333,IF($B$265=$B$3280,EG3333,IF($B$265=$B$3281,EI3333,IF($B$265=$B$3282,EK3333,IF($B$265=$B$3283,EM3333,IF($B$265=$B$3284,EO3333,IF($B$265=$B$3285,EQ3333,IF($B$265=$B$3286,ES3333,IF($B$265=$B$3287,EU3333,IF($B$265=$B$3288,EW3333,IF($B$265=$B$3289,EY3333,IF($B$265=$B$3290,FA3333,IF($B$265=$B$3291,FC3333,IF($B$265=$B$3292,FE3333,IF($B$265=$B$3293,BK3333,IF($B$265=$B$3294,FG3333,IF($B$265=$B$3295,FI3333,IF($B$265=$B$3296,FK3333,IF($B$265=$B$3297,FM3333,IF($B$265=$B$3298,FO3333,IF($B$265=$B$3299,FQ3333,IF(BJ$265=$B$3300,FS3333,IF($B$265=$B$3301,FU3333,IF($B$265=$B$3302,FW3333,IF($B$265=$B$3303,FY3333,IF($B$265=$B$3304,GA3333,IF($B$265=$B$3305,GC3333,IF($B$265=$B$3306,GE3333,IF($B$265=$B$3307,GG3333,IF($B$265=$B$3308,GI3333,IF($B$265=$B$3309,GK3333,IF($B$265=$B$3310,GM3333,IF($B$265=$B$3311,GO3333,IF($B$265=$B$3312,GQ3333,IF($B$265=$B$3313,GS3333,IF($B$265=$B$3314,GU3333,IF($B$265=$B$3315,GW3333,IF($B$265=$B$3316,GY3333,IF($B$265=$B$3317,HA3333,IF($B$265=$B$3318,HC3333,IF($B$265=$B$3319,HE3333,IF($B$265=$B$3320,HG3333,IF($B$265=$B$3321,HI3333,IF($B$265=$B$3322,HK3333,IF($B$265=$B$3323,HM3333,IF($B$265=$B$3324,HO3333,IF($B$265=$B$3325,HQ3333,IF($B$265=$B$3326,HS3333,IF($B$265=$B$3327,HU3333,IF($B$265=$B$3328,HW3333,IF($B$265=$B$3329,HY3333,""))))))))))))))))))))))))))))))))))))))))))))))))))))</f>
        <v/>
      </c>
      <c r="EB3333" t="str">
        <f>EB3321</f>
        <v>Douglas Jeremy Duerr</v>
      </c>
      <c r="EC3333" t="str">
        <f>EC3321</f>
        <v>n</v>
      </c>
      <c r="EH3333" t="str">
        <f>EH3324</f>
        <v>Scott Ellington</v>
      </c>
      <c r="EI3333" s="473" t="s">
        <v>3294</v>
      </c>
      <c r="EJ3333" t="s">
        <v>3426</v>
      </c>
      <c r="EK3333" s="473" t="s">
        <v>3294</v>
      </c>
      <c r="EL3333" t="str">
        <f>EL3331</f>
        <v>Alonzo C. Payne</v>
      </c>
      <c r="EM3333" s="473" t="str">
        <f>EM3331</f>
        <v>D</v>
      </c>
    </row>
    <row r="3334" spans="1:143" ht="17.5" hidden="1" x14ac:dyDescent="0.35">
      <c r="A3334" s="567" t="s">
        <v>89</v>
      </c>
      <c r="B3334" s="567"/>
      <c r="C3334" s="567"/>
      <c r="D3334" s="567"/>
      <c r="E3334" s="567"/>
      <c r="F3334" s="567"/>
      <c r="BS3334" s="464" t="str">
        <f>IF($B$265=B$3278,BZ3333,IF($B$265=B$3279,CA3333,IF($B$265=B$3280,CB3333,IF($B$265=B$3281,CC3333,IF($B$265=B$3282,CD3333,IF($B$265=B$3283,CE3333,IF($B$265=B$3284,CF3333,IF($B$265=B$3285,CG3333,IF($B$265=B$3286,CH3333,IF($B$265=B$3287,CI3333,IF($B$265=B$3288,CJ3333,IF($B$265=B$3289,CK3333,IF($B$265=B$3290,CL3333,IF($B$265=B$3291,CM3333,IF($B$265=B$3292,CN3333,IF($B$265=B$3293,C3333,IF($B$265=B$3294,CO3333,IF($B$265=B$3295,CP3333,IF($B$265=B$3296,CQ3333,IF($B$265=B$3297,CR3333,IF($B$265=B$3298,CS3333,IF($B$265=B$3299,CT3333,IF(B$265=B$3300,CU3333,IF($B$265=B$3301,CV3333,IF($B$265=B$3302,CW3333,IF($B$265=B$3303,CX3333,IF($B$265=B$3304,CY3333,IF($B$265=B$3305,CZ3333,IF($B$265=B$3306,DA3333,IF($B$265=B$3307,DB3333,IF($B$265=B$3308,DC3333,IF($B$265=B$3309,DD3333,IF($B$265=B$3310,DE3333,IF($B$265=B$3311,DF3333,IF($B$265=B$3312,DG3333,IF($B$265=B$3313,DH3333,IF($B$265=B$3314,DI3333,IF($B$265=B$3315,DJ3333,IF($B$265=B$3316,DK3333,IF($B$265=B$3317,DL3333,IF($B$265=B$3318,DM3333,IF($B$265=B$3319,DN3333,IF($B$265=B$3320,DO3333,IF($B$265=B$3321,DP3333,IF($B$265=B$3322,DQ3333,IF($B$265=B$3323,DR3333,IF($B$265=B$3324,DS3333,IF($B$265=B$3325,DT3333,IF($B$265=B$3326,DU3333,IF($B$265=B$3327,DV3333,IF($B$265=B$3328,DW3333,IF($B$265=B$3329,DX3333,""))))))))))))))))))))))))))))))))))))))))))))))))))))</f>
        <v/>
      </c>
      <c r="BZ3334" s="48" t="s">
        <v>1487</v>
      </c>
      <c r="CA3334" s="245" t="s">
        <v>885</v>
      </c>
      <c r="CB3334" s="245" t="s">
        <v>885</v>
      </c>
      <c r="CC3334" t="s">
        <v>1567</v>
      </c>
      <c r="CD3334" t="s">
        <v>1638</v>
      </c>
      <c r="CE3334" t="s">
        <v>1689</v>
      </c>
      <c r="CF3334" s="245" t="s">
        <v>885</v>
      </c>
      <c r="CG3334" s="245" t="s">
        <v>885</v>
      </c>
      <c r="CH3334" s="245" t="s">
        <v>885</v>
      </c>
      <c r="CI3334" t="s">
        <v>1746</v>
      </c>
      <c r="CJ3334" t="s">
        <v>1795</v>
      </c>
      <c r="CK3334" s="459" t="s">
        <v>885</v>
      </c>
      <c r="CL3334" s="459" t="s">
        <v>885</v>
      </c>
      <c r="CM3334" t="s">
        <v>1475</v>
      </c>
      <c r="CN3334" t="s">
        <v>1973</v>
      </c>
      <c r="CO3334" t="s">
        <v>2016</v>
      </c>
      <c r="CP3334" t="s">
        <v>1477</v>
      </c>
      <c r="CQ3334" t="s">
        <v>2135</v>
      </c>
      <c r="CR3334" t="s">
        <v>2218</v>
      </c>
      <c r="CS3334" s="459" t="s">
        <v>885</v>
      </c>
      <c r="CT3334" s="245" t="s">
        <v>885</v>
      </c>
      <c r="CU3334" t="s">
        <v>2296</v>
      </c>
      <c r="CV3334" t="s">
        <v>2354</v>
      </c>
      <c r="CW3334" t="s">
        <v>1485</v>
      </c>
      <c r="CX3334" t="s">
        <v>1556</v>
      </c>
      <c r="CY3334" s="459" t="s">
        <v>885</v>
      </c>
      <c r="CZ3334" t="s">
        <v>1558</v>
      </c>
      <c r="DA3334" s="459" t="s">
        <v>885</v>
      </c>
      <c r="DB3334" s="459" t="s">
        <v>885</v>
      </c>
      <c r="DC3334" s="459" t="s">
        <v>885</v>
      </c>
      <c r="DD3334" s="459" t="s">
        <v>885</v>
      </c>
      <c r="DE3334" t="s">
        <v>1854</v>
      </c>
      <c r="DF3334" t="s">
        <v>1474</v>
      </c>
      <c r="DG3334" s="459" t="s">
        <v>885</v>
      </c>
      <c r="DH3334" t="s">
        <v>1481</v>
      </c>
      <c r="DI3334" t="s">
        <v>2079</v>
      </c>
      <c r="DJ3334" s="459" t="s">
        <v>885</v>
      </c>
      <c r="DK3334" t="s">
        <v>1985</v>
      </c>
      <c r="DL3334" s="459" t="s">
        <v>885</v>
      </c>
      <c r="DM3334" s="459" t="s">
        <v>885</v>
      </c>
      <c r="DN3334" t="s">
        <v>2897</v>
      </c>
      <c r="DO3334" t="s">
        <v>1478</v>
      </c>
      <c r="DP3334" t="s">
        <v>1454</v>
      </c>
      <c r="DQ3334" s="459" t="s">
        <v>885</v>
      </c>
      <c r="DR3334" s="459" t="s">
        <v>885</v>
      </c>
      <c r="DS3334" t="s">
        <v>3149</v>
      </c>
      <c r="DT3334" s="459" t="s">
        <v>885</v>
      </c>
      <c r="DU3334" s="459" t="s">
        <v>885</v>
      </c>
      <c r="DV3334" t="s">
        <v>3262</v>
      </c>
      <c r="DW3334" s="245" t="s">
        <v>885</v>
      </c>
      <c r="DX3334" s="245" t="s">
        <v>885</v>
      </c>
      <c r="DY3334" s="245"/>
      <c r="DZ3334" s="470" t="str">
        <f>IF($B$265=$B$3278,EB3334,IF($B$265=$B$3279,ED3334,IF($B$265=$B$3280,EF3334,IF($B$265=$B$3281,EH3334,IF($B$265=$B$3282,EJ3334,IF($B$265=$B$3283,EL3334,IF($B$265=$B$3284,EN3334,IF($B$265=$B$3285,EP3334,IF($B$265=$B$3286,ER3334,IF($B$265=$B$3287,ET3334,IF($B$265=$B$3288,EV3334,IF($B$265=$B$3289,EX3334,IF($B$265=$B$3290,EZ3334,IF($B$265=$B$3291,FB3334,IF($B$265=$B$3292,FD3334,IF($B$265=$B$3293,BU3334,IF($B$265=$B$3294,FF3334,IF($B$265=$B$3295,FH3334,IF($B$265=$B$3296,FJ3334,IF($B$265=$B$3297,FL3334,IF($B$265=$B$3298,FN3334,IF($B$265=$B$3299,FP3334,IF(BI$265=$B$3300,FR3334,IF($B$265=$B$3301,FT3334,IF($B$265=$B$3302,FV3334,IF($B$265=$B$3303,FX3334,IF($B$265=$B$3304,FZ3334,IF($B$265=$B$3305,GB3334,IF($B$265=$B$3306,GD3334,IF($B$265=$B$3307,GF3334,IF($B$265=$B$3308,GH3334,IF($B$265=$B$3309,GJ3334,IF($B$265=$B$3310,GL3334,IF($B$265=$B$3311,GN3334,IF($B$265=$B$3312,GP3334,IF($B$265=$B$3313,GR3334,IF($B$265=$B$3314,GT3334,IF($B$265=$B$3315,GV3334,IF($B$265=$B$3316,GX3334,IF($B$265=$B$3317,GZ3334,IF($B$265=$B$3318,HB3334,IF($B$265=$B$3319,HD3334,IF($B$265=$B$3320,HF3334,IF($B$265=$B$3321,HH3334,IF($B$265=$B$3322,HJ3334,IF($B$265=$B$3323,HL3334,IF($B$265=$B$3324,HN3334,IF($B$265=$B$3325,HP3334,IF($B$265=$B$3326,HR3334,IF($B$265=$B$3327,HT3334,IF($B$265=$B$3328,HV3334,IF($B$265=$B$3329,HX3334,""))))))))))))))))))))))))))))))))))))))))))))))))))))</f>
        <v/>
      </c>
      <c r="EA3334" s="470" t="str">
        <f>IF($B$265=$B$3278,EC3334,IF($B$265=$B$3279,EE3334,IF($B$265=$B$3280,EG3334,IF($B$265=$B$3281,EI3334,IF($B$265=$B$3282,EK3334,IF($B$265=$B$3283,EM3334,IF($B$265=$B$3284,EO3334,IF($B$265=$B$3285,EQ3334,IF($B$265=$B$3286,ES3334,IF($B$265=$B$3287,EU3334,IF($B$265=$B$3288,EW3334,IF($B$265=$B$3289,EY3334,IF($B$265=$B$3290,FA3334,IF($B$265=$B$3291,FC3334,IF($B$265=$B$3292,FE3334,IF($B$265=$B$3293,BK3334,IF($B$265=$B$3294,FG3334,IF($B$265=$B$3295,FI3334,IF($B$265=$B$3296,FK3334,IF($B$265=$B$3297,FM3334,IF($B$265=$B$3298,FO3334,IF($B$265=$B$3299,FQ3334,IF(BJ$265=$B$3300,FS3334,IF($B$265=$B$3301,FU3334,IF($B$265=$B$3302,FW3334,IF($B$265=$B$3303,FY3334,IF($B$265=$B$3304,GA3334,IF($B$265=$B$3305,GC3334,IF($B$265=$B$3306,GE3334,IF($B$265=$B$3307,GG3334,IF($B$265=$B$3308,GI3334,IF($B$265=$B$3309,GK3334,IF($B$265=$B$3310,GM3334,IF($B$265=$B$3311,GO3334,IF($B$265=$B$3312,GQ3334,IF($B$265=$B$3313,GS3334,IF($B$265=$B$3314,GU3334,IF($B$265=$B$3315,GW3334,IF($B$265=$B$3316,GY3334,IF($B$265=$B$3317,HA3334,IF($B$265=$B$3318,HC3334,IF($B$265=$B$3319,HE3334,IF($B$265=$B$3320,HG3334,IF($B$265=$B$3321,HI3334,IF($B$265=$B$3322,HK3334,IF($B$265=$B$3323,HM3334,IF($B$265=$B$3324,HO3334,IF($B$265=$B$3325,HQ3334,IF($B$265=$B$3326,HS3334,IF($B$265=$B$3327,HU3334,IF($B$265=$B$3328,HW3334,IF($B$265=$B$3329,HY3334,""))))))))))))))))))))))))))))))))))))))))))))))))))))</f>
        <v/>
      </c>
      <c r="EB3334" t="s">
        <v>3322</v>
      </c>
      <c r="EC3334" s="471" t="s">
        <v>3288</v>
      </c>
      <c r="EH3334" t="str">
        <f>EH3326</f>
        <v>Andy Riner</v>
      </c>
      <c r="EI3334" s="473" t="s">
        <v>3294</v>
      </c>
      <c r="EJ3334" t="s">
        <v>3427</v>
      </c>
      <c r="EK3334" s="473" t="s">
        <v>3294</v>
      </c>
      <c r="EL3334" t="str">
        <f>EL3311</f>
        <v>Christian Champagne</v>
      </c>
      <c r="EM3334" s="473" t="str">
        <f>EM3311</f>
        <v>D</v>
      </c>
    </row>
    <row r="3335" spans="1:143" ht="14.5" hidden="1" x14ac:dyDescent="0.35">
      <c r="A3335" s="814"/>
      <c r="BB3335" s="48"/>
      <c r="BS3335" s="464" t="str">
        <f>IF($B$265=B$3278,BZ3334,IF($B$265=B$3279,CA3334,IF($B$265=B$3280,CB3334,IF($B$265=B$3281,CC3334,IF($B$265=B$3282,CD3334,IF($B$265=B$3283,CE3334,IF($B$265=B$3284,CF3334,IF($B$265=B$3285,CG3334,IF($B$265=B$3286,CH3334,IF($B$265=B$3287,CI3334,IF($B$265=B$3288,CJ3334,IF($B$265=B$3289,CK3334,IF($B$265=B$3290,CL3334,IF($B$265=B$3291,CM3334,IF($B$265=B$3292,CN3334,IF($B$265=B$3293,C3334,IF($B$265=B$3294,CO3334,IF($B$265=B$3295,CP3334,IF($B$265=B$3296,CQ3334,IF($B$265=B$3297,CR3334,IF($B$265=B$3298,CS3334,IF($B$265=B$3299,CT3334,IF(B$265=B$3300,CU3334,IF($B$265=B$3301,CV3334,IF($B$265=B$3302,CW3334,IF($B$265=B$3303,CX3334,IF($B$265=B$3304,CY3334,IF($B$265=B$3305,CZ3334,IF($B$265=B$3306,DA3334,IF($B$265=B$3307,DB3334,IF($B$265=B$3308,DC3334,IF($B$265=B$3309,DD3334,IF($B$265=B$3310,DE3334,IF($B$265=B$3311,DF3334,IF($B$265=B$3312,DG3334,IF($B$265=B$3313,DH3334,IF($B$265=B$3314,DI3334,IF($B$265=B$3315,DJ3334,IF($B$265=B$3316,DK3334,IF($B$265=B$3317,DL3334,IF($B$265=B$3318,DM3334,IF($B$265=B$3319,DN3334,IF($B$265=B$3320,DO3334,IF($B$265=B$3321,DP3334,IF($B$265=B$3322,DQ3334,IF($B$265=B$3323,DR3334,IF($B$265=B$3324,DS3334,IF($B$265=B$3325,DT3334,IF($B$265=B$3326,DU3334,IF($B$265=B$3327,DV3334,IF($B$265=B$3328,DW3334,IF($B$265=B$3329,DX3334,""))))))))))))))))))))))))))))))))))))))))))))))))))))</f>
        <v/>
      </c>
      <c r="BZ3335" s="48" t="s">
        <v>1488</v>
      </c>
      <c r="CA3335" s="245" t="s">
        <v>885</v>
      </c>
      <c r="CB3335" s="245" t="s">
        <v>885</v>
      </c>
      <c r="CC3335" t="s">
        <v>1568</v>
      </c>
      <c r="CD3335" t="s">
        <v>1639</v>
      </c>
      <c r="CE3335" t="s">
        <v>1690</v>
      </c>
      <c r="CF3335" s="245" t="s">
        <v>885</v>
      </c>
      <c r="CG3335" s="245" t="s">
        <v>885</v>
      </c>
      <c r="CH3335" s="245" t="s">
        <v>885</v>
      </c>
      <c r="CI3335" t="s">
        <v>1747</v>
      </c>
      <c r="CJ3335" t="s">
        <v>1796</v>
      </c>
      <c r="CK3335" s="459" t="s">
        <v>885</v>
      </c>
      <c r="CL3335" s="459" t="s">
        <v>885</v>
      </c>
      <c r="CM3335" t="s">
        <v>1477</v>
      </c>
      <c r="CN3335" t="s">
        <v>1974</v>
      </c>
      <c r="CO3335" t="s">
        <v>2017</v>
      </c>
      <c r="CP3335" t="s">
        <v>1478</v>
      </c>
      <c r="CQ3335" t="s">
        <v>1554</v>
      </c>
      <c r="CR3335" t="s">
        <v>2219</v>
      </c>
      <c r="CS3335" s="459" t="s">
        <v>885</v>
      </c>
      <c r="CT3335" s="245" t="s">
        <v>885</v>
      </c>
      <c r="CU3335" t="s">
        <v>1480</v>
      </c>
      <c r="CV3335" t="s">
        <v>2355</v>
      </c>
      <c r="CW3335" t="s">
        <v>2400</v>
      </c>
      <c r="CX3335" t="s">
        <v>2016</v>
      </c>
      <c r="CY3335" s="459" t="s">
        <v>885</v>
      </c>
      <c r="CZ3335" t="s">
        <v>2517</v>
      </c>
      <c r="DA3335" s="459" t="s">
        <v>885</v>
      </c>
      <c r="DB3335" s="459" t="s">
        <v>885</v>
      </c>
      <c r="DC3335" s="459" t="s">
        <v>885</v>
      </c>
      <c r="DD3335" s="459" t="s">
        <v>885</v>
      </c>
      <c r="DE3335" t="s">
        <v>1495</v>
      </c>
      <c r="DF3335" t="s">
        <v>1475</v>
      </c>
      <c r="DG3335" s="459" t="s">
        <v>885</v>
      </c>
      <c r="DH3335" t="s">
        <v>1482</v>
      </c>
      <c r="DI3335" t="s">
        <v>2081</v>
      </c>
      <c r="DJ3335" s="459" t="s">
        <v>885</v>
      </c>
      <c r="DK3335" t="s">
        <v>2834</v>
      </c>
      <c r="DL3335" s="459" t="s">
        <v>885</v>
      </c>
      <c r="DM3335" s="459" t="s">
        <v>885</v>
      </c>
      <c r="DN3335" t="s">
        <v>2898</v>
      </c>
      <c r="DO3335" t="s">
        <v>2918</v>
      </c>
      <c r="DP3335" t="s">
        <v>1784</v>
      </c>
      <c r="DQ3335" s="459" t="s">
        <v>885</v>
      </c>
      <c r="DR3335" s="459" t="s">
        <v>885</v>
      </c>
      <c r="DS3335" t="s">
        <v>3150</v>
      </c>
      <c r="DT3335" s="459" t="s">
        <v>885</v>
      </c>
      <c r="DU3335" s="459" t="s">
        <v>885</v>
      </c>
      <c r="DV3335" t="s">
        <v>3263</v>
      </c>
      <c r="DW3335" s="245" t="s">
        <v>885</v>
      </c>
      <c r="DX3335" s="245" t="s">
        <v>885</v>
      </c>
      <c r="DY3335" s="245"/>
      <c r="DZ3335" s="470" t="str">
        <f>IF($B$265=$B$3278,EB3335,IF($B$265=$B$3279,ED3335,IF($B$265=$B$3280,EF3335,IF($B$265=$B$3281,EH3335,IF($B$265=$B$3282,EJ3335,IF($B$265=$B$3283,EL3335,IF($B$265=$B$3284,EN3335,IF($B$265=$B$3285,EP3335,IF($B$265=$B$3286,ER3335,IF($B$265=$B$3287,ET3335,IF($B$265=$B$3288,EV3335,IF($B$265=$B$3289,EX3335,IF($B$265=$B$3290,EZ3335,IF($B$265=$B$3291,FB3335,IF($B$265=$B$3292,FD3335,IF($B$265=$B$3293,BU3335,IF($B$265=$B$3294,FF3335,IF($B$265=$B$3295,FH3335,IF($B$265=$B$3296,FJ3335,IF($B$265=$B$3297,FL3335,IF($B$265=$B$3298,FN3335,IF($B$265=$B$3299,FP3335,IF(BI$265=$B$3300,FR3335,IF($B$265=$B$3301,FT3335,IF($B$265=$B$3302,FV3335,IF($B$265=$B$3303,FX3335,IF($B$265=$B$3304,FZ3335,IF($B$265=$B$3305,GB3335,IF($B$265=$B$3306,GD3335,IF($B$265=$B$3307,GF3335,IF($B$265=$B$3308,GH3335,IF($B$265=$B$3309,GJ3335,IF($B$265=$B$3310,GL3335,IF($B$265=$B$3311,GN3335,IF($B$265=$B$3312,GP3335,IF($B$265=$B$3313,GR3335,IF($B$265=$B$3314,GT3335,IF($B$265=$B$3315,GV3335,IF($B$265=$B$3316,GX3335,IF($B$265=$B$3317,GZ3335,IF($B$265=$B$3318,HB3335,IF($B$265=$B$3319,HD3335,IF($B$265=$B$3320,HF3335,IF($B$265=$B$3321,HH3335,IF($B$265=$B$3322,HJ3335,IF($B$265=$B$3323,HL3335,IF($B$265=$B$3324,HN3335,IF($B$265=$B$3325,HP3335,IF($B$265=$B$3326,HR3335,IF($B$265=$B$3327,HT3335,IF($B$265=$B$3328,HV3335,IF($B$265=$B$3329,HX3335,""))))))))))))))))))))))))))))))))))))))))))))))))))))</f>
        <v/>
      </c>
      <c r="EA3335" s="470" t="str">
        <f>IF($B$265=$B$3278,EC3335,IF($B$265=$B$3279,EE3335,IF($B$265=$B$3280,EG3335,IF($B$265=$B$3281,EI3335,IF($B$265=$B$3282,EK3335,IF($B$265=$B$3283,EM3335,IF($B$265=$B$3284,EO3335,IF($B$265=$B$3285,EQ3335,IF($B$265=$B$3286,ES3335,IF($B$265=$B$3287,EU3335,IF($B$265=$B$3288,EW3335,IF($B$265=$B$3289,EY3335,IF($B$265=$B$3290,FA3335,IF($B$265=$B$3291,FC3335,IF($B$265=$B$3292,FE3335,IF($B$265=$B$3293,BK3335,IF($B$265=$B$3294,FG3335,IF($B$265=$B$3295,FI3335,IF($B$265=$B$3296,FK3335,IF($B$265=$B$3297,FM3335,IF($B$265=$B$3298,FO3335,IF($B$265=$B$3299,FQ3335,IF(BJ$265=$B$3300,FS3335,IF($B$265=$B$3301,FU3335,IF($B$265=$B$3302,FW3335,IF($B$265=$B$3303,FY3335,IF($B$265=$B$3304,GA3335,IF($B$265=$B$3305,GC3335,IF($B$265=$B$3306,GE3335,IF($B$265=$B$3307,GG3335,IF($B$265=$B$3308,GI3335,IF($B$265=$B$3309,GK3335,IF($B$265=$B$3310,GM3335,IF($B$265=$B$3311,GO3335,IF($B$265=$B$3312,GQ3335,IF($B$265=$B$3313,GS3335,IF($B$265=$B$3314,GU3335,IF($B$265=$B$3315,GW3335,IF($B$265=$B$3316,GY3335,IF($B$265=$B$3317,HA3335,IF($B$265=$B$3318,HC3335,IF($B$265=$B$3319,HE3335,IF($B$265=$B$3320,HG3335,IF($B$265=$B$3321,HI3335,IF($B$265=$B$3322,HK3335,IF($B$265=$B$3323,HM3335,IF($B$265=$B$3324,HO3335,IF($B$265=$B$3325,HQ3335,IF($B$265=$B$3326,HS3335,IF($B$265=$B$3327,HU3335,IF($B$265=$B$3328,HW3335,IF($B$265=$B$3329,HY3335,""))))))))))))))))))))))))))))))))))))))))))))))))))))</f>
        <v/>
      </c>
      <c r="EB3335" t="s">
        <v>3323</v>
      </c>
      <c r="EC3335" s="471" t="s">
        <v>3283</v>
      </c>
      <c r="EH3335" t="str">
        <f>EH3313</f>
        <v>Jeff Phillips</v>
      </c>
      <c r="EI3335" s="473" t="s">
        <v>3294</v>
      </c>
      <c r="EJ3335" t="s">
        <v>3428</v>
      </c>
      <c r="EK3335" s="473" t="s">
        <v>3294</v>
      </c>
      <c r="EL3335" t="str">
        <f>EL3324</f>
        <v>Seth D. Ryan</v>
      </c>
      <c r="EM3335" s="473" t="str">
        <f>EM3324</f>
        <v>R</v>
      </c>
    </row>
    <row r="3336" spans="1:143" ht="14.5" hidden="1" x14ac:dyDescent="0.35">
      <c r="A3336" s="814"/>
      <c r="BB3336" s="48"/>
      <c r="BS3336" s="464" t="str">
        <f>IF($B$265=B$3278,BZ3335,IF($B$265=B$3279,CA3335,IF($B$265=B$3280,CB3335,IF($B$265=B$3281,CC3335,IF($B$265=B$3282,CD3335,IF($B$265=B$3283,CE3335,IF($B$265=B$3284,CF3335,IF($B$265=B$3285,CG3335,IF($B$265=B$3286,CH3335,IF($B$265=B$3287,CI3335,IF($B$265=B$3288,CJ3335,IF($B$265=B$3289,CK3335,IF($B$265=B$3290,CL3335,IF($B$265=B$3291,CM3335,IF($B$265=B$3292,CN3335,IF($B$265=B$3293,C3335,IF($B$265=B$3294,CO3335,IF($B$265=B$3295,CP3335,IF($B$265=B$3296,CQ3335,IF($B$265=B$3297,CR3335,IF($B$265=B$3298,CS3335,IF($B$265=B$3299,CT3335,IF(B$265=B$3300,CU3335,IF($B$265=B$3301,CV3335,IF($B$265=B$3302,CW3335,IF($B$265=B$3303,CX3335,IF($B$265=B$3304,CY3335,IF($B$265=B$3305,CZ3335,IF($B$265=B$3306,DA3335,IF($B$265=B$3307,DB3335,IF($B$265=B$3308,DC3335,IF($B$265=B$3309,DD3335,IF($B$265=B$3310,DE3335,IF($B$265=B$3311,DF3335,IF($B$265=B$3312,DG3335,IF($B$265=B$3313,DH3335,IF($B$265=B$3314,DI3335,IF($B$265=B$3315,DJ3335,IF($B$265=B$3316,DK3335,IF($B$265=B$3317,DL3335,IF($B$265=B$3318,DM3335,IF($B$265=B$3319,DN3335,IF($B$265=B$3320,DO3335,IF($B$265=B$3321,DP3335,IF($B$265=B$3322,DQ3335,IF($B$265=B$3323,DR3335,IF($B$265=B$3324,DS3335,IF($B$265=B$3325,DT3335,IF($B$265=B$3326,DU3335,IF($B$265=B$3327,DV3335,IF($B$265=B$3328,DW3335,IF($B$265=B$3329,DX3335,""))))))))))))))))))))))))))))))))))))))))))))))))))))</f>
        <v/>
      </c>
      <c r="CA3336" s="245"/>
      <c r="CB3336" s="245"/>
      <c r="CC3336"/>
      <c r="CD3336"/>
      <c r="CE3336"/>
      <c r="CF3336" s="245"/>
      <c r="CG3336" s="245"/>
      <c r="CH3336" s="245"/>
      <c r="CI3336"/>
      <c r="CJ3336"/>
      <c r="CK3336" s="459"/>
      <c r="CL3336" s="459"/>
      <c r="CM3336"/>
      <c r="CN3336"/>
      <c r="CO3336"/>
      <c r="CP3336"/>
      <c r="CQ3336"/>
      <c r="CR3336"/>
      <c r="CS3336" s="459"/>
      <c r="CT3336" s="245"/>
      <c r="CU3336"/>
      <c r="CV3336"/>
      <c r="CW3336"/>
      <c r="CX3336"/>
      <c r="CY3336" s="459"/>
      <c r="CZ3336"/>
      <c r="DA3336" s="459"/>
      <c r="DB3336" s="459"/>
      <c r="DC3336" s="459"/>
      <c r="DD3336" s="459"/>
      <c r="DE3336"/>
      <c r="DF3336"/>
      <c r="DG3336" s="459"/>
      <c r="DH3336"/>
      <c r="DI3336"/>
      <c r="DJ3336" s="459"/>
      <c r="DK3336"/>
      <c r="DL3336" s="459"/>
      <c r="DM3336" s="459"/>
      <c r="DN3336"/>
      <c r="DO3336"/>
      <c r="DP3336"/>
      <c r="DQ3336" s="459"/>
      <c r="DR3336" s="459"/>
      <c r="DS3336"/>
      <c r="DT3336" s="459"/>
      <c r="DU3336" s="459"/>
      <c r="DV3336"/>
      <c r="DW3336" s="245"/>
      <c r="DX3336" s="245"/>
      <c r="DY3336" s="245"/>
      <c r="DZ3336" s="470"/>
      <c r="EA3336" s="470"/>
      <c r="EB3336"/>
      <c r="EC3336" s="471"/>
      <c r="EH3336"/>
      <c r="EI3336" s="473"/>
      <c r="EJ3336"/>
      <c r="EK3336" s="473"/>
      <c r="EL3336"/>
      <c r="EM3336" s="473"/>
    </row>
    <row r="3337" spans="1:143" ht="14.5" hidden="1" x14ac:dyDescent="0.35">
      <c r="A3337" s="814"/>
      <c r="BB3337" s="48"/>
      <c r="BS3337" s="464"/>
      <c r="CA3337" s="245"/>
      <c r="CB3337" s="245"/>
      <c r="CC3337"/>
      <c r="CD3337"/>
      <c r="CE3337"/>
      <c r="CF3337" s="245"/>
      <c r="CG3337" s="245"/>
      <c r="CH3337" s="245"/>
      <c r="CI3337"/>
      <c r="CJ3337"/>
      <c r="CK3337" s="459"/>
      <c r="CL3337" s="459"/>
      <c r="CM3337"/>
      <c r="CN3337"/>
      <c r="CO3337"/>
      <c r="CP3337"/>
      <c r="CQ3337"/>
      <c r="CR3337"/>
      <c r="CS3337" s="459"/>
      <c r="CT3337" s="245"/>
      <c r="CU3337"/>
      <c r="CV3337"/>
      <c r="CW3337"/>
      <c r="CX3337"/>
      <c r="CY3337" s="459"/>
      <c r="CZ3337"/>
      <c r="DA3337" s="459"/>
      <c r="DB3337" s="459"/>
      <c r="DC3337" s="459"/>
      <c r="DD3337" s="459"/>
      <c r="DE3337"/>
      <c r="DF3337"/>
      <c r="DG3337" s="459"/>
      <c r="DH3337"/>
      <c r="DI3337"/>
      <c r="DJ3337" s="459"/>
      <c r="DK3337"/>
      <c r="DL3337" s="459"/>
      <c r="DM3337" s="459"/>
      <c r="DN3337"/>
      <c r="DO3337"/>
      <c r="DP3337"/>
      <c r="DQ3337" s="459"/>
      <c r="DR3337" s="459"/>
      <c r="DS3337"/>
      <c r="DT3337" s="459"/>
      <c r="DU3337" s="459"/>
      <c r="DV3337"/>
      <c r="DW3337" s="245"/>
      <c r="DX3337" s="245"/>
      <c r="DY3337" s="245"/>
      <c r="DZ3337" s="470"/>
      <c r="EA3337" s="470"/>
      <c r="EB3337"/>
      <c r="EC3337" s="471"/>
      <c r="EH3337"/>
      <c r="EI3337" s="473"/>
      <c r="EJ3337"/>
      <c r="EK3337" s="473"/>
      <c r="EL3337"/>
      <c r="EM3337" s="473"/>
    </row>
    <row r="3338" spans="1:143" ht="14.5" hidden="1" x14ac:dyDescent="0.35">
      <c r="A3338" s="814"/>
      <c r="BB3338" s="48"/>
      <c r="BS3338" s="464"/>
      <c r="CA3338" s="245"/>
      <c r="CB3338" s="245"/>
      <c r="CC3338"/>
      <c r="CD3338"/>
      <c r="CE3338"/>
      <c r="CF3338" s="245"/>
      <c r="CG3338" s="245"/>
      <c r="CH3338" s="245"/>
      <c r="CI3338"/>
      <c r="CJ3338"/>
      <c r="CK3338" s="459"/>
      <c r="CL3338" s="459"/>
      <c r="CM3338"/>
      <c r="CN3338"/>
      <c r="CO3338"/>
      <c r="CP3338"/>
      <c r="CQ3338"/>
      <c r="CR3338"/>
      <c r="CS3338" s="459"/>
      <c r="CT3338" s="245"/>
      <c r="CU3338"/>
      <c r="CV3338"/>
      <c r="CW3338"/>
      <c r="CX3338"/>
      <c r="CY3338" s="459"/>
      <c r="CZ3338"/>
      <c r="DA3338" s="459"/>
      <c r="DB3338" s="459"/>
      <c r="DC3338" s="459"/>
      <c r="DD3338" s="459"/>
      <c r="DE3338"/>
      <c r="DF3338"/>
      <c r="DG3338" s="459"/>
      <c r="DH3338"/>
      <c r="DI3338"/>
      <c r="DJ3338" s="459"/>
      <c r="DK3338"/>
      <c r="DL3338" s="459"/>
      <c r="DM3338" s="459"/>
      <c r="DN3338"/>
      <c r="DO3338"/>
      <c r="DP3338"/>
      <c r="DQ3338" s="459"/>
      <c r="DR3338" s="459"/>
      <c r="DS3338"/>
      <c r="DT3338" s="459"/>
      <c r="DU3338" s="459"/>
      <c r="DV3338"/>
      <c r="DW3338" s="245"/>
      <c r="DX3338" s="245"/>
      <c r="DY3338" s="245"/>
      <c r="DZ3338" s="470"/>
      <c r="EA3338" s="470"/>
      <c r="EB3338"/>
      <c r="EC3338" s="471"/>
      <c r="EH3338"/>
      <c r="EI3338" s="473"/>
      <c r="EJ3338"/>
      <c r="EK3338" s="473"/>
      <c r="EL3338"/>
      <c r="EM3338" s="473"/>
    </row>
    <row r="3339" spans="1:143" ht="14.5" hidden="1" x14ac:dyDescent="0.35">
      <c r="A3339" s="814"/>
      <c r="BB3339" s="48"/>
      <c r="BS3339" s="464"/>
      <c r="CA3339" s="245"/>
      <c r="CB3339" s="245"/>
      <c r="CC3339"/>
      <c r="CD3339"/>
      <c r="CE3339"/>
      <c r="CF3339" s="245"/>
      <c r="CG3339" s="245"/>
      <c r="CH3339" s="245"/>
      <c r="CI3339"/>
      <c r="CJ3339"/>
      <c r="CK3339" s="459"/>
      <c r="CL3339" s="459"/>
      <c r="CM3339"/>
      <c r="CN3339"/>
      <c r="CO3339"/>
      <c r="CP3339"/>
      <c r="CQ3339"/>
      <c r="CR3339"/>
      <c r="CS3339" s="459"/>
      <c r="CT3339" s="245"/>
      <c r="CU3339"/>
      <c r="CV3339"/>
      <c r="CW3339"/>
      <c r="CX3339"/>
      <c r="CY3339" s="459"/>
      <c r="CZ3339"/>
      <c r="DA3339" s="459"/>
      <c r="DB3339" s="459"/>
      <c r="DC3339" s="459"/>
      <c r="DD3339" s="459"/>
      <c r="DE3339"/>
      <c r="DF3339"/>
      <c r="DG3339" s="459"/>
      <c r="DH3339"/>
      <c r="DI3339"/>
      <c r="DJ3339" s="459"/>
      <c r="DK3339"/>
      <c r="DL3339" s="459"/>
      <c r="DM3339" s="459"/>
      <c r="DN3339"/>
      <c r="DO3339"/>
      <c r="DP3339"/>
      <c r="DQ3339" s="459"/>
      <c r="DR3339" s="459"/>
      <c r="DS3339"/>
      <c r="DT3339" s="459"/>
      <c r="DU3339" s="459"/>
      <c r="DV3339"/>
      <c r="DW3339" s="245"/>
      <c r="DX3339" s="245"/>
      <c r="DY3339" s="245"/>
      <c r="DZ3339" s="470"/>
      <c r="EA3339" s="470"/>
      <c r="EB3339"/>
      <c r="EC3339" s="471"/>
      <c r="EH3339"/>
      <c r="EI3339" s="473"/>
      <c r="EJ3339"/>
      <c r="EK3339" s="473"/>
      <c r="EL3339"/>
      <c r="EM3339" s="473"/>
    </row>
    <row r="3340" spans="1:143" ht="14.5" hidden="1" x14ac:dyDescent="0.35">
      <c r="A3340" s="814"/>
      <c r="BB3340" s="48"/>
      <c r="BS3340" s="464"/>
      <c r="CA3340" s="245"/>
      <c r="CB3340" s="245"/>
      <c r="CC3340"/>
      <c r="CD3340"/>
      <c r="CE3340"/>
      <c r="CF3340" s="245"/>
      <c r="CG3340" s="245"/>
      <c r="CH3340" s="245"/>
      <c r="CI3340"/>
      <c r="CJ3340"/>
      <c r="CK3340" s="459"/>
      <c r="CL3340" s="459"/>
      <c r="CM3340"/>
      <c r="CN3340"/>
      <c r="CO3340"/>
      <c r="CP3340"/>
      <c r="CQ3340"/>
      <c r="CR3340"/>
      <c r="CS3340" s="459"/>
      <c r="CT3340" s="245"/>
      <c r="CU3340"/>
      <c r="CV3340"/>
      <c r="CW3340"/>
      <c r="CX3340"/>
      <c r="CY3340" s="459"/>
      <c r="CZ3340"/>
      <c r="DA3340" s="459"/>
      <c r="DB3340" s="459"/>
      <c r="DC3340" s="459"/>
      <c r="DD3340" s="459"/>
      <c r="DE3340"/>
      <c r="DF3340"/>
      <c r="DG3340" s="459"/>
      <c r="DH3340"/>
      <c r="DI3340"/>
      <c r="DJ3340" s="459"/>
      <c r="DK3340"/>
      <c r="DL3340" s="459"/>
      <c r="DM3340" s="459"/>
      <c r="DN3340"/>
      <c r="DO3340"/>
      <c r="DP3340"/>
      <c r="DQ3340" s="459"/>
      <c r="DR3340" s="459"/>
      <c r="DS3340"/>
      <c r="DT3340" s="459"/>
      <c r="DU3340" s="459"/>
      <c r="DV3340"/>
      <c r="DW3340" s="245"/>
      <c r="DX3340" s="245"/>
      <c r="DY3340" s="245"/>
      <c r="DZ3340" s="470"/>
      <c r="EA3340" s="470"/>
      <c r="EB3340"/>
      <c r="EC3340" s="471"/>
      <c r="EH3340"/>
      <c r="EI3340" s="473"/>
      <c r="EJ3340"/>
      <c r="EK3340" s="473"/>
      <c r="EL3340"/>
      <c r="EM3340" s="473"/>
    </row>
    <row r="3341" spans="1:143" ht="14.5" hidden="1" x14ac:dyDescent="0.35">
      <c r="A3341" s="814"/>
      <c r="BB3341" s="48"/>
      <c r="BS3341" s="464"/>
      <c r="CA3341" s="245"/>
      <c r="CB3341" s="245"/>
      <c r="CC3341"/>
      <c r="CD3341"/>
      <c r="CE3341"/>
      <c r="CF3341" s="245"/>
      <c r="CG3341" s="245"/>
      <c r="CH3341" s="245"/>
      <c r="CI3341"/>
      <c r="CJ3341"/>
      <c r="CK3341" s="459"/>
      <c r="CL3341" s="459"/>
      <c r="CM3341"/>
      <c r="CN3341"/>
      <c r="CO3341"/>
      <c r="CP3341"/>
      <c r="CQ3341"/>
      <c r="CR3341"/>
      <c r="CS3341" s="459"/>
      <c r="CT3341" s="245"/>
      <c r="CU3341"/>
      <c r="CV3341"/>
      <c r="CW3341"/>
      <c r="CX3341"/>
      <c r="CY3341" s="459"/>
      <c r="CZ3341"/>
      <c r="DA3341" s="459"/>
      <c r="DB3341" s="459"/>
      <c r="DC3341" s="459"/>
      <c r="DD3341" s="459"/>
      <c r="DE3341"/>
      <c r="DF3341"/>
      <c r="DG3341" s="459"/>
      <c r="DH3341"/>
      <c r="DI3341"/>
      <c r="DJ3341" s="459"/>
      <c r="DK3341"/>
      <c r="DL3341" s="459"/>
      <c r="DM3341" s="459"/>
      <c r="DN3341"/>
      <c r="DO3341"/>
      <c r="DP3341"/>
      <c r="DQ3341" s="459"/>
      <c r="DR3341" s="459"/>
      <c r="DS3341"/>
      <c r="DT3341" s="459"/>
      <c r="DU3341" s="459"/>
      <c r="DV3341"/>
      <c r="DW3341" s="245"/>
      <c r="DX3341" s="245"/>
      <c r="DY3341" s="245"/>
      <c r="DZ3341" s="470"/>
      <c r="EA3341" s="470"/>
      <c r="EB3341"/>
      <c r="EC3341" s="471"/>
      <c r="EH3341"/>
      <c r="EI3341" s="473"/>
      <c r="EJ3341"/>
      <c r="EK3341" s="473"/>
      <c r="EL3341"/>
      <c r="EM3341" s="473"/>
    </row>
    <row r="3342" spans="1:143" ht="14.5" hidden="1" x14ac:dyDescent="0.35">
      <c r="A3342" s="814"/>
      <c r="BB3342" s="48"/>
      <c r="BS3342" s="464"/>
      <c r="CA3342" s="245"/>
      <c r="CB3342" s="245"/>
      <c r="CC3342"/>
      <c r="CD3342"/>
      <c r="CE3342"/>
      <c r="CF3342" s="245"/>
      <c r="CG3342" s="245"/>
      <c r="CH3342" s="245"/>
      <c r="CI3342"/>
      <c r="CJ3342"/>
      <c r="CK3342" s="459"/>
      <c r="CL3342" s="459"/>
      <c r="CM3342"/>
      <c r="CN3342"/>
      <c r="CO3342"/>
      <c r="CP3342"/>
      <c r="CQ3342"/>
      <c r="CR3342"/>
      <c r="CS3342" s="459"/>
      <c r="CT3342" s="245"/>
      <c r="CU3342"/>
      <c r="CV3342"/>
      <c r="CW3342"/>
      <c r="CX3342"/>
      <c r="CY3342" s="459"/>
      <c r="CZ3342"/>
      <c r="DA3342" s="459"/>
      <c r="DB3342" s="459"/>
      <c r="DC3342" s="459"/>
      <c r="DD3342" s="459"/>
      <c r="DE3342"/>
      <c r="DF3342"/>
      <c r="DG3342" s="459"/>
      <c r="DH3342"/>
      <c r="DI3342"/>
      <c r="DJ3342" s="459"/>
      <c r="DK3342"/>
      <c r="DL3342" s="459"/>
      <c r="DM3342" s="459"/>
      <c r="DN3342"/>
      <c r="DO3342"/>
      <c r="DP3342"/>
      <c r="DQ3342" s="459"/>
      <c r="DR3342" s="459"/>
      <c r="DS3342"/>
      <c r="DT3342" s="459"/>
      <c r="DU3342" s="459"/>
      <c r="DV3342"/>
      <c r="DW3342" s="245"/>
      <c r="DX3342" s="245"/>
      <c r="DY3342" s="245"/>
      <c r="DZ3342" s="470"/>
      <c r="EA3342" s="470"/>
      <c r="EB3342"/>
      <c r="EC3342" s="471"/>
      <c r="EH3342"/>
      <c r="EI3342" s="473"/>
      <c r="EJ3342"/>
      <c r="EK3342" s="473"/>
      <c r="EL3342"/>
      <c r="EM3342" s="473"/>
    </row>
    <row r="3343" spans="1:143" ht="14.5" hidden="1" x14ac:dyDescent="0.35">
      <c r="A3343" s="814"/>
      <c r="BB3343" s="48"/>
      <c r="BS3343" s="464"/>
      <c r="CA3343" s="245"/>
      <c r="CB3343" s="245"/>
      <c r="CC3343"/>
      <c r="CD3343"/>
      <c r="CE3343"/>
      <c r="CF3343" s="245"/>
      <c r="CG3343" s="245"/>
      <c r="CH3343" s="245"/>
      <c r="CI3343"/>
      <c r="CJ3343"/>
      <c r="CK3343" s="459"/>
      <c r="CL3343" s="459"/>
      <c r="CM3343"/>
      <c r="CN3343"/>
      <c r="CO3343"/>
      <c r="CP3343"/>
      <c r="CQ3343"/>
      <c r="CR3343"/>
      <c r="CS3343" s="459"/>
      <c r="CT3343" s="245"/>
      <c r="CU3343"/>
      <c r="CV3343"/>
      <c r="CW3343"/>
      <c r="CX3343"/>
      <c r="CY3343" s="459"/>
      <c r="CZ3343"/>
      <c r="DA3343" s="459"/>
      <c r="DB3343" s="459"/>
      <c r="DC3343" s="459"/>
      <c r="DD3343" s="459"/>
      <c r="DE3343"/>
      <c r="DF3343"/>
      <c r="DG3343" s="459"/>
      <c r="DH3343"/>
      <c r="DI3343"/>
      <c r="DJ3343" s="459"/>
      <c r="DK3343"/>
      <c r="DL3343" s="459"/>
      <c r="DM3343" s="459"/>
      <c r="DN3343"/>
      <c r="DO3343"/>
      <c r="DP3343"/>
      <c r="DQ3343" s="459"/>
      <c r="DR3343" s="459"/>
      <c r="DS3343"/>
      <c r="DT3343" s="459"/>
      <c r="DU3343" s="459"/>
      <c r="DV3343"/>
      <c r="DW3343" s="245"/>
      <c r="DX3343" s="245"/>
      <c r="DY3343" s="245"/>
      <c r="DZ3343" s="470"/>
      <c r="EA3343" s="470"/>
      <c r="EB3343"/>
      <c r="EC3343" s="471"/>
      <c r="EH3343"/>
      <c r="EI3343" s="473"/>
      <c r="EJ3343"/>
      <c r="EK3343" s="473"/>
      <c r="EL3343"/>
      <c r="EM3343" s="473"/>
    </row>
    <row r="3344" spans="1:143" ht="14.5" hidden="1" x14ac:dyDescent="0.35">
      <c r="A3344" s="814"/>
      <c r="BB3344" s="48"/>
      <c r="BS3344" s="464"/>
      <c r="CA3344" s="245"/>
      <c r="CB3344" s="245"/>
      <c r="CC3344"/>
      <c r="CD3344"/>
      <c r="CE3344"/>
      <c r="CF3344" s="245"/>
      <c r="CG3344" s="245"/>
      <c r="CH3344" s="245"/>
      <c r="CI3344"/>
      <c r="CJ3344"/>
      <c r="CK3344" s="459"/>
      <c r="CL3344" s="459"/>
      <c r="CM3344"/>
      <c r="CN3344"/>
      <c r="CO3344"/>
      <c r="CP3344"/>
      <c r="CQ3344"/>
      <c r="CR3344"/>
      <c r="CS3344" s="459"/>
      <c r="CT3344" s="245"/>
      <c r="CU3344"/>
      <c r="CV3344"/>
      <c r="CW3344"/>
      <c r="CX3344"/>
      <c r="CY3344" s="459"/>
      <c r="CZ3344"/>
      <c r="DA3344" s="459"/>
      <c r="DB3344" s="459"/>
      <c r="DC3344" s="459"/>
      <c r="DD3344" s="459"/>
      <c r="DE3344"/>
      <c r="DF3344"/>
      <c r="DG3344" s="459"/>
      <c r="DH3344"/>
      <c r="DI3344"/>
      <c r="DJ3344" s="459"/>
      <c r="DK3344"/>
      <c r="DL3344" s="459"/>
      <c r="DM3344" s="459"/>
      <c r="DN3344"/>
      <c r="DO3344"/>
      <c r="DP3344"/>
      <c r="DQ3344" s="459"/>
      <c r="DR3344" s="459"/>
      <c r="DS3344"/>
      <c r="DT3344" s="459"/>
      <c r="DU3344" s="459"/>
      <c r="DV3344"/>
      <c r="DW3344" s="245"/>
      <c r="DX3344" s="245"/>
      <c r="DY3344" s="245"/>
      <c r="DZ3344" s="470"/>
      <c r="EA3344" s="470"/>
      <c r="EB3344"/>
      <c r="EC3344" s="471"/>
      <c r="EH3344"/>
      <c r="EI3344" s="473"/>
      <c r="EJ3344"/>
      <c r="EK3344" s="473"/>
      <c r="EL3344"/>
      <c r="EM3344" s="473"/>
    </row>
    <row r="3345" spans="1:143" ht="14.5" hidden="1" x14ac:dyDescent="0.35">
      <c r="A3345" s="814"/>
      <c r="BB3345" s="48"/>
      <c r="BS3345" s="464"/>
      <c r="CA3345" s="245"/>
      <c r="CB3345" s="245"/>
      <c r="CC3345"/>
      <c r="CD3345"/>
      <c r="CE3345"/>
      <c r="CF3345" s="245"/>
      <c r="CG3345" s="245"/>
      <c r="CH3345" s="245"/>
      <c r="CI3345"/>
      <c r="CJ3345"/>
      <c r="CK3345" s="459"/>
      <c r="CL3345" s="459"/>
      <c r="CM3345"/>
      <c r="CN3345"/>
      <c r="CO3345"/>
      <c r="CP3345"/>
      <c r="CQ3345"/>
      <c r="CR3345"/>
      <c r="CS3345" s="459"/>
      <c r="CT3345" s="245"/>
      <c r="CU3345"/>
      <c r="CV3345"/>
      <c r="CW3345"/>
      <c r="CX3345"/>
      <c r="CY3345" s="459"/>
      <c r="CZ3345"/>
      <c r="DA3345" s="459"/>
      <c r="DB3345" s="459"/>
      <c r="DC3345" s="459"/>
      <c r="DD3345" s="459"/>
      <c r="DE3345"/>
      <c r="DF3345"/>
      <c r="DG3345" s="459"/>
      <c r="DH3345"/>
      <c r="DI3345"/>
      <c r="DJ3345" s="459"/>
      <c r="DK3345"/>
      <c r="DL3345" s="459"/>
      <c r="DM3345" s="459"/>
      <c r="DN3345"/>
      <c r="DO3345"/>
      <c r="DP3345"/>
      <c r="DQ3345" s="459"/>
      <c r="DR3345" s="459"/>
      <c r="DS3345"/>
      <c r="DT3345" s="459"/>
      <c r="DU3345" s="459"/>
      <c r="DV3345"/>
      <c r="DW3345" s="245"/>
      <c r="DX3345" s="245"/>
      <c r="DY3345" s="245"/>
      <c r="DZ3345" s="470"/>
      <c r="EA3345" s="470"/>
      <c r="EB3345"/>
      <c r="EC3345" s="471"/>
      <c r="EH3345"/>
      <c r="EI3345" s="473"/>
      <c r="EJ3345"/>
      <c r="EK3345" s="473"/>
      <c r="EL3345"/>
      <c r="EM3345" s="473"/>
    </row>
    <row r="3346" spans="1:143" ht="14.5" hidden="1" x14ac:dyDescent="0.35">
      <c r="A3346" s="814"/>
      <c r="BB3346" s="48"/>
      <c r="BS3346" s="464"/>
      <c r="CA3346" s="245"/>
      <c r="CB3346" s="245"/>
      <c r="CC3346"/>
      <c r="CD3346"/>
      <c r="CE3346"/>
      <c r="CF3346" s="245"/>
      <c r="CG3346" s="245"/>
      <c r="CH3346" s="245"/>
      <c r="CI3346"/>
      <c r="CJ3346"/>
      <c r="CK3346" s="459"/>
      <c r="CL3346" s="459"/>
      <c r="CM3346"/>
      <c r="CN3346"/>
      <c r="CO3346"/>
      <c r="CP3346"/>
      <c r="CQ3346"/>
      <c r="CR3346"/>
      <c r="CS3346" s="459"/>
      <c r="CT3346" s="245"/>
      <c r="CU3346"/>
      <c r="CV3346"/>
      <c r="CW3346"/>
      <c r="CX3346"/>
      <c r="CY3346" s="459"/>
      <c r="CZ3346"/>
      <c r="DA3346" s="459"/>
      <c r="DB3346" s="459"/>
      <c r="DC3346" s="459"/>
      <c r="DD3346" s="459"/>
      <c r="DE3346"/>
      <c r="DF3346"/>
      <c r="DG3346" s="459"/>
      <c r="DH3346"/>
      <c r="DI3346"/>
      <c r="DJ3346" s="459"/>
      <c r="DK3346"/>
      <c r="DL3346" s="459"/>
      <c r="DM3346" s="459"/>
      <c r="DN3346"/>
      <c r="DO3346"/>
      <c r="DP3346"/>
      <c r="DQ3346" s="459"/>
      <c r="DR3346" s="459"/>
      <c r="DS3346"/>
      <c r="DT3346" s="459"/>
      <c r="DU3346" s="459"/>
      <c r="DV3346"/>
      <c r="DW3346" s="245"/>
      <c r="DX3346" s="245"/>
      <c r="DY3346" s="245"/>
      <c r="DZ3346" s="470"/>
      <c r="EA3346" s="470"/>
      <c r="EB3346"/>
      <c r="EC3346" s="471"/>
      <c r="EH3346"/>
      <c r="EI3346" s="473"/>
      <c r="EJ3346"/>
      <c r="EK3346" s="473"/>
      <c r="EL3346"/>
      <c r="EM3346" s="473"/>
    </row>
    <row r="3347" spans="1:143" ht="14.5" hidden="1" x14ac:dyDescent="0.35">
      <c r="A3347" s="814"/>
      <c r="BB3347" s="48"/>
      <c r="BS3347" s="464"/>
      <c r="CA3347" s="245"/>
      <c r="CB3347" s="245"/>
      <c r="CC3347"/>
      <c r="CD3347"/>
      <c r="CE3347"/>
      <c r="CF3347" s="245"/>
      <c r="CG3347" s="245"/>
      <c r="CH3347" s="245"/>
      <c r="CI3347"/>
      <c r="CJ3347"/>
      <c r="CK3347" s="459"/>
      <c r="CL3347" s="459"/>
      <c r="CM3347"/>
      <c r="CN3347"/>
      <c r="CO3347"/>
      <c r="CP3347"/>
      <c r="CQ3347"/>
      <c r="CR3347"/>
      <c r="CS3347" s="459"/>
      <c r="CT3347" s="245"/>
      <c r="CU3347"/>
      <c r="CV3347"/>
      <c r="CW3347"/>
      <c r="CX3347"/>
      <c r="CY3347" s="459"/>
      <c r="CZ3347"/>
      <c r="DA3347" s="459"/>
      <c r="DB3347" s="459"/>
      <c r="DC3347" s="459"/>
      <c r="DD3347" s="459"/>
      <c r="DE3347"/>
      <c r="DF3347"/>
      <c r="DG3347" s="459"/>
      <c r="DH3347"/>
      <c r="DI3347"/>
      <c r="DJ3347" s="459"/>
      <c r="DK3347"/>
      <c r="DL3347" s="459"/>
      <c r="DM3347" s="459"/>
      <c r="DN3347"/>
      <c r="DO3347"/>
      <c r="DP3347"/>
      <c r="DQ3347" s="459"/>
      <c r="DR3347" s="459"/>
      <c r="DS3347"/>
      <c r="DT3347" s="459"/>
      <c r="DU3347" s="459"/>
      <c r="DV3347"/>
      <c r="DW3347" s="245"/>
      <c r="DX3347" s="245"/>
      <c r="DY3347" s="245"/>
      <c r="DZ3347" s="470"/>
      <c r="EA3347" s="470"/>
      <c r="EB3347"/>
      <c r="EC3347" s="471"/>
      <c r="EH3347"/>
      <c r="EI3347" s="473"/>
      <c r="EJ3347"/>
      <c r="EK3347" s="473"/>
      <c r="EL3347"/>
      <c r="EM3347" s="473"/>
    </row>
    <row r="3348" spans="1:143" ht="14.5" hidden="1" x14ac:dyDescent="0.35">
      <c r="A3348" s="814"/>
      <c r="BB3348" s="48"/>
      <c r="BS3348" s="464"/>
      <c r="CA3348" s="245"/>
      <c r="CB3348" s="245"/>
      <c r="CC3348"/>
      <c r="CD3348"/>
      <c r="CE3348"/>
      <c r="CF3348" s="245"/>
      <c r="CG3348" s="245"/>
      <c r="CH3348" s="245"/>
      <c r="CI3348"/>
      <c r="CJ3348"/>
      <c r="CK3348" s="459"/>
      <c r="CL3348" s="459"/>
      <c r="CM3348"/>
      <c r="CN3348"/>
      <c r="CO3348"/>
      <c r="CP3348"/>
      <c r="CQ3348"/>
      <c r="CR3348"/>
      <c r="CS3348" s="459"/>
      <c r="CT3348" s="245"/>
      <c r="CU3348"/>
      <c r="CV3348"/>
      <c r="CW3348"/>
      <c r="CX3348"/>
      <c r="CY3348" s="459"/>
      <c r="CZ3348"/>
      <c r="DA3348" s="459"/>
      <c r="DB3348" s="459"/>
      <c r="DC3348" s="459"/>
      <c r="DD3348" s="459"/>
      <c r="DE3348"/>
      <c r="DF3348"/>
      <c r="DG3348" s="459"/>
      <c r="DH3348"/>
      <c r="DI3348"/>
      <c r="DJ3348" s="459"/>
      <c r="DK3348"/>
      <c r="DL3348" s="459"/>
      <c r="DM3348" s="459"/>
      <c r="DN3348"/>
      <c r="DO3348"/>
      <c r="DP3348"/>
      <c r="DQ3348" s="459"/>
      <c r="DR3348" s="459"/>
      <c r="DS3348"/>
      <c r="DT3348" s="459"/>
      <c r="DU3348" s="459"/>
      <c r="DV3348"/>
      <c r="DW3348" s="245"/>
      <c r="DX3348" s="245"/>
      <c r="DY3348" s="245"/>
      <c r="DZ3348" s="470"/>
      <c r="EA3348" s="470"/>
      <c r="EB3348"/>
      <c r="EC3348" s="471"/>
      <c r="EH3348"/>
      <c r="EI3348" s="473"/>
      <c r="EJ3348"/>
      <c r="EK3348" s="473"/>
      <c r="EL3348"/>
      <c r="EM3348" s="473"/>
    </row>
    <row r="3349" spans="1:143" ht="14.5" hidden="1" x14ac:dyDescent="0.35">
      <c r="A3349" s="814"/>
      <c r="BB3349" s="48"/>
      <c r="BS3349" s="464"/>
      <c r="CA3349" s="245"/>
      <c r="CB3349" s="245"/>
      <c r="CC3349"/>
      <c r="CD3349"/>
      <c r="CE3349"/>
      <c r="CF3349" s="245"/>
      <c r="CG3349" s="245"/>
      <c r="CH3349" s="245"/>
      <c r="CI3349"/>
      <c r="CJ3349"/>
      <c r="CK3349" s="459"/>
      <c r="CL3349" s="459"/>
      <c r="CM3349"/>
      <c r="CN3349"/>
      <c r="CO3349"/>
      <c r="CP3349"/>
      <c r="CQ3349"/>
      <c r="CR3349"/>
      <c r="CS3349" s="459"/>
      <c r="CT3349" s="245"/>
      <c r="CU3349"/>
      <c r="CV3349"/>
      <c r="CW3349"/>
      <c r="CX3349"/>
      <c r="CY3349" s="459"/>
      <c r="CZ3349"/>
      <c r="DA3349" s="459"/>
      <c r="DB3349" s="459"/>
      <c r="DC3349" s="459"/>
      <c r="DD3349" s="459"/>
      <c r="DE3349"/>
      <c r="DF3349"/>
      <c r="DG3349" s="459"/>
      <c r="DH3349"/>
      <c r="DI3349"/>
      <c r="DJ3349" s="459"/>
      <c r="DK3349"/>
      <c r="DL3349" s="459"/>
      <c r="DM3349" s="459"/>
      <c r="DN3349"/>
      <c r="DO3349"/>
      <c r="DP3349"/>
      <c r="DQ3349" s="459"/>
      <c r="DR3349" s="459"/>
      <c r="DS3349"/>
      <c r="DT3349" s="459"/>
      <c r="DU3349" s="459"/>
      <c r="DV3349"/>
      <c r="DW3349" s="245"/>
      <c r="DX3349" s="245"/>
      <c r="DY3349" s="245"/>
      <c r="DZ3349" s="470"/>
      <c r="EA3349" s="470"/>
      <c r="EB3349"/>
      <c r="EC3349" s="471"/>
      <c r="EH3349"/>
      <c r="EI3349" s="473"/>
      <c r="EJ3349"/>
      <c r="EK3349" s="473"/>
      <c r="EL3349"/>
      <c r="EM3349" s="473"/>
    </row>
    <row r="3350" spans="1:143" ht="14.5" hidden="1" x14ac:dyDescent="0.35">
      <c r="A3350" s="814"/>
      <c r="BB3350" s="48"/>
      <c r="BS3350" s="464"/>
      <c r="CA3350" s="245"/>
      <c r="CB3350" s="245"/>
      <c r="CC3350"/>
      <c r="CD3350"/>
      <c r="CE3350"/>
      <c r="CF3350" s="245"/>
      <c r="CG3350" s="245"/>
      <c r="CH3350" s="245"/>
      <c r="CI3350"/>
      <c r="CJ3350"/>
      <c r="CK3350" s="459"/>
      <c r="CL3350" s="459"/>
      <c r="CM3350"/>
      <c r="CN3350"/>
      <c r="CO3350"/>
      <c r="CP3350"/>
      <c r="CQ3350"/>
      <c r="CR3350"/>
      <c r="CS3350" s="459"/>
      <c r="CT3350" s="245"/>
      <c r="CU3350"/>
      <c r="CV3350"/>
      <c r="CW3350"/>
      <c r="CX3350"/>
      <c r="CY3350" s="459"/>
      <c r="CZ3350"/>
      <c r="DA3350" s="459"/>
      <c r="DB3350" s="459"/>
      <c r="DC3350" s="459"/>
      <c r="DD3350" s="459"/>
      <c r="DE3350"/>
      <c r="DF3350"/>
      <c r="DG3350" s="459"/>
      <c r="DH3350"/>
      <c r="DI3350"/>
      <c r="DJ3350" s="459"/>
      <c r="DK3350"/>
      <c r="DL3350" s="459"/>
      <c r="DM3350" s="459"/>
      <c r="DN3350"/>
      <c r="DO3350"/>
      <c r="DP3350"/>
      <c r="DQ3350" s="459"/>
      <c r="DR3350" s="459"/>
      <c r="DS3350"/>
      <c r="DT3350" s="459"/>
      <c r="DU3350" s="459"/>
      <c r="DV3350"/>
      <c r="DW3350" s="245"/>
      <c r="DX3350" s="245"/>
      <c r="DY3350" s="245"/>
      <c r="DZ3350" s="470"/>
      <c r="EA3350" s="470"/>
      <c r="EB3350"/>
      <c r="EC3350" s="471"/>
      <c r="EH3350"/>
      <c r="EI3350" s="473"/>
      <c r="EJ3350"/>
      <c r="EK3350" s="473"/>
      <c r="EL3350"/>
      <c r="EM3350" s="473"/>
    </row>
    <row r="3351" spans="1:143" ht="14.5" hidden="1" x14ac:dyDescent="0.35">
      <c r="A3351" s="814"/>
      <c r="BB3351" s="48"/>
      <c r="BS3351" s="464"/>
      <c r="CA3351" s="245"/>
      <c r="CB3351" s="245"/>
      <c r="CC3351"/>
      <c r="CD3351"/>
      <c r="CE3351"/>
      <c r="CF3351" s="245"/>
      <c r="CG3351" s="245"/>
      <c r="CH3351" s="245"/>
      <c r="CI3351"/>
      <c r="CJ3351"/>
      <c r="CK3351" s="459"/>
      <c r="CL3351" s="459"/>
      <c r="CM3351"/>
      <c r="CN3351"/>
      <c r="CO3351"/>
      <c r="CP3351"/>
      <c r="CQ3351"/>
      <c r="CR3351"/>
      <c r="CS3351" s="459"/>
      <c r="CT3351" s="245"/>
      <c r="CU3351"/>
      <c r="CV3351"/>
      <c r="CW3351"/>
      <c r="CX3351"/>
      <c r="CY3351" s="459"/>
      <c r="CZ3351"/>
      <c r="DA3351" s="459"/>
      <c r="DB3351" s="459"/>
      <c r="DC3351" s="459"/>
      <c r="DD3351" s="459"/>
      <c r="DE3351"/>
      <c r="DF3351"/>
      <c r="DG3351" s="459"/>
      <c r="DH3351"/>
      <c r="DI3351"/>
      <c r="DJ3351" s="459"/>
      <c r="DK3351"/>
      <c r="DL3351" s="459"/>
      <c r="DM3351" s="459"/>
      <c r="DN3351"/>
      <c r="DO3351"/>
      <c r="DP3351"/>
      <c r="DQ3351" s="459"/>
      <c r="DR3351" s="459"/>
      <c r="DS3351"/>
      <c r="DT3351" s="459"/>
      <c r="DU3351" s="459"/>
      <c r="DV3351"/>
      <c r="DW3351" s="245"/>
      <c r="DX3351" s="245"/>
      <c r="DY3351" s="245"/>
      <c r="DZ3351" s="470"/>
      <c r="EA3351" s="470"/>
      <c r="EB3351"/>
      <c r="EC3351" s="471"/>
      <c r="EH3351"/>
      <c r="EI3351" s="473"/>
      <c r="EJ3351"/>
      <c r="EK3351" s="473"/>
      <c r="EL3351"/>
      <c r="EM3351" s="473"/>
    </row>
    <row r="3352" spans="1:143" ht="14.5" hidden="1" x14ac:dyDescent="0.35">
      <c r="A3352" s="814"/>
      <c r="BB3352" s="48"/>
      <c r="BS3352" s="464"/>
      <c r="CA3352" s="245"/>
      <c r="CB3352" s="245"/>
      <c r="CC3352"/>
      <c r="CD3352"/>
      <c r="CE3352"/>
      <c r="CF3352" s="245"/>
      <c r="CG3352" s="245"/>
      <c r="CH3352" s="245"/>
      <c r="CI3352"/>
      <c r="CJ3352"/>
      <c r="CK3352" s="459"/>
      <c r="CL3352" s="459"/>
      <c r="CM3352"/>
      <c r="CN3352"/>
      <c r="CO3352"/>
      <c r="CP3352"/>
      <c r="CQ3352"/>
      <c r="CR3352"/>
      <c r="CS3352" s="459"/>
      <c r="CT3352" s="245"/>
      <c r="CU3352"/>
      <c r="CV3352"/>
      <c r="CW3352"/>
      <c r="CX3352"/>
      <c r="CY3352" s="459"/>
      <c r="CZ3352"/>
      <c r="DA3352" s="459"/>
      <c r="DB3352" s="459"/>
      <c r="DC3352" s="459"/>
      <c r="DD3352" s="459"/>
      <c r="DE3352"/>
      <c r="DF3352"/>
      <c r="DG3352" s="459"/>
      <c r="DH3352"/>
      <c r="DI3352"/>
      <c r="DJ3352" s="459"/>
      <c r="DK3352"/>
      <c r="DL3352" s="459"/>
      <c r="DM3352" s="459"/>
      <c r="DN3352"/>
      <c r="DO3352"/>
      <c r="DP3352"/>
      <c r="DQ3352" s="459"/>
      <c r="DR3352" s="459"/>
      <c r="DS3352"/>
      <c r="DT3352" s="459"/>
      <c r="DU3352" s="459"/>
      <c r="DV3352"/>
      <c r="DW3352" s="245"/>
      <c r="DX3352" s="245"/>
      <c r="DY3352" s="245"/>
      <c r="DZ3352" s="470"/>
      <c r="EA3352" s="470"/>
      <c r="EB3352"/>
      <c r="EC3352" s="471"/>
      <c r="EH3352"/>
      <c r="EI3352" s="473"/>
      <c r="EJ3352"/>
      <c r="EK3352" s="473"/>
      <c r="EL3352"/>
      <c r="EM3352" s="473"/>
    </row>
    <row r="3353" spans="1:143" ht="14.5" hidden="1" x14ac:dyDescent="0.35">
      <c r="A3353" s="814"/>
      <c r="BB3353" s="48"/>
      <c r="BS3353" s="464"/>
      <c r="CA3353" s="245"/>
      <c r="CB3353" s="245"/>
      <c r="CC3353"/>
      <c r="CD3353"/>
      <c r="CE3353"/>
      <c r="CF3353" s="245"/>
      <c r="CG3353" s="245"/>
      <c r="CH3353" s="245"/>
      <c r="CI3353"/>
      <c r="CJ3353"/>
      <c r="CK3353" s="459"/>
      <c r="CL3353" s="459"/>
      <c r="CM3353"/>
      <c r="CN3353"/>
      <c r="CO3353"/>
      <c r="CP3353"/>
      <c r="CQ3353"/>
      <c r="CR3353"/>
      <c r="CS3353" s="459"/>
      <c r="CT3353" s="245"/>
      <c r="CU3353"/>
      <c r="CV3353"/>
      <c r="CW3353"/>
      <c r="CX3353"/>
      <c r="CY3353" s="459"/>
      <c r="CZ3353"/>
      <c r="DA3353" s="459"/>
      <c r="DB3353" s="459"/>
      <c r="DC3353" s="459"/>
      <c r="DD3353" s="459"/>
      <c r="DE3353"/>
      <c r="DF3353"/>
      <c r="DG3353" s="459"/>
      <c r="DH3353"/>
      <c r="DI3353"/>
      <c r="DJ3353" s="459"/>
      <c r="DK3353"/>
      <c r="DL3353" s="459"/>
      <c r="DM3353" s="459"/>
      <c r="DN3353"/>
      <c r="DO3353"/>
      <c r="DP3353"/>
      <c r="DQ3353" s="459"/>
      <c r="DR3353" s="459"/>
      <c r="DS3353"/>
      <c r="DT3353" s="459"/>
      <c r="DU3353" s="459"/>
      <c r="DV3353"/>
      <c r="DW3353" s="245"/>
      <c r="DX3353" s="245"/>
      <c r="DY3353" s="245"/>
      <c r="DZ3353" s="470"/>
      <c r="EA3353" s="470"/>
      <c r="EB3353"/>
      <c r="EC3353" s="471"/>
      <c r="EH3353"/>
      <c r="EI3353" s="473"/>
      <c r="EJ3353"/>
      <c r="EK3353" s="473"/>
      <c r="EL3353"/>
      <c r="EM3353" s="473"/>
    </row>
    <row r="3354" spans="1:143" ht="14.5" hidden="1" x14ac:dyDescent="0.35">
      <c r="A3354" s="814"/>
      <c r="BB3354" s="48"/>
      <c r="BS3354" s="464"/>
      <c r="CA3354" s="245"/>
      <c r="CB3354" s="245"/>
      <c r="CC3354"/>
      <c r="CD3354"/>
      <c r="CE3354"/>
      <c r="CF3354" s="245"/>
      <c r="CG3354" s="245"/>
      <c r="CH3354" s="245"/>
      <c r="CI3354"/>
      <c r="CJ3354"/>
      <c r="CK3354" s="459"/>
      <c r="CL3354" s="459"/>
      <c r="CM3354"/>
      <c r="CN3354"/>
      <c r="CO3354"/>
      <c r="CP3354"/>
      <c r="CQ3354"/>
      <c r="CR3354"/>
      <c r="CS3354" s="459"/>
      <c r="CT3354" s="245"/>
      <c r="CU3354"/>
      <c r="CV3354"/>
      <c r="CW3354"/>
      <c r="CX3354"/>
      <c r="CY3354" s="459"/>
      <c r="CZ3354"/>
      <c r="DA3354" s="459"/>
      <c r="DB3354" s="459"/>
      <c r="DC3354" s="459"/>
      <c r="DD3354" s="459"/>
      <c r="DE3354"/>
      <c r="DF3354"/>
      <c r="DG3354" s="459"/>
      <c r="DH3354"/>
      <c r="DI3354"/>
      <c r="DJ3354" s="459"/>
      <c r="DK3354"/>
      <c r="DL3354" s="459"/>
      <c r="DM3354" s="459"/>
      <c r="DN3354"/>
      <c r="DO3354"/>
      <c r="DP3354"/>
      <c r="DQ3354" s="459"/>
      <c r="DR3354" s="459"/>
      <c r="DS3354"/>
      <c r="DT3354" s="459"/>
      <c r="DU3354" s="459"/>
      <c r="DV3354"/>
      <c r="DW3354" s="245"/>
      <c r="DX3354" s="245"/>
      <c r="DY3354" s="245"/>
      <c r="DZ3354" s="470"/>
      <c r="EA3354" s="470"/>
      <c r="EB3354"/>
      <c r="EC3354" s="471"/>
      <c r="EH3354"/>
      <c r="EI3354" s="473"/>
      <c r="EJ3354"/>
      <c r="EK3354" s="473"/>
      <c r="EL3354"/>
      <c r="EM3354" s="473"/>
    </row>
    <row r="3355" spans="1:143" ht="14.5" hidden="1" x14ac:dyDescent="0.35">
      <c r="A3355" s="814"/>
      <c r="BB3355" s="48"/>
      <c r="BS3355" s="464"/>
      <c r="CA3355" s="245"/>
      <c r="CB3355" s="245"/>
      <c r="CC3355"/>
      <c r="CD3355"/>
      <c r="CE3355"/>
      <c r="CF3355" s="245"/>
      <c r="CG3355" s="245"/>
      <c r="CH3355" s="245"/>
      <c r="CI3355"/>
      <c r="CJ3355"/>
      <c r="CK3355" s="459"/>
      <c r="CL3355" s="459"/>
      <c r="CM3355"/>
      <c r="CN3355"/>
      <c r="CO3355"/>
      <c r="CP3355"/>
      <c r="CQ3355"/>
      <c r="CR3355"/>
      <c r="CS3355" s="459"/>
      <c r="CT3355" s="245"/>
      <c r="CU3355"/>
      <c r="CV3355"/>
      <c r="CW3355"/>
      <c r="CX3355"/>
      <c r="CY3355" s="459"/>
      <c r="CZ3355"/>
      <c r="DA3355" s="459"/>
      <c r="DB3355" s="459"/>
      <c r="DC3355" s="459"/>
      <c r="DD3355" s="459"/>
      <c r="DE3355"/>
      <c r="DF3355"/>
      <c r="DG3355" s="459"/>
      <c r="DH3355"/>
      <c r="DI3355"/>
      <c r="DJ3355" s="459"/>
      <c r="DK3355"/>
      <c r="DL3355" s="459"/>
      <c r="DM3355" s="459"/>
      <c r="DN3355"/>
      <c r="DO3355"/>
      <c r="DP3355"/>
      <c r="DQ3355" s="459"/>
      <c r="DR3355" s="459"/>
      <c r="DS3355"/>
      <c r="DT3355" s="459"/>
      <c r="DU3355" s="459"/>
      <c r="DV3355"/>
      <c r="DW3355" s="245"/>
      <c r="DX3355" s="245"/>
      <c r="DY3355" s="245"/>
      <c r="DZ3355" s="470"/>
      <c r="EA3355" s="470"/>
      <c r="EB3355"/>
      <c r="EC3355" s="471"/>
      <c r="EH3355"/>
      <c r="EI3355" s="473"/>
      <c r="EJ3355"/>
      <c r="EK3355" s="473"/>
      <c r="EL3355"/>
      <c r="EM3355" s="473"/>
    </row>
    <row r="3356" spans="1:143" ht="14.5" hidden="1" x14ac:dyDescent="0.35">
      <c r="A3356" s="814"/>
      <c r="BB3356" s="48"/>
      <c r="BS3356" s="464"/>
      <c r="CA3356" s="245"/>
      <c r="CB3356" s="245"/>
      <c r="CC3356"/>
      <c r="CD3356"/>
      <c r="CE3356"/>
      <c r="CF3356" s="245"/>
      <c r="CG3356" s="245"/>
      <c r="CH3356" s="245"/>
      <c r="CI3356"/>
      <c r="CJ3356"/>
      <c r="CK3356" s="459"/>
      <c r="CL3356" s="459"/>
      <c r="CM3356"/>
      <c r="CN3356"/>
      <c r="CO3356"/>
      <c r="CP3356"/>
      <c r="CQ3356"/>
      <c r="CR3356"/>
      <c r="CS3356" s="459"/>
      <c r="CT3356" s="245"/>
      <c r="CU3356"/>
      <c r="CV3356"/>
      <c r="CW3356"/>
      <c r="CX3356"/>
      <c r="CY3356" s="459"/>
      <c r="CZ3356"/>
      <c r="DA3356" s="459"/>
      <c r="DB3356" s="459"/>
      <c r="DC3356" s="459"/>
      <c r="DD3356" s="459"/>
      <c r="DE3356"/>
      <c r="DF3356"/>
      <c r="DG3356" s="459"/>
      <c r="DH3356"/>
      <c r="DI3356"/>
      <c r="DJ3356" s="459"/>
      <c r="DK3356"/>
      <c r="DL3356" s="459"/>
      <c r="DM3356" s="459"/>
      <c r="DN3356"/>
      <c r="DO3356"/>
      <c r="DP3356"/>
      <c r="DQ3356" s="459"/>
      <c r="DR3356" s="459"/>
      <c r="DS3356"/>
      <c r="DT3356" s="459"/>
      <c r="DU3356" s="459"/>
      <c r="DV3356"/>
      <c r="DW3356" s="245"/>
      <c r="DX3356" s="245"/>
      <c r="DY3356" s="245"/>
      <c r="DZ3356" s="470"/>
      <c r="EA3356" s="470"/>
      <c r="EB3356"/>
      <c r="EC3356" s="471"/>
      <c r="EH3356"/>
      <c r="EI3356" s="473"/>
      <c r="EJ3356"/>
      <c r="EK3356" s="473"/>
      <c r="EL3356"/>
      <c r="EM3356" s="473"/>
    </row>
    <row r="3357" spans="1:143" ht="179.5" hidden="1" x14ac:dyDescent="0.35">
      <c r="A3357" s="814"/>
      <c r="AB3357" s="394" t="str">
        <f>B3387</f>
        <v>no, not at this time</v>
      </c>
      <c r="AC3357" s="395" t="str">
        <f>B3388</f>
        <v>perhaps with more information</v>
      </c>
      <c r="AD3357" s="396" t="str">
        <f>B3389</f>
        <v>perhaps with some help</v>
      </c>
      <c r="AE3357" s="397" t="str">
        <f>B3390</f>
        <v xml:space="preserve">yes, with help affording or handling it </v>
      </c>
      <c r="AF3357" s="398" t="str">
        <f>B3391</f>
        <v>yes, as soon as possible</v>
      </c>
      <c r="BB3357" s="48"/>
      <c r="BS3357" s="464"/>
      <c r="BZ3357" s="48" t="s">
        <v>1489</v>
      </c>
      <c r="CA3357" s="245" t="s">
        <v>885</v>
      </c>
      <c r="CB3357" s="245" t="s">
        <v>885</v>
      </c>
      <c r="CC3357" t="s">
        <v>1569</v>
      </c>
      <c r="CD3357" s="459" t="s">
        <v>885</v>
      </c>
      <c r="CE3357" t="s">
        <v>1691</v>
      </c>
      <c r="CF3357" s="245" t="s">
        <v>885</v>
      </c>
      <c r="CG3357" s="245" t="s">
        <v>885</v>
      </c>
      <c r="CH3357" s="245" t="s">
        <v>885</v>
      </c>
      <c r="CI3357" t="s">
        <v>1748</v>
      </c>
      <c r="CJ3357" t="s">
        <v>1460</v>
      </c>
      <c r="CK3357" s="459" t="s">
        <v>885</v>
      </c>
      <c r="CL3357" s="459" t="s">
        <v>885</v>
      </c>
      <c r="CM3357" t="s">
        <v>1478</v>
      </c>
      <c r="CN3357" t="s">
        <v>1612</v>
      </c>
      <c r="CO3357" t="s">
        <v>2018</v>
      </c>
      <c r="CP3357" t="s">
        <v>2071</v>
      </c>
      <c r="CQ3357" t="s">
        <v>2136</v>
      </c>
      <c r="CR3357" t="s">
        <v>2220</v>
      </c>
      <c r="CS3357" s="459" t="s">
        <v>885</v>
      </c>
      <c r="CT3357" s="245" t="s">
        <v>885</v>
      </c>
      <c r="CU3357" t="s">
        <v>2297</v>
      </c>
      <c r="CV3357" t="s">
        <v>2356</v>
      </c>
      <c r="CW3357" t="s">
        <v>2401</v>
      </c>
      <c r="CX3357" t="s">
        <v>1927</v>
      </c>
      <c r="CY3357" s="459" t="s">
        <v>885</v>
      </c>
      <c r="CZ3357" t="s">
        <v>1475</v>
      </c>
      <c r="DA3357" s="459" t="s">
        <v>885</v>
      </c>
      <c r="DB3357" s="459" t="s">
        <v>885</v>
      </c>
      <c r="DC3357" s="459" t="s">
        <v>885</v>
      </c>
      <c r="DD3357" s="459" t="s">
        <v>885</v>
      </c>
      <c r="DE3357" t="s">
        <v>1855</v>
      </c>
      <c r="DF3357" t="s">
        <v>1734</v>
      </c>
      <c r="DG3357" s="459" t="s">
        <v>885</v>
      </c>
      <c r="DH3357" t="s">
        <v>2732</v>
      </c>
      <c r="DI3357" t="s">
        <v>2082</v>
      </c>
      <c r="DJ3357" s="459" t="s">
        <v>885</v>
      </c>
      <c r="DK3357" t="s">
        <v>2610</v>
      </c>
      <c r="DL3357" s="459" t="s">
        <v>885</v>
      </c>
      <c r="DM3357" s="459" t="s">
        <v>885</v>
      </c>
      <c r="DN3357" t="s">
        <v>2899</v>
      </c>
      <c r="DO3357" t="s">
        <v>2919</v>
      </c>
      <c r="DP3357" t="s">
        <v>2972</v>
      </c>
      <c r="DQ3357" s="459" t="s">
        <v>885</v>
      </c>
      <c r="DR3357" s="459" t="s">
        <v>885</v>
      </c>
      <c r="DS3357" t="s">
        <v>3151</v>
      </c>
      <c r="DT3357" s="459" t="s">
        <v>885</v>
      </c>
      <c r="DU3357" s="459" t="s">
        <v>885</v>
      </c>
      <c r="DV3357" t="s">
        <v>3264</v>
      </c>
      <c r="DW3357" s="245" t="s">
        <v>885</v>
      </c>
      <c r="DX3357" s="245" t="s">
        <v>885</v>
      </c>
      <c r="DY3357" s="245"/>
      <c r="DZ3357" s="470" t="str">
        <f>IF($B$265=$B$3278,EB3357,IF($B$265=$B$3279,ED3357,IF($B$265=$B$3280,EF3357,IF($B$265=$B$3281,EH3357,IF($B$265=$B$3282,EJ3357,IF($B$265=$B$3283,EL3357,IF($B$265=$B$3284,EN3357,IF($B$265=$B$3285,EP3357,IF($B$265=$B$3286,ER3357,IF($B$265=$B$3287,ET3357,IF($B$265=$B$3288,EV3357,IF($B$265=$B$3289,EX3357,IF($B$265=$B$3290,EZ3357,IF($B$265=$B$3291,FB3357,IF($B$265=$B$3292,FD3357,IF($B$265=$B$3293,BU3357,IF($B$265=$B$3294,FF3357,IF($B$265=$B$3295,FH3357,IF($B$265=$B$3296,FJ3357,IF($B$265=$B$3297,FL3357,IF($B$265=$B$3298,FN3357,IF($B$265=$B$3299,FP3357,IF(BI$265=$B$3300,FR3357,IF($B$265=$B$3301,FT3357,IF($B$265=$B$3302,FV3357,IF($B$265=$B$3303,FX3357,IF($B$265=$B$3304,FZ3357,IF($B$265=$B$3305,GB3357,IF($B$265=$B$3306,GD3357,IF($B$265=$B$3307,GF3357,IF($B$265=$B$3308,GH3357,IF($B$265=$B$3309,GJ3357,IF($B$265=$B$3310,GL3357,IF($B$265=$B$3311,GN3357,IF($B$265=$B$3312,GP3357,IF($B$265=$B$3313,GR3357,IF($B$265=$B$3314,GT3357,IF($B$265=$B$3315,GV3357,IF($B$265=$B$3316,GX3357,IF($B$265=$B$3317,GZ3357,IF($B$265=$B$3318,HB3357,IF($B$265=$B$3319,HD3357,IF($B$265=$B$3320,HF3357,IF($B$265=$B$3321,HH3357,IF($B$265=$B$3322,HJ3357,IF($B$265=$B$3323,HL3357,IF($B$265=$B$3324,HN3357,IF($B$265=$B$3325,HP3357,IF($B$265=$B$3326,HR3357,IF($B$265=$B$3327,HT3357,IF($B$265=$B$3328,HV3357,IF($B$265=$B$3329,HX3357,""))))))))))))))))))))))))))))))))))))))))))))))))))))</f>
        <v/>
      </c>
      <c r="EA3357" s="470" t="str">
        <f>IF($B$265=$B$3278,EC3357,IF($B$265=$B$3279,EE3357,IF($B$265=$B$3280,EG3357,IF($B$265=$B$3281,EI3357,IF($B$265=$B$3282,EK3357,IF($B$265=$B$3283,EM3357,IF($B$265=$B$3284,EO3357,IF($B$265=$B$3285,EQ3357,IF($B$265=$B$3286,ES3357,IF($B$265=$B$3287,EU3357,IF($B$265=$B$3288,EW3357,IF($B$265=$B$3289,EY3357,IF($B$265=$B$3290,FA3357,IF($B$265=$B$3291,FC3357,IF($B$265=$B$3292,FE3357,IF($B$265=$B$3293,BK3357,IF($B$265=$B$3294,FG3357,IF($B$265=$B$3295,FI3357,IF($B$265=$B$3296,FK3357,IF($B$265=$B$3297,FM3357,IF($B$265=$B$3298,FO3357,IF($B$265=$B$3299,FQ3357,IF(BJ$265=$B$3300,FS3357,IF($B$265=$B$3301,FU3357,IF($B$265=$B$3302,FW3357,IF($B$265=$B$3303,FY3357,IF($B$265=$B$3304,GA3357,IF($B$265=$B$3305,GC3357,IF($B$265=$B$3306,GE3357,IF($B$265=$B$3307,GG3357,IF($B$265=$B$3308,GI3357,IF($B$265=$B$3309,GK3357,IF($B$265=$B$3310,GM3357,IF($B$265=$B$3311,GO3357,IF($B$265=$B$3312,GQ3357,IF($B$265=$B$3313,GS3357,IF($B$265=$B$3314,GU3357,IF($B$265=$B$3315,GW3357,IF($B$265=$B$3316,GY3357,IF($B$265=$B$3317,HA3357,IF($B$265=$B$3318,HC3357,IF($B$265=$B$3319,HE3357,IF($B$265=$B$3320,HG3357,IF($B$265=$B$3321,HI3357,IF($B$265=$B$3322,HK3357,IF($B$265=$B$3323,HM3357,IF($B$265=$B$3324,HO3357,IF($B$265=$B$3325,HQ3357,IF($B$265=$B$3326,HS3357,IF($B$265=$B$3327,HU3357,IF($B$265=$B$3328,HW3357,IF($B$265=$B$3329,HY3357,""))))))))))))))))))))))))))))))))))))))))))))))))))))</f>
        <v/>
      </c>
      <c r="EB3357" t="s">
        <v>3324</v>
      </c>
      <c r="EC3357" s="471" t="s">
        <v>3283</v>
      </c>
      <c r="EH3357" t="s">
        <v>3368</v>
      </c>
      <c r="EI3357" s="473" t="s">
        <v>3294</v>
      </c>
      <c r="EL3357" t="str">
        <f>EL3326</f>
        <v>Travis Sides</v>
      </c>
      <c r="EM3357" s="473" t="str">
        <f>EM3326</f>
        <v>R</v>
      </c>
    </row>
    <row r="3358" spans="1:143" ht="14.5" hidden="1" x14ac:dyDescent="0.35">
      <c r="A3358" s="814"/>
      <c r="B3358" s="393" t="s">
        <v>962</v>
      </c>
      <c r="BS3358" s="464" t="str">
        <f>IF($B$265=B$3278,BZ3357,IF($B$265=B$3279,CA3357,IF($B$265=B$3280,CB3357,IF($B$265=B$3281,CC3357,IF($B$265=B$3282,CD3357,IF($B$265=B$3283,CE3357,IF($B$265=B$3284,CF3357,IF($B$265=B$3285,CG3357,IF($B$265=B$3286,CH3357,IF($B$265=B$3287,CI3357,IF($B$265=B$3288,CJ3357,IF($B$265=B$3289,CK3357,IF($B$265=B$3290,CL3357,IF($B$265=B$3291,CM3357,IF($B$265=B$3292,CN3357,IF($B$265=B$3293,C3357,IF($B$265=B$3294,CO3357,IF($B$265=B$3295,CP3357,IF($B$265=B$3296,CQ3357,IF($B$265=B$3297,CR3357,IF($B$265=B$3298,CS3357,IF($B$265=B$3299,CT3357,IF(B$265=B$3300,CU3357,IF($B$265=B$3301,CV3357,IF($B$265=B$3302,CW3357,IF($B$265=B$3303,CX3357,IF($B$265=B$3304,CY3357,IF($B$265=B$3305,CZ3357,IF($B$265=B$3306,DA3357,IF($B$265=B$3307,DB3357,IF($B$265=B$3308,DC3357,IF($B$265=B$3309,DD3357,IF($B$265=B$3310,DE3357,IF($B$265=B$3311,DF3357,IF($B$265=B$3312,DG3357,IF($B$265=B$3313,DH3357,IF($B$265=B$3314,DI3357,IF($B$265=B$3315,DJ3357,IF($B$265=B$3316,DK3357,IF($B$265=B$3317,DL3357,IF($B$265=B$3318,DM3357,IF($B$265=B$3319,DN3357,IF($B$265=B$3320,DO3357,IF($B$265=B$3321,DP3357,IF($B$265=B$3322,DQ3357,IF($B$265=B$3323,DR3357,IF($B$265=B$3324,DS3357,IF($B$265=B$3325,DT3357,IF($B$265=B$3326,DU3357,IF($B$265=B$3327,DV3357,IF($B$265=B$3328,DW3357,IF($B$265=B$3329,DX3357,""))))))))))))))))))))))))))))))))))))))))))))))))))))</f>
        <v/>
      </c>
      <c r="BZ3358" s="48" t="s">
        <v>1490</v>
      </c>
      <c r="CA3358" s="245" t="s">
        <v>885</v>
      </c>
      <c r="CB3358" s="245" t="s">
        <v>885</v>
      </c>
      <c r="CC3358" t="s">
        <v>1570</v>
      </c>
      <c r="CD3358" s="459" t="s">
        <v>885</v>
      </c>
      <c r="CE3358" t="s">
        <v>1692</v>
      </c>
      <c r="CF3358" s="245" t="s">
        <v>885</v>
      </c>
      <c r="CG3358" s="245" t="s">
        <v>885</v>
      </c>
      <c r="CH3358" s="245" t="s">
        <v>885</v>
      </c>
      <c r="CI3358" t="s">
        <v>1490</v>
      </c>
      <c r="CJ3358" t="s">
        <v>1546</v>
      </c>
      <c r="CK3358" s="459" t="s">
        <v>885</v>
      </c>
      <c r="CL3358" s="459" t="s">
        <v>885</v>
      </c>
      <c r="CM3358" t="s">
        <v>1929</v>
      </c>
      <c r="CN3358" t="s">
        <v>1975</v>
      </c>
      <c r="CO3358" t="s">
        <v>2019</v>
      </c>
      <c r="CP3358" t="s">
        <v>2072</v>
      </c>
      <c r="CQ3358" t="s">
        <v>2137</v>
      </c>
      <c r="CR3358" t="s">
        <v>2221</v>
      </c>
      <c r="CS3358" s="459" t="s">
        <v>885</v>
      </c>
      <c r="CT3358" s="245" t="s">
        <v>885</v>
      </c>
      <c r="CU3358" t="s">
        <v>2298</v>
      </c>
      <c r="CV3358" t="s">
        <v>1567</v>
      </c>
      <c r="CW3358" t="s">
        <v>1830</v>
      </c>
      <c r="CX3358" t="s">
        <v>1474</v>
      </c>
      <c r="CY3358" s="459" t="s">
        <v>885</v>
      </c>
      <c r="CZ3358" t="s">
        <v>2071</v>
      </c>
      <c r="DA3358" s="459" t="s">
        <v>885</v>
      </c>
      <c r="DB3358" s="459" t="s">
        <v>885</v>
      </c>
      <c r="DC3358" s="459" t="s">
        <v>885</v>
      </c>
      <c r="DD3358" s="459" t="s">
        <v>885</v>
      </c>
      <c r="DE3358" t="s">
        <v>2613</v>
      </c>
      <c r="DF3358" t="s">
        <v>2654</v>
      </c>
      <c r="DG3358" s="459" t="s">
        <v>885</v>
      </c>
      <c r="DH3358" t="s">
        <v>2733</v>
      </c>
      <c r="DI3358" t="s">
        <v>2776</v>
      </c>
      <c r="DJ3358" s="459" t="s">
        <v>885</v>
      </c>
      <c r="DK3358" t="s">
        <v>1579</v>
      </c>
      <c r="DL3358" s="459" t="s">
        <v>885</v>
      </c>
      <c r="DM3358" s="459" t="s">
        <v>885</v>
      </c>
      <c r="DN3358" t="s">
        <v>2158</v>
      </c>
      <c r="DO3358" t="s">
        <v>2920</v>
      </c>
      <c r="DP3358" t="s">
        <v>1655</v>
      </c>
      <c r="DQ3358" s="459" t="s">
        <v>885</v>
      </c>
      <c r="DR3358" s="459" t="s">
        <v>885</v>
      </c>
      <c r="DS3358" t="s">
        <v>1464</v>
      </c>
      <c r="DT3358" s="459" t="s">
        <v>885</v>
      </c>
      <c r="DU3358" s="459" t="s">
        <v>885</v>
      </c>
      <c r="DV3358" t="s">
        <v>3265</v>
      </c>
      <c r="DW3358" s="245" t="s">
        <v>885</v>
      </c>
      <c r="DX3358" s="245" t="s">
        <v>885</v>
      </c>
      <c r="DY3358" s="245"/>
      <c r="DZ3358" s="470" t="str">
        <f>IF($B$265=$B$3278,EB3358,IF($B$265=$B$3279,ED3358,IF($B$265=$B$3280,EF3358,IF($B$265=$B$3281,EH3358,IF($B$265=$B$3282,EJ3358,IF($B$265=$B$3283,EL3358,IF($B$265=$B$3284,EN3358,IF($B$265=$B$3285,EP3358,IF($B$265=$B$3286,ER3358,IF($B$265=$B$3287,ET3358,IF($B$265=$B$3288,EV3358,IF($B$265=$B$3289,EX3358,IF($B$265=$B$3290,EZ3358,IF($B$265=$B$3291,FB3358,IF($B$265=$B$3292,FD3358,IF($B$265=$B$3293,BU3358,IF($B$265=$B$3294,FF3358,IF($B$265=$B$3295,FH3358,IF($B$265=$B$3296,FJ3358,IF($B$265=$B$3297,FL3358,IF($B$265=$B$3298,FN3358,IF($B$265=$B$3299,FP3358,IF(BI$265=$B$3300,FR3358,IF($B$265=$B$3301,FT3358,IF($B$265=$B$3302,FV3358,IF($B$265=$B$3303,FX3358,IF($B$265=$B$3304,FZ3358,IF($B$265=$B$3305,GB3358,IF($B$265=$B$3306,GD3358,IF($B$265=$B$3307,GF3358,IF($B$265=$B$3308,GH3358,IF($B$265=$B$3309,GJ3358,IF($B$265=$B$3310,GL3358,IF($B$265=$B$3311,GN3358,IF($B$265=$B$3312,GP3358,IF($B$265=$B$3313,GR3358,IF($B$265=$B$3314,GT3358,IF($B$265=$B$3315,GV3358,IF($B$265=$B$3316,GX3358,IF($B$265=$B$3317,GZ3358,IF($B$265=$B$3318,HB3358,IF($B$265=$B$3319,HD3358,IF($B$265=$B$3320,HF3358,IF($B$265=$B$3321,HH3358,IF($B$265=$B$3322,HJ3358,IF($B$265=$B$3323,HL3358,IF($B$265=$B$3324,HN3358,IF($B$265=$B$3325,HP3358,IF($B$265=$B$3326,HR3358,IF($B$265=$B$3327,HT3358,IF($B$265=$B$3328,HV3358,IF($B$265=$B$3329,HX3358,""))))))))))))))))))))))))))))))))))))))))))))))))))))</f>
        <v/>
      </c>
      <c r="EA3358" s="470" t="str">
        <f>IF($B$265=$B$3278,EC3358,IF($B$265=$B$3279,EE3358,IF($B$265=$B$3280,EG3358,IF($B$265=$B$3281,EI3358,IF($B$265=$B$3282,EK3358,IF($B$265=$B$3283,EM3358,IF($B$265=$B$3284,EO3358,IF($B$265=$B$3285,EQ3358,IF($B$265=$B$3286,ES3358,IF($B$265=$B$3287,EU3358,IF($B$265=$B$3288,EW3358,IF($B$265=$B$3289,EY3358,IF($B$265=$B$3290,FA3358,IF($B$265=$B$3291,FC3358,IF($B$265=$B$3292,FE3358,IF($B$265=$B$3293,BK3358,IF($B$265=$B$3294,FG3358,IF($B$265=$B$3295,FI3358,IF($B$265=$B$3296,FK3358,IF($B$265=$B$3297,FM3358,IF($B$265=$B$3298,FO3358,IF($B$265=$B$3299,FQ3358,IF(BJ$265=$B$3300,FS3358,IF($B$265=$B$3301,FU3358,IF($B$265=$B$3302,FW3358,IF($B$265=$B$3303,FY3358,IF($B$265=$B$3304,GA3358,IF($B$265=$B$3305,GC3358,IF($B$265=$B$3306,GE3358,IF($B$265=$B$3307,GG3358,IF($B$265=$B$3308,GI3358,IF($B$265=$B$3309,GK3358,IF($B$265=$B$3310,GM3358,IF($B$265=$B$3311,GO3358,IF($B$265=$B$3312,GQ3358,IF($B$265=$B$3313,GS3358,IF($B$265=$B$3314,GU3358,IF($B$265=$B$3315,GW3358,IF($B$265=$B$3316,GY3358,IF($B$265=$B$3317,HA3358,IF($B$265=$B$3318,HC3358,IF($B$265=$B$3319,HE3358,IF($B$265=$B$3320,HG3358,IF($B$265=$B$3321,HI3358,IF($B$265=$B$3322,HK3358,IF($B$265=$B$3323,HM3358,IF($B$265=$B$3324,HO3358,IF($B$265=$B$3325,HQ3358,IF($B$265=$B$3326,HS3358,IF($B$265=$B$3327,HU3358,IF($B$265=$B$3328,HW3358,IF($B$265=$B$3329,HY3358,""))))))))))))))))))))))))))))))))))))))))))))))))))))</f>
        <v/>
      </c>
      <c r="EB3358" t="str">
        <f>EB3323</f>
        <v>Gregory S. Griggers</v>
      </c>
      <c r="EC3358" t="str">
        <f>EC3323</f>
        <v>D</v>
      </c>
      <c r="EH3358" t="str">
        <f>EH3330</f>
        <v>Larry Jegley</v>
      </c>
      <c r="EI3358" s="473" t="s">
        <v>3294</v>
      </c>
      <c r="EL3358" t="str">
        <f>EL3312</f>
        <v>Heidi McCollum</v>
      </c>
      <c r="EM3358" s="473" t="str">
        <f>EM3312</f>
        <v>D</v>
      </c>
    </row>
    <row r="3359" spans="1:143" ht="14.5" hidden="1" x14ac:dyDescent="0.35">
      <c r="A3359" s="814"/>
      <c r="B3359" s="69" t="s">
        <v>963</v>
      </c>
      <c r="D3359" s="69" t="str">
        <f>B1640</f>
        <v xml:space="preserve">Entity name: </v>
      </c>
      <c r="BS3359" s="464" t="str">
        <f>IF($B$265=B$3278,BZ3358,IF($B$265=B$3279,CA3358,IF($B$265=B$3280,CB3358,IF($B$265=B$3281,CC3358,IF($B$265=B$3282,CD3358,IF($B$265=B$3283,CE3358,IF($B$265=B$3284,CF3358,IF($B$265=B$3285,CG3358,IF($B$265=B$3286,CH3358,IF($B$265=B$3287,CI3358,IF($B$265=B$3288,CJ3358,IF($B$265=B$3289,CK3358,IF($B$265=B$3290,CL3358,IF($B$265=B$3291,CM3358,IF($B$265=B$3292,CN3358,IF($B$265=B$3293,#REF!,IF($B$265=B$3294,CO3358,IF($B$265=B$3295,CP3358,IF($B$265=B$3296,CQ3358,IF($B$265=B$3297,CR3358,IF($B$265=B$3298,CS3358,IF($B$265=B$3299,CT3358,IF(B$265=B$3300,CU3358,IF($B$265=B$3301,CV3358,IF($B$265=B$3302,CW3358,IF($B$265=B$3303,CX3358,IF($B$265=B$3304,CY3358,IF($B$265=B$3305,CZ3358,IF($B$265=B$3306,DA3358,IF($B$265=B$3307,DB3358,IF($B$265=B$3308,DC3358,IF($B$265=B$3309,DD3358,IF($B$265=B$3310,DE3358,IF($B$265=B$3311,DF3358,IF($B$265=B$3312,DG3358,IF($B$265=B$3313,DH3358,IF($B$265=B$3314,DI3358,IF($B$265=B$3315,DJ3358,IF($B$265=B$3316,DK3358,IF($B$265=B$3317,DL3358,IF($B$265=B$3318,DM3358,IF($B$265=B$3319,DN3358,IF($B$265=B$3320,DO3358,IF($B$265=B$3321,DP3358,IF($B$265=B$3322,DQ3358,IF($B$265=B$3323,DR3358,IF($B$265=B$3324,DS3358,IF($B$265=B$3325,DT3358,IF($B$265=B$3326,DU3358,IF($B$265=B$3327,DV3358,IF($B$265=B$3328,DW3358,IF($B$265=B$3329,DX3358,""))))))))))))))))))))))))))))))))))))))))))))))))))))</f>
        <v/>
      </c>
      <c r="BZ3359" s="48" t="s">
        <v>1491</v>
      </c>
      <c r="CA3359" s="245" t="s">
        <v>885</v>
      </c>
      <c r="CB3359" s="245" t="s">
        <v>885</v>
      </c>
      <c r="CC3359" t="s">
        <v>1486</v>
      </c>
      <c r="CD3359" s="459" t="s">
        <v>885</v>
      </c>
      <c r="CE3359" t="s">
        <v>1693</v>
      </c>
      <c r="CF3359" s="245" t="s">
        <v>885</v>
      </c>
      <c r="CG3359" s="245" t="s">
        <v>885</v>
      </c>
      <c r="CH3359" s="245" t="s">
        <v>885</v>
      </c>
      <c r="CI3359" t="s">
        <v>1749</v>
      </c>
      <c r="CJ3359" t="s">
        <v>1797</v>
      </c>
      <c r="CK3359" s="459" t="s">
        <v>885</v>
      </c>
      <c r="CL3359" s="459" t="s">
        <v>885</v>
      </c>
      <c r="CM3359" t="s">
        <v>1930</v>
      </c>
      <c r="CN3359" t="s">
        <v>1976</v>
      </c>
      <c r="CO3359" t="s">
        <v>1475</v>
      </c>
      <c r="CP3359" t="s">
        <v>1972</v>
      </c>
      <c r="CQ3359" t="s">
        <v>1925</v>
      </c>
      <c r="CR3359" t="s">
        <v>2222</v>
      </c>
      <c r="CS3359" s="459" t="s">
        <v>885</v>
      </c>
      <c r="CT3359" s="245" t="s">
        <v>885</v>
      </c>
      <c r="CU3359" t="s">
        <v>2299</v>
      </c>
      <c r="CV3359" t="s">
        <v>1568</v>
      </c>
      <c r="CW3359" t="s">
        <v>2402</v>
      </c>
      <c r="CX3359" t="s">
        <v>1475</v>
      </c>
      <c r="CY3359" s="459" t="s">
        <v>885</v>
      </c>
      <c r="CZ3359" t="s">
        <v>2518</v>
      </c>
      <c r="DA3359" s="459" t="s">
        <v>885</v>
      </c>
      <c r="DB3359" s="459" t="s">
        <v>885</v>
      </c>
      <c r="DC3359" s="459" t="s">
        <v>885</v>
      </c>
      <c r="DD3359" s="459" t="s">
        <v>885</v>
      </c>
      <c r="DE3359" t="s">
        <v>2614</v>
      </c>
      <c r="DF3359" t="s">
        <v>1822</v>
      </c>
      <c r="DG3359" s="459" t="s">
        <v>885</v>
      </c>
      <c r="DH3359" t="s">
        <v>1973</v>
      </c>
      <c r="DI3359" t="s">
        <v>2777</v>
      </c>
      <c r="DJ3359" s="459" t="s">
        <v>885</v>
      </c>
      <c r="DK3359" t="s">
        <v>2835</v>
      </c>
      <c r="DL3359" s="459" t="s">
        <v>885</v>
      </c>
      <c r="DM3359" s="459" t="s">
        <v>885</v>
      </c>
      <c r="DN3359" t="s">
        <v>2900</v>
      </c>
      <c r="DO3359" t="s">
        <v>2731</v>
      </c>
      <c r="DP3359" t="s">
        <v>2973</v>
      </c>
      <c r="DQ3359" s="459" t="s">
        <v>885</v>
      </c>
      <c r="DR3359" s="459" t="s">
        <v>885</v>
      </c>
      <c r="DS3359" t="s">
        <v>2725</v>
      </c>
      <c r="DT3359" s="459" t="s">
        <v>885</v>
      </c>
      <c r="DU3359" s="459" t="s">
        <v>885</v>
      </c>
      <c r="DV3359" t="s">
        <v>1750</v>
      </c>
      <c r="DW3359" s="245" t="s">
        <v>885</v>
      </c>
      <c r="DX3359" s="245" t="s">
        <v>885</v>
      </c>
      <c r="DY3359" s="245"/>
      <c r="DZ3359" s="470" t="str">
        <f>IF($B$265=$B$3278,EB3359,IF($B$265=$B$3279,ED3359,IF($B$265=$B$3280,EF3359,IF($B$265=$B$3281,EH3359,IF($B$265=$B$3282,EJ3359,IF($B$265=$B$3283,EL3359,IF($B$265=$B$3284,EN3359,IF($B$265=$B$3285,EP3359,IF($B$265=$B$3286,ER3359,IF($B$265=$B$3287,ET3359,IF($B$265=$B$3288,EV3359,IF($B$265=$B$3289,EX3359,IF($B$265=$B$3290,EZ3359,IF($B$265=$B$3291,FB3359,IF($B$265=$B$3292,FD3359,IF($B$265=$B$3293,BU3359,IF($B$265=$B$3294,FF3359,IF($B$265=$B$3295,FH3359,IF($B$265=$B$3296,FJ3359,IF($B$265=$B$3297,FL3359,IF($B$265=$B$3298,FN3359,IF($B$265=$B$3299,FP3359,IF(BI$265=$B$3300,FR3359,IF($B$265=$B$3301,FT3359,IF($B$265=$B$3302,FV3359,IF($B$265=$B$3303,FX3359,IF($B$265=$B$3304,FZ3359,IF($B$265=$B$3305,GB3359,IF($B$265=$B$3306,GD3359,IF($B$265=$B$3307,GF3359,IF($B$265=$B$3308,GH3359,IF($B$265=$B$3309,GJ3359,IF($B$265=$B$3310,GL3359,IF($B$265=$B$3311,GN3359,IF($B$265=$B$3312,GP3359,IF($B$265=$B$3313,GR3359,IF($B$265=$B$3314,GT3359,IF($B$265=$B$3315,GV3359,IF($B$265=$B$3316,GX3359,IF($B$265=$B$3317,GZ3359,IF($B$265=$B$3318,HB3359,IF($B$265=$B$3319,HD3359,IF($B$265=$B$3320,HF3359,IF($B$265=$B$3321,HH3359,IF($B$265=$B$3322,HJ3359,IF($B$265=$B$3323,HL3359,IF($B$265=$B$3324,HN3359,IF($B$265=$B$3325,HP3359,IF($B$265=$B$3326,HR3359,IF($B$265=$B$3327,HT3359,IF($B$265=$B$3328,HV3359,IF($B$265=$B$3329,HX3359,""))))))))))))))))))))))))))))))))))))))))))))))))))))</f>
        <v/>
      </c>
      <c r="EA3359" s="470" t="str">
        <f>IF($B$265=$B$3278,EC3359,IF($B$265=$B$3279,EE3359,IF($B$265=$B$3280,EG3359,IF($B$265=$B$3281,EI3359,IF($B$265=$B$3282,EK3359,IF($B$265=$B$3283,EM3359,IF($B$265=$B$3284,EO3359,IF($B$265=$B$3285,EQ3359,IF($B$265=$B$3286,ES3359,IF($B$265=$B$3287,EU3359,IF($B$265=$B$3288,EW3359,IF($B$265=$B$3289,EY3359,IF($B$265=$B$3290,FA3359,IF($B$265=$B$3291,FC3359,IF($B$265=$B$3292,FE3359,IF($B$265=$B$3293,BK3359,IF($B$265=$B$3294,FG3359,IF($B$265=$B$3295,FI3359,IF($B$265=$B$3296,FK3359,IF($B$265=$B$3297,FM3359,IF($B$265=$B$3298,FO3359,IF($B$265=$B$3299,FQ3359,IF(BJ$265=$B$3300,FS3359,IF($B$265=$B$3301,FU3359,IF($B$265=$B$3302,FW3359,IF($B$265=$B$3303,FY3359,IF($B$265=$B$3304,GA3359,IF($B$265=$B$3305,GC3359,IF($B$265=$B$3306,GE3359,IF($B$265=$B$3307,GG3359,IF($B$265=$B$3308,GI3359,IF($B$265=$B$3309,GK3359,IF($B$265=$B$3310,GM3359,IF($B$265=$B$3311,GO3359,IF($B$265=$B$3312,GQ3359,IF($B$265=$B$3313,GS3359,IF($B$265=$B$3314,GU3359,IF($B$265=$B$3315,GW3359,IF($B$265=$B$3316,GY3359,IF($B$265=$B$3317,HA3359,IF($B$265=$B$3318,HC3359,IF($B$265=$B$3319,HE3359,IF($B$265=$B$3320,HG3359,IF($B$265=$B$3321,HI3359,IF($B$265=$B$3322,HK3359,IF($B$265=$B$3323,HM3359,IF($B$265=$B$3324,HO3359,IF($B$265=$B$3325,HQ3359,IF($B$265=$B$3326,HS3359,IF($B$265=$B$3327,HU3359,IF($B$265=$B$3328,HW3359,IF($B$265=$B$3329,HY3359,""))))))))))))))))))))))))))))))))))))))))))))))))))))</f>
        <v/>
      </c>
      <c r="EB3359" t="s">
        <v>3325</v>
      </c>
      <c r="EC3359" s="471" t="s">
        <v>3283</v>
      </c>
      <c r="EH3359" t="str">
        <f>EH3315</f>
        <v>Henry H. Boyce</v>
      </c>
      <c r="EI3359" s="473" t="s">
        <v>3294</v>
      </c>
      <c r="EL3359" t="str">
        <f>EL3298</f>
        <v>Michael Allen</v>
      </c>
      <c r="EM3359" s="473" t="str">
        <f>EM3298</f>
        <v>R</v>
      </c>
    </row>
    <row r="3360" spans="1:143" ht="14.5" hidden="1" x14ac:dyDescent="0.35">
      <c r="A3360" s="814"/>
      <c r="B3360" s="69" t="s">
        <v>964</v>
      </c>
      <c r="D3360" s="69" t="str">
        <f>B1641</f>
        <v xml:space="preserve">Contact person: </v>
      </c>
      <c r="BS3360" s="464" t="str">
        <f>IF($B$265=B$3278,BZ3359,IF($B$265=B$3279,CA3359,IF($B$265=B$3280,CB3359,IF($B$265=B$3281,CC3359,IF($B$265=B$3282,CD3359,IF($B$265=B$3283,CE3359,IF($B$265=B$3284,CF3359,IF($B$265=B$3285,CG3359,IF($B$265=B$3286,CH3359,IF($B$265=B$3287,CI3359,IF($B$265=B$3288,CJ3359,IF($B$265=B$3289,CK3359,IF($B$265=B$3290,CL3359,IF($B$265=B$3291,CM3359,IF($B$265=B$3292,CN3359,IF($B$265=B$3293,#REF!,IF($B$265=B$3294,CO3359,IF($B$265=B$3295,CP3359,IF($B$265=B$3296,CQ3359,IF($B$265=B$3297,CR3359,IF($B$265=B$3298,CS3359,IF($B$265=B$3299,CT3359,IF(B$265=B$3300,CU3359,IF($B$265=B$3301,CV3359,IF($B$265=B$3302,CW3359,IF($B$265=B$3303,CX3359,IF($B$265=B$3304,CY3359,IF($B$265=B$3305,CZ3359,IF($B$265=B$3306,DA3359,IF($B$265=B$3307,DB3359,IF($B$265=B$3308,DC3359,IF($B$265=B$3309,DD3359,IF($B$265=B$3310,DE3359,IF($B$265=B$3311,DF3359,IF($B$265=B$3312,DG3359,IF($B$265=B$3313,DH3359,IF($B$265=B$3314,DI3359,IF($B$265=B$3315,DJ3359,IF($B$265=B$3316,DK3359,IF($B$265=B$3317,DL3359,IF($B$265=B$3318,DM3359,IF($B$265=B$3319,DN3359,IF($B$265=B$3320,DO3359,IF($B$265=B$3321,DP3359,IF($B$265=B$3322,DQ3359,IF($B$265=B$3323,DR3359,IF($B$265=B$3324,DS3359,IF($B$265=B$3325,DT3359,IF($B$265=B$3326,DU3359,IF($B$265=B$3327,DV3359,IF($B$265=B$3328,DW3359,IF($B$265=B$3329,DX3359,""))))))))))))))))))))))))))))))))))))))))))))))))))))</f>
        <v/>
      </c>
      <c r="BZ3360" s="48" t="s">
        <v>1492</v>
      </c>
      <c r="CA3360" s="245" t="s">
        <v>885</v>
      </c>
      <c r="CB3360" s="245" t="s">
        <v>885</v>
      </c>
      <c r="CC3360" t="s">
        <v>1571</v>
      </c>
      <c r="CD3360" s="459" t="s">
        <v>885</v>
      </c>
      <c r="CE3360" t="s">
        <v>1495</v>
      </c>
      <c r="CF3360" s="245" t="s">
        <v>885</v>
      </c>
      <c r="CG3360" s="245" t="s">
        <v>885</v>
      </c>
      <c r="CH3360" s="245" t="s">
        <v>885</v>
      </c>
      <c r="CI3360" t="s">
        <v>1750</v>
      </c>
      <c r="CJ3360" t="s">
        <v>1798</v>
      </c>
      <c r="CK3360" s="459" t="s">
        <v>885</v>
      </c>
      <c r="CL3360" s="459" t="s">
        <v>885</v>
      </c>
      <c r="CM3360" t="s">
        <v>1931</v>
      </c>
      <c r="CN3360" t="s">
        <v>1483</v>
      </c>
      <c r="CO3360" t="s">
        <v>2020</v>
      </c>
      <c r="CP3360" t="s">
        <v>1822</v>
      </c>
      <c r="CQ3360" t="s">
        <v>2138</v>
      </c>
      <c r="CR3360" t="s">
        <v>2223</v>
      </c>
      <c r="CS3360" s="459" t="s">
        <v>885</v>
      </c>
      <c r="CT3360" s="245" t="s">
        <v>885</v>
      </c>
      <c r="CU3360" t="s">
        <v>2300</v>
      </c>
      <c r="CV3360" t="s">
        <v>2357</v>
      </c>
      <c r="CW3360" t="s">
        <v>1573</v>
      </c>
      <c r="CX3360" t="s">
        <v>2430</v>
      </c>
      <c r="CY3360" s="459" t="s">
        <v>885</v>
      </c>
      <c r="CZ3360" t="s">
        <v>2519</v>
      </c>
      <c r="DA3360" s="459" t="s">
        <v>885</v>
      </c>
      <c r="DB3360" s="459" t="s">
        <v>885</v>
      </c>
      <c r="DC3360" s="459" t="s">
        <v>885</v>
      </c>
      <c r="DD3360" s="459" t="s">
        <v>885</v>
      </c>
      <c r="DE3360" t="s">
        <v>2615</v>
      </c>
      <c r="DF3360" t="s">
        <v>1481</v>
      </c>
      <c r="DG3360" s="459" t="s">
        <v>885</v>
      </c>
      <c r="DH3360" t="s">
        <v>2081</v>
      </c>
      <c r="DI3360" t="s">
        <v>2400</v>
      </c>
      <c r="DJ3360" s="459" t="s">
        <v>885</v>
      </c>
      <c r="DK3360" t="s">
        <v>1854</v>
      </c>
      <c r="DL3360" s="459" t="s">
        <v>885</v>
      </c>
      <c r="DM3360" s="459" t="s">
        <v>885</v>
      </c>
      <c r="DN3360" t="s">
        <v>1850</v>
      </c>
      <c r="DO3360" t="s">
        <v>1480</v>
      </c>
      <c r="DP3360" t="s">
        <v>1910</v>
      </c>
      <c r="DQ3360" s="459" t="s">
        <v>885</v>
      </c>
      <c r="DR3360" s="459" t="s">
        <v>885</v>
      </c>
      <c r="DS3360" t="s">
        <v>3152</v>
      </c>
      <c r="DT3360" s="459" t="s">
        <v>885</v>
      </c>
      <c r="DU3360" s="459" t="s">
        <v>885</v>
      </c>
      <c r="DV3360" t="s">
        <v>3266</v>
      </c>
      <c r="DW3360" s="245" t="s">
        <v>885</v>
      </c>
      <c r="DX3360" s="245" t="s">
        <v>885</v>
      </c>
      <c r="DY3360" s="245"/>
      <c r="DZ3360" s="470" t="str">
        <f>IF($B$265=$B$3278,EB3360,IF($B$265=$B$3279,ED3360,IF($B$265=$B$3280,EF3360,IF($B$265=$B$3281,EH3360,IF($B$265=$B$3282,EJ3360,IF($B$265=$B$3283,EL3360,IF($B$265=$B$3284,EN3360,IF($B$265=$B$3285,EP3360,IF($B$265=$B$3286,ER3360,IF($B$265=$B$3287,ET3360,IF($B$265=$B$3288,EV3360,IF($B$265=$B$3289,EX3360,IF($B$265=$B$3290,EZ3360,IF($B$265=$B$3291,FB3360,IF($B$265=$B$3292,FD3360,IF($B$265=$B$3293,BU3360,IF($B$265=$B$3294,FF3360,IF($B$265=$B$3295,FH3360,IF($B$265=$B$3296,FJ3360,IF($B$265=$B$3297,FL3360,IF($B$265=$B$3298,FN3360,IF($B$265=$B$3299,FP3360,IF(BI$265=$B$3300,FR3360,IF($B$265=$B$3301,FT3360,IF($B$265=$B$3302,FV3360,IF($B$265=$B$3303,FX3360,IF($B$265=$B$3304,FZ3360,IF($B$265=$B$3305,GB3360,IF($B$265=$B$3306,GD3360,IF($B$265=$B$3307,GF3360,IF($B$265=$B$3308,GH3360,IF($B$265=$B$3309,GJ3360,IF($B$265=$B$3310,GL3360,IF($B$265=$B$3311,GN3360,IF($B$265=$B$3312,GP3360,IF($B$265=$B$3313,GR3360,IF($B$265=$B$3314,GT3360,IF($B$265=$B$3315,GV3360,IF($B$265=$B$3316,GX3360,IF($B$265=$B$3317,GZ3360,IF($B$265=$B$3318,HB3360,IF($B$265=$B$3319,HD3360,IF($B$265=$B$3320,HF3360,IF($B$265=$B$3321,HH3360,IF($B$265=$B$3322,HJ3360,IF($B$265=$B$3323,HL3360,IF($B$265=$B$3324,HN3360,IF($B$265=$B$3325,HP3360,IF($B$265=$B$3326,HR3360,IF($B$265=$B$3327,HT3360,IF($B$265=$B$3328,HV3360,IF($B$265=$B$3329,HX3360,""))))))))))))))))))))))))))))))))))))))))))))))))))))</f>
        <v/>
      </c>
      <c r="EA3360" s="470" t="str">
        <f>IF($B$265=$B$3278,EC3360,IF($B$265=$B$3279,EE3360,IF($B$265=$B$3280,EG3360,IF($B$265=$B$3281,EI3360,IF($B$265=$B$3282,EK3360,IF($B$265=$B$3283,EM3360,IF($B$265=$B$3284,EO3360,IF($B$265=$B$3285,EQ3360,IF($B$265=$B$3286,ES3360,IF($B$265=$B$3287,EU3360,IF($B$265=$B$3288,EW3360,IF($B$265=$B$3289,EY3360,IF($B$265=$B$3290,FA3360,IF($B$265=$B$3291,FC3360,IF($B$265=$B$3292,FE3360,IF($B$265=$B$3293,BK3360,IF($B$265=$B$3294,FG3360,IF($B$265=$B$3295,FI3360,IF($B$265=$B$3296,FK3360,IF($B$265=$B$3297,FM3360,IF($B$265=$B$3298,FO3360,IF($B$265=$B$3299,FQ3360,IF(BJ$265=$B$3300,FS3360,IF($B$265=$B$3301,FU3360,IF($B$265=$B$3302,FW3360,IF($B$265=$B$3303,FY3360,IF($B$265=$B$3304,GA3360,IF($B$265=$B$3305,GC3360,IF($B$265=$B$3306,GE3360,IF($B$265=$B$3307,GG3360,IF($B$265=$B$3308,GI3360,IF($B$265=$B$3309,GK3360,IF($B$265=$B$3310,GM3360,IF($B$265=$B$3311,GO3360,IF($B$265=$B$3312,GQ3360,IF($B$265=$B$3313,GS3360,IF($B$265=$B$3314,GU3360,IF($B$265=$B$3315,GW3360,IF($B$265=$B$3316,GY3360,IF($B$265=$B$3317,HA3360,IF($B$265=$B$3318,HC3360,IF($B$265=$B$3319,HE3360,IF($B$265=$B$3320,HG3360,IF($B$265=$B$3321,HI3360,IF($B$265=$B$3322,HK3360,IF($B$265=$B$3323,HM3360,IF($B$265=$B$3324,HO3360,IF($B$265=$B$3325,HQ3360,IF($B$265=$B$3326,HS3360,IF($B$265=$B$3327,HU3360,IF($B$265=$B$3328,HW3360,IF($B$265=$B$3329,HY3360,""))))))))))))))))))))))))))))))))))))))))))))))))))))</f>
        <v/>
      </c>
      <c r="EB3360" t="str">
        <f>EB3333</f>
        <v>Douglas Jeremy Duerr</v>
      </c>
      <c r="EC3360" t="str">
        <f>EC3333</f>
        <v>n</v>
      </c>
      <c r="EH3360" t="str">
        <f>EH3331</f>
        <v>Todd Murray</v>
      </c>
      <c r="EI3360" s="473" t="s">
        <v>3294</v>
      </c>
      <c r="EL3360" t="str">
        <f>EL3357</f>
        <v>Travis Sides</v>
      </c>
      <c r="EM3360" s="473" t="str">
        <f>EM3357</f>
        <v>R</v>
      </c>
    </row>
    <row r="3361" spans="1:143" ht="14.5" hidden="1" x14ac:dyDescent="0.35">
      <c r="A3361" s="814"/>
      <c r="B3361" s="69" t="s">
        <v>965</v>
      </c>
      <c r="D3361" s="69" t="str">
        <f>B1643</f>
        <v xml:space="preserve">Email address: </v>
      </c>
      <c r="BS3361" s="464" t="str">
        <f>IF($B$265=B$3278,BZ3360,IF($B$265=B$3279,CA3360,IF($B$265=B$3280,CB3360,IF($B$265=B$3281,CC3360,IF($B$265=B$3282,CD3360,IF($B$265=B$3283,CE3360,IF($B$265=B$3284,CF3360,IF($B$265=B$3285,CG3360,IF($B$265=B$3286,CH3360,IF($B$265=B$3287,CI3360,IF($B$265=B$3288,CJ3360,IF($B$265=B$3289,CK3360,IF($B$265=B$3290,CL3360,IF($B$265=B$3291,CM3360,IF($B$265=B$3292,CN3360,IF($B$265=B$3293,#REF!,IF($B$265=B$3294,CO3360,IF($B$265=B$3295,CP3360,IF($B$265=B$3296,CQ3360,IF($B$265=B$3297,CR3360,IF($B$265=B$3298,CS3360,IF($B$265=B$3299,CT3360,IF(B$265=B$3300,CU3360,IF($B$265=B$3301,CV3360,IF($B$265=B$3302,CW3360,IF($B$265=B$3303,CX3360,IF($B$265=B$3304,CY3360,IF($B$265=B$3305,CZ3360,IF($B$265=B$3306,DA3360,IF($B$265=B$3307,DB3360,IF($B$265=B$3308,DC3360,IF($B$265=B$3309,DD3360,IF($B$265=B$3310,DE3360,IF($B$265=B$3311,DF3360,IF($B$265=B$3312,DG3360,IF($B$265=B$3313,DH3360,IF($B$265=B$3314,DI3360,IF($B$265=B$3315,DJ3360,IF($B$265=B$3316,DK3360,IF($B$265=B$3317,DL3360,IF($B$265=B$3318,DM3360,IF($B$265=B$3319,DN3360,IF($B$265=B$3320,DO3360,IF($B$265=B$3321,DP3360,IF($B$265=B$3322,DQ3360,IF($B$265=B$3323,DR3360,IF($B$265=B$3324,DS3360,IF($B$265=B$3325,DT3360,IF($B$265=B$3326,DU3360,IF($B$265=B$3327,DV3360,IF($B$265=B$3328,DW3360,IF($B$265=B$3329,DX3360,""))))))))))))))))))))))))))))))))))))))))))))))))))))</f>
        <v/>
      </c>
      <c r="BZ3361" s="48" t="s">
        <v>1493</v>
      </c>
      <c r="CA3361" s="245" t="s">
        <v>885</v>
      </c>
      <c r="CB3361" s="245" t="s">
        <v>885</v>
      </c>
      <c r="CC3361" t="s">
        <v>1572</v>
      </c>
      <c r="CD3361" s="459" t="s">
        <v>885</v>
      </c>
      <c r="CE3361" t="s">
        <v>1694</v>
      </c>
      <c r="CF3361" s="245" t="s">
        <v>885</v>
      </c>
      <c r="CG3361" s="245" t="s">
        <v>885</v>
      </c>
      <c r="CH3361" s="245" t="s">
        <v>885</v>
      </c>
      <c r="CI3361" t="s">
        <v>1579</v>
      </c>
      <c r="CJ3361" t="s">
        <v>1799</v>
      </c>
      <c r="CK3361" s="459" t="s">
        <v>885</v>
      </c>
      <c r="CL3361" s="459" t="s">
        <v>885</v>
      </c>
      <c r="CM3361" t="s">
        <v>1932</v>
      </c>
      <c r="CN3361" t="s">
        <v>1485</v>
      </c>
      <c r="CO3361" t="s">
        <v>1477</v>
      </c>
      <c r="CP3361" t="s">
        <v>1481</v>
      </c>
      <c r="CQ3361" t="s">
        <v>2139</v>
      </c>
      <c r="CR3361" t="s">
        <v>2224</v>
      </c>
      <c r="CS3361" s="459" t="s">
        <v>885</v>
      </c>
      <c r="CT3361" s="245" t="s">
        <v>885</v>
      </c>
      <c r="CU3361" t="s">
        <v>2301</v>
      </c>
      <c r="CV3361" t="s">
        <v>2358</v>
      </c>
      <c r="CW3361" t="s">
        <v>2403</v>
      </c>
      <c r="CX3361" t="s">
        <v>1477</v>
      </c>
      <c r="CY3361" s="459" t="s">
        <v>885</v>
      </c>
      <c r="CZ3361" t="s">
        <v>2520</v>
      </c>
      <c r="DA3361" s="459" t="s">
        <v>885</v>
      </c>
      <c r="DB3361" s="459" t="s">
        <v>885</v>
      </c>
      <c r="DC3361" s="459" t="s">
        <v>885</v>
      </c>
      <c r="DD3361" s="459" t="s">
        <v>885</v>
      </c>
      <c r="DE3361" s="459" t="s">
        <v>885</v>
      </c>
      <c r="DF3361" t="s">
        <v>2655</v>
      </c>
      <c r="DG3361" s="459" t="s">
        <v>885</v>
      </c>
      <c r="DH3361" t="s">
        <v>1827</v>
      </c>
      <c r="DI3361" t="s">
        <v>2083</v>
      </c>
      <c r="DJ3361" s="459" t="s">
        <v>885</v>
      </c>
      <c r="DK3361" t="s">
        <v>1495</v>
      </c>
      <c r="DL3361" s="459" t="s">
        <v>885</v>
      </c>
      <c r="DM3361" s="459" t="s">
        <v>885</v>
      </c>
      <c r="DN3361" t="s">
        <v>1579</v>
      </c>
      <c r="DO3361" t="s">
        <v>1481</v>
      </c>
      <c r="DP3361" t="s">
        <v>2974</v>
      </c>
      <c r="DQ3361" s="459" t="s">
        <v>885</v>
      </c>
      <c r="DR3361" s="459" t="s">
        <v>885</v>
      </c>
      <c r="DS3361" t="s">
        <v>3153</v>
      </c>
      <c r="DT3361" s="459" t="s">
        <v>885</v>
      </c>
      <c r="DU3361" s="459" t="s">
        <v>885</v>
      </c>
      <c r="DV3361" t="s">
        <v>2454</v>
      </c>
      <c r="DW3361" s="245" t="s">
        <v>885</v>
      </c>
      <c r="DX3361" s="245" t="s">
        <v>885</v>
      </c>
      <c r="DY3361" s="245"/>
      <c r="DZ3361" s="470" t="str">
        <f>IF($B$265=$B$3278,EB3361,IF($B$265=$B$3279,ED3361,IF($B$265=$B$3280,EF3361,IF($B$265=$B$3281,EH3361,IF($B$265=$B$3282,EJ3361,IF($B$265=$B$3283,EL3361,IF($B$265=$B$3284,EN3361,IF($B$265=$B$3285,EP3361,IF($B$265=$B$3286,ER3361,IF($B$265=$B$3287,ET3361,IF($B$265=$B$3288,EV3361,IF($B$265=$B$3289,EX3361,IF($B$265=$B$3290,EZ3361,IF($B$265=$B$3291,FB3361,IF($B$265=$B$3292,FD3361,IF($B$265=$B$3293,BU3361,IF($B$265=$B$3294,FF3361,IF($B$265=$B$3295,FH3361,IF($B$265=$B$3296,FJ3361,IF($B$265=$B$3297,FL3361,IF($B$265=$B$3298,FN3361,IF($B$265=$B$3299,FP3361,IF(BI$265=$B$3300,FR3361,IF($B$265=$B$3301,FT3361,IF($B$265=$B$3302,FV3361,IF($B$265=$B$3303,FX3361,IF($B$265=$B$3304,FZ3361,IF($B$265=$B$3305,GB3361,IF($B$265=$B$3306,GD3361,IF($B$265=$B$3307,GF3361,IF($B$265=$B$3308,GH3361,IF($B$265=$B$3309,GJ3361,IF($B$265=$B$3310,GL3361,IF($B$265=$B$3311,GN3361,IF($B$265=$B$3312,GP3361,IF($B$265=$B$3313,GR3361,IF($B$265=$B$3314,GT3361,IF($B$265=$B$3315,GV3361,IF($B$265=$B$3316,GX3361,IF($B$265=$B$3317,GZ3361,IF($B$265=$B$3318,HB3361,IF($B$265=$B$3319,HD3361,IF($B$265=$B$3320,HF3361,IF($B$265=$B$3321,HH3361,IF($B$265=$B$3322,HJ3361,IF($B$265=$B$3323,HL3361,IF($B$265=$B$3324,HN3361,IF($B$265=$B$3325,HP3361,IF($B$265=$B$3326,HR3361,IF($B$265=$B$3327,HT3361,IF($B$265=$B$3328,HV3361,IF($B$265=$B$3329,HX3361,""))))))))))))))))))))))))))))))))))))))))))))))))))))</f>
        <v/>
      </c>
      <c r="EA3361" s="470" t="str">
        <f>IF($B$265=$B$3278,EC3361,IF($B$265=$B$3279,EE3361,IF($B$265=$B$3280,EG3361,IF($B$265=$B$3281,EI3361,IF($B$265=$B$3282,EK3361,IF($B$265=$B$3283,EM3361,IF($B$265=$B$3284,EO3361,IF($B$265=$B$3285,EQ3361,IF($B$265=$B$3286,ES3361,IF($B$265=$B$3287,EU3361,IF($B$265=$B$3288,EW3361,IF($B$265=$B$3289,EY3361,IF($B$265=$B$3290,FA3361,IF($B$265=$B$3291,FC3361,IF($B$265=$B$3292,FE3361,IF($B$265=$B$3293,BK3361,IF($B$265=$B$3294,FG3361,IF($B$265=$B$3295,FI3361,IF($B$265=$B$3296,FK3361,IF($B$265=$B$3297,FM3361,IF($B$265=$B$3298,FO3361,IF($B$265=$B$3299,FQ3361,IF(BJ$265=$B$3300,FS3361,IF($B$265=$B$3301,FU3361,IF($B$265=$B$3302,FW3361,IF($B$265=$B$3303,FY3361,IF($B$265=$B$3304,GA3361,IF($B$265=$B$3305,GC3361,IF($B$265=$B$3306,GE3361,IF($B$265=$B$3307,GG3361,IF($B$265=$B$3308,GI3361,IF($B$265=$B$3309,GK3361,IF($B$265=$B$3310,GM3361,IF($B$265=$B$3311,GO3361,IF($B$265=$B$3312,GQ3361,IF($B$265=$B$3313,GS3361,IF($B$265=$B$3314,GU3361,IF($B$265=$B$3315,GW3361,IF($B$265=$B$3316,GY3361,IF($B$265=$B$3317,HA3361,IF($B$265=$B$3318,HC3361,IF($B$265=$B$3319,HE3361,IF($B$265=$B$3320,HG3361,IF($B$265=$B$3321,HI3361,IF($B$265=$B$3322,HK3361,IF($B$265=$B$3323,HM3361,IF($B$265=$B$3324,HO3361,IF($B$265=$B$3325,HQ3361,IF($B$265=$B$3326,HS3361,IF($B$265=$B$3327,HU3361,IF($B$265=$B$3328,HW3361,IF($B$265=$B$3329,HY3361,""))))))))))))))))))))))))))))))))))))))))))))))))))))</f>
        <v/>
      </c>
      <c r="EB3361" t="s">
        <v>3326</v>
      </c>
      <c r="EC3361" s="471" t="s">
        <v>3283</v>
      </c>
      <c r="EH3361" t="s">
        <v>3369</v>
      </c>
      <c r="EI3361" s="473" t="s">
        <v>3294</v>
      </c>
      <c r="EL3361" t="s">
        <v>3450</v>
      </c>
      <c r="EM3361" s="473" t="s">
        <v>3283</v>
      </c>
    </row>
    <row r="3362" spans="1:143" ht="14.5" hidden="1" x14ac:dyDescent="0.35">
      <c r="A3362" s="814"/>
      <c r="B3362" s="69" t="s">
        <v>966</v>
      </c>
      <c r="D3362" s="69" t="str">
        <f>B1644</f>
        <v xml:space="preserve">Mailing address: </v>
      </c>
      <c r="BS3362" s="464" t="str">
        <f>IF($B$265=B$3278,BZ3361,IF($B$265=B$3279,CA3361,IF($B$265=B$3280,CB3361,IF($B$265=B$3281,CC3361,IF($B$265=B$3282,CD3361,IF($B$265=B$3283,CE3361,IF($B$265=B$3284,CF3361,IF($B$265=B$3285,CG3361,IF($B$265=B$3286,CH3361,IF($B$265=B$3287,CI3361,IF($B$265=B$3288,CJ3361,IF($B$265=B$3289,CK3361,IF($B$265=B$3290,CL3361,IF($B$265=B$3291,CM3361,IF($B$265=B$3292,CN3361,IF($B$265=B$3293,#REF!,IF($B$265=B$3294,CO3361,IF($B$265=B$3295,CP3361,IF($B$265=B$3296,CQ3361,IF($B$265=B$3297,CR3361,IF($B$265=B$3298,CS3361,IF($B$265=B$3299,CT3361,IF(B$265=B$3300,CU3361,IF($B$265=B$3301,CV3361,IF($B$265=B$3302,CW3361,IF($B$265=B$3303,CX3361,IF($B$265=B$3304,CY3361,IF($B$265=B$3305,CZ3361,IF($B$265=B$3306,DA3361,IF($B$265=B$3307,DB3361,IF($B$265=B$3308,DC3361,IF($B$265=B$3309,DD3361,IF($B$265=B$3310,DE3361,IF($B$265=B$3311,DF3361,IF($B$265=B$3312,DG3361,IF($B$265=B$3313,DH3361,IF($B$265=B$3314,DI3361,IF($B$265=B$3315,DJ3361,IF($B$265=B$3316,DK3361,IF($B$265=B$3317,DL3361,IF($B$265=B$3318,DM3361,IF($B$265=B$3319,DN3361,IF($B$265=B$3320,DO3361,IF($B$265=B$3321,DP3361,IF($B$265=B$3322,DQ3361,IF($B$265=B$3323,DR3361,IF($B$265=B$3324,DS3361,IF($B$265=B$3325,DT3361,IF($B$265=B$3326,DU3361,IF($B$265=B$3327,DV3361,IF($B$265=B$3328,DW3361,IF($B$265=B$3329,DX3361,""))))))))))))))))))))))))))))))))))))))))))))))))))))</f>
        <v/>
      </c>
      <c r="BZ3362" s="48" t="s">
        <v>1494</v>
      </c>
      <c r="CA3362" s="245" t="s">
        <v>885</v>
      </c>
      <c r="CB3362" s="245" t="s">
        <v>885</v>
      </c>
      <c r="CC3362" t="s">
        <v>1573</v>
      </c>
      <c r="CD3362" s="459" t="s">
        <v>885</v>
      </c>
      <c r="CE3362" t="s">
        <v>1430</v>
      </c>
      <c r="CF3362" s="245" t="s">
        <v>885</v>
      </c>
      <c r="CG3362" s="245" t="s">
        <v>885</v>
      </c>
      <c r="CH3362" s="245" t="s">
        <v>885</v>
      </c>
      <c r="CI3362" t="s">
        <v>1751</v>
      </c>
      <c r="CJ3362" t="s">
        <v>1800</v>
      </c>
      <c r="CK3362" s="459" t="s">
        <v>885</v>
      </c>
      <c r="CL3362" s="459" t="s">
        <v>885</v>
      </c>
      <c r="CM3362" t="s">
        <v>1933</v>
      </c>
      <c r="CN3362" t="s">
        <v>1977</v>
      </c>
      <c r="CO3362" t="s">
        <v>1478</v>
      </c>
      <c r="CP3362" t="s">
        <v>2073</v>
      </c>
      <c r="CQ3362" t="s">
        <v>1470</v>
      </c>
      <c r="CR3362" t="s">
        <v>2225</v>
      </c>
      <c r="CS3362" s="459" t="s">
        <v>885</v>
      </c>
      <c r="CT3362" s="245" t="s">
        <v>885</v>
      </c>
      <c r="CU3362" t="s">
        <v>2302</v>
      </c>
      <c r="CV3362" t="s">
        <v>2359</v>
      </c>
      <c r="CW3362" t="s">
        <v>2157</v>
      </c>
      <c r="CX3362" t="s">
        <v>2431</v>
      </c>
      <c r="CY3362" s="459" t="s">
        <v>885</v>
      </c>
      <c r="CZ3362" t="s">
        <v>2075</v>
      </c>
      <c r="DA3362" s="459" t="s">
        <v>885</v>
      </c>
      <c r="DB3362" s="459" t="s">
        <v>885</v>
      </c>
      <c r="DC3362" s="459" t="s">
        <v>885</v>
      </c>
      <c r="DD3362" s="459" t="s">
        <v>885</v>
      </c>
      <c r="DE3362" s="459" t="s">
        <v>885</v>
      </c>
      <c r="DF3362" t="s">
        <v>2656</v>
      </c>
      <c r="DG3362" s="459" t="s">
        <v>885</v>
      </c>
      <c r="DH3362" t="s">
        <v>1483</v>
      </c>
      <c r="DI3362" t="s">
        <v>2778</v>
      </c>
      <c r="DJ3362" s="459" t="s">
        <v>885</v>
      </c>
      <c r="DK3362" t="s">
        <v>1855</v>
      </c>
      <c r="DL3362" s="459" t="s">
        <v>885</v>
      </c>
      <c r="DM3362" s="459" t="s">
        <v>885</v>
      </c>
      <c r="DN3362" t="s">
        <v>2901</v>
      </c>
      <c r="DO3362" t="s">
        <v>2655</v>
      </c>
      <c r="DP3362" t="s">
        <v>2975</v>
      </c>
      <c r="DQ3362" s="459" t="s">
        <v>885</v>
      </c>
      <c r="DR3362" s="459" t="s">
        <v>885</v>
      </c>
      <c r="DS3362" t="s">
        <v>3154</v>
      </c>
      <c r="DT3362" s="459" t="s">
        <v>885</v>
      </c>
      <c r="DU3362" s="459" t="s">
        <v>885</v>
      </c>
      <c r="DV3362" t="s">
        <v>3267</v>
      </c>
      <c r="DW3362" s="245" t="s">
        <v>885</v>
      </c>
      <c r="DX3362" s="245" t="s">
        <v>885</v>
      </c>
      <c r="DY3362" s="245"/>
      <c r="DZ3362" s="470" t="str">
        <f>IF($B$265=$B$3278,EB3362,IF($B$265=$B$3279,ED3362,IF($B$265=$B$3280,EF3362,IF($B$265=$B$3281,EH3362,IF($B$265=$B$3282,EJ3362,IF($B$265=$B$3283,EL3362,IF($B$265=$B$3284,EN3362,IF($B$265=$B$3285,EP3362,IF($B$265=$B$3286,ER3362,IF($B$265=$B$3287,ET3362,IF($B$265=$B$3288,EV3362,IF($B$265=$B$3289,EX3362,IF($B$265=$B$3290,EZ3362,IF($B$265=$B$3291,FB3362,IF($B$265=$B$3292,FD3362,IF($B$265=$B$3293,BU3362,IF($B$265=$B$3294,FF3362,IF($B$265=$B$3295,FH3362,IF($B$265=$B$3296,FJ3362,IF($B$265=$B$3297,FL3362,IF($B$265=$B$3298,FN3362,IF($B$265=$B$3299,FP3362,IF(BI$265=$B$3300,FR3362,IF($B$265=$B$3301,FT3362,IF($B$265=$B$3302,FV3362,IF($B$265=$B$3303,FX3362,IF($B$265=$B$3304,FZ3362,IF($B$265=$B$3305,GB3362,IF($B$265=$B$3306,GD3362,IF($B$265=$B$3307,GF3362,IF($B$265=$B$3308,GH3362,IF($B$265=$B$3309,GJ3362,IF($B$265=$B$3310,GL3362,IF($B$265=$B$3311,GN3362,IF($B$265=$B$3312,GP3362,IF($B$265=$B$3313,GR3362,IF($B$265=$B$3314,GT3362,IF($B$265=$B$3315,GV3362,IF($B$265=$B$3316,GX3362,IF($B$265=$B$3317,GZ3362,IF($B$265=$B$3318,HB3362,IF($B$265=$B$3319,HD3362,IF($B$265=$B$3320,HF3362,IF($B$265=$B$3321,HH3362,IF($B$265=$B$3322,HJ3362,IF($B$265=$B$3323,HL3362,IF($B$265=$B$3324,HN3362,IF($B$265=$B$3325,HP3362,IF($B$265=$B$3326,HR3362,IF($B$265=$B$3327,HT3362,IF($B$265=$B$3328,HV3362,IF($B$265=$B$3329,HX3362,""))))))))))))))))))))))))))))))))))))))))))))))))))))</f>
        <v/>
      </c>
      <c r="EA3362" s="470" t="str">
        <f>IF($B$265=$B$3278,EC3362,IF($B$265=$B$3279,EE3362,IF($B$265=$B$3280,EG3362,IF($B$265=$B$3281,EI3362,IF($B$265=$B$3282,EK3362,IF($B$265=$B$3283,EM3362,IF($B$265=$B$3284,EO3362,IF($B$265=$B$3285,EQ3362,IF($B$265=$B$3286,ES3362,IF($B$265=$B$3287,EU3362,IF($B$265=$B$3288,EW3362,IF($B$265=$B$3289,EY3362,IF($B$265=$B$3290,FA3362,IF($B$265=$B$3291,FC3362,IF($B$265=$B$3292,FE3362,IF($B$265=$B$3293,BK3362,IF($B$265=$B$3294,FG3362,IF($B$265=$B$3295,FI3362,IF($B$265=$B$3296,FK3362,IF($B$265=$B$3297,FM3362,IF($B$265=$B$3298,FO3362,IF($B$265=$B$3299,FQ3362,IF(BJ$265=$B$3300,FS3362,IF($B$265=$B$3301,FU3362,IF($B$265=$B$3302,FW3362,IF($B$265=$B$3303,FY3362,IF($B$265=$B$3304,GA3362,IF($B$265=$B$3305,GC3362,IF($B$265=$B$3306,GE3362,IF($B$265=$B$3307,GG3362,IF($B$265=$B$3308,GI3362,IF($B$265=$B$3309,GK3362,IF($B$265=$B$3310,GM3362,IF($B$265=$B$3311,GO3362,IF($B$265=$B$3312,GQ3362,IF($B$265=$B$3313,GS3362,IF($B$265=$B$3314,GU3362,IF($B$265=$B$3315,GW3362,IF($B$265=$B$3316,GY3362,IF($B$265=$B$3317,HA3362,IF($B$265=$B$3318,HC3362,IF($B$265=$B$3319,HE3362,IF($B$265=$B$3320,HG3362,IF($B$265=$B$3321,HI3362,IF($B$265=$B$3322,HK3362,IF($B$265=$B$3323,HM3362,IF($B$265=$B$3324,HO3362,IF($B$265=$B$3325,HQ3362,IF($B$265=$B$3326,HS3362,IF($B$265=$B$3327,HU3362,IF($B$265=$B$3328,HW3362,IF($B$265=$B$3329,HY3362,""))))))))))))))))))))))))))))))))))))))))))))))))))))</f>
        <v/>
      </c>
      <c r="EB3362" t="s">
        <v>3327</v>
      </c>
      <c r="EC3362" s="471" t="s">
        <v>3283</v>
      </c>
      <c r="EH3362" t="str">
        <f>EH3319</f>
        <v>Tom Tatum II</v>
      </c>
      <c r="EI3362" s="473" t="s">
        <v>3294</v>
      </c>
      <c r="EL3362" t="str">
        <f>EL3360</f>
        <v>Travis Sides</v>
      </c>
      <c r="EM3362" s="473" t="str">
        <f>EM3360</f>
        <v>R</v>
      </c>
    </row>
    <row r="3363" spans="1:143" ht="14.5" hidden="1" x14ac:dyDescent="0.35">
      <c r="A3363" s="814"/>
      <c r="B3363" s="69"/>
      <c r="D3363" s="48" t="str">
        <f>B1644</f>
        <v xml:space="preserve">Mailing address: </v>
      </c>
      <c r="BS3363" s="464" t="str">
        <f>IF($B$265=B$3278,BZ3362,IF($B$265=B$3279,CA3362,IF($B$265=B$3280,CB3362,IF($B$265=B$3281,CC3362,IF($B$265=B$3282,CD3362,IF($B$265=B$3283,CE3362,IF($B$265=B$3284,CF3362,IF($B$265=B$3285,CG3362,IF($B$265=B$3286,CH3362,IF($B$265=B$3287,CI3362,IF($B$265=B$3288,CJ3362,IF($B$265=B$3289,CK3362,IF($B$265=B$3290,CL3362,IF($B$265=B$3291,CM3362,IF($B$265=B$3292,CN3362,IF($B$265=B$3293,#REF!,IF($B$265=B$3294,CO3362,IF($B$265=B$3295,CP3362,IF($B$265=B$3296,CQ3362,IF($B$265=B$3297,CR3362,IF($B$265=B$3298,CS3362,IF($B$265=B$3299,CT3362,IF(B$265=B$3300,CU3362,IF($B$265=B$3301,CV3362,IF($B$265=B$3302,CW3362,IF($B$265=B$3303,CX3362,IF($B$265=B$3304,CY3362,IF($B$265=B$3305,CZ3362,IF($B$265=B$3306,DA3362,IF($B$265=B$3307,DB3362,IF($B$265=B$3308,DC3362,IF($B$265=B$3309,DD3362,IF($B$265=B$3310,DE3362,IF($B$265=B$3311,DF3362,IF($B$265=B$3312,DG3362,IF($B$265=B$3313,DH3362,IF($B$265=B$3314,DI3362,IF($B$265=B$3315,DJ3362,IF($B$265=B$3316,DK3362,IF($B$265=B$3317,DL3362,IF($B$265=B$3318,DM3362,IF($B$265=B$3319,DN3362,IF($B$265=B$3320,DO3362,IF($B$265=B$3321,DP3362,IF($B$265=B$3322,DQ3362,IF($B$265=B$3323,DR3362,IF($B$265=B$3324,DS3362,IF($B$265=B$3325,DT3362,IF($B$265=B$3326,DU3362,IF($B$265=B$3327,DV3362,IF($B$265=B$3328,DW3362,IF($B$265=B$3329,DX3362,""))))))))))))))))))))))))))))))))))))))))))))))))))))</f>
        <v/>
      </c>
      <c r="BZ3363" s="48" t="s">
        <v>1495</v>
      </c>
      <c r="CA3363" s="245" t="s">
        <v>885</v>
      </c>
      <c r="CB3363" s="245" t="s">
        <v>885</v>
      </c>
      <c r="CC3363" t="s">
        <v>1574</v>
      </c>
      <c r="CD3363" s="459" t="s">
        <v>885</v>
      </c>
      <c r="CE3363" s="459" t="s">
        <v>885</v>
      </c>
      <c r="CF3363" s="245" t="s">
        <v>885</v>
      </c>
      <c r="CG3363" s="245" t="s">
        <v>885</v>
      </c>
      <c r="CH3363" s="245" t="s">
        <v>885</v>
      </c>
      <c r="CI3363" t="s">
        <v>1752</v>
      </c>
      <c r="CJ3363" t="s">
        <v>1801</v>
      </c>
      <c r="CK3363" s="459" t="s">
        <v>885</v>
      </c>
      <c r="CL3363" s="459" t="s">
        <v>885</v>
      </c>
      <c r="CM3363" t="s">
        <v>1934</v>
      </c>
      <c r="CN3363" t="s">
        <v>1978</v>
      </c>
      <c r="CO3363" t="s">
        <v>2021</v>
      </c>
      <c r="CP3363" t="s">
        <v>2074</v>
      </c>
      <c r="CQ3363" t="s">
        <v>1471</v>
      </c>
      <c r="CR3363" s="459" t="s">
        <v>885</v>
      </c>
      <c r="CS3363" s="459" t="s">
        <v>885</v>
      </c>
      <c r="CT3363" s="245" t="s">
        <v>885</v>
      </c>
      <c r="CU3363" t="s">
        <v>2303</v>
      </c>
      <c r="CV3363" t="s">
        <v>2360</v>
      </c>
      <c r="CW3363" t="s">
        <v>2095</v>
      </c>
      <c r="CX3363" t="s">
        <v>1935</v>
      </c>
      <c r="CY3363" s="459" t="s">
        <v>885</v>
      </c>
      <c r="CZ3363" t="s">
        <v>2521</v>
      </c>
      <c r="DA3363" s="459" t="s">
        <v>885</v>
      </c>
      <c r="DB3363" s="459" t="s">
        <v>885</v>
      </c>
      <c r="DC3363" s="459" t="s">
        <v>885</v>
      </c>
      <c r="DD3363" s="459" t="s">
        <v>885</v>
      </c>
      <c r="DE3363" s="459" t="s">
        <v>885</v>
      </c>
      <c r="DF3363" t="s">
        <v>2657</v>
      </c>
      <c r="DG3363" s="459" t="s">
        <v>885</v>
      </c>
      <c r="DH3363" t="s">
        <v>2734</v>
      </c>
      <c r="DI3363" t="s">
        <v>2779</v>
      </c>
      <c r="DJ3363" s="459" t="s">
        <v>885</v>
      </c>
      <c r="DK3363" t="s">
        <v>2836</v>
      </c>
      <c r="DL3363" s="459" t="s">
        <v>885</v>
      </c>
      <c r="DM3363" s="459" t="s">
        <v>885</v>
      </c>
      <c r="DN3363" t="s">
        <v>2902</v>
      </c>
      <c r="DO3363" t="s">
        <v>1482</v>
      </c>
      <c r="DP3363" t="s">
        <v>2976</v>
      </c>
      <c r="DQ3363" s="459" t="s">
        <v>885</v>
      </c>
      <c r="DR3363" s="459" t="s">
        <v>885</v>
      </c>
      <c r="DS3363" t="s">
        <v>3155</v>
      </c>
      <c r="DT3363" s="459" t="s">
        <v>885</v>
      </c>
      <c r="DU3363" s="459" t="s">
        <v>885</v>
      </c>
      <c r="DV3363" t="s">
        <v>2901</v>
      </c>
      <c r="DW3363" s="245" t="s">
        <v>885</v>
      </c>
      <c r="DX3363" s="245" t="s">
        <v>885</v>
      </c>
      <c r="DY3363" s="245"/>
      <c r="DZ3363" s="470" t="str">
        <f>IF($B$265=$B$3278,EB3363,IF($B$265=$B$3279,ED3363,IF($B$265=$B$3280,EF3363,IF($B$265=$B$3281,EH3363,IF($B$265=$B$3282,EJ3363,IF($B$265=$B$3283,EL3363,IF($B$265=$B$3284,EN3363,IF($B$265=$B$3285,EP3363,IF($B$265=$B$3286,ER3363,IF($B$265=$B$3287,ET3363,IF($B$265=$B$3288,EV3363,IF($B$265=$B$3289,EX3363,IF($B$265=$B$3290,EZ3363,IF($B$265=$B$3291,FB3363,IF($B$265=$B$3292,FD3363,IF($B$265=$B$3293,BU3363,IF($B$265=$B$3294,FF3363,IF($B$265=$B$3295,FH3363,IF($B$265=$B$3296,FJ3363,IF($B$265=$B$3297,FL3363,IF($B$265=$B$3298,FN3363,IF($B$265=$B$3299,FP3363,IF(BI$265=$B$3300,FR3363,IF($B$265=$B$3301,FT3363,IF($B$265=$B$3302,FV3363,IF($B$265=$B$3303,FX3363,IF($B$265=$B$3304,FZ3363,IF($B$265=$B$3305,GB3363,IF($B$265=$B$3306,GD3363,IF($B$265=$B$3307,GF3363,IF($B$265=$B$3308,GH3363,IF($B$265=$B$3309,GJ3363,IF($B$265=$B$3310,GL3363,IF($B$265=$B$3311,GN3363,IF($B$265=$B$3312,GP3363,IF($B$265=$B$3313,GR3363,IF($B$265=$B$3314,GT3363,IF($B$265=$B$3315,GV3363,IF($B$265=$B$3316,GX3363,IF($B$265=$B$3317,GZ3363,IF($B$265=$B$3318,HB3363,IF($B$265=$B$3319,HD3363,IF($B$265=$B$3320,HF3363,IF($B$265=$B$3321,HH3363,IF($B$265=$B$3322,HJ3363,IF($B$265=$B$3323,HL3363,IF($B$265=$B$3324,HN3363,IF($B$265=$B$3325,HP3363,IF($B$265=$B$3326,HR3363,IF($B$265=$B$3327,HT3363,IF($B$265=$B$3328,HV3363,IF($B$265=$B$3329,HX3363,""))))))))))))))))))))))))))))))))))))))))))))))))))))</f>
        <v/>
      </c>
      <c r="EA3363" s="470" t="str">
        <f>IF($B$265=$B$3278,EC3363,IF($B$265=$B$3279,EE3363,IF($B$265=$B$3280,EG3363,IF($B$265=$B$3281,EI3363,IF($B$265=$B$3282,EK3363,IF($B$265=$B$3283,EM3363,IF($B$265=$B$3284,EO3363,IF($B$265=$B$3285,EQ3363,IF($B$265=$B$3286,ES3363,IF($B$265=$B$3287,EU3363,IF($B$265=$B$3288,EW3363,IF($B$265=$B$3289,EY3363,IF($B$265=$B$3290,FA3363,IF($B$265=$B$3291,FC3363,IF($B$265=$B$3292,FE3363,IF($B$265=$B$3293,BK3363,IF($B$265=$B$3294,FG3363,IF($B$265=$B$3295,FI3363,IF($B$265=$B$3296,FK3363,IF($B$265=$B$3297,FM3363,IF($B$265=$B$3298,FO3363,IF($B$265=$B$3299,FQ3363,IF(BJ$265=$B$3300,FS3363,IF($B$265=$B$3301,FU3363,IF($B$265=$B$3302,FW3363,IF($B$265=$B$3303,FY3363,IF($B$265=$B$3304,GA3363,IF($B$265=$B$3305,GC3363,IF($B$265=$B$3306,GE3363,IF($B$265=$B$3307,GG3363,IF($B$265=$B$3308,GI3363,IF($B$265=$B$3309,GK3363,IF($B$265=$B$3310,GM3363,IF($B$265=$B$3311,GO3363,IF($B$265=$B$3312,GQ3363,IF($B$265=$B$3313,GS3363,IF($B$265=$B$3314,GU3363,IF($B$265=$B$3315,GW3363,IF($B$265=$B$3316,GY3363,IF($B$265=$B$3317,HA3363,IF($B$265=$B$3318,HC3363,IF($B$265=$B$3319,HE3363,IF($B$265=$B$3320,HG3363,IF($B$265=$B$3321,HI3363,IF($B$265=$B$3322,HK3363,IF($B$265=$B$3323,HM3363,IF($B$265=$B$3324,HO3363,IF($B$265=$B$3325,HQ3363,IF($B$265=$B$3326,HS3363,IF($B$265=$B$3327,HU3363,IF($B$265=$B$3328,HW3363,IF($B$265=$B$3329,HY3363,""))))))))))))))))))))))))))))))))))))))))))))))))))))</f>
        <v/>
      </c>
      <c r="EB3363" t="str">
        <f>EB3290</f>
        <v>Spencer B. Walker</v>
      </c>
      <c r="EC3363" t="str">
        <f>EC3290</f>
        <v>D</v>
      </c>
      <c r="EH3363" t="str">
        <f>EH3300</f>
        <v>Carol Crews</v>
      </c>
      <c r="EI3363" s="473" t="s">
        <v>3294</v>
      </c>
    </row>
    <row r="3364" spans="1:143" ht="14.5" hidden="1" x14ac:dyDescent="0.35">
      <c r="A3364" s="814"/>
      <c r="B3364" s="69"/>
      <c r="D3364" s="48">
        <f>B1645</f>
        <v>0</v>
      </c>
      <c r="BS3364" s="464" t="str">
        <f>IF($B$265=B$3278,BZ3363,IF($B$265=B$3279,CA3363,IF($B$265=B$3280,CB3363,IF($B$265=B$3281,CC3363,IF($B$265=B$3282,CD3363,IF($B$265=B$3283,CE3363,IF($B$265=B$3284,CF3363,IF($B$265=B$3285,CG3363,IF($B$265=B$3286,CH3363,IF($B$265=B$3287,CI3363,IF($B$265=B$3288,CJ3363,IF($B$265=B$3289,CK3363,IF($B$265=B$3290,CL3363,IF($B$265=B$3291,CM3363,IF($B$265=B$3292,CN3363,IF($B$265=B$3293,#REF!,IF($B$265=B$3294,CO3363,IF($B$265=B$3295,CP3363,IF($B$265=B$3296,CQ3363,IF($B$265=B$3297,CR3363,IF($B$265=B$3298,CS3363,IF($B$265=B$3299,CT3363,IF(B$265=B$3300,CU3363,IF($B$265=B$3301,CV3363,IF($B$265=B$3302,CW3363,IF($B$265=B$3303,CX3363,IF($B$265=B$3304,CY3363,IF($B$265=B$3305,CZ3363,IF($B$265=B$3306,DA3363,IF($B$265=B$3307,DB3363,IF($B$265=B$3308,DC3363,IF($B$265=B$3309,DD3363,IF($B$265=B$3310,DE3363,IF($B$265=B$3311,DF3363,IF($B$265=B$3312,DG3363,IF($B$265=B$3313,DH3363,IF($B$265=B$3314,DI3363,IF($B$265=B$3315,DJ3363,IF($B$265=B$3316,DK3363,IF($B$265=B$3317,DL3363,IF($B$265=B$3318,DM3363,IF($B$265=B$3319,DN3363,IF($B$265=B$3320,DO3363,IF($B$265=B$3321,DP3363,IF($B$265=B$3322,DQ3363,IF($B$265=B$3323,DR3363,IF($B$265=B$3324,DS3363,IF($B$265=B$3325,DT3363,IF($B$265=B$3326,DU3363,IF($B$265=B$3327,DV3363,IF($B$265=B$3328,DW3363,IF($B$265=B$3329,DX3363,""))))))))))))))))))))))))))))))))))))))))))))))))))))</f>
        <v/>
      </c>
      <c r="BZ3364" s="48" t="s">
        <v>1496</v>
      </c>
      <c r="CA3364" s="245" t="s">
        <v>885</v>
      </c>
      <c r="CB3364" s="245" t="s">
        <v>885</v>
      </c>
      <c r="CC3364" t="s">
        <v>1575</v>
      </c>
      <c r="CD3364" s="459" t="s">
        <v>885</v>
      </c>
      <c r="CE3364" s="459" t="s">
        <v>885</v>
      </c>
      <c r="CF3364" s="245" t="s">
        <v>885</v>
      </c>
      <c r="CG3364" s="245" t="s">
        <v>885</v>
      </c>
      <c r="CH3364" s="245" t="s">
        <v>885</v>
      </c>
      <c r="CI3364" t="s">
        <v>1753</v>
      </c>
      <c r="CJ3364" t="s">
        <v>1462</v>
      </c>
      <c r="CK3364" s="459" t="s">
        <v>885</v>
      </c>
      <c r="CL3364" s="459" t="s">
        <v>885</v>
      </c>
      <c r="CM3364" t="s">
        <v>1935</v>
      </c>
      <c r="CN3364" t="s">
        <v>1570</v>
      </c>
      <c r="CO3364" t="s">
        <v>1822</v>
      </c>
      <c r="CP3364" t="s">
        <v>2075</v>
      </c>
      <c r="CQ3364" t="s">
        <v>2140</v>
      </c>
      <c r="CR3364" s="459" t="s">
        <v>885</v>
      </c>
      <c r="CS3364" s="459" t="s">
        <v>885</v>
      </c>
      <c r="CT3364" s="245" t="s">
        <v>885</v>
      </c>
      <c r="CU3364" t="s">
        <v>2304</v>
      </c>
      <c r="CV3364" t="s">
        <v>2088</v>
      </c>
      <c r="CW3364" t="s">
        <v>1578</v>
      </c>
      <c r="CX3364" t="s">
        <v>1560</v>
      </c>
      <c r="CY3364" s="459" t="s">
        <v>885</v>
      </c>
      <c r="CZ3364" t="s">
        <v>2522</v>
      </c>
      <c r="DA3364" s="459" t="s">
        <v>885</v>
      </c>
      <c r="DB3364" s="459" t="s">
        <v>885</v>
      </c>
      <c r="DC3364" s="459" t="s">
        <v>885</v>
      </c>
      <c r="DD3364" s="459" t="s">
        <v>885</v>
      </c>
      <c r="DE3364" s="459" t="s">
        <v>885</v>
      </c>
      <c r="DF3364" t="s">
        <v>2658</v>
      </c>
      <c r="DG3364" s="459" t="s">
        <v>885</v>
      </c>
      <c r="DH3364" t="s">
        <v>1485</v>
      </c>
      <c r="DI3364" t="s">
        <v>2780</v>
      </c>
      <c r="DJ3364" s="459" t="s">
        <v>885</v>
      </c>
      <c r="DK3364" t="s">
        <v>2614</v>
      </c>
      <c r="DL3364" s="459" t="s">
        <v>885</v>
      </c>
      <c r="DM3364" s="459" t="s">
        <v>885</v>
      </c>
      <c r="DN3364" t="s">
        <v>2903</v>
      </c>
      <c r="DO3364" t="s">
        <v>2921</v>
      </c>
      <c r="DP3364" t="s">
        <v>1716</v>
      </c>
      <c r="DQ3364" s="459" t="s">
        <v>885</v>
      </c>
      <c r="DR3364" s="459" t="s">
        <v>885</v>
      </c>
      <c r="DS3364" t="s">
        <v>3156</v>
      </c>
      <c r="DT3364" s="459" t="s">
        <v>885</v>
      </c>
      <c r="DU3364" s="459" t="s">
        <v>885</v>
      </c>
      <c r="DV3364" t="s">
        <v>3268</v>
      </c>
      <c r="DW3364" s="245" t="s">
        <v>885</v>
      </c>
      <c r="DX3364" s="245" t="s">
        <v>885</v>
      </c>
      <c r="DY3364" s="245"/>
      <c r="DZ3364" s="470" t="str">
        <f>IF($B$265=$B$3278,EB3364,IF($B$265=$B$3279,ED3364,IF($B$265=$B$3280,EF3364,IF($B$265=$B$3281,EH3364,IF($B$265=$B$3282,EJ3364,IF($B$265=$B$3283,EL3364,IF($B$265=$B$3284,EN3364,IF($B$265=$B$3285,EP3364,IF($B$265=$B$3286,ER3364,IF($B$265=$B$3287,ET3364,IF($B$265=$B$3288,EV3364,IF($B$265=$B$3289,EX3364,IF($B$265=$B$3290,EZ3364,IF($B$265=$B$3291,FB3364,IF($B$265=$B$3292,FD3364,IF($B$265=$B$3293,BU3364,IF($B$265=$B$3294,FF3364,IF($B$265=$B$3295,FH3364,IF($B$265=$B$3296,FJ3364,IF($B$265=$B$3297,FL3364,IF($B$265=$B$3298,FN3364,IF($B$265=$B$3299,FP3364,IF(BI$265=$B$3300,FR3364,IF($B$265=$B$3301,FT3364,IF($B$265=$B$3302,FV3364,IF($B$265=$B$3303,FX3364,IF($B$265=$B$3304,FZ3364,IF($B$265=$B$3305,GB3364,IF($B$265=$B$3306,GD3364,IF($B$265=$B$3307,GF3364,IF($B$265=$B$3308,GH3364,IF($B$265=$B$3309,GJ3364,IF($B$265=$B$3310,GL3364,IF($B$265=$B$3311,GN3364,IF($B$265=$B$3312,GP3364,IF($B$265=$B$3313,GR3364,IF($B$265=$B$3314,GT3364,IF($B$265=$B$3315,GV3364,IF($B$265=$B$3316,GX3364,IF($B$265=$B$3317,GZ3364,IF($B$265=$B$3318,HB3364,IF($B$265=$B$3319,HD3364,IF($B$265=$B$3320,HF3364,IF($B$265=$B$3321,HH3364,IF($B$265=$B$3322,HJ3364,IF($B$265=$B$3323,HL3364,IF($B$265=$B$3324,HN3364,IF($B$265=$B$3325,HP3364,IF($B$265=$B$3326,HR3364,IF($B$265=$B$3327,HT3364,IF($B$265=$B$3328,HV3364,IF($B$265=$B$3329,HX3364,""))))))))))))))))))))))))))))))))))))))))))))))))))))</f>
        <v/>
      </c>
      <c r="EA3364" s="470" t="str">
        <f>IF($B$265=$B$3278,EC3364,IF($B$265=$B$3279,EE3364,IF($B$265=$B$3280,EG3364,IF($B$265=$B$3281,EI3364,IF($B$265=$B$3282,EK3364,IF($B$265=$B$3283,EM3364,IF($B$265=$B$3284,EO3364,IF($B$265=$B$3285,EQ3364,IF($B$265=$B$3286,ES3364,IF($B$265=$B$3287,EU3364,IF($B$265=$B$3288,EW3364,IF($B$265=$B$3289,EY3364,IF($B$265=$B$3290,FA3364,IF($B$265=$B$3291,FC3364,IF($B$265=$B$3292,FE3364,IF($B$265=$B$3293,BK3364,IF($B$265=$B$3294,FG3364,IF($B$265=$B$3295,FI3364,IF($B$265=$B$3296,FK3364,IF($B$265=$B$3297,FM3364,IF($B$265=$B$3298,FO3364,IF($B$265=$B$3299,FQ3364,IF(BJ$265=$B$3300,FS3364,IF($B$265=$B$3301,FU3364,IF($B$265=$B$3302,FW3364,IF($B$265=$B$3303,FY3364,IF($B$265=$B$3304,GA3364,IF($B$265=$B$3305,GC3364,IF($B$265=$B$3306,GE3364,IF($B$265=$B$3307,GG3364,IF($B$265=$B$3308,GI3364,IF($B$265=$B$3309,GK3364,IF($B$265=$B$3310,GM3364,IF($B$265=$B$3311,GO3364,IF($B$265=$B$3312,GQ3364,IF($B$265=$B$3313,GS3364,IF($B$265=$B$3314,GU3364,IF($B$265=$B$3315,GW3364,IF($B$265=$B$3316,GY3364,IF($B$265=$B$3317,HA3364,IF($B$265=$B$3318,HC3364,IF($B$265=$B$3319,HE3364,IF($B$265=$B$3320,HG3364,IF($B$265=$B$3321,HI3364,IF($B$265=$B$3322,HK3364,IF($B$265=$B$3323,HM3364,IF($B$265=$B$3324,HO3364,IF($B$265=$B$3325,HQ3364,IF($B$265=$B$3326,HS3364,IF($B$265=$B$3327,HU3364,IF($B$265=$B$3328,HW3364,IF($B$265=$B$3329,HY3364,""))))))))))))))))))))))))))))))))))))))))))))))))))))</f>
        <v/>
      </c>
      <c r="EB3364" t="str">
        <f>EB3330</f>
        <v>Michael W. Jackson</v>
      </c>
      <c r="EC3364" t="str">
        <f>EC3330</f>
        <v>D</v>
      </c>
      <c r="EH3364" t="s">
        <v>3370</v>
      </c>
      <c r="EI3364" s="473" t="s">
        <v>3294</v>
      </c>
    </row>
    <row r="3365" spans="1:143" ht="14.5" hidden="1" x14ac:dyDescent="0.35">
      <c r="A3365" s="814"/>
      <c r="B3365" s="69" t="str">
        <f>CONCATENATE(B3359,D$3359)</f>
        <v xml:space="preserve">no, I don't need to notify any Entity name: </v>
      </c>
      <c r="D3365" s="48">
        <f>B1646</f>
        <v>0</v>
      </c>
      <c r="BS3365" s="464" t="str">
        <f>IF($B$265=B$3278,BZ3364,IF($B$265=B$3279,CA3364,IF($B$265=B$3280,CB3364,IF($B$265=B$3281,CC3364,IF($B$265=B$3282,CD3364,IF($B$265=B$3283,CE3364,IF($B$265=B$3284,CF3364,IF($B$265=B$3285,CG3364,IF($B$265=B$3286,CH3364,IF($B$265=B$3287,CI3364,IF($B$265=B$3288,CJ3364,IF($B$265=B$3289,CK3364,IF($B$265=B$3290,CL3364,IF($B$265=B$3291,CM3364,IF($B$265=B$3292,CN3364,IF($B$265=B$3293,#REF!,IF($B$265=B$3294,CO3364,IF($B$265=B$3295,CP3364,IF($B$265=B$3296,CQ3364,IF($B$265=B$3297,CR3364,IF($B$265=B$3298,CS3364,IF($B$265=B$3299,CT3364,IF(B$265=B$3300,CU3364,IF($B$265=B$3301,CV3364,IF($B$265=B$3302,CW3364,IF($B$265=B$3303,CX3364,IF($B$265=B$3304,CY3364,IF($B$265=B$3305,CZ3364,IF($B$265=B$3306,DA3364,IF($B$265=B$3307,DB3364,IF($B$265=B$3308,DC3364,IF($B$265=B$3309,DD3364,IF($B$265=B$3310,DE3364,IF($B$265=B$3311,DF3364,IF($B$265=B$3312,DG3364,IF($B$265=B$3313,DH3364,IF($B$265=B$3314,DI3364,IF($B$265=B$3315,DJ3364,IF($B$265=B$3316,DK3364,IF($B$265=B$3317,DL3364,IF($B$265=B$3318,DM3364,IF($B$265=B$3319,DN3364,IF($B$265=B$3320,DO3364,IF($B$265=B$3321,DP3364,IF($B$265=B$3322,DQ3364,IF($B$265=B$3323,DR3364,IF($B$265=B$3324,DS3364,IF($B$265=B$3325,DT3364,IF($B$265=B$3326,DU3364,IF($B$265=B$3327,DV3364,IF($B$265=B$3328,DW3364,IF($B$265=B$3329,DX3364,""))))))))))))))))))))))))))))))))))))))))))))))))))))</f>
        <v/>
      </c>
      <c r="BZ3365" s="48" t="s">
        <v>1497</v>
      </c>
      <c r="CA3365" s="245" t="s">
        <v>885</v>
      </c>
      <c r="CB3365" s="245" t="s">
        <v>885</v>
      </c>
      <c r="CC3365" t="s">
        <v>1576</v>
      </c>
      <c r="CD3365" s="459" t="s">
        <v>885</v>
      </c>
      <c r="CE3365" s="459" t="s">
        <v>885</v>
      </c>
      <c r="CF3365" s="245" t="s">
        <v>885</v>
      </c>
      <c r="CG3365" s="245" t="s">
        <v>885</v>
      </c>
      <c r="CH3365" s="245" t="s">
        <v>885</v>
      </c>
      <c r="CI3365" t="s">
        <v>1495</v>
      </c>
      <c r="CJ3365" t="s">
        <v>1802</v>
      </c>
      <c r="CK3365" s="459" t="s">
        <v>885</v>
      </c>
      <c r="CL3365" s="459" t="s">
        <v>885</v>
      </c>
      <c r="CM3365" t="s">
        <v>1480</v>
      </c>
      <c r="CN3365" t="s">
        <v>1743</v>
      </c>
      <c r="CO3365" t="s">
        <v>2022</v>
      </c>
      <c r="CP3365" t="s">
        <v>2076</v>
      </c>
      <c r="CQ3365" t="s">
        <v>2141</v>
      </c>
      <c r="CR3365" s="459" t="s">
        <v>885</v>
      </c>
      <c r="CS3365" s="459" t="s">
        <v>885</v>
      </c>
      <c r="CT3365" s="245" t="s">
        <v>885</v>
      </c>
      <c r="CU3365" t="s">
        <v>1739</v>
      </c>
      <c r="CV3365" t="s">
        <v>2361</v>
      </c>
      <c r="CW3365" t="s">
        <v>2404</v>
      </c>
      <c r="CX3365" t="s">
        <v>1561</v>
      </c>
      <c r="CY3365" s="459" t="s">
        <v>885</v>
      </c>
      <c r="CZ3365" t="s">
        <v>2082</v>
      </c>
      <c r="DA3365" s="459" t="s">
        <v>885</v>
      </c>
      <c r="DB3365" s="459" t="s">
        <v>885</v>
      </c>
      <c r="DC3365" s="459" t="s">
        <v>885</v>
      </c>
      <c r="DD3365" s="459" t="s">
        <v>885</v>
      </c>
      <c r="DE3365" s="459" t="s">
        <v>885</v>
      </c>
      <c r="DF3365" t="s">
        <v>2659</v>
      </c>
      <c r="DG3365" s="459" t="s">
        <v>885</v>
      </c>
      <c r="DH3365" t="s">
        <v>2735</v>
      </c>
      <c r="DI3365" t="s">
        <v>1748</v>
      </c>
      <c r="DJ3365" s="459" t="s">
        <v>885</v>
      </c>
      <c r="DK3365" t="s">
        <v>2531</v>
      </c>
      <c r="DL3365" s="459" t="s">
        <v>885</v>
      </c>
      <c r="DM3365" s="459" t="s">
        <v>885</v>
      </c>
      <c r="DN3365" s="459" t="s">
        <v>885</v>
      </c>
      <c r="DO3365" t="s">
        <v>2922</v>
      </c>
      <c r="DP3365" t="s">
        <v>2977</v>
      </c>
      <c r="DQ3365" s="459" t="s">
        <v>885</v>
      </c>
      <c r="DR3365" s="459" t="s">
        <v>885</v>
      </c>
      <c r="DS3365" t="s">
        <v>3157</v>
      </c>
      <c r="DT3365" s="459" t="s">
        <v>885</v>
      </c>
      <c r="DU3365" s="459" t="s">
        <v>885</v>
      </c>
      <c r="DV3365" t="s">
        <v>1495</v>
      </c>
      <c r="DW3365" s="245" t="s">
        <v>885</v>
      </c>
      <c r="DX3365" s="245" t="s">
        <v>885</v>
      </c>
      <c r="DY3365" s="245"/>
      <c r="DZ3365" s="470" t="str">
        <f>IF($B$265=$B$3278,EB3365,IF($B$265=$B$3279,ED3365,IF($B$265=$B$3280,EF3365,IF($B$265=$B$3281,EH3365,IF($B$265=$B$3282,EJ3365,IF($B$265=$B$3283,EL3365,IF($B$265=$B$3284,EN3365,IF($B$265=$B$3285,EP3365,IF($B$265=$B$3286,ER3365,IF($B$265=$B$3287,ET3365,IF($B$265=$B$3288,EV3365,IF($B$265=$B$3289,EX3365,IF($B$265=$B$3290,EZ3365,IF($B$265=$B$3291,FB3365,IF($B$265=$B$3292,FD3365,IF($B$265=$B$3293,BU3365,IF($B$265=$B$3294,FF3365,IF($B$265=$B$3295,FH3365,IF($B$265=$B$3296,FJ3365,IF($B$265=$B$3297,FL3365,IF($B$265=$B$3298,FN3365,IF($B$265=$B$3299,FP3365,IF(BI$265=$B$3300,FR3365,IF($B$265=$B$3301,FT3365,IF($B$265=$B$3302,FV3365,IF($B$265=$B$3303,FX3365,IF($B$265=$B$3304,FZ3365,IF($B$265=$B$3305,GB3365,IF($B$265=$B$3306,GD3365,IF($B$265=$B$3307,GF3365,IF($B$265=$B$3308,GH3365,IF($B$265=$B$3309,GJ3365,IF($B$265=$B$3310,GL3365,IF($B$265=$B$3311,GN3365,IF($B$265=$B$3312,GP3365,IF($B$265=$B$3313,GR3365,IF($B$265=$B$3314,GT3365,IF($B$265=$B$3315,GV3365,IF($B$265=$B$3316,GX3365,IF($B$265=$B$3317,GZ3365,IF($B$265=$B$3318,HB3365,IF($B$265=$B$3319,HD3365,IF($B$265=$B$3320,HF3365,IF($B$265=$B$3321,HH3365,IF($B$265=$B$3322,HJ3365,IF($B$265=$B$3323,HL3365,IF($B$265=$B$3324,HN3365,IF($B$265=$B$3325,HP3365,IF($B$265=$B$3326,HR3365,IF($B$265=$B$3327,HT3365,IF($B$265=$B$3328,HV3365,IF($B$265=$B$3329,HX3365,""))))))))))))))))))))))))))))))))))))))))))))))))))))</f>
        <v/>
      </c>
      <c r="EA3365" s="470" t="str">
        <f>IF($B$265=$B$3278,EC3365,IF($B$265=$B$3279,EE3365,IF($B$265=$B$3280,EG3365,IF($B$265=$B$3281,EI3365,IF($B$265=$B$3282,EK3365,IF($B$265=$B$3283,EM3365,IF($B$265=$B$3284,EO3365,IF($B$265=$B$3285,EQ3365,IF($B$265=$B$3286,ES3365,IF($B$265=$B$3287,EU3365,IF($B$265=$B$3288,EW3365,IF($B$265=$B$3289,EY3365,IF($B$265=$B$3290,FA3365,IF($B$265=$B$3291,FC3365,IF($B$265=$B$3292,FE3365,IF($B$265=$B$3293,BK3365,IF($B$265=$B$3294,FG3365,IF($B$265=$B$3295,FI3365,IF($B$265=$B$3296,FK3365,IF($B$265=$B$3297,FM3365,IF($B$265=$B$3298,FO3365,IF($B$265=$B$3299,FQ3365,IF(BJ$265=$B$3300,FS3365,IF($B$265=$B$3301,FU3365,IF($B$265=$B$3302,FW3365,IF($B$265=$B$3303,FY3365,IF($B$265=$B$3304,GA3365,IF($B$265=$B$3305,GC3365,IF($B$265=$B$3306,GE3365,IF($B$265=$B$3307,GG3365,IF($B$265=$B$3308,GI3365,IF($B$265=$B$3309,GK3365,IF($B$265=$B$3310,GM3365,IF($B$265=$B$3311,GO3365,IF($B$265=$B$3312,GQ3365,IF($B$265=$B$3313,GS3365,IF($B$265=$B$3314,GU3365,IF($B$265=$B$3315,GW3365,IF($B$265=$B$3316,GY3365,IF($B$265=$B$3317,HA3365,IF($B$265=$B$3318,HC3365,IF($B$265=$B$3319,HE3365,IF($B$265=$B$3320,HG3365,IF($B$265=$B$3321,HI3365,IF($B$265=$B$3322,HK3365,IF($B$265=$B$3323,HM3365,IF($B$265=$B$3324,HO3365,IF($B$265=$B$3325,HQ3365,IF($B$265=$B$3326,HS3365,IF($B$265=$B$3327,HU3365,IF($B$265=$B$3328,HW3365,IF($B$265=$B$3329,HY3365,""))))))))))))))))))))))))))))))))))))))))))))))))))))</f>
        <v/>
      </c>
      <c r="EB3365" t="str">
        <f>EB3324</f>
        <v>Scott A. Slatton</v>
      </c>
      <c r="EC3365" s="471" t="s">
        <v>3283</v>
      </c>
      <c r="EH3365" t="str">
        <f>EH3332</f>
        <v>Bryan Chesshir</v>
      </c>
      <c r="EI3365" s="473" t="s">
        <v>3294</v>
      </c>
    </row>
    <row r="3366" spans="1:143" ht="14.5" hidden="1" x14ac:dyDescent="0.35">
      <c r="A3366" s="814"/>
      <c r="B3366" s="69" t="str">
        <f>CONCATENATE(B3360,D$3359)</f>
        <v xml:space="preserve">I have not yet decided if needing to notify any Entity name: </v>
      </c>
      <c r="BS3366" s="464" t="str">
        <f>IF($B$265=B$3278,BZ3365,IF($B$265=B$3279,CA3365,IF($B$265=B$3280,CB3365,IF($B$265=B$3281,CC3365,IF($B$265=B$3282,CD3365,IF($B$265=B$3283,CE3365,IF($B$265=B$3284,CF3365,IF($B$265=B$3285,CG3365,IF($B$265=B$3286,CH3365,IF($B$265=B$3287,CI3365,IF($B$265=B$3288,CJ3365,IF($B$265=B$3289,CK3365,IF($B$265=B$3290,CL3365,IF($B$265=B$3291,CM3365,IF($B$265=B$3292,CN3365,IF($B$265=B$3293,#REF!,IF($B$265=B$3294,CO3365,IF($B$265=B$3295,CP3365,IF($B$265=B$3296,CQ3365,IF($B$265=B$3297,CR3365,IF($B$265=B$3298,CS3365,IF($B$265=B$3299,CT3365,IF(B$265=B$3300,CU3365,IF($B$265=B$3301,CV3365,IF($B$265=B$3302,CW3365,IF($B$265=B$3303,CX3365,IF($B$265=B$3304,CY3365,IF($B$265=B$3305,CZ3365,IF($B$265=B$3306,DA3365,IF($B$265=B$3307,DB3365,IF($B$265=B$3308,DC3365,IF($B$265=B$3309,DD3365,IF($B$265=B$3310,DE3365,IF($B$265=B$3311,DF3365,IF($B$265=B$3312,DG3365,IF($B$265=B$3313,DH3365,IF($B$265=B$3314,DI3365,IF($B$265=B$3315,DJ3365,IF($B$265=B$3316,DK3365,IF($B$265=B$3317,DL3365,IF($B$265=B$3318,DM3365,IF($B$265=B$3319,DN3365,IF($B$265=B$3320,DO3365,IF($B$265=B$3321,DP3365,IF($B$265=B$3322,DQ3365,IF($B$265=B$3323,DR3365,IF($B$265=B$3324,DS3365,IF($B$265=B$3325,DT3365,IF($B$265=B$3326,DU3365,IF($B$265=B$3327,DV3365,IF($B$265=B$3328,DW3365,IF($B$265=B$3329,DX3365,""))))))))))))))))))))))))))))))))))))))))))))))))))))</f>
        <v/>
      </c>
      <c r="BZ3366" s="245" t="s">
        <v>885</v>
      </c>
      <c r="CA3366" s="245" t="s">
        <v>885</v>
      </c>
      <c r="CB3366" s="245" t="s">
        <v>885</v>
      </c>
      <c r="CC3366" t="s">
        <v>1577</v>
      </c>
      <c r="CD3366" s="459" t="s">
        <v>885</v>
      </c>
      <c r="CE3366" s="459" t="s">
        <v>885</v>
      </c>
      <c r="CF3366" s="245" t="s">
        <v>885</v>
      </c>
      <c r="CG3366" s="245" t="s">
        <v>885</v>
      </c>
      <c r="CH3366" s="245" t="s">
        <v>885</v>
      </c>
      <c r="CI3366" s="245" t="s">
        <v>885</v>
      </c>
      <c r="CJ3366" t="s">
        <v>1803</v>
      </c>
      <c r="CK3366" s="459" t="s">
        <v>885</v>
      </c>
      <c r="CL3366" s="459" t="s">
        <v>885</v>
      </c>
      <c r="CM3366" t="s">
        <v>1481</v>
      </c>
      <c r="CN3366" t="s">
        <v>1486</v>
      </c>
      <c r="CO3366" t="s">
        <v>1480</v>
      </c>
      <c r="CP3366" t="s">
        <v>2077</v>
      </c>
      <c r="CQ3366" t="s">
        <v>1889</v>
      </c>
      <c r="CR3366" s="459" t="s">
        <v>885</v>
      </c>
      <c r="CS3366" s="459" t="s">
        <v>885</v>
      </c>
      <c r="CT3366" s="245" t="s">
        <v>885</v>
      </c>
      <c r="CU3366" t="s">
        <v>2305</v>
      </c>
      <c r="CV3366" t="s">
        <v>2362</v>
      </c>
      <c r="CW3366" t="s">
        <v>2405</v>
      </c>
      <c r="CX3366" t="s">
        <v>2432</v>
      </c>
      <c r="CY3366" s="459" t="s">
        <v>885</v>
      </c>
      <c r="CZ3366" t="s">
        <v>2523</v>
      </c>
      <c r="DA3366" s="459" t="s">
        <v>885</v>
      </c>
      <c r="DB3366" s="459" t="s">
        <v>885</v>
      </c>
      <c r="DC3366" s="459" t="s">
        <v>885</v>
      </c>
      <c r="DD3366" s="459" t="s">
        <v>885</v>
      </c>
      <c r="DE3366" s="459" t="s">
        <v>885</v>
      </c>
      <c r="DF3366" t="s">
        <v>1612</v>
      </c>
      <c r="DG3366" s="459" t="s">
        <v>885</v>
      </c>
      <c r="DH3366" t="s">
        <v>2736</v>
      </c>
      <c r="DI3366" t="s">
        <v>2781</v>
      </c>
      <c r="DJ3366" s="459" t="s">
        <v>885</v>
      </c>
      <c r="DK3366" s="459" t="s">
        <v>885</v>
      </c>
      <c r="DL3366" s="459" t="s">
        <v>885</v>
      </c>
      <c r="DM3366" s="459" t="s">
        <v>885</v>
      </c>
      <c r="DN3366" s="459" t="s">
        <v>885</v>
      </c>
      <c r="DO3366" t="s">
        <v>1483</v>
      </c>
      <c r="DP3366" t="s">
        <v>2978</v>
      </c>
      <c r="DQ3366" s="459" t="s">
        <v>885</v>
      </c>
      <c r="DR3366" s="459" t="s">
        <v>885</v>
      </c>
      <c r="DS3366" t="s">
        <v>2516</v>
      </c>
      <c r="DT3366" s="459" t="s">
        <v>885</v>
      </c>
      <c r="DU3366" s="459" t="s">
        <v>885</v>
      </c>
      <c r="DV3366" t="s">
        <v>3269</v>
      </c>
      <c r="DW3366" s="245" t="s">
        <v>885</v>
      </c>
      <c r="DX3366" s="245" t="s">
        <v>885</v>
      </c>
      <c r="DY3366" s="245"/>
      <c r="DZ3366" s="470" t="str">
        <f>IF($B$265=$B$3278,EB3366,IF($B$265=$B$3279,ED3366,IF($B$265=$B$3280,EF3366,IF($B$265=$B$3281,EH3366,IF($B$265=$B$3282,EJ3366,IF($B$265=$B$3283,EL3366,IF($B$265=$B$3284,EN3366,IF($B$265=$B$3285,EP3366,IF($B$265=$B$3286,ER3366,IF($B$265=$B$3287,ET3366,IF($B$265=$B$3288,EV3366,IF($B$265=$B$3289,EX3366,IF($B$265=$B$3290,EZ3366,IF($B$265=$B$3291,FB3366,IF($B$265=$B$3292,FD3366,IF($B$265=$B$3293,BU3366,IF($B$265=$B$3294,FF3366,IF($B$265=$B$3295,FH3366,IF($B$265=$B$3296,FJ3366,IF($B$265=$B$3297,FL3366,IF($B$265=$B$3298,FN3366,IF($B$265=$B$3299,FP3366,IF(BI$265=$B$3300,FR3366,IF($B$265=$B$3301,FT3366,IF($B$265=$B$3302,FV3366,IF($B$265=$B$3303,FX3366,IF($B$265=$B$3304,FZ3366,IF($B$265=$B$3305,GB3366,IF($B$265=$B$3306,GD3366,IF($B$265=$B$3307,GF3366,IF($B$265=$B$3308,GH3366,IF($B$265=$B$3309,GJ3366,IF($B$265=$B$3310,GL3366,IF($B$265=$B$3311,GN3366,IF($B$265=$B$3312,GP3366,IF($B$265=$B$3313,GR3366,IF($B$265=$B$3314,GT3366,IF($B$265=$B$3315,GV3366,IF($B$265=$B$3316,GX3366,IF($B$265=$B$3317,GZ3366,IF($B$265=$B$3318,HB3366,IF($B$265=$B$3319,HD3366,IF($B$265=$B$3320,HF3366,IF($B$265=$B$3321,HH3366,IF($B$265=$B$3322,HJ3366,IF($B$265=$B$3323,HL3366,IF($B$265=$B$3324,HN3366,IF($B$265=$B$3325,HP3366,IF($B$265=$B$3326,HR3366,IF($B$265=$B$3327,HT3366,IF($B$265=$B$3328,HV3366,IF($B$265=$B$3329,HX3366,""))))))))))))))))))))))))))))))))))))))))))))))))))))</f>
        <v/>
      </c>
      <c r="EA3366" s="470" t="str">
        <f>IF($B$265=$B$3278,EC3366,IF($B$265=$B$3279,EE3366,IF($B$265=$B$3280,EG3366,IF($B$265=$B$3281,EI3366,IF($B$265=$B$3282,EK3366,IF($B$265=$B$3283,EM3366,IF($B$265=$B$3284,EO3366,IF($B$265=$B$3285,EQ3366,IF($B$265=$B$3286,ES3366,IF($B$265=$B$3287,EU3366,IF($B$265=$B$3288,EW3366,IF($B$265=$B$3289,EY3366,IF($B$265=$B$3290,FA3366,IF($B$265=$B$3291,FC3366,IF($B$265=$B$3292,FE3366,IF($B$265=$B$3293,BK3366,IF($B$265=$B$3294,FG3366,IF($B$265=$B$3295,FI3366,IF($B$265=$B$3296,FK3366,IF($B$265=$B$3297,FM3366,IF($B$265=$B$3298,FO3366,IF($B$265=$B$3299,FQ3366,IF(BJ$265=$B$3300,FS3366,IF($B$265=$B$3301,FU3366,IF($B$265=$B$3302,FW3366,IF($B$265=$B$3303,FY3366,IF($B$265=$B$3304,GA3366,IF($B$265=$B$3305,GC3366,IF($B$265=$B$3306,GE3366,IF($B$265=$B$3307,GG3366,IF($B$265=$B$3308,GI3366,IF($B$265=$B$3309,GK3366,IF($B$265=$B$3310,GM3366,IF($B$265=$B$3311,GO3366,IF($B$265=$B$3312,GQ3366,IF($B$265=$B$3313,GS3366,IF($B$265=$B$3314,GU3366,IF($B$265=$B$3315,GW3366,IF($B$265=$B$3316,GY3366,IF($B$265=$B$3317,HA3366,IF($B$265=$B$3318,HC3366,IF($B$265=$B$3319,HE3366,IF($B$265=$B$3320,HG3366,IF($B$265=$B$3321,HI3366,IF($B$265=$B$3322,HK3366,IF($B$265=$B$3323,HM3366,IF($B$265=$B$3324,HO3366,IF($B$265=$B$3325,HQ3366,IF($B$265=$B$3326,HS3366,IF($B$265=$B$3327,HU3366,IF($B$265=$B$3328,HW3366,IF($B$265=$B$3329,HY3366,""))))))))))))))))))))))))))))))))))))))))))))))))))))</f>
        <v/>
      </c>
      <c r="EH3366" t="str">
        <f>EH3359</f>
        <v>Henry H. Boyce</v>
      </c>
      <c r="EI3366" s="473" t="s">
        <v>3294</v>
      </c>
    </row>
    <row r="3367" spans="1:143" ht="14.5" hidden="1" x14ac:dyDescent="0.35">
      <c r="A3367" s="814"/>
      <c r="B3367" s="69" t="str">
        <f>CONCATENATE(B3361,D$3359)</f>
        <v xml:space="preserve">yes, but I'll let you know when I need to notifiy any Entity name: </v>
      </c>
      <c r="BS3367" s="464" t="str">
        <f>IF($B$265=B$3278,BZ3366,IF($B$265=B$3279,CA3366,IF($B$265=B$3280,CB3366,IF($B$265=B$3281,CC3366,IF($B$265=B$3282,CD3366,IF($B$265=B$3283,CE3366,IF($B$265=B$3284,CF3366,IF($B$265=B$3285,CG3366,IF($B$265=B$3286,CH3366,IF($B$265=B$3287,CI3366,IF($B$265=B$3288,CJ3366,IF($B$265=B$3289,CK3366,IF($B$265=B$3290,CL3366,IF($B$265=B$3291,CM3366,IF($B$265=B$3292,CN3366,IF($B$265=B$3293,#REF!,IF($B$265=B$3294,CO3366,IF($B$265=B$3295,CP3366,IF($B$265=B$3296,CQ3366,IF($B$265=B$3297,CR3366,IF($B$265=B$3298,CS3366,IF($B$265=B$3299,CT3366,IF(B$265=B$3300,CU3366,IF($B$265=B$3301,CV3366,IF($B$265=B$3302,CW3366,IF($B$265=B$3303,CX3366,IF($B$265=B$3304,CY3366,IF($B$265=B$3305,CZ3366,IF($B$265=B$3306,DA3366,IF($B$265=B$3307,DB3366,IF($B$265=B$3308,DC3366,IF($B$265=B$3309,DD3366,IF($B$265=B$3310,DE3366,IF($B$265=B$3311,DF3366,IF($B$265=B$3312,DG3366,IF($B$265=B$3313,DH3366,IF($B$265=B$3314,DI3366,IF($B$265=B$3315,DJ3366,IF($B$265=B$3316,DK3366,IF($B$265=B$3317,DL3366,IF($B$265=B$3318,DM3366,IF($B$265=B$3319,DN3366,IF($B$265=B$3320,DO3366,IF($B$265=B$3321,DP3366,IF($B$265=B$3322,DQ3366,IF($B$265=B$3323,DR3366,IF($B$265=B$3324,DS3366,IF($B$265=B$3325,DT3366,IF($B$265=B$3326,DU3366,IF($B$265=B$3327,DV3366,IF($B$265=B$3328,DW3366,IF($B$265=B$3329,DX3366,""))))))))))))))))))))))))))))))))))))))))))))))))))))</f>
        <v/>
      </c>
      <c r="BZ3367" s="245" t="s">
        <v>885</v>
      </c>
      <c r="CA3367" s="245" t="s">
        <v>885</v>
      </c>
      <c r="CC3367" t="s">
        <v>1578</v>
      </c>
      <c r="CD3367" s="459" t="s">
        <v>885</v>
      </c>
      <c r="CE3367" s="459" t="s">
        <v>885</v>
      </c>
      <c r="CF3367" s="245" t="s">
        <v>885</v>
      </c>
      <c r="CG3367" s="245" t="s">
        <v>885</v>
      </c>
      <c r="CH3367" s="245" t="s">
        <v>885</v>
      </c>
      <c r="CI3367" s="245" t="s">
        <v>885</v>
      </c>
      <c r="CJ3367" t="s">
        <v>1804</v>
      </c>
      <c r="CK3367" s="459" t="s">
        <v>885</v>
      </c>
      <c r="CL3367" s="459" t="s">
        <v>885</v>
      </c>
      <c r="CM3367" t="s">
        <v>1482</v>
      </c>
      <c r="CN3367" t="s">
        <v>1979</v>
      </c>
      <c r="CO3367" t="s">
        <v>1481</v>
      </c>
      <c r="CP3367" t="s">
        <v>2078</v>
      </c>
      <c r="CQ3367" t="s">
        <v>1556</v>
      </c>
      <c r="CR3367" s="459" t="s">
        <v>885</v>
      </c>
      <c r="CS3367" s="459" t="s">
        <v>885</v>
      </c>
      <c r="CT3367" s="245" t="s">
        <v>885</v>
      </c>
      <c r="CU3367" t="s">
        <v>2306</v>
      </c>
      <c r="CV3367" t="s">
        <v>2363</v>
      </c>
      <c r="CW3367" t="s">
        <v>2406</v>
      </c>
      <c r="CX3367" t="s">
        <v>1480</v>
      </c>
      <c r="CY3367" s="459" t="s">
        <v>885</v>
      </c>
      <c r="CZ3367" t="s">
        <v>2439</v>
      </c>
      <c r="DA3367" s="459" t="s">
        <v>885</v>
      </c>
      <c r="DB3367" s="459" t="s">
        <v>885</v>
      </c>
      <c r="DC3367" s="459" t="s">
        <v>885</v>
      </c>
      <c r="DD3367" s="459" t="s">
        <v>885</v>
      </c>
      <c r="DE3367" s="459" t="s">
        <v>885</v>
      </c>
      <c r="DF3367" t="s">
        <v>2660</v>
      </c>
      <c r="DG3367" s="459" t="s">
        <v>885</v>
      </c>
      <c r="DH3367" t="s">
        <v>1743</v>
      </c>
      <c r="DI3367" t="s">
        <v>1837</v>
      </c>
      <c r="DJ3367" s="459" t="s">
        <v>885</v>
      </c>
      <c r="DK3367" s="459" t="s">
        <v>885</v>
      </c>
      <c r="DL3367" s="459" t="s">
        <v>885</v>
      </c>
      <c r="DM3367" s="459" t="s">
        <v>885</v>
      </c>
      <c r="DN3367" s="459" t="s">
        <v>885</v>
      </c>
      <c r="DO3367" t="s">
        <v>2923</v>
      </c>
      <c r="DP3367" t="s">
        <v>1913</v>
      </c>
      <c r="DQ3367" s="459" t="s">
        <v>885</v>
      </c>
      <c r="DR3367" s="459" t="s">
        <v>885</v>
      </c>
      <c r="DS3367" t="s">
        <v>1471</v>
      </c>
      <c r="DT3367" s="459" t="s">
        <v>885</v>
      </c>
      <c r="DU3367" s="459" t="s">
        <v>885</v>
      </c>
      <c r="DV3367" t="s">
        <v>3270</v>
      </c>
      <c r="DW3367" s="245" t="s">
        <v>885</v>
      </c>
      <c r="DX3367" s="245" t="s">
        <v>885</v>
      </c>
      <c r="DY3367" s="245"/>
      <c r="DZ3367" s="470" t="str">
        <f>IF($B$265=$B$3278,EB3367,IF($B$265=$B$3279,ED3367,IF($B$265=$B$3280,EF3367,IF($B$265=$B$3281,EH3367,IF($B$265=$B$3282,EJ3367,IF($B$265=$B$3283,EL3367,IF($B$265=$B$3284,EN3367,IF($B$265=$B$3285,EP3367,IF($B$265=$B$3286,ER3367,IF($B$265=$B$3287,ET3367,IF($B$265=$B$3288,EV3367,IF($B$265=$B$3289,EX3367,IF($B$265=$B$3290,EZ3367,IF($B$265=$B$3291,FB3367,IF($B$265=$B$3292,FD3367,IF($B$265=$B$3293,BU3367,IF($B$265=$B$3294,FF3367,IF($B$265=$B$3295,FH3367,IF($B$265=$B$3296,FJ3367,IF($B$265=$B$3297,FL3367,IF($B$265=$B$3298,FN3367,IF($B$265=$B$3299,FP3367,IF(BI$265=$B$3300,FR3367,IF($B$265=$B$3301,FT3367,IF($B$265=$B$3302,FV3367,IF($B$265=$B$3303,FX3367,IF($B$265=$B$3304,FZ3367,IF($B$265=$B$3305,GB3367,IF($B$265=$B$3306,GD3367,IF($B$265=$B$3307,GF3367,IF($B$265=$B$3308,GH3367,IF($B$265=$B$3309,GJ3367,IF($B$265=$B$3310,GL3367,IF($B$265=$B$3311,GN3367,IF($B$265=$B$3312,GP3367,IF($B$265=$B$3313,GR3367,IF($B$265=$B$3314,GT3367,IF($B$265=$B$3315,GV3367,IF($B$265=$B$3316,GX3367,IF($B$265=$B$3317,GZ3367,IF($B$265=$B$3318,HB3367,IF($B$265=$B$3319,HD3367,IF($B$265=$B$3320,HF3367,IF($B$265=$B$3321,HH3367,IF($B$265=$B$3322,HJ3367,IF($B$265=$B$3323,HL3367,IF($B$265=$B$3324,HN3367,IF($B$265=$B$3325,HP3367,IF($B$265=$B$3326,HR3367,IF($B$265=$B$3327,HT3367,IF($B$265=$B$3328,HV3367,IF($B$265=$B$3329,HX3367,""))))))))))))))))))))))))))))))))))))))))))))))))))))</f>
        <v/>
      </c>
      <c r="EA3367" s="470" t="str">
        <f>IF($B$265=$B$3278,EC3367,IF($B$265=$B$3279,EE3367,IF($B$265=$B$3280,EG3367,IF($B$265=$B$3281,EI3367,IF($B$265=$B$3282,EK3367,IF($B$265=$B$3283,EM3367,IF($B$265=$B$3284,EO3367,IF($B$265=$B$3285,EQ3367,IF($B$265=$B$3286,ES3367,IF($B$265=$B$3287,EU3367,IF($B$265=$B$3288,EW3367,IF($B$265=$B$3289,EY3367,IF($B$265=$B$3290,FA3367,IF($B$265=$B$3291,FC3367,IF($B$265=$B$3292,FE3367,IF($B$265=$B$3293,BK3367,IF($B$265=$B$3294,FG3367,IF($B$265=$B$3295,FI3367,IF($B$265=$B$3296,FK3367,IF($B$265=$B$3297,FM3367,IF($B$265=$B$3298,FO3367,IF($B$265=$B$3299,FQ3367,IF(BJ$265=$B$3300,FS3367,IF($B$265=$B$3301,FU3367,IF($B$265=$B$3302,FW3367,IF($B$265=$B$3303,FY3367,IF($B$265=$B$3304,GA3367,IF($B$265=$B$3305,GC3367,IF($B$265=$B$3306,GE3367,IF($B$265=$B$3307,GG3367,IF($B$265=$B$3308,GI3367,IF($B$265=$B$3309,GK3367,IF($B$265=$B$3310,GM3367,IF($B$265=$B$3311,GO3367,IF($B$265=$B$3312,GQ3367,IF($B$265=$B$3313,GS3367,IF($B$265=$B$3314,GU3367,IF($B$265=$B$3315,GW3367,IF($B$265=$B$3316,GY3367,IF($B$265=$B$3317,HA3367,IF($B$265=$B$3318,HC3367,IF($B$265=$B$3319,HE3367,IF($B$265=$B$3320,HG3367,IF($B$265=$B$3321,HI3367,IF($B$265=$B$3322,HK3367,IF($B$265=$B$3323,HM3367,IF($B$265=$B$3324,HO3367,IF($B$265=$B$3325,HQ3367,IF($B$265=$B$3326,HS3367,IF($B$265=$B$3327,HU3367,IF($B$265=$B$3328,HW3367,IF($B$265=$B$3329,HY3367,""))))))))))))))))))))))))))))))))))))))))))))))))))))</f>
        <v/>
      </c>
      <c r="EH3367" t="str">
        <f>EH3310</f>
        <v>Eric Hance</v>
      </c>
      <c r="EI3367" s="473" t="s">
        <v>3294</v>
      </c>
    </row>
    <row r="3368" spans="1:143" ht="14.5" hidden="1" x14ac:dyDescent="0.35">
      <c r="A3368" s="814"/>
      <c r="B3368" s="69" t="str">
        <f>CONCATENATE(B3362,D$3359)</f>
        <v xml:space="preserve">yes, I need you to immediately notify Entity name: </v>
      </c>
      <c r="BS3368" s="464" t="str">
        <f>IF($B$265=B$3278,BZ3367,IF($B$265=B$3279,CA3367,IF($B$265=B$3280,CB3367,IF($B$265=B$3281,CC3367,IF($B$265=B$3282,CD3367,IF($B$265=B$3283,CE3367,IF($B$265=B$3284,CF3367,IF($B$265=B$3285,CG3367,IF($B$265=B$3286,CH3367,IF($B$265=B$3287,CI3367,IF($B$265=B$3288,CJ3367,IF($B$265=B$3289,CK3367,IF($B$265=B$3290,CL3367,IF($B$265=B$3291,CM3367,IF($B$265=B$3292,CN3367,IF($B$265=B$3293,#REF!,IF($B$265=B$3294,CO3367,IF($B$265=B$3295,CP3367,IF($B$265=B$3296,CQ3367,IF($B$265=B$3297,CR3367,IF($B$265=B$3298,CS3367,IF($B$265=B$3299,CT3367,IF(B$265=B$3300,CU3367,IF($B$265=B$3301,CV3367,IF($B$265=B$3302,CW3367,IF($B$265=B$3303,CX3367,IF($B$265=B$3304,CY3367,IF($B$265=B$3305,CZ3367,IF($B$265=B$3306,DA3367,IF($B$265=B$3307,DB3367,IF($B$265=B$3308,DC3367,IF($B$265=B$3309,DD3367,IF($B$265=B$3310,DE3367,IF($B$265=B$3311,DF3367,IF($B$265=B$3312,DG3367,IF($B$265=B$3313,DH3367,IF($B$265=B$3314,DI3367,IF($B$265=B$3315,DJ3367,IF($B$265=B$3316,DK3367,IF($B$265=B$3317,DL3367,IF($B$265=B$3318,DM3367,IF($B$265=B$3319,DN3367,IF($B$265=B$3320,DO3367,IF($B$265=B$3321,DP3367,IF($B$265=B$3322,DQ3367,IF($B$265=B$3323,DR3367,IF($B$265=B$3324,DS3367,IF($B$265=B$3325,DT3367,IF($B$265=B$3326,DU3367,IF($B$265=B$3327,DV3367,IF($B$265=B$3328,DW3367,IF($B$265=B$3329,DX3367,""))))))))))))))))))))))))))))))))))))))))))))))))))))</f>
        <v/>
      </c>
      <c r="BZ3368" s="245" t="s">
        <v>885</v>
      </c>
      <c r="CA3368" s="245" t="s">
        <v>885</v>
      </c>
      <c r="CC3368" t="s">
        <v>1579</v>
      </c>
      <c r="CD3368" s="459" t="s">
        <v>885</v>
      </c>
      <c r="CE3368" s="459" t="s">
        <v>885</v>
      </c>
      <c r="CF3368" s="245" t="s">
        <v>885</v>
      </c>
      <c r="CG3368" s="245" t="s">
        <v>885</v>
      </c>
      <c r="CH3368" s="245" t="s">
        <v>885</v>
      </c>
      <c r="CI3368" s="245" t="s">
        <v>885</v>
      </c>
      <c r="CJ3368" t="s">
        <v>1805</v>
      </c>
      <c r="CK3368" s="459" t="s">
        <v>885</v>
      </c>
      <c r="CL3368" s="459" t="s">
        <v>885</v>
      </c>
      <c r="CM3368" t="s">
        <v>1936</v>
      </c>
      <c r="CN3368" t="s">
        <v>1980</v>
      </c>
      <c r="CO3368" t="s">
        <v>2023</v>
      </c>
      <c r="CP3368" t="s">
        <v>2079</v>
      </c>
      <c r="CQ3368" t="s">
        <v>1927</v>
      </c>
      <c r="CR3368" s="459" t="s">
        <v>885</v>
      </c>
      <c r="CS3368" s="459" t="s">
        <v>885</v>
      </c>
      <c r="CT3368" s="245" t="s">
        <v>885</v>
      </c>
      <c r="CU3368" t="s">
        <v>2081</v>
      </c>
      <c r="CV3368" t="s">
        <v>1573</v>
      </c>
      <c r="CW3368" t="s">
        <v>2407</v>
      </c>
      <c r="CX3368" t="s">
        <v>1481</v>
      </c>
      <c r="CY3368" s="459" t="s">
        <v>885</v>
      </c>
      <c r="CZ3368" t="s">
        <v>1829</v>
      </c>
      <c r="DA3368" s="459" t="s">
        <v>885</v>
      </c>
      <c r="DB3368" s="459" t="s">
        <v>885</v>
      </c>
      <c r="DC3368" s="459" t="s">
        <v>885</v>
      </c>
      <c r="DD3368" s="459" t="s">
        <v>885</v>
      </c>
      <c r="DE3368" s="459" t="s">
        <v>885</v>
      </c>
      <c r="DF3368" t="s">
        <v>2661</v>
      </c>
      <c r="DG3368" s="459" t="s">
        <v>885</v>
      </c>
      <c r="DH3368" t="s">
        <v>1940</v>
      </c>
      <c r="DI3368" t="s">
        <v>2453</v>
      </c>
      <c r="DJ3368" s="459" t="s">
        <v>885</v>
      </c>
      <c r="DK3368" s="459" t="s">
        <v>885</v>
      </c>
      <c r="DL3368" s="459" t="s">
        <v>885</v>
      </c>
      <c r="DM3368" s="459" t="s">
        <v>885</v>
      </c>
      <c r="DN3368" s="459" t="s">
        <v>885</v>
      </c>
      <c r="DO3368" t="s">
        <v>1567</v>
      </c>
      <c r="DP3368" t="s">
        <v>2053</v>
      </c>
      <c r="DQ3368" s="459" t="s">
        <v>885</v>
      </c>
      <c r="DR3368" s="459" t="s">
        <v>885</v>
      </c>
      <c r="DS3368" t="s">
        <v>3158</v>
      </c>
      <c r="DT3368" s="459" t="s">
        <v>885</v>
      </c>
      <c r="DU3368" s="459" t="s">
        <v>885</v>
      </c>
      <c r="DV3368" t="s">
        <v>3271</v>
      </c>
      <c r="DW3368" s="245" t="s">
        <v>885</v>
      </c>
      <c r="DX3368" s="245" t="s">
        <v>885</v>
      </c>
      <c r="DY3368" s="245"/>
      <c r="DZ3368" s="470" t="str">
        <f>IF($B$265=$B$3278,EB3368,IF($B$265=$B$3279,ED3368,IF($B$265=$B$3280,EF3368,IF($B$265=$B$3281,EH3368,IF($B$265=$B$3282,EJ3368,IF($B$265=$B$3283,EL3368,IF($B$265=$B$3284,EN3368,IF($B$265=$B$3285,EP3368,IF($B$265=$B$3286,ER3368,IF($B$265=$B$3287,ET3368,IF($B$265=$B$3288,EV3368,IF($B$265=$B$3289,EX3368,IF($B$265=$B$3290,EZ3368,IF($B$265=$B$3291,FB3368,IF($B$265=$B$3292,FD3368,IF($B$265=$B$3293,BU3368,IF($B$265=$B$3294,FF3368,IF($B$265=$B$3295,FH3368,IF($B$265=$B$3296,FJ3368,IF($B$265=$B$3297,FL3368,IF($B$265=$B$3298,FN3368,IF($B$265=$B$3299,FP3368,IF(BI$265=$B$3300,FR3368,IF($B$265=$B$3301,FT3368,IF($B$265=$B$3302,FV3368,IF($B$265=$B$3303,FX3368,IF($B$265=$B$3304,FZ3368,IF($B$265=$B$3305,GB3368,IF($B$265=$B$3306,GD3368,IF($B$265=$B$3307,GF3368,IF($B$265=$B$3308,GH3368,IF($B$265=$B$3309,GJ3368,IF($B$265=$B$3310,GL3368,IF($B$265=$B$3311,GN3368,IF($B$265=$B$3312,GP3368,IF($B$265=$B$3313,GR3368,IF($B$265=$B$3314,GT3368,IF($B$265=$B$3315,GV3368,IF($B$265=$B$3316,GX3368,IF($B$265=$B$3317,GZ3368,IF($B$265=$B$3318,HB3368,IF($B$265=$B$3319,HD3368,IF($B$265=$B$3320,HF3368,IF($B$265=$B$3321,HH3368,IF($B$265=$B$3322,HJ3368,IF($B$265=$B$3323,HL3368,IF($B$265=$B$3324,HN3368,IF($B$265=$B$3325,HP3368,IF($B$265=$B$3326,HR3368,IF($B$265=$B$3327,HT3368,IF($B$265=$B$3328,HV3368,IF($B$265=$B$3329,HX3368,""))))))))))))))))))))))))))))))))))))))))))))))))))))</f>
        <v/>
      </c>
      <c r="EA3368" s="470" t="str">
        <f>IF($B$265=$B$3278,EC3368,IF($B$265=$B$3279,EE3368,IF($B$265=$B$3280,EG3368,IF($B$265=$B$3281,EI3368,IF($B$265=$B$3282,EK3368,IF($B$265=$B$3283,EM3368,IF($B$265=$B$3284,EO3368,IF($B$265=$B$3285,EQ3368,IF($B$265=$B$3286,ES3368,IF($B$265=$B$3287,EU3368,IF($B$265=$B$3288,EW3368,IF($B$265=$B$3289,EY3368,IF($B$265=$B$3290,FA3368,IF($B$265=$B$3291,FC3368,IF($B$265=$B$3292,FE3368,IF($B$265=$B$3293,BK3368,IF($B$265=$B$3294,FG3368,IF($B$265=$B$3295,FI3368,IF($B$265=$B$3296,FK3368,IF($B$265=$B$3297,FM3368,IF($B$265=$B$3298,FO3368,IF($B$265=$B$3299,FQ3368,IF(BJ$265=$B$3300,FS3368,IF($B$265=$B$3301,FU3368,IF($B$265=$B$3302,FW3368,IF($B$265=$B$3303,FY3368,IF($B$265=$B$3304,GA3368,IF($B$265=$B$3305,GC3368,IF($B$265=$B$3306,GE3368,IF($B$265=$B$3307,GG3368,IF($B$265=$B$3308,GI3368,IF($B$265=$B$3309,GK3368,IF($B$265=$B$3310,GM3368,IF($B$265=$B$3311,GO3368,IF($B$265=$B$3312,GQ3368,IF($B$265=$B$3313,GS3368,IF($B$265=$B$3314,GU3368,IF($B$265=$B$3315,GW3368,IF($B$265=$B$3316,GY3368,IF($B$265=$B$3317,HA3368,IF($B$265=$B$3318,HC3368,IF($B$265=$B$3319,HE3368,IF($B$265=$B$3320,HG3368,IF($B$265=$B$3321,HI3368,IF($B$265=$B$3322,HK3368,IF($B$265=$B$3323,HM3368,IF($B$265=$B$3324,HO3368,IF($B$265=$B$3325,HQ3368,IF($B$265=$B$3326,HS3368,IF($B$265=$B$3327,HU3368,IF($B$265=$B$3328,HW3368,IF($B$265=$B$3329,HY3368,""))))))))))))))))))))))))))))))))))))))))))))))))))))</f>
        <v/>
      </c>
      <c r="EH3368" t="str">
        <f>EH3329</f>
        <v>Jeff Rogers</v>
      </c>
      <c r="EI3368" s="473" t="s">
        <v>3294</v>
      </c>
    </row>
    <row r="3369" spans="1:143" ht="14.5" hidden="1" x14ac:dyDescent="0.35">
      <c r="A3369" s="814"/>
      <c r="B3369" s="69"/>
      <c r="BS3369" s="464" t="str">
        <f>IF($B$265=B$3278,BZ3368,IF($B$265=B$3279,CA3368,IF($B$265=B$3280,CB3368,IF($B$265=B$3281,CC3368,IF($B$265=B$3282,CD3368,IF($B$265=B$3283,CE3368,IF($B$265=B$3284,CF3368,IF($B$265=B$3285,CG3368,IF($B$265=B$3286,CH3368,IF($B$265=B$3287,CI3368,IF($B$265=B$3288,CJ3368,IF($B$265=B$3289,CK3368,IF($B$265=B$3290,CL3368,IF($B$265=B$3291,CM3368,IF($B$265=B$3292,CN3368,IF($B$265=B$3293,#REF!,IF($B$265=B$3294,CO3368,IF($B$265=B$3295,CP3368,IF($B$265=B$3296,CQ3368,IF($B$265=B$3297,CR3368,IF($B$265=B$3298,CS3368,IF($B$265=B$3299,CT3368,IF(B$265=B$3300,CU3368,IF($B$265=B$3301,CV3368,IF($B$265=B$3302,CW3368,IF($B$265=B$3303,CX3368,IF($B$265=B$3304,CY3368,IF($B$265=B$3305,CZ3368,IF($B$265=B$3306,DA3368,IF($B$265=B$3307,DB3368,IF($B$265=B$3308,DC3368,IF($B$265=B$3309,DD3368,IF($B$265=B$3310,DE3368,IF($B$265=B$3311,DF3368,IF($B$265=B$3312,DG3368,IF($B$265=B$3313,DH3368,IF($B$265=B$3314,DI3368,IF($B$265=B$3315,DJ3368,IF($B$265=B$3316,DK3368,IF($B$265=B$3317,DL3368,IF($B$265=B$3318,DM3368,IF($B$265=B$3319,DN3368,IF($B$265=B$3320,DO3368,IF($B$265=B$3321,DP3368,IF($B$265=B$3322,DQ3368,IF($B$265=B$3323,DR3368,IF($B$265=B$3324,DS3368,IF($B$265=B$3325,DT3368,IF($B$265=B$3326,DU3368,IF($B$265=B$3327,DV3368,IF($B$265=B$3328,DW3368,IF($B$265=B$3329,DX3368,""))))))))))))))))))))))))))))))))))))))))))))))))))))</f>
        <v/>
      </c>
      <c r="BZ3369" s="245" t="s">
        <v>885</v>
      </c>
      <c r="CA3369" s="245" t="s">
        <v>885</v>
      </c>
      <c r="CC3369" t="s">
        <v>1580</v>
      </c>
      <c r="CD3369" s="459" t="s">
        <v>885</v>
      </c>
      <c r="CE3369" s="459" t="s">
        <v>885</v>
      </c>
      <c r="CF3369" s="245" t="s">
        <v>885</v>
      </c>
      <c r="CG3369" s="245" t="s">
        <v>885</v>
      </c>
      <c r="CH3369" s="245" t="s">
        <v>885</v>
      </c>
      <c r="CI3369" s="245" t="s">
        <v>885</v>
      </c>
      <c r="CJ3369" t="s">
        <v>1806</v>
      </c>
      <c r="CK3369" s="459" t="s">
        <v>885</v>
      </c>
      <c r="CL3369" s="459" t="s">
        <v>885</v>
      </c>
      <c r="CM3369" t="s">
        <v>1937</v>
      </c>
      <c r="CN3369" t="s">
        <v>1981</v>
      </c>
      <c r="CO3369" t="s">
        <v>2024</v>
      </c>
      <c r="CP3369" t="s">
        <v>2080</v>
      </c>
      <c r="CQ3369" t="s">
        <v>1558</v>
      </c>
      <c r="CR3369" s="459" t="s">
        <v>885</v>
      </c>
      <c r="CS3369" s="459" t="s">
        <v>885</v>
      </c>
      <c r="CT3369" s="245" t="s">
        <v>885</v>
      </c>
      <c r="CU3369" t="s">
        <v>2307</v>
      </c>
      <c r="CV3369" t="s">
        <v>2364</v>
      </c>
      <c r="CW3369" t="s">
        <v>2408</v>
      </c>
      <c r="CX3369" t="s">
        <v>1482</v>
      </c>
      <c r="CY3369" s="459" t="s">
        <v>885</v>
      </c>
      <c r="CZ3369" t="s">
        <v>2440</v>
      </c>
      <c r="DA3369" s="459" t="s">
        <v>885</v>
      </c>
      <c r="DB3369" s="459" t="s">
        <v>885</v>
      </c>
      <c r="DC3369" s="459" t="s">
        <v>885</v>
      </c>
      <c r="DD3369" s="459" t="s">
        <v>885</v>
      </c>
      <c r="DE3369" s="459" t="s">
        <v>885</v>
      </c>
      <c r="DF3369" t="s">
        <v>2662</v>
      </c>
      <c r="DG3369" s="459" t="s">
        <v>885</v>
      </c>
      <c r="DH3369" t="s">
        <v>2737</v>
      </c>
      <c r="DI3369" t="s">
        <v>2782</v>
      </c>
      <c r="DJ3369" s="459" t="s">
        <v>885</v>
      </c>
      <c r="DK3369" s="459" t="s">
        <v>885</v>
      </c>
      <c r="DL3369" s="459" t="s">
        <v>885</v>
      </c>
      <c r="DM3369" s="459" t="s">
        <v>885</v>
      </c>
      <c r="DN3369" s="459" t="s">
        <v>885</v>
      </c>
      <c r="DO3369" t="s">
        <v>1743</v>
      </c>
      <c r="DP3369" t="s">
        <v>1660</v>
      </c>
      <c r="DQ3369" s="459" t="s">
        <v>885</v>
      </c>
      <c r="DR3369" s="459" t="s">
        <v>885</v>
      </c>
      <c r="DS3369" t="s">
        <v>3159</v>
      </c>
      <c r="DT3369" s="459" t="s">
        <v>885</v>
      </c>
      <c r="DU3369" s="459" t="s">
        <v>885</v>
      </c>
      <c r="DV3369" t="s">
        <v>1952</v>
      </c>
      <c r="DW3369" s="245" t="s">
        <v>885</v>
      </c>
      <c r="DX3369" s="245" t="s">
        <v>885</v>
      </c>
      <c r="DY3369" s="245"/>
      <c r="DZ3369" s="470" t="str">
        <f>IF($B$265=$B$3278,EB3369,IF($B$265=$B$3279,ED3369,IF($B$265=$B$3280,EF3369,IF($B$265=$B$3281,EH3369,IF($B$265=$B$3282,EJ3369,IF($B$265=$B$3283,EL3369,IF($B$265=$B$3284,EN3369,IF($B$265=$B$3285,EP3369,IF($B$265=$B$3286,ER3369,IF($B$265=$B$3287,ET3369,IF($B$265=$B$3288,EV3369,IF($B$265=$B$3289,EX3369,IF($B$265=$B$3290,EZ3369,IF($B$265=$B$3291,FB3369,IF($B$265=$B$3292,FD3369,IF($B$265=$B$3293,BU3369,IF($B$265=$B$3294,FF3369,IF($B$265=$B$3295,FH3369,IF($B$265=$B$3296,FJ3369,IF($B$265=$B$3297,FL3369,IF($B$265=$B$3298,FN3369,IF($B$265=$B$3299,FP3369,IF(BI$265=$B$3300,FR3369,IF($B$265=$B$3301,FT3369,IF($B$265=$B$3302,FV3369,IF($B$265=$B$3303,FX3369,IF($B$265=$B$3304,FZ3369,IF($B$265=$B$3305,GB3369,IF($B$265=$B$3306,GD3369,IF($B$265=$B$3307,GF3369,IF($B$265=$B$3308,GH3369,IF($B$265=$B$3309,GJ3369,IF($B$265=$B$3310,GL3369,IF($B$265=$B$3311,GN3369,IF($B$265=$B$3312,GP3369,IF($B$265=$B$3313,GR3369,IF($B$265=$B$3314,GT3369,IF($B$265=$B$3315,GV3369,IF($B$265=$B$3316,GX3369,IF($B$265=$B$3317,GZ3369,IF($B$265=$B$3318,HB3369,IF($B$265=$B$3319,HD3369,IF($B$265=$B$3320,HF3369,IF($B$265=$B$3321,HH3369,IF($B$265=$B$3322,HJ3369,IF($B$265=$B$3323,HL3369,IF($B$265=$B$3324,HN3369,IF($B$265=$B$3325,HP3369,IF($B$265=$B$3326,HR3369,IF($B$265=$B$3327,HT3369,IF($B$265=$B$3328,HV3369,IF($B$265=$B$3329,HX3369,""))))))))))))))))))))))))))))))))))))))))))))))))))))</f>
        <v/>
      </c>
      <c r="EA3369" s="470" t="str">
        <f>IF($B$265=$B$3278,EC3369,IF($B$265=$B$3279,EE3369,IF($B$265=$B$3280,EG3369,IF($B$265=$B$3281,EI3369,IF($B$265=$B$3282,EK3369,IF($B$265=$B$3283,EM3369,IF($B$265=$B$3284,EO3369,IF($B$265=$B$3285,EQ3369,IF($B$265=$B$3286,ES3369,IF($B$265=$B$3287,EU3369,IF($B$265=$B$3288,EW3369,IF($B$265=$B$3289,EY3369,IF($B$265=$B$3290,FA3369,IF($B$265=$B$3291,FC3369,IF($B$265=$B$3292,FE3369,IF($B$265=$B$3293,BK3369,IF($B$265=$B$3294,FG3369,IF($B$265=$B$3295,FI3369,IF($B$265=$B$3296,FK3369,IF($B$265=$B$3297,FM3369,IF($B$265=$B$3298,FO3369,IF($B$265=$B$3299,FQ3369,IF(BJ$265=$B$3300,FS3369,IF($B$265=$B$3301,FU3369,IF($B$265=$B$3302,FW3369,IF($B$265=$B$3303,FY3369,IF($B$265=$B$3304,GA3369,IF($B$265=$B$3305,GC3369,IF($B$265=$B$3306,GE3369,IF($B$265=$B$3307,GG3369,IF($B$265=$B$3308,GI3369,IF($B$265=$B$3309,GK3369,IF($B$265=$B$3310,GM3369,IF($B$265=$B$3311,GO3369,IF($B$265=$B$3312,GQ3369,IF($B$265=$B$3313,GS3369,IF($B$265=$B$3314,GU3369,IF($B$265=$B$3315,GW3369,IF($B$265=$B$3316,GY3369,IF($B$265=$B$3317,HA3369,IF($B$265=$B$3318,HC3369,IF($B$265=$B$3319,HE3369,IF($B$265=$B$3320,HG3369,IF($B$265=$B$3321,HI3369,IF($B$265=$B$3322,HK3369,IF($B$265=$B$3323,HM3369,IF($B$265=$B$3324,HO3369,IF($B$265=$B$3325,HQ3369,IF($B$265=$B$3326,HS3369,IF($B$265=$B$3327,HU3369,IF($B$265=$B$3328,HW3369,IF($B$265=$B$3329,HY3369,""))))))))))))))))))))))))))))))))))))))))))))))))))))</f>
        <v/>
      </c>
      <c r="EH3369" t="str">
        <f>EH3363</f>
        <v>Carol Crews</v>
      </c>
      <c r="EI3369" s="473" t="s">
        <v>3294</v>
      </c>
    </row>
    <row r="3370" spans="1:143" ht="14.5" hidden="1" x14ac:dyDescent="0.35">
      <c r="A3370" s="814"/>
      <c r="B3370" s="69" t="str">
        <f>CONCATENATE(B3359,D$3360)</f>
        <v xml:space="preserve">no, I don't need to notify any Contact person: </v>
      </c>
      <c r="BS3370" s="464" t="str">
        <f>IF($B$265=B$3278,BZ3369,IF($B$265=B$3279,CA3369,IF($B$265=B$3280,CB3369,IF($B$265=B$3281,CC3369,IF($B$265=B$3282,CD3369,IF($B$265=B$3283,CE3369,IF($B$265=B$3284,CF3369,IF($B$265=B$3285,CG3369,IF($B$265=B$3286,CH3369,IF($B$265=B$3287,CI3369,IF($B$265=B$3288,CJ3369,IF($B$265=B$3289,CK3369,IF($B$265=B$3290,CL3369,IF($B$265=B$3291,CM3369,IF($B$265=B$3292,CN3369,IF($B$265=B$3293,#REF!,IF($B$265=B$3294,CO3369,IF($B$265=B$3295,CP3369,IF($B$265=B$3296,CQ3369,IF($B$265=B$3297,CR3369,IF($B$265=B$3298,CS3369,IF($B$265=B$3299,CT3369,IF(B$265=B$3300,CU3369,IF($B$265=B$3301,CV3369,IF($B$265=B$3302,CW3369,IF($B$265=B$3303,CX3369,IF($B$265=B$3304,CY3369,IF($B$265=B$3305,CZ3369,IF($B$265=B$3306,DA3369,IF($B$265=B$3307,DB3369,IF($B$265=B$3308,DC3369,IF($B$265=B$3309,DD3369,IF($B$265=B$3310,DE3369,IF($B$265=B$3311,DF3369,IF($B$265=B$3312,DG3369,IF($B$265=B$3313,DH3369,IF($B$265=B$3314,DI3369,IF($B$265=B$3315,DJ3369,IF($B$265=B$3316,DK3369,IF($B$265=B$3317,DL3369,IF($B$265=B$3318,DM3369,IF($B$265=B$3319,DN3369,IF($B$265=B$3320,DO3369,IF($B$265=B$3321,DP3369,IF($B$265=B$3322,DQ3369,IF($B$265=B$3323,DR3369,IF($B$265=B$3324,DS3369,IF($B$265=B$3325,DT3369,IF($B$265=B$3326,DU3369,IF($B$265=B$3327,DV3369,IF($B$265=B$3328,DW3369,IF($B$265=B$3329,DX3369,""))))))))))))))))))))))))))))))))))))))))))))))))))))</f>
        <v/>
      </c>
      <c r="BZ3370" s="245" t="s">
        <v>885</v>
      </c>
      <c r="CA3370" s="245" t="s">
        <v>885</v>
      </c>
      <c r="CC3370" t="s">
        <v>1495</v>
      </c>
      <c r="CD3370" s="459" t="s">
        <v>885</v>
      </c>
      <c r="CE3370" s="459" t="s">
        <v>885</v>
      </c>
      <c r="CF3370" s="245" t="s">
        <v>885</v>
      </c>
      <c r="CG3370" s="245" t="s">
        <v>885</v>
      </c>
      <c r="CH3370" s="245" t="s">
        <v>885</v>
      </c>
      <c r="CI3370" s="245" t="s">
        <v>885</v>
      </c>
      <c r="CJ3370" t="s">
        <v>1807</v>
      </c>
      <c r="CK3370" s="459" t="s">
        <v>885</v>
      </c>
      <c r="CL3370" s="459" t="s">
        <v>885</v>
      </c>
      <c r="CM3370" t="s">
        <v>1938</v>
      </c>
      <c r="CN3370" t="s">
        <v>1573</v>
      </c>
      <c r="CO3370" t="s">
        <v>1739</v>
      </c>
      <c r="CP3370" t="s">
        <v>2081</v>
      </c>
      <c r="CQ3370" t="s">
        <v>2019</v>
      </c>
      <c r="CR3370" s="459" t="s">
        <v>885</v>
      </c>
      <c r="CS3370" s="459" t="s">
        <v>885</v>
      </c>
      <c r="CT3370" s="245" t="s">
        <v>885</v>
      </c>
      <c r="CU3370" t="s">
        <v>2308</v>
      </c>
      <c r="CV3370" t="s">
        <v>2365</v>
      </c>
      <c r="CW3370" t="s">
        <v>2409</v>
      </c>
      <c r="CX3370" t="s">
        <v>2433</v>
      </c>
      <c r="CY3370" s="459" t="s">
        <v>885</v>
      </c>
      <c r="CZ3370" t="s">
        <v>1567</v>
      </c>
      <c r="DA3370" s="459" t="s">
        <v>885</v>
      </c>
      <c r="DB3370" s="459" t="s">
        <v>885</v>
      </c>
      <c r="DC3370" s="459" t="s">
        <v>885</v>
      </c>
      <c r="DD3370" s="459" t="s">
        <v>885</v>
      </c>
      <c r="DE3370" s="459" t="s">
        <v>885</v>
      </c>
      <c r="DF3370" t="s">
        <v>2663</v>
      </c>
      <c r="DG3370" s="459" t="s">
        <v>885</v>
      </c>
      <c r="DH3370" t="s">
        <v>2738</v>
      </c>
      <c r="DI3370" t="s">
        <v>2783</v>
      </c>
      <c r="DJ3370" s="459" t="s">
        <v>885</v>
      </c>
      <c r="DK3370" s="459" t="s">
        <v>885</v>
      </c>
      <c r="DL3370" s="459" t="s">
        <v>885</v>
      </c>
      <c r="DM3370" s="459" t="s">
        <v>885</v>
      </c>
      <c r="DN3370" s="459" t="s">
        <v>885</v>
      </c>
      <c r="DO3370" t="s">
        <v>2924</v>
      </c>
      <c r="DP3370" t="s">
        <v>2979</v>
      </c>
      <c r="DQ3370" s="459" t="s">
        <v>885</v>
      </c>
      <c r="DR3370" s="459" t="s">
        <v>885</v>
      </c>
      <c r="DS3370" t="s">
        <v>2017</v>
      </c>
      <c r="DT3370" s="459" t="s">
        <v>885</v>
      </c>
      <c r="DU3370" s="459" t="s">
        <v>885</v>
      </c>
      <c r="DV3370" t="s">
        <v>2744</v>
      </c>
      <c r="DW3370" s="245" t="s">
        <v>885</v>
      </c>
      <c r="DX3370" s="245" t="s">
        <v>885</v>
      </c>
      <c r="DY3370" s="245"/>
      <c r="DZ3370" s="470" t="str">
        <f>IF($B$265=$B$3278,EB3370,IF($B$265=$B$3279,ED3370,IF($B$265=$B$3280,EF3370,IF($B$265=$B$3281,EH3370,IF($B$265=$B$3282,EJ3370,IF($B$265=$B$3283,EL3370,IF($B$265=$B$3284,EN3370,IF($B$265=$B$3285,EP3370,IF($B$265=$B$3286,ER3370,IF($B$265=$B$3287,ET3370,IF($B$265=$B$3288,EV3370,IF($B$265=$B$3289,EX3370,IF($B$265=$B$3290,EZ3370,IF($B$265=$B$3291,FB3370,IF($B$265=$B$3292,FD3370,IF($B$265=$B$3293,BU3370,IF($B$265=$B$3294,FF3370,IF($B$265=$B$3295,FH3370,IF($B$265=$B$3296,FJ3370,IF($B$265=$B$3297,FL3370,IF($B$265=$B$3298,FN3370,IF($B$265=$B$3299,FP3370,IF(BI$265=$B$3300,FR3370,IF($B$265=$B$3301,FT3370,IF($B$265=$B$3302,FV3370,IF($B$265=$B$3303,FX3370,IF($B$265=$B$3304,FZ3370,IF($B$265=$B$3305,GB3370,IF($B$265=$B$3306,GD3370,IF($B$265=$B$3307,GF3370,IF($B$265=$B$3308,GH3370,IF($B$265=$B$3309,GJ3370,IF($B$265=$B$3310,GL3370,IF($B$265=$B$3311,GN3370,IF($B$265=$B$3312,GP3370,IF($B$265=$B$3313,GR3370,IF($B$265=$B$3314,GT3370,IF($B$265=$B$3315,GV3370,IF($B$265=$B$3316,GX3370,IF($B$265=$B$3317,GZ3370,IF($B$265=$B$3318,HB3370,IF($B$265=$B$3319,HD3370,IF($B$265=$B$3320,HF3370,IF($B$265=$B$3321,HH3370,IF($B$265=$B$3322,HJ3370,IF($B$265=$B$3323,HL3370,IF($B$265=$B$3324,HN3370,IF($B$265=$B$3325,HP3370,IF($B$265=$B$3326,HR3370,IF($B$265=$B$3327,HT3370,IF($B$265=$B$3328,HV3370,IF($B$265=$B$3329,HX3370,""))))))))))))))))))))))))))))))))))))))))))))))))))))</f>
        <v/>
      </c>
      <c r="EA3370" s="470" t="str">
        <f>IF($B$265=$B$3278,EC3370,IF($B$265=$B$3279,EE3370,IF($B$265=$B$3280,EG3370,IF($B$265=$B$3281,EI3370,IF($B$265=$B$3282,EK3370,IF($B$265=$B$3283,EM3370,IF($B$265=$B$3284,EO3370,IF($B$265=$B$3285,EQ3370,IF($B$265=$B$3286,ES3370,IF($B$265=$B$3287,EU3370,IF($B$265=$B$3288,EW3370,IF($B$265=$B$3289,EY3370,IF($B$265=$B$3290,FA3370,IF($B$265=$B$3291,FC3370,IF($B$265=$B$3292,FE3370,IF($B$265=$B$3293,BK3370,IF($B$265=$B$3294,FG3370,IF($B$265=$B$3295,FI3370,IF($B$265=$B$3296,FK3370,IF($B$265=$B$3297,FM3370,IF($B$265=$B$3298,FO3370,IF($B$265=$B$3299,FQ3370,IF(BJ$265=$B$3300,FS3370,IF($B$265=$B$3301,FU3370,IF($B$265=$B$3302,FW3370,IF($B$265=$B$3303,FY3370,IF($B$265=$B$3304,GA3370,IF($B$265=$B$3305,GC3370,IF($B$265=$B$3306,GE3370,IF($B$265=$B$3307,GG3370,IF($B$265=$B$3308,GI3370,IF($B$265=$B$3309,GK3370,IF($B$265=$B$3310,GM3370,IF($B$265=$B$3311,GO3370,IF($B$265=$B$3312,GQ3370,IF($B$265=$B$3313,GS3370,IF($B$265=$B$3314,GU3370,IF($B$265=$B$3315,GW3370,IF($B$265=$B$3316,GY3370,IF($B$265=$B$3317,HA3370,IF($B$265=$B$3318,HC3370,IF($B$265=$B$3319,HE3370,IF($B$265=$B$3320,HG3370,IF($B$265=$B$3321,HI3370,IF($B$265=$B$3322,HK3370,IF($B$265=$B$3323,HM3370,IF($B$265=$B$3324,HO3370,IF($B$265=$B$3325,HQ3370,IF($B$265=$B$3326,HS3370,IF($B$265=$B$3327,HU3370,IF($B$265=$B$3328,HW3370,IF($B$265=$B$3329,HY3370,""))))))))))))))))))))))))))))))))))))))))))))))))))))</f>
        <v/>
      </c>
      <c r="EH3370" t="str">
        <f>EH3321</f>
        <v>Matt Durrett</v>
      </c>
      <c r="EI3370" s="473" t="s">
        <v>3294</v>
      </c>
    </row>
    <row r="3371" spans="1:143" ht="14.5" hidden="1" x14ac:dyDescent="0.35">
      <c r="A3371" s="814"/>
      <c r="B3371" s="69" t="str">
        <f>CONCATENATE(B3360,D$3360)</f>
        <v xml:space="preserve">I have not yet decided if needing to notify any Contact person: </v>
      </c>
      <c r="BS3371" s="464" t="str">
        <f>IF($B$265=B$3278,BZ3370,IF($B$265=B$3279,CA3370,IF($B$265=B$3280,CB3370,IF($B$265=B$3281,CC3370,IF($B$265=B$3282,CD3370,IF($B$265=B$3283,CE3370,IF($B$265=B$3284,CF3370,IF($B$265=B$3285,CG3370,IF($B$265=B$3286,CH3370,IF($B$265=B$3287,CI3370,IF($B$265=B$3288,CJ3370,IF($B$265=B$3289,CK3370,IF($B$265=B$3290,CL3370,IF($B$265=B$3291,CM3370,IF($B$265=B$3292,CN3370,IF($B$265=B$3293,#REF!,IF($B$265=B$3294,CO3370,IF($B$265=B$3295,CP3370,IF($B$265=B$3296,CQ3370,IF($B$265=B$3297,CR3370,IF($B$265=B$3298,CS3370,IF($B$265=B$3299,CT3370,IF(B$265=B$3300,CU3370,IF($B$265=B$3301,CV3370,IF($B$265=B$3302,CW3370,IF($B$265=B$3303,CX3370,IF($B$265=B$3304,CY3370,IF($B$265=B$3305,CZ3370,IF($B$265=B$3306,DA3370,IF($B$265=B$3307,DB3370,IF($B$265=B$3308,DC3370,IF($B$265=B$3309,DD3370,IF($B$265=B$3310,DE3370,IF($B$265=B$3311,DF3370,IF($B$265=B$3312,DG3370,IF($B$265=B$3313,DH3370,IF($B$265=B$3314,DI3370,IF($B$265=B$3315,DJ3370,IF($B$265=B$3316,DK3370,IF($B$265=B$3317,DL3370,IF($B$265=B$3318,DM3370,IF($B$265=B$3319,DN3370,IF($B$265=B$3320,DO3370,IF($B$265=B$3321,DP3370,IF($B$265=B$3322,DQ3370,IF($B$265=B$3323,DR3370,IF($B$265=B$3324,DS3370,IF($B$265=B$3325,DT3370,IF($B$265=B$3326,DU3370,IF($B$265=B$3327,DV3370,IF($B$265=B$3328,DW3370,IF($B$265=B$3329,DX3370,""))))))))))))))))))))))))))))))))))))))))))))))))))))</f>
        <v/>
      </c>
      <c r="BZ3371" s="245" t="s">
        <v>885</v>
      </c>
      <c r="CA3371" s="245" t="s">
        <v>885</v>
      </c>
      <c r="CC3371" t="s">
        <v>1581</v>
      </c>
      <c r="CD3371" s="459" t="s">
        <v>885</v>
      </c>
      <c r="CE3371" s="459" t="s">
        <v>885</v>
      </c>
      <c r="CF3371" s="245" t="s">
        <v>885</v>
      </c>
      <c r="CG3371" s="245" t="s">
        <v>885</v>
      </c>
      <c r="CH3371" s="245" t="s">
        <v>885</v>
      </c>
      <c r="CI3371" s="245" t="s">
        <v>885</v>
      </c>
      <c r="CJ3371" t="s">
        <v>1808</v>
      </c>
      <c r="CK3371" s="459" t="s">
        <v>885</v>
      </c>
      <c r="CL3371" s="459" t="s">
        <v>885</v>
      </c>
      <c r="CM3371" t="s">
        <v>1483</v>
      </c>
      <c r="CN3371" t="s">
        <v>1489</v>
      </c>
      <c r="CO3371" t="s">
        <v>2025</v>
      </c>
      <c r="CP3371" t="s">
        <v>2082</v>
      </c>
      <c r="CQ3371" t="s">
        <v>2142</v>
      </c>
      <c r="CR3371" s="459" t="s">
        <v>885</v>
      </c>
      <c r="CS3371" s="459" t="s">
        <v>885</v>
      </c>
      <c r="CT3371" s="245" t="s">
        <v>885</v>
      </c>
      <c r="CU3371" t="s">
        <v>2309</v>
      </c>
      <c r="CV3371" t="s">
        <v>2366</v>
      </c>
      <c r="CW3371" t="s">
        <v>1579</v>
      </c>
      <c r="CX3371" t="s">
        <v>1563</v>
      </c>
      <c r="CY3371" s="459" t="s">
        <v>885</v>
      </c>
      <c r="CZ3371" t="s">
        <v>2524</v>
      </c>
      <c r="DA3371" s="459" t="s">
        <v>885</v>
      </c>
      <c r="DB3371" s="459" t="s">
        <v>885</v>
      </c>
      <c r="DC3371" s="459" t="s">
        <v>885</v>
      </c>
      <c r="DD3371" s="459" t="s">
        <v>885</v>
      </c>
      <c r="DE3371" s="459" t="s">
        <v>885</v>
      </c>
      <c r="DF3371" t="s">
        <v>2664</v>
      </c>
      <c r="DG3371" s="459" t="s">
        <v>885</v>
      </c>
      <c r="DH3371" t="s">
        <v>2739</v>
      </c>
      <c r="DI3371" t="s">
        <v>2784</v>
      </c>
      <c r="DJ3371" s="459" t="s">
        <v>885</v>
      </c>
      <c r="DK3371" s="459" t="s">
        <v>885</v>
      </c>
      <c r="DL3371" s="459" t="s">
        <v>885</v>
      </c>
      <c r="DM3371" s="459" t="s">
        <v>885</v>
      </c>
      <c r="DN3371" s="459" t="s">
        <v>885</v>
      </c>
      <c r="DO3371" t="s">
        <v>2925</v>
      </c>
      <c r="DP3371" t="s">
        <v>2980</v>
      </c>
      <c r="DQ3371" s="459" t="s">
        <v>885</v>
      </c>
      <c r="DR3371" s="459" t="s">
        <v>885</v>
      </c>
      <c r="DS3371" t="s">
        <v>3160</v>
      </c>
      <c r="DT3371" s="459" t="s">
        <v>885</v>
      </c>
      <c r="DU3371" s="459" t="s">
        <v>885</v>
      </c>
      <c r="DV3371" s="459" t="s">
        <v>885</v>
      </c>
      <c r="DW3371" s="245" t="s">
        <v>885</v>
      </c>
      <c r="DX3371" s="245" t="s">
        <v>885</v>
      </c>
      <c r="DY3371" s="245"/>
      <c r="DZ3371" s="470" t="str">
        <f>IF($B$265=$B$3278,EB3371,IF($B$265=$B$3279,ED3371,IF($B$265=$B$3280,EF3371,IF($B$265=$B$3281,EH3371,IF($B$265=$B$3282,EJ3371,IF($B$265=$B$3283,EL3371,IF($B$265=$B$3284,EN3371,IF($B$265=$B$3285,EP3371,IF($B$265=$B$3286,ER3371,IF($B$265=$B$3287,ET3371,IF($B$265=$B$3288,EV3371,IF($B$265=$B$3289,EX3371,IF($B$265=$B$3290,EZ3371,IF($B$265=$B$3291,FB3371,IF($B$265=$B$3292,FD3371,IF($B$265=$B$3293,BU3371,IF($B$265=$B$3294,FF3371,IF($B$265=$B$3295,FH3371,IF($B$265=$B$3296,FJ3371,IF($B$265=$B$3297,FL3371,IF($B$265=$B$3298,FN3371,IF($B$265=$B$3299,FP3371,IF(BI$265=$B$3300,FR3371,IF($B$265=$B$3301,FT3371,IF($B$265=$B$3302,FV3371,IF($B$265=$B$3303,FX3371,IF($B$265=$B$3304,FZ3371,IF($B$265=$B$3305,GB3371,IF($B$265=$B$3306,GD3371,IF($B$265=$B$3307,GF3371,IF($B$265=$B$3308,GH3371,IF($B$265=$B$3309,GJ3371,IF($B$265=$B$3310,GL3371,IF($B$265=$B$3311,GN3371,IF($B$265=$B$3312,GP3371,IF($B$265=$B$3313,GR3371,IF($B$265=$B$3314,GT3371,IF($B$265=$B$3315,GV3371,IF($B$265=$B$3316,GX3371,IF($B$265=$B$3317,GZ3371,IF($B$265=$B$3318,HB3371,IF($B$265=$B$3319,HD3371,IF($B$265=$B$3320,HF3371,IF($B$265=$B$3321,HH3371,IF($B$265=$B$3322,HJ3371,IF($B$265=$B$3323,HL3371,IF($B$265=$B$3324,HN3371,IF($B$265=$B$3325,HP3371,IF($B$265=$B$3326,HR3371,IF($B$265=$B$3327,HT3371,IF($B$265=$B$3328,HV3371,IF($B$265=$B$3329,HX3371,""))))))))))))))))))))))))))))))))))))))))))))))))))))</f>
        <v/>
      </c>
      <c r="EA3371" s="470" t="str">
        <f>IF($B$265=$B$3278,EC3371,IF($B$265=$B$3279,EE3371,IF($B$265=$B$3280,EG3371,IF($B$265=$B$3281,EI3371,IF($B$265=$B$3282,EK3371,IF($B$265=$B$3283,EM3371,IF($B$265=$B$3284,EO3371,IF($B$265=$B$3285,EQ3371,IF($B$265=$B$3286,ES3371,IF($B$265=$B$3287,EU3371,IF($B$265=$B$3288,EW3371,IF($B$265=$B$3289,EY3371,IF($B$265=$B$3290,FA3371,IF($B$265=$B$3291,FC3371,IF($B$265=$B$3292,FE3371,IF($B$265=$B$3293,BK3371,IF($B$265=$B$3294,FG3371,IF($B$265=$B$3295,FI3371,IF($B$265=$B$3296,FK3371,IF($B$265=$B$3297,FM3371,IF($B$265=$B$3298,FO3371,IF($B$265=$B$3299,FQ3371,IF(BJ$265=$B$3300,FS3371,IF($B$265=$B$3301,FU3371,IF($B$265=$B$3302,FW3371,IF($B$265=$B$3303,FY3371,IF($B$265=$B$3304,GA3371,IF($B$265=$B$3305,GC3371,IF($B$265=$B$3306,GE3371,IF($B$265=$B$3307,GG3371,IF($B$265=$B$3308,GI3371,IF($B$265=$B$3309,GK3371,IF($B$265=$B$3310,GM3371,IF($B$265=$B$3311,GO3371,IF($B$265=$B$3312,GQ3371,IF($B$265=$B$3313,GS3371,IF($B$265=$B$3314,GU3371,IF($B$265=$B$3315,GW3371,IF($B$265=$B$3316,GY3371,IF($B$265=$B$3317,HA3371,IF($B$265=$B$3318,HC3371,IF($B$265=$B$3319,HE3371,IF($B$265=$B$3320,HG3371,IF($B$265=$B$3321,HI3371,IF($B$265=$B$3322,HK3371,IF($B$265=$B$3323,HM3371,IF($B$265=$B$3324,HO3371,IF($B$265=$B$3325,HQ3371,IF($B$265=$B$3326,HS3371,IF($B$265=$B$3327,HU3371,IF($B$265=$B$3328,HW3371,IF($B$265=$B$3329,HY3371,""))))))))))))))))))))))))))))))))))))))))))))))))))))</f>
        <v/>
      </c>
      <c r="EH3371" t="str">
        <f>EH3357</f>
        <v>Rebecca Reed McCoy</v>
      </c>
      <c r="EI3371" s="473" t="s">
        <v>3294</v>
      </c>
    </row>
    <row r="3372" spans="1:143" ht="14.5" hidden="1" x14ac:dyDescent="0.35">
      <c r="A3372" s="814"/>
      <c r="B3372" s="69" t="str">
        <f>CONCATENATE(B3361,D$3360)</f>
        <v xml:space="preserve">yes, but I'll let you know when I need to notifiy any Contact person: </v>
      </c>
      <c r="BS3372" s="464" t="str">
        <f>IF($B$265=B$3278,BZ3371,IF($B$265=B$3279,CA3371,IF($B$265=B$3280,CB3371,IF($B$265=B$3281,CC3371,IF($B$265=B$3282,CD3371,IF($B$265=B$3283,CE3371,IF($B$265=B$3284,CF3371,IF($B$265=B$3285,CG3371,IF($B$265=B$3286,CH3371,IF($B$265=B$3287,CI3371,IF($B$265=B$3288,CJ3371,IF($B$265=B$3289,CK3371,IF($B$265=B$3290,CL3371,IF($B$265=B$3291,CM3371,IF($B$265=B$3292,CN3371,IF($B$265=B$3293,#REF!,IF($B$265=B$3294,CO3371,IF($B$265=B$3295,CP3371,IF($B$265=B$3296,CQ3371,IF($B$265=B$3297,CR3371,IF($B$265=B$3298,CS3371,IF($B$265=B$3299,CT3371,IF(B$265=B$3300,CU3371,IF($B$265=B$3301,CV3371,IF($B$265=B$3302,CW3371,IF($B$265=B$3303,CX3371,IF($B$265=B$3304,CY3371,IF($B$265=B$3305,CZ3371,IF($B$265=B$3306,DA3371,IF($B$265=B$3307,DB3371,IF($B$265=B$3308,DC3371,IF($B$265=B$3309,DD3371,IF($B$265=B$3310,DE3371,IF($B$265=B$3311,DF3371,IF($B$265=B$3312,DG3371,IF($B$265=B$3313,DH3371,IF($B$265=B$3314,DI3371,IF($B$265=B$3315,DJ3371,IF($B$265=B$3316,DK3371,IF($B$265=B$3317,DL3371,IF($B$265=B$3318,DM3371,IF($B$265=B$3319,DN3371,IF($B$265=B$3320,DO3371,IF($B$265=B$3321,DP3371,IF($B$265=B$3322,DQ3371,IF($B$265=B$3323,DR3371,IF($B$265=B$3324,DS3371,IF($B$265=B$3325,DT3371,IF($B$265=B$3326,DU3371,IF($B$265=B$3327,DV3371,IF($B$265=B$3328,DW3371,IF($B$265=B$3329,DX3371,""))))))))))))))))))))))))))))))))))))))))))))))))))))</f>
        <v/>
      </c>
      <c r="BZ3372" s="245" t="s">
        <v>885</v>
      </c>
      <c r="CA3372" s="245" t="s">
        <v>885</v>
      </c>
      <c r="CC3372" t="s">
        <v>1582</v>
      </c>
      <c r="CD3372" s="459" t="s">
        <v>885</v>
      </c>
      <c r="CE3372" s="459" t="s">
        <v>885</v>
      </c>
      <c r="CF3372" s="245" t="s">
        <v>885</v>
      </c>
      <c r="CG3372" s="245" t="s">
        <v>885</v>
      </c>
      <c r="CH3372" s="245" t="s">
        <v>885</v>
      </c>
      <c r="CI3372" s="245" t="s">
        <v>885</v>
      </c>
      <c r="CJ3372" t="s">
        <v>1809</v>
      </c>
      <c r="CK3372" s="459" t="s">
        <v>885</v>
      </c>
      <c r="CL3372" s="459" t="s">
        <v>885</v>
      </c>
      <c r="CM3372" t="s">
        <v>1939</v>
      </c>
      <c r="CN3372" t="s">
        <v>1982</v>
      </c>
      <c r="CO3372" t="s">
        <v>2026</v>
      </c>
      <c r="CP3372" t="s">
        <v>1565</v>
      </c>
      <c r="CQ3372" t="s">
        <v>2143</v>
      </c>
      <c r="CR3372" s="459" t="s">
        <v>885</v>
      </c>
      <c r="CS3372" s="459" t="s">
        <v>885</v>
      </c>
      <c r="CT3372" s="245" t="s">
        <v>885</v>
      </c>
      <c r="CU3372" t="s">
        <v>1488</v>
      </c>
      <c r="CV3372" t="s">
        <v>2367</v>
      </c>
      <c r="CW3372" t="s">
        <v>2410</v>
      </c>
      <c r="CX3372" t="s">
        <v>2434</v>
      </c>
      <c r="CY3372" s="459" t="s">
        <v>885</v>
      </c>
      <c r="CZ3372" t="s">
        <v>2525</v>
      </c>
      <c r="DA3372" s="459" t="s">
        <v>885</v>
      </c>
      <c r="DB3372" s="459" t="s">
        <v>885</v>
      </c>
      <c r="DC3372" s="459" t="s">
        <v>885</v>
      </c>
      <c r="DD3372" s="459" t="s">
        <v>885</v>
      </c>
      <c r="DE3372" s="459" t="s">
        <v>885</v>
      </c>
      <c r="DF3372" t="s">
        <v>2665</v>
      </c>
      <c r="DG3372" s="459" t="s">
        <v>885</v>
      </c>
      <c r="DH3372" t="s">
        <v>2609</v>
      </c>
      <c r="DI3372" t="s">
        <v>1495</v>
      </c>
      <c r="DJ3372" s="459" t="s">
        <v>885</v>
      </c>
      <c r="DK3372" s="459" t="s">
        <v>885</v>
      </c>
      <c r="DL3372" s="459" t="s">
        <v>885</v>
      </c>
      <c r="DM3372" s="459" t="s">
        <v>885</v>
      </c>
      <c r="DN3372" s="459" t="s">
        <v>885</v>
      </c>
      <c r="DO3372" t="s">
        <v>2154</v>
      </c>
      <c r="DP3372" t="s">
        <v>1794</v>
      </c>
      <c r="DQ3372" s="459" t="s">
        <v>885</v>
      </c>
      <c r="DR3372" s="459" t="s">
        <v>885</v>
      </c>
      <c r="DS3372" t="s">
        <v>3161</v>
      </c>
      <c r="DT3372" s="459" t="s">
        <v>885</v>
      </c>
      <c r="DU3372" s="459" t="s">
        <v>885</v>
      </c>
      <c r="DV3372" s="459" t="s">
        <v>885</v>
      </c>
      <c r="DW3372" s="245" t="s">
        <v>885</v>
      </c>
      <c r="DX3372" s="245" t="s">
        <v>885</v>
      </c>
      <c r="DY3372" s="245"/>
      <c r="DZ3372" s="470" t="str">
        <f>IF($B$265=$B$3278,EB3372,IF($B$265=$B$3279,ED3372,IF($B$265=$B$3280,EF3372,IF($B$265=$B$3281,EH3372,IF($B$265=$B$3282,EJ3372,IF($B$265=$B$3283,EL3372,IF($B$265=$B$3284,EN3372,IF($B$265=$B$3285,EP3372,IF($B$265=$B$3286,ER3372,IF($B$265=$B$3287,ET3372,IF($B$265=$B$3288,EV3372,IF($B$265=$B$3289,EX3372,IF($B$265=$B$3290,EZ3372,IF($B$265=$B$3291,FB3372,IF($B$265=$B$3292,FD3372,IF($B$265=$B$3293,BU3372,IF($B$265=$B$3294,FF3372,IF($B$265=$B$3295,FH3372,IF($B$265=$B$3296,FJ3372,IF($B$265=$B$3297,FL3372,IF($B$265=$B$3298,FN3372,IF($B$265=$B$3299,FP3372,IF(BI$265=$B$3300,FR3372,IF($B$265=$B$3301,FT3372,IF($B$265=$B$3302,FV3372,IF($B$265=$B$3303,FX3372,IF($B$265=$B$3304,FZ3372,IF($B$265=$B$3305,GB3372,IF($B$265=$B$3306,GD3372,IF($B$265=$B$3307,GF3372,IF($B$265=$B$3308,GH3372,IF($B$265=$B$3309,GJ3372,IF($B$265=$B$3310,GL3372,IF($B$265=$B$3311,GN3372,IF($B$265=$B$3312,GP3372,IF($B$265=$B$3313,GR3372,IF($B$265=$B$3314,GT3372,IF($B$265=$B$3315,GV3372,IF($B$265=$B$3316,GX3372,IF($B$265=$B$3317,GZ3372,IF($B$265=$B$3318,HB3372,IF($B$265=$B$3319,HD3372,IF($B$265=$B$3320,HF3372,IF($B$265=$B$3321,HH3372,IF($B$265=$B$3322,HJ3372,IF($B$265=$B$3323,HL3372,IF($B$265=$B$3324,HN3372,IF($B$265=$B$3325,HP3372,IF($B$265=$B$3326,HR3372,IF($B$265=$B$3327,HT3372,IF($B$265=$B$3328,HV3372,IF($B$265=$B$3329,HX3372,""))))))))))))))))))))))))))))))))))))))))))))))))))))</f>
        <v/>
      </c>
      <c r="EA3372" s="470" t="str">
        <f>IF($B$265=$B$3278,EC3372,IF($B$265=$B$3279,EE3372,IF($B$265=$B$3280,EG3372,IF($B$265=$B$3281,EI3372,IF($B$265=$B$3282,EK3372,IF($B$265=$B$3283,EM3372,IF($B$265=$B$3284,EO3372,IF($B$265=$B$3285,EQ3372,IF($B$265=$B$3286,ES3372,IF($B$265=$B$3287,EU3372,IF($B$265=$B$3288,EW3372,IF($B$265=$B$3289,EY3372,IF($B$265=$B$3290,FA3372,IF($B$265=$B$3291,FC3372,IF($B$265=$B$3292,FE3372,IF($B$265=$B$3293,BK3372,IF($B$265=$B$3294,FG3372,IF($B$265=$B$3295,FI3372,IF($B$265=$B$3296,FK3372,IF($B$265=$B$3297,FM3372,IF($B$265=$B$3298,FO3372,IF($B$265=$B$3299,FQ3372,IF(BJ$265=$B$3300,FS3372,IF($B$265=$B$3301,FU3372,IF($B$265=$B$3302,FW3372,IF($B$265=$B$3303,FY3372,IF($B$265=$B$3304,GA3372,IF($B$265=$B$3305,GC3372,IF($B$265=$B$3306,GE3372,IF($B$265=$B$3307,GG3372,IF($B$265=$B$3308,GI3372,IF($B$265=$B$3309,GK3372,IF($B$265=$B$3310,GM3372,IF($B$265=$B$3311,GO3372,IF($B$265=$B$3312,GQ3372,IF($B$265=$B$3313,GS3372,IF($B$265=$B$3314,GU3372,IF($B$265=$B$3315,GW3372,IF($B$265=$B$3316,GY3372,IF($B$265=$B$3317,HA3372,IF($B$265=$B$3318,HC3372,IF($B$265=$B$3319,HE3372,IF($B$265=$B$3320,HG3372,IF($B$265=$B$3321,HI3372,IF($B$265=$B$3322,HK3372,IF($B$265=$B$3323,HM3372,IF($B$265=$B$3324,HO3372,IF($B$265=$B$3325,HQ3372,IF($B$265=$B$3326,HS3372,IF($B$265=$B$3327,HU3372,IF($B$265=$B$3328,HW3372,IF($B$265=$B$3329,HY3372,""))))))))))))))))))))))))))))))))))))))))))))))))))))</f>
        <v/>
      </c>
      <c r="EH3372" t="str">
        <f>EH3360</f>
        <v>Todd Murray</v>
      </c>
      <c r="EI3372" s="473" t="s">
        <v>3294</v>
      </c>
    </row>
    <row r="3373" spans="1:143" ht="14.5" hidden="1" x14ac:dyDescent="0.35">
      <c r="A3373" s="814"/>
      <c r="B3373" s="69" t="str">
        <f>CONCATENATE(B3362,D$3360)</f>
        <v xml:space="preserve">yes, I need you to immediately notify Contact person: </v>
      </c>
      <c r="BS3373" s="464" t="str">
        <f>IF($B$265=B$3278,BZ3372,IF($B$265=B$3279,CA3372,IF($B$265=B$3280,CB3372,IF($B$265=B$3281,CC3372,IF($B$265=B$3282,CD3372,IF($B$265=B$3283,CE3372,IF($B$265=B$3284,CF3372,IF($B$265=B$3285,CG3372,IF($B$265=B$3286,CH3372,IF($B$265=B$3287,CI3372,IF($B$265=B$3288,CJ3372,IF($B$265=B$3289,CK3372,IF($B$265=B$3290,CL3372,IF($B$265=B$3291,CM3372,IF($B$265=B$3292,CN3372,IF($B$265=B$3293,#REF!,IF($B$265=B$3294,CO3372,IF($B$265=B$3295,CP3372,IF($B$265=B$3296,CQ3372,IF($B$265=B$3297,CR3372,IF($B$265=B$3298,CS3372,IF($B$265=B$3299,CT3372,IF(B$265=B$3300,CU3372,IF($B$265=B$3301,CV3372,IF($B$265=B$3302,CW3372,IF($B$265=B$3303,CX3372,IF($B$265=B$3304,CY3372,IF($B$265=B$3305,CZ3372,IF($B$265=B$3306,DA3372,IF($B$265=B$3307,DB3372,IF($B$265=B$3308,DC3372,IF($B$265=B$3309,DD3372,IF($B$265=B$3310,DE3372,IF($B$265=B$3311,DF3372,IF($B$265=B$3312,DG3372,IF($B$265=B$3313,DH3372,IF($B$265=B$3314,DI3372,IF($B$265=B$3315,DJ3372,IF($B$265=B$3316,DK3372,IF($B$265=B$3317,DL3372,IF($B$265=B$3318,DM3372,IF($B$265=B$3319,DN3372,IF($B$265=B$3320,DO3372,IF($B$265=B$3321,DP3372,IF($B$265=B$3322,DQ3372,IF($B$265=B$3323,DR3372,IF($B$265=B$3324,DS3372,IF($B$265=B$3325,DT3372,IF($B$265=B$3326,DU3372,IF($B$265=B$3327,DV3372,IF($B$265=B$3328,DW3372,IF($B$265=B$3329,DX3372,""))))))))))))))))))))))))))))))))))))))))))))))))))))</f>
        <v/>
      </c>
      <c r="BZ3373" s="245" t="s">
        <v>885</v>
      </c>
      <c r="CA3373" s="245" t="s">
        <v>885</v>
      </c>
      <c r="CC3373" t="s">
        <v>1583</v>
      </c>
      <c r="CD3373" s="459" t="s">
        <v>885</v>
      </c>
      <c r="CE3373" s="459" t="s">
        <v>885</v>
      </c>
      <c r="CF3373" s="245" t="s">
        <v>885</v>
      </c>
      <c r="CG3373" s="245" t="s">
        <v>885</v>
      </c>
      <c r="CH3373" s="245" t="s">
        <v>885</v>
      </c>
      <c r="CI3373" s="245" t="s">
        <v>885</v>
      </c>
      <c r="CJ3373" t="s">
        <v>1464</v>
      </c>
      <c r="CK3373" s="459" t="s">
        <v>885</v>
      </c>
      <c r="CL3373" s="459" t="s">
        <v>885</v>
      </c>
      <c r="CM3373" t="s">
        <v>1485</v>
      </c>
      <c r="CN3373" t="s">
        <v>1983</v>
      </c>
      <c r="CO3373" t="s">
        <v>2027</v>
      </c>
      <c r="CP3373" t="s">
        <v>2083</v>
      </c>
      <c r="CQ3373" t="s">
        <v>1933</v>
      </c>
      <c r="CR3373" s="459" t="s">
        <v>885</v>
      </c>
      <c r="CS3373" s="459" t="s">
        <v>885</v>
      </c>
      <c r="CT3373" s="245" t="s">
        <v>885</v>
      </c>
      <c r="CU3373" t="s">
        <v>1981</v>
      </c>
      <c r="CV3373" t="s">
        <v>2098</v>
      </c>
      <c r="CW3373" t="s">
        <v>1854</v>
      </c>
      <c r="CX3373" t="s">
        <v>2435</v>
      </c>
      <c r="CY3373" s="459" t="s">
        <v>885</v>
      </c>
      <c r="CZ3373" t="s">
        <v>2361</v>
      </c>
      <c r="DA3373" s="459" t="s">
        <v>885</v>
      </c>
      <c r="DB3373" s="459" t="s">
        <v>885</v>
      </c>
      <c r="DC3373" s="459" t="s">
        <v>885</v>
      </c>
      <c r="DD3373" s="459" t="s">
        <v>885</v>
      </c>
      <c r="DE3373" s="459" t="s">
        <v>885</v>
      </c>
      <c r="DF3373" t="s">
        <v>1567</v>
      </c>
      <c r="DG3373" s="459" t="s">
        <v>885</v>
      </c>
      <c r="DH3373" t="s">
        <v>1489</v>
      </c>
      <c r="DI3373" t="s">
        <v>2785</v>
      </c>
      <c r="DJ3373" s="459" t="s">
        <v>885</v>
      </c>
      <c r="DK3373" s="459" t="s">
        <v>885</v>
      </c>
      <c r="DL3373" s="459" t="s">
        <v>885</v>
      </c>
      <c r="DM3373" s="459" t="s">
        <v>885</v>
      </c>
      <c r="DN3373" s="459" t="s">
        <v>885</v>
      </c>
      <c r="DO3373" t="s">
        <v>2667</v>
      </c>
      <c r="DP3373" t="s">
        <v>1459</v>
      </c>
      <c r="DQ3373" s="459" t="s">
        <v>885</v>
      </c>
      <c r="DR3373" s="459" t="s">
        <v>885</v>
      </c>
      <c r="DS3373" t="s">
        <v>1475</v>
      </c>
      <c r="DT3373" s="459" t="s">
        <v>885</v>
      </c>
      <c r="DU3373" s="459" t="s">
        <v>885</v>
      </c>
      <c r="DV3373" s="459" t="s">
        <v>885</v>
      </c>
      <c r="DW3373" s="245" t="s">
        <v>885</v>
      </c>
      <c r="DX3373" s="245" t="s">
        <v>885</v>
      </c>
      <c r="DY3373" s="245"/>
      <c r="DZ3373" s="470" t="str">
        <f>IF($B$265=$B$3278,EB3373,IF($B$265=$B$3279,ED3373,IF($B$265=$B$3280,EF3373,IF($B$265=$B$3281,EH3373,IF($B$265=$B$3282,EJ3373,IF($B$265=$B$3283,EL3373,IF($B$265=$B$3284,EN3373,IF($B$265=$B$3285,EP3373,IF($B$265=$B$3286,ER3373,IF($B$265=$B$3287,ET3373,IF($B$265=$B$3288,EV3373,IF($B$265=$B$3289,EX3373,IF($B$265=$B$3290,EZ3373,IF($B$265=$B$3291,FB3373,IF($B$265=$B$3292,FD3373,IF($B$265=$B$3293,BU3373,IF($B$265=$B$3294,FF3373,IF($B$265=$B$3295,FH3373,IF($B$265=$B$3296,FJ3373,IF($B$265=$B$3297,FL3373,IF($B$265=$B$3298,FN3373,IF($B$265=$B$3299,FP3373,IF(BI$265=$B$3300,FR3373,IF($B$265=$B$3301,FT3373,IF($B$265=$B$3302,FV3373,IF($B$265=$B$3303,FX3373,IF($B$265=$B$3304,FZ3373,IF($B$265=$B$3305,GB3373,IF($B$265=$B$3306,GD3373,IF($B$265=$B$3307,GF3373,IF($B$265=$B$3308,GH3373,IF($B$265=$B$3309,GJ3373,IF($B$265=$B$3310,GL3373,IF($B$265=$B$3311,GN3373,IF($B$265=$B$3312,GP3373,IF($B$265=$B$3313,GR3373,IF($B$265=$B$3314,GT3373,IF($B$265=$B$3315,GV3373,IF($B$265=$B$3316,GX3373,IF($B$265=$B$3317,GZ3373,IF($B$265=$B$3318,HB3373,IF($B$265=$B$3319,HD3373,IF($B$265=$B$3320,HF3373,IF($B$265=$B$3321,HH3373,IF($B$265=$B$3322,HJ3373,IF($B$265=$B$3323,HL3373,IF($B$265=$B$3324,HN3373,IF($B$265=$B$3325,HP3373,IF($B$265=$B$3326,HR3373,IF($B$265=$B$3327,HT3373,IF($B$265=$B$3328,HV3373,IF($B$265=$B$3329,HX3373,""))))))))))))))))))))))))))))))))))))))))))))))))))))</f>
        <v/>
      </c>
      <c r="EA3373" s="470" t="str">
        <f>IF($B$265=$B$3278,EC3373,IF($B$265=$B$3279,EE3373,IF($B$265=$B$3280,EG3373,IF($B$265=$B$3281,EI3373,IF($B$265=$B$3282,EK3373,IF($B$265=$B$3283,EM3373,IF($B$265=$B$3284,EO3373,IF($B$265=$B$3285,EQ3373,IF($B$265=$B$3286,ES3373,IF($B$265=$B$3287,EU3373,IF($B$265=$B$3288,EW3373,IF($B$265=$B$3289,EY3373,IF($B$265=$B$3290,FA3373,IF($B$265=$B$3291,FC3373,IF($B$265=$B$3292,FE3373,IF($B$265=$B$3293,BK3373,IF($B$265=$B$3294,FG3373,IF($B$265=$B$3295,FI3373,IF($B$265=$B$3296,FK3373,IF($B$265=$B$3297,FM3373,IF($B$265=$B$3298,FO3373,IF($B$265=$B$3299,FQ3373,IF(BJ$265=$B$3300,FS3373,IF($B$265=$B$3301,FU3373,IF($B$265=$B$3302,FW3373,IF($B$265=$B$3303,FY3373,IF($B$265=$B$3304,GA3373,IF($B$265=$B$3305,GC3373,IF($B$265=$B$3306,GE3373,IF($B$265=$B$3307,GG3373,IF($B$265=$B$3308,GI3373,IF($B$265=$B$3309,GK3373,IF($B$265=$B$3310,GM3373,IF($B$265=$B$3311,GO3373,IF($B$265=$B$3312,GQ3373,IF($B$265=$B$3313,GS3373,IF($B$265=$B$3314,GU3373,IF($B$265=$B$3315,GW3373,IF($B$265=$B$3316,GY3373,IF($B$265=$B$3317,HA3373,IF($B$265=$B$3318,HC3373,IF($B$265=$B$3319,HE3373,IF($B$265=$B$3320,HG3373,IF($B$265=$B$3321,HI3373,IF($B$265=$B$3322,HK3373,IF($B$265=$B$3323,HM3373,IF($B$265=$B$3324,HO3373,IF($B$265=$B$3325,HQ3373,IF($B$265=$B$3326,HS3373,IF($B$265=$B$3327,HU3373,IF($B$265=$B$3328,HW3373,IF($B$265=$B$3329,HY3373,""))))))))))))))))))))))))))))))))))))))))))))))))))))</f>
        <v/>
      </c>
      <c r="EH3373" t="str">
        <f>EH3362</f>
        <v>Tom Tatum II</v>
      </c>
      <c r="EI3373" s="473" t="s">
        <v>3294</v>
      </c>
    </row>
    <row r="3374" spans="1:143" ht="14.5" hidden="1" x14ac:dyDescent="0.35">
      <c r="A3374" s="814"/>
      <c r="B3374" s="69"/>
      <c r="BS3374" s="464" t="str">
        <f>IF($B$265=B$3278,BZ3373,IF($B$265=B$3279,CA3373,IF($B$265=B$3280,CB3373,IF($B$265=B$3281,CC3373,IF($B$265=B$3282,CD3373,IF($B$265=B$3283,CE3373,IF($B$265=B$3284,CF3373,IF($B$265=B$3285,CG3373,IF($B$265=B$3286,CH3373,IF($B$265=B$3287,CI3373,IF($B$265=B$3288,CJ3373,IF($B$265=B$3289,CK3373,IF($B$265=B$3290,CL3373,IF($B$265=B$3291,CM3373,IF($B$265=B$3292,CN3373,IF($B$265=B$3293,#REF!,IF($B$265=B$3294,CO3373,IF($B$265=B$3295,CP3373,IF($B$265=B$3296,CQ3373,IF($B$265=B$3297,CR3373,IF($B$265=B$3298,CS3373,IF($B$265=B$3299,CT3373,IF(B$265=B$3300,CU3373,IF($B$265=B$3301,CV3373,IF($B$265=B$3302,CW3373,IF($B$265=B$3303,CX3373,IF($B$265=B$3304,CY3373,IF($B$265=B$3305,CZ3373,IF($B$265=B$3306,DA3373,IF($B$265=B$3307,DB3373,IF($B$265=B$3308,DC3373,IF($B$265=B$3309,DD3373,IF($B$265=B$3310,DE3373,IF($B$265=B$3311,DF3373,IF($B$265=B$3312,DG3373,IF($B$265=B$3313,DH3373,IF($B$265=B$3314,DI3373,IF($B$265=B$3315,DJ3373,IF($B$265=B$3316,DK3373,IF($B$265=B$3317,DL3373,IF($B$265=B$3318,DM3373,IF($B$265=B$3319,DN3373,IF($B$265=B$3320,DO3373,IF($B$265=B$3321,DP3373,IF($B$265=B$3322,DQ3373,IF($B$265=B$3323,DR3373,IF($B$265=B$3324,DS3373,IF($B$265=B$3325,DT3373,IF($B$265=B$3326,DU3373,IF($B$265=B$3327,DV3373,IF($B$265=B$3328,DW3373,IF($B$265=B$3329,DX3373,""))))))))))))))))))))))))))))))))))))))))))))))))))))</f>
        <v/>
      </c>
      <c r="BZ3374" s="245" t="s">
        <v>885</v>
      </c>
      <c r="CA3374" s="245" t="s">
        <v>885</v>
      </c>
      <c r="CC3374" s="245" t="s">
        <v>885</v>
      </c>
      <c r="CD3374" s="459" t="s">
        <v>885</v>
      </c>
      <c r="CE3374" s="459" t="s">
        <v>885</v>
      </c>
      <c r="CF3374" s="245" t="s">
        <v>885</v>
      </c>
      <c r="CG3374" s="245" t="s">
        <v>885</v>
      </c>
      <c r="CH3374" s="245" t="s">
        <v>885</v>
      </c>
      <c r="CI3374" s="245" t="s">
        <v>885</v>
      </c>
      <c r="CJ3374" t="s">
        <v>1465</v>
      </c>
      <c r="CK3374" s="459" t="s">
        <v>885</v>
      </c>
      <c r="CL3374" s="459" t="s">
        <v>885</v>
      </c>
      <c r="CM3374" t="s">
        <v>1568</v>
      </c>
      <c r="CN3374" t="s">
        <v>1984</v>
      </c>
      <c r="CO3374" t="s">
        <v>2028</v>
      </c>
      <c r="CP3374" t="s">
        <v>2084</v>
      </c>
      <c r="CQ3374" t="s">
        <v>1475</v>
      </c>
      <c r="CR3374" s="459" t="s">
        <v>885</v>
      </c>
      <c r="CS3374" s="459" t="s">
        <v>885</v>
      </c>
      <c r="CT3374" s="245" t="s">
        <v>885</v>
      </c>
      <c r="CU3374" t="s">
        <v>2310</v>
      </c>
      <c r="CV3374" t="s">
        <v>2368</v>
      </c>
      <c r="CW3374" t="s">
        <v>1495</v>
      </c>
      <c r="CX3374" t="s">
        <v>2079</v>
      </c>
      <c r="CY3374" s="459" t="s">
        <v>885</v>
      </c>
      <c r="CZ3374" t="s">
        <v>1572</v>
      </c>
      <c r="DA3374" s="459" t="s">
        <v>885</v>
      </c>
      <c r="DB3374" s="459" t="s">
        <v>885</v>
      </c>
      <c r="DC3374" s="459" t="s">
        <v>885</v>
      </c>
      <c r="DD3374" s="459" t="s">
        <v>885</v>
      </c>
      <c r="DE3374" s="459" t="s">
        <v>885</v>
      </c>
      <c r="DF3374" t="s">
        <v>1486</v>
      </c>
      <c r="DG3374" s="459" t="s">
        <v>885</v>
      </c>
      <c r="DH3374" t="s">
        <v>1944</v>
      </c>
      <c r="DI3374" t="s">
        <v>2786</v>
      </c>
      <c r="DJ3374" s="459" t="s">
        <v>885</v>
      </c>
      <c r="DK3374" s="459" t="s">
        <v>885</v>
      </c>
      <c r="DL3374" s="459" t="s">
        <v>885</v>
      </c>
      <c r="DM3374" s="459" t="s">
        <v>885</v>
      </c>
      <c r="DN3374" s="459" t="s">
        <v>885</v>
      </c>
      <c r="DO3374" t="s">
        <v>1573</v>
      </c>
      <c r="DP3374" t="s">
        <v>2981</v>
      </c>
      <c r="DQ3374" s="459" t="s">
        <v>885</v>
      </c>
      <c r="DR3374" s="459" t="s">
        <v>885</v>
      </c>
      <c r="DS3374" t="s">
        <v>3162</v>
      </c>
      <c r="DT3374" s="459" t="s">
        <v>885</v>
      </c>
      <c r="DU3374" s="459" t="s">
        <v>885</v>
      </c>
      <c r="DV3374" s="459" t="s">
        <v>885</v>
      </c>
      <c r="DW3374" s="245" t="s">
        <v>885</v>
      </c>
      <c r="DX3374" s="245" t="s">
        <v>885</v>
      </c>
      <c r="DY3374" s="245"/>
      <c r="DZ3374" s="470" t="str">
        <f>IF($B$265=$B$3278,EB3374,IF($B$265=$B$3279,ED3374,IF($B$265=$B$3280,EF3374,IF($B$265=$B$3281,EH3374,IF($B$265=$B$3282,EJ3374,IF($B$265=$B$3283,EL3374,IF($B$265=$B$3284,EN3374,IF($B$265=$B$3285,EP3374,IF($B$265=$B$3286,ER3374,IF($B$265=$B$3287,ET3374,IF($B$265=$B$3288,EV3374,IF($B$265=$B$3289,EX3374,IF($B$265=$B$3290,EZ3374,IF($B$265=$B$3291,FB3374,IF($B$265=$B$3292,FD3374,IF($B$265=$B$3293,BU3374,IF($B$265=$B$3294,FF3374,IF($B$265=$B$3295,FH3374,IF($B$265=$B$3296,FJ3374,IF($B$265=$B$3297,FL3374,IF($B$265=$B$3298,FN3374,IF($B$265=$B$3299,FP3374,IF(BI$265=$B$3300,FR3374,IF($B$265=$B$3301,FT3374,IF($B$265=$B$3302,FV3374,IF($B$265=$B$3303,FX3374,IF($B$265=$B$3304,FZ3374,IF($B$265=$B$3305,GB3374,IF($B$265=$B$3306,GD3374,IF($B$265=$B$3307,GF3374,IF($B$265=$B$3308,GH3374,IF($B$265=$B$3309,GJ3374,IF($B$265=$B$3310,GL3374,IF($B$265=$B$3311,GN3374,IF($B$265=$B$3312,GP3374,IF($B$265=$B$3313,GR3374,IF($B$265=$B$3314,GT3374,IF($B$265=$B$3315,GV3374,IF($B$265=$B$3316,GX3374,IF($B$265=$B$3317,GZ3374,IF($B$265=$B$3318,HB3374,IF($B$265=$B$3319,HD3374,IF($B$265=$B$3320,HF3374,IF($B$265=$B$3321,HH3374,IF($B$265=$B$3322,HJ3374,IF($B$265=$B$3323,HL3374,IF($B$265=$B$3324,HN3374,IF($B$265=$B$3325,HP3374,IF($B$265=$B$3326,HR3374,IF($B$265=$B$3327,HT3374,IF($B$265=$B$3328,HV3374,IF($B$265=$B$3329,HX3374,""))))))))))))))))))))))))))))))))))))))))))))))))))))</f>
        <v/>
      </c>
      <c r="EA3374" s="470" t="str">
        <f>IF($B$265=$B$3278,EC3374,IF($B$265=$B$3279,EE3374,IF($B$265=$B$3280,EG3374,IF($B$265=$B$3281,EI3374,IF($B$265=$B$3282,EK3374,IF($B$265=$B$3283,EM3374,IF($B$265=$B$3284,EO3374,IF($B$265=$B$3285,EQ3374,IF($B$265=$B$3286,ES3374,IF($B$265=$B$3287,EU3374,IF($B$265=$B$3288,EW3374,IF($B$265=$B$3289,EY3374,IF($B$265=$B$3290,FA3374,IF($B$265=$B$3291,FC3374,IF($B$265=$B$3292,FE3374,IF($B$265=$B$3293,BK3374,IF($B$265=$B$3294,FG3374,IF($B$265=$B$3295,FI3374,IF($B$265=$B$3296,FK3374,IF($B$265=$B$3297,FM3374,IF($B$265=$B$3298,FO3374,IF($B$265=$B$3299,FQ3374,IF(BJ$265=$B$3300,FS3374,IF($B$265=$B$3301,FU3374,IF($B$265=$B$3302,FW3374,IF($B$265=$B$3303,FY3374,IF($B$265=$B$3304,GA3374,IF($B$265=$B$3305,GC3374,IF($B$265=$B$3306,GE3374,IF($B$265=$B$3307,GG3374,IF($B$265=$B$3308,GI3374,IF($B$265=$B$3309,GK3374,IF($B$265=$B$3310,GM3374,IF($B$265=$B$3311,GO3374,IF($B$265=$B$3312,GQ3374,IF($B$265=$B$3313,GS3374,IF($B$265=$B$3314,GU3374,IF($B$265=$B$3315,GW3374,IF($B$265=$B$3316,GY3374,IF($B$265=$B$3317,HA3374,IF($B$265=$B$3318,HC3374,IF($B$265=$B$3319,HE3374,IF($B$265=$B$3320,HG3374,IF($B$265=$B$3321,HI3374,IF($B$265=$B$3322,HK3374,IF($B$265=$B$3323,HM3374,IF($B$265=$B$3324,HO3374,IF($B$265=$B$3325,HQ3374,IF($B$265=$B$3326,HS3374,IF($B$265=$B$3327,HU3374,IF($B$265=$B$3328,HW3374,IF($B$265=$B$3329,HY3374,""))))))))))))))))))))))))))))))))))))))))))))))))))))</f>
        <v/>
      </c>
    </row>
    <row r="3375" spans="1:143" ht="14.5" hidden="1" x14ac:dyDescent="0.35">
      <c r="A3375" s="814"/>
      <c r="B3375" s="69" t="str">
        <f>CONCATENATE(B3359,D$3361)</f>
        <v xml:space="preserve">no, I don't need to notify any Email address: </v>
      </c>
      <c r="BB3375" s="48"/>
      <c r="BS3375" s="464" t="str">
        <f>IF($B$265=B$3278,BZ3374,IF($B$265=B$3279,CA3374,IF($B$265=B$3280,CB3374,IF($B$265=B$3281,CC3374,IF($B$265=B$3282,CD3374,IF($B$265=B$3283,CE3374,IF($B$265=B$3284,CF3374,IF($B$265=B$3285,CG3374,IF($B$265=B$3286,CH3374,IF($B$265=B$3287,CI3374,IF($B$265=B$3288,CJ3374,IF($B$265=B$3289,CK3374,IF($B$265=B$3290,CL3374,IF($B$265=B$3291,CM3374,IF($B$265=B$3292,CN3374,IF($B$265=B$3293,#REF!,IF($B$265=B$3294,CO3374,IF($B$265=B$3295,CP3374,IF($B$265=B$3296,CQ3374,IF($B$265=B$3297,CR3374,IF($B$265=B$3298,CS3374,IF($B$265=B$3299,CT3374,IF(B$265=B$3300,CU3374,IF($B$265=B$3301,CV3374,IF($B$265=B$3302,CW3374,IF($B$265=B$3303,CX3374,IF($B$265=B$3304,CY3374,IF($B$265=B$3305,CZ3374,IF($B$265=B$3306,DA3374,IF($B$265=B$3307,DB3374,IF($B$265=B$3308,DC3374,IF($B$265=B$3309,DD3374,IF($B$265=B$3310,DE3374,IF($B$265=B$3311,DF3374,IF($B$265=B$3312,DG3374,IF($B$265=B$3313,DH3374,IF($B$265=B$3314,DI3374,IF($B$265=B$3315,DJ3374,IF($B$265=B$3316,DK3374,IF($B$265=B$3317,DL3374,IF($B$265=B$3318,DM3374,IF($B$265=B$3319,DN3374,IF($B$265=B$3320,DO3374,IF($B$265=B$3321,DP3374,IF($B$265=B$3322,DQ3374,IF($B$265=B$3323,DR3374,IF($B$265=B$3324,DS3374,IF($B$265=B$3325,DT3374,IF($B$265=B$3326,DU3374,IF($B$265=B$3327,DV3374,IF($B$265=B$3328,DW3374,IF($B$265=B$3329,DX3374,""))))))))))))))))))))))))))))))))))))))))))))))))))))</f>
        <v/>
      </c>
      <c r="BZ3375" s="245" t="s">
        <v>885</v>
      </c>
      <c r="CA3375" s="245" t="s">
        <v>885</v>
      </c>
      <c r="CC3375" s="245" t="s">
        <v>885</v>
      </c>
      <c r="CD3375" s="459" t="s">
        <v>885</v>
      </c>
      <c r="CE3375" s="459" t="s">
        <v>885</v>
      </c>
      <c r="CF3375" s="245" t="s">
        <v>885</v>
      </c>
      <c r="CG3375" s="245" t="s">
        <v>885</v>
      </c>
      <c r="CH3375" s="245" t="s">
        <v>885</v>
      </c>
      <c r="CI3375" s="245" t="s">
        <v>885</v>
      </c>
      <c r="CJ3375" t="s">
        <v>1810</v>
      </c>
      <c r="CK3375" s="459" t="s">
        <v>885</v>
      </c>
      <c r="CL3375" s="459" t="s">
        <v>885</v>
      </c>
      <c r="CM3375" t="s">
        <v>1570</v>
      </c>
      <c r="CN3375" t="s">
        <v>1985</v>
      </c>
      <c r="CO3375" t="s">
        <v>1567</v>
      </c>
      <c r="CP3375" t="s">
        <v>2085</v>
      </c>
      <c r="CQ3375" t="s">
        <v>2144</v>
      </c>
      <c r="CR3375" s="459" t="s">
        <v>885</v>
      </c>
      <c r="CS3375" s="459" t="s">
        <v>885</v>
      </c>
      <c r="CT3375" s="245" t="s">
        <v>885</v>
      </c>
      <c r="CU3375" t="s">
        <v>2311</v>
      </c>
      <c r="CV3375" t="s">
        <v>2158</v>
      </c>
      <c r="CW3375" t="s">
        <v>1855</v>
      </c>
      <c r="CX3375" t="s">
        <v>2436</v>
      </c>
      <c r="CY3375" s="459" t="s">
        <v>885</v>
      </c>
      <c r="CZ3375" t="s">
        <v>2526</v>
      </c>
      <c r="DA3375" s="459" t="s">
        <v>885</v>
      </c>
      <c r="DB3375" s="459" t="s">
        <v>885</v>
      </c>
      <c r="DC3375" s="459" t="s">
        <v>885</v>
      </c>
      <c r="DD3375" s="459" t="s">
        <v>885</v>
      </c>
      <c r="DE3375" s="459" t="s">
        <v>885</v>
      </c>
      <c r="DF3375" t="s">
        <v>1832</v>
      </c>
      <c r="DG3375" s="459" t="s">
        <v>885</v>
      </c>
      <c r="DH3375" t="s">
        <v>1692</v>
      </c>
      <c r="DI3375" t="s">
        <v>2787</v>
      </c>
      <c r="DJ3375" s="459" t="s">
        <v>885</v>
      </c>
      <c r="DK3375" s="459" t="s">
        <v>885</v>
      </c>
      <c r="DL3375" s="459" t="s">
        <v>885</v>
      </c>
      <c r="DM3375" s="459" t="s">
        <v>885</v>
      </c>
      <c r="DN3375" s="459" t="s">
        <v>885</v>
      </c>
      <c r="DO3375" t="s">
        <v>2926</v>
      </c>
      <c r="DP3375" t="s">
        <v>1795</v>
      </c>
      <c r="DQ3375" s="459" t="s">
        <v>885</v>
      </c>
      <c r="DR3375" s="459" t="s">
        <v>885</v>
      </c>
      <c r="DS3375" t="s">
        <v>3163</v>
      </c>
      <c r="DT3375" s="459" t="s">
        <v>885</v>
      </c>
      <c r="DU3375" s="459" t="s">
        <v>885</v>
      </c>
      <c r="DV3375" s="459" t="s">
        <v>885</v>
      </c>
      <c r="DW3375" s="245" t="s">
        <v>885</v>
      </c>
      <c r="DX3375" s="245" t="s">
        <v>885</v>
      </c>
      <c r="DY3375" s="245"/>
      <c r="DZ3375" s="470" t="str">
        <f>IF($B$265=$B$3278,EB3375,IF($B$265=$B$3279,ED3375,IF($B$265=$B$3280,EF3375,IF($B$265=$B$3281,EH3375,IF($B$265=$B$3282,EJ3375,IF($B$265=$B$3283,EL3375,IF($B$265=$B$3284,EN3375,IF($B$265=$B$3285,EP3375,IF($B$265=$B$3286,ER3375,IF($B$265=$B$3287,ET3375,IF($B$265=$B$3288,EV3375,IF($B$265=$B$3289,EX3375,IF($B$265=$B$3290,EZ3375,IF($B$265=$B$3291,FB3375,IF($B$265=$B$3292,FD3375,IF($B$265=$B$3293,BU3375,IF($B$265=$B$3294,FF3375,IF($B$265=$B$3295,FH3375,IF($B$265=$B$3296,FJ3375,IF($B$265=$B$3297,FL3375,IF($B$265=$B$3298,FN3375,IF($B$265=$B$3299,FP3375,IF(BI$265=$B$3300,FR3375,IF($B$265=$B$3301,FT3375,IF($B$265=$B$3302,FV3375,IF($B$265=$B$3303,FX3375,IF($B$265=$B$3304,FZ3375,IF($B$265=$B$3305,GB3375,IF($B$265=$B$3306,GD3375,IF($B$265=$B$3307,GF3375,IF($B$265=$B$3308,GH3375,IF($B$265=$B$3309,GJ3375,IF($B$265=$B$3310,GL3375,IF($B$265=$B$3311,GN3375,IF($B$265=$B$3312,GP3375,IF($B$265=$B$3313,GR3375,IF($B$265=$B$3314,GT3375,IF($B$265=$B$3315,GV3375,IF($B$265=$B$3316,GX3375,IF($B$265=$B$3317,GZ3375,IF($B$265=$B$3318,HB3375,IF($B$265=$B$3319,HD3375,IF($B$265=$B$3320,HF3375,IF($B$265=$B$3321,HH3375,IF($B$265=$B$3322,HJ3375,IF($B$265=$B$3323,HL3375,IF($B$265=$B$3324,HN3375,IF($B$265=$B$3325,HP3375,IF($B$265=$B$3326,HR3375,IF($B$265=$B$3327,HT3375,IF($B$265=$B$3328,HV3375,IF($B$265=$B$3329,HX3375,""))))))))))))))))))))))))))))))))))))))))))))))))))))</f>
        <v/>
      </c>
      <c r="EA3375" s="470" t="str">
        <f>IF($B$265=$B$3278,EC3375,IF($B$265=$B$3279,EE3375,IF($B$265=$B$3280,EG3375,IF($B$265=$B$3281,EI3375,IF($B$265=$B$3282,EK3375,IF($B$265=$B$3283,EM3375,IF($B$265=$B$3284,EO3375,IF($B$265=$B$3285,EQ3375,IF($B$265=$B$3286,ES3375,IF($B$265=$B$3287,EU3375,IF($B$265=$B$3288,EW3375,IF($B$265=$B$3289,EY3375,IF($B$265=$B$3290,FA3375,IF($B$265=$B$3291,FC3375,IF($B$265=$B$3292,FE3375,IF($B$265=$B$3293,BK3375,IF($B$265=$B$3294,FG3375,IF($B$265=$B$3295,FI3375,IF($B$265=$B$3296,FK3375,IF($B$265=$B$3297,FM3375,IF($B$265=$B$3298,FO3375,IF($B$265=$B$3299,FQ3375,IF(BJ$265=$B$3300,FS3375,IF($B$265=$B$3301,FU3375,IF($B$265=$B$3302,FW3375,IF($B$265=$B$3303,FY3375,IF($B$265=$B$3304,GA3375,IF($B$265=$B$3305,GC3375,IF($B$265=$B$3306,GE3375,IF($B$265=$B$3307,GG3375,IF($B$265=$B$3308,GI3375,IF($B$265=$B$3309,GK3375,IF($B$265=$B$3310,GM3375,IF($B$265=$B$3311,GO3375,IF($B$265=$B$3312,GQ3375,IF($B$265=$B$3313,GS3375,IF($B$265=$B$3314,GU3375,IF($B$265=$B$3315,GW3375,IF($B$265=$B$3316,GY3375,IF($B$265=$B$3317,HA3375,IF($B$265=$B$3318,HC3375,IF($B$265=$B$3319,HE3375,IF($B$265=$B$3320,HG3375,IF($B$265=$B$3321,HI3375,IF($B$265=$B$3322,HK3375,IF($B$265=$B$3323,HM3375,IF($B$265=$B$3324,HO3375,IF($B$265=$B$3325,HQ3375,IF($B$265=$B$3326,HS3375,IF($B$265=$B$3327,HU3375,IF($B$265=$B$3328,HW3375,IF($B$265=$B$3329,HY3375,""))))))))))))))))))))))))))))))))))))))))))))))))))))</f>
        <v/>
      </c>
    </row>
    <row r="3376" spans="1:143" ht="14.5" hidden="1" x14ac:dyDescent="0.35">
      <c r="A3376" s="814"/>
      <c r="B3376" s="69" t="str">
        <f>CONCATENATE(B3360,D$3361)</f>
        <v xml:space="preserve">I have not yet decided if needing to notify any Email address: </v>
      </c>
      <c r="BB3376" s="48"/>
      <c r="BS3376" s="464" t="str">
        <f>IF($B$265=B$3278,BZ3375,IF($B$265=B$3279,CA3375,IF($B$265=B$3280,CB3375,IF($B$265=B$3281,CC3375,IF($B$265=B$3282,CD3375,IF($B$265=B$3283,CE3375,IF($B$265=B$3284,CF3375,IF($B$265=B$3285,CG3375,IF($B$265=B$3286,CH3375,IF($B$265=B$3287,CI3375,IF($B$265=B$3288,CJ3375,IF($B$265=B$3289,CK3375,IF($B$265=B$3290,CL3375,IF($B$265=B$3291,CM3375,IF($B$265=B$3292,CN3375,IF($B$265=B$3293,#REF!,IF($B$265=B$3294,CO3375,IF($B$265=B$3295,CP3375,IF($B$265=B$3296,CQ3375,IF($B$265=B$3297,CR3375,IF($B$265=B$3298,CS3375,IF($B$265=B$3299,CT3375,IF(B$265=B$3300,CU3375,IF($B$265=B$3301,CV3375,IF($B$265=B$3302,CW3375,IF($B$265=B$3303,CX3375,IF($B$265=B$3304,CY3375,IF($B$265=B$3305,CZ3375,IF($B$265=B$3306,DA3375,IF($B$265=B$3307,DB3375,IF($B$265=B$3308,DC3375,IF($B$265=B$3309,DD3375,IF($B$265=B$3310,DE3375,IF($B$265=B$3311,DF3375,IF($B$265=B$3312,DG3375,IF($B$265=B$3313,DH3375,IF($B$265=B$3314,DI3375,IF($B$265=B$3315,DJ3375,IF($B$265=B$3316,DK3375,IF($B$265=B$3317,DL3375,IF($B$265=B$3318,DM3375,IF($B$265=B$3319,DN3375,IF($B$265=B$3320,DO3375,IF($B$265=B$3321,DP3375,IF($B$265=B$3322,DQ3375,IF($B$265=B$3323,DR3375,IF($B$265=B$3324,DS3375,IF($B$265=B$3325,DT3375,IF($B$265=B$3326,DU3375,IF($B$265=B$3327,DV3375,IF($B$265=B$3328,DW3375,IF($B$265=B$3329,DX3375,""))))))))))))))))))))))))))))))))))))))))))))))))))))</f>
        <v/>
      </c>
      <c r="BZ3376" s="245" t="s">
        <v>885</v>
      </c>
      <c r="CA3376" s="245" t="s">
        <v>885</v>
      </c>
      <c r="CC3376" s="245" t="s">
        <v>885</v>
      </c>
      <c r="CD3376" s="459" t="s">
        <v>885</v>
      </c>
      <c r="CE3376" s="459" t="s">
        <v>885</v>
      </c>
      <c r="CF3376" s="245" t="s">
        <v>885</v>
      </c>
      <c r="CG3376" s="245" t="s">
        <v>885</v>
      </c>
      <c r="CH3376" s="245" t="s">
        <v>885</v>
      </c>
      <c r="CI3376" s="245" t="s">
        <v>885</v>
      </c>
      <c r="CJ3376" t="s">
        <v>1466</v>
      </c>
      <c r="CK3376" s="459" t="s">
        <v>885</v>
      </c>
      <c r="CL3376" s="459" t="s">
        <v>885</v>
      </c>
      <c r="CM3376" t="s">
        <v>1743</v>
      </c>
      <c r="CN3376" t="s">
        <v>1986</v>
      </c>
      <c r="CO3376" t="s">
        <v>2029</v>
      </c>
      <c r="CP3376" t="s">
        <v>2086</v>
      </c>
      <c r="CQ3376" t="s">
        <v>1477</v>
      </c>
      <c r="CR3376" s="459" t="s">
        <v>885</v>
      </c>
      <c r="CS3376" s="459" t="s">
        <v>885</v>
      </c>
      <c r="CT3376" s="245" t="s">
        <v>885</v>
      </c>
      <c r="CU3376" t="s">
        <v>2312</v>
      </c>
      <c r="CV3376" t="s">
        <v>2369</v>
      </c>
      <c r="CW3376" t="s">
        <v>1856</v>
      </c>
      <c r="CX3376" t="s">
        <v>2437</v>
      </c>
      <c r="CY3376" s="459" t="s">
        <v>885</v>
      </c>
      <c r="CZ3376" t="s">
        <v>2527</v>
      </c>
      <c r="DA3376" s="459" t="s">
        <v>885</v>
      </c>
      <c r="DB3376" s="459" t="s">
        <v>885</v>
      </c>
      <c r="DC3376" s="459" t="s">
        <v>885</v>
      </c>
      <c r="DD3376" s="459" t="s">
        <v>885</v>
      </c>
      <c r="DE3376" s="459" t="s">
        <v>885</v>
      </c>
      <c r="DF3376" t="s">
        <v>2666</v>
      </c>
      <c r="DG3376" s="459" t="s">
        <v>885</v>
      </c>
      <c r="DH3376" t="s">
        <v>2740</v>
      </c>
      <c r="DI3376" s="459" t="s">
        <v>885</v>
      </c>
      <c r="DJ3376" s="459" t="s">
        <v>885</v>
      </c>
      <c r="DK3376" s="459" t="s">
        <v>885</v>
      </c>
      <c r="DL3376" s="459" t="s">
        <v>885</v>
      </c>
      <c r="DM3376" s="459" t="s">
        <v>885</v>
      </c>
      <c r="DN3376" s="459" t="s">
        <v>885</v>
      </c>
      <c r="DO3376" t="s">
        <v>1576</v>
      </c>
      <c r="DP3376" t="s">
        <v>2982</v>
      </c>
      <c r="DQ3376" s="459" t="s">
        <v>885</v>
      </c>
      <c r="DR3376" s="459" t="s">
        <v>885</v>
      </c>
      <c r="DS3376" t="s">
        <v>3164</v>
      </c>
      <c r="DT3376" s="459" t="s">
        <v>885</v>
      </c>
      <c r="DU3376" s="459" t="s">
        <v>885</v>
      </c>
      <c r="DV3376" s="459" t="s">
        <v>885</v>
      </c>
      <c r="DW3376" s="245" t="s">
        <v>885</v>
      </c>
      <c r="DX3376" s="245" t="s">
        <v>885</v>
      </c>
      <c r="DY3376" s="245"/>
      <c r="DZ3376" s="470" t="str">
        <f>IF($B$265=$B$3278,EB3376,IF($B$265=$B$3279,ED3376,IF($B$265=$B$3280,EF3376,IF($B$265=$B$3281,EH3376,IF($B$265=$B$3282,EJ3376,IF($B$265=$B$3283,EL3376,IF($B$265=$B$3284,EN3376,IF($B$265=$B$3285,EP3376,IF($B$265=$B$3286,ER3376,IF($B$265=$B$3287,ET3376,IF($B$265=$B$3288,EV3376,IF($B$265=$B$3289,EX3376,IF($B$265=$B$3290,EZ3376,IF($B$265=$B$3291,FB3376,IF($B$265=$B$3292,FD3376,IF($B$265=$B$3293,BU3376,IF($B$265=$B$3294,FF3376,IF($B$265=$B$3295,FH3376,IF($B$265=$B$3296,FJ3376,IF($B$265=$B$3297,FL3376,IF($B$265=$B$3298,FN3376,IF($B$265=$B$3299,FP3376,IF(BI$265=$B$3300,FR3376,IF($B$265=$B$3301,FT3376,IF($B$265=$B$3302,FV3376,IF($B$265=$B$3303,FX3376,IF($B$265=$B$3304,FZ3376,IF($B$265=$B$3305,GB3376,IF($B$265=$B$3306,GD3376,IF($B$265=$B$3307,GF3376,IF($B$265=$B$3308,GH3376,IF($B$265=$B$3309,GJ3376,IF($B$265=$B$3310,GL3376,IF($B$265=$B$3311,GN3376,IF($B$265=$B$3312,GP3376,IF($B$265=$B$3313,GR3376,IF($B$265=$B$3314,GT3376,IF($B$265=$B$3315,GV3376,IF($B$265=$B$3316,GX3376,IF($B$265=$B$3317,GZ3376,IF($B$265=$B$3318,HB3376,IF($B$265=$B$3319,HD3376,IF($B$265=$B$3320,HF3376,IF($B$265=$B$3321,HH3376,IF($B$265=$B$3322,HJ3376,IF($B$265=$B$3323,HL3376,IF($B$265=$B$3324,HN3376,IF($B$265=$B$3325,HP3376,IF($B$265=$B$3326,HR3376,IF($B$265=$B$3327,HT3376,IF($B$265=$B$3328,HV3376,IF($B$265=$B$3329,HX3376,""))))))))))))))))))))))))))))))))))))))))))))))))))))</f>
        <v/>
      </c>
      <c r="EA3376" s="470" t="str">
        <f>IF($B$265=$B$3278,EC3376,IF($B$265=$B$3279,EE3376,IF($B$265=$B$3280,EG3376,IF($B$265=$B$3281,EI3376,IF($B$265=$B$3282,EK3376,IF($B$265=$B$3283,EM3376,IF($B$265=$B$3284,EO3376,IF($B$265=$B$3285,EQ3376,IF($B$265=$B$3286,ES3376,IF($B$265=$B$3287,EU3376,IF($B$265=$B$3288,EW3376,IF($B$265=$B$3289,EY3376,IF($B$265=$B$3290,FA3376,IF($B$265=$B$3291,FC3376,IF($B$265=$B$3292,FE3376,IF($B$265=$B$3293,BK3376,IF($B$265=$B$3294,FG3376,IF($B$265=$B$3295,FI3376,IF($B$265=$B$3296,FK3376,IF($B$265=$B$3297,FM3376,IF($B$265=$B$3298,FO3376,IF($B$265=$B$3299,FQ3376,IF(BJ$265=$B$3300,FS3376,IF($B$265=$B$3301,FU3376,IF($B$265=$B$3302,FW3376,IF($B$265=$B$3303,FY3376,IF($B$265=$B$3304,GA3376,IF($B$265=$B$3305,GC3376,IF($B$265=$B$3306,GE3376,IF($B$265=$B$3307,GG3376,IF($B$265=$B$3308,GI3376,IF($B$265=$B$3309,GK3376,IF($B$265=$B$3310,GM3376,IF($B$265=$B$3311,GO3376,IF($B$265=$B$3312,GQ3376,IF($B$265=$B$3313,GS3376,IF($B$265=$B$3314,GU3376,IF($B$265=$B$3315,GW3376,IF($B$265=$B$3316,GY3376,IF($B$265=$B$3317,HA3376,IF($B$265=$B$3318,HC3376,IF($B$265=$B$3319,HE3376,IF($B$265=$B$3320,HG3376,IF($B$265=$B$3321,HI3376,IF($B$265=$B$3322,HK3376,IF($B$265=$B$3323,HM3376,IF($B$265=$B$3324,HO3376,IF($B$265=$B$3325,HQ3376,IF($B$265=$B$3326,HS3376,IF($B$265=$B$3327,HU3376,IF($B$265=$B$3328,HW3376,IF($B$265=$B$3329,HY3376,""))))))))))))))))))))))))))))))))))))))))))))))))))))</f>
        <v/>
      </c>
    </row>
    <row r="3377" spans="1:131" ht="14.5" hidden="1" x14ac:dyDescent="0.35">
      <c r="A3377" s="814"/>
      <c r="B3377" s="69" t="str">
        <f>CONCATENATE(B3361,D$3361)</f>
        <v xml:space="preserve">yes, but I'll let you know when I need to notifiy any Email address: </v>
      </c>
      <c r="BB3377" s="48"/>
      <c r="BS3377" s="464" t="str">
        <f>IF($B$265=B$3278,BZ3376,IF($B$265=B$3279,CA3376,IF($B$265=B$3280,CB3376,IF($B$265=B$3281,CC3376,IF($B$265=B$3282,CD3376,IF($B$265=B$3283,CE3376,IF($B$265=B$3284,CF3376,IF($B$265=B$3285,CG3376,IF($B$265=B$3286,CH3376,IF($B$265=B$3287,CI3376,IF($B$265=B$3288,CJ3376,IF($B$265=B$3289,CK3376,IF($B$265=B$3290,CL3376,IF($B$265=B$3291,CM3376,IF($B$265=B$3292,CN3376,IF($B$265=B$3293,#REF!,IF($B$265=B$3294,CO3376,IF($B$265=B$3295,CP3376,IF($B$265=B$3296,CQ3376,IF($B$265=B$3297,CR3376,IF($B$265=B$3298,CS3376,IF($B$265=B$3299,CT3376,IF(B$265=B$3300,CU3376,IF($B$265=B$3301,CV3376,IF($B$265=B$3302,CW3376,IF($B$265=B$3303,CX3376,IF($B$265=B$3304,CY3376,IF($B$265=B$3305,CZ3376,IF($B$265=B$3306,DA3376,IF($B$265=B$3307,DB3376,IF($B$265=B$3308,DC3376,IF($B$265=B$3309,DD3376,IF($B$265=B$3310,DE3376,IF($B$265=B$3311,DF3376,IF($B$265=B$3312,DG3376,IF($B$265=B$3313,DH3376,IF($B$265=B$3314,DI3376,IF($B$265=B$3315,DJ3376,IF($B$265=B$3316,DK3376,IF($B$265=B$3317,DL3376,IF($B$265=B$3318,DM3376,IF($B$265=B$3319,DN3376,IF($B$265=B$3320,DO3376,IF($B$265=B$3321,DP3376,IF($B$265=B$3322,DQ3376,IF($B$265=B$3323,DR3376,IF($B$265=B$3324,DS3376,IF($B$265=B$3325,DT3376,IF($B$265=B$3326,DU3376,IF($B$265=B$3327,DV3376,IF($B$265=B$3328,DW3376,IF($B$265=B$3329,DX3376,""))))))))))))))))))))))))))))))))))))))))))))))))))))</f>
        <v/>
      </c>
      <c r="BZ3377" s="245" t="s">
        <v>885</v>
      </c>
      <c r="CA3377" s="245" t="s">
        <v>885</v>
      </c>
      <c r="CC3377" s="245" t="s">
        <v>885</v>
      </c>
      <c r="CD3377" s="459" t="s">
        <v>885</v>
      </c>
      <c r="CE3377" s="459" t="s">
        <v>885</v>
      </c>
      <c r="CF3377" s="245" t="s">
        <v>885</v>
      </c>
      <c r="CG3377" s="245" t="s">
        <v>885</v>
      </c>
      <c r="CH3377" s="245" t="s">
        <v>885</v>
      </c>
      <c r="CI3377" s="245" t="s">
        <v>885</v>
      </c>
      <c r="CJ3377" t="s">
        <v>1811</v>
      </c>
      <c r="CK3377" s="459" t="s">
        <v>885</v>
      </c>
      <c r="CL3377" s="459" t="s">
        <v>885</v>
      </c>
      <c r="CM3377" t="s">
        <v>1486</v>
      </c>
      <c r="CN3377" t="s">
        <v>1987</v>
      </c>
      <c r="CO3377" t="s">
        <v>2030</v>
      </c>
      <c r="CP3377" t="s">
        <v>2087</v>
      </c>
      <c r="CQ3377" t="s">
        <v>1478</v>
      </c>
      <c r="CR3377" s="459" t="s">
        <v>885</v>
      </c>
      <c r="CS3377" s="459" t="s">
        <v>885</v>
      </c>
      <c r="CT3377" s="245" t="s">
        <v>885</v>
      </c>
      <c r="CU3377" t="s">
        <v>2313</v>
      </c>
      <c r="CV3377" t="s">
        <v>2370</v>
      </c>
      <c r="CW3377" t="s">
        <v>1860</v>
      </c>
      <c r="CX3377" t="s">
        <v>1483</v>
      </c>
      <c r="CY3377" s="459" t="s">
        <v>885</v>
      </c>
      <c r="CZ3377" t="s">
        <v>2528</v>
      </c>
      <c r="DA3377" s="459" t="s">
        <v>885</v>
      </c>
      <c r="DB3377" s="459" t="s">
        <v>885</v>
      </c>
      <c r="DC3377" s="459" t="s">
        <v>885</v>
      </c>
      <c r="DD3377" s="459" t="s">
        <v>885</v>
      </c>
      <c r="DE3377" s="459" t="s">
        <v>885</v>
      </c>
      <c r="DF3377" t="s">
        <v>2548</v>
      </c>
      <c r="DG3377" s="459" t="s">
        <v>885</v>
      </c>
      <c r="DH3377" t="s">
        <v>2741</v>
      </c>
      <c r="DI3377" s="459" t="s">
        <v>885</v>
      </c>
      <c r="DJ3377" s="459" t="s">
        <v>885</v>
      </c>
      <c r="DK3377" s="459" t="s">
        <v>885</v>
      </c>
      <c r="DL3377" s="459" t="s">
        <v>885</v>
      </c>
      <c r="DM3377" s="459" t="s">
        <v>885</v>
      </c>
      <c r="DN3377" s="459" t="s">
        <v>885</v>
      </c>
      <c r="DO3377" t="s">
        <v>1489</v>
      </c>
      <c r="DP3377" t="s">
        <v>2983</v>
      </c>
      <c r="DQ3377" s="459" t="s">
        <v>885</v>
      </c>
      <c r="DR3377" s="459" t="s">
        <v>885</v>
      </c>
      <c r="DS3377" t="s">
        <v>3165</v>
      </c>
      <c r="DT3377" s="459" t="s">
        <v>885</v>
      </c>
      <c r="DU3377" s="459" t="s">
        <v>885</v>
      </c>
      <c r="DV3377" s="459" t="s">
        <v>885</v>
      </c>
      <c r="DW3377" s="245" t="s">
        <v>885</v>
      </c>
      <c r="DX3377" s="245" t="s">
        <v>885</v>
      </c>
      <c r="DY3377" s="245"/>
      <c r="DZ3377" s="470" t="str">
        <f>IF($B$265=$B$3278,EB3377,IF($B$265=$B$3279,ED3377,IF($B$265=$B$3280,EF3377,IF($B$265=$B$3281,EH3377,IF($B$265=$B$3282,EJ3377,IF($B$265=$B$3283,EL3377,IF($B$265=$B$3284,EN3377,IF($B$265=$B$3285,EP3377,IF($B$265=$B$3286,ER3377,IF($B$265=$B$3287,ET3377,IF($B$265=$B$3288,EV3377,IF($B$265=$B$3289,EX3377,IF($B$265=$B$3290,EZ3377,IF($B$265=$B$3291,FB3377,IF($B$265=$B$3292,FD3377,IF($B$265=$B$3293,BU3377,IF($B$265=$B$3294,FF3377,IF($B$265=$B$3295,FH3377,IF($B$265=$B$3296,FJ3377,IF($B$265=$B$3297,FL3377,IF($B$265=$B$3298,FN3377,IF($B$265=$B$3299,FP3377,IF(BI$265=$B$3300,FR3377,IF($B$265=$B$3301,FT3377,IF($B$265=$B$3302,FV3377,IF($B$265=$B$3303,FX3377,IF($B$265=$B$3304,FZ3377,IF($B$265=$B$3305,GB3377,IF($B$265=$B$3306,GD3377,IF($B$265=$B$3307,GF3377,IF($B$265=$B$3308,GH3377,IF($B$265=$B$3309,GJ3377,IF($B$265=$B$3310,GL3377,IF($B$265=$B$3311,GN3377,IF($B$265=$B$3312,GP3377,IF($B$265=$B$3313,GR3377,IF($B$265=$B$3314,GT3377,IF($B$265=$B$3315,GV3377,IF($B$265=$B$3316,GX3377,IF($B$265=$B$3317,GZ3377,IF($B$265=$B$3318,HB3377,IF($B$265=$B$3319,HD3377,IF($B$265=$B$3320,HF3377,IF($B$265=$B$3321,HH3377,IF($B$265=$B$3322,HJ3377,IF($B$265=$B$3323,HL3377,IF($B$265=$B$3324,HN3377,IF($B$265=$B$3325,HP3377,IF($B$265=$B$3326,HR3377,IF($B$265=$B$3327,HT3377,IF($B$265=$B$3328,HV3377,IF($B$265=$B$3329,HX3377,""))))))))))))))))))))))))))))))))))))))))))))))))))))</f>
        <v/>
      </c>
      <c r="EA3377" s="470" t="str">
        <f>IF($B$265=$B$3278,EC3377,IF($B$265=$B$3279,EE3377,IF($B$265=$B$3280,EG3377,IF($B$265=$B$3281,EI3377,IF($B$265=$B$3282,EK3377,IF($B$265=$B$3283,EM3377,IF($B$265=$B$3284,EO3377,IF($B$265=$B$3285,EQ3377,IF($B$265=$B$3286,ES3377,IF($B$265=$B$3287,EU3377,IF($B$265=$B$3288,EW3377,IF($B$265=$B$3289,EY3377,IF($B$265=$B$3290,FA3377,IF($B$265=$B$3291,FC3377,IF($B$265=$B$3292,FE3377,IF($B$265=$B$3293,BK3377,IF($B$265=$B$3294,FG3377,IF($B$265=$B$3295,FI3377,IF($B$265=$B$3296,FK3377,IF($B$265=$B$3297,FM3377,IF($B$265=$B$3298,FO3377,IF($B$265=$B$3299,FQ3377,IF(BJ$265=$B$3300,FS3377,IF($B$265=$B$3301,FU3377,IF($B$265=$B$3302,FW3377,IF($B$265=$B$3303,FY3377,IF($B$265=$B$3304,GA3377,IF($B$265=$B$3305,GC3377,IF($B$265=$B$3306,GE3377,IF($B$265=$B$3307,GG3377,IF($B$265=$B$3308,GI3377,IF($B$265=$B$3309,GK3377,IF($B$265=$B$3310,GM3377,IF($B$265=$B$3311,GO3377,IF($B$265=$B$3312,GQ3377,IF($B$265=$B$3313,GS3377,IF($B$265=$B$3314,GU3377,IF($B$265=$B$3315,GW3377,IF($B$265=$B$3316,GY3377,IF($B$265=$B$3317,HA3377,IF($B$265=$B$3318,HC3377,IF($B$265=$B$3319,HE3377,IF($B$265=$B$3320,HG3377,IF($B$265=$B$3321,HI3377,IF($B$265=$B$3322,HK3377,IF($B$265=$B$3323,HM3377,IF($B$265=$B$3324,HO3377,IF($B$265=$B$3325,HQ3377,IF($B$265=$B$3326,HS3377,IF($B$265=$B$3327,HU3377,IF($B$265=$B$3328,HW3377,IF($B$265=$B$3329,HY3377,""))))))))))))))))))))))))))))))))))))))))))))))))))))</f>
        <v/>
      </c>
    </row>
    <row r="3378" spans="1:131" ht="14.5" hidden="1" x14ac:dyDescent="0.35">
      <c r="A3378" s="814"/>
      <c r="B3378" s="69" t="str">
        <f>CONCATENATE(B3362,D$3361)</f>
        <v xml:space="preserve">yes, I need you to immediately notify Email address: </v>
      </c>
      <c r="BB3378" s="48"/>
      <c r="BS3378" s="464" t="str">
        <f>IF($B$265=B$3278,BZ3377,IF($B$265=B$3279,CA3377,IF($B$265=B$3280,CB3377,IF($B$265=B$3281,CC3377,IF($B$265=B$3282,CD3377,IF($B$265=B$3283,CE3377,IF($B$265=B$3284,CF3377,IF($B$265=B$3285,CG3377,IF($B$265=B$3286,CH3377,IF($B$265=B$3287,CI3377,IF($B$265=B$3288,CJ3377,IF($B$265=B$3289,CK3377,IF($B$265=B$3290,CL3377,IF($B$265=B$3291,CM3377,IF($B$265=B$3292,CN3377,IF($B$265=B$3293,#REF!,IF($B$265=B$3294,CO3377,IF($B$265=B$3295,CP3377,IF($B$265=B$3296,CQ3377,IF($B$265=B$3297,CR3377,IF($B$265=B$3298,CS3377,IF($B$265=B$3299,CT3377,IF(B$265=B$3300,CU3377,IF($B$265=B$3301,CV3377,IF($B$265=B$3302,CW3377,IF($B$265=B$3303,CX3377,IF($B$265=B$3304,CY3377,IF($B$265=B$3305,CZ3377,IF($B$265=B$3306,DA3377,IF($B$265=B$3307,DB3377,IF($B$265=B$3308,DC3377,IF($B$265=B$3309,DD3377,IF($B$265=B$3310,DE3377,IF($B$265=B$3311,DF3377,IF($B$265=B$3312,DG3377,IF($B$265=B$3313,DH3377,IF($B$265=B$3314,DI3377,IF($B$265=B$3315,DJ3377,IF($B$265=B$3316,DK3377,IF($B$265=B$3317,DL3377,IF($B$265=B$3318,DM3377,IF($B$265=B$3319,DN3377,IF($B$265=B$3320,DO3377,IF($B$265=B$3321,DP3377,IF($B$265=B$3322,DQ3377,IF($B$265=B$3323,DR3377,IF($B$265=B$3324,DS3377,IF($B$265=B$3325,DT3377,IF($B$265=B$3326,DU3377,IF($B$265=B$3327,DV3377,IF($B$265=B$3328,DW3377,IF($B$265=B$3329,DX3377,""))))))))))))))))))))))))))))))))))))))))))))))))))))</f>
        <v/>
      </c>
      <c r="BZ3378" s="245" t="s">
        <v>885</v>
      </c>
      <c r="CA3378" s="245" t="s">
        <v>885</v>
      </c>
      <c r="CC3378" s="245" t="s">
        <v>885</v>
      </c>
      <c r="CD3378" s="459" t="s">
        <v>885</v>
      </c>
      <c r="CE3378" s="459" t="s">
        <v>885</v>
      </c>
      <c r="CF3378" s="245" t="s">
        <v>885</v>
      </c>
      <c r="CG3378" s="245" t="s">
        <v>885</v>
      </c>
      <c r="CH3378" s="245" t="s">
        <v>885</v>
      </c>
      <c r="CI3378" s="245" t="s">
        <v>885</v>
      </c>
      <c r="CJ3378" t="s">
        <v>1812</v>
      </c>
      <c r="CK3378" s="459" t="s">
        <v>885</v>
      </c>
      <c r="CL3378" s="459" t="s">
        <v>885</v>
      </c>
      <c r="CM3378" t="s">
        <v>1940</v>
      </c>
      <c r="CN3378" t="s">
        <v>1988</v>
      </c>
      <c r="CO3378" t="s">
        <v>2031</v>
      </c>
      <c r="CP3378" t="s">
        <v>2088</v>
      </c>
      <c r="CQ3378" t="s">
        <v>1734</v>
      </c>
      <c r="CR3378" s="459" t="s">
        <v>885</v>
      </c>
      <c r="CS3378" s="459" t="s">
        <v>885</v>
      </c>
      <c r="CT3378" s="245" t="s">
        <v>885</v>
      </c>
      <c r="CU3378" t="s">
        <v>1580</v>
      </c>
      <c r="CV3378" t="s">
        <v>2371</v>
      </c>
      <c r="CW3378" t="s">
        <v>1497</v>
      </c>
      <c r="CX3378" t="s">
        <v>2438</v>
      </c>
      <c r="CY3378" s="459" t="s">
        <v>885</v>
      </c>
      <c r="CZ3378" t="s">
        <v>2091</v>
      </c>
      <c r="DA3378" s="459" t="s">
        <v>885</v>
      </c>
      <c r="DB3378" s="459" t="s">
        <v>885</v>
      </c>
      <c r="DC3378" s="459" t="s">
        <v>885</v>
      </c>
      <c r="DD3378" s="459" t="s">
        <v>885</v>
      </c>
      <c r="DE3378" s="459" t="s">
        <v>885</v>
      </c>
      <c r="DF3378" t="s">
        <v>2156</v>
      </c>
      <c r="DG3378" s="459" t="s">
        <v>885</v>
      </c>
      <c r="DH3378" t="s">
        <v>1579</v>
      </c>
      <c r="DI3378" s="459" t="s">
        <v>885</v>
      </c>
      <c r="DJ3378" s="459" t="s">
        <v>885</v>
      </c>
      <c r="DK3378" s="459" t="s">
        <v>885</v>
      </c>
      <c r="DL3378" s="459" t="s">
        <v>885</v>
      </c>
      <c r="DM3378" s="459" t="s">
        <v>885</v>
      </c>
      <c r="DN3378" s="459" t="s">
        <v>885</v>
      </c>
      <c r="DO3378" t="s">
        <v>2095</v>
      </c>
      <c r="DP3378" t="s">
        <v>1460</v>
      </c>
      <c r="DQ3378" s="459" t="s">
        <v>885</v>
      </c>
      <c r="DR3378" s="459" t="s">
        <v>885</v>
      </c>
      <c r="DS3378" t="s">
        <v>2654</v>
      </c>
      <c r="DT3378" s="459" t="s">
        <v>885</v>
      </c>
      <c r="DU3378" s="459" t="s">
        <v>885</v>
      </c>
      <c r="DV3378" s="459" t="s">
        <v>885</v>
      </c>
      <c r="DW3378" s="245" t="s">
        <v>885</v>
      </c>
      <c r="DX3378" s="245" t="s">
        <v>885</v>
      </c>
      <c r="DY3378" s="245"/>
      <c r="DZ3378" s="470" t="str">
        <f>IF($B$265=$B$3278,EB3378,IF($B$265=$B$3279,ED3378,IF($B$265=$B$3280,EF3378,IF($B$265=$B$3281,EH3378,IF($B$265=$B$3282,EJ3378,IF($B$265=$B$3283,EL3378,IF($B$265=$B$3284,EN3378,IF($B$265=$B$3285,EP3378,IF($B$265=$B$3286,ER3378,IF($B$265=$B$3287,ET3378,IF($B$265=$B$3288,EV3378,IF($B$265=$B$3289,EX3378,IF($B$265=$B$3290,EZ3378,IF($B$265=$B$3291,FB3378,IF($B$265=$B$3292,FD3378,IF($B$265=$B$3293,BU3378,IF($B$265=$B$3294,FF3378,IF($B$265=$B$3295,FH3378,IF($B$265=$B$3296,FJ3378,IF($B$265=$B$3297,FL3378,IF($B$265=$B$3298,FN3378,IF($B$265=$B$3299,FP3378,IF(BI$265=$B$3300,FR3378,IF($B$265=$B$3301,FT3378,IF($B$265=$B$3302,FV3378,IF($B$265=$B$3303,FX3378,IF($B$265=$B$3304,FZ3378,IF($B$265=$B$3305,GB3378,IF($B$265=$B$3306,GD3378,IF($B$265=$B$3307,GF3378,IF($B$265=$B$3308,GH3378,IF($B$265=$B$3309,GJ3378,IF($B$265=$B$3310,GL3378,IF($B$265=$B$3311,GN3378,IF($B$265=$B$3312,GP3378,IF($B$265=$B$3313,GR3378,IF($B$265=$B$3314,GT3378,IF($B$265=$B$3315,GV3378,IF($B$265=$B$3316,GX3378,IF($B$265=$B$3317,GZ3378,IF($B$265=$B$3318,HB3378,IF($B$265=$B$3319,HD3378,IF($B$265=$B$3320,HF3378,IF($B$265=$B$3321,HH3378,IF($B$265=$B$3322,HJ3378,IF($B$265=$B$3323,HL3378,IF($B$265=$B$3324,HN3378,IF($B$265=$B$3325,HP3378,IF($B$265=$B$3326,HR3378,IF($B$265=$B$3327,HT3378,IF($B$265=$B$3328,HV3378,IF($B$265=$B$3329,HX3378,""))))))))))))))))))))))))))))))))))))))))))))))))))))</f>
        <v/>
      </c>
      <c r="EA3378" s="470" t="str">
        <f>IF($B$265=$B$3278,EC3378,IF($B$265=$B$3279,EE3378,IF($B$265=$B$3280,EG3378,IF($B$265=$B$3281,EI3378,IF($B$265=$B$3282,EK3378,IF($B$265=$B$3283,EM3378,IF($B$265=$B$3284,EO3378,IF($B$265=$B$3285,EQ3378,IF($B$265=$B$3286,ES3378,IF($B$265=$B$3287,EU3378,IF($B$265=$B$3288,EW3378,IF($B$265=$B$3289,EY3378,IF($B$265=$B$3290,FA3378,IF($B$265=$B$3291,FC3378,IF($B$265=$B$3292,FE3378,IF($B$265=$B$3293,BK3378,IF($B$265=$B$3294,FG3378,IF($B$265=$B$3295,FI3378,IF($B$265=$B$3296,FK3378,IF($B$265=$B$3297,FM3378,IF($B$265=$B$3298,FO3378,IF($B$265=$B$3299,FQ3378,IF(BJ$265=$B$3300,FS3378,IF($B$265=$B$3301,FU3378,IF($B$265=$B$3302,FW3378,IF($B$265=$B$3303,FY3378,IF($B$265=$B$3304,GA3378,IF($B$265=$B$3305,GC3378,IF($B$265=$B$3306,GE3378,IF($B$265=$B$3307,GG3378,IF($B$265=$B$3308,GI3378,IF($B$265=$B$3309,GK3378,IF($B$265=$B$3310,GM3378,IF($B$265=$B$3311,GO3378,IF($B$265=$B$3312,GQ3378,IF($B$265=$B$3313,GS3378,IF($B$265=$B$3314,GU3378,IF($B$265=$B$3315,GW3378,IF($B$265=$B$3316,GY3378,IF($B$265=$B$3317,HA3378,IF($B$265=$B$3318,HC3378,IF($B$265=$B$3319,HE3378,IF($B$265=$B$3320,HG3378,IF($B$265=$B$3321,HI3378,IF($B$265=$B$3322,HK3378,IF($B$265=$B$3323,HM3378,IF($B$265=$B$3324,HO3378,IF($B$265=$B$3325,HQ3378,IF($B$265=$B$3326,HS3378,IF($B$265=$B$3327,HU3378,IF($B$265=$B$3328,HW3378,IF($B$265=$B$3329,HY3378,""))))))))))))))))))))))))))))))))))))))))))))))))))))</f>
        <v/>
      </c>
    </row>
    <row r="3379" spans="1:131" ht="14.5" hidden="1" x14ac:dyDescent="0.35">
      <c r="A3379" s="814"/>
      <c r="B3379" s="69"/>
      <c r="BB3379" s="48"/>
      <c r="BS3379" s="464" t="str">
        <f>IF($B$265=B$3278,BZ3378,IF($B$265=B$3279,CA3378,IF($B$265=B$3280,CB3378,IF($B$265=B$3281,CC3378,IF($B$265=B$3282,CD3378,IF($B$265=B$3283,CE3378,IF($B$265=B$3284,CF3378,IF($B$265=B$3285,CG3378,IF($B$265=B$3286,CH3378,IF($B$265=B$3287,CI3378,IF($B$265=B$3288,CJ3378,IF($B$265=B$3289,CK3378,IF($B$265=B$3290,CL3378,IF($B$265=B$3291,CM3378,IF($B$265=B$3292,CN3378,IF($B$265=B$3293,#REF!,IF($B$265=B$3294,CO3378,IF($B$265=B$3295,CP3378,IF($B$265=B$3296,CQ3378,IF($B$265=B$3297,CR3378,IF($B$265=B$3298,CS3378,IF($B$265=B$3299,CT3378,IF(B$265=B$3300,CU3378,IF($B$265=B$3301,CV3378,IF($B$265=B$3302,CW3378,IF($B$265=B$3303,CX3378,IF($B$265=B$3304,CY3378,IF($B$265=B$3305,CZ3378,IF($B$265=B$3306,DA3378,IF($B$265=B$3307,DB3378,IF($B$265=B$3308,DC3378,IF($B$265=B$3309,DD3378,IF($B$265=B$3310,DE3378,IF($B$265=B$3311,DF3378,IF($B$265=B$3312,DG3378,IF($B$265=B$3313,DH3378,IF($B$265=B$3314,DI3378,IF($B$265=B$3315,DJ3378,IF($B$265=B$3316,DK3378,IF($B$265=B$3317,DL3378,IF($B$265=B$3318,DM3378,IF($B$265=B$3319,DN3378,IF($B$265=B$3320,DO3378,IF($B$265=B$3321,DP3378,IF($B$265=B$3322,DQ3378,IF($B$265=B$3323,DR3378,IF($B$265=B$3324,DS3378,IF($B$265=B$3325,DT3378,IF($B$265=B$3326,DU3378,IF($B$265=B$3327,DV3378,IF($B$265=B$3328,DW3378,IF($B$265=B$3329,DX3378,""))))))))))))))))))))))))))))))))))))))))))))))))))))</f>
        <v/>
      </c>
      <c r="BZ3379" s="245" t="s">
        <v>885</v>
      </c>
      <c r="CA3379" s="245" t="s">
        <v>885</v>
      </c>
      <c r="CC3379" s="245" t="s">
        <v>885</v>
      </c>
      <c r="CD3379" s="459" t="s">
        <v>885</v>
      </c>
      <c r="CE3379" s="459" t="s">
        <v>885</v>
      </c>
      <c r="CF3379" s="245" t="s">
        <v>885</v>
      </c>
      <c r="CG3379" s="245" t="s">
        <v>885</v>
      </c>
      <c r="CH3379" s="245" t="s">
        <v>885</v>
      </c>
      <c r="CI3379" s="245" t="s">
        <v>885</v>
      </c>
      <c r="CJ3379" t="s">
        <v>1467</v>
      </c>
      <c r="CK3379" s="459" t="s">
        <v>885</v>
      </c>
      <c r="CL3379" s="459" t="s">
        <v>885</v>
      </c>
      <c r="CM3379" t="s">
        <v>1941</v>
      </c>
      <c r="CN3379" t="s">
        <v>1579</v>
      </c>
      <c r="CO3379" t="s">
        <v>2032</v>
      </c>
      <c r="CP3379" t="s">
        <v>2089</v>
      </c>
      <c r="CQ3379" t="s">
        <v>1929</v>
      </c>
      <c r="CR3379" s="459" t="s">
        <v>885</v>
      </c>
      <c r="CS3379" s="459" t="s">
        <v>885</v>
      </c>
      <c r="CT3379" s="245" t="s">
        <v>885</v>
      </c>
      <c r="CU3379" t="s">
        <v>2314</v>
      </c>
      <c r="CV3379" t="s">
        <v>2372</v>
      </c>
      <c r="CW3379" t="s">
        <v>2411</v>
      </c>
      <c r="CX3379" t="s">
        <v>2439</v>
      </c>
      <c r="CY3379" s="459" t="s">
        <v>885</v>
      </c>
      <c r="CZ3379" t="s">
        <v>2093</v>
      </c>
      <c r="DA3379" s="459" t="s">
        <v>885</v>
      </c>
      <c r="DB3379" s="459" t="s">
        <v>885</v>
      </c>
      <c r="DC3379" s="459" t="s">
        <v>885</v>
      </c>
      <c r="DD3379" s="459" t="s">
        <v>885</v>
      </c>
      <c r="DE3379" s="459" t="s">
        <v>885</v>
      </c>
      <c r="DF3379" t="s">
        <v>2667</v>
      </c>
      <c r="DG3379" s="459" t="s">
        <v>885</v>
      </c>
      <c r="DH3379" t="s">
        <v>2742</v>
      </c>
      <c r="DI3379" s="459" t="s">
        <v>885</v>
      </c>
      <c r="DJ3379" s="459" t="s">
        <v>885</v>
      </c>
      <c r="DK3379" s="459" t="s">
        <v>885</v>
      </c>
      <c r="DL3379" s="459" t="s">
        <v>885</v>
      </c>
      <c r="DM3379" s="459" t="s">
        <v>885</v>
      </c>
      <c r="DN3379" s="459" t="s">
        <v>885</v>
      </c>
      <c r="DO3379" t="s">
        <v>1838</v>
      </c>
      <c r="DP3379" t="s">
        <v>2984</v>
      </c>
      <c r="DQ3379" s="459" t="s">
        <v>885</v>
      </c>
      <c r="DR3379" s="459" t="s">
        <v>885</v>
      </c>
      <c r="DS3379" t="s">
        <v>1698</v>
      </c>
      <c r="DT3379" s="459" t="s">
        <v>885</v>
      </c>
      <c r="DU3379" s="459" t="s">
        <v>885</v>
      </c>
      <c r="DV3379" s="459" t="s">
        <v>885</v>
      </c>
      <c r="DW3379" s="245" t="s">
        <v>885</v>
      </c>
      <c r="DX3379" s="245" t="s">
        <v>885</v>
      </c>
      <c r="DY3379" s="245"/>
      <c r="DZ3379" s="470" t="str">
        <f>IF($B$265=$B$3278,EB3379,IF($B$265=$B$3279,ED3379,IF($B$265=$B$3280,EF3379,IF($B$265=$B$3281,EH3379,IF($B$265=$B$3282,EJ3379,IF($B$265=$B$3283,EL3379,IF($B$265=$B$3284,EN3379,IF($B$265=$B$3285,EP3379,IF($B$265=$B$3286,ER3379,IF($B$265=$B$3287,ET3379,IF($B$265=$B$3288,EV3379,IF($B$265=$B$3289,EX3379,IF($B$265=$B$3290,EZ3379,IF($B$265=$B$3291,FB3379,IF($B$265=$B$3292,FD3379,IF($B$265=$B$3293,BU3379,IF($B$265=$B$3294,FF3379,IF($B$265=$B$3295,FH3379,IF($B$265=$B$3296,FJ3379,IF($B$265=$B$3297,FL3379,IF($B$265=$B$3298,FN3379,IF($B$265=$B$3299,FP3379,IF(BI$265=$B$3300,FR3379,IF($B$265=$B$3301,FT3379,IF($B$265=$B$3302,FV3379,IF($B$265=$B$3303,FX3379,IF($B$265=$B$3304,FZ3379,IF($B$265=$B$3305,GB3379,IF($B$265=$B$3306,GD3379,IF($B$265=$B$3307,GF3379,IF($B$265=$B$3308,GH3379,IF($B$265=$B$3309,GJ3379,IF($B$265=$B$3310,GL3379,IF($B$265=$B$3311,GN3379,IF($B$265=$B$3312,GP3379,IF($B$265=$B$3313,GR3379,IF($B$265=$B$3314,GT3379,IF($B$265=$B$3315,GV3379,IF($B$265=$B$3316,GX3379,IF($B$265=$B$3317,GZ3379,IF($B$265=$B$3318,HB3379,IF($B$265=$B$3319,HD3379,IF($B$265=$B$3320,HF3379,IF($B$265=$B$3321,HH3379,IF($B$265=$B$3322,HJ3379,IF($B$265=$B$3323,HL3379,IF($B$265=$B$3324,HN3379,IF($B$265=$B$3325,HP3379,IF($B$265=$B$3326,HR3379,IF($B$265=$B$3327,HT3379,IF($B$265=$B$3328,HV3379,IF($B$265=$B$3329,HX3379,""))))))))))))))))))))))))))))))))))))))))))))))))))))</f>
        <v/>
      </c>
      <c r="EA3379" s="470" t="str">
        <f>IF($B$265=$B$3278,EC3379,IF($B$265=$B$3279,EE3379,IF($B$265=$B$3280,EG3379,IF($B$265=$B$3281,EI3379,IF($B$265=$B$3282,EK3379,IF($B$265=$B$3283,EM3379,IF($B$265=$B$3284,EO3379,IF($B$265=$B$3285,EQ3379,IF($B$265=$B$3286,ES3379,IF($B$265=$B$3287,EU3379,IF($B$265=$B$3288,EW3379,IF($B$265=$B$3289,EY3379,IF($B$265=$B$3290,FA3379,IF($B$265=$B$3291,FC3379,IF($B$265=$B$3292,FE3379,IF($B$265=$B$3293,BK3379,IF($B$265=$B$3294,FG3379,IF($B$265=$B$3295,FI3379,IF($B$265=$B$3296,FK3379,IF($B$265=$B$3297,FM3379,IF($B$265=$B$3298,FO3379,IF($B$265=$B$3299,FQ3379,IF(BJ$265=$B$3300,FS3379,IF($B$265=$B$3301,FU3379,IF($B$265=$B$3302,FW3379,IF($B$265=$B$3303,FY3379,IF($B$265=$B$3304,GA3379,IF($B$265=$B$3305,GC3379,IF($B$265=$B$3306,GE3379,IF($B$265=$B$3307,GG3379,IF($B$265=$B$3308,GI3379,IF($B$265=$B$3309,GK3379,IF($B$265=$B$3310,GM3379,IF($B$265=$B$3311,GO3379,IF($B$265=$B$3312,GQ3379,IF($B$265=$B$3313,GS3379,IF($B$265=$B$3314,GU3379,IF($B$265=$B$3315,GW3379,IF($B$265=$B$3316,GY3379,IF($B$265=$B$3317,HA3379,IF($B$265=$B$3318,HC3379,IF($B$265=$B$3319,HE3379,IF($B$265=$B$3320,HG3379,IF($B$265=$B$3321,HI3379,IF($B$265=$B$3322,HK3379,IF($B$265=$B$3323,HM3379,IF($B$265=$B$3324,HO3379,IF($B$265=$B$3325,HQ3379,IF($B$265=$B$3326,HS3379,IF($B$265=$B$3327,HU3379,IF($B$265=$B$3328,HW3379,IF($B$265=$B$3329,HY3379,""))))))))))))))))))))))))))))))))))))))))))))))))))))</f>
        <v/>
      </c>
    </row>
    <row r="3380" spans="1:131" ht="14.5" hidden="1" x14ac:dyDescent="0.35">
      <c r="A3380" s="814"/>
      <c r="B3380" s="69" t="str">
        <f>CONCATENATE(B3359,D$3362)</f>
        <v xml:space="preserve">no, I don't need to notify any Mailing address: </v>
      </c>
      <c r="BB3380" s="48"/>
      <c r="BS3380" s="464" t="str">
        <f>IF($B$265=B$3278,BZ3379,IF($B$265=B$3279,CA3379,IF($B$265=B$3280,CB3379,IF($B$265=B$3281,CC3379,IF($B$265=B$3282,CD3379,IF($B$265=B$3283,CE3379,IF($B$265=B$3284,CF3379,IF($B$265=B$3285,CG3379,IF($B$265=B$3286,CH3379,IF($B$265=B$3287,CI3379,IF($B$265=B$3288,CJ3379,IF($B$265=B$3289,CK3379,IF($B$265=B$3290,CL3379,IF($B$265=B$3291,CM3379,IF($B$265=B$3292,CN3379,IF($B$265=B$3293,#REF!,IF($B$265=B$3294,CO3379,IF($B$265=B$3295,CP3379,IF($B$265=B$3296,CQ3379,IF($B$265=B$3297,CR3379,IF($B$265=B$3298,CS3379,IF($B$265=B$3299,CT3379,IF(B$265=B$3300,CU3379,IF($B$265=B$3301,CV3379,IF($B$265=B$3302,CW3379,IF($B$265=B$3303,CX3379,IF($B$265=B$3304,CY3379,IF($B$265=B$3305,CZ3379,IF($B$265=B$3306,DA3379,IF($B$265=B$3307,DB3379,IF($B$265=B$3308,DC3379,IF($B$265=B$3309,DD3379,IF($B$265=B$3310,DE3379,IF($B$265=B$3311,DF3379,IF($B$265=B$3312,DG3379,IF($B$265=B$3313,DH3379,IF($B$265=B$3314,DI3379,IF($B$265=B$3315,DJ3379,IF($B$265=B$3316,DK3379,IF($B$265=B$3317,DL3379,IF($B$265=B$3318,DM3379,IF($B$265=B$3319,DN3379,IF($B$265=B$3320,DO3379,IF($B$265=B$3321,DP3379,IF($B$265=B$3322,DQ3379,IF($B$265=B$3323,DR3379,IF($B$265=B$3324,DS3379,IF($B$265=B$3325,DT3379,IF($B$265=B$3326,DU3379,IF($B$265=B$3327,DV3379,IF($B$265=B$3328,DW3379,IF($B$265=B$3329,DX3379,""))))))))))))))))))))))))))))))))))))))))))))))))))))</f>
        <v/>
      </c>
      <c r="BZ3380" s="245" t="s">
        <v>885</v>
      </c>
      <c r="CA3380" s="245" t="s">
        <v>885</v>
      </c>
      <c r="CC3380" s="245" t="s">
        <v>885</v>
      </c>
      <c r="CD3380" s="459" t="s">
        <v>885</v>
      </c>
      <c r="CE3380" s="459" t="s">
        <v>885</v>
      </c>
      <c r="CF3380" s="245" t="s">
        <v>885</v>
      </c>
      <c r="CG3380" s="245" t="s">
        <v>885</v>
      </c>
      <c r="CH3380" s="245" t="s">
        <v>885</v>
      </c>
      <c r="CI3380" s="245" t="s">
        <v>885</v>
      </c>
      <c r="CJ3380" t="s">
        <v>1813</v>
      </c>
      <c r="CK3380" s="459" t="s">
        <v>885</v>
      </c>
      <c r="CL3380" s="459" t="s">
        <v>885</v>
      </c>
      <c r="CM3380" t="s">
        <v>1572</v>
      </c>
      <c r="CN3380" t="s">
        <v>1989</v>
      </c>
      <c r="CO3380" t="s">
        <v>1573</v>
      </c>
      <c r="CP3380" t="s">
        <v>2090</v>
      </c>
      <c r="CQ3380" t="s">
        <v>2072</v>
      </c>
      <c r="CR3380" s="459" t="s">
        <v>885</v>
      </c>
      <c r="CS3380" s="459" t="s">
        <v>885</v>
      </c>
      <c r="CT3380" s="245" t="s">
        <v>885</v>
      </c>
      <c r="CU3380" t="s">
        <v>1855</v>
      </c>
      <c r="CV3380" t="s">
        <v>1495</v>
      </c>
      <c r="CW3380" t="s">
        <v>2412</v>
      </c>
      <c r="CX3380" t="s">
        <v>1485</v>
      </c>
      <c r="CY3380" s="459" t="s">
        <v>885</v>
      </c>
      <c r="CZ3380" t="s">
        <v>2094</v>
      </c>
      <c r="DA3380" s="459" t="s">
        <v>885</v>
      </c>
      <c r="DB3380" s="459" t="s">
        <v>885</v>
      </c>
      <c r="DC3380" s="459" t="s">
        <v>885</v>
      </c>
      <c r="DD3380" s="459" t="s">
        <v>885</v>
      </c>
      <c r="DE3380" s="459" t="s">
        <v>885</v>
      </c>
      <c r="DF3380" t="s">
        <v>2668</v>
      </c>
      <c r="DG3380" s="459" t="s">
        <v>885</v>
      </c>
      <c r="DH3380" t="s">
        <v>2743</v>
      </c>
      <c r="DI3380" s="459" t="s">
        <v>885</v>
      </c>
      <c r="DJ3380" s="459" t="s">
        <v>885</v>
      </c>
      <c r="DK3380" s="459" t="s">
        <v>885</v>
      </c>
      <c r="DL3380" s="459" t="s">
        <v>885</v>
      </c>
      <c r="DM3380" s="459" t="s">
        <v>885</v>
      </c>
      <c r="DN3380" s="459" t="s">
        <v>885</v>
      </c>
      <c r="DO3380" t="s">
        <v>1985</v>
      </c>
      <c r="DP3380" t="s">
        <v>2985</v>
      </c>
      <c r="DQ3380" s="459" t="s">
        <v>885</v>
      </c>
      <c r="DR3380" s="459" t="s">
        <v>885</v>
      </c>
      <c r="DS3380" t="s">
        <v>1481</v>
      </c>
      <c r="DT3380" s="459" t="s">
        <v>885</v>
      </c>
      <c r="DU3380" s="459" t="s">
        <v>885</v>
      </c>
      <c r="DV3380" s="459" t="s">
        <v>885</v>
      </c>
      <c r="DW3380" s="245" t="s">
        <v>885</v>
      </c>
      <c r="DX3380" s="245" t="s">
        <v>885</v>
      </c>
      <c r="DY3380" s="245"/>
      <c r="DZ3380" s="470" t="str">
        <f>IF($B$265=$B$3278,EB3380,IF($B$265=$B$3279,ED3380,IF($B$265=$B$3280,EF3380,IF($B$265=$B$3281,EH3380,IF($B$265=$B$3282,EJ3380,IF($B$265=$B$3283,EL3380,IF($B$265=$B$3284,EN3380,IF($B$265=$B$3285,EP3380,IF($B$265=$B$3286,ER3380,IF($B$265=$B$3287,ET3380,IF($B$265=$B$3288,EV3380,IF($B$265=$B$3289,EX3380,IF($B$265=$B$3290,EZ3380,IF($B$265=$B$3291,FB3380,IF($B$265=$B$3292,FD3380,IF($B$265=$B$3293,BU3380,IF($B$265=$B$3294,FF3380,IF($B$265=$B$3295,FH3380,IF($B$265=$B$3296,FJ3380,IF($B$265=$B$3297,FL3380,IF($B$265=$B$3298,FN3380,IF($B$265=$B$3299,FP3380,IF(BI$265=$B$3300,FR3380,IF($B$265=$B$3301,FT3380,IF($B$265=$B$3302,FV3380,IF($B$265=$B$3303,FX3380,IF($B$265=$B$3304,FZ3380,IF($B$265=$B$3305,GB3380,IF($B$265=$B$3306,GD3380,IF($B$265=$B$3307,GF3380,IF($B$265=$B$3308,GH3380,IF($B$265=$B$3309,GJ3380,IF($B$265=$B$3310,GL3380,IF($B$265=$B$3311,GN3380,IF($B$265=$B$3312,GP3380,IF($B$265=$B$3313,GR3380,IF($B$265=$B$3314,GT3380,IF($B$265=$B$3315,GV3380,IF($B$265=$B$3316,GX3380,IF($B$265=$B$3317,GZ3380,IF($B$265=$B$3318,HB3380,IF($B$265=$B$3319,HD3380,IF($B$265=$B$3320,HF3380,IF($B$265=$B$3321,HH3380,IF($B$265=$B$3322,HJ3380,IF($B$265=$B$3323,HL3380,IF($B$265=$B$3324,HN3380,IF($B$265=$B$3325,HP3380,IF($B$265=$B$3326,HR3380,IF($B$265=$B$3327,HT3380,IF($B$265=$B$3328,HV3380,IF($B$265=$B$3329,HX3380,""))))))))))))))))))))))))))))))))))))))))))))))))))))</f>
        <v/>
      </c>
      <c r="EA3380" s="470" t="str">
        <f>IF($B$265=$B$3278,EC3380,IF($B$265=$B$3279,EE3380,IF($B$265=$B$3280,EG3380,IF($B$265=$B$3281,EI3380,IF($B$265=$B$3282,EK3380,IF($B$265=$B$3283,EM3380,IF($B$265=$B$3284,EO3380,IF($B$265=$B$3285,EQ3380,IF($B$265=$B$3286,ES3380,IF($B$265=$B$3287,EU3380,IF($B$265=$B$3288,EW3380,IF($B$265=$B$3289,EY3380,IF($B$265=$B$3290,FA3380,IF($B$265=$B$3291,FC3380,IF($B$265=$B$3292,FE3380,IF($B$265=$B$3293,BK3380,IF($B$265=$B$3294,FG3380,IF($B$265=$B$3295,FI3380,IF($B$265=$B$3296,FK3380,IF($B$265=$B$3297,FM3380,IF($B$265=$B$3298,FO3380,IF($B$265=$B$3299,FQ3380,IF(BJ$265=$B$3300,FS3380,IF($B$265=$B$3301,FU3380,IF($B$265=$B$3302,FW3380,IF($B$265=$B$3303,FY3380,IF($B$265=$B$3304,GA3380,IF($B$265=$B$3305,GC3380,IF($B$265=$B$3306,GE3380,IF($B$265=$B$3307,GG3380,IF($B$265=$B$3308,GI3380,IF($B$265=$B$3309,GK3380,IF($B$265=$B$3310,GM3380,IF($B$265=$B$3311,GO3380,IF($B$265=$B$3312,GQ3380,IF($B$265=$B$3313,GS3380,IF($B$265=$B$3314,GU3380,IF($B$265=$B$3315,GW3380,IF($B$265=$B$3316,GY3380,IF($B$265=$B$3317,HA3380,IF($B$265=$B$3318,HC3380,IF($B$265=$B$3319,HE3380,IF($B$265=$B$3320,HG3380,IF($B$265=$B$3321,HI3380,IF($B$265=$B$3322,HK3380,IF($B$265=$B$3323,HM3380,IF($B$265=$B$3324,HO3380,IF($B$265=$B$3325,HQ3380,IF($B$265=$B$3326,HS3380,IF($B$265=$B$3327,HU3380,IF($B$265=$B$3328,HW3380,IF($B$265=$B$3329,HY3380,""))))))))))))))))))))))))))))))))))))))))))))))))))))</f>
        <v/>
      </c>
    </row>
    <row r="3381" spans="1:131" ht="14.5" hidden="1" x14ac:dyDescent="0.35">
      <c r="A3381" s="814"/>
      <c r="B3381" s="69" t="str">
        <f>CONCATENATE(B3360,D$3362)</f>
        <v xml:space="preserve">I have not yet decided if needing to notify any Mailing address: </v>
      </c>
      <c r="BB3381" s="48"/>
      <c r="BS3381" s="464" t="str">
        <f>IF($B$265=B$3278,BZ3380,IF($B$265=B$3279,CA3380,IF($B$265=B$3280,CB3380,IF($B$265=B$3281,CC3380,IF($B$265=B$3282,CD3380,IF($B$265=B$3283,CE3380,IF($B$265=B$3284,CF3380,IF($B$265=B$3285,CG3380,IF($B$265=B$3286,CH3380,IF($B$265=B$3287,CI3380,IF($B$265=B$3288,CJ3380,IF($B$265=B$3289,CK3380,IF($B$265=B$3290,CL3380,IF($B$265=B$3291,CM3380,IF($B$265=B$3292,CN3380,IF($B$265=B$3293,#REF!,IF($B$265=B$3294,CO3380,IF($B$265=B$3295,CP3380,IF($B$265=B$3296,CQ3380,IF($B$265=B$3297,CR3380,IF($B$265=B$3298,CS3380,IF($B$265=B$3299,CT3380,IF(B$265=B$3300,CU3380,IF($B$265=B$3301,CV3380,IF($B$265=B$3302,CW3380,IF($B$265=B$3303,CX3380,IF($B$265=B$3304,CY3380,IF($B$265=B$3305,CZ3380,IF($B$265=B$3306,DA3380,IF($B$265=B$3307,DB3380,IF($B$265=B$3308,DC3380,IF($B$265=B$3309,DD3380,IF($B$265=B$3310,DE3380,IF($B$265=B$3311,DF3380,IF($B$265=B$3312,DG3380,IF($B$265=B$3313,DH3380,IF($B$265=B$3314,DI3380,IF($B$265=B$3315,DJ3380,IF($B$265=B$3316,DK3380,IF($B$265=B$3317,DL3380,IF($B$265=B$3318,DM3380,IF($B$265=B$3319,DN3380,IF($B$265=B$3320,DO3380,IF($B$265=B$3321,DP3380,IF($B$265=B$3322,DQ3380,IF($B$265=B$3323,DR3380,IF($B$265=B$3324,DS3380,IF($B$265=B$3325,DT3380,IF($B$265=B$3326,DU3380,IF($B$265=B$3327,DV3380,IF($B$265=B$3328,DW3380,IF($B$265=B$3329,DX3380,""))))))))))))))))))))))))))))))))))))))))))))))))))))</f>
        <v/>
      </c>
      <c r="BZ3381" s="245" t="s">
        <v>885</v>
      </c>
      <c r="CA3381" s="245" t="s">
        <v>885</v>
      </c>
      <c r="CC3381" s="245" t="s">
        <v>885</v>
      </c>
      <c r="CD3381" s="459" t="s">
        <v>885</v>
      </c>
      <c r="CE3381" s="459" t="s">
        <v>885</v>
      </c>
      <c r="CF3381" s="245" t="s">
        <v>885</v>
      </c>
      <c r="CG3381" s="245" t="s">
        <v>885</v>
      </c>
      <c r="CH3381" s="245" t="s">
        <v>885</v>
      </c>
      <c r="CI3381" s="245" t="s">
        <v>885</v>
      </c>
      <c r="CJ3381" t="s">
        <v>1554</v>
      </c>
      <c r="CK3381" s="459" t="s">
        <v>885</v>
      </c>
      <c r="CL3381" s="459" t="s">
        <v>885</v>
      </c>
      <c r="CM3381" t="s">
        <v>1942</v>
      </c>
      <c r="CN3381" t="s">
        <v>1990</v>
      </c>
      <c r="CO3381" t="s">
        <v>1489</v>
      </c>
      <c r="CP3381" t="s">
        <v>1980</v>
      </c>
      <c r="CQ3381" t="s">
        <v>2145</v>
      </c>
      <c r="CR3381" s="459" t="s">
        <v>885</v>
      </c>
      <c r="CS3381" s="459" t="s">
        <v>885</v>
      </c>
      <c r="CT3381" s="245" t="s">
        <v>885</v>
      </c>
      <c r="CU3381" t="s">
        <v>2315</v>
      </c>
      <c r="CV3381" t="s">
        <v>2373</v>
      </c>
      <c r="CW3381" s="245" t="s">
        <v>885</v>
      </c>
      <c r="CX3381" t="s">
        <v>2440</v>
      </c>
      <c r="CY3381" s="459" t="s">
        <v>885</v>
      </c>
      <c r="CZ3381" t="s">
        <v>2033</v>
      </c>
      <c r="DA3381" s="459" t="s">
        <v>885</v>
      </c>
      <c r="DB3381" s="459" t="s">
        <v>885</v>
      </c>
      <c r="DC3381" s="459" t="s">
        <v>885</v>
      </c>
      <c r="DD3381" s="459" t="s">
        <v>885</v>
      </c>
      <c r="DE3381" s="459" t="s">
        <v>885</v>
      </c>
      <c r="DF3381" t="s">
        <v>2449</v>
      </c>
      <c r="DG3381" s="459" t="s">
        <v>885</v>
      </c>
      <c r="DH3381" t="s">
        <v>1854</v>
      </c>
      <c r="DI3381" s="459" t="s">
        <v>885</v>
      </c>
      <c r="DJ3381" s="459" t="s">
        <v>885</v>
      </c>
      <c r="DK3381" s="459" t="s">
        <v>885</v>
      </c>
      <c r="DL3381" s="459" t="s">
        <v>885</v>
      </c>
      <c r="DM3381" s="459" t="s">
        <v>885</v>
      </c>
      <c r="DN3381" s="459" t="s">
        <v>885</v>
      </c>
      <c r="DO3381" t="s">
        <v>2099</v>
      </c>
      <c r="DP3381" t="s">
        <v>2986</v>
      </c>
      <c r="DQ3381" s="459" t="s">
        <v>885</v>
      </c>
      <c r="DR3381" s="459" t="s">
        <v>885</v>
      </c>
      <c r="DS3381" t="s">
        <v>2148</v>
      </c>
      <c r="DT3381" s="459" t="s">
        <v>885</v>
      </c>
      <c r="DU3381" s="459" t="s">
        <v>885</v>
      </c>
      <c r="DV3381" s="459" t="s">
        <v>885</v>
      </c>
      <c r="DW3381" s="245" t="s">
        <v>885</v>
      </c>
      <c r="DX3381" s="245" t="s">
        <v>885</v>
      </c>
      <c r="DY3381" s="245"/>
      <c r="DZ3381" s="470" t="str">
        <f>IF($B$265=$B$3278,EB3381,IF($B$265=$B$3279,ED3381,IF($B$265=$B$3280,EF3381,IF($B$265=$B$3281,EH3381,IF($B$265=$B$3282,EJ3381,IF($B$265=$B$3283,EL3381,IF($B$265=$B$3284,EN3381,IF($B$265=$B$3285,EP3381,IF($B$265=$B$3286,ER3381,IF($B$265=$B$3287,ET3381,IF($B$265=$B$3288,EV3381,IF($B$265=$B$3289,EX3381,IF($B$265=$B$3290,EZ3381,IF($B$265=$B$3291,FB3381,IF($B$265=$B$3292,FD3381,IF($B$265=$B$3293,BU3381,IF($B$265=$B$3294,FF3381,IF($B$265=$B$3295,FH3381,IF($B$265=$B$3296,FJ3381,IF($B$265=$B$3297,FL3381,IF($B$265=$B$3298,FN3381,IF($B$265=$B$3299,FP3381,IF(BI$265=$B$3300,FR3381,IF($B$265=$B$3301,FT3381,IF($B$265=$B$3302,FV3381,IF($B$265=$B$3303,FX3381,IF($B$265=$B$3304,FZ3381,IF($B$265=$B$3305,GB3381,IF($B$265=$B$3306,GD3381,IF($B$265=$B$3307,GF3381,IF($B$265=$B$3308,GH3381,IF($B$265=$B$3309,GJ3381,IF($B$265=$B$3310,GL3381,IF($B$265=$B$3311,GN3381,IF($B$265=$B$3312,GP3381,IF($B$265=$B$3313,GR3381,IF($B$265=$B$3314,GT3381,IF($B$265=$B$3315,GV3381,IF($B$265=$B$3316,GX3381,IF($B$265=$B$3317,GZ3381,IF($B$265=$B$3318,HB3381,IF($B$265=$B$3319,HD3381,IF($B$265=$B$3320,HF3381,IF($B$265=$B$3321,HH3381,IF($B$265=$B$3322,HJ3381,IF($B$265=$B$3323,HL3381,IF($B$265=$B$3324,HN3381,IF($B$265=$B$3325,HP3381,IF($B$265=$B$3326,HR3381,IF($B$265=$B$3327,HT3381,IF($B$265=$B$3328,HV3381,IF($B$265=$B$3329,HX3381,""))))))))))))))))))))))))))))))))))))))))))))))))))))</f>
        <v/>
      </c>
      <c r="EA3381" s="470" t="str">
        <f>IF($B$265=$B$3278,EC3381,IF($B$265=$B$3279,EE3381,IF($B$265=$B$3280,EG3381,IF($B$265=$B$3281,EI3381,IF($B$265=$B$3282,EK3381,IF($B$265=$B$3283,EM3381,IF($B$265=$B$3284,EO3381,IF($B$265=$B$3285,EQ3381,IF($B$265=$B$3286,ES3381,IF($B$265=$B$3287,EU3381,IF($B$265=$B$3288,EW3381,IF($B$265=$B$3289,EY3381,IF($B$265=$B$3290,FA3381,IF($B$265=$B$3291,FC3381,IF($B$265=$B$3292,FE3381,IF($B$265=$B$3293,BK3381,IF($B$265=$B$3294,FG3381,IF($B$265=$B$3295,FI3381,IF($B$265=$B$3296,FK3381,IF($B$265=$B$3297,FM3381,IF($B$265=$B$3298,FO3381,IF($B$265=$B$3299,FQ3381,IF(BJ$265=$B$3300,FS3381,IF($B$265=$B$3301,FU3381,IF($B$265=$B$3302,FW3381,IF($B$265=$B$3303,FY3381,IF($B$265=$B$3304,GA3381,IF($B$265=$B$3305,GC3381,IF($B$265=$B$3306,GE3381,IF($B$265=$B$3307,GG3381,IF($B$265=$B$3308,GI3381,IF($B$265=$B$3309,GK3381,IF($B$265=$B$3310,GM3381,IF($B$265=$B$3311,GO3381,IF($B$265=$B$3312,GQ3381,IF($B$265=$B$3313,GS3381,IF($B$265=$B$3314,GU3381,IF($B$265=$B$3315,GW3381,IF($B$265=$B$3316,GY3381,IF($B$265=$B$3317,HA3381,IF($B$265=$B$3318,HC3381,IF($B$265=$B$3319,HE3381,IF($B$265=$B$3320,HG3381,IF($B$265=$B$3321,HI3381,IF($B$265=$B$3322,HK3381,IF($B$265=$B$3323,HM3381,IF($B$265=$B$3324,HO3381,IF($B$265=$B$3325,HQ3381,IF($B$265=$B$3326,HS3381,IF($B$265=$B$3327,HU3381,IF($B$265=$B$3328,HW3381,IF($B$265=$B$3329,HY3381,""))))))))))))))))))))))))))))))))))))))))))))))))))))</f>
        <v/>
      </c>
    </row>
    <row r="3382" spans="1:131" ht="16" hidden="1" x14ac:dyDescent="0.4">
      <c r="A3382" s="814"/>
      <c r="B3382" s="69" t="str">
        <f>CONCATENATE(B3361,D$3362)</f>
        <v xml:space="preserve">yes, but I'll let you know when I need to notifiy any Mailing address: </v>
      </c>
      <c r="BB3382" s="48"/>
      <c r="BS3382" s="464" t="str">
        <f>IF($B$265=B$3278,BZ3381,IF($B$265=B$3279,CA3381,IF($B$265=B$3280,CB3381,IF($B$265=B$3281,CC3381,IF($B$265=B$3282,CD3381,IF($B$265=B$3283,CE3381,IF($B$265=B$3284,CF3381,IF($B$265=B$3285,CG3381,IF($B$265=B$3286,CH3381,IF($B$265=B$3287,CI3381,IF($B$265=B$3288,CJ3381,IF($B$265=B$3289,CK3381,IF($B$265=B$3290,CL3381,IF($B$265=B$3291,CM3381,IF($B$265=B$3292,CN3381,IF($B$265=B$3293,#REF!,IF($B$265=B$3294,CO3381,IF($B$265=B$3295,CP3381,IF($B$265=B$3296,CQ3381,IF($B$265=B$3297,CR3381,IF($B$265=B$3298,CS3381,IF($B$265=B$3299,CT3381,IF(B$265=B$3300,CU3381,IF($B$265=B$3301,CV3381,IF($B$265=B$3302,CW3381,IF($B$265=B$3303,CX3381,IF($B$265=B$3304,CY3381,IF($B$265=B$3305,CZ3381,IF($B$265=B$3306,DA3381,IF($B$265=B$3307,DB3381,IF($B$265=B$3308,DC3381,IF($B$265=B$3309,DD3381,IF($B$265=B$3310,DE3381,IF($B$265=B$3311,DF3381,IF($B$265=B$3312,DG3381,IF($B$265=B$3313,DH3381,IF($B$265=B$3314,DI3381,IF($B$265=B$3315,DJ3381,IF($B$265=B$3316,DK3381,IF($B$265=B$3317,DL3381,IF($B$265=B$3318,DM3381,IF($B$265=B$3319,DN3381,IF($B$265=B$3320,DO3381,IF($B$265=B$3321,DP3381,IF($B$265=B$3322,DQ3381,IF($B$265=B$3323,DR3381,IF($B$265=B$3324,DS3381,IF($B$265=B$3325,DT3381,IF($B$265=B$3326,DU3381,IF($B$265=B$3327,DV3381,IF($B$265=B$3328,DW3381,IF($B$265=B$3329,DX3381,""))))))))))))))))))))))))))))))))))))))))))))))))))))</f>
        <v/>
      </c>
      <c r="BZ3382" s="245" t="s">
        <v>885</v>
      </c>
      <c r="CA3382" s="245" t="s">
        <v>885</v>
      </c>
      <c r="CC3382" s="245" t="s">
        <v>885</v>
      </c>
      <c r="CD3382" s="459" t="s">
        <v>885</v>
      </c>
      <c r="CE3382" s="459" t="s">
        <v>885</v>
      </c>
      <c r="CF3382" s="245" t="s">
        <v>885</v>
      </c>
      <c r="CG3382" s="245" t="s">
        <v>885</v>
      </c>
      <c r="CH3382" s="245" t="s">
        <v>885</v>
      </c>
      <c r="CI3382" s="245" t="s">
        <v>885</v>
      </c>
      <c r="CJ3382" t="s">
        <v>1814</v>
      </c>
      <c r="CK3382" s="459" t="s">
        <v>885</v>
      </c>
      <c r="CL3382" s="459" t="s">
        <v>885</v>
      </c>
      <c r="CM3382" t="s">
        <v>1943</v>
      </c>
      <c r="CN3382" t="s">
        <v>1991</v>
      </c>
      <c r="CO3382" t="s">
        <v>2033</v>
      </c>
      <c r="CP3382" t="s">
        <v>1487</v>
      </c>
      <c r="CQ3382" t="s">
        <v>1935</v>
      </c>
      <c r="CR3382" s="459" t="s">
        <v>885</v>
      </c>
      <c r="CS3382" s="459" t="s">
        <v>885</v>
      </c>
      <c r="CT3382" s="245" t="s">
        <v>885</v>
      </c>
      <c r="CU3382" s="463" t="s">
        <v>885</v>
      </c>
      <c r="CV3382" t="s">
        <v>2374</v>
      </c>
      <c r="CW3382" s="245" t="s">
        <v>885</v>
      </c>
      <c r="CX3382" t="s">
        <v>1567</v>
      </c>
      <c r="CY3382" s="459" t="s">
        <v>885</v>
      </c>
      <c r="CZ3382" t="s">
        <v>2097</v>
      </c>
      <c r="DA3382" s="459" t="s">
        <v>885</v>
      </c>
      <c r="DB3382" s="459" t="s">
        <v>885</v>
      </c>
      <c r="DC3382" s="459" t="s">
        <v>885</v>
      </c>
      <c r="DD3382" s="459" t="s">
        <v>885</v>
      </c>
      <c r="DE3382" s="459" t="s">
        <v>885</v>
      </c>
      <c r="DF3382" t="s">
        <v>2669</v>
      </c>
      <c r="DG3382" s="459" t="s">
        <v>885</v>
      </c>
      <c r="DH3382" t="s">
        <v>1495</v>
      </c>
      <c r="DI3382" s="459" t="s">
        <v>885</v>
      </c>
      <c r="DJ3382" s="459" t="s">
        <v>885</v>
      </c>
      <c r="DK3382" s="459" t="s">
        <v>885</v>
      </c>
      <c r="DL3382" s="459" t="s">
        <v>885</v>
      </c>
      <c r="DM3382" s="459" t="s">
        <v>885</v>
      </c>
      <c r="DN3382" s="459" t="s">
        <v>885</v>
      </c>
      <c r="DO3382" t="s">
        <v>1988</v>
      </c>
      <c r="DP3382" t="s">
        <v>2987</v>
      </c>
      <c r="DQ3382" s="459" t="s">
        <v>885</v>
      </c>
      <c r="DR3382" s="459" t="s">
        <v>885</v>
      </c>
      <c r="DS3382" t="s">
        <v>3166</v>
      </c>
      <c r="DT3382" s="459" t="s">
        <v>885</v>
      </c>
      <c r="DU3382" s="459" t="s">
        <v>885</v>
      </c>
      <c r="DV3382" s="459" t="s">
        <v>885</v>
      </c>
      <c r="DW3382" s="245" t="s">
        <v>885</v>
      </c>
      <c r="DX3382" s="245" t="s">
        <v>885</v>
      </c>
      <c r="DY3382" s="245"/>
      <c r="DZ3382" s="470" t="str">
        <f>IF($B$265=$B$3278,EB3382,IF($B$265=$B$3279,ED3382,IF($B$265=$B$3280,EF3382,IF($B$265=$B$3281,EH3382,IF($B$265=$B$3282,EJ3382,IF($B$265=$B$3283,EL3382,IF($B$265=$B$3284,EN3382,IF($B$265=$B$3285,EP3382,IF($B$265=$B$3286,ER3382,IF($B$265=$B$3287,ET3382,IF($B$265=$B$3288,EV3382,IF($B$265=$B$3289,EX3382,IF($B$265=$B$3290,EZ3382,IF($B$265=$B$3291,FB3382,IF($B$265=$B$3292,FD3382,IF($B$265=$B$3293,BU3382,IF($B$265=$B$3294,FF3382,IF($B$265=$B$3295,FH3382,IF($B$265=$B$3296,FJ3382,IF($B$265=$B$3297,FL3382,IF($B$265=$B$3298,FN3382,IF($B$265=$B$3299,FP3382,IF(BI$265=$B$3300,FR3382,IF($B$265=$B$3301,FT3382,IF($B$265=$B$3302,FV3382,IF($B$265=$B$3303,FX3382,IF($B$265=$B$3304,FZ3382,IF($B$265=$B$3305,GB3382,IF($B$265=$B$3306,GD3382,IF($B$265=$B$3307,GF3382,IF($B$265=$B$3308,GH3382,IF($B$265=$B$3309,GJ3382,IF($B$265=$B$3310,GL3382,IF($B$265=$B$3311,GN3382,IF($B$265=$B$3312,GP3382,IF($B$265=$B$3313,GR3382,IF($B$265=$B$3314,GT3382,IF($B$265=$B$3315,GV3382,IF($B$265=$B$3316,GX3382,IF($B$265=$B$3317,GZ3382,IF($B$265=$B$3318,HB3382,IF($B$265=$B$3319,HD3382,IF($B$265=$B$3320,HF3382,IF($B$265=$B$3321,HH3382,IF($B$265=$B$3322,HJ3382,IF($B$265=$B$3323,HL3382,IF($B$265=$B$3324,HN3382,IF($B$265=$B$3325,HP3382,IF($B$265=$B$3326,HR3382,IF($B$265=$B$3327,HT3382,IF($B$265=$B$3328,HV3382,IF($B$265=$B$3329,HX3382,""))))))))))))))))))))))))))))))))))))))))))))))))))))</f>
        <v/>
      </c>
      <c r="EA3382" s="470" t="str">
        <f>IF($B$265=$B$3278,EC3382,IF($B$265=$B$3279,EE3382,IF($B$265=$B$3280,EG3382,IF($B$265=$B$3281,EI3382,IF($B$265=$B$3282,EK3382,IF($B$265=$B$3283,EM3382,IF($B$265=$B$3284,EO3382,IF($B$265=$B$3285,EQ3382,IF($B$265=$B$3286,ES3382,IF($B$265=$B$3287,EU3382,IF($B$265=$B$3288,EW3382,IF($B$265=$B$3289,EY3382,IF($B$265=$B$3290,FA3382,IF($B$265=$B$3291,FC3382,IF($B$265=$B$3292,FE3382,IF($B$265=$B$3293,BK3382,IF($B$265=$B$3294,FG3382,IF($B$265=$B$3295,FI3382,IF($B$265=$B$3296,FK3382,IF($B$265=$B$3297,FM3382,IF($B$265=$B$3298,FO3382,IF($B$265=$B$3299,FQ3382,IF(BJ$265=$B$3300,FS3382,IF($B$265=$B$3301,FU3382,IF($B$265=$B$3302,FW3382,IF($B$265=$B$3303,FY3382,IF($B$265=$B$3304,GA3382,IF($B$265=$B$3305,GC3382,IF($B$265=$B$3306,GE3382,IF($B$265=$B$3307,GG3382,IF($B$265=$B$3308,GI3382,IF($B$265=$B$3309,GK3382,IF($B$265=$B$3310,GM3382,IF($B$265=$B$3311,GO3382,IF($B$265=$B$3312,GQ3382,IF($B$265=$B$3313,GS3382,IF($B$265=$B$3314,GU3382,IF($B$265=$B$3315,GW3382,IF($B$265=$B$3316,GY3382,IF($B$265=$B$3317,HA3382,IF($B$265=$B$3318,HC3382,IF($B$265=$B$3319,HE3382,IF($B$265=$B$3320,HG3382,IF($B$265=$B$3321,HI3382,IF($B$265=$B$3322,HK3382,IF($B$265=$B$3323,HM3382,IF($B$265=$B$3324,HO3382,IF($B$265=$B$3325,HQ3382,IF($B$265=$B$3326,HS3382,IF($B$265=$B$3327,HU3382,IF($B$265=$B$3328,HW3382,IF($B$265=$B$3329,HY3382,""))))))))))))))))))))))))))))))))))))))))))))))))))))</f>
        <v/>
      </c>
    </row>
    <row r="3383" spans="1:131" ht="16" hidden="1" x14ac:dyDescent="0.4">
      <c r="A3383" s="814"/>
      <c r="B3383" s="69" t="str">
        <f>CONCATENATE(B3362,D$3362)</f>
        <v xml:space="preserve">yes, I need you to immediately notify Mailing address: </v>
      </c>
      <c r="BB3383" s="48"/>
      <c r="BS3383" s="464" t="str">
        <f>IF($B$265=B$3278,BZ3382,IF($B$265=B$3279,CA3382,IF($B$265=B$3280,CB3382,IF($B$265=B$3281,CC3382,IF($B$265=B$3282,CD3382,IF($B$265=B$3283,CE3382,IF($B$265=B$3284,CF3382,IF($B$265=B$3285,CG3382,IF($B$265=B$3286,CH3382,IF($B$265=B$3287,CI3382,IF($B$265=B$3288,CJ3382,IF($B$265=B$3289,CK3382,IF($B$265=B$3290,CL3382,IF($B$265=B$3291,CM3382,IF($B$265=B$3292,CN3382,IF($B$265=B$3293,#REF!,IF($B$265=B$3294,CO3382,IF($B$265=B$3295,CP3382,IF($B$265=B$3296,CQ3382,IF($B$265=B$3297,CR3382,IF($B$265=B$3298,CS3382,IF($B$265=B$3299,CT3382,IF(B$265=B$3300,CU3382,IF($B$265=B$3301,CV3382,IF($B$265=B$3302,CW3382,IF($B$265=B$3303,CX3382,IF($B$265=B$3304,CY3382,IF($B$265=B$3305,CZ3382,IF($B$265=B$3306,DA3382,IF($B$265=B$3307,DB3382,IF($B$265=B$3308,DC3382,IF($B$265=B$3309,DD3382,IF($B$265=B$3310,DE3382,IF($B$265=B$3311,DF3382,IF($B$265=B$3312,DG3382,IF($B$265=B$3313,DH3382,IF($B$265=B$3314,DI3382,IF($B$265=B$3315,DJ3382,IF($B$265=B$3316,DK3382,IF($B$265=B$3317,DL3382,IF($B$265=B$3318,DM3382,IF($B$265=B$3319,DN3382,IF($B$265=B$3320,DO3382,IF($B$265=B$3321,DP3382,IF($B$265=B$3322,DQ3382,IF($B$265=B$3323,DR3382,IF($B$265=B$3324,DS3382,IF($B$265=B$3325,DT3382,IF($B$265=B$3326,DU3382,IF($B$265=B$3327,DV3382,IF($B$265=B$3328,DW3382,IF($B$265=B$3329,DX3382,""))))))))))))))))))))))))))))))))))))))))))))))))))))</f>
        <v/>
      </c>
      <c r="BZ3383" s="245" t="s">
        <v>885</v>
      </c>
      <c r="CA3383" s="245" t="s">
        <v>885</v>
      </c>
      <c r="CC3383" s="245" t="s">
        <v>885</v>
      </c>
      <c r="CD3383" s="459" t="s">
        <v>885</v>
      </c>
      <c r="CE3383" s="459" t="s">
        <v>885</v>
      </c>
      <c r="CF3383" s="245" t="s">
        <v>885</v>
      </c>
      <c r="CG3383" s="245" t="s">
        <v>885</v>
      </c>
      <c r="CH3383" s="245" t="s">
        <v>885</v>
      </c>
      <c r="CI3383" s="245" t="s">
        <v>885</v>
      </c>
      <c r="CJ3383" t="s">
        <v>1468</v>
      </c>
      <c r="CK3383" s="459" t="s">
        <v>885</v>
      </c>
      <c r="CL3383" s="459" t="s">
        <v>885</v>
      </c>
      <c r="CM3383" t="s">
        <v>1573</v>
      </c>
      <c r="CN3383" t="s">
        <v>1948</v>
      </c>
      <c r="CO3383" t="s">
        <v>2034</v>
      </c>
      <c r="CP3383" t="s">
        <v>1572</v>
      </c>
      <c r="CQ3383" t="s">
        <v>2146</v>
      </c>
      <c r="CR3383" s="459" t="s">
        <v>885</v>
      </c>
      <c r="CS3383" s="459" t="s">
        <v>885</v>
      </c>
      <c r="CT3383" s="245" t="s">
        <v>885</v>
      </c>
      <c r="CU3383" s="463" t="s">
        <v>885</v>
      </c>
      <c r="CV3383" t="s">
        <v>2375</v>
      </c>
      <c r="CW3383" s="245" t="s">
        <v>885</v>
      </c>
      <c r="CX3383" t="s">
        <v>1570</v>
      </c>
      <c r="CY3383" s="459" t="s">
        <v>885</v>
      </c>
      <c r="CZ3383" t="s">
        <v>2529</v>
      </c>
      <c r="DA3383" s="459" t="s">
        <v>885</v>
      </c>
      <c r="DB3383" s="459" t="s">
        <v>885</v>
      </c>
      <c r="DC3383" s="459" t="s">
        <v>885</v>
      </c>
      <c r="DD3383" s="459" t="s">
        <v>885</v>
      </c>
      <c r="DE3383" s="459" t="s">
        <v>885</v>
      </c>
      <c r="DF3383" t="s">
        <v>2670</v>
      </c>
      <c r="DG3383" s="459" t="s">
        <v>885</v>
      </c>
      <c r="DH3383" t="s">
        <v>1855</v>
      </c>
      <c r="DI3383" s="459" t="s">
        <v>885</v>
      </c>
      <c r="DJ3383" s="459" t="s">
        <v>885</v>
      </c>
      <c r="DK3383" s="459" t="s">
        <v>885</v>
      </c>
      <c r="DL3383" s="459" t="s">
        <v>885</v>
      </c>
      <c r="DM3383" s="459" t="s">
        <v>885</v>
      </c>
      <c r="DN3383" s="459" t="s">
        <v>885</v>
      </c>
      <c r="DO3383" t="s">
        <v>2927</v>
      </c>
      <c r="DP3383" t="s">
        <v>2988</v>
      </c>
      <c r="DQ3383" s="459" t="s">
        <v>885</v>
      </c>
      <c r="DR3383" s="459" t="s">
        <v>885</v>
      </c>
      <c r="DS3383" t="s">
        <v>3167</v>
      </c>
      <c r="DT3383" s="459" t="s">
        <v>885</v>
      </c>
      <c r="DU3383" s="459" t="s">
        <v>885</v>
      </c>
      <c r="DV3383" s="459" t="s">
        <v>885</v>
      </c>
      <c r="DW3383" s="245" t="s">
        <v>885</v>
      </c>
      <c r="DX3383" s="245" t="s">
        <v>885</v>
      </c>
      <c r="DY3383" s="245"/>
      <c r="DZ3383" s="470" t="str">
        <f>IF($B$265=$B$3278,EB3383,IF($B$265=$B$3279,ED3383,IF($B$265=$B$3280,EF3383,IF($B$265=$B$3281,EH3383,IF($B$265=$B$3282,EJ3383,IF($B$265=$B$3283,EL3383,IF($B$265=$B$3284,EN3383,IF($B$265=$B$3285,EP3383,IF($B$265=$B$3286,ER3383,IF($B$265=$B$3287,ET3383,IF($B$265=$B$3288,EV3383,IF($B$265=$B$3289,EX3383,IF($B$265=$B$3290,EZ3383,IF($B$265=$B$3291,FB3383,IF($B$265=$B$3292,FD3383,IF($B$265=$B$3293,BU3383,IF($B$265=$B$3294,FF3383,IF($B$265=$B$3295,FH3383,IF($B$265=$B$3296,FJ3383,IF($B$265=$B$3297,FL3383,IF($B$265=$B$3298,FN3383,IF($B$265=$B$3299,FP3383,IF(BI$265=$B$3300,FR3383,IF($B$265=$B$3301,FT3383,IF($B$265=$B$3302,FV3383,IF($B$265=$B$3303,FX3383,IF($B$265=$B$3304,FZ3383,IF($B$265=$B$3305,GB3383,IF($B$265=$B$3306,GD3383,IF($B$265=$B$3307,GF3383,IF($B$265=$B$3308,GH3383,IF($B$265=$B$3309,GJ3383,IF($B$265=$B$3310,GL3383,IF($B$265=$B$3311,GN3383,IF($B$265=$B$3312,GP3383,IF($B$265=$B$3313,GR3383,IF($B$265=$B$3314,GT3383,IF($B$265=$B$3315,GV3383,IF($B$265=$B$3316,GX3383,IF($B$265=$B$3317,GZ3383,IF($B$265=$B$3318,HB3383,IF($B$265=$B$3319,HD3383,IF($B$265=$B$3320,HF3383,IF($B$265=$B$3321,HH3383,IF($B$265=$B$3322,HJ3383,IF($B$265=$B$3323,HL3383,IF($B$265=$B$3324,HN3383,IF($B$265=$B$3325,HP3383,IF($B$265=$B$3326,HR3383,IF($B$265=$B$3327,HT3383,IF($B$265=$B$3328,HV3383,IF($B$265=$B$3329,HX3383,""))))))))))))))))))))))))))))))))))))))))))))))))))))</f>
        <v/>
      </c>
      <c r="EA3383" s="470" t="str">
        <f>IF($B$265=$B$3278,EC3383,IF($B$265=$B$3279,EE3383,IF($B$265=$B$3280,EG3383,IF($B$265=$B$3281,EI3383,IF($B$265=$B$3282,EK3383,IF($B$265=$B$3283,EM3383,IF($B$265=$B$3284,EO3383,IF($B$265=$B$3285,EQ3383,IF($B$265=$B$3286,ES3383,IF($B$265=$B$3287,EU3383,IF($B$265=$B$3288,EW3383,IF($B$265=$B$3289,EY3383,IF($B$265=$B$3290,FA3383,IF($B$265=$B$3291,FC3383,IF($B$265=$B$3292,FE3383,IF($B$265=$B$3293,BK3383,IF($B$265=$B$3294,FG3383,IF($B$265=$B$3295,FI3383,IF($B$265=$B$3296,FK3383,IF($B$265=$B$3297,FM3383,IF($B$265=$B$3298,FO3383,IF($B$265=$B$3299,FQ3383,IF(BJ$265=$B$3300,FS3383,IF($B$265=$B$3301,FU3383,IF($B$265=$B$3302,FW3383,IF($B$265=$B$3303,FY3383,IF($B$265=$B$3304,GA3383,IF($B$265=$B$3305,GC3383,IF($B$265=$B$3306,GE3383,IF($B$265=$B$3307,GG3383,IF($B$265=$B$3308,GI3383,IF($B$265=$B$3309,GK3383,IF($B$265=$B$3310,GM3383,IF($B$265=$B$3311,GO3383,IF($B$265=$B$3312,GQ3383,IF($B$265=$B$3313,GS3383,IF($B$265=$B$3314,GU3383,IF($B$265=$B$3315,GW3383,IF($B$265=$B$3316,GY3383,IF($B$265=$B$3317,HA3383,IF($B$265=$B$3318,HC3383,IF($B$265=$B$3319,HE3383,IF($B$265=$B$3320,HG3383,IF($B$265=$B$3321,HI3383,IF($B$265=$B$3322,HK3383,IF($B$265=$B$3323,HM3383,IF($B$265=$B$3324,HO3383,IF($B$265=$B$3325,HQ3383,IF($B$265=$B$3326,HS3383,IF($B$265=$B$3327,HU3383,IF($B$265=$B$3328,HW3383,IF($B$265=$B$3329,HY3383,""))))))))))))))))))))))))))))))))))))))))))))))))))))</f>
        <v/>
      </c>
    </row>
    <row r="3384" spans="1:131" ht="16" hidden="1" x14ac:dyDescent="0.4">
      <c r="A3384" s="814"/>
      <c r="B3384" s="69"/>
      <c r="BB3384" s="48"/>
      <c r="BS3384" s="464" t="str">
        <f>IF($B$265=B$3278,BZ3383,IF($B$265=B$3279,CA3383,IF($B$265=B$3280,CB3383,IF($B$265=B$3281,CC3383,IF($B$265=B$3282,CD3383,IF($B$265=B$3283,CE3383,IF($B$265=B$3284,CF3383,IF($B$265=B$3285,CG3383,IF($B$265=B$3286,CH3383,IF($B$265=B$3287,CI3383,IF($B$265=B$3288,CJ3383,IF($B$265=B$3289,CK3383,IF($B$265=B$3290,CL3383,IF($B$265=B$3291,CM3383,IF($B$265=B$3292,CN3383,IF($B$265=B$3293,#REF!,IF($B$265=B$3294,CO3383,IF($B$265=B$3295,CP3383,IF($B$265=B$3296,CQ3383,IF($B$265=B$3297,CR3383,IF($B$265=B$3298,CS3383,IF($B$265=B$3299,CT3383,IF(B$265=B$3300,CU3383,IF($B$265=B$3301,CV3383,IF($B$265=B$3302,CW3383,IF($B$265=B$3303,CX3383,IF($B$265=B$3304,CY3383,IF($B$265=B$3305,CZ3383,IF($B$265=B$3306,DA3383,IF($B$265=B$3307,DB3383,IF($B$265=B$3308,DC3383,IF($B$265=B$3309,DD3383,IF($B$265=B$3310,DE3383,IF($B$265=B$3311,DF3383,IF($B$265=B$3312,DG3383,IF($B$265=B$3313,DH3383,IF($B$265=B$3314,DI3383,IF($B$265=B$3315,DJ3383,IF($B$265=B$3316,DK3383,IF($B$265=B$3317,DL3383,IF($B$265=B$3318,DM3383,IF($B$265=B$3319,DN3383,IF($B$265=B$3320,DO3383,IF($B$265=B$3321,DP3383,IF($B$265=B$3322,DQ3383,IF($B$265=B$3323,DR3383,IF($B$265=B$3324,DS3383,IF($B$265=B$3325,DT3383,IF($B$265=B$3326,DU3383,IF($B$265=B$3327,DV3383,IF($B$265=B$3328,DW3383,IF($B$265=B$3329,DX3383,""))))))))))))))))))))))))))))))))))))))))))))))))))))</f>
        <v/>
      </c>
      <c r="BZ3384" s="245" t="s">
        <v>885</v>
      </c>
      <c r="CA3384" s="245" t="s">
        <v>885</v>
      </c>
      <c r="CC3384" s="245" t="s">
        <v>885</v>
      </c>
      <c r="CD3384" s="459" t="s">
        <v>885</v>
      </c>
      <c r="CE3384" s="459" t="s">
        <v>885</v>
      </c>
      <c r="CF3384" s="245" t="s">
        <v>885</v>
      </c>
      <c r="CG3384" s="245" t="s">
        <v>885</v>
      </c>
      <c r="CH3384" s="245" t="s">
        <v>885</v>
      </c>
      <c r="CI3384" s="245" t="s">
        <v>885</v>
      </c>
      <c r="CJ3384" t="s">
        <v>1815</v>
      </c>
      <c r="CK3384" s="459" t="s">
        <v>885</v>
      </c>
      <c r="CL3384" s="459" t="s">
        <v>885</v>
      </c>
      <c r="CM3384" t="s">
        <v>1489</v>
      </c>
      <c r="CN3384" t="s">
        <v>1854</v>
      </c>
      <c r="CO3384" t="s">
        <v>2035</v>
      </c>
      <c r="CP3384" t="s">
        <v>1573</v>
      </c>
      <c r="CQ3384" t="s">
        <v>1480</v>
      </c>
      <c r="CR3384" s="459" t="s">
        <v>885</v>
      </c>
      <c r="CS3384" s="459" t="s">
        <v>885</v>
      </c>
      <c r="CT3384" s="245" t="s">
        <v>885</v>
      </c>
      <c r="CU3384" s="463" t="s">
        <v>885</v>
      </c>
      <c r="CV3384" t="s">
        <v>2039</v>
      </c>
      <c r="CW3384" s="245" t="s">
        <v>885</v>
      </c>
      <c r="CX3384" t="s">
        <v>1743</v>
      </c>
      <c r="CY3384" s="459" t="s">
        <v>885</v>
      </c>
      <c r="CZ3384" t="s">
        <v>1844</v>
      </c>
      <c r="DA3384" s="459" t="s">
        <v>885</v>
      </c>
      <c r="DB3384" s="459" t="s">
        <v>885</v>
      </c>
      <c r="DC3384" s="459" t="s">
        <v>885</v>
      </c>
      <c r="DD3384" s="459" t="s">
        <v>885</v>
      </c>
      <c r="DE3384" s="459" t="s">
        <v>885</v>
      </c>
      <c r="DF3384" t="s">
        <v>2671</v>
      </c>
      <c r="DG3384" s="459" t="s">
        <v>885</v>
      </c>
      <c r="DH3384" t="s">
        <v>2710</v>
      </c>
      <c r="DI3384" s="459" t="s">
        <v>885</v>
      </c>
      <c r="DJ3384" s="459" t="s">
        <v>885</v>
      </c>
      <c r="DK3384" s="459" t="s">
        <v>885</v>
      </c>
      <c r="DL3384" s="459" t="s">
        <v>885</v>
      </c>
      <c r="DM3384" s="459" t="s">
        <v>885</v>
      </c>
      <c r="DN3384" s="459" t="s">
        <v>885</v>
      </c>
      <c r="DO3384" t="s">
        <v>2928</v>
      </c>
      <c r="DP3384" t="s">
        <v>2989</v>
      </c>
      <c r="DQ3384" s="459" t="s">
        <v>885</v>
      </c>
      <c r="DR3384" s="459" t="s">
        <v>885</v>
      </c>
      <c r="DS3384" t="s">
        <v>3168</v>
      </c>
      <c r="DT3384" s="459" t="s">
        <v>885</v>
      </c>
      <c r="DU3384" s="459" t="s">
        <v>885</v>
      </c>
      <c r="DV3384" s="459" t="s">
        <v>885</v>
      </c>
      <c r="DW3384" s="245" t="s">
        <v>885</v>
      </c>
      <c r="DX3384" s="245" t="s">
        <v>885</v>
      </c>
      <c r="DY3384" s="245"/>
      <c r="DZ3384" s="470" t="str">
        <f>IF($B$265=$B$3278,EB3384,IF($B$265=$B$3279,ED3384,IF($B$265=$B$3280,EF3384,IF($B$265=$B$3281,EH3384,IF($B$265=$B$3282,EJ3384,IF($B$265=$B$3283,EL3384,IF($B$265=$B$3284,EN3384,IF($B$265=$B$3285,EP3384,IF($B$265=$B$3286,ER3384,IF($B$265=$B$3287,ET3384,IF($B$265=$B$3288,EV3384,IF($B$265=$B$3289,EX3384,IF($B$265=$B$3290,EZ3384,IF($B$265=$B$3291,FB3384,IF($B$265=$B$3292,FD3384,IF($B$265=$B$3293,BU3384,IF($B$265=$B$3294,FF3384,IF($B$265=$B$3295,FH3384,IF($B$265=$B$3296,FJ3384,IF($B$265=$B$3297,FL3384,IF($B$265=$B$3298,FN3384,IF($B$265=$B$3299,FP3384,IF(BI$265=$B$3300,FR3384,IF($B$265=$B$3301,FT3384,IF($B$265=$B$3302,FV3384,IF($B$265=$B$3303,FX3384,IF($B$265=$B$3304,FZ3384,IF($B$265=$B$3305,GB3384,IF($B$265=$B$3306,GD3384,IF($B$265=$B$3307,GF3384,IF($B$265=$B$3308,GH3384,IF($B$265=$B$3309,GJ3384,IF($B$265=$B$3310,GL3384,IF($B$265=$B$3311,GN3384,IF($B$265=$B$3312,GP3384,IF($B$265=$B$3313,GR3384,IF($B$265=$B$3314,GT3384,IF($B$265=$B$3315,GV3384,IF($B$265=$B$3316,GX3384,IF($B$265=$B$3317,GZ3384,IF($B$265=$B$3318,HB3384,IF($B$265=$B$3319,HD3384,IF($B$265=$B$3320,HF3384,IF($B$265=$B$3321,HH3384,IF($B$265=$B$3322,HJ3384,IF($B$265=$B$3323,HL3384,IF($B$265=$B$3324,HN3384,IF($B$265=$B$3325,HP3384,IF($B$265=$B$3326,HR3384,IF($B$265=$B$3327,HT3384,IF($B$265=$B$3328,HV3384,IF($B$265=$B$3329,HX3384,""))))))))))))))))))))))))))))))))))))))))))))))))))))</f>
        <v/>
      </c>
      <c r="EA3384" s="470" t="str">
        <f>IF($B$265=$B$3278,EC3384,IF($B$265=$B$3279,EE3384,IF($B$265=$B$3280,EG3384,IF($B$265=$B$3281,EI3384,IF($B$265=$B$3282,EK3384,IF($B$265=$B$3283,EM3384,IF($B$265=$B$3284,EO3384,IF($B$265=$B$3285,EQ3384,IF($B$265=$B$3286,ES3384,IF($B$265=$B$3287,EU3384,IF($B$265=$B$3288,EW3384,IF($B$265=$B$3289,EY3384,IF($B$265=$B$3290,FA3384,IF($B$265=$B$3291,FC3384,IF($B$265=$B$3292,FE3384,IF($B$265=$B$3293,BK3384,IF($B$265=$B$3294,FG3384,IF($B$265=$B$3295,FI3384,IF($B$265=$B$3296,FK3384,IF($B$265=$B$3297,FM3384,IF($B$265=$B$3298,FO3384,IF($B$265=$B$3299,FQ3384,IF(BJ$265=$B$3300,FS3384,IF($B$265=$B$3301,FU3384,IF($B$265=$B$3302,FW3384,IF($B$265=$B$3303,FY3384,IF($B$265=$B$3304,GA3384,IF($B$265=$B$3305,GC3384,IF($B$265=$B$3306,GE3384,IF($B$265=$B$3307,GG3384,IF($B$265=$B$3308,GI3384,IF($B$265=$B$3309,GK3384,IF($B$265=$B$3310,GM3384,IF($B$265=$B$3311,GO3384,IF($B$265=$B$3312,GQ3384,IF($B$265=$B$3313,GS3384,IF($B$265=$B$3314,GU3384,IF($B$265=$B$3315,GW3384,IF($B$265=$B$3316,GY3384,IF($B$265=$B$3317,HA3384,IF($B$265=$B$3318,HC3384,IF($B$265=$B$3319,HE3384,IF($B$265=$B$3320,HG3384,IF($B$265=$B$3321,HI3384,IF($B$265=$B$3322,HK3384,IF($B$265=$B$3323,HM3384,IF($B$265=$B$3324,HO3384,IF($B$265=$B$3325,HQ3384,IF($B$265=$B$3326,HS3384,IF($B$265=$B$3327,HU3384,IF($B$265=$B$3328,HW3384,IF($B$265=$B$3329,HY3384,""))))))))))))))))))))))))))))))))))))))))))))))))))))</f>
        <v/>
      </c>
    </row>
    <row r="3385" spans="1:131" ht="16" hidden="1" x14ac:dyDescent="0.4">
      <c r="A3385" s="814"/>
      <c r="B3385" s="69" t="str">
        <f>IF(D$3363=0,"",CONCATENATE(B3359,D$3363))</f>
        <v xml:space="preserve">no, I don't need to notify any Mailing address: </v>
      </c>
      <c r="BB3385" s="48"/>
      <c r="BS3385" s="464" t="str">
        <f>IF($B$265=B$3278,BZ3384,IF($B$265=B$3279,CA3384,IF($B$265=B$3280,CB3384,IF($B$265=B$3281,CC3384,IF($B$265=B$3282,CD3384,IF($B$265=B$3283,CE3384,IF($B$265=B$3284,CF3384,IF($B$265=B$3285,CG3384,IF($B$265=B$3286,CH3384,IF($B$265=B$3287,CI3384,IF($B$265=B$3288,CJ3384,IF($B$265=B$3289,CK3384,IF($B$265=B$3290,CL3384,IF($B$265=B$3291,CM3384,IF($B$265=B$3292,CN3384,IF($B$265=B$3293,#REF!,IF($B$265=B$3294,CO3384,IF($B$265=B$3295,CP3384,IF($B$265=B$3296,CQ3384,IF($B$265=B$3297,CR3384,IF($B$265=B$3298,CS3384,IF($B$265=B$3299,CT3384,IF(B$265=B$3300,CU3384,IF($B$265=B$3301,CV3384,IF($B$265=B$3302,CW3384,IF($B$265=B$3303,CX3384,IF($B$265=B$3304,CY3384,IF($B$265=B$3305,CZ3384,IF($B$265=B$3306,DA3384,IF($B$265=B$3307,DB3384,IF($B$265=B$3308,DC3384,IF($B$265=B$3309,DD3384,IF($B$265=B$3310,DE3384,IF($B$265=B$3311,DF3384,IF($B$265=B$3312,DG3384,IF($B$265=B$3313,DH3384,IF($B$265=B$3314,DI3384,IF($B$265=B$3315,DJ3384,IF($B$265=B$3316,DK3384,IF($B$265=B$3317,DL3384,IF($B$265=B$3318,DM3384,IF($B$265=B$3319,DN3384,IF($B$265=B$3320,DO3384,IF($B$265=B$3321,DP3384,IF($B$265=B$3322,DQ3384,IF($B$265=B$3323,DR3384,IF($B$265=B$3324,DS3384,IF($B$265=B$3325,DT3384,IF($B$265=B$3326,DU3384,IF($B$265=B$3327,DV3384,IF($B$265=B$3328,DW3384,IF($B$265=B$3329,DX3384,""))))))))))))))))))))))))))))))))))))))))))))))))))))</f>
        <v/>
      </c>
      <c r="BZ3385" s="245" t="s">
        <v>885</v>
      </c>
      <c r="CA3385" s="245" t="s">
        <v>885</v>
      </c>
      <c r="CC3385" s="245" t="s">
        <v>885</v>
      </c>
      <c r="CD3385" s="459" t="s">
        <v>885</v>
      </c>
      <c r="CE3385" s="459" t="s">
        <v>885</v>
      </c>
      <c r="CF3385" s="245" t="s">
        <v>885</v>
      </c>
      <c r="CG3385" s="245" t="s">
        <v>885</v>
      </c>
      <c r="CH3385" s="245" t="s">
        <v>885</v>
      </c>
      <c r="CI3385" s="245" t="s">
        <v>885</v>
      </c>
      <c r="CJ3385" t="s">
        <v>1816</v>
      </c>
      <c r="CK3385" s="459" t="s">
        <v>885</v>
      </c>
      <c r="CL3385" s="459" t="s">
        <v>885</v>
      </c>
      <c r="CM3385" t="s">
        <v>1488</v>
      </c>
      <c r="CN3385" t="s">
        <v>1992</v>
      </c>
      <c r="CO3385" t="s">
        <v>1750</v>
      </c>
      <c r="CP3385" t="s">
        <v>1691</v>
      </c>
      <c r="CQ3385" t="s">
        <v>1481</v>
      </c>
      <c r="CR3385" s="459" t="s">
        <v>885</v>
      </c>
      <c r="CS3385" s="459" t="s">
        <v>885</v>
      </c>
      <c r="CT3385" s="245" t="s">
        <v>885</v>
      </c>
      <c r="CU3385" s="463" t="s">
        <v>885</v>
      </c>
      <c r="CV3385" t="s">
        <v>2376</v>
      </c>
      <c r="CW3385" s="245" t="s">
        <v>885</v>
      </c>
      <c r="CX3385" t="s">
        <v>2441</v>
      </c>
      <c r="CY3385" s="459" t="s">
        <v>885</v>
      </c>
      <c r="CZ3385" t="s">
        <v>2530</v>
      </c>
      <c r="DA3385" s="459" t="s">
        <v>885</v>
      </c>
      <c r="DB3385" s="459" t="s">
        <v>885</v>
      </c>
      <c r="DC3385" s="459" t="s">
        <v>885</v>
      </c>
      <c r="DD3385" s="459" t="s">
        <v>885</v>
      </c>
      <c r="DE3385" s="459" t="s">
        <v>885</v>
      </c>
      <c r="DF3385" t="s">
        <v>2672</v>
      </c>
      <c r="DG3385" s="459" t="s">
        <v>885</v>
      </c>
      <c r="DH3385" t="s">
        <v>2744</v>
      </c>
      <c r="DI3385" s="459" t="s">
        <v>885</v>
      </c>
      <c r="DJ3385" s="459" t="s">
        <v>885</v>
      </c>
      <c r="DK3385" s="459" t="s">
        <v>885</v>
      </c>
      <c r="DL3385" s="459" t="s">
        <v>885</v>
      </c>
      <c r="DM3385" s="459" t="s">
        <v>885</v>
      </c>
      <c r="DN3385" s="459" t="s">
        <v>885</v>
      </c>
      <c r="DO3385" t="s">
        <v>1579</v>
      </c>
      <c r="DP3385" t="s">
        <v>2990</v>
      </c>
      <c r="DQ3385" s="459" t="s">
        <v>885</v>
      </c>
      <c r="DR3385" s="459" t="s">
        <v>885</v>
      </c>
      <c r="DS3385" t="s">
        <v>2658</v>
      </c>
      <c r="DT3385" s="459" t="s">
        <v>885</v>
      </c>
      <c r="DU3385" s="459" t="s">
        <v>885</v>
      </c>
      <c r="DV3385" s="459" t="s">
        <v>885</v>
      </c>
      <c r="DW3385" s="245" t="s">
        <v>885</v>
      </c>
      <c r="DX3385" s="245" t="s">
        <v>885</v>
      </c>
      <c r="DY3385" s="245"/>
      <c r="DZ3385" s="470" t="str">
        <f>IF($B$265=$B$3278,EB3385,IF($B$265=$B$3279,ED3385,IF($B$265=$B$3280,EF3385,IF($B$265=$B$3281,EH3385,IF($B$265=$B$3282,EJ3385,IF($B$265=$B$3283,EL3385,IF($B$265=$B$3284,EN3385,IF($B$265=$B$3285,EP3385,IF($B$265=$B$3286,ER3385,IF($B$265=$B$3287,ET3385,IF($B$265=$B$3288,EV3385,IF($B$265=$B$3289,EX3385,IF($B$265=$B$3290,EZ3385,IF($B$265=$B$3291,FB3385,IF($B$265=$B$3292,FD3385,IF($B$265=$B$3293,BU3385,IF($B$265=$B$3294,FF3385,IF($B$265=$B$3295,FH3385,IF($B$265=$B$3296,FJ3385,IF($B$265=$B$3297,FL3385,IF($B$265=$B$3298,FN3385,IF($B$265=$B$3299,FP3385,IF(BI$265=$B$3300,FR3385,IF($B$265=$B$3301,FT3385,IF($B$265=$B$3302,FV3385,IF($B$265=$B$3303,FX3385,IF($B$265=$B$3304,FZ3385,IF($B$265=$B$3305,GB3385,IF($B$265=$B$3306,GD3385,IF($B$265=$B$3307,GF3385,IF($B$265=$B$3308,GH3385,IF($B$265=$B$3309,GJ3385,IF($B$265=$B$3310,GL3385,IF($B$265=$B$3311,GN3385,IF($B$265=$B$3312,GP3385,IF($B$265=$B$3313,GR3385,IF($B$265=$B$3314,GT3385,IF($B$265=$B$3315,GV3385,IF($B$265=$B$3316,GX3385,IF($B$265=$B$3317,GZ3385,IF($B$265=$B$3318,HB3385,IF($B$265=$B$3319,HD3385,IF($B$265=$B$3320,HF3385,IF($B$265=$B$3321,HH3385,IF($B$265=$B$3322,HJ3385,IF($B$265=$B$3323,HL3385,IF($B$265=$B$3324,HN3385,IF($B$265=$B$3325,HP3385,IF($B$265=$B$3326,HR3385,IF($B$265=$B$3327,HT3385,IF($B$265=$B$3328,HV3385,IF($B$265=$B$3329,HX3385,""))))))))))))))))))))))))))))))))))))))))))))))))))))</f>
        <v/>
      </c>
      <c r="EA3385" s="470" t="str">
        <f>IF($B$265=$B$3278,EC3385,IF($B$265=$B$3279,EE3385,IF($B$265=$B$3280,EG3385,IF($B$265=$B$3281,EI3385,IF($B$265=$B$3282,EK3385,IF($B$265=$B$3283,EM3385,IF($B$265=$B$3284,EO3385,IF($B$265=$B$3285,EQ3385,IF($B$265=$B$3286,ES3385,IF($B$265=$B$3287,EU3385,IF($B$265=$B$3288,EW3385,IF($B$265=$B$3289,EY3385,IF($B$265=$B$3290,FA3385,IF($B$265=$B$3291,FC3385,IF($B$265=$B$3292,FE3385,IF($B$265=$B$3293,BK3385,IF($B$265=$B$3294,FG3385,IF($B$265=$B$3295,FI3385,IF($B$265=$B$3296,FK3385,IF($B$265=$B$3297,FM3385,IF($B$265=$B$3298,FO3385,IF($B$265=$B$3299,FQ3385,IF(BJ$265=$B$3300,FS3385,IF($B$265=$B$3301,FU3385,IF($B$265=$B$3302,FW3385,IF($B$265=$B$3303,FY3385,IF($B$265=$B$3304,GA3385,IF($B$265=$B$3305,GC3385,IF($B$265=$B$3306,GE3385,IF($B$265=$B$3307,GG3385,IF($B$265=$B$3308,GI3385,IF($B$265=$B$3309,GK3385,IF($B$265=$B$3310,GM3385,IF($B$265=$B$3311,GO3385,IF($B$265=$B$3312,GQ3385,IF($B$265=$B$3313,GS3385,IF($B$265=$B$3314,GU3385,IF($B$265=$B$3315,GW3385,IF($B$265=$B$3316,GY3385,IF($B$265=$B$3317,HA3385,IF($B$265=$B$3318,HC3385,IF($B$265=$B$3319,HE3385,IF($B$265=$B$3320,HG3385,IF($B$265=$B$3321,HI3385,IF($B$265=$B$3322,HK3385,IF($B$265=$B$3323,HM3385,IF($B$265=$B$3324,HO3385,IF($B$265=$B$3325,HQ3385,IF($B$265=$B$3326,HS3385,IF($B$265=$B$3327,HU3385,IF($B$265=$B$3328,HW3385,IF($B$265=$B$3329,HY3385,""))))))))))))))))))))))))))))))))))))))))))))))))))))</f>
        <v/>
      </c>
    </row>
    <row r="3386" spans="1:131" ht="16" hidden="1" x14ac:dyDescent="0.4">
      <c r="A3386" s="814"/>
      <c r="B3386" s="393" t="s">
        <v>967</v>
      </c>
      <c r="BB3386" s="48"/>
      <c r="BS3386" s="464" t="str">
        <f>IF($B$265=B$3278,BZ3385,IF($B$265=B$3279,CA3385,IF($B$265=B$3280,CB3385,IF($B$265=B$3281,CC3385,IF($B$265=B$3282,CD3385,IF($B$265=B$3283,CE3385,IF($B$265=B$3284,CF3385,IF($B$265=B$3285,CG3385,IF($B$265=B$3286,CH3385,IF($B$265=B$3287,CI3385,IF($B$265=B$3288,CJ3385,IF($B$265=B$3289,CK3385,IF($B$265=B$3290,CL3385,IF($B$265=B$3291,CM3385,IF($B$265=B$3292,CN3385,IF($B$265=B$3293,#REF!,IF($B$265=B$3294,CO3385,IF($B$265=B$3295,CP3385,IF($B$265=B$3296,CQ3385,IF($B$265=B$3297,CR3385,IF($B$265=B$3298,CS3385,IF($B$265=B$3299,CT3385,IF(B$265=B$3300,CU3385,IF($B$265=B$3301,CV3385,IF($B$265=B$3302,CW3385,IF($B$265=B$3303,CX3385,IF($B$265=B$3304,CY3385,IF($B$265=B$3305,CZ3385,IF($B$265=B$3306,DA3385,IF($B$265=B$3307,DB3385,IF($B$265=B$3308,DC3385,IF($B$265=B$3309,DD3385,IF($B$265=B$3310,DE3385,IF($B$265=B$3311,DF3385,IF($B$265=B$3312,DG3385,IF($B$265=B$3313,DH3385,IF($B$265=B$3314,DI3385,IF($B$265=B$3315,DJ3385,IF($B$265=B$3316,DK3385,IF($B$265=B$3317,DL3385,IF($B$265=B$3318,DM3385,IF($B$265=B$3319,DN3385,IF($B$265=B$3320,DO3385,IF($B$265=B$3321,DP3385,IF($B$265=B$3322,DQ3385,IF($B$265=B$3323,DR3385,IF($B$265=B$3324,DS3385,IF($B$265=B$3325,DT3385,IF($B$265=B$3326,DU3385,IF($B$265=B$3327,DV3385,IF($B$265=B$3328,DW3385,IF($B$265=B$3329,DX3385,""))))))))))))))))))))))))))))))))))))))))))))))))))))</f>
        <v/>
      </c>
      <c r="BZ3386" s="245" t="s">
        <v>885</v>
      </c>
      <c r="CA3386" s="245" t="s">
        <v>885</v>
      </c>
      <c r="CC3386" s="245" t="s">
        <v>885</v>
      </c>
      <c r="CD3386" s="459" t="s">
        <v>885</v>
      </c>
      <c r="CE3386" s="459" t="s">
        <v>885</v>
      </c>
      <c r="CF3386" s="245" t="s">
        <v>885</v>
      </c>
      <c r="CG3386" s="245" t="s">
        <v>885</v>
      </c>
      <c r="CH3386" s="245" t="s">
        <v>885</v>
      </c>
      <c r="CI3386" s="245" t="s">
        <v>885</v>
      </c>
      <c r="CJ3386" t="s">
        <v>1471</v>
      </c>
      <c r="CK3386" s="459" t="s">
        <v>885</v>
      </c>
      <c r="CL3386" s="459" t="s">
        <v>885</v>
      </c>
      <c r="CM3386" t="s">
        <v>1944</v>
      </c>
      <c r="CN3386" t="s">
        <v>1495</v>
      </c>
      <c r="CO3386" t="s">
        <v>1579</v>
      </c>
      <c r="CP3386" t="s">
        <v>2091</v>
      </c>
      <c r="CQ3386" t="s">
        <v>1482</v>
      </c>
      <c r="CR3386" s="459" t="s">
        <v>885</v>
      </c>
      <c r="CS3386" s="459" t="s">
        <v>885</v>
      </c>
      <c r="CT3386" s="245" t="s">
        <v>885</v>
      </c>
      <c r="CU3386" s="463" t="s">
        <v>885</v>
      </c>
      <c r="CV3386" s="245" t="s">
        <v>885</v>
      </c>
      <c r="CW3386" s="245" t="s">
        <v>885</v>
      </c>
      <c r="CX3386" t="s">
        <v>1486</v>
      </c>
      <c r="CY3386" s="459" t="s">
        <v>885</v>
      </c>
      <c r="CZ3386" t="s">
        <v>1899</v>
      </c>
      <c r="DA3386" s="459" t="s">
        <v>885</v>
      </c>
      <c r="DB3386" s="459" t="s">
        <v>885</v>
      </c>
      <c r="DC3386" s="459" t="s">
        <v>885</v>
      </c>
      <c r="DD3386" s="459" t="s">
        <v>885</v>
      </c>
      <c r="DE3386" s="459" t="s">
        <v>885</v>
      </c>
      <c r="DF3386" t="s">
        <v>2673</v>
      </c>
      <c r="DG3386" s="459" t="s">
        <v>885</v>
      </c>
      <c r="DH3386" t="s">
        <v>2745</v>
      </c>
      <c r="DI3386" s="459" t="s">
        <v>885</v>
      </c>
      <c r="DJ3386" s="459" t="s">
        <v>885</v>
      </c>
      <c r="DK3386" s="459" t="s">
        <v>885</v>
      </c>
      <c r="DL3386" s="459" t="s">
        <v>885</v>
      </c>
      <c r="DM3386" s="459" t="s">
        <v>885</v>
      </c>
      <c r="DN3386" s="459" t="s">
        <v>885</v>
      </c>
      <c r="DO3386" t="s">
        <v>1580</v>
      </c>
      <c r="DP3386" t="s">
        <v>2991</v>
      </c>
      <c r="DQ3386" s="459" t="s">
        <v>885</v>
      </c>
      <c r="DR3386" s="459" t="s">
        <v>885</v>
      </c>
      <c r="DS3386" t="s">
        <v>2829</v>
      </c>
      <c r="DT3386" s="459" t="s">
        <v>885</v>
      </c>
      <c r="DU3386" s="459" t="s">
        <v>885</v>
      </c>
      <c r="DV3386" s="459" t="s">
        <v>885</v>
      </c>
      <c r="DW3386" s="245" t="s">
        <v>885</v>
      </c>
      <c r="DX3386" s="245" t="s">
        <v>885</v>
      </c>
      <c r="DY3386" s="245"/>
      <c r="DZ3386" s="470" t="str">
        <f>IF($B$265=$B$3278,EB3386,IF($B$265=$B$3279,ED3386,IF($B$265=$B$3280,EF3386,IF($B$265=$B$3281,EH3386,IF($B$265=$B$3282,EJ3386,IF($B$265=$B$3283,EL3386,IF($B$265=$B$3284,EN3386,IF($B$265=$B$3285,EP3386,IF($B$265=$B$3286,ER3386,IF($B$265=$B$3287,ET3386,IF($B$265=$B$3288,EV3386,IF($B$265=$B$3289,EX3386,IF($B$265=$B$3290,EZ3386,IF($B$265=$B$3291,FB3386,IF($B$265=$B$3292,FD3386,IF($B$265=$B$3293,BU3386,IF($B$265=$B$3294,FF3386,IF($B$265=$B$3295,FH3386,IF($B$265=$B$3296,FJ3386,IF($B$265=$B$3297,FL3386,IF($B$265=$B$3298,FN3386,IF($B$265=$B$3299,FP3386,IF(BI$265=$B$3300,FR3386,IF($B$265=$B$3301,FT3386,IF($B$265=$B$3302,FV3386,IF($B$265=$B$3303,FX3386,IF($B$265=$B$3304,FZ3386,IF($B$265=$B$3305,GB3386,IF($B$265=$B$3306,GD3386,IF($B$265=$B$3307,GF3386,IF($B$265=$B$3308,GH3386,IF($B$265=$B$3309,GJ3386,IF($B$265=$B$3310,GL3386,IF($B$265=$B$3311,GN3386,IF($B$265=$B$3312,GP3386,IF($B$265=$B$3313,GR3386,IF($B$265=$B$3314,GT3386,IF($B$265=$B$3315,GV3386,IF($B$265=$B$3316,GX3386,IF($B$265=$B$3317,GZ3386,IF($B$265=$B$3318,HB3386,IF($B$265=$B$3319,HD3386,IF($B$265=$B$3320,HF3386,IF($B$265=$B$3321,HH3386,IF($B$265=$B$3322,HJ3386,IF($B$265=$B$3323,HL3386,IF($B$265=$B$3324,HN3386,IF($B$265=$B$3325,HP3386,IF($B$265=$B$3326,HR3386,IF($B$265=$B$3327,HT3386,IF($B$265=$B$3328,HV3386,IF($B$265=$B$3329,HX3386,""))))))))))))))))))))))))))))))))))))))))))))))))))))</f>
        <v/>
      </c>
      <c r="EA3386" s="470" t="str">
        <f>IF($B$265=$B$3278,EC3386,IF($B$265=$B$3279,EE3386,IF($B$265=$B$3280,EG3386,IF($B$265=$B$3281,EI3386,IF($B$265=$B$3282,EK3386,IF($B$265=$B$3283,EM3386,IF($B$265=$B$3284,EO3386,IF($B$265=$B$3285,EQ3386,IF($B$265=$B$3286,ES3386,IF($B$265=$B$3287,EU3386,IF($B$265=$B$3288,EW3386,IF($B$265=$B$3289,EY3386,IF($B$265=$B$3290,FA3386,IF($B$265=$B$3291,FC3386,IF($B$265=$B$3292,FE3386,IF($B$265=$B$3293,BK3386,IF($B$265=$B$3294,FG3386,IF($B$265=$B$3295,FI3386,IF($B$265=$B$3296,FK3386,IF($B$265=$B$3297,FM3386,IF($B$265=$B$3298,FO3386,IF($B$265=$B$3299,FQ3386,IF(BJ$265=$B$3300,FS3386,IF($B$265=$B$3301,FU3386,IF($B$265=$B$3302,FW3386,IF($B$265=$B$3303,FY3386,IF($B$265=$B$3304,GA3386,IF($B$265=$B$3305,GC3386,IF($B$265=$B$3306,GE3386,IF($B$265=$B$3307,GG3386,IF($B$265=$B$3308,GI3386,IF($B$265=$B$3309,GK3386,IF($B$265=$B$3310,GM3386,IF($B$265=$B$3311,GO3386,IF($B$265=$B$3312,GQ3386,IF($B$265=$B$3313,GS3386,IF($B$265=$B$3314,GU3386,IF($B$265=$B$3315,GW3386,IF($B$265=$B$3316,GY3386,IF($B$265=$B$3317,HA3386,IF($B$265=$B$3318,HC3386,IF($B$265=$B$3319,HE3386,IF($B$265=$B$3320,HG3386,IF($B$265=$B$3321,HI3386,IF($B$265=$B$3322,HK3386,IF($B$265=$B$3323,HM3386,IF($B$265=$B$3324,HO3386,IF($B$265=$B$3325,HQ3386,IF($B$265=$B$3326,HS3386,IF($B$265=$B$3327,HU3386,IF($B$265=$B$3328,HW3386,IF($B$265=$B$3329,HY3386,""))))))))))))))))))))))))))))))))))))))))))))))))))))</f>
        <v/>
      </c>
    </row>
    <row r="3387" spans="1:131" ht="16" hidden="1" x14ac:dyDescent="0.4">
      <c r="A3387" s="814"/>
      <c r="B3387" s="69" t="s">
        <v>968</v>
      </c>
      <c r="BS3387" s="464" t="str">
        <f>IF($B$265=B$3278,BZ3386,IF($B$265=B$3279,CA3386,IF($B$265=B$3280,CB3386,IF($B$265=B$3281,CC3386,IF($B$265=B$3282,CD3386,IF($B$265=B$3283,CE3386,IF($B$265=B$3284,CF3386,IF($B$265=B$3285,CG3386,IF($B$265=B$3286,CH3386,IF($B$265=B$3287,CI3386,IF($B$265=B$3288,CJ3386,IF($B$265=B$3289,CK3386,IF($B$265=B$3290,CL3386,IF($B$265=B$3291,CM3386,IF($B$265=B$3292,CN3386,IF($B$265=B$3293,#REF!,IF($B$265=B$3294,CO3386,IF($B$265=B$3295,CP3386,IF($B$265=B$3296,CQ3386,IF($B$265=B$3297,CR3386,IF($B$265=B$3298,CS3386,IF($B$265=B$3299,CT3386,IF(B$265=B$3300,CU3386,IF($B$265=B$3301,CV3386,IF($B$265=B$3302,CW3386,IF($B$265=B$3303,CX3386,IF($B$265=B$3304,CY3386,IF($B$265=B$3305,CZ3386,IF($B$265=B$3306,DA3386,IF($B$265=B$3307,DB3386,IF($B$265=B$3308,DC3386,IF($B$265=B$3309,DD3386,IF($B$265=B$3310,DE3386,IF($B$265=B$3311,DF3386,IF($B$265=B$3312,DG3386,IF($B$265=B$3313,DH3386,IF($B$265=B$3314,DI3386,IF($B$265=B$3315,DJ3386,IF($B$265=B$3316,DK3386,IF($B$265=B$3317,DL3386,IF($B$265=B$3318,DM3386,IF($B$265=B$3319,DN3386,IF($B$265=B$3320,DO3386,IF($B$265=B$3321,DP3386,IF($B$265=B$3322,DQ3386,IF($B$265=B$3323,DR3386,IF($B$265=B$3324,DS3386,IF($B$265=B$3325,DT3386,IF($B$265=B$3326,DU3386,IF($B$265=B$3327,DV3386,IF($B$265=B$3328,DW3386,IF($B$265=B$3329,DX3386,""))))))))))))))))))))))))))))))))))))))))))))))))))))</f>
        <v/>
      </c>
      <c r="BZ3387" s="245" t="s">
        <v>885</v>
      </c>
      <c r="CA3387" s="245" t="s">
        <v>885</v>
      </c>
      <c r="CC3387" s="245" t="s">
        <v>885</v>
      </c>
      <c r="CD3387" s="459" t="s">
        <v>885</v>
      </c>
      <c r="CE3387" s="459" t="s">
        <v>885</v>
      </c>
      <c r="CF3387" s="245" t="s">
        <v>885</v>
      </c>
      <c r="CG3387" s="245" t="s">
        <v>885</v>
      </c>
      <c r="CH3387" s="245" t="s">
        <v>885</v>
      </c>
      <c r="CI3387" s="245" t="s">
        <v>885</v>
      </c>
      <c r="CJ3387" t="s">
        <v>1732</v>
      </c>
      <c r="CK3387" s="459" t="s">
        <v>885</v>
      </c>
      <c r="CL3387" s="459" t="s">
        <v>885</v>
      </c>
      <c r="CM3387" t="s">
        <v>1945</v>
      </c>
      <c r="CN3387" t="s">
        <v>1855</v>
      </c>
      <c r="CO3387" t="s">
        <v>1580</v>
      </c>
      <c r="CP3387" t="s">
        <v>2092</v>
      </c>
      <c r="CQ3387" t="s">
        <v>2147</v>
      </c>
      <c r="CR3387" s="459" t="s">
        <v>885</v>
      </c>
      <c r="CS3387" s="459" t="s">
        <v>885</v>
      </c>
      <c r="CT3387" s="245" t="s">
        <v>885</v>
      </c>
      <c r="CU3387" s="463" t="s">
        <v>885</v>
      </c>
      <c r="CV3387" s="245" t="s">
        <v>885</v>
      </c>
      <c r="CW3387" s="245" t="s">
        <v>885</v>
      </c>
      <c r="CX3387" t="s">
        <v>2442</v>
      </c>
      <c r="CY3387" s="459" t="s">
        <v>885</v>
      </c>
      <c r="CZ3387" t="s">
        <v>1495</v>
      </c>
      <c r="DA3387" s="459" t="s">
        <v>885</v>
      </c>
      <c r="DB3387" s="459" t="s">
        <v>885</v>
      </c>
      <c r="DC3387" s="459" t="s">
        <v>885</v>
      </c>
      <c r="DD3387" s="459" t="s">
        <v>885</v>
      </c>
      <c r="DE3387" s="459" t="s">
        <v>885</v>
      </c>
      <c r="DF3387" t="s">
        <v>2674</v>
      </c>
      <c r="DG3387" s="459" t="s">
        <v>885</v>
      </c>
      <c r="DH3387" s="459" t="s">
        <v>885</v>
      </c>
      <c r="DI3387" s="459" t="s">
        <v>885</v>
      </c>
      <c r="DJ3387" s="459" t="s">
        <v>885</v>
      </c>
      <c r="DK3387" s="459" t="s">
        <v>885</v>
      </c>
      <c r="DL3387" s="459" t="s">
        <v>885</v>
      </c>
      <c r="DM3387" s="459" t="s">
        <v>885</v>
      </c>
      <c r="DN3387" s="459" t="s">
        <v>885</v>
      </c>
      <c r="DO3387" t="s">
        <v>1854</v>
      </c>
      <c r="DP3387" t="s">
        <v>2992</v>
      </c>
      <c r="DQ3387" s="459" t="s">
        <v>885</v>
      </c>
      <c r="DR3387" s="459" t="s">
        <v>885</v>
      </c>
      <c r="DS3387" t="s">
        <v>3169</v>
      </c>
      <c r="DT3387" s="459" t="s">
        <v>885</v>
      </c>
      <c r="DU3387" s="459" t="s">
        <v>885</v>
      </c>
      <c r="DV3387" s="459" t="s">
        <v>885</v>
      </c>
      <c r="DW3387" s="245" t="s">
        <v>885</v>
      </c>
      <c r="DX3387" s="245" t="s">
        <v>885</v>
      </c>
      <c r="DY3387" s="245"/>
      <c r="DZ3387" s="470" t="str">
        <f>IF($B$265=$B$3278,EB3387,IF($B$265=$B$3279,ED3387,IF($B$265=$B$3280,EF3387,IF($B$265=$B$3281,EH3387,IF($B$265=$B$3282,EJ3387,IF($B$265=$B$3283,EL3387,IF($B$265=$B$3284,EN3387,IF($B$265=$B$3285,EP3387,IF($B$265=$B$3286,ER3387,IF($B$265=$B$3287,ET3387,IF($B$265=$B$3288,EV3387,IF($B$265=$B$3289,EX3387,IF($B$265=$B$3290,EZ3387,IF($B$265=$B$3291,FB3387,IF($B$265=$B$3292,FD3387,IF($B$265=$B$3293,BU3387,IF($B$265=$B$3294,FF3387,IF($B$265=$B$3295,FH3387,IF($B$265=$B$3296,FJ3387,IF($B$265=$B$3297,FL3387,IF($B$265=$B$3298,FN3387,IF($B$265=$B$3299,FP3387,IF(BI$265=$B$3300,FR3387,IF($B$265=$B$3301,FT3387,IF($B$265=$B$3302,FV3387,IF($B$265=$B$3303,FX3387,IF($B$265=$B$3304,FZ3387,IF($B$265=$B$3305,GB3387,IF($B$265=$B$3306,GD3387,IF($B$265=$B$3307,GF3387,IF($B$265=$B$3308,GH3387,IF($B$265=$B$3309,GJ3387,IF($B$265=$B$3310,GL3387,IF($B$265=$B$3311,GN3387,IF($B$265=$B$3312,GP3387,IF($B$265=$B$3313,GR3387,IF($B$265=$B$3314,GT3387,IF($B$265=$B$3315,GV3387,IF($B$265=$B$3316,GX3387,IF($B$265=$B$3317,GZ3387,IF($B$265=$B$3318,HB3387,IF($B$265=$B$3319,HD3387,IF($B$265=$B$3320,HF3387,IF($B$265=$B$3321,HH3387,IF($B$265=$B$3322,HJ3387,IF($B$265=$B$3323,HL3387,IF($B$265=$B$3324,HN3387,IF($B$265=$B$3325,HP3387,IF($B$265=$B$3326,HR3387,IF($B$265=$B$3327,HT3387,IF($B$265=$B$3328,HV3387,IF($B$265=$B$3329,HX3387,""))))))))))))))))))))))))))))))))))))))))))))))))))))</f>
        <v/>
      </c>
      <c r="EA3387" s="470" t="str">
        <f>IF($B$265=$B$3278,EC3387,IF($B$265=$B$3279,EE3387,IF($B$265=$B$3280,EG3387,IF($B$265=$B$3281,EI3387,IF($B$265=$B$3282,EK3387,IF($B$265=$B$3283,EM3387,IF($B$265=$B$3284,EO3387,IF($B$265=$B$3285,EQ3387,IF($B$265=$B$3286,ES3387,IF($B$265=$B$3287,EU3387,IF($B$265=$B$3288,EW3387,IF($B$265=$B$3289,EY3387,IF($B$265=$B$3290,FA3387,IF($B$265=$B$3291,FC3387,IF($B$265=$B$3292,FE3387,IF($B$265=$B$3293,BK3387,IF($B$265=$B$3294,FG3387,IF($B$265=$B$3295,FI3387,IF($B$265=$B$3296,FK3387,IF($B$265=$B$3297,FM3387,IF($B$265=$B$3298,FO3387,IF($B$265=$B$3299,FQ3387,IF(BJ$265=$B$3300,FS3387,IF($B$265=$B$3301,FU3387,IF($B$265=$B$3302,FW3387,IF($B$265=$B$3303,FY3387,IF($B$265=$B$3304,GA3387,IF($B$265=$B$3305,GC3387,IF($B$265=$B$3306,GE3387,IF($B$265=$B$3307,GG3387,IF($B$265=$B$3308,GI3387,IF($B$265=$B$3309,GK3387,IF($B$265=$B$3310,GM3387,IF($B$265=$B$3311,GO3387,IF($B$265=$B$3312,GQ3387,IF($B$265=$B$3313,GS3387,IF($B$265=$B$3314,GU3387,IF($B$265=$B$3315,GW3387,IF($B$265=$B$3316,GY3387,IF($B$265=$B$3317,HA3387,IF($B$265=$B$3318,HC3387,IF($B$265=$B$3319,HE3387,IF($B$265=$B$3320,HG3387,IF($B$265=$B$3321,HI3387,IF($B$265=$B$3322,HK3387,IF($B$265=$B$3323,HM3387,IF($B$265=$B$3324,HO3387,IF($B$265=$B$3325,HQ3387,IF($B$265=$B$3326,HS3387,IF($B$265=$B$3327,HU3387,IF($B$265=$B$3328,HW3387,IF($B$265=$B$3329,HY3387,""))))))))))))))))))))))))))))))))))))))))))))))))))))</f>
        <v/>
      </c>
    </row>
    <row r="3388" spans="1:131" ht="16" hidden="1" x14ac:dyDescent="0.4">
      <c r="A3388" s="814"/>
      <c r="B3388" s="69" t="s">
        <v>969</v>
      </c>
      <c r="BS3388" s="464" t="str">
        <f>IF($B$265=B$3278,BZ3387,IF($B$265=B$3279,CA3387,IF($B$265=B$3280,CB3387,IF($B$265=B$3281,CC3387,IF($B$265=B$3282,CD3387,IF($B$265=B$3283,CE3387,IF($B$265=B$3284,CF3387,IF($B$265=B$3285,CG3387,IF($B$265=B$3286,CH3387,IF($B$265=B$3287,CI3387,IF($B$265=B$3288,CJ3387,IF($B$265=B$3289,CK3387,IF($B$265=B$3290,CL3387,IF($B$265=B$3291,CM3387,IF($B$265=B$3292,CN3387,IF($B$265=B$3293,#REF!,IF($B$265=B$3294,CO3387,IF($B$265=B$3295,CP3387,IF($B$265=B$3296,CQ3387,IF($B$265=B$3297,CR3387,IF($B$265=B$3298,CS3387,IF($B$265=B$3299,CT3387,IF(B$265=B$3300,CU3387,IF($B$265=B$3301,CV3387,IF($B$265=B$3302,CW3387,IF($B$265=B$3303,CX3387,IF($B$265=B$3304,CY3387,IF($B$265=B$3305,CZ3387,IF($B$265=B$3306,DA3387,IF($B$265=B$3307,DB3387,IF($B$265=B$3308,DC3387,IF($B$265=B$3309,DD3387,IF($B$265=B$3310,DE3387,IF($B$265=B$3311,DF3387,IF($B$265=B$3312,DG3387,IF($B$265=B$3313,DH3387,IF($B$265=B$3314,DI3387,IF($B$265=B$3315,DJ3387,IF($B$265=B$3316,DK3387,IF($B$265=B$3317,DL3387,IF($B$265=B$3318,DM3387,IF($B$265=B$3319,DN3387,IF($B$265=B$3320,DO3387,IF($B$265=B$3321,DP3387,IF($B$265=B$3322,DQ3387,IF($B$265=B$3323,DR3387,IF($B$265=B$3324,DS3387,IF($B$265=B$3325,DT3387,IF($B$265=B$3326,DU3387,IF($B$265=B$3327,DV3387,IF($B$265=B$3328,DW3387,IF($B$265=B$3329,DX3387,""))))))))))))))))))))))))))))))))))))))))))))))))))))</f>
        <v/>
      </c>
      <c r="BZ3388" s="245" t="s">
        <v>885</v>
      </c>
      <c r="CA3388" s="245" t="s">
        <v>885</v>
      </c>
      <c r="CC3388" s="245" t="s">
        <v>885</v>
      </c>
      <c r="CD3388" s="459" t="s">
        <v>885</v>
      </c>
      <c r="CE3388" s="459" t="s">
        <v>885</v>
      </c>
      <c r="CF3388" s="245" t="s">
        <v>885</v>
      </c>
      <c r="CG3388" s="245" t="s">
        <v>885</v>
      </c>
      <c r="CH3388" s="245" t="s">
        <v>885</v>
      </c>
      <c r="CI3388" s="245" t="s">
        <v>885</v>
      </c>
      <c r="CJ3388" t="s">
        <v>1556</v>
      </c>
      <c r="CK3388" s="459" t="s">
        <v>885</v>
      </c>
      <c r="CL3388" s="459" t="s">
        <v>885</v>
      </c>
      <c r="CM3388" t="s">
        <v>1946</v>
      </c>
      <c r="CN3388" t="s">
        <v>1993</v>
      </c>
      <c r="CO3388" t="s">
        <v>2036</v>
      </c>
      <c r="CP3388" t="s">
        <v>2093</v>
      </c>
      <c r="CQ3388" t="s">
        <v>2148</v>
      </c>
      <c r="CR3388" s="459" t="s">
        <v>885</v>
      </c>
      <c r="CS3388" s="459" t="s">
        <v>885</v>
      </c>
      <c r="CT3388" s="245" t="s">
        <v>885</v>
      </c>
      <c r="CU3388" s="463" t="s">
        <v>885</v>
      </c>
      <c r="CV3388" s="245" t="s">
        <v>885</v>
      </c>
      <c r="CW3388" s="245" t="s">
        <v>885</v>
      </c>
      <c r="CX3388" t="s">
        <v>2443</v>
      </c>
      <c r="CY3388" s="459" t="s">
        <v>885</v>
      </c>
      <c r="CZ3388" t="s">
        <v>1855</v>
      </c>
      <c r="DA3388" s="459" t="s">
        <v>885</v>
      </c>
      <c r="DB3388" s="459" t="s">
        <v>885</v>
      </c>
      <c r="DC3388" s="459" t="s">
        <v>885</v>
      </c>
      <c r="DD3388" s="459" t="s">
        <v>885</v>
      </c>
      <c r="DE3388" s="459" t="s">
        <v>885</v>
      </c>
      <c r="DF3388" t="s">
        <v>1579</v>
      </c>
      <c r="DG3388" s="459" t="s">
        <v>885</v>
      </c>
      <c r="DH3388" s="459" t="s">
        <v>885</v>
      </c>
      <c r="DI3388" s="459" t="s">
        <v>885</v>
      </c>
      <c r="DJ3388" s="459" t="s">
        <v>885</v>
      </c>
      <c r="DK3388" s="459" t="s">
        <v>885</v>
      </c>
      <c r="DL3388" s="459" t="s">
        <v>885</v>
      </c>
      <c r="DM3388" s="459" t="s">
        <v>885</v>
      </c>
      <c r="DN3388" s="459" t="s">
        <v>885</v>
      </c>
      <c r="DO3388" t="s">
        <v>1495</v>
      </c>
      <c r="DP3388" t="s">
        <v>2058</v>
      </c>
      <c r="DQ3388" s="459" t="s">
        <v>885</v>
      </c>
      <c r="DR3388" s="459" t="s">
        <v>885</v>
      </c>
      <c r="DS3388" t="s">
        <v>3170</v>
      </c>
      <c r="DT3388" s="459" t="s">
        <v>885</v>
      </c>
      <c r="DU3388" s="459" t="s">
        <v>885</v>
      </c>
      <c r="DV3388" s="459" t="s">
        <v>885</v>
      </c>
      <c r="DW3388" s="245" t="s">
        <v>885</v>
      </c>
      <c r="DX3388" s="245" t="s">
        <v>885</v>
      </c>
      <c r="DY3388" s="245"/>
      <c r="DZ3388" s="470" t="str">
        <f>IF($B$265=$B$3278,EB3388,IF($B$265=$B$3279,ED3388,IF($B$265=$B$3280,EF3388,IF($B$265=$B$3281,EH3388,IF($B$265=$B$3282,EJ3388,IF($B$265=$B$3283,EL3388,IF($B$265=$B$3284,EN3388,IF($B$265=$B$3285,EP3388,IF($B$265=$B$3286,ER3388,IF($B$265=$B$3287,ET3388,IF($B$265=$B$3288,EV3388,IF($B$265=$B$3289,EX3388,IF($B$265=$B$3290,EZ3388,IF($B$265=$B$3291,FB3388,IF($B$265=$B$3292,FD3388,IF($B$265=$B$3293,BU3388,IF($B$265=$B$3294,FF3388,IF($B$265=$B$3295,FH3388,IF($B$265=$B$3296,FJ3388,IF($B$265=$B$3297,FL3388,IF($B$265=$B$3298,FN3388,IF($B$265=$B$3299,FP3388,IF(BI$265=$B$3300,FR3388,IF($B$265=$B$3301,FT3388,IF($B$265=$B$3302,FV3388,IF($B$265=$B$3303,FX3388,IF($B$265=$B$3304,FZ3388,IF($B$265=$B$3305,GB3388,IF($B$265=$B$3306,GD3388,IF($B$265=$B$3307,GF3388,IF($B$265=$B$3308,GH3388,IF($B$265=$B$3309,GJ3388,IF($B$265=$B$3310,GL3388,IF($B$265=$B$3311,GN3388,IF($B$265=$B$3312,GP3388,IF($B$265=$B$3313,GR3388,IF($B$265=$B$3314,GT3388,IF($B$265=$B$3315,GV3388,IF($B$265=$B$3316,GX3388,IF($B$265=$B$3317,GZ3388,IF($B$265=$B$3318,HB3388,IF($B$265=$B$3319,HD3388,IF($B$265=$B$3320,HF3388,IF($B$265=$B$3321,HH3388,IF($B$265=$B$3322,HJ3388,IF($B$265=$B$3323,HL3388,IF($B$265=$B$3324,HN3388,IF($B$265=$B$3325,HP3388,IF($B$265=$B$3326,HR3388,IF($B$265=$B$3327,HT3388,IF($B$265=$B$3328,HV3388,IF($B$265=$B$3329,HX3388,""))))))))))))))))))))))))))))))))))))))))))))))))))))</f>
        <v/>
      </c>
      <c r="EA3388" s="470" t="str">
        <f>IF($B$265=$B$3278,EC3388,IF($B$265=$B$3279,EE3388,IF($B$265=$B$3280,EG3388,IF($B$265=$B$3281,EI3388,IF($B$265=$B$3282,EK3388,IF($B$265=$B$3283,EM3388,IF($B$265=$B$3284,EO3388,IF($B$265=$B$3285,EQ3388,IF($B$265=$B$3286,ES3388,IF($B$265=$B$3287,EU3388,IF($B$265=$B$3288,EW3388,IF($B$265=$B$3289,EY3388,IF($B$265=$B$3290,FA3388,IF($B$265=$B$3291,FC3388,IF($B$265=$B$3292,FE3388,IF($B$265=$B$3293,BK3388,IF($B$265=$B$3294,FG3388,IF($B$265=$B$3295,FI3388,IF($B$265=$B$3296,FK3388,IF($B$265=$B$3297,FM3388,IF($B$265=$B$3298,FO3388,IF($B$265=$B$3299,FQ3388,IF(BJ$265=$B$3300,FS3388,IF($B$265=$B$3301,FU3388,IF($B$265=$B$3302,FW3388,IF($B$265=$B$3303,FY3388,IF($B$265=$B$3304,GA3388,IF($B$265=$B$3305,GC3388,IF($B$265=$B$3306,GE3388,IF($B$265=$B$3307,GG3388,IF($B$265=$B$3308,GI3388,IF($B$265=$B$3309,GK3388,IF($B$265=$B$3310,GM3388,IF($B$265=$B$3311,GO3388,IF($B$265=$B$3312,GQ3388,IF($B$265=$B$3313,GS3388,IF($B$265=$B$3314,GU3388,IF($B$265=$B$3315,GW3388,IF($B$265=$B$3316,GY3388,IF($B$265=$B$3317,HA3388,IF($B$265=$B$3318,HC3388,IF($B$265=$B$3319,HE3388,IF($B$265=$B$3320,HG3388,IF($B$265=$B$3321,HI3388,IF($B$265=$B$3322,HK3388,IF($B$265=$B$3323,HM3388,IF($B$265=$B$3324,HO3388,IF($B$265=$B$3325,HQ3388,IF($B$265=$B$3326,HS3388,IF($B$265=$B$3327,HU3388,IF($B$265=$B$3328,HW3388,IF($B$265=$B$3329,HY3388,""))))))))))))))))))))))))))))))))))))))))))))))))))))</f>
        <v/>
      </c>
    </row>
    <row r="3389" spans="1:131" ht="16" hidden="1" x14ac:dyDescent="0.4">
      <c r="A3389" s="814"/>
      <c r="B3389" s="69" t="s">
        <v>970</v>
      </c>
      <c r="BB3389" s="48"/>
      <c r="BS3389" s="464" t="str">
        <f>IF($B$265=B$3278,BZ3388,IF($B$265=B$3279,CA3388,IF($B$265=B$3280,CB3388,IF($B$265=B$3281,CC3388,IF($B$265=B$3282,CD3388,IF($B$265=B$3283,CE3388,IF($B$265=B$3284,CF3388,IF($B$265=B$3285,CG3388,IF($B$265=B$3286,CH3388,IF($B$265=B$3287,CI3388,IF($B$265=B$3288,CJ3388,IF($B$265=B$3289,CK3388,IF($B$265=B$3290,CL3388,IF($B$265=B$3291,CM3388,IF($B$265=B$3292,CN3388,IF($B$265=B$3293,#REF!,IF($B$265=B$3294,CO3388,IF($B$265=B$3295,CP3388,IF($B$265=B$3296,CQ3388,IF($B$265=B$3297,CR3388,IF($B$265=B$3298,CS3388,IF($B$265=B$3299,CT3388,IF(B$265=B$3300,CU3388,IF($B$265=B$3301,CV3388,IF($B$265=B$3302,CW3388,IF($B$265=B$3303,CX3388,IF($B$265=B$3304,CY3388,IF($B$265=B$3305,CZ3388,IF($B$265=B$3306,DA3388,IF($B$265=B$3307,DB3388,IF($B$265=B$3308,DC3388,IF($B$265=B$3309,DD3388,IF($B$265=B$3310,DE3388,IF($B$265=B$3311,DF3388,IF($B$265=B$3312,DG3388,IF($B$265=B$3313,DH3388,IF($B$265=B$3314,DI3388,IF($B$265=B$3315,DJ3388,IF($B$265=B$3316,DK3388,IF($B$265=B$3317,DL3388,IF($B$265=B$3318,DM3388,IF($B$265=B$3319,DN3388,IF($B$265=B$3320,DO3388,IF($B$265=B$3321,DP3388,IF($B$265=B$3322,DQ3388,IF($B$265=B$3323,DR3388,IF($B$265=B$3324,DS3388,IF($B$265=B$3325,DT3388,IF($B$265=B$3326,DU3388,IF($B$265=B$3327,DV3388,IF($B$265=B$3328,DW3388,IF($B$265=B$3329,DX3388,""))))))))))))))))))))))))))))))))))))))))))))))))))))</f>
        <v/>
      </c>
      <c r="BZ3389" s="245" t="s">
        <v>885</v>
      </c>
      <c r="CA3389" s="245" t="s">
        <v>885</v>
      </c>
      <c r="CC3389" s="245" t="s">
        <v>885</v>
      </c>
      <c r="CD3389" s="459" t="s">
        <v>885</v>
      </c>
      <c r="CE3389" s="459" t="s">
        <v>885</v>
      </c>
      <c r="CF3389" s="245" t="s">
        <v>885</v>
      </c>
      <c r="CG3389" s="245" t="s">
        <v>885</v>
      </c>
      <c r="CH3389" s="245" t="s">
        <v>885</v>
      </c>
      <c r="CI3389" s="245" t="s">
        <v>885</v>
      </c>
      <c r="CJ3389" t="s">
        <v>1817</v>
      </c>
      <c r="CK3389" s="459" t="s">
        <v>885</v>
      </c>
      <c r="CL3389" s="459" t="s">
        <v>885</v>
      </c>
      <c r="CM3389" t="s">
        <v>1579</v>
      </c>
      <c r="CN3389" t="s">
        <v>1581</v>
      </c>
      <c r="CO3389" t="s">
        <v>1854</v>
      </c>
      <c r="CP3389" t="s">
        <v>2094</v>
      </c>
      <c r="CQ3389" t="s">
        <v>2149</v>
      </c>
      <c r="CR3389" s="459" t="s">
        <v>885</v>
      </c>
      <c r="CS3389" s="459" t="s">
        <v>885</v>
      </c>
      <c r="CT3389" s="245" t="s">
        <v>885</v>
      </c>
      <c r="CU3389" s="463" t="s">
        <v>885</v>
      </c>
      <c r="CV3389" s="245" t="s">
        <v>885</v>
      </c>
      <c r="CW3389" s="245" t="s">
        <v>885</v>
      </c>
      <c r="CX3389" t="s">
        <v>1979</v>
      </c>
      <c r="CY3389" s="459" t="s">
        <v>885</v>
      </c>
      <c r="CZ3389" t="s">
        <v>1856</v>
      </c>
      <c r="DA3389" s="459" t="s">
        <v>885</v>
      </c>
      <c r="DB3389" s="459" t="s">
        <v>885</v>
      </c>
      <c r="DC3389" s="459" t="s">
        <v>885</v>
      </c>
      <c r="DD3389" s="459" t="s">
        <v>885</v>
      </c>
      <c r="DE3389" s="459" t="s">
        <v>885</v>
      </c>
      <c r="DF3389" t="s">
        <v>2675</v>
      </c>
      <c r="DG3389" s="459" t="s">
        <v>885</v>
      </c>
      <c r="DH3389" s="459" t="s">
        <v>885</v>
      </c>
      <c r="DI3389" s="459" t="s">
        <v>885</v>
      </c>
      <c r="DJ3389" s="459" t="s">
        <v>885</v>
      </c>
      <c r="DK3389" s="459" t="s">
        <v>885</v>
      </c>
      <c r="DL3389" s="459" t="s">
        <v>885</v>
      </c>
      <c r="DM3389" s="459" t="s">
        <v>885</v>
      </c>
      <c r="DN3389" s="459" t="s">
        <v>885</v>
      </c>
      <c r="DO3389" t="s">
        <v>1855</v>
      </c>
      <c r="DP3389" t="s">
        <v>2129</v>
      </c>
      <c r="DQ3389" s="459" t="s">
        <v>885</v>
      </c>
      <c r="DR3389" s="459" t="s">
        <v>885</v>
      </c>
      <c r="DS3389" t="s">
        <v>1612</v>
      </c>
      <c r="DT3389" s="459" t="s">
        <v>885</v>
      </c>
      <c r="DU3389" s="459" t="s">
        <v>885</v>
      </c>
      <c r="DV3389" s="459" t="s">
        <v>885</v>
      </c>
      <c r="DW3389" s="245" t="s">
        <v>885</v>
      </c>
      <c r="DX3389" s="245" t="s">
        <v>885</v>
      </c>
      <c r="DY3389" s="245"/>
      <c r="DZ3389" s="470" t="str">
        <f>IF($B$265=$B$3278,EB3389,IF($B$265=$B$3279,ED3389,IF($B$265=$B$3280,EF3389,IF($B$265=$B$3281,EH3389,IF($B$265=$B$3282,EJ3389,IF($B$265=$B$3283,EL3389,IF($B$265=$B$3284,EN3389,IF($B$265=$B$3285,EP3389,IF($B$265=$B$3286,ER3389,IF($B$265=$B$3287,ET3389,IF($B$265=$B$3288,EV3389,IF($B$265=$B$3289,EX3389,IF($B$265=$B$3290,EZ3389,IF($B$265=$B$3291,FB3389,IF($B$265=$B$3292,FD3389,IF($B$265=$B$3293,BU3389,IF($B$265=$B$3294,FF3389,IF($B$265=$B$3295,FH3389,IF($B$265=$B$3296,FJ3389,IF($B$265=$B$3297,FL3389,IF($B$265=$B$3298,FN3389,IF($B$265=$B$3299,FP3389,IF(BI$265=$B$3300,FR3389,IF($B$265=$B$3301,FT3389,IF($B$265=$B$3302,FV3389,IF($B$265=$B$3303,FX3389,IF($B$265=$B$3304,FZ3389,IF($B$265=$B$3305,GB3389,IF($B$265=$B$3306,GD3389,IF($B$265=$B$3307,GF3389,IF($B$265=$B$3308,GH3389,IF($B$265=$B$3309,GJ3389,IF($B$265=$B$3310,GL3389,IF($B$265=$B$3311,GN3389,IF($B$265=$B$3312,GP3389,IF($B$265=$B$3313,GR3389,IF($B$265=$B$3314,GT3389,IF($B$265=$B$3315,GV3389,IF($B$265=$B$3316,GX3389,IF($B$265=$B$3317,GZ3389,IF($B$265=$B$3318,HB3389,IF($B$265=$B$3319,HD3389,IF($B$265=$B$3320,HF3389,IF($B$265=$B$3321,HH3389,IF($B$265=$B$3322,HJ3389,IF($B$265=$B$3323,HL3389,IF($B$265=$B$3324,HN3389,IF($B$265=$B$3325,HP3389,IF($B$265=$B$3326,HR3389,IF($B$265=$B$3327,HT3389,IF($B$265=$B$3328,HV3389,IF($B$265=$B$3329,HX3389,""))))))))))))))))))))))))))))))))))))))))))))))))))))</f>
        <v/>
      </c>
      <c r="EA3389" s="470" t="str">
        <f>IF($B$265=$B$3278,EC3389,IF($B$265=$B$3279,EE3389,IF($B$265=$B$3280,EG3389,IF($B$265=$B$3281,EI3389,IF($B$265=$B$3282,EK3389,IF($B$265=$B$3283,EM3389,IF($B$265=$B$3284,EO3389,IF($B$265=$B$3285,EQ3389,IF($B$265=$B$3286,ES3389,IF($B$265=$B$3287,EU3389,IF($B$265=$B$3288,EW3389,IF($B$265=$B$3289,EY3389,IF($B$265=$B$3290,FA3389,IF($B$265=$B$3291,FC3389,IF($B$265=$B$3292,FE3389,IF($B$265=$B$3293,BK3389,IF($B$265=$B$3294,FG3389,IF($B$265=$B$3295,FI3389,IF($B$265=$B$3296,FK3389,IF($B$265=$B$3297,FM3389,IF($B$265=$B$3298,FO3389,IF($B$265=$B$3299,FQ3389,IF(BJ$265=$B$3300,FS3389,IF($B$265=$B$3301,FU3389,IF($B$265=$B$3302,FW3389,IF($B$265=$B$3303,FY3389,IF($B$265=$B$3304,GA3389,IF($B$265=$B$3305,GC3389,IF($B$265=$B$3306,GE3389,IF($B$265=$B$3307,GG3389,IF($B$265=$B$3308,GI3389,IF($B$265=$B$3309,GK3389,IF($B$265=$B$3310,GM3389,IF($B$265=$B$3311,GO3389,IF($B$265=$B$3312,GQ3389,IF($B$265=$B$3313,GS3389,IF($B$265=$B$3314,GU3389,IF($B$265=$B$3315,GW3389,IF($B$265=$B$3316,GY3389,IF($B$265=$B$3317,HA3389,IF($B$265=$B$3318,HC3389,IF($B$265=$B$3319,HE3389,IF($B$265=$B$3320,HG3389,IF($B$265=$B$3321,HI3389,IF($B$265=$B$3322,HK3389,IF($B$265=$B$3323,HM3389,IF($B$265=$B$3324,HO3389,IF($B$265=$B$3325,HQ3389,IF($B$265=$B$3326,HS3389,IF($B$265=$B$3327,HU3389,IF($B$265=$B$3328,HW3389,IF($B$265=$B$3329,HY3389,""))))))))))))))))))))))))))))))))))))))))))))))))))))</f>
        <v/>
      </c>
    </row>
    <row r="3390" spans="1:131" ht="16" hidden="1" x14ac:dyDescent="0.4">
      <c r="A3390" s="814"/>
      <c r="B3390" s="69" t="s">
        <v>971</v>
      </c>
      <c r="BB3390" s="48"/>
      <c r="BS3390" s="464" t="str">
        <f>IF($B$265=B$3278,BZ3389,IF($B$265=B$3279,CA3389,IF($B$265=B$3280,CB3389,IF($B$265=B$3281,CC3389,IF($B$265=B$3282,CD3389,IF($B$265=B$3283,CE3389,IF($B$265=B$3284,CF3389,IF($B$265=B$3285,CG3389,IF($B$265=B$3286,CH3389,IF($B$265=B$3287,CI3389,IF($B$265=B$3288,CJ3389,IF($B$265=B$3289,CK3389,IF($B$265=B$3290,CL3389,IF($B$265=B$3291,CM3389,IF($B$265=B$3292,CN3389,IF($B$265=B$3293,#REF!,IF($B$265=B$3294,CO3389,IF($B$265=B$3295,CP3389,IF($B$265=B$3296,CQ3389,IF($B$265=B$3297,CR3389,IF($B$265=B$3298,CS3389,IF($B$265=B$3299,CT3389,IF(B$265=B$3300,CU3389,IF($B$265=B$3301,CV3389,IF($B$265=B$3302,CW3389,IF($B$265=B$3303,CX3389,IF($B$265=B$3304,CY3389,IF($B$265=B$3305,CZ3389,IF($B$265=B$3306,DA3389,IF($B$265=B$3307,DB3389,IF($B$265=B$3308,DC3389,IF($B$265=B$3309,DD3389,IF($B$265=B$3310,DE3389,IF($B$265=B$3311,DF3389,IF($B$265=B$3312,DG3389,IF($B$265=B$3313,DH3389,IF($B$265=B$3314,DI3389,IF($B$265=B$3315,DJ3389,IF($B$265=B$3316,DK3389,IF($B$265=B$3317,DL3389,IF($B$265=B$3318,DM3389,IF($B$265=B$3319,DN3389,IF($B$265=B$3320,DO3389,IF($B$265=B$3321,DP3389,IF($B$265=B$3322,DQ3389,IF($B$265=B$3323,DR3389,IF($B$265=B$3324,DS3389,IF($B$265=B$3325,DT3389,IF($B$265=B$3326,DU3389,IF($B$265=B$3327,DV3389,IF($B$265=B$3328,DW3389,IF($B$265=B$3329,DX3389,""))))))))))))))))))))))))))))))))))))))))))))))))))))</f>
        <v/>
      </c>
      <c r="BZ3390" s="245" t="s">
        <v>885</v>
      </c>
      <c r="CA3390" s="245" t="s">
        <v>885</v>
      </c>
      <c r="CC3390" s="245" t="s">
        <v>885</v>
      </c>
      <c r="CD3390" s="459" t="s">
        <v>885</v>
      </c>
      <c r="CE3390" s="459" t="s">
        <v>885</v>
      </c>
      <c r="CF3390" s="245" t="s">
        <v>885</v>
      </c>
      <c r="CG3390" s="245" t="s">
        <v>885</v>
      </c>
      <c r="CH3390" s="245" t="s">
        <v>885</v>
      </c>
      <c r="CI3390" s="245" t="s">
        <v>885</v>
      </c>
      <c r="CJ3390" t="s">
        <v>1473</v>
      </c>
      <c r="CK3390" s="459" t="s">
        <v>885</v>
      </c>
      <c r="CL3390" s="459" t="s">
        <v>885</v>
      </c>
      <c r="CM3390" t="s">
        <v>1947</v>
      </c>
      <c r="CN3390" t="s">
        <v>1994</v>
      </c>
      <c r="CO3390" t="s">
        <v>1495</v>
      </c>
      <c r="CP3390" t="s">
        <v>2095</v>
      </c>
      <c r="CQ3390" t="s">
        <v>1974</v>
      </c>
      <c r="CR3390" s="459" t="s">
        <v>885</v>
      </c>
      <c r="CS3390" s="459" t="s">
        <v>885</v>
      </c>
      <c r="CT3390" s="245" t="s">
        <v>885</v>
      </c>
      <c r="CU3390" s="463" t="s">
        <v>885</v>
      </c>
      <c r="CV3390" s="245" t="s">
        <v>885</v>
      </c>
      <c r="CW3390" s="245" t="s">
        <v>885</v>
      </c>
      <c r="CX3390" t="s">
        <v>2444</v>
      </c>
      <c r="CY3390" s="459" t="s">
        <v>885</v>
      </c>
      <c r="CZ3390" t="s">
        <v>1857</v>
      </c>
      <c r="DA3390" s="459" t="s">
        <v>885</v>
      </c>
      <c r="DB3390" s="459" t="s">
        <v>885</v>
      </c>
      <c r="DC3390" s="459" t="s">
        <v>885</v>
      </c>
      <c r="DD3390" s="459" t="s">
        <v>885</v>
      </c>
      <c r="DE3390" s="459" t="s">
        <v>885</v>
      </c>
      <c r="DF3390" t="s">
        <v>2676</v>
      </c>
      <c r="DG3390" s="459" t="s">
        <v>885</v>
      </c>
      <c r="DH3390" s="459" t="s">
        <v>885</v>
      </c>
      <c r="DI3390" s="459" t="s">
        <v>885</v>
      </c>
      <c r="DJ3390" s="459" t="s">
        <v>885</v>
      </c>
      <c r="DK3390" s="459" t="s">
        <v>885</v>
      </c>
      <c r="DL3390" s="459" t="s">
        <v>885</v>
      </c>
      <c r="DM3390" s="459" t="s">
        <v>885</v>
      </c>
      <c r="DN3390" s="459" t="s">
        <v>885</v>
      </c>
      <c r="DO3390" t="s">
        <v>2929</v>
      </c>
      <c r="DP3390" t="s">
        <v>2993</v>
      </c>
      <c r="DQ3390" s="459" t="s">
        <v>885</v>
      </c>
      <c r="DR3390" s="459" t="s">
        <v>885</v>
      </c>
      <c r="DS3390" t="s">
        <v>2025</v>
      </c>
      <c r="DT3390" s="459" t="s">
        <v>885</v>
      </c>
      <c r="DU3390" s="459" t="s">
        <v>885</v>
      </c>
      <c r="DV3390" s="459" t="s">
        <v>885</v>
      </c>
      <c r="DW3390" s="245" t="s">
        <v>885</v>
      </c>
      <c r="DX3390" s="245" t="s">
        <v>885</v>
      </c>
      <c r="DY3390" s="245"/>
      <c r="DZ3390" s="470" t="str">
        <f>IF($B$265=$B$3278,EB3390,IF($B$265=$B$3279,ED3390,IF($B$265=$B$3280,EF3390,IF($B$265=$B$3281,EH3390,IF($B$265=$B$3282,EJ3390,IF($B$265=$B$3283,EL3390,IF($B$265=$B$3284,EN3390,IF($B$265=$B$3285,EP3390,IF($B$265=$B$3286,ER3390,IF($B$265=$B$3287,ET3390,IF($B$265=$B$3288,EV3390,IF($B$265=$B$3289,EX3390,IF($B$265=$B$3290,EZ3390,IF($B$265=$B$3291,FB3390,IF($B$265=$B$3292,FD3390,IF($B$265=$B$3293,BU3390,IF($B$265=$B$3294,FF3390,IF($B$265=$B$3295,FH3390,IF($B$265=$B$3296,FJ3390,IF($B$265=$B$3297,FL3390,IF($B$265=$B$3298,FN3390,IF($B$265=$B$3299,FP3390,IF(BI$265=$B$3300,FR3390,IF($B$265=$B$3301,FT3390,IF($B$265=$B$3302,FV3390,IF($B$265=$B$3303,FX3390,IF($B$265=$B$3304,FZ3390,IF($B$265=$B$3305,GB3390,IF($B$265=$B$3306,GD3390,IF($B$265=$B$3307,GF3390,IF($B$265=$B$3308,GH3390,IF($B$265=$B$3309,GJ3390,IF($B$265=$B$3310,GL3390,IF($B$265=$B$3311,GN3390,IF($B$265=$B$3312,GP3390,IF($B$265=$B$3313,GR3390,IF($B$265=$B$3314,GT3390,IF($B$265=$B$3315,GV3390,IF($B$265=$B$3316,GX3390,IF($B$265=$B$3317,GZ3390,IF($B$265=$B$3318,HB3390,IF($B$265=$B$3319,HD3390,IF($B$265=$B$3320,HF3390,IF($B$265=$B$3321,HH3390,IF($B$265=$B$3322,HJ3390,IF($B$265=$B$3323,HL3390,IF($B$265=$B$3324,HN3390,IF($B$265=$B$3325,HP3390,IF($B$265=$B$3326,HR3390,IF($B$265=$B$3327,HT3390,IF($B$265=$B$3328,HV3390,IF($B$265=$B$3329,HX3390,""))))))))))))))))))))))))))))))))))))))))))))))))))))</f>
        <v/>
      </c>
      <c r="EA3390" s="470" t="str">
        <f>IF($B$265=$B$3278,EC3390,IF($B$265=$B$3279,EE3390,IF($B$265=$B$3280,EG3390,IF($B$265=$B$3281,EI3390,IF($B$265=$B$3282,EK3390,IF($B$265=$B$3283,EM3390,IF($B$265=$B$3284,EO3390,IF($B$265=$B$3285,EQ3390,IF($B$265=$B$3286,ES3390,IF($B$265=$B$3287,EU3390,IF($B$265=$B$3288,EW3390,IF($B$265=$B$3289,EY3390,IF($B$265=$B$3290,FA3390,IF($B$265=$B$3291,FC3390,IF($B$265=$B$3292,FE3390,IF($B$265=$B$3293,BK3390,IF($B$265=$B$3294,FG3390,IF($B$265=$B$3295,FI3390,IF($B$265=$B$3296,FK3390,IF($B$265=$B$3297,FM3390,IF($B$265=$B$3298,FO3390,IF($B$265=$B$3299,FQ3390,IF(BJ$265=$B$3300,FS3390,IF($B$265=$B$3301,FU3390,IF($B$265=$B$3302,FW3390,IF($B$265=$B$3303,FY3390,IF($B$265=$B$3304,GA3390,IF($B$265=$B$3305,GC3390,IF($B$265=$B$3306,GE3390,IF($B$265=$B$3307,GG3390,IF($B$265=$B$3308,GI3390,IF($B$265=$B$3309,GK3390,IF($B$265=$B$3310,GM3390,IF($B$265=$B$3311,GO3390,IF($B$265=$B$3312,GQ3390,IF($B$265=$B$3313,GS3390,IF($B$265=$B$3314,GU3390,IF($B$265=$B$3315,GW3390,IF($B$265=$B$3316,GY3390,IF($B$265=$B$3317,HA3390,IF($B$265=$B$3318,HC3390,IF($B$265=$B$3319,HE3390,IF($B$265=$B$3320,HG3390,IF($B$265=$B$3321,HI3390,IF($B$265=$B$3322,HK3390,IF($B$265=$B$3323,HM3390,IF($B$265=$B$3324,HO3390,IF($B$265=$B$3325,HQ3390,IF($B$265=$B$3326,HS3390,IF($B$265=$B$3327,HU3390,IF($B$265=$B$3328,HW3390,IF($B$265=$B$3329,HY3390,""))))))))))))))))))))))))))))))))))))))))))))))))))))</f>
        <v/>
      </c>
    </row>
    <row r="3391" spans="1:131" ht="16" hidden="1" x14ac:dyDescent="0.4">
      <c r="A3391" s="814"/>
      <c r="B3391" s="69" t="s">
        <v>972</v>
      </c>
      <c r="BB3391" s="48"/>
      <c r="BS3391" s="464" t="str">
        <f>IF($B$265=B$3278,BZ3390,IF($B$265=B$3279,CA3390,IF($B$265=B$3280,CB3390,IF($B$265=B$3281,CC3390,IF($B$265=B$3282,CD3390,IF($B$265=B$3283,CE3390,IF($B$265=B$3284,CF3390,IF($B$265=B$3285,CG3390,IF($B$265=B$3286,CH3390,IF($B$265=B$3287,CI3390,IF($B$265=B$3288,CJ3390,IF($B$265=B$3289,CK3390,IF($B$265=B$3290,CL3390,IF($B$265=B$3291,CM3390,IF($B$265=B$3292,CN3390,IF($B$265=B$3293,#REF!,IF($B$265=B$3294,CO3390,IF($B$265=B$3295,CP3390,IF($B$265=B$3296,CQ3390,IF($B$265=B$3297,CR3390,IF($B$265=B$3298,CS3390,IF($B$265=B$3299,CT3390,IF(B$265=B$3300,CU3390,IF($B$265=B$3301,CV3390,IF($B$265=B$3302,CW3390,IF($B$265=B$3303,CX3390,IF($B$265=B$3304,CY3390,IF($B$265=B$3305,CZ3390,IF($B$265=B$3306,DA3390,IF($B$265=B$3307,DB3390,IF($B$265=B$3308,DC3390,IF($B$265=B$3309,DD3390,IF($B$265=B$3310,DE3390,IF($B$265=B$3311,DF3390,IF($B$265=B$3312,DG3390,IF($B$265=B$3313,DH3390,IF($B$265=B$3314,DI3390,IF($B$265=B$3315,DJ3390,IF($B$265=B$3316,DK3390,IF($B$265=B$3317,DL3390,IF($B$265=B$3318,DM3390,IF($B$265=B$3319,DN3390,IF($B$265=B$3320,DO3390,IF($B$265=B$3321,DP3390,IF($B$265=B$3322,DQ3390,IF($B$265=B$3323,DR3390,IF($B$265=B$3324,DS3390,IF($B$265=B$3325,DT3390,IF($B$265=B$3326,DU3390,IF($B$265=B$3327,DV3390,IF($B$265=B$3328,DW3390,IF($B$265=B$3329,DX3390,""))))))))))))))))))))))))))))))))))))))))))))))))))))</f>
        <v/>
      </c>
      <c r="BZ3391" s="245" t="s">
        <v>885</v>
      </c>
      <c r="CA3391" s="245" t="s">
        <v>885</v>
      </c>
      <c r="CC3391" s="245" t="s">
        <v>885</v>
      </c>
      <c r="CD3391" s="459" t="s">
        <v>885</v>
      </c>
      <c r="CE3391" s="459" t="s">
        <v>885</v>
      </c>
      <c r="CF3391" s="245" t="s">
        <v>885</v>
      </c>
      <c r="CG3391" s="245" t="s">
        <v>885</v>
      </c>
      <c r="CH3391" s="245" t="s">
        <v>885</v>
      </c>
      <c r="CI3391" s="245" t="s">
        <v>885</v>
      </c>
      <c r="CJ3391" t="s">
        <v>1818</v>
      </c>
      <c r="CK3391" s="459" t="s">
        <v>885</v>
      </c>
      <c r="CL3391" s="459" t="s">
        <v>885</v>
      </c>
      <c r="CM3391" t="s">
        <v>1948</v>
      </c>
      <c r="CN3391" s="459" t="s">
        <v>885</v>
      </c>
      <c r="CO3391" t="s">
        <v>1855</v>
      </c>
      <c r="CP3391" t="s">
        <v>2096</v>
      </c>
      <c r="CQ3391" t="s">
        <v>2150</v>
      </c>
      <c r="CR3391" s="459" t="s">
        <v>885</v>
      </c>
      <c r="CS3391" s="459" t="s">
        <v>885</v>
      </c>
      <c r="CT3391" s="245" t="s">
        <v>885</v>
      </c>
      <c r="CU3391" s="463" t="s">
        <v>885</v>
      </c>
      <c r="CV3391" s="245" t="s">
        <v>885</v>
      </c>
      <c r="CW3391" s="245" t="s">
        <v>885</v>
      </c>
      <c r="CX3391" t="s">
        <v>2445</v>
      </c>
      <c r="CY3391" s="459" t="s">
        <v>885</v>
      </c>
      <c r="CZ3391" t="s">
        <v>2531</v>
      </c>
      <c r="DA3391" s="459" t="s">
        <v>885</v>
      </c>
      <c r="DB3391" s="459" t="s">
        <v>885</v>
      </c>
      <c r="DC3391" s="459" t="s">
        <v>885</v>
      </c>
      <c r="DD3391" s="459" t="s">
        <v>885</v>
      </c>
      <c r="DE3391" s="459" t="s">
        <v>885</v>
      </c>
      <c r="DF3391" t="s">
        <v>1854</v>
      </c>
      <c r="DG3391" s="459" t="s">
        <v>885</v>
      </c>
      <c r="DH3391" s="459" t="s">
        <v>885</v>
      </c>
      <c r="DI3391" s="459" t="s">
        <v>885</v>
      </c>
      <c r="DJ3391" s="459" t="s">
        <v>885</v>
      </c>
      <c r="DK3391" s="459" t="s">
        <v>885</v>
      </c>
      <c r="DL3391" s="459" t="s">
        <v>885</v>
      </c>
      <c r="DM3391" s="459" t="s">
        <v>885</v>
      </c>
      <c r="DN3391" s="459" t="s">
        <v>885</v>
      </c>
      <c r="DO3391" t="s">
        <v>1581</v>
      </c>
      <c r="DP3391" t="s">
        <v>2994</v>
      </c>
      <c r="DQ3391" s="459" t="s">
        <v>885</v>
      </c>
      <c r="DR3391" s="459" t="s">
        <v>885</v>
      </c>
      <c r="DS3391" t="s">
        <v>3171</v>
      </c>
      <c r="DT3391" s="459" t="s">
        <v>885</v>
      </c>
      <c r="DU3391" s="459" t="s">
        <v>885</v>
      </c>
      <c r="DV3391" s="459" t="s">
        <v>885</v>
      </c>
      <c r="DW3391" s="245" t="s">
        <v>885</v>
      </c>
      <c r="DX3391" s="245" t="s">
        <v>885</v>
      </c>
      <c r="DY3391" s="245"/>
      <c r="DZ3391" s="470" t="str">
        <f>IF($B$265=$B$3278,EB3391,IF($B$265=$B$3279,ED3391,IF($B$265=$B$3280,EF3391,IF($B$265=$B$3281,EH3391,IF($B$265=$B$3282,EJ3391,IF($B$265=$B$3283,EL3391,IF($B$265=$B$3284,EN3391,IF($B$265=$B$3285,EP3391,IF($B$265=$B$3286,ER3391,IF($B$265=$B$3287,ET3391,IF($B$265=$B$3288,EV3391,IF($B$265=$B$3289,EX3391,IF($B$265=$B$3290,EZ3391,IF($B$265=$B$3291,FB3391,IF($B$265=$B$3292,FD3391,IF($B$265=$B$3293,BU3391,IF($B$265=$B$3294,FF3391,IF($B$265=$B$3295,FH3391,IF($B$265=$B$3296,FJ3391,IF($B$265=$B$3297,FL3391,IF($B$265=$B$3298,FN3391,IF($B$265=$B$3299,FP3391,IF(BI$265=$B$3300,FR3391,IF($B$265=$B$3301,FT3391,IF($B$265=$B$3302,FV3391,IF($B$265=$B$3303,FX3391,IF($B$265=$B$3304,FZ3391,IF($B$265=$B$3305,GB3391,IF($B$265=$B$3306,GD3391,IF($B$265=$B$3307,GF3391,IF($B$265=$B$3308,GH3391,IF($B$265=$B$3309,GJ3391,IF($B$265=$B$3310,GL3391,IF($B$265=$B$3311,GN3391,IF($B$265=$B$3312,GP3391,IF($B$265=$B$3313,GR3391,IF($B$265=$B$3314,GT3391,IF($B$265=$B$3315,GV3391,IF($B$265=$B$3316,GX3391,IF($B$265=$B$3317,GZ3391,IF($B$265=$B$3318,HB3391,IF($B$265=$B$3319,HD3391,IF($B$265=$B$3320,HF3391,IF($B$265=$B$3321,HH3391,IF($B$265=$B$3322,HJ3391,IF($B$265=$B$3323,HL3391,IF($B$265=$B$3324,HN3391,IF($B$265=$B$3325,HP3391,IF($B$265=$B$3326,HR3391,IF($B$265=$B$3327,HT3391,IF($B$265=$B$3328,HV3391,IF($B$265=$B$3329,HX3391,""))))))))))))))))))))))))))))))))))))))))))))))))))))</f>
        <v/>
      </c>
      <c r="EA3391" s="470" t="str">
        <f>IF($B$265=$B$3278,EC3391,IF($B$265=$B$3279,EE3391,IF($B$265=$B$3280,EG3391,IF($B$265=$B$3281,EI3391,IF($B$265=$B$3282,EK3391,IF($B$265=$B$3283,EM3391,IF($B$265=$B$3284,EO3391,IF($B$265=$B$3285,EQ3391,IF($B$265=$B$3286,ES3391,IF($B$265=$B$3287,EU3391,IF($B$265=$B$3288,EW3391,IF($B$265=$B$3289,EY3391,IF($B$265=$B$3290,FA3391,IF($B$265=$B$3291,FC3391,IF($B$265=$B$3292,FE3391,IF($B$265=$B$3293,BK3391,IF($B$265=$B$3294,FG3391,IF($B$265=$B$3295,FI3391,IF($B$265=$B$3296,FK3391,IF($B$265=$B$3297,FM3391,IF($B$265=$B$3298,FO3391,IF($B$265=$B$3299,FQ3391,IF(BJ$265=$B$3300,FS3391,IF($B$265=$B$3301,FU3391,IF($B$265=$B$3302,FW3391,IF($B$265=$B$3303,FY3391,IF($B$265=$B$3304,GA3391,IF($B$265=$B$3305,GC3391,IF($B$265=$B$3306,GE3391,IF($B$265=$B$3307,GG3391,IF($B$265=$B$3308,GI3391,IF($B$265=$B$3309,GK3391,IF($B$265=$B$3310,GM3391,IF($B$265=$B$3311,GO3391,IF($B$265=$B$3312,GQ3391,IF($B$265=$B$3313,GS3391,IF($B$265=$B$3314,GU3391,IF($B$265=$B$3315,GW3391,IF($B$265=$B$3316,GY3391,IF($B$265=$B$3317,HA3391,IF($B$265=$B$3318,HC3391,IF($B$265=$B$3319,HE3391,IF($B$265=$B$3320,HG3391,IF($B$265=$B$3321,HI3391,IF($B$265=$B$3322,HK3391,IF($B$265=$B$3323,HM3391,IF($B$265=$B$3324,HO3391,IF($B$265=$B$3325,HQ3391,IF($B$265=$B$3326,HS3391,IF($B$265=$B$3327,HU3391,IF($B$265=$B$3328,HW3391,IF($B$265=$B$3329,HY3391,""))))))))))))))))))))))))))))))))))))))))))))))))))))</f>
        <v/>
      </c>
    </row>
    <row r="3392" spans="1:131" ht="16" hidden="1" x14ac:dyDescent="0.4">
      <c r="A3392" s="814"/>
      <c r="B3392" s="69" t="str">
        <f>IF(D$3364=0,"",CONCATENATE(B3361,D$3364))</f>
        <v/>
      </c>
      <c r="BB3392" s="48"/>
      <c r="BS3392" s="464" t="str">
        <f>IF($B$265=B$3278,BZ3391,IF($B$265=B$3279,CA3391,IF($B$265=B$3280,CB3391,IF($B$265=B$3281,CC3391,IF($B$265=B$3282,CD3391,IF($B$265=B$3283,CE3391,IF($B$265=B$3284,CF3391,IF($B$265=B$3285,CG3391,IF($B$265=B$3286,CH3391,IF($B$265=B$3287,CI3391,IF($B$265=B$3288,CJ3391,IF($B$265=B$3289,CK3391,IF($B$265=B$3290,CL3391,IF($B$265=B$3291,CM3391,IF($B$265=B$3292,CN3391,IF($B$265=B$3293,#REF!,IF($B$265=B$3294,CO3391,IF($B$265=B$3295,CP3391,IF($B$265=B$3296,CQ3391,IF($B$265=B$3297,CR3391,IF($B$265=B$3298,CS3391,IF($B$265=B$3299,CT3391,IF(B$265=B$3300,CU3391,IF($B$265=B$3301,CV3391,IF($B$265=B$3302,CW3391,IF($B$265=B$3303,CX3391,IF($B$265=B$3304,CY3391,IF($B$265=B$3305,CZ3391,IF($B$265=B$3306,DA3391,IF($B$265=B$3307,DB3391,IF($B$265=B$3308,DC3391,IF($B$265=B$3309,DD3391,IF($B$265=B$3310,DE3391,IF($B$265=B$3311,DF3391,IF($B$265=B$3312,DG3391,IF($B$265=B$3313,DH3391,IF($B$265=B$3314,DI3391,IF($B$265=B$3315,DJ3391,IF($B$265=B$3316,DK3391,IF($B$265=B$3317,DL3391,IF($B$265=B$3318,DM3391,IF($B$265=B$3319,DN3391,IF($B$265=B$3320,DO3391,IF($B$265=B$3321,DP3391,IF($B$265=B$3322,DQ3391,IF($B$265=B$3323,DR3391,IF($B$265=B$3324,DS3391,IF($B$265=B$3325,DT3391,IF($B$265=B$3326,DU3391,IF($B$265=B$3327,DV3391,IF($B$265=B$3328,DW3391,IF($B$265=B$3329,DX3391,""))))))))))))))))))))))))))))))))))))))))))))))))))))</f>
        <v/>
      </c>
      <c r="BZ3392" s="245" t="s">
        <v>885</v>
      </c>
      <c r="CA3392" s="245" t="s">
        <v>885</v>
      </c>
      <c r="CC3392" s="245" t="s">
        <v>885</v>
      </c>
      <c r="CD3392" s="459" t="s">
        <v>885</v>
      </c>
      <c r="CE3392" s="459" t="s">
        <v>885</v>
      </c>
      <c r="CF3392" s="245" t="s">
        <v>885</v>
      </c>
      <c r="CG3392" s="245" t="s">
        <v>885</v>
      </c>
      <c r="CH3392" s="245" t="s">
        <v>885</v>
      </c>
      <c r="CI3392" s="245" t="s">
        <v>885</v>
      </c>
      <c r="CJ3392" t="s">
        <v>1474</v>
      </c>
      <c r="CK3392" s="459" t="s">
        <v>885</v>
      </c>
      <c r="CL3392" s="459" t="s">
        <v>885</v>
      </c>
      <c r="CM3392" t="s">
        <v>1854</v>
      </c>
      <c r="CN3392" s="459" t="s">
        <v>885</v>
      </c>
      <c r="CO3392" t="s">
        <v>1856</v>
      </c>
      <c r="CP3392" t="s">
        <v>2097</v>
      </c>
      <c r="CQ3392" t="s">
        <v>1975</v>
      </c>
      <c r="CR3392" s="459" t="s">
        <v>885</v>
      </c>
      <c r="CS3392" s="459" t="s">
        <v>885</v>
      </c>
      <c r="CT3392" s="245" t="s">
        <v>885</v>
      </c>
      <c r="CU3392" s="463" t="s">
        <v>885</v>
      </c>
      <c r="CV3392" s="245" t="s">
        <v>885</v>
      </c>
      <c r="CW3392" s="245" t="s">
        <v>885</v>
      </c>
      <c r="CX3392" t="s">
        <v>2446</v>
      </c>
      <c r="CY3392" s="459" t="s">
        <v>885</v>
      </c>
      <c r="CZ3392" s="459" t="s">
        <v>885</v>
      </c>
      <c r="DA3392" s="459" t="s">
        <v>885</v>
      </c>
      <c r="DB3392" s="459" t="s">
        <v>885</v>
      </c>
      <c r="DC3392" s="459" t="s">
        <v>885</v>
      </c>
      <c r="DD3392" s="459" t="s">
        <v>885</v>
      </c>
      <c r="DE3392" s="459" t="s">
        <v>885</v>
      </c>
      <c r="DF3392" t="s">
        <v>1495</v>
      </c>
      <c r="DG3392" s="459" t="s">
        <v>885</v>
      </c>
      <c r="DH3392" s="459" t="s">
        <v>885</v>
      </c>
      <c r="DI3392" s="459" t="s">
        <v>885</v>
      </c>
      <c r="DJ3392" s="459" t="s">
        <v>885</v>
      </c>
      <c r="DK3392" s="459" t="s">
        <v>885</v>
      </c>
      <c r="DL3392" s="459" t="s">
        <v>885</v>
      </c>
      <c r="DM3392" s="459" t="s">
        <v>885</v>
      </c>
      <c r="DN3392" s="459" t="s">
        <v>885</v>
      </c>
      <c r="DO3392" t="s">
        <v>1951</v>
      </c>
      <c r="DP3392" t="s">
        <v>2569</v>
      </c>
      <c r="DQ3392" s="459" t="s">
        <v>885</v>
      </c>
      <c r="DR3392" s="459" t="s">
        <v>885</v>
      </c>
      <c r="DS3392" t="s">
        <v>3172</v>
      </c>
      <c r="DT3392" s="459" t="s">
        <v>885</v>
      </c>
      <c r="DU3392" s="459" t="s">
        <v>885</v>
      </c>
      <c r="DV3392" s="459" t="s">
        <v>885</v>
      </c>
      <c r="DW3392" s="245" t="s">
        <v>885</v>
      </c>
      <c r="DX3392" s="245" t="s">
        <v>885</v>
      </c>
      <c r="DY3392" s="245"/>
      <c r="DZ3392" s="470" t="str">
        <f>IF($B$265=$B$3278,EB3392,IF($B$265=$B$3279,ED3392,IF($B$265=$B$3280,EF3392,IF($B$265=$B$3281,EH3392,IF($B$265=$B$3282,EJ3392,IF($B$265=$B$3283,EL3392,IF($B$265=$B$3284,EN3392,IF($B$265=$B$3285,EP3392,IF($B$265=$B$3286,ER3392,IF($B$265=$B$3287,ET3392,IF($B$265=$B$3288,EV3392,IF($B$265=$B$3289,EX3392,IF($B$265=$B$3290,EZ3392,IF($B$265=$B$3291,FB3392,IF($B$265=$B$3292,FD3392,IF($B$265=$B$3293,BU3392,IF($B$265=$B$3294,FF3392,IF($B$265=$B$3295,FH3392,IF($B$265=$B$3296,FJ3392,IF($B$265=$B$3297,FL3392,IF($B$265=$B$3298,FN3392,IF($B$265=$B$3299,FP3392,IF(BI$265=$B$3300,FR3392,IF($B$265=$B$3301,FT3392,IF($B$265=$B$3302,FV3392,IF($B$265=$B$3303,FX3392,IF($B$265=$B$3304,FZ3392,IF($B$265=$B$3305,GB3392,IF($B$265=$B$3306,GD3392,IF($B$265=$B$3307,GF3392,IF($B$265=$B$3308,GH3392,IF($B$265=$B$3309,GJ3392,IF($B$265=$B$3310,GL3392,IF($B$265=$B$3311,GN3392,IF($B$265=$B$3312,GP3392,IF($B$265=$B$3313,GR3392,IF($B$265=$B$3314,GT3392,IF($B$265=$B$3315,GV3392,IF($B$265=$B$3316,GX3392,IF($B$265=$B$3317,GZ3392,IF($B$265=$B$3318,HB3392,IF($B$265=$B$3319,HD3392,IF($B$265=$B$3320,HF3392,IF($B$265=$B$3321,HH3392,IF($B$265=$B$3322,HJ3392,IF($B$265=$B$3323,HL3392,IF($B$265=$B$3324,HN3392,IF($B$265=$B$3325,HP3392,IF($B$265=$B$3326,HR3392,IF($B$265=$B$3327,HT3392,IF($B$265=$B$3328,HV3392,IF($B$265=$B$3329,HX3392,""))))))))))))))))))))))))))))))))))))))))))))))))))))</f>
        <v/>
      </c>
      <c r="EA3392" s="470" t="str">
        <f>IF($B$265=$B$3278,EC3392,IF($B$265=$B$3279,EE3392,IF($B$265=$B$3280,EG3392,IF($B$265=$B$3281,EI3392,IF($B$265=$B$3282,EK3392,IF($B$265=$B$3283,EM3392,IF($B$265=$B$3284,EO3392,IF($B$265=$B$3285,EQ3392,IF($B$265=$B$3286,ES3392,IF($B$265=$B$3287,EU3392,IF($B$265=$B$3288,EW3392,IF($B$265=$B$3289,EY3392,IF($B$265=$B$3290,FA3392,IF($B$265=$B$3291,FC3392,IF($B$265=$B$3292,FE3392,IF($B$265=$B$3293,BK3392,IF($B$265=$B$3294,FG3392,IF($B$265=$B$3295,FI3392,IF($B$265=$B$3296,FK3392,IF($B$265=$B$3297,FM3392,IF($B$265=$B$3298,FO3392,IF($B$265=$B$3299,FQ3392,IF(BJ$265=$B$3300,FS3392,IF($B$265=$B$3301,FU3392,IF($B$265=$B$3302,FW3392,IF($B$265=$B$3303,FY3392,IF($B$265=$B$3304,GA3392,IF($B$265=$B$3305,GC3392,IF($B$265=$B$3306,GE3392,IF($B$265=$B$3307,GG3392,IF($B$265=$B$3308,GI3392,IF($B$265=$B$3309,GK3392,IF($B$265=$B$3310,GM3392,IF($B$265=$B$3311,GO3392,IF($B$265=$B$3312,GQ3392,IF($B$265=$B$3313,GS3392,IF($B$265=$B$3314,GU3392,IF($B$265=$B$3315,GW3392,IF($B$265=$B$3316,GY3392,IF($B$265=$B$3317,HA3392,IF($B$265=$B$3318,HC3392,IF($B$265=$B$3319,HE3392,IF($B$265=$B$3320,HG3392,IF($B$265=$B$3321,HI3392,IF($B$265=$B$3322,HK3392,IF($B$265=$B$3323,HM3392,IF($B$265=$B$3324,HO3392,IF($B$265=$B$3325,HQ3392,IF($B$265=$B$3326,HS3392,IF($B$265=$B$3327,HU3392,IF($B$265=$B$3328,HW3392,IF($B$265=$B$3329,HY3392,""))))))))))))))))))))))))))))))))))))))))))))))))))))</f>
        <v/>
      </c>
    </row>
    <row r="3393" spans="1:131" ht="16" hidden="1" x14ac:dyDescent="0.4">
      <c r="A3393" s="814"/>
      <c r="B3393" s="69" t="str">
        <f>IF(D$3364=0,"",CONCATENATE(B3362,D$3364))</f>
        <v/>
      </c>
      <c r="BB3393" s="48"/>
      <c r="BS3393" s="464" t="str">
        <f>IF($B$265=B$3278,BZ3392,IF($B$265=B$3279,CA3392,IF($B$265=B$3280,CB3392,IF($B$265=B$3281,CC3392,IF($B$265=B$3282,CD3392,IF($B$265=B$3283,CE3392,IF($B$265=B$3284,CF3392,IF($B$265=B$3285,CG3392,IF($B$265=B$3286,CH3392,IF($B$265=B$3287,CI3392,IF($B$265=B$3288,CJ3392,IF($B$265=B$3289,CK3392,IF($B$265=B$3290,CL3392,IF($B$265=B$3291,CM3392,IF($B$265=B$3292,CN3392,IF($B$265=B$3293,#REF!,IF($B$265=B$3294,CO3392,IF($B$265=B$3295,CP3392,IF($B$265=B$3296,CQ3392,IF($B$265=B$3297,CR3392,IF($B$265=B$3298,CS3392,IF($B$265=B$3299,CT3392,IF(B$265=B$3300,CU3392,IF($B$265=B$3301,CV3392,IF($B$265=B$3302,CW3392,IF($B$265=B$3303,CX3392,IF($B$265=B$3304,CY3392,IF($B$265=B$3305,CZ3392,IF($B$265=B$3306,DA3392,IF($B$265=B$3307,DB3392,IF($B$265=B$3308,DC3392,IF($B$265=B$3309,DD3392,IF($B$265=B$3310,DE3392,IF($B$265=B$3311,DF3392,IF($B$265=B$3312,DG3392,IF($B$265=B$3313,DH3392,IF($B$265=B$3314,DI3392,IF($B$265=B$3315,DJ3392,IF($B$265=B$3316,DK3392,IF($B$265=B$3317,DL3392,IF($B$265=B$3318,DM3392,IF($B$265=B$3319,DN3392,IF($B$265=B$3320,DO3392,IF($B$265=B$3321,DP3392,IF($B$265=B$3322,DQ3392,IF($B$265=B$3323,DR3392,IF($B$265=B$3324,DS3392,IF($B$265=B$3325,DT3392,IF($B$265=B$3326,DU3392,IF($B$265=B$3327,DV3392,IF($B$265=B$3328,DW3392,IF($B$265=B$3329,DX3392,""))))))))))))))))))))))))))))))))))))))))))))))))))))</f>
        <v/>
      </c>
      <c r="BZ3393" s="245" t="s">
        <v>885</v>
      </c>
      <c r="CA3393" s="245" t="s">
        <v>885</v>
      </c>
      <c r="CC3393" s="245" t="s">
        <v>885</v>
      </c>
      <c r="CD3393" s="459" t="s">
        <v>885</v>
      </c>
      <c r="CE3393" s="459" t="s">
        <v>885</v>
      </c>
      <c r="CF3393" s="245" t="s">
        <v>885</v>
      </c>
      <c r="CG3393" s="245" t="s">
        <v>885</v>
      </c>
      <c r="CH3393" s="245" t="s">
        <v>885</v>
      </c>
      <c r="CI3393" s="245" t="s">
        <v>885</v>
      </c>
      <c r="CJ3393" t="s">
        <v>1475</v>
      </c>
      <c r="CK3393" s="459" t="s">
        <v>885</v>
      </c>
      <c r="CL3393" s="459" t="s">
        <v>885</v>
      </c>
      <c r="CM3393" t="s">
        <v>1495</v>
      </c>
      <c r="CN3393" s="459" t="s">
        <v>885</v>
      </c>
      <c r="CO3393" t="s">
        <v>1952</v>
      </c>
      <c r="CP3393" t="s">
        <v>2098</v>
      </c>
      <c r="CQ3393" t="s">
        <v>2151</v>
      </c>
      <c r="CR3393" s="459" t="s">
        <v>885</v>
      </c>
      <c r="CS3393" s="459" t="s">
        <v>885</v>
      </c>
      <c r="CT3393" s="245" t="s">
        <v>885</v>
      </c>
      <c r="CU3393" s="463" t="s">
        <v>885</v>
      </c>
      <c r="CV3393" s="245" t="s">
        <v>885</v>
      </c>
      <c r="CW3393" s="245" t="s">
        <v>885</v>
      </c>
      <c r="CX3393" t="s">
        <v>2363</v>
      </c>
      <c r="CY3393" s="459" t="s">
        <v>885</v>
      </c>
      <c r="CZ3393" s="459" t="s">
        <v>885</v>
      </c>
      <c r="DA3393" s="459" t="s">
        <v>885</v>
      </c>
      <c r="DB3393" s="459" t="s">
        <v>885</v>
      </c>
      <c r="DC3393" s="459" t="s">
        <v>885</v>
      </c>
      <c r="DD3393" s="459" t="s">
        <v>885</v>
      </c>
      <c r="DE3393" s="459" t="s">
        <v>885</v>
      </c>
      <c r="DF3393" t="s">
        <v>2677</v>
      </c>
      <c r="DG3393" s="459" t="s">
        <v>885</v>
      </c>
      <c r="DH3393" s="459" t="s">
        <v>885</v>
      </c>
      <c r="DI3393" s="459" t="s">
        <v>885</v>
      </c>
      <c r="DJ3393" s="459" t="s">
        <v>885</v>
      </c>
      <c r="DK3393" s="459" t="s">
        <v>885</v>
      </c>
      <c r="DL3393" s="459" t="s">
        <v>885</v>
      </c>
      <c r="DM3393" s="459" t="s">
        <v>885</v>
      </c>
      <c r="DN3393" s="459" t="s">
        <v>885</v>
      </c>
      <c r="DO3393" t="s">
        <v>2104</v>
      </c>
      <c r="DP3393" t="s">
        <v>1463</v>
      </c>
      <c r="DQ3393" s="459" t="s">
        <v>885</v>
      </c>
      <c r="DR3393" s="459" t="s">
        <v>885</v>
      </c>
      <c r="DS3393" t="s">
        <v>3173</v>
      </c>
      <c r="DT3393" s="459" t="s">
        <v>885</v>
      </c>
      <c r="DU3393" s="459" t="s">
        <v>885</v>
      </c>
      <c r="DV3393" s="459" t="s">
        <v>885</v>
      </c>
      <c r="DW3393" s="245" t="s">
        <v>885</v>
      </c>
      <c r="DX3393" s="245" t="s">
        <v>885</v>
      </c>
      <c r="DY3393" s="245"/>
      <c r="DZ3393" s="470" t="str">
        <f>IF($B$265=$B$3278,EB3393,IF($B$265=$B$3279,ED3393,IF($B$265=$B$3280,EF3393,IF($B$265=$B$3281,EH3393,IF($B$265=$B$3282,EJ3393,IF($B$265=$B$3283,EL3393,IF($B$265=$B$3284,EN3393,IF($B$265=$B$3285,EP3393,IF($B$265=$B$3286,ER3393,IF($B$265=$B$3287,ET3393,IF($B$265=$B$3288,EV3393,IF($B$265=$B$3289,EX3393,IF($B$265=$B$3290,EZ3393,IF($B$265=$B$3291,FB3393,IF($B$265=$B$3292,FD3393,IF($B$265=$B$3293,BU3393,IF($B$265=$B$3294,FF3393,IF($B$265=$B$3295,FH3393,IF($B$265=$B$3296,FJ3393,IF($B$265=$B$3297,FL3393,IF($B$265=$B$3298,FN3393,IF($B$265=$B$3299,FP3393,IF(BI$265=$B$3300,FR3393,IF($B$265=$B$3301,FT3393,IF($B$265=$B$3302,FV3393,IF($B$265=$B$3303,FX3393,IF($B$265=$B$3304,FZ3393,IF($B$265=$B$3305,GB3393,IF($B$265=$B$3306,GD3393,IF($B$265=$B$3307,GF3393,IF($B$265=$B$3308,GH3393,IF($B$265=$B$3309,GJ3393,IF($B$265=$B$3310,GL3393,IF($B$265=$B$3311,GN3393,IF($B$265=$B$3312,GP3393,IF($B$265=$B$3313,GR3393,IF($B$265=$B$3314,GT3393,IF($B$265=$B$3315,GV3393,IF($B$265=$B$3316,GX3393,IF($B$265=$B$3317,GZ3393,IF($B$265=$B$3318,HB3393,IF($B$265=$B$3319,HD3393,IF($B$265=$B$3320,HF3393,IF($B$265=$B$3321,HH3393,IF($B$265=$B$3322,HJ3393,IF($B$265=$B$3323,HL3393,IF($B$265=$B$3324,HN3393,IF($B$265=$B$3325,HP3393,IF($B$265=$B$3326,HR3393,IF($B$265=$B$3327,HT3393,IF($B$265=$B$3328,HV3393,IF($B$265=$B$3329,HX3393,""))))))))))))))))))))))))))))))))))))))))))))))))))))</f>
        <v/>
      </c>
      <c r="EA3393" s="470" t="str">
        <f>IF($B$265=$B$3278,EC3393,IF($B$265=$B$3279,EE3393,IF($B$265=$B$3280,EG3393,IF($B$265=$B$3281,EI3393,IF($B$265=$B$3282,EK3393,IF($B$265=$B$3283,EM3393,IF($B$265=$B$3284,EO3393,IF($B$265=$B$3285,EQ3393,IF($B$265=$B$3286,ES3393,IF($B$265=$B$3287,EU3393,IF($B$265=$B$3288,EW3393,IF($B$265=$B$3289,EY3393,IF($B$265=$B$3290,FA3393,IF($B$265=$B$3291,FC3393,IF($B$265=$B$3292,FE3393,IF($B$265=$B$3293,BK3393,IF($B$265=$B$3294,FG3393,IF($B$265=$B$3295,FI3393,IF($B$265=$B$3296,FK3393,IF($B$265=$B$3297,FM3393,IF($B$265=$B$3298,FO3393,IF($B$265=$B$3299,FQ3393,IF(BJ$265=$B$3300,FS3393,IF($B$265=$B$3301,FU3393,IF($B$265=$B$3302,FW3393,IF($B$265=$B$3303,FY3393,IF($B$265=$B$3304,GA3393,IF($B$265=$B$3305,GC3393,IF($B$265=$B$3306,GE3393,IF($B$265=$B$3307,GG3393,IF($B$265=$B$3308,GI3393,IF($B$265=$B$3309,GK3393,IF($B$265=$B$3310,GM3393,IF($B$265=$B$3311,GO3393,IF($B$265=$B$3312,GQ3393,IF($B$265=$B$3313,GS3393,IF($B$265=$B$3314,GU3393,IF($B$265=$B$3315,GW3393,IF($B$265=$B$3316,GY3393,IF($B$265=$B$3317,HA3393,IF($B$265=$B$3318,HC3393,IF($B$265=$B$3319,HE3393,IF($B$265=$B$3320,HG3393,IF($B$265=$B$3321,HI3393,IF($B$265=$B$3322,HK3393,IF($B$265=$B$3323,HM3393,IF($B$265=$B$3324,HO3393,IF($B$265=$B$3325,HQ3393,IF($B$265=$B$3326,HS3393,IF($B$265=$B$3327,HU3393,IF($B$265=$B$3328,HW3393,IF($B$265=$B$3329,HY3393,""))))))))))))))))))))))))))))))))))))))))))))))))))))</f>
        <v/>
      </c>
    </row>
    <row r="3394" spans="1:131" ht="16" hidden="1" x14ac:dyDescent="0.4">
      <c r="A3394" s="814"/>
      <c r="B3394" s="393" t="s">
        <v>973</v>
      </c>
      <c r="BB3394" s="48"/>
      <c r="BS3394" s="464" t="str">
        <f>IF($B$265=B$3278,BZ3393,IF($B$265=B$3279,CA3393,IF($B$265=B$3280,CB3393,IF($B$265=B$3281,CC3393,IF($B$265=B$3282,CD3393,IF($B$265=B$3283,CE3393,IF($B$265=B$3284,CF3393,IF($B$265=B$3285,CG3393,IF($B$265=B$3286,CH3393,IF($B$265=B$3287,CI3393,IF($B$265=B$3288,CJ3393,IF($B$265=B$3289,CK3393,IF($B$265=B$3290,CL3393,IF($B$265=B$3291,CM3393,IF($B$265=B$3292,CN3393,IF($B$265=B$3293,#REF!,IF($B$265=B$3294,CO3393,IF($B$265=B$3295,CP3393,IF($B$265=B$3296,CQ3393,IF($B$265=B$3297,CR3393,IF($B$265=B$3298,CS3393,IF($B$265=B$3299,CT3393,IF(B$265=B$3300,CU3393,IF($B$265=B$3301,CV3393,IF($B$265=B$3302,CW3393,IF($B$265=B$3303,CX3393,IF($B$265=B$3304,CY3393,IF($B$265=B$3305,CZ3393,IF($B$265=B$3306,DA3393,IF($B$265=B$3307,DB3393,IF($B$265=B$3308,DC3393,IF($B$265=B$3309,DD3393,IF($B$265=B$3310,DE3393,IF($B$265=B$3311,DF3393,IF($B$265=B$3312,DG3393,IF($B$265=B$3313,DH3393,IF($B$265=B$3314,DI3393,IF($B$265=B$3315,DJ3393,IF($B$265=B$3316,DK3393,IF($B$265=B$3317,DL3393,IF($B$265=B$3318,DM3393,IF($B$265=B$3319,DN3393,IF($B$265=B$3320,DO3393,IF($B$265=B$3321,DP3393,IF($B$265=B$3322,DQ3393,IF($B$265=B$3323,DR3393,IF($B$265=B$3324,DS3393,IF($B$265=B$3325,DT3393,IF($B$265=B$3326,DU3393,IF($B$265=B$3327,DV3393,IF($B$265=B$3328,DW3393,IF($B$265=B$3329,DX3393,""))))))))))))))))))))))))))))))))))))))))))))))))))))</f>
        <v/>
      </c>
      <c r="BZ3394" s="245" t="s">
        <v>885</v>
      </c>
      <c r="CA3394" s="245" t="s">
        <v>885</v>
      </c>
      <c r="CC3394" s="245" t="s">
        <v>885</v>
      </c>
      <c r="CD3394" s="459" t="s">
        <v>885</v>
      </c>
      <c r="CE3394" s="459" t="s">
        <v>885</v>
      </c>
      <c r="CF3394" s="245" t="s">
        <v>885</v>
      </c>
      <c r="CG3394" s="245" t="s">
        <v>885</v>
      </c>
      <c r="CH3394" s="245" t="s">
        <v>885</v>
      </c>
      <c r="CI3394" s="245" t="s">
        <v>885</v>
      </c>
      <c r="CJ3394" t="s">
        <v>1477</v>
      </c>
      <c r="CK3394" s="459" t="s">
        <v>885</v>
      </c>
      <c r="CL3394" s="459" t="s">
        <v>885</v>
      </c>
      <c r="CM3394" t="s">
        <v>1855</v>
      </c>
      <c r="CN3394" s="459" t="s">
        <v>885</v>
      </c>
      <c r="CO3394" t="s">
        <v>2037</v>
      </c>
      <c r="CP3394" t="s">
        <v>2099</v>
      </c>
      <c r="CQ3394" t="s">
        <v>2152</v>
      </c>
      <c r="CR3394" s="459" t="s">
        <v>885</v>
      </c>
      <c r="CS3394" s="459" t="s">
        <v>885</v>
      </c>
      <c r="CT3394" s="245" t="s">
        <v>885</v>
      </c>
      <c r="CU3394" s="463" t="s">
        <v>885</v>
      </c>
      <c r="CV3394" s="245" t="s">
        <v>885</v>
      </c>
      <c r="CW3394" s="245" t="s">
        <v>885</v>
      </c>
      <c r="CX3394" t="s">
        <v>2447</v>
      </c>
      <c r="CY3394" s="459" t="s">
        <v>885</v>
      </c>
      <c r="CZ3394" s="459" t="s">
        <v>885</v>
      </c>
      <c r="DA3394" s="459" t="s">
        <v>885</v>
      </c>
      <c r="DB3394" s="459" t="s">
        <v>885</v>
      </c>
      <c r="DC3394" s="459" t="s">
        <v>885</v>
      </c>
      <c r="DD3394" s="459" t="s">
        <v>885</v>
      </c>
      <c r="DE3394" s="459" t="s">
        <v>885</v>
      </c>
      <c r="DF3394" t="s">
        <v>1855</v>
      </c>
      <c r="DG3394" s="459" t="s">
        <v>885</v>
      </c>
      <c r="DH3394" s="459" t="s">
        <v>885</v>
      </c>
      <c r="DI3394" s="459" t="s">
        <v>885</v>
      </c>
      <c r="DJ3394" s="459" t="s">
        <v>885</v>
      </c>
      <c r="DK3394" s="459" t="s">
        <v>885</v>
      </c>
      <c r="DL3394" s="459" t="s">
        <v>885</v>
      </c>
      <c r="DM3394" s="459" t="s">
        <v>885</v>
      </c>
      <c r="DN3394" s="459" t="s">
        <v>885</v>
      </c>
      <c r="DO3394" s="459" t="s">
        <v>885</v>
      </c>
      <c r="DP3394" t="s">
        <v>1804</v>
      </c>
      <c r="DQ3394" s="459" t="s">
        <v>885</v>
      </c>
      <c r="DR3394" s="459" t="s">
        <v>885</v>
      </c>
      <c r="DS3394" t="s">
        <v>3174</v>
      </c>
      <c r="DT3394" s="459" t="s">
        <v>885</v>
      </c>
      <c r="DU3394" s="459" t="s">
        <v>885</v>
      </c>
      <c r="DV3394" s="459" t="s">
        <v>885</v>
      </c>
      <c r="DW3394" s="245" t="s">
        <v>885</v>
      </c>
      <c r="DX3394" s="245" t="s">
        <v>885</v>
      </c>
      <c r="DY3394" s="245"/>
      <c r="DZ3394" s="470" t="str">
        <f>IF($B$265=$B$3278,EB3394,IF($B$265=$B$3279,ED3394,IF($B$265=$B$3280,EF3394,IF($B$265=$B$3281,EH3394,IF($B$265=$B$3282,EJ3394,IF($B$265=$B$3283,EL3394,IF($B$265=$B$3284,EN3394,IF($B$265=$B$3285,EP3394,IF($B$265=$B$3286,ER3394,IF($B$265=$B$3287,ET3394,IF($B$265=$B$3288,EV3394,IF($B$265=$B$3289,EX3394,IF($B$265=$B$3290,EZ3394,IF($B$265=$B$3291,FB3394,IF($B$265=$B$3292,FD3394,IF($B$265=$B$3293,BU3394,IF($B$265=$B$3294,FF3394,IF($B$265=$B$3295,FH3394,IF($B$265=$B$3296,FJ3394,IF($B$265=$B$3297,FL3394,IF($B$265=$B$3298,FN3394,IF($B$265=$B$3299,FP3394,IF(BI$265=$B$3300,FR3394,IF($B$265=$B$3301,FT3394,IF($B$265=$B$3302,FV3394,IF($B$265=$B$3303,FX3394,IF($B$265=$B$3304,FZ3394,IF($B$265=$B$3305,GB3394,IF($B$265=$B$3306,GD3394,IF($B$265=$B$3307,GF3394,IF($B$265=$B$3308,GH3394,IF($B$265=$B$3309,GJ3394,IF($B$265=$B$3310,GL3394,IF($B$265=$B$3311,GN3394,IF($B$265=$B$3312,GP3394,IF($B$265=$B$3313,GR3394,IF($B$265=$B$3314,GT3394,IF($B$265=$B$3315,GV3394,IF($B$265=$B$3316,GX3394,IF($B$265=$B$3317,GZ3394,IF($B$265=$B$3318,HB3394,IF($B$265=$B$3319,HD3394,IF($B$265=$B$3320,HF3394,IF($B$265=$B$3321,HH3394,IF($B$265=$B$3322,HJ3394,IF($B$265=$B$3323,HL3394,IF($B$265=$B$3324,HN3394,IF($B$265=$B$3325,HP3394,IF($B$265=$B$3326,HR3394,IF($B$265=$B$3327,HT3394,IF($B$265=$B$3328,HV3394,IF($B$265=$B$3329,HX3394,""))))))))))))))))))))))))))))))))))))))))))))))))))))</f>
        <v/>
      </c>
      <c r="EA3394" s="470" t="str">
        <f>IF($B$265=$B$3278,EC3394,IF($B$265=$B$3279,EE3394,IF($B$265=$B$3280,EG3394,IF($B$265=$B$3281,EI3394,IF($B$265=$B$3282,EK3394,IF($B$265=$B$3283,EM3394,IF($B$265=$B$3284,EO3394,IF($B$265=$B$3285,EQ3394,IF($B$265=$B$3286,ES3394,IF($B$265=$B$3287,EU3394,IF($B$265=$B$3288,EW3394,IF($B$265=$B$3289,EY3394,IF($B$265=$B$3290,FA3394,IF($B$265=$B$3291,FC3394,IF($B$265=$B$3292,FE3394,IF($B$265=$B$3293,BK3394,IF($B$265=$B$3294,FG3394,IF($B$265=$B$3295,FI3394,IF($B$265=$B$3296,FK3394,IF($B$265=$B$3297,FM3394,IF($B$265=$B$3298,FO3394,IF($B$265=$B$3299,FQ3394,IF(BJ$265=$B$3300,FS3394,IF($B$265=$B$3301,FU3394,IF($B$265=$B$3302,FW3394,IF($B$265=$B$3303,FY3394,IF($B$265=$B$3304,GA3394,IF($B$265=$B$3305,GC3394,IF($B$265=$B$3306,GE3394,IF($B$265=$B$3307,GG3394,IF($B$265=$B$3308,GI3394,IF($B$265=$B$3309,GK3394,IF($B$265=$B$3310,GM3394,IF($B$265=$B$3311,GO3394,IF($B$265=$B$3312,GQ3394,IF($B$265=$B$3313,GS3394,IF($B$265=$B$3314,GU3394,IF($B$265=$B$3315,GW3394,IF($B$265=$B$3316,GY3394,IF($B$265=$B$3317,HA3394,IF($B$265=$B$3318,HC3394,IF($B$265=$B$3319,HE3394,IF($B$265=$B$3320,HG3394,IF($B$265=$B$3321,HI3394,IF($B$265=$B$3322,HK3394,IF($B$265=$B$3323,HM3394,IF($B$265=$B$3324,HO3394,IF($B$265=$B$3325,HQ3394,IF($B$265=$B$3326,HS3394,IF($B$265=$B$3327,HU3394,IF($B$265=$B$3328,HW3394,IF($B$265=$B$3329,HY3394,""))))))))))))))))))))))))))))))))))))))))))))))))))))</f>
        <v/>
      </c>
    </row>
    <row r="3395" spans="1:131" ht="16" hidden="1" x14ac:dyDescent="0.4">
      <c r="A3395" s="814"/>
      <c r="B3395" s="69" t="s">
        <v>974</v>
      </c>
      <c r="BB3395" s="48"/>
      <c r="BS3395" s="464" t="str">
        <f>IF($B$265=B$3278,BZ3394,IF($B$265=B$3279,CA3394,IF($B$265=B$3280,CB3394,IF($B$265=B$3281,CC3394,IF($B$265=B$3282,CD3394,IF($B$265=B$3283,CE3394,IF($B$265=B$3284,CF3394,IF($B$265=B$3285,CG3394,IF($B$265=B$3286,CH3394,IF($B$265=B$3287,CI3394,IF($B$265=B$3288,CJ3394,IF($B$265=B$3289,CK3394,IF($B$265=B$3290,CL3394,IF($B$265=B$3291,CM3394,IF($B$265=B$3292,CN3394,IF($B$265=B$3293,#REF!,IF($B$265=B$3294,CO3394,IF($B$265=B$3295,CP3394,IF($B$265=B$3296,CQ3394,IF($B$265=B$3297,CR3394,IF($B$265=B$3298,CS3394,IF($B$265=B$3299,CT3394,IF(B$265=B$3300,CU3394,IF($B$265=B$3301,CV3394,IF($B$265=B$3302,CW3394,IF($B$265=B$3303,CX3394,IF($B$265=B$3304,CY3394,IF($B$265=B$3305,CZ3394,IF($B$265=B$3306,DA3394,IF($B$265=B$3307,DB3394,IF($B$265=B$3308,DC3394,IF($B$265=B$3309,DD3394,IF($B$265=B$3310,DE3394,IF($B$265=B$3311,DF3394,IF($B$265=B$3312,DG3394,IF($B$265=B$3313,DH3394,IF($B$265=B$3314,DI3394,IF($B$265=B$3315,DJ3394,IF($B$265=B$3316,DK3394,IF($B$265=B$3317,DL3394,IF($B$265=B$3318,DM3394,IF($B$265=B$3319,DN3394,IF($B$265=B$3320,DO3394,IF($B$265=B$3321,DP3394,IF($B$265=B$3322,DQ3394,IF($B$265=B$3323,DR3394,IF($B$265=B$3324,DS3394,IF($B$265=B$3325,DT3394,IF($B$265=B$3326,DU3394,IF($B$265=B$3327,DV3394,IF($B$265=B$3328,DW3394,IF($B$265=B$3329,DX3394,""))))))))))))))))))))))))))))))))))))))))))))))))))))</f>
        <v/>
      </c>
      <c r="BZ3395" s="245" t="s">
        <v>885</v>
      </c>
      <c r="CA3395" s="245" t="s">
        <v>885</v>
      </c>
      <c r="CC3395" s="245" t="s">
        <v>885</v>
      </c>
      <c r="CD3395" s="459" t="s">
        <v>885</v>
      </c>
      <c r="CE3395" s="459" t="s">
        <v>885</v>
      </c>
      <c r="CF3395" s="245" t="s">
        <v>885</v>
      </c>
      <c r="CG3395" s="245" t="s">
        <v>885</v>
      </c>
      <c r="CH3395" s="245" t="s">
        <v>885</v>
      </c>
      <c r="CI3395" s="245" t="s">
        <v>885</v>
      </c>
      <c r="CJ3395" t="s">
        <v>1819</v>
      </c>
      <c r="CK3395" s="459" t="s">
        <v>885</v>
      </c>
      <c r="CL3395" s="459" t="s">
        <v>885</v>
      </c>
      <c r="CM3395" t="s">
        <v>1581</v>
      </c>
      <c r="CN3395" s="459" t="s">
        <v>885</v>
      </c>
      <c r="CO3395" t="s">
        <v>2038</v>
      </c>
      <c r="CP3395" t="s">
        <v>1844</v>
      </c>
      <c r="CQ3395" t="s">
        <v>1483</v>
      </c>
      <c r="CR3395" s="459" t="s">
        <v>885</v>
      </c>
      <c r="CS3395" s="459" t="s">
        <v>885</v>
      </c>
      <c r="CT3395" s="245" t="s">
        <v>885</v>
      </c>
      <c r="CU3395" s="463" t="s">
        <v>885</v>
      </c>
      <c r="CV3395" s="245" t="s">
        <v>885</v>
      </c>
      <c r="CW3395" s="245" t="s">
        <v>885</v>
      </c>
      <c r="CX3395" t="s">
        <v>2448</v>
      </c>
      <c r="CY3395" s="459" t="s">
        <v>885</v>
      </c>
      <c r="CZ3395" s="459" t="s">
        <v>885</v>
      </c>
      <c r="DA3395" s="459" t="s">
        <v>885</v>
      </c>
      <c r="DB3395" s="459" t="s">
        <v>885</v>
      </c>
      <c r="DC3395" s="459" t="s">
        <v>885</v>
      </c>
      <c r="DD3395" s="459" t="s">
        <v>885</v>
      </c>
      <c r="DE3395" s="459" t="s">
        <v>885</v>
      </c>
      <c r="DF3395" t="s">
        <v>1859</v>
      </c>
      <c r="DG3395" s="459" t="s">
        <v>885</v>
      </c>
      <c r="DH3395" s="459" t="s">
        <v>885</v>
      </c>
      <c r="DI3395" s="459" t="s">
        <v>885</v>
      </c>
      <c r="DJ3395" s="459" t="s">
        <v>885</v>
      </c>
      <c r="DK3395" s="459" t="s">
        <v>885</v>
      </c>
      <c r="DL3395" s="459" t="s">
        <v>885</v>
      </c>
      <c r="DM3395" s="459" t="s">
        <v>885</v>
      </c>
      <c r="DN3395" s="459" t="s">
        <v>885</v>
      </c>
      <c r="DO3395" s="459" t="s">
        <v>885</v>
      </c>
      <c r="DP3395" t="s">
        <v>1722</v>
      </c>
      <c r="DQ3395" s="459" t="s">
        <v>885</v>
      </c>
      <c r="DR3395" s="459" t="s">
        <v>885</v>
      </c>
      <c r="DS3395" t="s">
        <v>3175</v>
      </c>
      <c r="DT3395" s="459" t="s">
        <v>885</v>
      </c>
      <c r="DU3395" s="459" t="s">
        <v>885</v>
      </c>
      <c r="DV3395" s="459" t="s">
        <v>885</v>
      </c>
      <c r="DW3395" s="245" t="s">
        <v>885</v>
      </c>
      <c r="DX3395" s="245" t="s">
        <v>885</v>
      </c>
      <c r="DY3395" s="245"/>
      <c r="DZ3395" s="470" t="str">
        <f>IF($B$265=$B$3278,EB3395,IF($B$265=$B$3279,ED3395,IF($B$265=$B$3280,EF3395,IF($B$265=$B$3281,EH3395,IF($B$265=$B$3282,EJ3395,IF($B$265=$B$3283,EL3395,IF($B$265=$B$3284,EN3395,IF($B$265=$B$3285,EP3395,IF($B$265=$B$3286,ER3395,IF($B$265=$B$3287,ET3395,IF($B$265=$B$3288,EV3395,IF($B$265=$B$3289,EX3395,IF($B$265=$B$3290,EZ3395,IF($B$265=$B$3291,FB3395,IF($B$265=$B$3292,FD3395,IF($B$265=$B$3293,BU3395,IF($B$265=$B$3294,FF3395,IF($B$265=$B$3295,FH3395,IF($B$265=$B$3296,FJ3395,IF($B$265=$B$3297,FL3395,IF($B$265=$B$3298,FN3395,IF($B$265=$B$3299,FP3395,IF(BI$265=$B$3300,FR3395,IF($B$265=$B$3301,FT3395,IF($B$265=$B$3302,FV3395,IF($B$265=$B$3303,FX3395,IF($B$265=$B$3304,FZ3395,IF($B$265=$B$3305,GB3395,IF($B$265=$B$3306,GD3395,IF($B$265=$B$3307,GF3395,IF($B$265=$B$3308,GH3395,IF($B$265=$B$3309,GJ3395,IF($B$265=$B$3310,GL3395,IF($B$265=$B$3311,GN3395,IF($B$265=$B$3312,GP3395,IF($B$265=$B$3313,GR3395,IF($B$265=$B$3314,GT3395,IF($B$265=$B$3315,GV3395,IF($B$265=$B$3316,GX3395,IF($B$265=$B$3317,GZ3395,IF($B$265=$B$3318,HB3395,IF($B$265=$B$3319,HD3395,IF($B$265=$B$3320,HF3395,IF($B$265=$B$3321,HH3395,IF($B$265=$B$3322,HJ3395,IF($B$265=$B$3323,HL3395,IF($B$265=$B$3324,HN3395,IF($B$265=$B$3325,HP3395,IF($B$265=$B$3326,HR3395,IF($B$265=$B$3327,HT3395,IF($B$265=$B$3328,HV3395,IF($B$265=$B$3329,HX3395,""))))))))))))))))))))))))))))))))))))))))))))))))))))</f>
        <v/>
      </c>
      <c r="EA3395" s="470" t="str">
        <f>IF($B$265=$B$3278,EC3395,IF($B$265=$B$3279,EE3395,IF($B$265=$B$3280,EG3395,IF($B$265=$B$3281,EI3395,IF($B$265=$B$3282,EK3395,IF($B$265=$B$3283,EM3395,IF($B$265=$B$3284,EO3395,IF($B$265=$B$3285,EQ3395,IF($B$265=$B$3286,ES3395,IF($B$265=$B$3287,EU3395,IF($B$265=$B$3288,EW3395,IF($B$265=$B$3289,EY3395,IF($B$265=$B$3290,FA3395,IF($B$265=$B$3291,FC3395,IF($B$265=$B$3292,FE3395,IF($B$265=$B$3293,BK3395,IF($B$265=$B$3294,FG3395,IF($B$265=$B$3295,FI3395,IF($B$265=$B$3296,FK3395,IF($B$265=$B$3297,FM3395,IF($B$265=$B$3298,FO3395,IF($B$265=$B$3299,FQ3395,IF(BJ$265=$B$3300,FS3395,IF($B$265=$B$3301,FU3395,IF($B$265=$B$3302,FW3395,IF($B$265=$B$3303,FY3395,IF($B$265=$B$3304,GA3395,IF($B$265=$B$3305,GC3395,IF($B$265=$B$3306,GE3395,IF($B$265=$B$3307,GG3395,IF($B$265=$B$3308,GI3395,IF($B$265=$B$3309,GK3395,IF($B$265=$B$3310,GM3395,IF($B$265=$B$3311,GO3395,IF($B$265=$B$3312,GQ3395,IF($B$265=$B$3313,GS3395,IF($B$265=$B$3314,GU3395,IF($B$265=$B$3315,GW3395,IF($B$265=$B$3316,GY3395,IF($B$265=$B$3317,HA3395,IF($B$265=$B$3318,HC3395,IF($B$265=$B$3319,HE3395,IF($B$265=$B$3320,HG3395,IF($B$265=$B$3321,HI3395,IF($B$265=$B$3322,HK3395,IF($B$265=$B$3323,HM3395,IF($B$265=$B$3324,HO3395,IF($B$265=$B$3325,HQ3395,IF($B$265=$B$3326,HS3395,IF($B$265=$B$3327,HU3395,IF($B$265=$B$3328,HW3395,IF($B$265=$B$3329,HY3395,""))))))))))))))))))))))))))))))))))))))))))))))))))))</f>
        <v/>
      </c>
    </row>
    <row r="3396" spans="1:131" ht="16" hidden="1" x14ac:dyDescent="0.4">
      <c r="A3396" s="814"/>
      <c r="B3396" s="69" t="s">
        <v>975</v>
      </c>
      <c r="D3396" s="581" t="s">
        <v>9</v>
      </c>
      <c r="BB3396" s="48"/>
      <c r="BS3396" s="464" t="str">
        <f>IF($B$265=B$3278,BZ3395,IF($B$265=B$3279,CA3395,IF($B$265=B$3280,CB3395,IF($B$265=B$3281,CC3395,IF($B$265=B$3282,CD3395,IF($B$265=B$3283,CE3395,IF($B$265=B$3284,CF3395,IF($B$265=B$3285,CG3395,IF($B$265=B$3286,CH3395,IF($B$265=B$3287,CI3395,IF($B$265=B$3288,CJ3395,IF($B$265=B$3289,CK3395,IF($B$265=B$3290,CL3395,IF($B$265=B$3291,CM3395,IF($B$265=B$3292,CN3395,IF($B$265=B$3293,#REF!,IF($B$265=B$3294,CO3395,IF($B$265=B$3295,CP3395,IF($B$265=B$3296,CQ3395,IF($B$265=B$3297,CR3395,IF($B$265=B$3298,CS3395,IF($B$265=B$3299,CT3395,IF(B$265=B$3300,CU3395,IF($B$265=B$3301,CV3395,IF($B$265=B$3302,CW3395,IF($B$265=B$3303,CX3395,IF($B$265=B$3304,CY3395,IF($B$265=B$3305,CZ3395,IF($B$265=B$3306,DA3395,IF($B$265=B$3307,DB3395,IF($B$265=B$3308,DC3395,IF($B$265=B$3309,DD3395,IF($B$265=B$3310,DE3395,IF($B$265=B$3311,DF3395,IF($B$265=B$3312,DG3395,IF($B$265=B$3313,DH3395,IF($B$265=B$3314,DI3395,IF($B$265=B$3315,DJ3395,IF($B$265=B$3316,DK3395,IF($B$265=B$3317,DL3395,IF($B$265=B$3318,DM3395,IF($B$265=B$3319,DN3395,IF($B$265=B$3320,DO3395,IF($B$265=B$3321,DP3395,IF($B$265=B$3322,DQ3395,IF($B$265=B$3323,DR3395,IF($B$265=B$3324,DS3395,IF($B$265=B$3325,DT3395,IF($B$265=B$3326,DU3395,IF($B$265=B$3327,DV3395,IF($B$265=B$3328,DW3395,IF($B$265=B$3329,DX3395,""))))))))))))))))))))))))))))))))))))))))))))))))))))</f>
        <v/>
      </c>
      <c r="BZ3396" s="245" t="s">
        <v>885</v>
      </c>
      <c r="CA3396" s="245" t="s">
        <v>885</v>
      </c>
      <c r="CC3396" s="245" t="s">
        <v>885</v>
      </c>
      <c r="CD3396" s="459" t="s">
        <v>885</v>
      </c>
      <c r="CE3396" s="459" t="s">
        <v>885</v>
      </c>
      <c r="CF3396" s="245" t="s">
        <v>885</v>
      </c>
      <c r="CG3396" s="245" t="s">
        <v>885</v>
      </c>
      <c r="CH3396" s="245" t="s">
        <v>885</v>
      </c>
      <c r="CI3396" s="245" t="s">
        <v>885</v>
      </c>
      <c r="CJ3396" t="s">
        <v>1820</v>
      </c>
      <c r="CK3396" s="459" t="s">
        <v>885</v>
      </c>
      <c r="CL3396" s="459" t="s">
        <v>885</v>
      </c>
      <c r="CM3396" t="s">
        <v>1949</v>
      </c>
      <c r="CN3396" s="459" t="s">
        <v>885</v>
      </c>
      <c r="CO3396" t="s">
        <v>1861</v>
      </c>
      <c r="CP3396" t="s">
        <v>2100</v>
      </c>
      <c r="CQ3396" t="s">
        <v>1485</v>
      </c>
      <c r="CR3396" s="459" t="s">
        <v>885</v>
      </c>
      <c r="CS3396" s="459" t="s">
        <v>885</v>
      </c>
      <c r="CT3396" s="245" t="s">
        <v>885</v>
      </c>
      <c r="CU3396" s="463" t="s">
        <v>885</v>
      </c>
      <c r="CV3396" s="245" t="s">
        <v>885</v>
      </c>
      <c r="CW3396" s="245" t="s">
        <v>885</v>
      </c>
      <c r="CX3396" t="s">
        <v>1572</v>
      </c>
      <c r="CY3396" s="459" t="s">
        <v>885</v>
      </c>
      <c r="CZ3396" s="459" t="s">
        <v>885</v>
      </c>
      <c r="DA3396" s="459" t="s">
        <v>885</v>
      </c>
      <c r="DB3396" s="459" t="s">
        <v>885</v>
      </c>
      <c r="DC3396" s="459" t="s">
        <v>885</v>
      </c>
      <c r="DD3396" s="459" t="s">
        <v>885</v>
      </c>
      <c r="DE3396" s="459" t="s">
        <v>885</v>
      </c>
      <c r="DF3396" t="s">
        <v>2104</v>
      </c>
      <c r="DG3396" s="459" t="s">
        <v>885</v>
      </c>
      <c r="DH3396" s="459" t="s">
        <v>885</v>
      </c>
      <c r="DI3396" s="459" t="s">
        <v>885</v>
      </c>
      <c r="DJ3396" s="459" t="s">
        <v>885</v>
      </c>
      <c r="DK3396" s="459" t="s">
        <v>885</v>
      </c>
      <c r="DL3396" s="459" t="s">
        <v>885</v>
      </c>
      <c r="DM3396" s="459" t="s">
        <v>885</v>
      </c>
      <c r="DN3396" s="459" t="s">
        <v>885</v>
      </c>
      <c r="DO3396" s="459" t="s">
        <v>885</v>
      </c>
      <c r="DP3396" t="s">
        <v>2995</v>
      </c>
      <c r="DQ3396" s="459" t="s">
        <v>885</v>
      </c>
      <c r="DR3396" s="459" t="s">
        <v>885</v>
      </c>
      <c r="DS3396" t="s">
        <v>3176</v>
      </c>
      <c r="DT3396" s="459" t="s">
        <v>885</v>
      </c>
      <c r="DU3396" s="459" t="s">
        <v>885</v>
      </c>
      <c r="DV3396" s="459" t="s">
        <v>885</v>
      </c>
      <c r="DW3396" s="245" t="s">
        <v>885</v>
      </c>
      <c r="DX3396" s="245" t="s">
        <v>885</v>
      </c>
      <c r="DY3396" s="245"/>
      <c r="DZ3396" s="470" t="str">
        <f>IF($B$265=$B$3278,EB3396,IF($B$265=$B$3279,ED3396,IF($B$265=$B$3280,EF3396,IF($B$265=$B$3281,EH3396,IF($B$265=$B$3282,EJ3396,IF($B$265=$B$3283,EL3396,IF($B$265=$B$3284,EN3396,IF($B$265=$B$3285,EP3396,IF($B$265=$B$3286,ER3396,IF($B$265=$B$3287,ET3396,IF($B$265=$B$3288,EV3396,IF($B$265=$B$3289,EX3396,IF($B$265=$B$3290,EZ3396,IF($B$265=$B$3291,FB3396,IF($B$265=$B$3292,FD3396,IF($B$265=$B$3293,BU3396,IF($B$265=$B$3294,FF3396,IF($B$265=$B$3295,FH3396,IF($B$265=$B$3296,FJ3396,IF($B$265=$B$3297,FL3396,IF($B$265=$B$3298,FN3396,IF($B$265=$B$3299,FP3396,IF(BI$265=$B$3300,FR3396,IF($B$265=$B$3301,FT3396,IF($B$265=$B$3302,FV3396,IF($B$265=$B$3303,FX3396,IF($B$265=$B$3304,FZ3396,IF($B$265=$B$3305,GB3396,IF($B$265=$B$3306,GD3396,IF($B$265=$B$3307,GF3396,IF($B$265=$B$3308,GH3396,IF($B$265=$B$3309,GJ3396,IF($B$265=$B$3310,GL3396,IF($B$265=$B$3311,GN3396,IF($B$265=$B$3312,GP3396,IF($B$265=$B$3313,GR3396,IF($B$265=$B$3314,GT3396,IF($B$265=$B$3315,GV3396,IF($B$265=$B$3316,GX3396,IF($B$265=$B$3317,GZ3396,IF($B$265=$B$3318,HB3396,IF($B$265=$B$3319,HD3396,IF($B$265=$B$3320,HF3396,IF($B$265=$B$3321,HH3396,IF($B$265=$B$3322,HJ3396,IF($B$265=$B$3323,HL3396,IF($B$265=$B$3324,HN3396,IF($B$265=$B$3325,HP3396,IF($B$265=$B$3326,HR3396,IF($B$265=$B$3327,HT3396,IF($B$265=$B$3328,HV3396,IF($B$265=$B$3329,HX3396,""))))))))))))))))))))))))))))))))))))))))))))))))))))</f>
        <v/>
      </c>
      <c r="EA3396" s="470" t="str">
        <f>IF($B$265=$B$3278,EC3396,IF($B$265=$B$3279,EE3396,IF($B$265=$B$3280,EG3396,IF($B$265=$B$3281,EI3396,IF($B$265=$B$3282,EK3396,IF($B$265=$B$3283,EM3396,IF($B$265=$B$3284,EO3396,IF($B$265=$B$3285,EQ3396,IF($B$265=$B$3286,ES3396,IF($B$265=$B$3287,EU3396,IF($B$265=$B$3288,EW3396,IF($B$265=$B$3289,EY3396,IF($B$265=$B$3290,FA3396,IF($B$265=$B$3291,FC3396,IF($B$265=$B$3292,FE3396,IF($B$265=$B$3293,BK3396,IF($B$265=$B$3294,FG3396,IF($B$265=$B$3295,FI3396,IF($B$265=$B$3296,FK3396,IF($B$265=$B$3297,FM3396,IF($B$265=$B$3298,FO3396,IF($B$265=$B$3299,FQ3396,IF(BJ$265=$B$3300,FS3396,IF($B$265=$B$3301,FU3396,IF($B$265=$B$3302,FW3396,IF($B$265=$B$3303,FY3396,IF($B$265=$B$3304,GA3396,IF($B$265=$B$3305,GC3396,IF($B$265=$B$3306,GE3396,IF($B$265=$B$3307,GG3396,IF($B$265=$B$3308,GI3396,IF($B$265=$B$3309,GK3396,IF($B$265=$B$3310,GM3396,IF($B$265=$B$3311,GO3396,IF($B$265=$B$3312,GQ3396,IF($B$265=$B$3313,GS3396,IF($B$265=$B$3314,GU3396,IF($B$265=$B$3315,GW3396,IF($B$265=$B$3316,GY3396,IF($B$265=$B$3317,HA3396,IF($B$265=$B$3318,HC3396,IF($B$265=$B$3319,HE3396,IF($B$265=$B$3320,HG3396,IF($B$265=$B$3321,HI3396,IF($B$265=$B$3322,HK3396,IF($B$265=$B$3323,HM3396,IF($B$265=$B$3324,HO3396,IF($B$265=$B$3325,HQ3396,IF($B$265=$B$3326,HS3396,IF($B$265=$B$3327,HU3396,IF($B$265=$B$3328,HW3396,IF($B$265=$B$3329,HY3396,""))))))))))))))))))))))))))))))))))))))))))))))))))))</f>
        <v/>
      </c>
    </row>
    <row r="3397" spans="1:131" ht="16" hidden="1" x14ac:dyDescent="0.4">
      <c r="A3397" s="814"/>
      <c r="B3397" s="69" t="s">
        <v>976</v>
      </c>
      <c r="D3397" s="581" t="s">
        <v>951</v>
      </c>
      <c r="BB3397" s="48"/>
      <c r="BS3397" s="464" t="str">
        <f>IF($B$265=B$3278,BZ3396,IF($B$265=B$3279,CA3396,IF($B$265=B$3280,CB3396,IF($B$265=B$3281,CC3396,IF($B$265=B$3282,CD3396,IF($B$265=B$3283,CE3396,IF($B$265=B$3284,CF3396,IF($B$265=B$3285,CG3396,IF($B$265=B$3286,CH3396,IF($B$265=B$3287,CI3396,IF($B$265=B$3288,CJ3396,IF($B$265=B$3289,CK3396,IF($B$265=B$3290,CL3396,IF($B$265=B$3291,CM3396,IF($B$265=B$3292,CN3396,IF($B$265=B$3293,#REF!,IF($B$265=B$3294,CO3396,IF($B$265=B$3295,CP3396,IF($B$265=B$3296,CQ3396,IF($B$265=B$3297,CR3396,IF($B$265=B$3298,CS3396,IF($B$265=B$3299,CT3396,IF(B$265=B$3300,CU3396,IF($B$265=B$3301,CV3396,IF($B$265=B$3302,CW3396,IF($B$265=B$3303,CX3396,IF($B$265=B$3304,CY3396,IF($B$265=B$3305,CZ3396,IF($B$265=B$3306,DA3396,IF($B$265=B$3307,DB3396,IF($B$265=B$3308,DC3396,IF($B$265=B$3309,DD3396,IF($B$265=B$3310,DE3396,IF($B$265=B$3311,DF3396,IF($B$265=B$3312,DG3396,IF($B$265=B$3313,DH3396,IF($B$265=B$3314,DI3396,IF($B$265=B$3315,DJ3396,IF($B$265=B$3316,DK3396,IF($B$265=B$3317,DL3396,IF($B$265=B$3318,DM3396,IF($B$265=B$3319,DN3396,IF($B$265=B$3320,DO3396,IF($B$265=B$3321,DP3396,IF($B$265=B$3322,DQ3396,IF($B$265=B$3323,DR3396,IF($B$265=B$3324,DS3396,IF($B$265=B$3325,DT3396,IF($B$265=B$3326,DU3396,IF($B$265=B$3327,DV3396,IF($B$265=B$3328,DW3396,IF($B$265=B$3329,DX3396,""))))))))))))))))))))))))))))))))))))))))))))))))))))</f>
        <v/>
      </c>
      <c r="BZ3397" s="245" t="s">
        <v>885</v>
      </c>
      <c r="CA3397" s="245" t="s">
        <v>885</v>
      </c>
      <c r="CC3397" s="245" t="s">
        <v>885</v>
      </c>
      <c r="CD3397" s="459" t="s">
        <v>885</v>
      </c>
      <c r="CE3397" s="459" t="s">
        <v>885</v>
      </c>
      <c r="CF3397" s="245" t="s">
        <v>885</v>
      </c>
      <c r="CG3397" s="245" t="s">
        <v>885</v>
      </c>
      <c r="CH3397" s="245" t="s">
        <v>885</v>
      </c>
      <c r="CI3397" s="245" t="s">
        <v>885</v>
      </c>
      <c r="CJ3397" t="s">
        <v>1821</v>
      </c>
      <c r="CK3397" s="459" t="s">
        <v>885</v>
      </c>
      <c r="CL3397" s="459" t="s">
        <v>885</v>
      </c>
      <c r="CM3397" t="s">
        <v>1950</v>
      </c>
      <c r="CN3397" s="459" t="s">
        <v>885</v>
      </c>
      <c r="CO3397" t="s">
        <v>2039</v>
      </c>
      <c r="CP3397" t="s">
        <v>2101</v>
      </c>
      <c r="CQ3397" t="s">
        <v>2153</v>
      </c>
      <c r="CR3397" s="459" t="s">
        <v>885</v>
      </c>
      <c r="CS3397" s="459" t="s">
        <v>885</v>
      </c>
      <c r="CT3397" s="245" t="s">
        <v>885</v>
      </c>
      <c r="CU3397" s="463" t="s">
        <v>885</v>
      </c>
      <c r="CV3397" s="245" t="s">
        <v>885</v>
      </c>
      <c r="CW3397" s="245" t="s">
        <v>885</v>
      </c>
      <c r="CX3397" t="s">
        <v>1943</v>
      </c>
      <c r="CY3397" s="459" t="s">
        <v>885</v>
      </c>
      <c r="CZ3397" s="459" t="s">
        <v>885</v>
      </c>
      <c r="DA3397" s="459" t="s">
        <v>885</v>
      </c>
      <c r="DB3397" s="459" t="s">
        <v>885</v>
      </c>
      <c r="DC3397" s="459" t="s">
        <v>885</v>
      </c>
      <c r="DD3397" s="459" t="s">
        <v>885</v>
      </c>
      <c r="DE3397" s="459" t="s">
        <v>885</v>
      </c>
      <c r="DF3397" t="s">
        <v>2678</v>
      </c>
      <c r="DG3397" s="459" t="s">
        <v>885</v>
      </c>
      <c r="DH3397" s="459" t="s">
        <v>885</v>
      </c>
      <c r="DI3397" s="459" t="s">
        <v>885</v>
      </c>
      <c r="DJ3397" s="459" t="s">
        <v>885</v>
      </c>
      <c r="DK3397" s="459" t="s">
        <v>885</v>
      </c>
      <c r="DL3397" s="459" t="s">
        <v>885</v>
      </c>
      <c r="DM3397" s="459" t="s">
        <v>885</v>
      </c>
      <c r="DN3397" s="459" t="s">
        <v>885</v>
      </c>
      <c r="DO3397" s="459" t="s">
        <v>885</v>
      </c>
      <c r="DP3397" t="s">
        <v>2915</v>
      </c>
      <c r="DQ3397" s="459" t="s">
        <v>885</v>
      </c>
      <c r="DR3397" s="459" t="s">
        <v>885</v>
      </c>
      <c r="DS3397" t="s">
        <v>3177</v>
      </c>
      <c r="DT3397" s="459" t="s">
        <v>885</v>
      </c>
      <c r="DU3397" s="459" t="s">
        <v>885</v>
      </c>
      <c r="DV3397" s="459" t="s">
        <v>885</v>
      </c>
      <c r="DW3397" s="245" t="s">
        <v>885</v>
      </c>
      <c r="DX3397" s="245" t="s">
        <v>885</v>
      </c>
      <c r="DY3397" s="245"/>
      <c r="DZ3397" s="470" t="str">
        <f>IF($B$265=$B$3278,EB3397,IF($B$265=$B$3279,ED3397,IF($B$265=$B$3280,EF3397,IF($B$265=$B$3281,EH3397,IF($B$265=$B$3282,EJ3397,IF($B$265=$B$3283,EL3397,IF($B$265=$B$3284,EN3397,IF($B$265=$B$3285,EP3397,IF($B$265=$B$3286,ER3397,IF($B$265=$B$3287,ET3397,IF($B$265=$B$3288,EV3397,IF($B$265=$B$3289,EX3397,IF($B$265=$B$3290,EZ3397,IF($B$265=$B$3291,FB3397,IF($B$265=$B$3292,FD3397,IF($B$265=$B$3293,BU3397,IF($B$265=$B$3294,FF3397,IF($B$265=$B$3295,FH3397,IF($B$265=$B$3296,FJ3397,IF($B$265=$B$3297,FL3397,IF($B$265=$B$3298,FN3397,IF($B$265=$B$3299,FP3397,IF(BI$265=$B$3300,FR3397,IF($B$265=$B$3301,FT3397,IF($B$265=$B$3302,FV3397,IF($B$265=$B$3303,FX3397,IF($B$265=$B$3304,FZ3397,IF($B$265=$B$3305,GB3397,IF($B$265=$B$3306,GD3397,IF($B$265=$B$3307,GF3397,IF($B$265=$B$3308,GH3397,IF($B$265=$B$3309,GJ3397,IF($B$265=$B$3310,GL3397,IF($B$265=$B$3311,GN3397,IF($B$265=$B$3312,GP3397,IF($B$265=$B$3313,GR3397,IF($B$265=$B$3314,GT3397,IF($B$265=$B$3315,GV3397,IF($B$265=$B$3316,GX3397,IF($B$265=$B$3317,GZ3397,IF($B$265=$B$3318,HB3397,IF($B$265=$B$3319,HD3397,IF($B$265=$B$3320,HF3397,IF($B$265=$B$3321,HH3397,IF($B$265=$B$3322,HJ3397,IF($B$265=$B$3323,HL3397,IF($B$265=$B$3324,HN3397,IF($B$265=$B$3325,HP3397,IF($B$265=$B$3326,HR3397,IF($B$265=$B$3327,HT3397,IF($B$265=$B$3328,HV3397,IF($B$265=$B$3329,HX3397,""))))))))))))))))))))))))))))))))))))))))))))))))))))</f>
        <v/>
      </c>
      <c r="EA3397" s="470" t="str">
        <f>IF($B$265=$B$3278,EC3397,IF($B$265=$B$3279,EE3397,IF($B$265=$B$3280,EG3397,IF($B$265=$B$3281,EI3397,IF($B$265=$B$3282,EK3397,IF($B$265=$B$3283,EM3397,IF($B$265=$B$3284,EO3397,IF($B$265=$B$3285,EQ3397,IF($B$265=$B$3286,ES3397,IF($B$265=$B$3287,EU3397,IF($B$265=$B$3288,EW3397,IF($B$265=$B$3289,EY3397,IF($B$265=$B$3290,FA3397,IF($B$265=$B$3291,FC3397,IF($B$265=$B$3292,FE3397,IF($B$265=$B$3293,BK3397,IF($B$265=$B$3294,FG3397,IF($B$265=$B$3295,FI3397,IF($B$265=$B$3296,FK3397,IF($B$265=$B$3297,FM3397,IF($B$265=$B$3298,FO3397,IF($B$265=$B$3299,FQ3397,IF(BJ$265=$B$3300,FS3397,IF($B$265=$B$3301,FU3397,IF($B$265=$B$3302,FW3397,IF($B$265=$B$3303,FY3397,IF($B$265=$B$3304,GA3397,IF($B$265=$B$3305,GC3397,IF($B$265=$B$3306,GE3397,IF($B$265=$B$3307,GG3397,IF($B$265=$B$3308,GI3397,IF($B$265=$B$3309,GK3397,IF($B$265=$B$3310,GM3397,IF($B$265=$B$3311,GO3397,IF($B$265=$B$3312,GQ3397,IF($B$265=$B$3313,GS3397,IF($B$265=$B$3314,GU3397,IF($B$265=$B$3315,GW3397,IF($B$265=$B$3316,GY3397,IF($B$265=$B$3317,HA3397,IF($B$265=$B$3318,HC3397,IF($B$265=$B$3319,HE3397,IF($B$265=$B$3320,HG3397,IF($B$265=$B$3321,HI3397,IF($B$265=$B$3322,HK3397,IF($B$265=$B$3323,HM3397,IF($B$265=$B$3324,HO3397,IF($B$265=$B$3325,HQ3397,IF($B$265=$B$3326,HS3397,IF($B$265=$B$3327,HU3397,IF($B$265=$B$3328,HW3397,IF($B$265=$B$3329,HY3397,""))))))))))))))))))))))))))))))))))))))))))))))))))))</f>
        <v/>
      </c>
    </row>
    <row r="3398" spans="1:131" ht="16" hidden="1" x14ac:dyDescent="0.4">
      <c r="A3398" s="814"/>
      <c r="B3398" s="69" t="s">
        <v>977</v>
      </c>
      <c r="D3398" s="581" t="s">
        <v>952</v>
      </c>
      <c r="BB3398" s="48"/>
      <c r="BS3398" s="464" t="str">
        <f>IF($B$265=B$3278,BZ3397,IF($B$265=B$3279,CA3397,IF($B$265=B$3280,CB3397,IF($B$265=B$3281,CC3397,IF($B$265=B$3282,CD3397,IF($B$265=B$3283,CE3397,IF($B$265=B$3284,CF3397,IF($B$265=B$3285,CG3397,IF($B$265=B$3286,CH3397,IF($B$265=B$3287,CI3397,IF($B$265=B$3288,CJ3397,IF($B$265=B$3289,CK3397,IF($B$265=B$3290,CL3397,IF($B$265=B$3291,CM3397,IF($B$265=B$3292,CN3397,IF($B$265=B$3293,#REF!,IF($B$265=B$3294,CO3397,IF($B$265=B$3295,CP3397,IF($B$265=B$3296,CQ3397,IF($B$265=B$3297,CR3397,IF($B$265=B$3298,CS3397,IF($B$265=B$3299,CT3397,IF(B$265=B$3300,CU3397,IF($B$265=B$3301,CV3397,IF($B$265=B$3302,CW3397,IF($B$265=B$3303,CX3397,IF($B$265=B$3304,CY3397,IF($B$265=B$3305,CZ3397,IF($B$265=B$3306,DA3397,IF($B$265=B$3307,DB3397,IF($B$265=B$3308,DC3397,IF($B$265=B$3309,DD3397,IF($B$265=B$3310,DE3397,IF($B$265=B$3311,DF3397,IF($B$265=B$3312,DG3397,IF($B$265=B$3313,DH3397,IF($B$265=B$3314,DI3397,IF($B$265=B$3315,DJ3397,IF($B$265=B$3316,DK3397,IF($B$265=B$3317,DL3397,IF($B$265=B$3318,DM3397,IF($B$265=B$3319,DN3397,IF($B$265=B$3320,DO3397,IF($B$265=B$3321,DP3397,IF($B$265=B$3322,DQ3397,IF($B$265=B$3323,DR3397,IF($B$265=B$3324,DS3397,IF($B$265=B$3325,DT3397,IF($B$265=B$3326,DU3397,IF($B$265=B$3327,DV3397,IF($B$265=B$3328,DW3397,IF($B$265=B$3329,DX3397,""))))))))))))))))))))))))))))))))))))))))))))))))))))</f>
        <v/>
      </c>
      <c r="BZ3398" s="245" t="s">
        <v>885</v>
      </c>
      <c r="CA3398" s="245" t="s">
        <v>885</v>
      </c>
      <c r="CC3398" s="245" t="s">
        <v>885</v>
      </c>
      <c r="CD3398" s="459" t="s">
        <v>885</v>
      </c>
      <c r="CE3398" s="459" t="s">
        <v>885</v>
      </c>
      <c r="CF3398" s="245" t="s">
        <v>885</v>
      </c>
      <c r="CG3398" s="245" t="s">
        <v>885</v>
      </c>
      <c r="CH3398" s="245" t="s">
        <v>885</v>
      </c>
      <c r="CI3398" s="245" t="s">
        <v>885</v>
      </c>
      <c r="CJ3398" t="s">
        <v>1560</v>
      </c>
      <c r="CK3398" s="459" t="s">
        <v>885</v>
      </c>
      <c r="CL3398" s="459" t="s">
        <v>885</v>
      </c>
      <c r="CM3398" t="s">
        <v>1951</v>
      </c>
      <c r="CN3398" s="459" t="s">
        <v>885</v>
      </c>
      <c r="CO3398" s="459" t="s">
        <v>885</v>
      </c>
      <c r="CP3398" t="s">
        <v>2102</v>
      </c>
      <c r="CQ3398" t="s">
        <v>1570</v>
      </c>
      <c r="CR3398" s="459" t="s">
        <v>885</v>
      </c>
      <c r="CS3398" s="459" t="s">
        <v>885</v>
      </c>
      <c r="CT3398" s="245" t="s">
        <v>885</v>
      </c>
      <c r="CU3398" s="463" t="s">
        <v>885</v>
      </c>
      <c r="CV3398" s="245" t="s">
        <v>885</v>
      </c>
      <c r="CW3398" s="245" t="s">
        <v>885</v>
      </c>
      <c r="CX3398" t="s">
        <v>2449</v>
      </c>
      <c r="CY3398" s="459" t="s">
        <v>885</v>
      </c>
      <c r="CZ3398" s="459" t="s">
        <v>885</v>
      </c>
      <c r="DA3398" s="459" t="s">
        <v>885</v>
      </c>
      <c r="DB3398" s="459" t="s">
        <v>885</v>
      </c>
      <c r="DC3398" s="459" t="s">
        <v>885</v>
      </c>
      <c r="DD3398" s="459" t="s">
        <v>885</v>
      </c>
      <c r="DE3398" s="459" t="s">
        <v>885</v>
      </c>
      <c r="DF3398" t="s">
        <v>2679</v>
      </c>
      <c r="DG3398" s="459" t="s">
        <v>885</v>
      </c>
      <c r="DH3398" s="459" t="s">
        <v>885</v>
      </c>
      <c r="DI3398" s="459" t="s">
        <v>885</v>
      </c>
      <c r="DJ3398" s="459" t="s">
        <v>885</v>
      </c>
      <c r="DK3398" s="459" t="s">
        <v>885</v>
      </c>
      <c r="DL3398" s="459" t="s">
        <v>885</v>
      </c>
      <c r="DM3398" s="459" t="s">
        <v>885</v>
      </c>
      <c r="DN3398" s="459" t="s">
        <v>885</v>
      </c>
      <c r="DO3398" s="459" t="s">
        <v>885</v>
      </c>
      <c r="DP3398" t="s">
        <v>1917</v>
      </c>
      <c r="DQ3398" s="459" t="s">
        <v>885</v>
      </c>
      <c r="DR3398" s="459" t="s">
        <v>885</v>
      </c>
      <c r="DS3398" t="s">
        <v>3178</v>
      </c>
      <c r="DT3398" s="459" t="s">
        <v>885</v>
      </c>
      <c r="DU3398" s="459" t="s">
        <v>885</v>
      </c>
      <c r="DV3398" s="459" t="s">
        <v>885</v>
      </c>
      <c r="DW3398" s="245" t="s">
        <v>885</v>
      </c>
      <c r="DX3398" s="245" t="s">
        <v>885</v>
      </c>
      <c r="DY3398" s="245"/>
      <c r="DZ3398" s="470" t="str">
        <f>IF($B$265=$B$3278,EB3398,IF($B$265=$B$3279,ED3398,IF($B$265=$B$3280,EF3398,IF($B$265=$B$3281,EH3398,IF($B$265=$B$3282,EJ3398,IF($B$265=$B$3283,EL3398,IF($B$265=$B$3284,EN3398,IF($B$265=$B$3285,EP3398,IF($B$265=$B$3286,ER3398,IF($B$265=$B$3287,ET3398,IF($B$265=$B$3288,EV3398,IF($B$265=$B$3289,EX3398,IF($B$265=$B$3290,EZ3398,IF($B$265=$B$3291,FB3398,IF($B$265=$B$3292,FD3398,IF($B$265=$B$3293,BU3398,IF($B$265=$B$3294,FF3398,IF($B$265=$B$3295,FH3398,IF($B$265=$B$3296,FJ3398,IF($B$265=$B$3297,FL3398,IF($B$265=$B$3298,FN3398,IF($B$265=$B$3299,FP3398,IF(BI$265=$B$3300,FR3398,IF($B$265=$B$3301,FT3398,IF($B$265=$B$3302,FV3398,IF($B$265=$B$3303,FX3398,IF($B$265=$B$3304,FZ3398,IF($B$265=$B$3305,GB3398,IF($B$265=$B$3306,GD3398,IF($B$265=$B$3307,GF3398,IF($B$265=$B$3308,GH3398,IF($B$265=$B$3309,GJ3398,IF($B$265=$B$3310,GL3398,IF($B$265=$B$3311,GN3398,IF($B$265=$B$3312,GP3398,IF($B$265=$B$3313,GR3398,IF($B$265=$B$3314,GT3398,IF($B$265=$B$3315,GV3398,IF($B$265=$B$3316,GX3398,IF($B$265=$B$3317,GZ3398,IF($B$265=$B$3318,HB3398,IF($B$265=$B$3319,HD3398,IF($B$265=$B$3320,HF3398,IF($B$265=$B$3321,HH3398,IF($B$265=$B$3322,HJ3398,IF($B$265=$B$3323,HL3398,IF($B$265=$B$3324,HN3398,IF($B$265=$B$3325,HP3398,IF($B$265=$B$3326,HR3398,IF($B$265=$B$3327,HT3398,IF($B$265=$B$3328,HV3398,IF($B$265=$B$3329,HX3398,""))))))))))))))))))))))))))))))))))))))))))))))))))))</f>
        <v/>
      </c>
      <c r="EA3398" s="470" t="str">
        <f>IF($B$265=$B$3278,EC3398,IF($B$265=$B$3279,EE3398,IF($B$265=$B$3280,EG3398,IF($B$265=$B$3281,EI3398,IF($B$265=$B$3282,EK3398,IF($B$265=$B$3283,EM3398,IF($B$265=$B$3284,EO3398,IF($B$265=$B$3285,EQ3398,IF($B$265=$B$3286,ES3398,IF($B$265=$B$3287,EU3398,IF($B$265=$B$3288,EW3398,IF($B$265=$B$3289,EY3398,IF($B$265=$B$3290,FA3398,IF($B$265=$B$3291,FC3398,IF($B$265=$B$3292,FE3398,IF($B$265=$B$3293,BK3398,IF($B$265=$B$3294,FG3398,IF($B$265=$B$3295,FI3398,IF($B$265=$B$3296,FK3398,IF($B$265=$B$3297,FM3398,IF($B$265=$B$3298,FO3398,IF($B$265=$B$3299,FQ3398,IF(BJ$265=$B$3300,FS3398,IF($B$265=$B$3301,FU3398,IF($B$265=$B$3302,FW3398,IF($B$265=$B$3303,FY3398,IF($B$265=$B$3304,GA3398,IF($B$265=$B$3305,GC3398,IF($B$265=$B$3306,GE3398,IF($B$265=$B$3307,GG3398,IF($B$265=$B$3308,GI3398,IF($B$265=$B$3309,GK3398,IF($B$265=$B$3310,GM3398,IF($B$265=$B$3311,GO3398,IF($B$265=$B$3312,GQ3398,IF($B$265=$B$3313,GS3398,IF($B$265=$B$3314,GU3398,IF($B$265=$B$3315,GW3398,IF($B$265=$B$3316,GY3398,IF($B$265=$B$3317,HA3398,IF($B$265=$B$3318,HC3398,IF($B$265=$B$3319,HE3398,IF($B$265=$B$3320,HG3398,IF($B$265=$B$3321,HI3398,IF($B$265=$B$3322,HK3398,IF($B$265=$B$3323,HM3398,IF($B$265=$B$3324,HO3398,IF($B$265=$B$3325,HQ3398,IF($B$265=$B$3326,HS3398,IF($B$265=$B$3327,HU3398,IF($B$265=$B$3328,HW3398,IF($B$265=$B$3329,HY3398,""))))))))))))))))))))))))))))))))))))))))))))))))))))</f>
        <v/>
      </c>
    </row>
    <row r="3399" spans="1:131" ht="16" hidden="1" x14ac:dyDescent="0.4">
      <c r="A3399" s="814"/>
      <c r="BB3399" s="48"/>
      <c r="BS3399" s="464" t="str">
        <f>IF($B$265=B$3278,BZ3398,IF($B$265=B$3279,CA3398,IF($B$265=B$3280,CB3398,IF($B$265=B$3281,CC3398,IF($B$265=B$3282,CD3398,IF($B$265=B$3283,CE3398,IF($B$265=B$3284,CF3398,IF($B$265=B$3285,CG3398,IF($B$265=B$3286,CH3398,IF($B$265=B$3287,CI3398,IF($B$265=B$3288,CJ3398,IF($B$265=B$3289,CK3398,IF($B$265=B$3290,CL3398,IF($B$265=B$3291,CM3398,IF($B$265=B$3292,CN3398,IF($B$265=B$3293,#REF!,IF($B$265=B$3294,CO3398,IF($B$265=B$3295,CP3398,IF($B$265=B$3296,CQ3398,IF($B$265=B$3297,CR3398,IF($B$265=B$3298,CS3398,IF($B$265=B$3299,CT3398,IF(B$265=B$3300,CU3398,IF($B$265=B$3301,CV3398,IF($B$265=B$3302,CW3398,IF($B$265=B$3303,CX3398,IF($B$265=B$3304,CY3398,IF($B$265=B$3305,CZ3398,IF($B$265=B$3306,DA3398,IF($B$265=B$3307,DB3398,IF($B$265=B$3308,DC3398,IF($B$265=B$3309,DD3398,IF($B$265=B$3310,DE3398,IF($B$265=B$3311,DF3398,IF($B$265=B$3312,DG3398,IF($B$265=B$3313,DH3398,IF($B$265=B$3314,DI3398,IF($B$265=B$3315,DJ3398,IF($B$265=B$3316,DK3398,IF($B$265=B$3317,DL3398,IF($B$265=B$3318,DM3398,IF($B$265=B$3319,DN3398,IF($B$265=B$3320,DO3398,IF($B$265=B$3321,DP3398,IF($B$265=B$3322,DQ3398,IF($B$265=B$3323,DR3398,IF($B$265=B$3324,DS3398,IF($B$265=B$3325,DT3398,IF($B$265=B$3326,DU3398,IF($B$265=B$3327,DV3398,IF($B$265=B$3328,DW3398,IF($B$265=B$3329,DX3398,""))))))))))))))))))))))))))))))))))))))))))))))))))))</f>
        <v/>
      </c>
      <c r="BZ3399" s="245" t="s">
        <v>885</v>
      </c>
      <c r="CA3399" s="245" t="s">
        <v>885</v>
      </c>
      <c r="CC3399" s="245" t="s">
        <v>885</v>
      </c>
      <c r="CD3399" s="459" t="s">
        <v>885</v>
      </c>
      <c r="CE3399" s="459" t="s">
        <v>885</v>
      </c>
      <c r="CF3399" s="245" t="s">
        <v>885</v>
      </c>
      <c r="CG3399" s="245" t="s">
        <v>885</v>
      </c>
      <c r="CH3399" s="245" t="s">
        <v>885</v>
      </c>
      <c r="CI3399" s="245" t="s">
        <v>885</v>
      </c>
      <c r="CJ3399" t="s">
        <v>1822</v>
      </c>
      <c r="CK3399" s="459" t="s">
        <v>885</v>
      </c>
      <c r="CL3399" s="459" t="s">
        <v>885</v>
      </c>
      <c r="CM3399" t="s">
        <v>1952</v>
      </c>
      <c r="CN3399" s="459" t="s">
        <v>885</v>
      </c>
      <c r="CO3399" s="459" t="s">
        <v>885</v>
      </c>
      <c r="CP3399" t="s">
        <v>1495</v>
      </c>
      <c r="CQ3399" t="s">
        <v>2154</v>
      </c>
      <c r="CR3399" s="459" t="s">
        <v>885</v>
      </c>
      <c r="CS3399" s="459" t="s">
        <v>885</v>
      </c>
      <c r="CT3399" s="245" t="s">
        <v>885</v>
      </c>
      <c r="CU3399" s="463" t="s">
        <v>885</v>
      </c>
      <c r="CV3399" s="245" t="s">
        <v>885</v>
      </c>
      <c r="CW3399" s="245" t="s">
        <v>885</v>
      </c>
      <c r="CX3399" t="s">
        <v>1573</v>
      </c>
      <c r="CY3399" s="459" t="s">
        <v>885</v>
      </c>
      <c r="CZ3399" s="459" t="s">
        <v>885</v>
      </c>
      <c r="DA3399" s="459" t="s">
        <v>885</v>
      </c>
      <c r="DB3399" s="459" t="s">
        <v>885</v>
      </c>
      <c r="DC3399" s="459" t="s">
        <v>885</v>
      </c>
      <c r="DD3399" s="459" t="s">
        <v>885</v>
      </c>
      <c r="DE3399" s="459" t="s">
        <v>885</v>
      </c>
      <c r="DF3399" s="459" t="s">
        <v>885</v>
      </c>
      <c r="DG3399" s="459" t="s">
        <v>885</v>
      </c>
      <c r="DH3399" s="459" t="s">
        <v>885</v>
      </c>
      <c r="DI3399" s="459" t="s">
        <v>885</v>
      </c>
      <c r="DJ3399" s="459" t="s">
        <v>885</v>
      </c>
      <c r="DK3399" s="459" t="s">
        <v>885</v>
      </c>
      <c r="DL3399" s="459" t="s">
        <v>885</v>
      </c>
      <c r="DM3399" s="459" t="s">
        <v>885</v>
      </c>
      <c r="DN3399" s="459" t="s">
        <v>885</v>
      </c>
      <c r="DO3399" s="459" t="s">
        <v>885</v>
      </c>
      <c r="DP3399" t="s">
        <v>1807</v>
      </c>
      <c r="DQ3399" s="459" t="s">
        <v>885</v>
      </c>
      <c r="DR3399" s="459" t="s">
        <v>885</v>
      </c>
      <c r="DS3399" t="s">
        <v>3179</v>
      </c>
      <c r="DT3399" s="459" t="s">
        <v>885</v>
      </c>
      <c r="DU3399" s="459" t="s">
        <v>885</v>
      </c>
      <c r="DV3399" s="459" t="s">
        <v>885</v>
      </c>
      <c r="DW3399" s="245" t="s">
        <v>885</v>
      </c>
      <c r="DX3399" s="245" t="s">
        <v>885</v>
      </c>
      <c r="DY3399" s="245"/>
      <c r="DZ3399" s="470" t="str">
        <f>IF($B$265=$B$3278,EB3399,IF($B$265=$B$3279,ED3399,IF($B$265=$B$3280,EF3399,IF($B$265=$B$3281,EH3399,IF($B$265=$B$3282,EJ3399,IF($B$265=$B$3283,EL3399,IF($B$265=$B$3284,EN3399,IF($B$265=$B$3285,EP3399,IF($B$265=$B$3286,ER3399,IF($B$265=$B$3287,ET3399,IF($B$265=$B$3288,EV3399,IF($B$265=$B$3289,EX3399,IF($B$265=$B$3290,EZ3399,IF($B$265=$B$3291,FB3399,IF($B$265=$B$3292,FD3399,IF($B$265=$B$3293,BU3399,IF($B$265=$B$3294,FF3399,IF($B$265=$B$3295,FH3399,IF($B$265=$B$3296,FJ3399,IF($B$265=$B$3297,FL3399,IF($B$265=$B$3298,FN3399,IF($B$265=$B$3299,FP3399,IF(BI$265=$B$3300,FR3399,IF($B$265=$B$3301,FT3399,IF($B$265=$B$3302,FV3399,IF($B$265=$B$3303,FX3399,IF($B$265=$B$3304,FZ3399,IF($B$265=$B$3305,GB3399,IF($B$265=$B$3306,GD3399,IF($B$265=$B$3307,GF3399,IF($B$265=$B$3308,GH3399,IF($B$265=$B$3309,GJ3399,IF($B$265=$B$3310,GL3399,IF($B$265=$B$3311,GN3399,IF($B$265=$B$3312,GP3399,IF($B$265=$B$3313,GR3399,IF($B$265=$B$3314,GT3399,IF($B$265=$B$3315,GV3399,IF($B$265=$B$3316,GX3399,IF($B$265=$B$3317,GZ3399,IF($B$265=$B$3318,HB3399,IF($B$265=$B$3319,HD3399,IF($B$265=$B$3320,HF3399,IF($B$265=$B$3321,HH3399,IF($B$265=$B$3322,HJ3399,IF($B$265=$B$3323,HL3399,IF($B$265=$B$3324,HN3399,IF($B$265=$B$3325,HP3399,IF($B$265=$B$3326,HR3399,IF($B$265=$B$3327,HT3399,IF($B$265=$B$3328,HV3399,IF($B$265=$B$3329,HX3399,""))))))))))))))))))))))))))))))))))))))))))))))))))))</f>
        <v/>
      </c>
      <c r="EA3399" s="470" t="str">
        <f>IF($B$265=$B$3278,EC3399,IF($B$265=$B$3279,EE3399,IF($B$265=$B$3280,EG3399,IF($B$265=$B$3281,EI3399,IF($B$265=$B$3282,EK3399,IF($B$265=$B$3283,EM3399,IF($B$265=$B$3284,EO3399,IF($B$265=$B$3285,EQ3399,IF($B$265=$B$3286,ES3399,IF($B$265=$B$3287,EU3399,IF($B$265=$B$3288,EW3399,IF($B$265=$B$3289,EY3399,IF($B$265=$B$3290,FA3399,IF($B$265=$B$3291,FC3399,IF($B$265=$B$3292,FE3399,IF($B$265=$B$3293,BK3399,IF($B$265=$B$3294,FG3399,IF($B$265=$B$3295,FI3399,IF($B$265=$B$3296,FK3399,IF($B$265=$B$3297,FM3399,IF($B$265=$B$3298,FO3399,IF($B$265=$B$3299,FQ3399,IF(BJ$265=$B$3300,FS3399,IF($B$265=$B$3301,FU3399,IF($B$265=$B$3302,FW3399,IF($B$265=$B$3303,FY3399,IF($B$265=$B$3304,GA3399,IF($B$265=$B$3305,GC3399,IF($B$265=$B$3306,GE3399,IF($B$265=$B$3307,GG3399,IF($B$265=$B$3308,GI3399,IF($B$265=$B$3309,GK3399,IF($B$265=$B$3310,GM3399,IF($B$265=$B$3311,GO3399,IF($B$265=$B$3312,GQ3399,IF($B$265=$B$3313,GS3399,IF($B$265=$B$3314,GU3399,IF($B$265=$B$3315,GW3399,IF($B$265=$B$3316,GY3399,IF($B$265=$B$3317,HA3399,IF($B$265=$B$3318,HC3399,IF($B$265=$B$3319,HE3399,IF($B$265=$B$3320,HG3399,IF($B$265=$B$3321,HI3399,IF($B$265=$B$3322,HK3399,IF($B$265=$B$3323,HM3399,IF($B$265=$B$3324,HO3399,IF($B$265=$B$3325,HQ3399,IF($B$265=$B$3326,HS3399,IF($B$265=$B$3327,HU3399,IF($B$265=$B$3328,HW3399,IF($B$265=$B$3329,HY3399,""))))))))))))))))))))))))))))))))))))))))))))))))))))</f>
        <v/>
      </c>
    </row>
    <row r="3400" spans="1:131" ht="16" hidden="1" x14ac:dyDescent="0.4">
      <c r="A3400" s="814"/>
      <c r="BB3400" s="48"/>
      <c r="BS3400" s="464" t="str">
        <f>IF($B$265=B$3278,BZ3399,IF($B$265=B$3279,CA3399,IF($B$265=B$3280,CB3399,IF($B$265=B$3281,CC3399,IF($B$265=B$3282,CD3399,IF($B$265=B$3283,CE3399,IF($B$265=B$3284,CF3399,IF($B$265=B$3285,CG3399,IF($B$265=B$3286,CH3399,IF($B$265=B$3287,CI3399,IF($B$265=B$3288,CJ3399,IF($B$265=B$3289,CK3399,IF($B$265=B$3290,CL3399,IF($B$265=B$3291,CM3399,IF($B$265=B$3292,CN3399,IF($B$265=B$3293,C3399,IF($B$265=B$3294,CO3399,IF($B$265=B$3295,CP3399,IF($B$265=B$3296,CQ3399,IF($B$265=B$3297,CR3399,IF($B$265=B$3298,CS3399,IF($B$265=B$3299,CT3399,IF(B$265=B$3300,CU3399,IF($B$265=B$3301,CV3399,IF($B$265=B$3302,CW3399,IF($B$265=B$3303,CX3399,IF($B$265=B$3304,CY3399,IF($B$265=B$3305,CZ3399,IF($B$265=B$3306,DA3399,IF($B$265=B$3307,DB3399,IF($B$265=B$3308,DC3399,IF($B$265=B$3309,DD3399,IF($B$265=B$3310,DE3399,IF($B$265=B$3311,DF3399,IF($B$265=B$3312,DG3399,IF($B$265=B$3313,DH3399,IF($B$265=B$3314,DI3399,IF($B$265=B$3315,DJ3399,IF($B$265=B$3316,DK3399,IF($B$265=B$3317,DL3399,IF($B$265=B$3318,DM3399,IF($B$265=B$3319,DN3399,IF($B$265=B$3320,DO3399,IF($B$265=B$3321,DP3399,IF($B$265=B$3322,DQ3399,IF($B$265=B$3323,DR3399,IF($B$265=B$3324,DS3399,IF($B$265=B$3325,DT3399,IF($B$265=B$3326,DU3399,IF($B$265=B$3327,DV3399,IF($B$265=B$3328,DW3399,IF($B$265=B$3329,DX3399,""))))))))))))))))))))))))))))))))))))))))))))))))))))</f>
        <v/>
      </c>
      <c r="BZ3400" s="245" t="s">
        <v>885</v>
      </c>
      <c r="CA3400" s="245" t="s">
        <v>885</v>
      </c>
      <c r="CC3400" s="245" t="s">
        <v>885</v>
      </c>
      <c r="CD3400" s="459" t="s">
        <v>885</v>
      </c>
      <c r="CE3400" s="459" t="s">
        <v>885</v>
      </c>
      <c r="CF3400" s="245" t="s">
        <v>885</v>
      </c>
      <c r="CG3400" s="245" t="s">
        <v>885</v>
      </c>
      <c r="CH3400" s="245" t="s">
        <v>885</v>
      </c>
      <c r="CI3400" s="245" t="s">
        <v>885</v>
      </c>
      <c r="CJ3400" t="s">
        <v>1480</v>
      </c>
      <c r="CK3400" s="459" t="s">
        <v>885</v>
      </c>
      <c r="CL3400" s="459" t="s">
        <v>885</v>
      </c>
      <c r="CM3400" t="s">
        <v>1953</v>
      </c>
      <c r="CN3400" s="459" t="s">
        <v>885</v>
      </c>
      <c r="CO3400" s="459" t="s">
        <v>885</v>
      </c>
      <c r="CP3400" t="s">
        <v>2103</v>
      </c>
      <c r="CQ3400" t="s">
        <v>2155</v>
      </c>
      <c r="CR3400" s="459" t="s">
        <v>885</v>
      </c>
      <c r="CS3400" s="459" t="s">
        <v>885</v>
      </c>
      <c r="CT3400" s="245" t="s">
        <v>885</v>
      </c>
      <c r="CU3400" s="463" t="s">
        <v>885</v>
      </c>
      <c r="CV3400" s="245" t="s">
        <v>885</v>
      </c>
      <c r="CW3400" s="245" t="s">
        <v>885</v>
      </c>
      <c r="CX3400" t="s">
        <v>2450</v>
      </c>
      <c r="CY3400" s="459" t="s">
        <v>885</v>
      </c>
      <c r="CZ3400" s="459" t="s">
        <v>885</v>
      </c>
      <c r="DA3400" s="459" t="s">
        <v>885</v>
      </c>
      <c r="DB3400" s="459" t="s">
        <v>885</v>
      </c>
      <c r="DC3400" s="459" t="s">
        <v>885</v>
      </c>
      <c r="DD3400" s="459" t="s">
        <v>885</v>
      </c>
      <c r="DE3400" s="459" t="s">
        <v>885</v>
      </c>
      <c r="DF3400" s="459" t="s">
        <v>885</v>
      </c>
      <c r="DG3400" s="459" t="s">
        <v>885</v>
      </c>
      <c r="DH3400" s="459" t="s">
        <v>885</v>
      </c>
      <c r="DI3400" s="459" t="s">
        <v>885</v>
      </c>
      <c r="DJ3400" s="459" t="s">
        <v>885</v>
      </c>
      <c r="DK3400" s="459" t="s">
        <v>885</v>
      </c>
      <c r="DL3400" s="459" t="s">
        <v>885</v>
      </c>
      <c r="DM3400" s="459" t="s">
        <v>885</v>
      </c>
      <c r="DN3400" s="459" t="s">
        <v>885</v>
      </c>
      <c r="DO3400" s="459" t="s">
        <v>885</v>
      </c>
      <c r="DP3400" t="s">
        <v>1964</v>
      </c>
      <c r="DQ3400" s="459" t="s">
        <v>885</v>
      </c>
      <c r="DR3400" s="459" t="s">
        <v>885</v>
      </c>
      <c r="DS3400" t="s">
        <v>1570</v>
      </c>
      <c r="DT3400" s="459" t="s">
        <v>885</v>
      </c>
      <c r="DU3400" s="459" t="s">
        <v>885</v>
      </c>
      <c r="DV3400" s="459" t="s">
        <v>885</v>
      </c>
      <c r="DW3400" s="245" t="s">
        <v>885</v>
      </c>
      <c r="DX3400" s="245" t="s">
        <v>885</v>
      </c>
      <c r="DY3400" s="245"/>
      <c r="DZ3400" s="470" t="str">
        <f>IF($B$265=$B$3278,EB3400,IF($B$265=$B$3279,ED3400,IF($B$265=$B$3280,EF3400,IF($B$265=$B$3281,EH3400,IF($B$265=$B$3282,EJ3400,IF($B$265=$B$3283,EL3400,IF($B$265=$B$3284,EN3400,IF($B$265=$B$3285,EP3400,IF($B$265=$B$3286,ER3400,IF($B$265=$B$3287,ET3400,IF($B$265=$B$3288,EV3400,IF($B$265=$B$3289,EX3400,IF($B$265=$B$3290,EZ3400,IF($B$265=$B$3291,FB3400,IF($B$265=$B$3292,FD3400,IF($B$265=$B$3293,BU3400,IF($B$265=$B$3294,FF3400,IF($B$265=$B$3295,FH3400,IF($B$265=$B$3296,FJ3400,IF($B$265=$B$3297,FL3400,IF($B$265=$B$3298,FN3400,IF($B$265=$B$3299,FP3400,IF(BI$265=$B$3300,FR3400,IF($B$265=$B$3301,FT3400,IF($B$265=$B$3302,FV3400,IF($B$265=$B$3303,FX3400,IF($B$265=$B$3304,FZ3400,IF($B$265=$B$3305,GB3400,IF($B$265=$B$3306,GD3400,IF($B$265=$B$3307,GF3400,IF($B$265=$B$3308,GH3400,IF($B$265=$B$3309,GJ3400,IF($B$265=$B$3310,GL3400,IF($B$265=$B$3311,GN3400,IF($B$265=$B$3312,GP3400,IF($B$265=$B$3313,GR3400,IF($B$265=$B$3314,GT3400,IF($B$265=$B$3315,GV3400,IF($B$265=$B$3316,GX3400,IF($B$265=$B$3317,GZ3400,IF($B$265=$B$3318,HB3400,IF($B$265=$B$3319,HD3400,IF($B$265=$B$3320,HF3400,IF($B$265=$B$3321,HH3400,IF($B$265=$B$3322,HJ3400,IF($B$265=$B$3323,HL3400,IF($B$265=$B$3324,HN3400,IF($B$265=$B$3325,HP3400,IF($B$265=$B$3326,HR3400,IF($B$265=$B$3327,HT3400,IF($B$265=$B$3328,HV3400,IF($B$265=$B$3329,HX3400,""))))))))))))))))))))))))))))))))))))))))))))))))))))</f>
        <v/>
      </c>
      <c r="EA3400" s="470" t="str">
        <f>IF($B$265=$B$3278,EC3400,IF($B$265=$B$3279,EE3400,IF($B$265=$B$3280,EG3400,IF($B$265=$B$3281,EI3400,IF($B$265=$B$3282,EK3400,IF($B$265=$B$3283,EM3400,IF($B$265=$B$3284,EO3400,IF($B$265=$B$3285,EQ3400,IF($B$265=$B$3286,ES3400,IF($B$265=$B$3287,EU3400,IF($B$265=$B$3288,EW3400,IF($B$265=$B$3289,EY3400,IF($B$265=$B$3290,FA3400,IF($B$265=$B$3291,FC3400,IF($B$265=$B$3292,FE3400,IF($B$265=$B$3293,BK3400,IF($B$265=$B$3294,FG3400,IF($B$265=$B$3295,FI3400,IF($B$265=$B$3296,FK3400,IF($B$265=$B$3297,FM3400,IF($B$265=$B$3298,FO3400,IF($B$265=$B$3299,FQ3400,IF(BJ$265=$B$3300,FS3400,IF($B$265=$B$3301,FU3400,IF($B$265=$B$3302,FW3400,IF($B$265=$B$3303,FY3400,IF($B$265=$B$3304,GA3400,IF($B$265=$B$3305,GC3400,IF($B$265=$B$3306,GE3400,IF($B$265=$B$3307,GG3400,IF($B$265=$B$3308,GI3400,IF($B$265=$B$3309,GK3400,IF($B$265=$B$3310,GM3400,IF($B$265=$B$3311,GO3400,IF($B$265=$B$3312,GQ3400,IF($B$265=$B$3313,GS3400,IF($B$265=$B$3314,GU3400,IF($B$265=$B$3315,GW3400,IF($B$265=$B$3316,GY3400,IF($B$265=$B$3317,HA3400,IF($B$265=$B$3318,HC3400,IF($B$265=$B$3319,HE3400,IF($B$265=$B$3320,HG3400,IF($B$265=$B$3321,HI3400,IF($B$265=$B$3322,HK3400,IF($B$265=$B$3323,HM3400,IF($B$265=$B$3324,HO3400,IF($B$265=$B$3325,HQ3400,IF($B$265=$B$3326,HS3400,IF($B$265=$B$3327,HU3400,IF($B$265=$B$3328,HW3400,IF($B$265=$B$3329,HY3400,""))))))))))))))))))))))))))))))))))))))))))))))))))))</f>
        <v/>
      </c>
    </row>
    <row r="3401" spans="1:131" ht="16" hidden="1" x14ac:dyDescent="0.4">
      <c r="A3401" s="814"/>
      <c r="BB3401" s="48"/>
      <c r="BS3401" s="464" t="str">
        <f>IF($B$265=B$3278,BZ3400,IF($B$265=B$3279,CA3400,IF($B$265=B$3280,CB3400,IF($B$265=B$3281,CC3400,IF($B$265=B$3282,CD3400,IF($B$265=B$3283,CE3400,IF($B$265=B$3284,CF3400,IF($B$265=B$3285,CG3400,IF($B$265=B$3286,CH3400,IF($B$265=B$3287,CI3400,IF($B$265=B$3288,CJ3400,IF($B$265=B$3289,CK3400,IF($B$265=B$3290,CL3400,IF($B$265=B$3291,CM3400,IF($B$265=B$3292,CN3400,IF($B$265=B$3293,C3400,IF($B$265=B$3294,CO3400,IF($B$265=B$3295,CP3400,IF($B$265=B$3296,CQ3400,IF($B$265=B$3297,CR3400,IF($B$265=B$3298,CS3400,IF($B$265=B$3299,CT3400,IF(B$265=B$3300,CU3400,IF($B$265=B$3301,CV3400,IF($B$265=B$3302,CW3400,IF($B$265=B$3303,CX3400,IF($B$265=B$3304,CY3400,IF($B$265=B$3305,CZ3400,IF($B$265=B$3306,DA3400,IF($B$265=B$3307,DB3400,IF($B$265=B$3308,DC3400,IF($B$265=B$3309,DD3400,IF($B$265=B$3310,DE3400,IF($B$265=B$3311,DF3400,IF($B$265=B$3312,DG3400,IF($B$265=B$3313,DH3400,IF($B$265=B$3314,DI3400,IF($B$265=B$3315,DJ3400,IF($B$265=B$3316,DK3400,IF($B$265=B$3317,DL3400,IF($B$265=B$3318,DM3400,IF($B$265=B$3319,DN3400,IF($B$265=B$3320,DO3400,IF($B$265=B$3321,DP3400,IF($B$265=B$3322,DQ3400,IF($B$265=B$3323,DR3400,IF($B$265=B$3324,DS3400,IF($B$265=B$3325,DT3400,IF($B$265=B$3326,DU3400,IF($B$265=B$3327,DV3400,IF($B$265=B$3328,DW3400,IF($B$265=B$3329,DX3400,""))))))))))))))))))))))))))))))))))))))))))))))))))))</f>
        <v/>
      </c>
      <c r="BZ3401" s="245" t="s">
        <v>885</v>
      </c>
      <c r="CA3401" s="245" t="s">
        <v>885</v>
      </c>
      <c r="CC3401" s="245" t="s">
        <v>885</v>
      </c>
      <c r="CD3401" s="459" t="s">
        <v>885</v>
      </c>
      <c r="CE3401" s="459" t="s">
        <v>885</v>
      </c>
      <c r="CF3401" s="245" t="s">
        <v>885</v>
      </c>
      <c r="CG3401" s="245" t="s">
        <v>885</v>
      </c>
      <c r="CH3401" s="245" t="s">
        <v>885</v>
      </c>
      <c r="CI3401" s="245" t="s">
        <v>885</v>
      </c>
      <c r="CJ3401" t="s">
        <v>1481</v>
      </c>
      <c r="CK3401" s="459" t="s">
        <v>885</v>
      </c>
      <c r="CL3401" s="459" t="s">
        <v>885</v>
      </c>
      <c r="CM3401" s="459" t="s">
        <v>885</v>
      </c>
      <c r="CN3401" s="459" t="s">
        <v>885</v>
      </c>
      <c r="CO3401" s="459" t="s">
        <v>885</v>
      </c>
      <c r="CP3401" t="s">
        <v>2104</v>
      </c>
      <c r="CQ3401" t="s">
        <v>2156</v>
      </c>
      <c r="CR3401" s="459" t="s">
        <v>885</v>
      </c>
      <c r="CS3401" s="459" t="s">
        <v>885</v>
      </c>
      <c r="CT3401" s="245" t="s">
        <v>885</v>
      </c>
      <c r="CU3401" s="463" t="s">
        <v>885</v>
      </c>
      <c r="CV3401" s="245" t="s">
        <v>885</v>
      </c>
      <c r="CW3401" s="245" t="s">
        <v>885</v>
      </c>
      <c r="CX3401" t="s">
        <v>1489</v>
      </c>
      <c r="CY3401" s="459" t="s">
        <v>885</v>
      </c>
      <c r="CZ3401" s="459" t="s">
        <v>885</v>
      </c>
      <c r="DA3401" s="459" t="s">
        <v>885</v>
      </c>
      <c r="DB3401" s="459" t="s">
        <v>885</v>
      </c>
      <c r="DC3401" s="459" t="s">
        <v>885</v>
      </c>
      <c r="DD3401" s="459" t="s">
        <v>885</v>
      </c>
      <c r="DE3401" s="459" t="s">
        <v>885</v>
      </c>
      <c r="DF3401" s="459" t="s">
        <v>885</v>
      </c>
      <c r="DG3401" s="459" t="s">
        <v>885</v>
      </c>
      <c r="DH3401" s="459" t="s">
        <v>885</v>
      </c>
      <c r="DI3401" s="459" t="s">
        <v>885</v>
      </c>
      <c r="DJ3401" s="459" t="s">
        <v>885</v>
      </c>
      <c r="DK3401" s="459" t="s">
        <v>885</v>
      </c>
      <c r="DL3401" s="459" t="s">
        <v>885</v>
      </c>
      <c r="DM3401" s="459" t="s">
        <v>885</v>
      </c>
      <c r="DN3401" s="459" t="s">
        <v>885</v>
      </c>
      <c r="DO3401" s="459" t="s">
        <v>885</v>
      </c>
      <c r="DP3401" t="s">
        <v>2996</v>
      </c>
      <c r="DQ3401" s="459" t="s">
        <v>885</v>
      </c>
      <c r="DR3401" s="459" t="s">
        <v>885</v>
      </c>
      <c r="DS3401" t="s">
        <v>3180</v>
      </c>
      <c r="DT3401" s="459" t="s">
        <v>885</v>
      </c>
      <c r="DU3401" s="459" t="s">
        <v>885</v>
      </c>
      <c r="DV3401" s="459" t="s">
        <v>885</v>
      </c>
      <c r="DW3401" s="245" t="s">
        <v>885</v>
      </c>
      <c r="DX3401" s="245" t="s">
        <v>885</v>
      </c>
      <c r="DY3401" s="245"/>
      <c r="DZ3401" s="470" t="str">
        <f>IF($B$265=$B$3278,EB3401,IF($B$265=$B$3279,ED3401,IF($B$265=$B$3280,EF3401,IF($B$265=$B$3281,EH3401,IF($B$265=$B$3282,EJ3401,IF($B$265=$B$3283,EL3401,IF($B$265=$B$3284,EN3401,IF($B$265=$B$3285,EP3401,IF($B$265=$B$3286,ER3401,IF($B$265=$B$3287,ET3401,IF($B$265=$B$3288,EV3401,IF($B$265=$B$3289,EX3401,IF($B$265=$B$3290,EZ3401,IF($B$265=$B$3291,FB3401,IF($B$265=$B$3292,FD3401,IF($B$265=$B$3293,BU3401,IF($B$265=$B$3294,FF3401,IF($B$265=$B$3295,FH3401,IF($B$265=$B$3296,FJ3401,IF($B$265=$B$3297,FL3401,IF($B$265=$B$3298,FN3401,IF($B$265=$B$3299,FP3401,IF(BI$265=$B$3300,FR3401,IF($B$265=$B$3301,FT3401,IF($B$265=$B$3302,FV3401,IF($B$265=$B$3303,FX3401,IF($B$265=$B$3304,FZ3401,IF($B$265=$B$3305,GB3401,IF($B$265=$B$3306,GD3401,IF($B$265=$B$3307,GF3401,IF($B$265=$B$3308,GH3401,IF($B$265=$B$3309,GJ3401,IF($B$265=$B$3310,GL3401,IF($B$265=$B$3311,GN3401,IF($B$265=$B$3312,GP3401,IF($B$265=$B$3313,GR3401,IF($B$265=$B$3314,GT3401,IF($B$265=$B$3315,GV3401,IF($B$265=$B$3316,GX3401,IF($B$265=$B$3317,GZ3401,IF($B$265=$B$3318,HB3401,IF($B$265=$B$3319,HD3401,IF($B$265=$B$3320,HF3401,IF($B$265=$B$3321,HH3401,IF($B$265=$B$3322,HJ3401,IF($B$265=$B$3323,HL3401,IF($B$265=$B$3324,HN3401,IF($B$265=$B$3325,HP3401,IF($B$265=$B$3326,HR3401,IF($B$265=$B$3327,HT3401,IF($B$265=$B$3328,HV3401,IF($B$265=$B$3329,HX3401,""))))))))))))))))))))))))))))))))))))))))))))))))))))</f>
        <v/>
      </c>
      <c r="EA3401" s="470" t="str">
        <f>IF($B$265=$B$3278,EC3401,IF($B$265=$B$3279,EE3401,IF($B$265=$B$3280,EG3401,IF($B$265=$B$3281,EI3401,IF($B$265=$B$3282,EK3401,IF($B$265=$B$3283,EM3401,IF($B$265=$B$3284,EO3401,IF($B$265=$B$3285,EQ3401,IF($B$265=$B$3286,ES3401,IF($B$265=$B$3287,EU3401,IF($B$265=$B$3288,EW3401,IF($B$265=$B$3289,EY3401,IF($B$265=$B$3290,FA3401,IF($B$265=$B$3291,FC3401,IF($B$265=$B$3292,FE3401,IF($B$265=$B$3293,BK3401,IF($B$265=$B$3294,FG3401,IF($B$265=$B$3295,FI3401,IF($B$265=$B$3296,FK3401,IF($B$265=$B$3297,FM3401,IF($B$265=$B$3298,FO3401,IF($B$265=$B$3299,FQ3401,IF(BJ$265=$B$3300,FS3401,IF($B$265=$B$3301,FU3401,IF($B$265=$B$3302,FW3401,IF($B$265=$B$3303,FY3401,IF($B$265=$B$3304,GA3401,IF($B$265=$B$3305,GC3401,IF($B$265=$B$3306,GE3401,IF($B$265=$B$3307,GG3401,IF($B$265=$B$3308,GI3401,IF($B$265=$B$3309,GK3401,IF($B$265=$B$3310,GM3401,IF($B$265=$B$3311,GO3401,IF($B$265=$B$3312,GQ3401,IF($B$265=$B$3313,GS3401,IF($B$265=$B$3314,GU3401,IF($B$265=$B$3315,GW3401,IF($B$265=$B$3316,GY3401,IF($B$265=$B$3317,HA3401,IF($B$265=$B$3318,HC3401,IF($B$265=$B$3319,HE3401,IF($B$265=$B$3320,HG3401,IF($B$265=$B$3321,HI3401,IF($B$265=$B$3322,HK3401,IF($B$265=$B$3323,HM3401,IF($B$265=$B$3324,HO3401,IF($B$265=$B$3325,HQ3401,IF($B$265=$B$3326,HS3401,IF($B$265=$B$3327,HU3401,IF($B$265=$B$3328,HW3401,IF($B$265=$B$3329,HY3401,""))))))))))))))))))))))))))))))))))))))))))))))))))))</f>
        <v/>
      </c>
    </row>
    <row r="3402" spans="1:131" ht="18" hidden="1" x14ac:dyDescent="0.4">
      <c r="A3402" s="567"/>
      <c r="B3402" s="567"/>
      <c r="C3402" s="567"/>
      <c r="D3402" s="567"/>
      <c r="E3402" s="567"/>
      <c r="BB3402" s="48"/>
      <c r="BS3402" s="464" t="str">
        <f>IF($B$265=B$3278,BZ3401,IF($B$265=B$3279,CA3401,IF($B$265=B$3280,CB3401,IF($B$265=B$3281,CC3401,IF($B$265=B$3282,CD3401,IF($B$265=B$3283,CE3401,IF($B$265=B$3284,CF3401,IF($B$265=B$3285,CG3401,IF($B$265=B$3286,CH3401,IF($B$265=B$3287,CI3401,IF($B$265=B$3288,CJ3401,IF($B$265=B$3289,CK3401,IF($B$265=B$3290,CL3401,IF($B$265=B$3291,CM3401,IF($B$265=B$3292,CN3401,IF($B$265=B$3293,C3401,IF($B$265=B$3294,CO3401,IF($B$265=B$3295,CP3401,IF($B$265=B$3296,CQ3401,IF($B$265=B$3297,CR3401,IF($B$265=B$3298,CS3401,IF($B$265=B$3299,CT3401,IF(B$265=B$3300,CU3401,IF($B$265=B$3301,CV3401,IF($B$265=B$3302,CW3401,IF($B$265=B$3303,CX3401,IF($B$265=B$3304,CY3401,IF($B$265=B$3305,CZ3401,IF($B$265=B$3306,DA3401,IF($B$265=B$3307,DB3401,IF($B$265=B$3308,DC3401,IF($B$265=B$3309,DD3401,IF($B$265=B$3310,DE3401,IF($B$265=B$3311,DF3401,IF($B$265=B$3312,DG3401,IF($B$265=B$3313,DH3401,IF($B$265=B$3314,DI3401,IF($B$265=B$3315,DJ3401,IF($B$265=B$3316,DK3401,IF($B$265=B$3317,DL3401,IF($B$265=B$3318,DM3401,IF($B$265=B$3319,DN3401,IF($B$265=B$3320,DO3401,IF($B$265=B$3321,DP3401,IF($B$265=B$3322,DQ3401,IF($B$265=B$3323,DR3401,IF($B$265=B$3324,DS3401,IF($B$265=B$3325,DT3401,IF($B$265=B$3326,DU3401,IF($B$265=B$3327,DV3401,IF($B$265=B$3328,DW3401,IF($B$265=B$3329,DX3401,""))))))))))))))))))))))))))))))))))))))))))))))))))))</f>
        <v/>
      </c>
      <c r="BZ3402" s="245" t="s">
        <v>885</v>
      </c>
      <c r="CA3402" s="245" t="s">
        <v>885</v>
      </c>
      <c r="CC3402" s="245" t="s">
        <v>885</v>
      </c>
      <c r="CD3402" s="459" t="s">
        <v>885</v>
      </c>
      <c r="CE3402" s="459" t="s">
        <v>885</v>
      </c>
      <c r="CF3402" s="245" t="s">
        <v>885</v>
      </c>
      <c r="CG3402" s="245" t="s">
        <v>885</v>
      </c>
      <c r="CH3402" s="245" t="s">
        <v>885</v>
      </c>
      <c r="CI3402" s="245" t="s">
        <v>885</v>
      </c>
      <c r="CJ3402" t="s">
        <v>1482</v>
      </c>
      <c r="CK3402" s="459" t="s">
        <v>885</v>
      </c>
      <c r="CL3402" s="459" t="s">
        <v>885</v>
      </c>
      <c r="CM3402" s="459" t="s">
        <v>885</v>
      </c>
      <c r="CN3402" s="459" t="s">
        <v>885</v>
      </c>
      <c r="CO3402" s="459" t="s">
        <v>885</v>
      </c>
      <c r="CP3402" t="s">
        <v>2105</v>
      </c>
      <c r="CQ3402" t="s">
        <v>1487</v>
      </c>
      <c r="CR3402" s="459" t="s">
        <v>885</v>
      </c>
      <c r="CS3402" s="459" t="s">
        <v>885</v>
      </c>
      <c r="CT3402" s="245" t="s">
        <v>885</v>
      </c>
      <c r="CU3402" s="463" t="s">
        <v>885</v>
      </c>
      <c r="CV3402" s="245" t="s">
        <v>885</v>
      </c>
      <c r="CW3402" s="245" t="s">
        <v>885</v>
      </c>
      <c r="CX3402" t="s">
        <v>2451</v>
      </c>
      <c r="CY3402" s="459" t="s">
        <v>885</v>
      </c>
      <c r="CZ3402" s="459" t="s">
        <v>885</v>
      </c>
      <c r="DA3402" s="459" t="s">
        <v>885</v>
      </c>
      <c r="DB3402" s="459" t="s">
        <v>885</v>
      </c>
      <c r="DC3402" s="459" t="s">
        <v>885</v>
      </c>
      <c r="DD3402" s="459" t="s">
        <v>885</v>
      </c>
      <c r="DE3402" s="459" t="s">
        <v>885</v>
      </c>
      <c r="DF3402" s="459" t="s">
        <v>885</v>
      </c>
      <c r="DG3402" s="459" t="s">
        <v>885</v>
      </c>
      <c r="DH3402" s="459" t="s">
        <v>885</v>
      </c>
      <c r="DI3402" s="459" t="s">
        <v>885</v>
      </c>
      <c r="DJ3402" s="459" t="s">
        <v>885</v>
      </c>
      <c r="DK3402" s="459" t="s">
        <v>885</v>
      </c>
      <c r="DL3402" s="459" t="s">
        <v>885</v>
      </c>
      <c r="DM3402" s="459" t="s">
        <v>885</v>
      </c>
      <c r="DN3402" s="459" t="s">
        <v>885</v>
      </c>
      <c r="DO3402" s="459" t="s">
        <v>885</v>
      </c>
      <c r="DP3402" t="s">
        <v>2063</v>
      </c>
      <c r="DQ3402" s="459" t="s">
        <v>885</v>
      </c>
      <c r="DR3402" s="459" t="s">
        <v>885</v>
      </c>
      <c r="DS3402" t="s">
        <v>3181</v>
      </c>
      <c r="DT3402" s="459" t="s">
        <v>885</v>
      </c>
      <c r="DU3402" s="459" t="s">
        <v>885</v>
      </c>
      <c r="DV3402" s="459" t="s">
        <v>885</v>
      </c>
      <c r="DW3402" s="245" t="s">
        <v>885</v>
      </c>
      <c r="DX3402" s="245" t="s">
        <v>885</v>
      </c>
      <c r="DY3402" s="245"/>
      <c r="DZ3402" s="470" t="str">
        <f>IF($B$265=$B$3278,EB3402,IF($B$265=$B$3279,ED3402,IF($B$265=$B$3280,EF3402,IF($B$265=$B$3281,EH3402,IF($B$265=$B$3282,EJ3402,IF($B$265=$B$3283,EL3402,IF($B$265=$B$3284,EN3402,IF($B$265=$B$3285,EP3402,IF($B$265=$B$3286,ER3402,IF($B$265=$B$3287,ET3402,IF($B$265=$B$3288,EV3402,IF($B$265=$B$3289,EX3402,IF($B$265=$B$3290,EZ3402,IF($B$265=$B$3291,FB3402,IF($B$265=$B$3292,FD3402,IF($B$265=$B$3293,BU3402,IF($B$265=$B$3294,FF3402,IF($B$265=$B$3295,FH3402,IF($B$265=$B$3296,FJ3402,IF($B$265=$B$3297,FL3402,IF($B$265=$B$3298,FN3402,IF($B$265=$B$3299,FP3402,IF(BI$265=$B$3300,FR3402,IF($B$265=$B$3301,FT3402,IF($B$265=$B$3302,FV3402,IF($B$265=$B$3303,FX3402,IF($B$265=$B$3304,FZ3402,IF($B$265=$B$3305,GB3402,IF($B$265=$B$3306,GD3402,IF($B$265=$B$3307,GF3402,IF($B$265=$B$3308,GH3402,IF($B$265=$B$3309,GJ3402,IF($B$265=$B$3310,GL3402,IF($B$265=$B$3311,GN3402,IF($B$265=$B$3312,GP3402,IF($B$265=$B$3313,GR3402,IF($B$265=$B$3314,GT3402,IF($B$265=$B$3315,GV3402,IF($B$265=$B$3316,GX3402,IF($B$265=$B$3317,GZ3402,IF($B$265=$B$3318,HB3402,IF($B$265=$B$3319,HD3402,IF($B$265=$B$3320,HF3402,IF($B$265=$B$3321,HH3402,IF($B$265=$B$3322,HJ3402,IF($B$265=$B$3323,HL3402,IF($B$265=$B$3324,HN3402,IF($B$265=$B$3325,HP3402,IF($B$265=$B$3326,HR3402,IF($B$265=$B$3327,HT3402,IF($B$265=$B$3328,HV3402,IF($B$265=$B$3329,HX3402,""))))))))))))))))))))))))))))))))))))))))))))))))))))</f>
        <v/>
      </c>
      <c r="EA3402" s="470" t="str">
        <f>IF($B$265=$B$3278,EC3402,IF($B$265=$B$3279,EE3402,IF($B$265=$B$3280,EG3402,IF($B$265=$B$3281,EI3402,IF($B$265=$B$3282,EK3402,IF($B$265=$B$3283,EM3402,IF($B$265=$B$3284,EO3402,IF($B$265=$B$3285,EQ3402,IF($B$265=$B$3286,ES3402,IF($B$265=$B$3287,EU3402,IF($B$265=$B$3288,EW3402,IF($B$265=$B$3289,EY3402,IF($B$265=$B$3290,FA3402,IF($B$265=$B$3291,FC3402,IF($B$265=$B$3292,FE3402,IF($B$265=$B$3293,BK3402,IF($B$265=$B$3294,FG3402,IF($B$265=$B$3295,FI3402,IF($B$265=$B$3296,FK3402,IF($B$265=$B$3297,FM3402,IF($B$265=$B$3298,FO3402,IF($B$265=$B$3299,FQ3402,IF(BJ$265=$B$3300,FS3402,IF($B$265=$B$3301,FU3402,IF($B$265=$B$3302,FW3402,IF($B$265=$B$3303,FY3402,IF($B$265=$B$3304,GA3402,IF($B$265=$B$3305,GC3402,IF($B$265=$B$3306,GE3402,IF($B$265=$B$3307,GG3402,IF($B$265=$B$3308,GI3402,IF($B$265=$B$3309,GK3402,IF($B$265=$B$3310,GM3402,IF($B$265=$B$3311,GO3402,IF($B$265=$B$3312,GQ3402,IF($B$265=$B$3313,GS3402,IF($B$265=$B$3314,GU3402,IF($B$265=$B$3315,GW3402,IF($B$265=$B$3316,GY3402,IF($B$265=$B$3317,HA3402,IF($B$265=$B$3318,HC3402,IF($B$265=$B$3319,HE3402,IF($B$265=$B$3320,HG3402,IF($B$265=$B$3321,HI3402,IF($B$265=$B$3322,HK3402,IF($B$265=$B$3323,HM3402,IF($B$265=$B$3324,HO3402,IF($B$265=$B$3325,HQ3402,IF($B$265=$B$3326,HS3402,IF($B$265=$B$3327,HU3402,IF($B$265=$B$3328,HW3402,IF($B$265=$B$3329,HY3402,""))))))))))))))))))))))))))))))))))))))))))))))))))))</f>
        <v/>
      </c>
    </row>
    <row r="3403" spans="1:131" ht="16" hidden="1" x14ac:dyDescent="0.4">
      <c r="A3403" s="813"/>
      <c r="BB3403" s="48"/>
      <c r="BS3403" s="464" t="str">
        <f>IF($B$265=B$3278,BZ3402,IF($B$265=B$3279,CA3402,IF($B$265=B$3280,CB3402,IF($B$265=B$3281,CC3402,IF($B$265=B$3282,CD3402,IF($B$265=B$3283,CE3402,IF($B$265=B$3284,CF3402,IF($B$265=B$3285,CG3402,IF($B$265=B$3286,CH3402,IF($B$265=B$3287,CI3402,IF($B$265=B$3288,CJ3402,IF($B$265=B$3289,CK3402,IF($B$265=B$3290,CL3402,IF($B$265=B$3291,CM3402,IF($B$265=B$3292,CN3402,IF($B$265=B$3293,C3402,IF($B$265=B$3294,CO3402,IF($B$265=B$3295,CP3402,IF($B$265=B$3296,CQ3402,IF($B$265=B$3297,CR3402,IF($B$265=B$3298,CS3402,IF($B$265=B$3299,CT3402,IF(B$265=B$3300,CU3402,IF($B$265=B$3301,CV3402,IF($B$265=B$3302,CW3402,IF($B$265=B$3303,CX3402,IF($B$265=B$3304,CY3402,IF($B$265=B$3305,CZ3402,IF($B$265=B$3306,DA3402,IF($B$265=B$3307,DB3402,IF($B$265=B$3308,DC3402,IF($B$265=B$3309,DD3402,IF($B$265=B$3310,DE3402,IF($B$265=B$3311,DF3402,IF($B$265=B$3312,DG3402,IF($B$265=B$3313,DH3402,IF($B$265=B$3314,DI3402,IF($B$265=B$3315,DJ3402,IF($B$265=B$3316,DK3402,IF($B$265=B$3317,DL3402,IF($B$265=B$3318,DM3402,IF($B$265=B$3319,DN3402,IF($B$265=B$3320,DO3402,IF($B$265=B$3321,DP3402,IF($B$265=B$3322,DQ3402,IF($B$265=B$3323,DR3402,IF($B$265=B$3324,DS3402,IF($B$265=B$3325,DT3402,IF($B$265=B$3326,DU3402,IF($B$265=B$3327,DV3402,IF($B$265=B$3328,DW3402,IF($B$265=B$3329,DX3402,""))))))))))))))))))))))))))))))))))))))))))))))))))))</f>
        <v/>
      </c>
      <c r="BZ3403" s="245" t="s">
        <v>885</v>
      </c>
      <c r="CA3403" s="245" t="s">
        <v>885</v>
      </c>
      <c r="CC3403" s="245" t="s">
        <v>885</v>
      </c>
      <c r="CD3403" s="459" t="s">
        <v>885</v>
      </c>
      <c r="CE3403" s="459" t="s">
        <v>885</v>
      </c>
      <c r="CF3403" s="245" t="s">
        <v>885</v>
      </c>
      <c r="CG3403" s="245" t="s">
        <v>885</v>
      </c>
      <c r="CH3403" s="245" t="s">
        <v>885</v>
      </c>
      <c r="CI3403" s="245" t="s">
        <v>885</v>
      </c>
      <c r="CJ3403" t="s">
        <v>1823</v>
      </c>
      <c r="CK3403" s="459" t="s">
        <v>885</v>
      </c>
      <c r="CL3403" s="459" t="s">
        <v>885</v>
      </c>
      <c r="CM3403" s="459" t="s">
        <v>885</v>
      </c>
      <c r="CN3403" s="459" t="s">
        <v>885</v>
      </c>
      <c r="CO3403" s="459" t="s">
        <v>885</v>
      </c>
      <c r="CP3403" t="s">
        <v>2106</v>
      </c>
      <c r="CQ3403" t="s">
        <v>1573</v>
      </c>
      <c r="CR3403" s="459" t="s">
        <v>885</v>
      </c>
      <c r="CS3403" s="459" t="s">
        <v>885</v>
      </c>
      <c r="CT3403" s="245" t="s">
        <v>885</v>
      </c>
      <c r="CU3403" s="463" t="s">
        <v>885</v>
      </c>
      <c r="CV3403" s="245" t="s">
        <v>885</v>
      </c>
      <c r="CW3403" s="245" t="s">
        <v>885</v>
      </c>
      <c r="CX3403" t="s">
        <v>1578</v>
      </c>
      <c r="CY3403" s="459" t="s">
        <v>885</v>
      </c>
      <c r="CZ3403" s="459" t="s">
        <v>885</v>
      </c>
      <c r="DA3403" s="459" t="s">
        <v>885</v>
      </c>
      <c r="DB3403" s="459" t="s">
        <v>885</v>
      </c>
      <c r="DC3403" s="459" t="s">
        <v>885</v>
      </c>
      <c r="DD3403" s="459" t="s">
        <v>885</v>
      </c>
      <c r="DE3403" s="459" t="s">
        <v>885</v>
      </c>
      <c r="DF3403" s="459" t="s">
        <v>885</v>
      </c>
      <c r="DG3403" s="459" t="s">
        <v>885</v>
      </c>
      <c r="DH3403" s="459" t="s">
        <v>885</v>
      </c>
      <c r="DI3403" s="459" t="s">
        <v>885</v>
      </c>
      <c r="DJ3403" s="459" t="s">
        <v>885</v>
      </c>
      <c r="DK3403" s="459" t="s">
        <v>885</v>
      </c>
      <c r="DL3403" s="459" t="s">
        <v>885</v>
      </c>
      <c r="DM3403" s="459" t="s">
        <v>885</v>
      </c>
      <c r="DN3403" s="459" t="s">
        <v>885</v>
      </c>
      <c r="DO3403" s="459" t="s">
        <v>885</v>
      </c>
      <c r="DP3403" t="s">
        <v>2997</v>
      </c>
      <c r="DQ3403" s="459" t="s">
        <v>885</v>
      </c>
      <c r="DR3403" s="459" t="s">
        <v>885</v>
      </c>
      <c r="DS3403" t="s">
        <v>3182</v>
      </c>
      <c r="DT3403" s="459" t="s">
        <v>885</v>
      </c>
      <c r="DU3403" s="459" t="s">
        <v>885</v>
      </c>
      <c r="DV3403" s="459" t="s">
        <v>885</v>
      </c>
      <c r="DW3403" s="245" t="s">
        <v>885</v>
      </c>
      <c r="DX3403" s="245" t="s">
        <v>885</v>
      </c>
      <c r="DY3403" s="245"/>
      <c r="DZ3403" s="470" t="str">
        <f>IF($B$265=$B$3278,EB3403,IF($B$265=$B$3279,ED3403,IF($B$265=$B$3280,EF3403,IF($B$265=$B$3281,EH3403,IF($B$265=$B$3282,EJ3403,IF($B$265=$B$3283,EL3403,IF($B$265=$B$3284,EN3403,IF($B$265=$B$3285,EP3403,IF($B$265=$B$3286,ER3403,IF($B$265=$B$3287,ET3403,IF($B$265=$B$3288,EV3403,IF($B$265=$B$3289,EX3403,IF($B$265=$B$3290,EZ3403,IF($B$265=$B$3291,FB3403,IF($B$265=$B$3292,FD3403,IF($B$265=$B$3293,BU3403,IF($B$265=$B$3294,FF3403,IF($B$265=$B$3295,FH3403,IF($B$265=$B$3296,FJ3403,IF($B$265=$B$3297,FL3403,IF($B$265=$B$3298,FN3403,IF($B$265=$B$3299,FP3403,IF(BI$265=$B$3300,FR3403,IF($B$265=$B$3301,FT3403,IF($B$265=$B$3302,FV3403,IF($B$265=$B$3303,FX3403,IF($B$265=$B$3304,FZ3403,IF($B$265=$B$3305,GB3403,IF($B$265=$B$3306,GD3403,IF($B$265=$B$3307,GF3403,IF($B$265=$B$3308,GH3403,IF($B$265=$B$3309,GJ3403,IF($B$265=$B$3310,GL3403,IF($B$265=$B$3311,GN3403,IF($B$265=$B$3312,GP3403,IF($B$265=$B$3313,GR3403,IF($B$265=$B$3314,GT3403,IF($B$265=$B$3315,GV3403,IF($B$265=$B$3316,GX3403,IF($B$265=$B$3317,GZ3403,IF($B$265=$B$3318,HB3403,IF($B$265=$B$3319,HD3403,IF($B$265=$B$3320,HF3403,IF($B$265=$B$3321,HH3403,IF($B$265=$B$3322,HJ3403,IF($B$265=$B$3323,HL3403,IF($B$265=$B$3324,HN3403,IF($B$265=$B$3325,HP3403,IF($B$265=$B$3326,HR3403,IF($B$265=$B$3327,HT3403,IF($B$265=$B$3328,HV3403,IF($B$265=$B$3329,HX3403,""))))))))))))))))))))))))))))))))))))))))))))))))))))</f>
        <v/>
      </c>
      <c r="EA3403" s="470" t="str">
        <f>IF($B$265=$B$3278,EC3403,IF($B$265=$B$3279,EE3403,IF($B$265=$B$3280,EG3403,IF($B$265=$B$3281,EI3403,IF($B$265=$B$3282,EK3403,IF($B$265=$B$3283,EM3403,IF($B$265=$B$3284,EO3403,IF($B$265=$B$3285,EQ3403,IF($B$265=$B$3286,ES3403,IF($B$265=$B$3287,EU3403,IF($B$265=$B$3288,EW3403,IF($B$265=$B$3289,EY3403,IF($B$265=$B$3290,FA3403,IF($B$265=$B$3291,FC3403,IF($B$265=$B$3292,FE3403,IF($B$265=$B$3293,BK3403,IF($B$265=$B$3294,FG3403,IF($B$265=$B$3295,FI3403,IF($B$265=$B$3296,FK3403,IF($B$265=$B$3297,FM3403,IF($B$265=$B$3298,FO3403,IF($B$265=$B$3299,FQ3403,IF(BJ$265=$B$3300,FS3403,IF($B$265=$B$3301,FU3403,IF($B$265=$B$3302,FW3403,IF($B$265=$B$3303,FY3403,IF($B$265=$B$3304,GA3403,IF($B$265=$B$3305,GC3403,IF($B$265=$B$3306,GE3403,IF($B$265=$B$3307,GG3403,IF($B$265=$B$3308,GI3403,IF($B$265=$B$3309,GK3403,IF($B$265=$B$3310,GM3403,IF($B$265=$B$3311,GO3403,IF($B$265=$B$3312,GQ3403,IF($B$265=$B$3313,GS3403,IF($B$265=$B$3314,GU3403,IF($B$265=$B$3315,GW3403,IF($B$265=$B$3316,GY3403,IF($B$265=$B$3317,HA3403,IF($B$265=$B$3318,HC3403,IF($B$265=$B$3319,HE3403,IF($B$265=$B$3320,HG3403,IF($B$265=$B$3321,HI3403,IF($B$265=$B$3322,HK3403,IF($B$265=$B$3323,HM3403,IF($B$265=$B$3324,HO3403,IF($B$265=$B$3325,HQ3403,IF($B$265=$B$3326,HS3403,IF($B$265=$B$3327,HU3403,IF($B$265=$B$3328,HW3403,IF($B$265=$B$3329,HY3403,""))))))))))))))))))))))))))))))))))))))))))))))))))))</f>
        <v/>
      </c>
    </row>
    <row r="3404" spans="1:131" ht="16" hidden="1" x14ac:dyDescent="0.4">
      <c r="A3404" s="813"/>
      <c r="BB3404" s="48"/>
      <c r="BS3404" s="464" t="str">
        <f>IF($B$265=B$3278,BZ3403,IF($B$265=B$3279,CA3403,IF($B$265=B$3280,CB3403,IF($B$265=B$3281,CC3403,IF($B$265=B$3282,CD3403,IF($B$265=B$3283,CE3403,IF($B$265=B$3284,CF3403,IF($B$265=B$3285,CG3403,IF($B$265=B$3286,CH3403,IF($B$265=B$3287,CI3403,IF($B$265=B$3288,CJ3403,IF($B$265=B$3289,CK3403,IF($B$265=B$3290,CL3403,IF($B$265=B$3291,CM3403,IF($B$265=B$3292,CN3403,IF($B$265=B$3293,C3403,IF($B$265=B$3294,CO3403,IF($B$265=B$3295,CP3403,IF($B$265=B$3296,CQ3403,IF($B$265=B$3297,CR3403,IF($B$265=B$3298,CS3403,IF($B$265=B$3299,CT3403,IF(B$265=B$3300,CU3403,IF($B$265=B$3301,CV3403,IF($B$265=B$3302,CW3403,IF($B$265=B$3303,CX3403,IF($B$265=B$3304,CY3403,IF($B$265=B$3305,CZ3403,IF($B$265=B$3306,DA3403,IF($B$265=B$3307,DB3403,IF($B$265=B$3308,DC3403,IF($B$265=B$3309,DD3403,IF($B$265=B$3310,DE3403,IF($B$265=B$3311,DF3403,IF($B$265=B$3312,DG3403,IF($B$265=B$3313,DH3403,IF($B$265=B$3314,DI3403,IF($B$265=B$3315,DJ3403,IF($B$265=B$3316,DK3403,IF($B$265=B$3317,DL3403,IF($B$265=B$3318,DM3403,IF($B$265=B$3319,DN3403,IF($B$265=B$3320,DO3403,IF($B$265=B$3321,DP3403,IF($B$265=B$3322,DQ3403,IF($B$265=B$3323,DR3403,IF($B$265=B$3324,DS3403,IF($B$265=B$3325,DT3403,IF($B$265=B$3326,DU3403,IF($B$265=B$3327,DV3403,IF($B$265=B$3328,DW3403,IF($B$265=B$3329,DX3403,""))))))))))))))))))))))))))))))))))))))))))))))))))))</f>
        <v/>
      </c>
      <c r="BZ3404" s="245" t="s">
        <v>885</v>
      </c>
      <c r="CA3404" s="245" t="s">
        <v>885</v>
      </c>
      <c r="CC3404" s="245" t="s">
        <v>885</v>
      </c>
      <c r="CD3404" s="459" t="s">
        <v>885</v>
      </c>
      <c r="CE3404" s="459" t="s">
        <v>885</v>
      </c>
      <c r="CF3404" s="245" t="s">
        <v>885</v>
      </c>
      <c r="CG3404" s="245" t="s">
        <v>885</v>
      </c>
      <c r="CH3404" s="245" t="s">
        <v>885</v>
      </c>
      <c r="CI3404" s="245" t="s">
        <v>885</v>
      </c>
      <c r="CJ3404" t="s">
        <v>1824</v>
      </c>
      <c r="CK3404" s="459" t="s">
        <v>885</v>
      </c>
      <c r="CL3404" s="459" t="s">
        <v>885</v>
      </c>
      <c r="CM3404" s="459" t="s">
        <v>885</v>
      </c>
      <c r="CN3404" s="459" t="s">
        <v>885</v>
      </c>
      <c r="CO3404" s="459" t="s">
        <v>885</v>
      </c>
      <c r="CP3404" s="459" t="s">
        <v>885</v>
      </c>
      <c r="CQ3404" t="s">
        <v>1489</v>
      </c>
      <c r="CR3404" s="459" t="s">
        <v>885</v>
      </c>
      <c r="CS3404" s="459" t="s">
        <v>885</v>
      </c>
      <c r="CT3404" s="245" t="s">
        <v>885</v>
      </c>
      <c r="CU3404" s="463" t="s">
        <v>885</v>
      </c>
      <c r="CV3404" s="245" t="s">
        <v>885</v>
      </c>
      <c r="CW3404" s="245" t="s">
        <v>885</v>
      </c>
      <c r="CX3404" t="s">
        <v>1985</v>
      </c>
      <c r="CY3404" s="459" t="s">
        <v>885</v>
      </c>
      <c r="CZ3404" s="459" t="s">
        <v>885</v>
      </c>
      <c r="DA3404" s="459" t="s">
        <v>885</v>
      </c>
      <c r="DB3404" s="459" t="s">
        <v>885</v>
      </c>
      <c r="DC3404" s="459" t="s">
        <v>885</v>
      </c>
      <c r="DD3404" s="459" t="s">
        <v>885</v>
      </c>
      <c r="DE3404" s="459" t="s">
        <v>885</v>
      </c>
      <c r="DF3404" s="459" t="s">
        <v>885</v>
      </c>
      <c r="DG3404" s="459" t="s">
        <v>885</v>
      </c>
      <c r="DH3404" s="459" t="s">
        <v>885</v>
      </c>
      <c r="DI3404" s="459" t="s">
        <v>885</v>
      </c>
      <c r="DJ3404" s="459" t="s">
        <v>885</v>
      </c>
      <c r="DK3404" s="459" t="s">
        <v>885</v>
      </c>
      <c r="DL3404" s="459" t="s">
        <v>885</v>
      </c>
      <c r="DM3404" s="459" t="s">
        <v>885</v>
      </c>
      <c r="DN3404" s="459" t="s">
        <v>885</v>
      </c>
      <c r="DO3404" s="459" t="s">
        <v>885</v>
      </c>
      <c r="DP3404" t="s">
        <v>2998</v>
      </c>
      <c r="DQ3404" s="459" t="s">
        <v>885</v>
      </c>
      <c r="DR3404" s="459" t="s">
        <v>885</v>
      </c>
      <c r="DS3404" t="s">
        <v>1832</v>
      </c>
      <c r="DT3404" s="459" t="s">
        <v>885</v>
      </c>
      <c r="DU3404" s="459" t="s">
        <v>885</v>
      </c>
      <c r="DV3404" s="459" t="s">
        <v>885</v>
      </c>
      <c r="DW3404" s="245" t="s">
        <v>885</v>
      </c>
      <c r="DX3404" s="245" t="s">
        <v>885</v>
      </c>
      <c r="DY3404" s="245"/>
      <c r="DZ3404" s="470" t="str">
        <f>IF($B$265=$B$3278,EB3404,IF($B$265=$B$3279,ED3404,IF($B$265=$B$3280,EF3404,IF($B$265=$B$3281,EH3404,IF($B$265=$B$3282,EJ3404,IF($B$265=$B$3283,EL3404,IF($B$265=$B$3284,EN3404,IF($B$265=$B$3285,EP3404,IF($B$265=$B$3286,ER3404,IF($B$265=$B$3287,ET3404,IF($B$265=$B$3288,EV3404,IF($B$265=$B$3289,EX3404,IF($B$265=$B$3290,EZ3404,IF($B$265=$B$3291,FB3404,IF($B$265=$B$3292,FD3404,IF($B$265=$B$3293,BU3404,IF($B$265=$B$3294,FF3404,IF($B$265=$B$3295,FH3404,IF($B$265=$B$3296,FJ3404,IF($B$265=$B$3297,FL3404,IF($B$265=$B$3298,FN3404,IF($B$265=$B$3299,FP3404,IF(BI$265=$B$3300,FR3404,IF($B$265=$B$3301,FT3404,IF($B$265=$B$3302,FV3404,IF($B$265=$B$3303,FX3404,IF($B$265=$B$3304,FZ3404,IF($B$265=$B$3305,GB3404,IF($B$265=$B$3306,GD3404,IF($B$265=$B$3307,GF3404,IF($B$265=$B$3308,GH3404,IF($B$265=$B$3309,GJ3404,IF($B$265=$B$3310,GL3404,IF($B$265=$B$3311,GN3404,IF($B$265=$B$3312,GP3404,IF($B$265=$B$3313,GR3404,IF($B$265=$B$3314,GT3404,IF($B$265=$B$3315,GV3404,IF($B$265=$B$3316,GX3404,IF($B$265=$B$3317,GZ3404,IF($B$265=$B$3318,HB3404,IF($B$265=$B$3319,HD3404,IF($B$265=$B$3320,HF3404,IF($B$265=$B$3321,HH3404,IF($B$265=$B$3322,HJ3404,IF($B$265=$B$3323,HL3404,IF($B$265=$B$3324,HN3404,IF($B$265=$B$3325,HP3404,IF($B$265=$B$3326,HR3404,IF($B$265=$B$3327,HT3404,IF($B$265=$B$3328,HV3404,IF($B$265=$B$3329,HX3404,""))))))))))))))))))))))))))))))))))))))))))))))))))))</f>
        <v/>
      </c>
      <c r="EA3404" s="470" t="str">
        <f>IF($B$265=$B$3278,EC3404,IF($B$265=$B$3279,EE3404,IF($B$265=$B$3280,EG3404,IF($B$265=$B$3281,EI3404,IF($B$265=$B$3282,EK3404,IF($B$265=$B$3283,EM3404,IF($B$265=$B$3284,EO3404,IF($B$265=$B$3285,EQ3404,IF($B$265=$B$3286,ES3404,IF($B$265=$B$3287,EU3404,IF($B$265=$B$3288,EW3404,IF($B$265=$B$3289,EY3404,IF($B$265=$B$3290,FA3404,IF($B$265=$B$3291,FC3404,IF($B$265=$B$3292,FE3404,IF($B$265=$B$3293,BK3404,IF($B$265=$B$3294,FG3404,IF($B$265=$B$3295,FI3404,IF($B$265=$B$3296,FK3404,IF($B$265=$B$3297,FM3404,IF($B$265=$B$3298,FO3404,IF($B$265=$B$3299,FQ3404,IF(BJ$265=$B$3300,FS3404,IF($B$265=$B$3301,FU3404,IF($B$265=$B$3302,FW3404,IF($B$265=$B$3303,FY3404,IF($B$265=$B$3304,GA3404,IF($B$265=$B$3305,GC3404,IF($B$265=$B$3306,GE3404,IF($B$265=$B$3307,GG3404,IF($B$265=$B$3308,GI3404,IF($B$265=$B$3309,GK3404,IF($B$265=$B$3310,GM3404,IF($B$265=$B$3311,GO3404,IF($B$265=$B$3312,GQ3404,IF($B$265=$B$3313,GS3404,IF($B$265=$B$3314,GU3404,IF($B$265=$B$3315,GW3404,IF($B$265=$B$3316,GY3404,IF($B$265=$B$3317,HA3404,IF($B$265=$B$3318,HC3404,IF($B$265=$B$3319,HE3404,IF($B$265=$B$3320,HG3404,IF($B$265=$B$3321,HI3404,IF($B$265=$B$3322,HK3404,IF($B$265=$B$3323,HM3404,IF($B$265=$B$3324,HO3404,IF($B$265=$B$3325,HQ3404,IF($B$265=$B$3326,HS3404,IF($B$265=$B$3327,HU3404,IF($B$265=$B$3328,HW3404,IF($B$265=$B$3329,HY3404,""))))))))))))))))))))))))))))))))))))))))))))))))))))</f>
        <v/>
      </c>
    </row>
    <row r="3405" spans="1:131" ht="16" hidden="1" x14ac:dyDescent="0.4">
      <c r="A3405" s="813"/>
      <c r="BB3405" s="48"/>
      <c r="BS3405" s="464" t="str">
        <f>IF($B$265=B$3278,BZ3404,IF($B$265=B$3279,CA3404,IF($B$265=B$3280,CB3404,IF($B$265=B$3281,CC3404,IF($B$265=B$3282,CD3404,IF($B$265=B$3283,CE3404,IF($B$265=B$3284,CF3404,IF($B$265=B$3285,CG3404,IF($B$265=B$3286,CH3404,IF($B$265=B$3287,CI3404,IF($B$265=B$3288,CJ3404,IF($B$265=B$3289,CK3404,IF($B$265=B$3290,CL3404,IF($B$265=B$3291,CM3404,IF($B$265=B$3292,CN3404,IF($B$265=B$3293,C3404,IF($B$265=B$3294,CO3404,IF($B$265=B$3295,CP3404,IF($B$265=B$3296,CQ3404,IF($B$265=B$3297,CR3404,IF($B$265=B$3298,CS3404,IF($B$265=B$3299,CT3404,IF(B$265=B$3300,CU3404,IF($B$265=B$3301,CV3404,IF($B$265=B$3302,CW3404,IF($B$265=B$3303,CX3404,IF($B$265=B$3304,CY3404,IF($B$265=B$3305,CZ3404,IF($B$265=B$3306,DA3404,IF($B$265=B$3307,DB3404,IF($B$265=B$3308,DC3404,IF($B$265=B$3309,DD3404,IF($B$265=B$3310,DE3404,IF($B$265=B$3311,DF3404,IF($B$265=B$3312,DG3404,IF($B$265=B$3313,DH3404,IF($B$265=B$3314,DI3404,IF($B$265=B$3315,DJ3404,IF($B$265=B$3316,DK3404,IF($B$265=B$3317,DL3404,IF($B$265=B$3318,DM3404,IF($B$265=B$3319,DN3404,IF($B$265=B$3320,DO3404,IF($B$265=B$3321,DP3404,IF($B$265=B$3322,DQ3404,IF($B$265=B$3323,DR3404,IF($B$265=B$3324,DS3404,IF($B$265=B$3325,DT3404,IF($B$265=B$3326,DU3404,IF($B$265=B$3327,DV3404,IF($B$265=B$3328,DW3404,IF($B$265=B$3329,DX3404,""))))))))))))))))))))))))))))))))))))))))))))))))))))</f>
        <v/>
      </c>
      <c r="BZ3405" s="245" t="s">
        <v>885</v>
      </c>
      <c r="CA3405" s="245" t="s">
        <v>885</v>
      </c>
      <c r="CC3405" s="245" t="s">
        <v>885</v>
      </c>
      <c r="CD3405" s="459" t="s">
        <v>885</v>
      </c>
      <c r="CE3405" s="459" t="s">
        <v>885</v>
      </c>
      <c r="CF3405" s="245" t="s">
        <v>885</v>
      </c>
      <c r="CG3405" s="245" t="s">
        <v>885</v>
      </c>
      <c r="CH3405" s="245" t="s">
        <v>885</v>
      </c>
      <c r="CI3405" s="245" t="s">
        <v>885</v>
      </c>
      <c r="CJ3405" t="s">
        <v>1563</v>
      </c>
      <c r="CK3405" s="459" t="s">
        <v>885</v>
      </c>
      <c r="CL3405" s="459" t="s">
        <v>885</v>
      </c>
      <c r="CM3405" s="459" t="s">
        <v>885</v>
      </c>
      <c r="CN3405" s="459" t="s">
        <v>885</v>
      </c>
      <c r="CO3405" s="459" t="s">
        <v>885</v>
      </c>
      <c r="CP3405" s="459" t="s">
        <v>885</v>
      </c>
      <c r="CQ3405" t="s">
        <v>2157</v>
      </c>
      <c r="CR3405" s="459" t="s">
        <v>885</v>
      </c>
      <c r="CS3405" s="459" t="s">
        <v>885</v>
      </c>
      <c r="CT3405" s="245" t="s">
        <v>885</v>
      </c>
      <c r="CU3405" s="463" t="s">
        <v>885</v>
      </c>
      <c r="CV3405" s="245" t="s">
        <v>885</v>
      </c>
      <c r="CW3405" s="245" t="s">
        <v>885</v>
      </c>
      <c r="CX3405" t="s">
        <v>2452</v>
      </c>
      <c r="CY3405" s="459" t="s">
        <v>885</v>
      </c>
      <c r="CZ3405" s="459" t="s">
        <v>885</v>
      </c>
      <c r="DA3405" s="459" t="s">
        <v>885</v>
      </c>
      <c r="DB3405" s="459" t="s">
        <v>885</v>
      </c>
      <c r="DC3405" s="459" t="s">
        <v>885</v>
      </c>
      <c r="DD3405" s="459" t="s">
        <v>885</v>
      </c>
      <c r="DE3405" s="459" t="s">
        <v>885</v>
      </c>
      <c r="DF3405" s="459" t="s">
        <v>885</v>
      </c>
      <c r="DG3405" s="459" t="s">
        <v>885</v>
      </c>
      <c r="DH3405" s="459" t="s">
        <v>885</v>
      </c>
      <c r="DI3405" s="459" t="s">
        <v>885</v>
      </c>
      <c r="DJ3405" s="459" t="s">
        <v>885</v>
      </c>
      <c r="DK3405" s="459" t="s">
        <v>885</v>
      </c>
      <c r="DL3405" s="459" t="s">
        <v>885</v>
      </c>
      <c r="DM3405" s="459" t="s">
        <v>885</v>
      </c>
      <c r="DN3405" s="459" t="s">
        <v>885</v>
      </c>
      <c r="DO3405" s="459" t="s">
        <v>885</v>
      </c>
      <c r="DP3405" t="s">
        <v>1918</v>
      </c>
      <c r="DQ3405" s="459" t="s">
        <v>885</v>
      </c>
      <c r="DR3405" s="459" t="s">
        <v>885</v>
      </c>
      <c r="DS3405" t="s">
        <v>3183</v>
      </c>
      <c r="DT3405" s="459" t="s">
        <v>885</v>
      </c>
      <c r="DU3405" s="459" t="s">
        <v>885</v>
      </c>
      <c r="DV3405" s="459" t="s">
        <v>885</v>
      </c>
      <c r="DW3405" s="245" t="s">
        <v>885</v>
      </c>
      <c r="DX3405" s="245" t="s">
        <v>885</v>
      </c>
      <c r="DY3405" s="245"/>
      <c r="DZ3405" s="470" t="str">
        <f>IF($B$265=$B$3278,EB3405,IF($B$265=$B$3279,ED3405,IF($B$265=$B$3280,EF3405,IF($B$265=$B$3281,EH3405,IF($B$265=$B$3282,EJ3405,IF($B$265=$B$3283,EL3405,IF($B$265=$B$3284,EN3405,IF($B$265=$B$3285,EP3405,IF($B$265=$B$3286,ER3405,IF($B$265=$B$3287,ET3405,IF($B$265=$B$3288,EV3405,IF($B$265=$B$3289,EX3405,IF($B$265=$B$3290,EZ3405,IF($B$265=$B$3291,FB3405,IF($B$265=$B$3292,FD3405,IF($B$265=$B$3293,BU3405,IF($B$265=$B$3294,FF3405,IF($B$265=$B$3295,FH3405,IF($B$265=$B$3296,FJ3405,IF($B$265=$B$3297,FL3405,IF($B$265=$B$3298,FN3405,IF($B$265=$B$3299,FP3405,IF(BI$265=$B$3300,FR3405,IF($B$265=$B$3301,FT3405,IF($B$265=$B$3302,FV3405,IF($B$265=$B$3303,FX3405,IF($B$265=$B$3304,FZ3405,IF($B$265=$B$3305,GB3405,IF($B$265=$B$3306,GD3405,IF($B$265=$B$3307,GF3405,IF($B$265=$B$3308,GH3405,IF($B$265=$B$3309,GJ3405,IF($B$265=$B$3310,GL3405,IF($B$265=$B$3311,GN3405,IF($B$265=$B$3312,GP3405,IF($B$265=$B$3313,GR3405,IF($B$265=$B$3314,GT3405,IF($B$265=$B$3315,GV3405,IF($B$265=$B$3316,GX3405,IF($B$265=$B$3317,GZ3405,IF($B$265=$B$3318,HB3405,IF($B$265=$B$3319,HD3405,IF($B$265=$B$3320,HF3405,IF($B$265=$B$3321,HH3405,IF($B$265=$B$3322,HJ3405,IF($B$265=$B$3323,HL3405,IF($B$265=$B$3324,HN3405,IF($B$265=$B$3325,HP3405,IF($B$265=$B$3326,HR3405,IF($B$265=$B$3327,HT3405,IF($B$265=$B$3328,HV3405,IF($B$265=$B$3329,HX3405,""))))))))))))))))))))))))))))))))))))))))))))))))))))</f>
        <v/>
      </c>
      <c r="EA3405" s="470" t="str">
        <f>IF($B$265=$B$3278,EC3405,IF($B$265=$B$3279,EE3405,IF($B$265=$B$3280,EG3405,IF($B$265=$B$3281,EI3405,IF($B$265=$B$3282,EK3405,IF($B$265=$B$3283,EM3405,IF($B$265=$B$3284,EO3405,IF($B$265=$B$3285,EQ3405,IF($B$265=$B$3286,ES3405,IF($B$265=$B$3287,EU3405,IF($B$265=$B$3288,EW3405,IF($B$265=$B$3289,EY3405,IF($B$265=$B$3290,FA3405,IF($B$265=$B$3291,FC3405,IF($B$265=$B$3292,FE3405,IF($B$265=$B$3293,BK3405,IF($B$265=$B$3294,FG3405,IF($B$265=$B$3295,FI3405,IF($B$265=$B$3296,FK3405,IF($B$265=$B$3297,FM3405,IF($B$265=$B$3298,FO3405,IF($B$265=$B$3299,FQ3405,IF(BJ$265=$B$3300,FS3405,IF($B$265=$B$3301,FU3405,IF($B$265=$B$3302,FW3405,IF($B$265=$B$3303,FY3405,IF($B$265=$B$3304,GA3405,IF($B$265=$B$3305,GC3405,IF($B$265=$B$3306,GE3405,IF($B$265=$B$3307,GG3405,IF($B$265=$B$3308,GI3405,IF($B$265=$B$3309,GK3405,IF($B$265=$B$3310,GM3405,IF($B$265=$B$3311,GO3405,IF($B$265=$B$3312,GQ3405,IF($B$265=$B$3313,GS3405,IF($B$265=$B$3314,GU3405,IF($B$265=$B$3315,GW3405,IF($B$265=$B$3316,GY3405,IF($B$265=$B$3317,HA3405,IF($B$265=$B$3318,HC3405,IF($B$265=$B$3319,HE3405,IF($B$265=$B$3320,HG3405,IF($B$265=$B$3321,HI3405,IF($B$265=$B$3322,HK3405,IF($B$265=$B$3323,HM3405,IF($B$265=$B$3324,HO3405,IF($B$265=$B$3325,HQ3405,IF($B$265=$B$3326,HS3405,IF($B$265=$B$3327,HU3405,IF($B$265=$B$3328,HW3405,IF($B$265=$B$3329,HY3405,""))))))))))))))))))))))))))))))))))))))))))))))))))))</f>
        <v/>
      </c>
    </row>
    <row r="3406" spans="1:131" ht="16" hidden="1" x14ac:dyDescent="0.4">
      <c r="A3406" s="813"/>
      <c r="BB3406" s="48"/>
      <c r="BS3406" s="464" t="str">
        <f>IF($B$265=B$3278,BZ3405,IF($B$265=B$3279,CA3405,IF($B$265=B$3280,CB3405,IF($B$265=B$3281,CC3405,IF($B$265=B$3282,CD3405,IF($B$265=B$3283,CE3405,IF($B$265=B$3284,CF3405,IF($B$265=B$3285,CG3405,IF($B$265=B$3286,CH3405,IF($B$265=B$3287,CI3405,IF($B$265=B$3288,CJ3405,IF($B$265=B$3289,CK3405,IF($B$265=B$3290,CL3405,IF($B$265=B$3291,CM3405,IF($B$265=B$3292,CN3405,IF($B$265=B$3293,C3405,IF($B$265=B$3294,CO3405,IF($B$265=B$3295,CP3405,IF($B$265=B$3296,CQ3405,IF($B$265=B$3297,CR3405,IF($B$265=B$3298,CS3405,IF($B$265=B$3299,CT3405,IF(B$265=B$3300,CU3405,IF($B$265=B$3301,CV3405,IF($B$265=B$3302,CW3405,IF($B$265=B$3303,CX3405,IF($B$265=B$3304,CY3405,IF($B$265=B$3305,CZ3405,IF($B$265=B$3306,DA3405,IF($B$265=B$3307,DB3405,IF($B$265=B$3308,DC3405,IF($B$265=B$3309,DD3405,IF($B$265=B$3310,DE3405,IF($B$265=B$3311,DF3405,IF($B$265=B$3312,DG3405,IF($B$265=B$3313,DH3405,IF($B$265=B$3314,DI3405,IF($B$265=B$3315,DJ3405,IF($B$265=B$3316,DK3405,IF($B$265=B$3317,DL3405,IF($B$265=B$3318,DM3405,IF($B$265=B$3319,DN3405,IF($B$265=B$3320,DO3405,IF($B$265=B$3321,DP3405,IF($B$265=B$3322,DQ3405,IF($B$265=B$3323,DR3405,IF($B$265=B$3324,DS3405,IF($B$265=B$3325,DT3405,IF($B$265=B$3326,DU3405,IF($B$265=B$3327,DV3405,IF($B$265=B$3328,DW3405,IF($B$265=B$3329,DX3405,""))))))))))))))))))))))))))))))))))))))))))))))))))))</f>
        <v/>
      </c>
      <c r="BZ3406" s="245" t="s">
        <v>885</v>
      </c>
      <c r="CA3406" s="245" t="s">
        <v>885</v>
      </c>
      <c r="CC3406" s="245" t="s">
        <v>885</v>
      </c>
      <c r="CD3406" s="459" t="s">
        <v>885</v>
      </c>
      <c r="CE3406" s="459" t="s">
        <v>885</v>
      </c>
      <c r="CF3406" s="245" t="s">
        <v>885</v>
      </c>
      <c r="CG3406" s="245" t="s">
        <v>885</v>
      </c>
      <c r="CH3406" s="245" t="s">
        <v>885</v>
      </c>
      <c r="CI3406" s="245" t="s">
        <v>885</v>
      </c>
      <c r="CJ3406" t="s">
        <v>1825</v>
      </c>
      <c r="CK3406" s="459" t="s">
        <v>885</v>
      </c>
      <c r="CL3406" s="459" t="s">
        <v>885</v>
      </c>
      <c r="CM3406" s="459" t="s">
        <v>885</v>
      </c>
      <c r="CN3406" s="459" t="s">
        <v>885</v>
      </c>
      <c r="CO3406" s="459" t="s">
        <v>885</v>
      </c>
      <c r="CP3406" s="459" t="s">
        <v>885</v>
      </c>
      <c r="CQ3406" t="s">
        <v>1982</v>
      </c>
      <c r="CR3406" s="459" t="s">
        <v>885</v>
      </c>
      <c r="CS3406" s="459" t="s">
        <v>885</v>
      </c>
      <c r="CT3406" s="245" t="s">
        <v>885</v>
      </c>
      <c r="CU3406" s="463" t="s">
        <v>885</v>
      </c>
      <c r="CV3406" s="245" t="s">
        <v>885</v>
      </c>
      <c r="CW3406" s="245" t="s">
        <v>885</v>
      </c>
      <c r="CX3406" t="s">
        <v>2453</v>
      </c>
      <c r="CY3406" s="459" t="s">
        <v>885</v>
      </c>
      <c r="CZ3406" s="459" t="s">
        <v>885</v>
      </c>
      <c r="DA3406" s="459" t="s">
        <v>885</v>
      </c>
      <c r="DB3406" s="459" t="s">
        <v>885</v>
      </c>
      <c r="DC3406" s="459" t="s">
        <v>885</v>
      </c>
      <c r="DD3406" s="459" t="s">
        <v>885</v>
      </c>
      <c r="DE3406" s="459" t="s">
        <v>885</v>
      </c>
      <c r="DF3406" s="459" t="s">
        <v>885</v>
      </c>
      <c r="DG3406" s="459" t="s">
        <v>885</v>
      </c>
      <c r="DH3406" s="459" t="s">
        <v>885</v>
      </c>
      <c r="DI3406" s="459" t="s">
        <v>885</v>
      </c>
      <c r="DJ3406" s="459" t="s">
        <v>885</v>
      </c>
      <c r="DK3406" s="459" t="s">
        <v>885</v>
      </c>
      <c r="DL3406" s="459" t="s">
        <v>885</v>
      </c>
      <c r="DM3406" s="459" t="s">
        <v>885</v>
      </c>
      <c r="DN3406" s="459" t="s">
        <v>885</v>
      </c>
      <c r="DO3406" s="459" t="s">
        <v>885</v>
      </c>
      <c r="DP3406" t="s">
        <v>2571</v>
      </c>
      <c r="DQ3406" s="459" t="s">
        <v>885</v>
      </c>
      <c r="DR3406" s="459" t="s">
        <v>885</v>
      </c>
      <c r="DS3406" t="s">
        <v>3184</v>
      </c>
      <c r="DT3406" s="459" t="s">
        <v>885</v>
      </c>
      <c r="DU3406" s="459" t="s">
        <v>885</v>
      </c>
      <c r="DV3406" s="459" t="s">
        <v>885</v>
      </c>
      <c r="DW3406" s="245" t="s">
        <v>885</v>
      </c>
      <c r="DX3406" s="245" t="s">
        <v>885</v>
      </c>
      <c r="DY3406" s="245"/>
      <c r="DZ3406" s="470" t="str">
        <f>IF($B$265=$B$3278,EB3406,IF($B$265=$B$3279,ED3406,IF($B$265=$B$3280,EF3406,IF($B$265=$B$3281,EH3406,IF($B$265=$B$3282,EJ3406,IF($B$265=$B$3283,EL3406,IF($B$265=$B$3284,EN3406,IF($B$265=$B$3285,EP3406,IF($B$265=$B$3286,ER3406,IF($B$265=$B$3287,ET3406,IF($B$265=$B$3288,EV3406,IF($B$265=$B$3289,EX3406,IF($B$265=$B$3290,EZ3406,IF($B$265=$B$3291,FB3406,IF($B$265=$B$3292,FD3406,IF($B$265=$B$3293,BU3406,IF($B$265=$B$3294,FF3406,IF($B$265=$B$3295,FH3406,IF($B$265=$B$3296,FJ3406,IF($B$265=$B$3297,FL3406,IF($B$265=$B$3298,FN3406,IF($B$265=$B$3299,FP3406,IF(BI$265=$B$3300,FR3406,IF($B$265=$B$3301,FT3406,IF($B$265=$B$3302,FV3406,IF($B$265=$B$3303,FX3406,IF($B$265=$B$3304,FZ3406,IF($B$265=$B$3305,GB3406,IF($B$265=$B$3306,GD3406,IF($B$265=$B$3307,GF3406,IF($B$265=$B$3308,GH3406,IF($B$265=$B$3309,GJ3406,IF($B$265=$B$3310,GL3406,IF($B$265=$B$3311,GN3406,IF($B$265=$B$3312,GP3406,IF($B$265=$B$3313,GR3406,IF($B$265=$B$3314,GT3406,IF($B$265=$B$3315,GV3406,IF($B$265=$B$3316,GX3406,IF($B$265=$B$3317,GZ3406,IF($B$265=$B$3318,HB3406,IF($B$265=$B$3319,HD3406,IF($B$265=$B$3320,HF3406,IF($B$265=$B$3321,HH3406,IF($B$265=$B$3322,HJ3406,IF($B$265=$B$3323,HL3406,IF($B$265=$B$3324,HN3406,IF($B$265=$B$3325,HP3406,IF($B$265=$B$3326,HR3406,IF($B$265=$B$3327,HT3406,IF($B$265=$B$3328,HV3406,IF($B$265=$B$3329,HX3406,""))))))))))))))))))))))))))))))))))))))))))))))))))))</f>
        <v/>
      </c>
      <c r="EA3406" s="470" t="str">
        <f>IF($B$265=$B$3278,EC3406,IF($B$265=$B$3279,EE3406,IF($B$265=$B$3280,EG3406,IF($B$265=$B$3281,EI3406,IF($B$265=$B$3282,EK3406,IF($B$265=$B$3283,EM3406,IF($B$265=$B$3284,EO3406,IF($B$265=$B$3285,EQ3406,IF($B$265=$B$3286,ES3406,IF($B$265=$B$3287,EU3406,IF($B$265=$B$3288,EW3406,IF($B$265=$B$3289,EY3406,IF($B$265=$B$3290,FA3406,IF($B$265=$B$3291,FC3406,IF($B$265=$B$3292,FE3406,IF($B$265=$B$3293,BK3406,IF($B$265=$B$3294,FG3406,IF($B$265=$B$3295,FI3406,IF($B$265=$B$3296,FK3406,IF($B$265=$B$3297,FM3406,IF($B$265=$B$3298,FO3406,IF($B$265=$B$3299,FQ3406,IF(BJ$265=$B$3300,FS3406,IF($B$265=$B$3301,FU3406,IF($B$265=$B$3302,FW3406,IF($B$265=$B$3303,FY3406,IF($B$265=$B$3304,GA3406,IF($B$265=$B$3305,GC3406,IF($B$265=$B$3306,GE3406,IF($B$265=$B$3307,GG3406,IF($B$265=$B$3308,GI3406,IF($B$265=$B$3309,GK3406,IF($B$265=$B$3310,GM3406,IF($B$265=$B$3311,GO3406,IF($B$265=$B$3312,GQ3406,IF($B$265=$B$3313,GS3406,IF($B$265=$B$3314,GU3406,IF($B$265=$B$3315,GW3406,IF($B$265=$B$3316,GY3406,IF($B$265=$B$3317,HA3406,IF($B$265=$B$3318,HC3406,IF($B$265=$B$3319,HE3406,IF($B$265=$B$3320,HG3406,IF($B$265=$B$3321,HI3406,IF($B$265=$B$3322,HK3406,IF($B$265=$B$3323,HM3406,IF($B$265=$B$3324,HO3406,IF($B$265=$B$3325,HQ3406,IF($B$265=$B$3326,HS3406,IF($B$265=$B$3327,HU3406,IF($B$265=$B$3328,HW3406,IF($B$265=$B$3329,HY3406,""))))))))))))))))))))))))))))))))))))))))))))))))))))</f>
        <v/>
      </c>
    </row>
    <row r="3407" spans="1:131" ht="16" hidden="1" x14ac:dyDescent="0.4">
      <c r="A3407" s="813"/>
      <c r="BB3407" s="48"/>
      <c r="BS3407" s="464" t="str">
        <f>IF($B$265=B$3278,BZ3406,IF($B$265=B$3279,CA3406,IF($B$265=B$3280,CB3406,IF($B$265=B$3281,CC3406,IF($B$265=B$3282,CD3406,IF($B$265=B$3283,CE3406,IF($B$265=B$3284,CF3406,IF($B$265=B$3285,CG3406,IF($B$265=B$3286,CH3406,IF($B$265=B$3287,CI3406,IF($B$265=B$3288,CJ3406,IF($B$265=B$3289,CK3406,IF($B$265=B$3290,CL3406,IF($B$265=B$3291,CM3406,IF($B$265=B$3292,CN3406,IF($B$265=B$3293,C3406,IF($B$265=B$3294,CO3406,IF($B$265=B$3295,CP3406,IF($B$265=B$3296,CQ3406,IF($B$265=B$3297,CR3406,IF($B$265=B$3298,CS3406,IF($B$265=B$3299,CT3406,IF(B$265=B$3300,CU3406,IF($B$265=B$3301,CV3406,IF($B$265=B$3302,CW3406,IF($B$265=B$3303,CX3406,IF($B$265=B$3304,CY3406,IF($B$265=B$3305,CZ3406,IF($B$265=B$3306,DA3406,IF($B$265=B$3307,DB3406,IF($B$265=B$3308,DC3406,IF($B$265=B$3309,DD3406,IF($B$265=B$3310,DE3406,IF($B$265=B$3311,DF3406,IF($B$265=B$3312,DG3406,IF($B$265=B$3313,DH3406,IF($B$265=B$3314,DI3406,IF($B$265=B$3315,DJ3406,IF($B$265=B$3316,DK3406,IF($B$265=B$3317,DL3406,IF($B$265=B$3318,DM3406,IF($B$265=B$3319,DN3406,IF($B$265=B$3320,DO3406,IF($B$265=B$3321,DP3406,IF($B$265=B$3322,DQ3406,IF($B$265=B$3323,DR3406,IF($B$265=B$3324,DS3406,IF($B$265=B$3325,DT3406,IF($B$265=B$3326,DU3406,IF($B$265=B$3327,DV3406,IF($B$265=B$3328,DW3406,IF($B$265=B$3329,DX3406,""))))))))))))))))))))))))))))))))))))))))))))))))))))</f>
        <v/>
      </c>
      <c r="BZ3407" s="245" t="s">
        <v>885</v>
      </c>
      <c r="CA3407" s="245" t="s">
        <v>885</v>
      </c>
      <c r="CC3407" s="245" t="s">
        <v>885</v>
      </c>
      <c r="CD3407" s="459" t="s">
        <v>885</v>
      </c>
      <c r="CE3407" s="459" t="s">
        <v>885</v>
      </c>
      <c r="CF3407" s="245" t="s">
        <v>885</v>
      </c>
      <c r="CG3407" s="245" t="s">
        <v>885</v>
      </c>
      <c r="CH3407" s="245" t="s">
        <v>885</v>
      </c>
      <c r="CI3407" s="245" t="s">
        <v>885</v>
      </c>
      <c r="CJ3407" t="s">
        <v>1826</v>
      </c>
      <c r="CK3407" s="459" t="s">
        <v>885</v>
      </c>
      <c r="CL3407" s="459" t="s">
        <v>885</v>
      </c>
      <c r="CM3407" s="459" t="s">
        <v>885</v>
      </c>
      <c r="CN3407" s="459" t="s">
        <v>885</v>
      </c>
      <c r="CO3407" s="459" t="s">
        <v>885</v>
      </c>
      <c r="CP3407" s="459" t="s">
        <v>885</v>
      </c>
      <c r="CQ3407" t="s">
        <v>1750</v>
      </c>
      <c r="CR3407" s="459" t="s">
        <v>885</v>
      </c>
      <c r="CS3407" s="459" t="s">
        <v>885</v>
      </c>
      <c r="CT3407" s="245" t="s">
        <v>885</v>
      </c>
      <c r="CU3407" s="463" t="s">
        <v>885</v>
      </c>
      <c r="CV3407" s="245" t="s">
        <v>885</v>
      </c>
      <c r="CW3407" s="245" t="s">
        <v>885</v>
      </c>
      <c r="CX3407" t="s">
        <v>2454</v>
      </c>
      <c r="CY3407" s="459" t="s">
        <v>885</v>
      </c>
      <c r="CZ3407" s="459" t="s">
        <v>885</v>
      </c>
      <c r="DA3407" s="459" t="s">
        <v>885</v>
      </c>
      <c r="DB3407" s="459" t="s">
        <v>885</v>
      </c>
      <c r="DC3407" s="459" t="s">
        <v>885</v>
      </c>
      <c r="DD3407" s="459" t="s">
        <v>885</v>
      </c>
      <c r="DE3407" s="459" t="s">
        <v>885</v>
      </c>
      <c r="DF3407" s="459" t="s">
        <v>885</v>
      </c>
      <c r="DG3407" s="459" t="s">
        <v>885</v>
      </c>
      <c r="DH3407" s="459" t="s">
        <v>885</v>
      </c>
      <c r="DI3407" s="459" t="s">
        <v>885</v>
      </c>
      <c r="DJ3407" s="459" t="s">
        <v>885</v>
      </c>
      <c r="DK3407" s="459" t="s">
        <v>885</v>
      </c>
      <c r="DL3407" s="459" t="s">
        <v>885</v>
      </c>
      <c r="DM3407" s="459" t="s">
        <v>885</v>
      </c>
      <c r="DN3407" s="459" t="s">
        <v>885</v>
      </c>
      <c r="DO3407" s="459" t="s">
        <v>885</v>
      </c>
      <c r="DP3407" t="s">
        <v>2469</v>
      </c>
      <c r="DQ3407" s="459" t="s">
        <v>885</v>
      </c>
      <c r="DR3407" s="459" t="s">
        <v>885</v>
      </c>
      <c r="DS3407" t="s">
        <v>3185</v>
      </c>
      <c r="DT3407" s="459" t="s">
        <v>885</v>
      </c>
      <c r="DU3407" s="459" t="s">
        <v>885</v>
      </c>
      <c r="DV3407" s="459" t="s">
        <v>885</v>
      </c>
      <c r="DW3407" s="245" t="s">
        <v>885</v>
      </c>
      <c r="DX3407" s="245" t="s">
        <v>885</v>
      </c>
      <c r="DY3407" s="245"/>
      <c r="DZ3407" s="470" t="str">
        <f>IF($B$265=$B$3278,EB3407,IF($B$265=$B$3279,ED3407,IF($B$265=$B$3280,EF3407,IF($B$265=$B$3281,EH3407,IF($B$265=$B$3282,EJ3407,IF($B$265=$B$3283,EL3407,IF($B$265=$B$3284,EN3407,IF($B$265=$B$3285,EP3407,IF($B$265=$B$3286,ER3407,IF($B$265=$B$3287,ET3407,IF($B$265=$B$3288,EV3407,IF($B$265=$B$3289,EX3407,IF($B$265=$B$3290,EZ3407,IF($B$265=$B$3291,FB3407,IF($B$265=$B$3292,FD3407,IF($B$265=$B$3293,BU3407,IF($B$265=$B$3294,FF3407,IF($B$265=$B$3295,FH3407,IF($B$265=$B$3296,FJ3407,IF($B$265=$B$3297,FL3407,IF($B$265=$B$3298,FN3407,IF($B$265=$B$3299,FP3407,IF(BI$265=$B$3300,FR3407,IF($B$265=$B$3301,FT3407,IF($B$265=$B$3302,FV3407,IF($B$265=$B$3303,FX3407,IF($B$265=$B$3304,FZ3407,IF($B$265=$B$3305,GB3407,IF($B$265=$B$3306,GD3407,IF($B$265=$B$3307,GF3407,IF($B$265=$B$3308,GH3407,IF($B$265=$B$3309,GJ3407,IF($B$265=$B$3310,GL3407,IF($B$265=$B$3311,GN3407,IF($B$265=$B$3312,GP3407,IF($B$265=$B$3313,GR3407,IF($B$265=$B$3314,GT3407,IF($B$265=$B$3315,GV3407,IF($B$265=$B$3316,GX3407,IF($B$265=$B$3317,GZ3407,IF($B$265=$B$3318,HB3407,IF($B$265=$B$3319,HD3407,IF($B$265=$B$3320,HF3407,IF($B$265=$B$3321,HH3407,IF($B$265=$B$3322,HJ3407,IF($B$265=$B$3323,HL3407,IF($B$265=$B$3324,HN3407,IF($B$265=$B$3325,HP3407,IF($B$265=$B$3326,HR3407,IF($B$265=$B$3327,HT3407,IF($B$265=$B$3328,HV3407,IF($B$265=$B$3329,HX3407,""))))))))))))))))))))))))))))))))))))))))))))))))))))</f>
        <v/>
      </c>
      <c r="EA3407" s="470" t="str">
        <f>IF($B$265=$B$3278,EC3407,IF($B$265=$B$3279,EE3407,IF($B$265=$B$3280,EG3407,IF($B$265=$B$3281,EI3407,IF($B$265=$B$3282,EK3407,IF($B$265=$B$3283,EM3407,IF($B$265=$B$3284,EO3407,IF($B$265=$B$3285,EQ3407,IF($B$265=$B$3286,ES3407,IF($B$265=$B$3287,EU3407,IF($B$265=$B$3288,EW3407,IF($B$265=$B$3289,EY3407,IF($B$265=$B$3290,FA3407,IF($B$265=$B$3291,FC3407,IF($B$265=$B$3292,FE3407,IF($B$265=$B$3293,BK3407,IF($B$265=$B$3294,FG3407,IF($B$265=$B$3295,FI3407,IF($B$265=$B$3296,FK3407,IF($B$265=$B$3297,FM3407,IF($B$265=$B$3298,FO3407,IF($B$265=$B$3299,FQ3407,IF(BJ$265=$B$3300,FS3407,IF($B$265=$B$3301,FU3407,IF($B$265=$B$3302,FW3407,IF($B$265=$B$3303,FY3407,IF($B$265=$B$3304,GA3407,IF($B$265=$B$3305,GC3407,IF($B$265=$B$3306,GE3407,IF($B$265=$B$3307,GG3407,IF($B$265=$B$3308,GI3407,IF($B$265=$B$3309,GK3407,IF($B$265=$B$3310,GM3407,IF($B$265=$B$3311,GO3407,IF($B$265=$B$3312,GQ3407,IF($B$265=$B$3313,GS3407,IF($B$265=$B$3314,GU3407,IF($B$265=$B$3315,GW3407,IF($B$265=$B$3316,GY3407,IF($B$265=$B$3317,HA3407,IF($B$265=$B$3318,HC3407,IF($B$265=$B$3319,HE3407,IF($B$265=$B$3320,HG3407,IF($B$265=$B$3321,HI3407,IF($B$265=$B$3322,HK3407,IF($B$265=$B$3323,HM3407,IF($B$265=$B$3324,HO3407,IF($B$265=$B$3325,HQ3407,IF($B$265=$B$3326,HS3407,IF($B$265=$B$3327,HU3407,IF($B$265=$B$3328,HW3407,IF($B$265=$B$3329,HY3407,""))))))))))))))))))))))))))))))))))))))))))))))))))))</f>
        <v/>
      </c>
    </row>
    <row r="3408" spans="1:131" ht="16" hidden="1" x14ac:dyDescent="0.4">
      <c r="A3408" s="813"/>
      <c r="BB3408" s="48"/>
      <c r="BS3408" s="464" t="str">
        <f>IF($B$265=B$3278,BZ3407,IF($B$265=B$3279,CA3407,IF($B$265=B$3280,CB3407,IF($B$265=B$3281,CC3407,IF($B$265=B$3282,CD3407,IF($B$265=B$3283,CE3407,IF($B$265=B$3284,CF3407,IF($B$265=B$3285,CG3407,IF($B$265=B$3286,CH3407,IF($B$265=B$3287,CI3407,IF($B$265=B$3288,CJ3407,IF($B$265=B$3289,CK3407,IF($B$265=B$3290,CL3407,IF($B$265=B$3291,CM3407,IF($B$265=B$3292,CN3407,IF($B$265=B$3293,C3407,IF($B$265=B$3294,CO3407,IF($B$265=B$3295,CP3407,IF($B$265=B$3296,CQ3407,IF($B$265=B$3297,CR3407,IF($B$265=B$3298,CS3407,IF($B$265=B$3299,CT3407,IF(B$265=B$3300,CU3407,IF($B$265=B$3301,CV3407,IF($B$265=B$3302,CW3407,IF($B$265=B$3303,CX3407,IF($B$265=B$3304,CY3407,IF($B$265=B$3305,CZ3407,IF($B$265=B$3306,DA3407,IF($B$265=B$3307,DB3407,IF($B$265=B$3308,DC3407,IF($B$265=B$3309,DD3407,IF($B$265=B$3310,DE3407,IF($B$265=B$3311,DF3407,IF($B$265=B$3312,DG3407,IF($B$265=B$3313,DH3407,IF($B$265=B$3314,DI3407,IF($B$265=B$3315,DJ3407,IF($B$265=B$3316,DK3407,IF($B$265=B$3317,DL3407,IF($B$265=B$3318,DM3407,IF($B$265=B$3319,DN3407,IF($B$265=B$3320,DO3407,IF($B$265=B$3321,DP3407,IF($B$265=B$3322,DQ3407,IF($B$265=B$3323,DR3407,IF($B$265=B$3324,DS3407,IF($B$265=B$3325,DT3407,IF($B$265=B$3326,DU3407,IF($B$265=B$3327,DV3407,IF($B$265=B$3328,DW3407,IF($B$265=B$3329,DX3407,""))))))))))))))))))))))))))))))))))))))))))))))))))))</f>
        <v/>
      </c>
      <c r="BZ3408" s="245" t="s">
        <v>885</v>
      </c>
      <c r="CA3408" s="245" t="s">
        <v>885</v>
      </c>
      <c r="CC3408" s="245" t="s">
        <v>885</v>
      </c>
      <c r="CD3408" s="459" t="s">
        <v>885</v>
      </c>
      <c r="CE3408" s="459" t="s">
        <v>885</v>
      </c>
      <c r="CF3408" s="245" t="s">
        <v>885</v>
      </c>
      <c r="CG3408" s="245" t="s">
        <v>885</v>
      </c>
      <c r="CH3408" s="245" t="s">
        <v>885</v>
      </c>
      <c r="CI3408" s="245" t="s">
        <v>885</v>
      </c>
      <c r="CJ3408" t="s">
        <v>1827</v>
      </c>
      <c r="CK3408" s="459" t="s">
        <v>885</v>
      </c>
      <c r="CL3408" s="459" t="s">
        <v>885</v>
      </c>
      <c r="CM3408" s="459" t="s">
        <v>885</v>
      </c>
      <c r="CN3408" s="459" t="s">
        <v>885</v>
      </c>
      <c r="CO3408" s="459" t="s">
        <v>885</v>
      </c>
      <c r="CP3408" s="459" t="s">
        <v>885</v>
      </c>
      <c r="CQ3408" t="s">
        <v>2158</v>
      </c>
      <c r="CR3408" s="459" t="s">
        <v>885</v>
      </c>
      <c r="CS3408" s="459" t="s">
        <v>885</v>
      </c>
      <c r="CT3408" s="245" t="s">
        <v>885</v>
      </c>
      <c r="CU3408" s="463" t="s">
        <v>885</v>
      </c>
      <c r="CV3408" s="245" t="s">
        <v>885</v>
      </c>
      <c r="CW3408" s="245" t="s">
        <v>885</v>
      </c>
      <c r="CX3408" t="s">
        <v>1854</v>
      </c>
      <c r="CY3408" s="459" t="s">
        <v>885</v>
      </c>
      <c r="CZ3408" s="459" t="s">
        <v>885</v>
      </c>
      <c r="DA3408" s="459" t="s">
        <v>885</v>
      </c>
      <c r="DB3408" s="459" t="s">
        <v>885</v>
      </c>
      <c r="DC3408" s="459" t="s">
        <v>885</v>
      </c>
      <c r="DD3408" s="459" t="s">
        <v>885</v>
      </c>
      <c r="DE3408" s="459" t="s">
        <v>885</v>
      </c>
      <c r="DF3408" s="459" t="s">
        <v>885</v>
      </c>
      <c r="DG3408" s="459" t="s">
        <v>885</v>
      </c>
      <c r="DH3408" s="459" t="s">
        <v>885</v>
      </c>
      <c r="DI3408" s="459" t="s">
        <v>885</v>
      </c>
      <c r="DJ3408" s="459" t="s">
        <v>885</v>
      </c>
      <c r="DK3408" s="459" t="s">
        <v>885</v>
      </c>
      <c r="DL3408" s="459" t="s">
        <v>885</v>
      </c>
      <c r="DM3408" s="459" t="s">
        <v>885</v>
      </c>
      <c r="DN3408" s="459" t="s">
        <v>885</v>
      </c>
      <c r="DO3408" s="459" t="s">
        <v>885</v>
      </c>
      <c r="DP3408" t="s">
        <v>2999</v>
      </c>
      <c r="DQ3408" s="459" t="s">
        <v>885</v>
      </c>
      <c r="DR3408" s="459" t="s">
        <v>885</v>
      </c>
      <c r="DS3408" t="s">
        <v>2548</v>
      </c>
      <c r="DT3408" s="459" t="s">
        <v>885</v>
      </c>
      <c r="DU3408" s="459" t="s">
        <v>885</v>
      </c>
      <c r="DV3408" s="459" t="s">
        <v>885</v>
      </c>
      <c r="DW3408" s="245" t="s">
        <v>885</v>
      </c>
      <c r="DX3408" s="245" t="s">
        <v>885</v>
      </c>
      <c r="DY3408" s="245"/>
      <c r="DZ3408" s="470" t="str">
        <f>IF($B$265=$B$3278,EB3408,IF($B$265=$B$3279,ED3408,IF($B$265=$B$3280,EF3408,IF($B$265=$B$3281,EH3408,IF($B$265=$B$3282,EJ3408,IF($B$265=$B$3283,EL3408,IF($B$265=$B$3284,EN3408,IF($B$265=$B$3285,EP3408,IF($B$265=$B$3286,ER3408,IF($B$265=$B$3287,ET3408,IF($B$265=$B$3288,EV3408,IF($B$265=$B$3289,EX3408,IF($B$265=$B$3290,EZ3408,IF($B$265=$B$3291,FB3408,IF($B$265=$B$3292,FD3408,IF($B$265=$B$3293,BU3408,IF($B$265=$B$3294,FF3408,IF($B$265=$B$3295,FH3408,IF($B$265=$B$3296,FJ3408,IF($B$265=$B$3297,FL3408,IF($B$265=$B$3298,FN3408,IF($B$265=$B$3299,FP3408,IF(BI$265=$B$3300,FR3408,IF($B$265=$B$3301,FT3408,IF($B$265=$B$3302,FV3408,IF($B$265=$B$3303,FX3408,IF($B$265=$B$3304,FZ3408,IF($B$265=$B$3305,GB3408,IF($B$265=$B$3306,GD3408,IF($B$265=$B$3307,GF3408,IF($B$265=$B$3308,GH3408,IF($B$265=$B$3309,GJ3408,IF($B$265=$B$3310,GL3408,IF($B$265=$B$3311,GN3408,IF($B$265=$B$3312,GP3408,IF($B$265=$B$3313,GR3408,IF($B$265=$B$3314,GT3408,IF($B$265=$B$3315,GV3408,IF($B$265=$B$3316,GX3408,IF($B$265=$B$3317,GZ3408,IF($B$265=$B$3318,HB3408,IF($B$265=$B$3319,HD3408,IF($B$265=$B$3320,HF3408,IF($B$265=$B$3321,HH3408,IF($B$265=$B$3322,HJ3408,IF($B$265=$B$3323,HL3408,IF($B$265=$B$3324,HN3408,IF($B$265=$B$3325,HP3408,IF($B$265=$B$3326,HR3408,IF($B$265=$B$3327,HT3408,IF($B$265=$B$3328,HV3408,IF($B$265=$B$3329,HX3408,""))))))))))))))))))))))))))))))))))))))))))))))))))))</f>
        <v/>
      </c>
      <c r="EA3408" s="470" t="str">
        <f>IF($B$265=$B$3278,EC3408,IF($B$265=$B$3279,EE3408,IF($B$265=$B$3280,EG3408,IF($B$265=$B$3281,EI3408,IF($B$265=$B$3282,EK3408,IF($B$265=$B$3283,EM3408,IF($B$265=$B$3284,EO3408,IF($B$265=$B$3285,EQ3408,IF($B$265=$B$3286,ES3408,IF($B$265=$B$3287,EU3408,IF($B$265=$B$3288,EW3408,IF($B$265=$B$3289,EY3408,IF($B$265=$B$3290,FA3408,IF($B$265=$B$3291,FC3408,IF($B$265=$B$3292,FE3408,IF($B$265=$B$3293,BK3408,IF($B$265=$B$3294,FG3408,IF($B$265=$B$3295,FI3408,IF($B$265=$B$3296,FK3408,IF($B$265=$B$3297,FM3408,IF($B$265=$B$3298,FO3408,IF($B$265=$B$3299,FQ3408,IF(BJ$265=$B$3300,FS3408,IF($B$265=$B$3301,FU3408,IF($B$265=$B$3302,FW3408,IF($B$265=$B$3303,FY3408,IF($B$265=$B$3304,GA3408,IF($B$265=$B$3305,GC3408,IF($B$265=$B$3306,GE3408,IF($B$265=$B$3307,GG3408,IF($B$265=$B$3308,GI3408,IF($B$265=$B$3309,GK3408,IF($B$265=$B$3310,GM3408,IF($B$265=$B$3311,GO3408,IF($B$265=$B$3312,GQ3408,IF($B$265=$B$3313,GS3408,IF($B$265=$B$3314,GU3408,IF($B$265=$B$3315,GW3408,IF($B$265=$B$3316,GY3408,IF($B$265=$B$3317,HA3408,IF($B$265=$B$3318,HC3408,IF($B$265=$B$3319,HE3408,IF($B$265=$B$3320,HG3408,IF($B$265=$B$3321,HI3408,IF($B$265=$B$3322,HK3408,IF($B$265=$B$3323,HM3408,IF($B$265=$B$3324,HO3408,IF($B$265=$B$3325,HQ3408,IF($B$265=$B$3326,HS3408,IF($B$265=$B$3327,HU3408,IF($B$265=$B$3328,HW3408,IF($B$265=$B$3329,HY3408,""))))))))))))))))))))))))))))))))))))))))))))))))))))</f>
        <v/>
      </c>
    </row>
    <row r="3409" spans="1:131" ht="16" hidden="1" x14ac:dyDescent="0.4">
      <c r="A3409" s="813"/>
      <c r="BB3409" s="48"/>
      <c r="BS3409" s="464" t="str">
        <f>IF($B$265=B$3278,BZ3408,IF($B$265=B$3279,CA3408,IF($B$265=B$3280,CB3408,IF($B$265=B$3281,CC3408,IF($B$265=B$3282,CD3408,IF($B$265=B$3283,CE3408,IF($B$265=B$3284,CF3408,IF($B$265=B$3285,CG3408,IF($B$265=B$3286,CH3408,IF($B$265=B$3287,CI3408,IF($B$265=B$3288,CJ3408,IF($B$265=B$3289,CK3408,IF($B$265=B$3290,CL3408,IF($B$265=B$3291,CM3408,IF($B$265=B$3292,CN3408,IF($B$265=B$3293,C3408,IF($B$265=B$3294,CO3408,IF($B$265=B$3295,CP3408,IF($B$265=B$3296,CQ3408,IF($B$265=B$3297,CR3408,IF($B$265=B$3298,CS3408,IF($B$265=B$3299,CT3408,IF(B$265=B$3300,CU3408,IF($B$265=B$3301,CV3408,IF($B$265=B$3302,CW3408,IF($B$265=B$3303,CX3408,IF($B$265=B$3304,CY3408,IF($B$265=B$3305,CZ3408,IF($B$265=B$3306,DA3408,IF($B$265=B$3307,DB3408,IF($B$265=B$3308,DC3408,IF($B$265=B$3309,DD3408,IF($B$265=B$3310,DE3408,IF($B$265=B$3311,DF3408,IF($B$265=B$3312,DG3408,IF($B$265=B$3313,DH3408,IF($B$265=B$3314,DI3408,IF($B$265=B$3315,DJ3408,IF($B$265=B$3316,DK3408,IF($B$265=B$3317,DL3408,IF($B$265=B$3318,DM3408,IF($B$265=B$3319,DN3408,IF($B$265=B$3320,DO3408,IF($B$265=B$3321,DP3408,IF($B$265=B$3322,DQ3408,IF($B$265=B$3323,DR3408,IF($B$265=B$3324,DS3408,IF($B$265=B$3325,DT3408,IF($B$265=B$3326,DU3408,IF($B$265=B$3327,DV3408,IF($B$265=B$3328,DW3408,IF($B$265=B$3329,DX3408,""))))))))))))))))))))))))))))))))))))))))))))))))))))</f>
        <v/>
      </c>
      <c r="BZ3409" s="245" t="s">
        <v>885</v>
      </c>
      <c r="CA3409" s="245" t="s">
        <v>885</v>
      </c>
      <c r="CC3409" s="245" t="s">
        <v>885</v>
      </c>
      <c r="CD3409" s="459" t="s">
        <v>885</v>
      </c>
      <c r="CE3409" s="459" t="s">
        <v>885</v>
      </c>
      <c r="CF3409" s="245" t="s">
        <v>885</v>
      </c>
      <c r="CG3409" s="245" t="s">
        <v>885</v>
      </c>
      <c r="CH3409" s="245" t="s">
        <v>885</v>
      </c>
      <c r="CI3409" s="245" t="s">
        <v>885</v>
      </c>
      <c r="CJ3409" t="s">
        <v>1828</v>
      </c>
      <c r="CK3409" s="459" t="s">
        <v>885</v>
      </c>
      <c r="CL3409" s="459" t="s">
        <v>885</v>
      </c>
      <c r="CM3409" s="459" t="s">
        <v>885</v>
      </c>
      <c r="CN3409" s="459" t="s">
        <v>885</v>
      </c>
      <c r="CO3409" s="459" t="s">
        <v>885</v>
      </c>
      <c r="CP3409" s="459" t="s">
        <v>885</v>
      </c>
      <c r="CQ3409" t="s">
        <v>2159</v>
      </c>
      <c r="CR3409" s="459" t="s">
        <v>885</v>
      </c>
      <c r="CS3409" s="459" t="s">
        <v>885</v>
      </c>
      <c r="CT3409" s="245" t="s">
        <v>885</v>
      </c>
      <c r="CU3409" s="463" t="s">
        <v>885</v>
      </c>
      <c r="CV3409" s="245" t="s">
        <v>885</v>
      </c>
      <c r="CW3409" s="245" t="s">
        <v>885</v>
      </c>
      <c r="CX3409" t="s">
        <v>1495</v>
      </c>
      <c r="CY3409" s="459" t="s">
        <v>885</v>
      </c>
      <c r="CZ3409" s="459" t="s">
        <v>885</v>
      </c>
      <c r="DA3409" s="459" t="s">
        <v>885</v>
      </c>
      <c r="DB3409" s="459" t="s">
        <v>885</v>
      </c>
      <c r="DC3409" s="459" t="s">
        <v>885</v>
      </c>
      <c r="DD3409" s="459" t="s">
        <v>885</v>
      </c>
      <c r="DE3409" s="459" t="s">
        <v>885</v>
      </c>
      <c r="DF3409" s="459" t="s">
        <v>885</v>
      </c>
      <c r="DG3409" s="459" t="s">
        <v>885</v>
      </c>
      <c r="DH3409" s="459" t="s">
        <v>885</v>
      </c>
      <c r="DI3409" s="459" t="s">
        <v>885</v>
      </c>
      <c r="DJ3409" s="459" t="s">
        <v>885</v>
      </c>
      <c r="DK3409" s="459" t="s">
        <v>885</v>
      </c>
      <c r="DL3409" s="459" t="s">
        <v>885</v>
      </c>
      <c r="DM3409" s="459" t="s">
        <v>885</v>
      </c>
      <c r="DN3409" s="459" t="s">
        <v>885</v>
      </c>
      <c r="DO3409" s="459" t="s">
        <v>885</v>
      </c>
      <c r="DP3409" t="s">
        <v>3000</v>
      </c>
      <c r="DQ3409" s="459" t="s">
        <v>885</v>
      </c>
      <c r="DR3409" s="459" t="s">
        <v>885</v>
      </c>
      <c r="DS3409" t="s">
        <v>1487</v>
      </c>
      <c r="DT3409" s="459" t="s">
        <v>885</v>
      </c>
      <c r="DU3409" s="459" t="s">
        <v>885</v>
      </c>
      <c r="DV3409" s="459" t="s">
        <v>885</v>
      </c>
      <c r="DW3409" s="245" t="s">
        <v>885</v>
      </c>
      <c r="DX3409" s="245" t="s">
        <v>885</v>
      </c>
      <c r="DY3409" s="245"/>
      <c r="DZ3409" s="470" t="str">
        <f>IF($B$265=$B$3278,EB3409,IF($B$265=$B$3279,ED3409,IF($B$265=$B$3280,EF3409,IF($B$265=$B$3281,EH3409,IF($B$265=$B$3282,EJ3409,IF($B$265=$B$3283,EL3409,IF($B$265=$B$3284,EN3409,IF($B$265=$B$3285,EP3409,IF($B$265=$B$3286,ER3409,IF($B$265=$B$3287,ET3409,IF($B$265=$B$3288,EV3409,IF($B$265=$B$3289,EX3409,IF($B$265=$B$3290,EZ3409,IF($B$265=$B$3291,FB3409,IF($B$265=$B$3292,FD3409,IF($B$265=$B$3293,BU3409,IF($B$265=$B$3294,FF3409,IF($B$265=$B$3295,FH3409,IF($B$265=$B$3296,FJ3409,IF($B$265=$B$3297,FL3409,IF($B$265=$B$3298,FN3409,IF($B$265=$B$3299,FP3409,IF(BI$265=$B$3300,FR3409,IF($B$265=$B$3301,FT3409,IF($B$265=$B$3302,FV3409,IF($B$265=$B$3303,FX3409,IF($B$265=$B$3304,FZ3409,IF($B$265=$B$3305,GB3409,IF($B$265=$B$3306,GD3409,IF($B$265=$B$3307,GF3409,IF($B$265=$B$3308,GH3409,IF($B$265=$B$3309,GJ3409,IF($B$265=$B$3310,GL3409,IF($B$265=$B$3311,GN3409,IF($B$265=$B$3312,GP3409,IF($B$265=$B$3313,GR3409,IF($B$265=$B$3314,GT3409,IF($B$265=$B$3315,GV3409,IF($B$265=$B$3316,GX3409,IF($B$265=$B$3317,GZ3409,IF($B$265=$B$3318,HB3409,IF($B$265=$B$3319,HD3409,IF($B$265=$B$3320,HF3409,IF($B$265=$B$3321,HH3409,IF($B$265=$B$3322,HJ3409,IF($B$265=$B$3323,HL3409,IF($B$265=$B$3324,HN3409,IF($B$265=$B$3325,HP3409,IF($B$265=$B$3326,HR3409,IF($B$265=$B$3327,HT3409,IF($B$265=$B$3328,HV3409,IF($B$265=$B$3329,HX3409,""))))))))))))))))))))))))))))))))))))))))))))))))))))</f>
        <v/>
      </c>
      <c r="EA3409" s="470" t="str">
        <f>IF($B$265=$B$3278,EC3409,IF($B$265=$B$3279,EE3409,IF($B$265=$B$3280,EG3409,IF($B$265=$B$3281,EI3409,IF($B$265=$B$3282,EK3409,IF($B$265=$B$3283,EM3409,IF($B$265=$B$3284,EO3409,IF($B$265=$B$3285,EQ3409,IF($B$265=$B$3286,ES3409,IF($B$265=$B$3287,EU3409,IF($B$265=$B$3288,EW3409,IF($B$265=$B$3289,EY3409,IF($B$265=$B$3290,FA3409,IF($B$265=$B$3291,FC3409,IF($B$265=$B$3292,FE3409,IF($B$265=$B$3293,BK3409,IF($B$265=$B$3294,FG3409,IF($B$265=$B$3295,FI3409,IF($B$265=$B$3296,FK3409,IF($B$265=$B$3297,FM3409,IF($B$265=$B$3298,FO3409,IF($B$265=$B$3299,FQ3409,IF(BJ$265=$B$3300,FS3409,IF($B$265=$B$3301,FU3409,IF($B$265=$B$3302,FW3409,IF($B$265=$B$3303,FY3409,IF($B$265=$B$3304,GA3409,IF($B$265=$B$3305,GC3409,IF($B$265=$B$3306,GE3409,IF($B$265=$B$3307,GG3409,IF($B$265=$B$3308,GI3409,IF($B$265=$B$3309,GK3409,IF($B$265=$B$3310,GM3409,IF($B$265=$B$3311,GO3409,IF($B$265=$B$3312,GQ3409,IF($B$265=$B$3313,GS3409,IF($B$265=$B$3314,GU3409,IF($B$265=$B$3315,GW3409,IF($B$265=$B$3316,GY3409,IF($B$265=$B$3317,HA3409,IF($B$265=$B$3318,HC3409,IF($B$265=$B$3319,HE3409,IF($B$265=$B$3320,HG3409,IF($B$265=$B$3321,HI3409,IF($B$265=$B$3322,HK3409,IF($B$265=$B$3323,HM3409,IF($B$265=$B$3324,HO3409,IF($B$265=$B$3325,HQ3409,IF($B$265=$B$3326,HS3409,IF($B$265=$B$3327,HU3409,IF($B$265=$B$3328,HW3409,IF($B$265=$B$3329,HY3409,""))))))))))))))))))))))))))))))))))))))))))))))))))))</f>
        <v/>
      </c>
    </row>
    <row r="3410" spans="1:131" ht="16" hidden="1" x14ac:dyDescent="0.4">
      <c r="A3410" s="813"/>
      <c r="BB3410" s="48"/>
      <c r="BS3410" s="464" t="str">
        <f>IF($B$265=B$3278,BZ3409,IF($B$265=B$3279,CA3409,IF($B$265=B$3280,CB3409,IF($B$265=B$3281,CC3409,IF($B$265=B$3282,CD3409,IF($B$265=B$3283,CE3409,IF($B$265=B$3284,CF3409,IF($B$265=B$3285,CG3409,IF($B$265=B$3286,CH3409,IF($B$265=B$3287,CI3409,IF($B$265=B$3288,CJ3409,IF($B$265=B$3289,CK3409,IF($B$265=B$3290,CL3409,IF($B$265=B$3291,CM3409,IF($B$265=B$3292,CN3409,IF($B$265=B$3293,C3409,IF($B$265=B$3294,CO3409,IF($B$265=B$3295,CP3409,IF($B$265=B$3296,CQ3409,IF($B$265=B$3297,CR3409,IF($B$265=B$3298,CS3409,IF($B$265=B$3299,CT3409,IF(B$265=B$3300,CU3409,IF($B$265=B$3301,CV3409,IF($B$265=B$3302,CW3409,IF($B$265=B$3303,CX3409,IF($B$265=B$3304,CY3409,IF($B$265=B$3305,CZ3409,IF($B$265=B$3306,DA3409,IF($B$265=B$3307,DB3409,IF($B$265=B$3308,DC3409,IF($B$265=B$3309,DD3409,IF($B$265=B$3310,DE3409,IF($B$265=B$3311,DF3409,IF($B$265=B$3312,DG3409,IF($B$265=B$3313,DH3409,IF($B$265=B$3314,DI3409,IF($B$265=B$3315,DJ3409,IF($B$265=B$3316,DK3409,IF($B$265=B$3317,DL3409,IF($B$265=B$3318,DM3409,IF($B$265=B$3319,DN3409,IF($B$265=B$3320,DO3409,IF($B$265=B$3321,DP3409,IF($B$265=B$3322,DQ3409,IF($B$265=B$3323,DR3409,IF($B$265=B$3324,DS3409,IF($B$265=B$3325,DT3409,IF($B$265=B$3326,DU3409,IF($B$265=B$3327,DV3409,IF($B$265=B$3328,DW3409,IF($B$265=B$3329,DX3409,""))))))))))))))))))))))))))))))))))))))))))))))))))))</f>
        <v/>
      </c>
      <c r="BZ3410" s="245" t="s">
        <v>885</v>
      </c>
      <c r="CA3410" s="245" t="s">
        <v>885</v>
      </c>
      <c r="CC3410" s="245" t="s">
        <v>885</v>
      </c>
      <c r="CD3410" s="459" t="s">
        <v>885</v>
      </c>
      <c r="CE3410" s="459" t="s">
        <v>885</v>
      </c>
      <c r="CF3410" s="245" t="s">
        <v>885</v>
      </c>
      <c r="CG3410" s="245" t="s">
        <v>885</v>
      </c>
      <c r="CH3410" s="245" t="s">
        <v>885</v>
      </c>
      <c r="CI3410" s="245" t="s">
        <v>885</v>
      </c>
      <c r="CJ3410" t="s">
        <v>1484</v>
      </c>
      <c r="CK3410" s="459" t="s">
        <v>885</v>
      </c>
      <c r="CL3410" s="459" t="s">
        <v>885</v>
      </c>
      <c r="CM3410" s="459" t="s">
        <v>885</v>
      </c>
      <c r="CN3410" s="459" t="s">
        <v>885</v>
      </c>
      <c r="CO3410" s="459" t="s">
        <v>885</v>
      </c>
      <c r="CP3410" s="459" t="s">
        <v>885</v>
      </c>
      <c r="CQ3410" t="s">
        <v>2160</v>
      </c>
      <c r="CR3410" s="459" t="s">
        <v>885</v>
      </c>
      <c r="CS3410" s="459" t="s">
        <v>885</v>
      </c>
      <c r="CT3410" s="245" t="s">
        <v>885</v>
      </c>
      <c r="CU3410" s="463" t="s">
        <v>885</v>
      </c>
      <c r="CV3410" s="245" t="s">
        <v>885</v>
      </c>
      <c r="CW3410" s="245" t="s">
        <v>885</v>
      </c>
      <c r="CX3410" t="s">
        <v>1855</v>
      </c>
      <c r="CY3410" s="459" t="s">
        <v>885</v>
      </c>
      <c r="CZ3410" s="459" t="s">
        <v>885</v>
      </c>
      <c r="DA3410" s="459" t="s">
        <v>885</v>
      </c>
      <c r="DB3410" s="459" t="s">
        <v>885</v>
      </c>
      <c r="DC3410" s="459" t="s">
        <v>885</v>
      </c>
      <c r="DD3410" s="459" t="s">
        <v>885</v>
      </c>
      <c r="DE3410" s="459" t="s">
        <v>885</v>
      </c>
      <c r="DF3410" s="459" t="s">
        <v>885</v>
      </c>
      <c r="DG3410" s="459" t="s">
        <v>885</v>
      </c>
      <c r="DH3410" s="459" t="s">
        <v>885</v>
      </c>
      <c r="DI3410" s="459" t="s">
        <v>885</v>
      </c>
      <c r="DJ3410" s="459" t="s">
        <v>885</v>
      </c>
      <c r="DK3410" s="459" t="s">
        <v>885</v>
      </c>
      <c r="DL3410" s="459" t="s">
        <v>885</v>
      </c>
      <c r="DM3410" s="459" t="s">
        <v>885</v>
      </c>
      <c r="DN3410" s="459" t="s">
        <v>885</v>
      </c>
      <c r="DO3410" s="459" t="s">
        <v>885</v>
      </c>
      <c r="DP3410" t="s">
        <v>2134</v>
      </c>
      <c r="DQ3410" s="459" t="s">
        <v>885</v>
      </c>
      <c r="DR3410" s="459" t="s">
        <v>885</v>
      </c>
      <c r="DS3410" t="s">
        <v>3186</v>
      </c>
      <c r="DT3410" s="459" t="s">
        <v>885</v>
      </c>
      <c r="DU3410" s="459" t="s">
        <v>885</v>
      </c>
      <c r="DV3410" s="459" t="s">
        <v>885</v>
      </c>
      <c r="DW3410" s="245" t="s">
        <v>885</v>
      </c>
      <c r="DX3410" s="245" t="s">
        <v>885</v>
      </c>
      <c r="DY3410" s="245"/>
      <c r="DZ3410" s="470" t="str">
        <f>IF($B$265=$B$3278,EB3410,IF($B$265=$B$3279,ED3410,IF($B$265=$B$3280,EF3410,IF($B$265=$B$3281,EH3410,IF($B$265=$B$3282,EJ3410,IF($B$265=$B$3283,EL3410,IF($B$265=$B$3284,EN3410,IF($B$265=$B$3285,EP3410,IF($B$265=$B$3286,ER3410,IF($B$265=$B$3287,ET3410,IF($B$265=$B$3288,EV3410,IF($B$265=$B$3289,EX3410,IF($B$265=$B$3290,EZ3410,IF($B$265=$B$3291,FB3410,IF($B$265=$B$3292,FD3410,IF($B$265=$B$3293,BU3410,IF($B$265=$B$3294,FF3410,IF($B$265=$B$3295,FH3410,IF($B$265=$B$3296,FJ3410,IF($B$265=$B$3297,FL3410,IF($B$265=$B$3298,FN3410,IF($B$265=$B$3299,FP3410,IF(BI$265=$B$3300,FR3410,IF($B$265=$B$3301,FT3410,IF($B$265=$B$3302,FV3410,IF($B$265=$B$3303,FX3410,IF($B$265=$B$3304,FZ3410,IF($B$265=$B$3305,GB3410,IF($B$265=$B$3306,GD3410,IF($B$265=$B$3307,GF3410,IF($B$265=$B$3308,GH3410,IF($B$265=$B$3309,GJ3410,IF($B$265=$B$3310,GL3410,IF($B$265=$B$3311,GN3410,IF($B$265=$B$3312,GP3410,IF($B$265=$B$3313,GR3410,IF($B$265=$B$3314,GT3410,IF($B$265=$B$3315,GV3410,IF($B$265=$B$3316,GX3410,IF($B$265=$B$3317,GZ3410,IF($B$265=$B$3318,HB3410,IF($B$265=$B$3319,HD3410,IF($B$265=$B$3320,HF3410,IF($B$265=$B$3321,HH3410,IF($B$265=$B$3322,HJ3410,IF($B$265=$B$3323,HL3410,IF($B$265=$B$3324,HN3410,IF($B$265=$B$3325,HP3410,IF($B$265=$B$3326,HR3410,IF($B$265=$B$3327,HT3410,IF($B$265=$B$3328,HV3410,IF($B$265=$B$3329,HX3410,""))))))))))))))))))))))))))))))))))))))))))))))))))))</f>
        <v/>
      </c>
      <c r="EA3410" s="470" t="str">
        <f>IF($B$265=$B$3278,EC3410,IF($B$265=$B$3279,EE3410,IF($B$265=$B$3280,EG3410,IF($B$265=$B$3281,EI3410,IF($B$265=$B$3282,EK3410,IF($B$265=$B$3283,EM3410,IF($B$265=$B$3284,EO3410,IF($B$265=$B$3285,EQ3410,IF($B$265=$B$3286,ES3410,IF($B$265=$B$3287,EU3410,IF($B$265=$B$3288,EW3410,IF($B$265=$B$3289,EY3410,IF($B$265=$B$3290,FA3410,IF($B$265=$B$3291,FC3410,IF($B$265=$B$3292,FE3410,IF($B$265=$B$3293,BK3410,IF($B$265=$B$3294,FG3410,IF($B$265=$B$3295,FI3410,IF($B$265=$B$3296,FK3410,IF($B$265=$B$3297,FM3410,IF($B$265=$B$3298,FO3410,IF($B$265=$B$3299,FQ3410,IF(BJ$265=$B$3300,FS3410,IF($B$265=$B$3301,FU3410,IF($B$265=$B$3302,FW3410,IF($B$265=$B$3303,FY3410,IF($B$265=$B$3304,GA3410,IF($B$265=$B$3305,GC3410,IF($B$265=$B$3306,GE3410,IF($B$265=$B$3307,GG3410,IF($B$265=$B$3308,GI3410,IF($B$265=$B$3309,GK3410,IF($B$265=$B$3310,GM3410,IF($B$265=$B$3311,GO3410,IF($B$265=$B$3312,GQ3410,IF($B$265=$B$3313,GS3410,IF($B$265=$B$3314,GU3410,IF($B$265=$B$3315,GW3410,IF($B$265=$B$3316,GY3410,IF($B$265=$B$3317,HA3410,IF($B$265=$B$3318,HC3410,IF($B$265=$B$3319,HE3410,IF($B$265=$B$3320,HG3410,IF($B$265=$B$3321,HI3410,IF($B$265=$B$3322,HK3410,IF($B$265=$B$3323,HM3410,IF($B$265=$B$3324,HO3410,IF($B$265=$B$3325,HQ3410,IF($B$265=$B$3326,HS3410,IF($B$265=$B$3327,HU3410,IF($B$265=$B$3328,HW3410,IF($B$265=$B$3329,HY3410,""))))))))))))))))))))))))))))))))))))))))))))))))))))</f>
        <v/>
      </c>
    </row>
    <row r="3411" spans="1:131" ht="16" hidden="1" x14ac:dyDescent="0.4">
      <c r="A3411" s="813"/>
      <c r="BB3411" s="48"/>
      <c r="BS3411" s="464" t="str">
        <f>IF($B$265=B$3278,BZ3410,IF($B$265=B$3279,CA3410,IF($B$265=B$3280,CB3410,IF($B$265=B$3281,CC3410,IF($B$265=B$3282,CD3410,IF($B$265=B$3283,CE3410,IF($B$265=B$3284,CF3410,IF($B$265=B$3285,CG3410,IF($B$265=B$3286,CH3410,IF($B$265=B$3287,CI3410,IF($B$265=B$3288,CJ3410,IF($B$265=B$3289,CK3410,IF($B$265=B$3290,CL3410,IF($B$265=B$3291,CM3410,IF($B$265=B$3292,CN3410,IF($B$265=B$3293,C3410,IF($B$265=B$3294,CO3410,IF($B$265=B$3295,CP3410,IF($B$265=B$3296,CQ3410,IF($B$265=B$3297,CR3410,IF($B$265=B$3298,CS3410,IF($B$265=B$3299,CT3410,IF(B$265=B$3300,CU3410,IF($B$265=B$3301,CV3410,IF($B$265=B$3302,CW3410,IF($B$265=B$3303,CX3410,IF($B$265=B$3304,CY3410,IF($B$265=B$3305,CZ3410,IF($B$265=B$3306,DA3410,IF($B$265=B$3307,DB3410,IF($B$265=B$3308,DC3410,IF($B$265=B$3309,DD3410,IF($B$265=B$3310,DE3410,IF($B$265=B$3311,DF3410,IF($B$265=B$3312,DG3410,IF($B$265=B$3313,DH3410,IF($B$265=B$3314,DI3410,IF($B$265=B$3315,DJ3410,IF($B$265=B$3316,DK3410,IF($B$265=B$3317,DL3410,IF($B$265=B$3318,DM3410,IF($B$265=B$3319,DN3410,IF($B$265=B$3320,DO3410,IF($B$265=B$3321,DP3410,IF($B$265=B$3322,DQ3410,IF($B$265=B$3323,DR3410,IF($B$265=B$3324,DS3410,IF($B$265=B$3325,DT3410,IF($B$265=B$3326,DU3410,IF($B$265=B$3327,DV3410,IF($B$265=B$3328,DW3410,IF($B$265=B$3329,DX3410,""))))))))))))))))))))))))))))))))))))))))))))))))))))</f>
        <v/>
      </c>
      <c r="BZ3411" s="245" t="s">
        <v>885</v>
      </c>
      <c r="CA3411" s="245" t="s">
        <v>885</v>
      </c>
      <c r="CC3411" s="245" t="s">
        <v>885</v>
      </c>
      <c r="CD3411" s="459" t="s">
        <v>885</v>
      </c>
      <c r="CE3411" s="459" t="s">
        <v>885</v>
      </c>
      <c r="CF3411" s="245" t="s">
        <v>885</v>
      </c>
      <c r="CG3411" s="245" t="s">
        <v>885</v>
      </c>
      <c r="CH3411" s="245" t="s">
        <v>885</v>
      </c>
      <c r="CI3411" s="245" t="s">
        <v>885</v>
      </c>
      <c r="CJ3411" t="s">
        <v>1829</v>
      </c>
      <c r="CK3411" s="459" t="s">
        <v>885</v>
      </c>
      <c r="CL3411" s="459" t="s">
        <v>885</v>
      </c>
      <c r="CM3411" s="459" t="s">
        <v>885</v>
      </c>
      <c r="CN3411" s="459" t="s">
        <v>885</v>
      </c>
      <c r="CO3411" s="459" t="s">
        <v>885</v>
      </c>
      <c r="CP3411" s="459" t="s">
        <v>885</v>
      </c>
      <c r="CQ3411" t="s">
        <v>1579</v>
      </c>
      <c r="CR3411" s="459" t="s">
        <v>885</v>
      </c>
      <c r="CS3411" s="459" t="s">
        <v>885</v>
      </c>
      <c r="CT3411" s="245" t="s">
        <v>885</v>
      </c>
      <c r="CU3411" s="463" t="s">
        <v>885</v>
      </c>
      <c r="CV3411" s="245" t="s">
        <v>885</v>
      </c>
      <c r="CW3411" s="245" t="s">
        <v>885</v>
      </c>
      <c r="CX3411" t="s">
        <v>1856</v>
      </c>
      <c r="CY3411" s="459" t="s">
        <v>885</v>
      </c>
      <c r="CZ3411" s="459" t="s">
        <v>885</v>
      </c>
      <c r="DA3411" s="459" t="s">
        <v>885</v>
      </c>
      <c r="DB3411" s="459" t="s">
        <v>885</v>
      </c>
      <c r="DC3411" s="459" t="s">
        <v>885</v>
      </c>
      <c r="DD3411" s="459" t="s">
        <v>885</v>
      </c>
      <c r="DE3411" s="459" t="s">
        <v>885</v>
      </c>
      <c r="DF3411" s="459" t="s">
        <v>885</v>
      </c>
      <c r="DG3411" s="459" t="s">
        <v>885</v>
      </c>
      <c r="DH3411" s="459" t="s">
        <v>885</v>
      </c>
      <c r="DI3411" s="459" t="s">
        <v>885</v>
      </c>
      <c r="DJ3411" s="459" t="s">
        <v>885</v>
      </c>
      <c r="DK3411" s="459" t="s">
        <v>885</v>
      </c>
      <c r="DL3411" s="459" t="s">
        <v>885</v>
      </c>
      <c r="DM3411" s="459" t="s">
        <v>885</v>
      </c>
      <c r="DN3411" s="459" t="s">
        <v>885</v>
      </c>
      <c r="DO3411" s="459" t="s">
        <v>885</v>
      </c>
      <c r="DP3411" t="s">
        <v>1465</v>
      </c>
      <c r="DQ3411" s="459" t="s">
        <v>885</v>
      </c>
      <c r="DR3411" s="459" t="s">
        <v>885</v>
      </c>
      <c r="DS3411" t="s">
        <v>1573</v>
      </c>
      <c r="DT3411" s="459" t="s">
        <v>885</v>
      </c>
      <c r="DU3411" s="459" t="s">
        <v>885</v>
      </c>
      <c r="DV3411" s="459" t="s">
        <v>885</v>
      </c>
      <c r="DW3411" s="245" t="s">
        <v>885</v>
      </c>
      <c r="DX3411" s="245" t="s">
        <v>885</v>
      </c>
      <c r="DY3411" s="245"/>
      <c r="DZ3411" s="470" t="str">
        <f>IF($B$265=$B$3278,EB3411,IF($B$265=$B$3279,ED3411,IF($B$265=$B$3280,EF3411,IF($B$265=$B$3281,EH3411,IF($B$265=$B$3282,EJ3411,IF($B$265=$B$3283,EL3411,IF($B$265=$B$3284,EN3411,IF($B$265=$B$3285,EP3411,IF($B$265=$B$3286,ER3411,IF($B$265=$B$3287,ET3411,IF($B$265=$B$3288,EV3411,IF($B$265=$B$3289,EX3411,IF($B$265=$B$3290,EZ3411,IF($B$265=$B$3291,FB3411,IF($B$265=$B$3292,FD3411,IF($B$265=$B$3293,BU3411,IF($B$265=$B$3294,FF3411,IF($B$265=$B$3295,FH3411,IF($B$265=$B$3296,FJ3411,IF($B$265=$B$3297,FL3411,IF($B$265=$B$3298,FN3411,IF($B$265=$B$3299,FP3411,IF(BI$265=$B$3300,FR3411,IF($B$265=$B$3301,FT3411,IF($B$265=$B$3302,FV3411,IF($B$265=$B$3303,FX3411,IF($B$265=$B$3304,FZ3411,IF($B$265=$B$3305,GB3411,IF($B$265=$B$3306,GD3411,IF($B$265=$B$3307,GF3411,IF($B$265=$B$3308,GH3411,IF($B$265=$B$3309,GJ3411,IF($B$265=$B$3310,GL3411,IF($B$265=$B$3311,GN3411,IF($B$265=$B$3312,GP3411,IF($B$265=$B$3313,GR3411,IF($B$265=$B$3314,GT3411,IF($B$265=$B$3315,GV3411,IF($B$265=$B$3316,GX3411,IF($B$265=$B$3317,GZ3411,IF($B$265=$B$3318,HB3411,IF($B$265=$B$3319,HD3411,IF($B$265=$B$3320,HF3411,IF($B$265=$B$3321,HH3411,IF($B$265=$B$3322,HJ3411,IF($B$265=$B$3323,HL3411,IF($B$265=$B$3324,HN3411,IF($B$265=$B$3325,HP3411,IF($B$265=$B$3326,HR3411,IF($B$265=$B$3327,HT3411,IF($B$265=$B$3328,HV3411,IF($B$265=$B$3329,HX3411,""))))))))))))))))))))))))))))))))))))))))))))))))))))</f>
        <v/>
      </c>
      <c r="EA3411" s="470" t="str">
        <f>IF($B$265=$B$3278,EC3411,IF($B$265=$B$3279,EE3411,IF($B$265=$B$3280,EG3411,IF($B$265=$B$3281,EI3411,IF($B$265=$B$3282,EK3411,IF($B$265=$B$3283,EM3411,IF($B$265=$B$3284,EO3411,IF($B$265=$B$3285,EQ3411,IF($B$265=$B$3286,ES3411,IF($B$265=$B$3287,EU3411,IF($B$265=$B$3288,EW3411,IF($B$265=$B$3289,EY3411,IF($B$265=$B$3290,FA3411,IF($B$265=$B$3291,FC3411,IF($B$265=$B$3292,FE3411,IF($B$265=$B$3293,BK3411,IF($B$265=$B$3294,FG3411,IF($B$265=$B$3295,FI3411,IF($B$265=$B$3296,FK3411,IF($B$265=$B$3297,FM3411,IF($B$265=$B$3298,FO3411,IF($B$265=$B$3299,FQ3411,IF(BJ$265=$B$3300,FS3411,IF($B$265=$B$3301,FU3411,IF($B$265=$B$3302,FW3411,IF($B$265=$B$3303,FY3411,IF($B$265=$B$3304,GA3411,IF($B$265=$B$3305,GC3411,IF($B$265=$B$3306,GE3411,IF($B$265=$B$3307,GG3411,IF($B$265=$B$3308,GI3411,IF($B$265=$B$3309,GK3411,IF($B$265=$B$3310,GM3411,IF($B$265=$B$3311,GO3411,IF($B$265=$B$3312,GQ3411,IF($B$265=$B$3313,GS3411,IF($B$265=$B$3314,GU3411,IF($B$265=$B$3315,GW3411,IF($B$265=$B$3316,GY3411,IF($B$265=$B$3317,HA3411,IF($B$265=$B$3318,HC3411,IF($B$265=$B$3319,HE3411,IF($B$265=$B$3320,HG3411,IF($B$265=$B$3321,HI3411,IF($B$265=$B$3322,HK3411,IF($B$265=$B$3323,HM3411,IF($B$265=$B$3324,HO3411,IF($B$265=$B$3325,HQ3411,IF($B$265=$B$3326,HS3411,IF($B$265=$B$3327,HU3411,IF($B$265=$B$3328,HW3411,IF($B$265=$B$3329,HY3411,""))))))))))))))))))))))))))))))))))))))))))))))))))))</f>
        <v/>
      </c>
    </row>
    <row r="3412" spans="1:131" ht="16" hidden="1" x14ac:dyDescent="0.4">
      <c r="A3412" s="813"/>
      <c r="BS3412" s="464" t="str">
        <f>IF($B$265=B$3278,BZ3411,IF($B$265=B$3279,CA3411,IF($B$265=B$3280,CB3411,IF($B$265=B$3281,CC3411,IF($B$265=B$3282,CD3411,IF($B$265=B$3283,CE3411,IF($B$265=B$3284,CF3411,IF($B$265=B$3285,CG3411,IF($B$265=B$3286,CH3411,IF($B$265=B$3287,CI3411,IF($B$265=B$3288,CJ3411,IF($B$265=B$3289,CK3411,IF($B$265=B$3290,CL3411,IF($B$265=B$3291,CM3411,IF($B$265=B$3292,CN3411,IF($B$265=B$3293,C3411,IF($B$265=B$3294,CO3411,IF($B$265=B$3295,CP3411,IF($B$265=B$3296,CQ3411,IF($B$265=B$3297,CR3411,IF($B$265=B$3298,CS3411,IF($B$265=B$3299,CT3411,IF(B$265=B$3300,CU3411,IF($B$265=B$3301,CV3411,IF($B$265=B$3302,CW3411,IF($B$265=B$3303,CX3411,IF($B$265=B$3304,CY3411,IF($B$265=B$3305,CZ3411,IF($B$265=B$3306,DA3411,IF($B$265=B$3307,DB3411,IF($B$265=B$3308,DC3411,IF($B$265=B$3309,DD3411,IF($B$265=B$3310,DE3411,IF($B$265=B$3311,DF3411,IF($B$265=B$3312,DG3411,IF($B$265=B$3313,DH3411,IF($B$265=B$3314,DI3411,IF($B$265=B$3315,DJ3411,IF($B$265=B$3316,DK3411,IF($B$265=B$3317,DL3411,IF($B$265=B$3318,DM3411,IF($B$265=B$3319,DN3411,IF($B$265=B$3320,DO3411,IF($B$265=B$3321,DP3411,IF($B$265=B$3322,DQ3411,IF($B$265=B$3323,DR3411,IF($B$265=B$3324,DS3411,IF($B$265=B$3325,DT3411,IF($B$265=B$3326,DU3411,IF($B$265=B$3327,DV3411,IF($B$265=B$3328,DW3411,IF($B$265=B$3329,DX3411,""))))))))))))))))))))))))))))))))))))))))))))))))))))</f>
        <v/>
      </c>
      <c r="BZ3412" s="245" t="s">
        <v>885</v>
      </c>
      <c r="CA3412" s="245" t="s">
        <v>885</v>
      </c>
      <c r="CC3412" s="245" t="s">
        <v>885</v>
      </c>
      <c r="CD3412" s="459" t="s">
        <v>885</v>
      </c>
      <c r="CE3412" s="459" t="s">
        <v>885</v>
      </c>
      <c r="CF3412" s="245" t="s">
        <v>885</v>
      </c>
      <c r="CG3412" s="245" t="s">
        <v>885</v>
      </c>
      <c r="CH3412" s="245" t="s">
        <v>885</v>
      </c>
      <c r="CI3412" s="245" t="s">
        <v>885</v>
      </c>
      <c r="CJ3412" t="s">
        <v>1485</v>
      </c>
      <c r="CK3412" s="459" t="s">
        <v>885</v>
      </c>
      <c r="CL3412" s="459" t="s">
        <v>885</v>
      </c>
      <c r="CM3412" s="459" t="s">
        <v>885</v>
      </c>
      <c r="CN3412" s="459" t="s">
        <v>885</v>
      </c>
      <c r="CO3412" s="459" t="s">
        <v>885</v>
      </c>
      <c r="CP3412" s="459" t="s">
        <v>885</v>
      </c>
      <c r="CQ3412" t="s">
        <v>1854</v>
      </c>
      <c r="CR3412" s="459" t="s">
        <v>885</v>
      </c>
      <c r="CS3412" s="459" t="s">
        <v>885</v>
      </c>
      <c r="CT3412" s="245" t="s">
        <v>885</v>
      </c>
      <c r="CU3412" s="463" t="s">
        <v>885</v>
      </c>
      <c r="CV3412" s="245" t="s">
        <v>885</v>
      </c>
      <c r="CW3412" s="245" t="s">
        <v>885</v>
      </c>
      <c r="CX3412" t="s">
        <v>1861</v>
      </c>
      <c r="CY3412" s="459" t="s">
        <v>885</v>
      </c>
      <c r="CZ3412" s="459" t="s">
        <v>885</v>
      </c>
      <c r="DA3412" s="459" t="s">
        <v>885</v>
      </c>
      <c r="DB3412" s="459" t="s">
        <v>885</v>
      </c>
      <c r="DC3412" s="459" t="s">
        <v>885</v>
      </c>
      <c r="DD3412" s="459" t="s">
        <v>885</v>
      </c>
      <c r="DE3412" s="459" t="s">
        <v>885</v>
      </c>
      <c r="DF3412" s="459" t="s">
        <v>885</v>
      </c>
      <c r="DG3412" s="459" t="s">
        <v>885</v>
      </c>
      <c r="DH3412" s="459" t="s">
        <v>885</v>
      </c>
      <c r="DI3412" s="459" t="s">
        <v>885</v>
      </c>
      <c r="DJ3412" s="459" t="s">
        <v>885</v>
      </c>
      <c r="DK3412" s="459" t="s">
        <v>885</v>
      </c>
      <c r="DL3412" s="459" t="s">
        <v>885</v>
      </c>
      <c r="DM3412" s="459" t="s">
        <v>885</v>
      </c>
      <c r="DN3412" s="459" t="s">
        <v>885</v>
      </c>
      <c r="DO3412" s="459" t="s">
        <v>885</v>
      </c>
      <c r="DP3412" t="s">
        <v>1551</v>
      </c>
      <c r="DQ3412" s="459" t="s">
        <v>885</v>
      </c>
      <c r="DR3412" s="459" t="s">
        <v>885</v>
      </c>
      <c r="DS3412" t="s">
        <v>3187</v>
      </c>
      <c r="DT3412" s="459" t="s">
        <v>885</v>
      </c>
      <c r="DU3412" s="459" t="s">
        <v>885</v>
      </c>
      <c r="DV3412" s="459" t="s">
        <v>885</v>
      </c>
      <c r="DW3412" s="245" t="s">
        <v>885</v>
      </c>
      <c r="DX3412" s="245" t="s">
        <v>885</v>
      </c>
      <c r="DY3412" s="245"/>
      <c r="DZ3412" s="470" t="str">
        <f>IF($B$265=$B$3278,EB3412,IF($B$265=$B$3279,ED3412,IF($B$265=$B$3280,EF3412,IF($B$265=$B$3281,EH3412,IF($B$265=$B$3282,EJ3412,IF($B$265=$B$3283,EL3412,IF($B$265=$B$3284,EN3412,IF($B$265=$B$3285,EP3412,IF($B$265=$B$3286,ER3412,IF($B$265=$B$3287,ET3412,IF($B$265=$B$3288,EV3412,IF($B$265=$B$3289,EX3412,IF($B$265=$B$3290,EZ3412,IF($B$265=$B$3291,FB3412,IF($B$265=$B$3292,FD3412,IF($B$265=$B$3293,BU3412,IF($B$265=$B$3294,FF3412,IF($B$265=$B$3295,FH3412,IF($B$265=$B$3296,FJ3412,IF($B$265=$B$3297,FL3412,IF($B$265=$B$3298,FN3412,IF($B$265=$B$3299,FP3412,IF(BI$265=$B$3300,FR3412,IF($B$265=$B$3301,FT3412,IF($B$265=$B$3302,FV3412,IF($B$265=$B$3303,FX3412,IF($B$265=$B$3304,FZ3412,IF($B$265=$B$3305,GB3412,IF($B$265=$B$3306,GD3412,IF($B$265=$B$3307,GF3412,IF($B$265=$B$3308,GH3412,IF($B$265=$B$3309,GJ3412,IF($B$265=$B$3310,GL3412,IF($B$265=$B$3311,GN3412,IF($B$265=$B$3312,GP3412,IF($B$265=$B$3313,GR3412,IF($B$265=$B$3314,GT3412,IF($B$265=$B$3315,GV3412,IF($B$265=$B$3316,GX3412,IF($B$265=$B$3317,GZ3412,IF($B$265=$B$3318,HB3412,IF($B$265=$B$3319,HD3412,IF($B$265=$B$3320,HF3412,IF($B$265=$B$3321,HH3412,IF($B$265=$B$3322,HJ3412,IF($B$265=$B$3323,HL3412,IF($B$265=$B$3324,HN3412,IF($B$265=$B$3325,HP3412,IF($B$265=$B$3326,HR3412,IF($B$265=$B$3327,HT3412,IF($B$265=$B$3328,HV3412,IF($B$265=$B$3329,HX3412,""))))))))))))))))))))))))))))))))))))))))))))))))))))</f>
        <v/>
      </c>
      <c r="EA3412" s="470" t="str">
        <f>IF($B$265=$B$3278,EC3412,IF($B$265=$B$3279,EE3412,IF($B$265=$B$3280,EG3412,IF($B$265=$B$3281,EI3412,IF($B$265=$B$3282,EK3412,IF($B$265=$B$3283,EM3412,IF($B$265=$B$3284,EO3412,IF($B$265=$B$3285,EQ3412,IF($B$265=$B$3286,ES3412,IF($B$265=$B$3287,EU3412,IF($B$265=$B$3288,EW3412,IF($B$265=$B$3289,EY3412,IF($B$265=$B$3290,FA3412,IF($B$265=$B$3291,FC3412,IF($B$265=$B$3292,FE3412,IF($B$265=$B$3293,BK3412,IF($B$265=$B$3294,FG3412,IF($B$265=$B$3295,FI3412,IF($B$265=$B$3296,FK3412,IF($B$265=$B$3297,FM3412,IF($B$265=$B$3298,FO3412,IF($B$265=$B$3299,FQ3412,IF(BJ$265=$B$3300,FS3412,IF($B$265=$B$3301,FU3412,IF($B$265=$B$3302,FW3412,IF($B$265=$B$3303,FY3412,IF($B$265=$B$3304,GA3412,IF($B$265=$B$3305,GC3412,IF($B$265=$B$3306,GE3412,IF($B$265=$B$3307,GG3412,IF($B$265=$B$3308,GI3412,IF($B$265=$B$3309,GK3412,IF($B$265=$B$3310,GM3412,IF($B$265=$B$3311,GO3412,IF($B$265=$B$3312,GQ3412,IF($B$265=$B$3313,GS3412,IF($B$265=$B$3314,GU3412,IF($B$265=$B$3315,GW3412,IF($B$265=$B$3316,GY3412,IF($B$265=$B$3317,HA3412,IF($B$265=$B$3318,HC3412,IF($B$265=$B$3319,HE3412,IF($B$265=$B$3320,HG3412,IF($B$265=$B$3321,HI3412,IF($B$265=$B$3322,HK3412,IF($B$265=$B$3323,HM3412,IF($B$265=$B$3324,HO3412,IF($B$265=$B$3325,HQ3412,IF($B$265=$B$3326,HS3412,IF($B$265=$B$3327,HU3412,IF($B$265=$B$3328,HW3412,IF($B$265=$B$3329,HY3412,""))))))))))))))))))))))))))))))))))))))))))))))))))))</f>
        <v/>
      </c>
    </row>
    <row r="3413" spans="1:131" ht="16" hidden="1" x14ac:dyDescent="0.4">
      <c r="A3413" s="813"/>
      <c r="BS3413" s="464" t="str">
        <f>IF($B$265=B$3278,BZ3412,IF($B$265=B$3279,CA3412,IF($B$265=B$3280,CB3412,IF($B$265=B$3281,CC3412,IF($B$265=B$3282,CD3412,IF($B$265=B$3283,CE3412,IF($B$265=B$3284,CF3412,IF($B$265=B$3285,CG3412,IF($B$265=B$3286,CH3412,IF($B$265=B$3287,CI3412,IF($B$265=B$3288,CJ3412,IF($B$265=B$3289,CK3412,IF($B$265=B$3290,CL3412,IF($B$265=B$3291,CM3412,IF($B$265=B$3292,CN3412,IF($B$265=B$3293,C3412,IF($B$265=B$3294,CO3412,IF($B$265=B$3295,CP3412,IF($B$265=B$3296,CQ3412,IF($B$265=B$3297,CR3412,IF($B$265=B$3298,CS3412,IF($B$265=B$3299,CT3412,IF(B$265=B$3300,CU3412,IF($B$265=B$3301,CV3412,IF($B$265=B$3302,CW3412,IF($B$265=B$3303,CX3412,IF($B$265=B$3304,CY3412,IF($B$265=B$3305,CZ3412,IF($B$265=B$3306,DA3412,IF($B$265=B$3307,DB3412,IF($B$265=B$3308,DC3412,IF($B$265=B$3309,DD3412,IF($B$265=B$3310,DE3412,IF($B$265=B$3311,DF3412,IF($B$265=B$3312,DG3412,IF($B$265=B$3313,DH3412,IF($B$265=B$3314,DI3412,IF($B$265=B$3315,DJ3412,IF($B$265=B$3316,DK3412,IF($B$265=B$3317,DL3412,IF($B$265=B$3318,DM3412,IF($B$265=B$3319,DN3412,IF($B$265=B$3320,DO3412,IF($B$265=B$3321,DP3412,IF($B$265=B$3322,DQ3412,IF($B$265=B$3323,DR3412,IF($B$265=B$3324,DS3412,IF($B$265=B$3325,DT3412,IF($B$265=B$3326,DU3412,IF($B$265=B$3327,DV3412,IF($B$265=B$3328,DW3412,IF($B$265=B$3329,DX3412,""))))))))))))))))))))))))))))))))))))))))))))))))))))</f>
        <v/>
      </c>
      <c r="BZ3413" s="245" t="s">
        <v>885</v>
      </c>
      <c r="CA3413" s="245" t="s">
        <v>885</v>
      </c>
      <c r="CC3413" s="245" t="s">
        <v>885</v>
      </c>
      <c r="CD3413" s="459" t="s">
        <v>885</v>
      </c>
      <c r="CE3413" s="459" t="s">
        <v>885</v>
      </c>
      <c r="CF3413" s="245" t="s">
        <v>885</v>
      </c>
      <c r="CG3413" s="245" t="s">
        <v>885</v>
      </c>
      <c r="CH3413" s="245" t="s">
        <v>885</v>
      </c>
      <c r="CI3413" s="245" t="s">
        <v>885</v>
      </c>
      <c r="CJ3413" t="s">
        <v>1567</v>
      </c>
      <c r="CK3413" s="459" t="s">
        <v>885</v>
      </c>
      <c r="CL3413" s="459" t="s">
        <v>885</v>
      </c>
      <c r="CM3413" s="459" t="s">
        <v>885</v>
      </c>
      <c r="CN3413" s="459" t="s">
        <v>885</v>
      </c>
      <c r="CO3413" s="459" t="s">
        <v>885</v>
      </c>
      <c r="CP3413" s="459" t="s">
        <v>885</v>
      </c>
      <c r="CQ3413" t="s">
        <v>1495</v>
      </c>
      <c r="CR3413" s="459" t="s">
        <v>885</v>
      </c>
      <c r="CS3413" s="459" t="s">
        <v>885</v>
      </c>
      <c r="CT3413" s="245" t="s">
        <v>885</v>
      </c>
      <c r="CU3413" s="463" t="s">
        <v>885</v>
      </c>
      <c r="CV3413" s="245" t="s">
        <v>885</v>
      </c>
      <c r="CW3413" s="245" t="s">
        <v>885</v>
      </c>
      <c r="CX3413" t="s">
        <v>2039</v>
      </c>
      <c r="CY3413" s="459" t="s">
        <v>885</v>
      </c>
      <c r="CZ3413" s="459" t="s">
        <v>885</v>
      </c>
      <c r="DA3413" s="459" t="s">
        <v>885</v>
      </c>
      <c r="DB3413" s="459" t="s">
        <v>885</v>
      </c>
      <c r="DC3413" s="459" t="s">
        <v>885</v>
      </c>
      <c r="DD3413" s="459" t="s">
        <v>885</v>
      </c>
      <c r="DE3413" s="459" t="s">
        <v>885</v>
      </c>
      <c r="DF3413" s="459" t="s">
        <v>885</v>
      </c>
      <c r="DG3413" s="459" t="s">
        <v>885</v>
      </c>
      <c r="DH3413" s="459" t="s">
        <v>885</v>
      </c>
      <c r="DI3413" s="459" t="s">
        <v>885</v>
      </c>
      <c r="DJ3413" s="459" t="s">
        <v>885</v>
      </c>
      <c r="DK3413" s="459" t="s">
        <v>885</v>
      </c>
      <c r="DL3413" s="459" t="s">
        <v>885</v>
      </c>
      <c r="DM3413" s="459" t="s">
        <v>885</v>
      </c>
      <c r="DN3413" s="459" t="s">
        <v>885</v>
      </c>
      <c r="DO3413" s="459" t="s">
        <v>885</v>
      </c>
      <c r="DP3413" t="s">
        <v>3001</v>
      </c>
      <c r="DQ3413" s="459" t="s">
        <v>885</v>
      </c>
      <c r="DR3413" s="459" t="s">
        <v>885</v>
      </c>
      <c r="DS3413" t="s">
        <v>3188</v>
      </c>
      <c r="DT3413" s="459" t="s">
        <v>885</v>
      </c>
      <c r="DU3413" s="459" t="s">
        <v>885</v>
      </c>
      <c r="DV3413" s="459" t="s">
        <v>885</v>
      </c>
      <c r="DW3413" s="245" t="s">
        <v>885</v>
      </c>
      <c r="DX3413" s="245" t="s">
        <v>885</v>
      </c>
      <c r="DY3413" s="245"/>
      <c r="DZ3413" s="470" t="str">
        <f>IF($B$265=$B$3278,EB3413,IF($B$265=$B$3279,ED3413,IF($B$265=$B$3280,EF3413,IF($B$265=$B$3281,EH3413,IF($B$265=$B$3282,EJ3413,IF($B$265=$B$3283,EL3413,IF($B$265=$B$3284,EN3413,IF($B$265=$B$3285,EP3413,IF($B$265=$B$3286,ER3413,IF($B$265=$B$3287,ET3413,IF($B$265=$B$3288,EV3413,IF($B$265=$B$3289,EX3413,IF($B$265=$B$3290,EZ3413,IF($B$265=$B$3291,FB3413,IF($B$265=$B$3292,FD3413,IF($B$265=$B$3293,BU3413,IF($B$265=$B$3294,FF3413,IF($B$265=$B$3295,FH3413,IF($B$265=$B$3296,FJ3413,IF($B$265=$B$3297,FL3413,IF($B$265=$B$3298,FN3413,IF($B$265=$B$3299,FP3413,IF(BI$265=$B$3300,FR3413,IF($B$265=$B$3301,FT3413,IF($B$265=$B$3302,FV3413,IF($B$265=$B$3303,FX3413,IF($B$265=$B$3304,FZ3413,IF($B$265=$B$3305,GB3413,IF($B$265=$B$3306,GD3413,IF($B$265=$B$3307,GF3413,IF($B$265=$B$3308,GH3413,IF($B$265=$B$3309,GJ3413,IF($B$265=$B$3310,GL3413,IF($B$265=$B$3311,GN3413,IF($B$265=$B$3312,GP3413,IF($B$265=$B$3313,GR3413,IF($B$265=$B$3314,GT3413,IF($B$265=$B$3315,GV3413,IF($B$265=$B$3316,GX3413,IF($B$265=$B$3317,GZ3413,IF($B$265=$B$3318,HB3413,IF($B$265=$B$3319,HD3413,IF($B$265=$B$3320,HF3413,IF($B$265=$B$3321,HH3413,IF($B$265=$B$3322,HJ3413,IF($B$265=$B$3323,HL3413,IF($B$265=$B$3324,HN3413,IF($B$265=$B$3325,HP3413,IF($B$265=$B$3326,HR3413,IF($B$265=$B$3327,HT3413,IF($B$265=$B$3328,HV3413,IF($B$265=$B$3329,HX3413,""))))))))))))))))))))))))))))))))))))))))))))))))))))</f>
        <v/>
      </c>
      <c r="EA3413" s="470" t="str">
        <f>IF($B$265=$B$3278,EC3413,IF($B$265=$B$3279,EE3413,IF($B$265=$B$3280,EG3413,IF($B$265=$B$3281,EI3413,IF($B$265=$B$3282,EK3413,IF($B$265=$B$3283,EM3413,IF($B$265=$B$3284,EO3413,IF($B$265=$B$3285,EQ3413,IF($B$265=$B$3286,ES3413,IF($B$265=$B$3287,EU3413,IF($B$265=$B$3288,EW3413,IF($B$265=$B$3289,EY3413,IF($B$265=$B$3290,FA3413,IF($B$265=$B$3291,FC3413,IF($B$265=$B$3292,FE3413,IF($B$265=$B$3293,BK3413,IF($B$265=$B$3294,FG3413,IF($B$265=$B$3295,FI3413,IF($B$265=$B$3296,FK3413,IF($B$265=$B$3297,FM3413,IF($B$265=$B$3298,FO3413,IF($B$265=$B$3299,FQ3413,IF(BJ$265=$B$3300,FS3413,IF($B$265=$B$3301,FU3413,IF($B$265=$B$3302,FW3413,IF($B$265=$B$3303,FY3413,IF($B$265=$B$3304,GA3413,IF($B$265=$B$3305,GC3413,IF($B$265=$B$3306,GE3413,IF($B$265=$B$3307,GG3413,IF($B$265=$B$3308,GI3413,IF($B$265=$B$3309,GK3413,IF($B$265=$B$3310,GM3413,IF($B$265=$B$3311,GO3413,IF($B$265=$B$3312,GQ3413,IF($B$265=$B$3313,GS3413,IF($B$265=$B$3314,GU3413,IF($B$265=$B$3315,GW3413,IF($B$265=$B$3316,GY3413,IF($B$265=$B$3317,HA3413,IF($B$265=$B$3318,HC3413,IF($B$265=$B$3319,HE3413,IF($B$265=$B$3320,HG3413,IF($B$265=$B$3321,HI3413,IF($B$265=$B$3322,HK3413,IF($B$265=$B$3323,HM3413,IF($B$265=$B$3324,HO3413,IF($B$265=$B$3325,HQ3413,IF($B$265=$B$3326,HS3413,IF($B$265=$B$3327,HU3413,IF($B$265=$B$3328,HW3413,IF($B$265=$B$3329,HY3413,""))))))))))))))))))))))))))))))))))))))))))))))))))))</f>
        <v/>
      </c>
    </row>
    <row r="3414" spans="1:131" ht="16" hidden="1" x14ac:dyDescent="0.4">
      <c r="A3414" s="813"/>
      <c r="BS3414" s="464" t="str">
        <f>IF($B$265=B$3278,BZ3413,IF($B$265=B$3279,CA3413,IF($B$265=B$3280,CB3413,IF($B$265=B$3281,CC3413,IF($B$265=B$3282,CD3413,IF($B$265=B$3283,CE3413,IF($B$265=B$3284,CF3413,IF($B$265=B$3285,CG3413,IF($B$265=B$3286,CH3413,IF($B$265=B$3287,CI3413,IF($B$265=B$3288,CJ3413,IF($B$265=B$3289,CK3413,IF($B$265=B$3290,CL3413,IF($B$265=B$3291,CM3413,IF($B$265=B$3292,CN3413,IF($B$265=B$3293,C3413,IF($B$265=B$3294,CO3413,IF($B$265=B$3295,CP3413,IF($B$265=B$3296,CQ3413,IF($B$265=B$3297,CR3413,IF($B$265=B$3298,CS3413,IF($B$265=B$3299,CT3413,IF(B$265=B$3300,CU3413,IF($B$265=B$3301,CV3413,IF($B$265=B$3302,CW3413,IF($B$265=B$3303,CX3413,IF($B$265=B$3304,CY3413,IF($B$265=B$3305,CZ3413,IF($B$265=B$3306,DA3413,IF($B$265=B$3307,DB3413,IF($B$265=B$3308,DC3413,IF($B$265=B$3309,DD3413,IF($B$265=B$3310,DE3413,IF($B$265=B$3311,DF3413,IF($B$265=B$3312,DG3413,IF($B$265=B$3313,DH3413,IF($B$265=B$3314,DI3413,IF($B$265=B$3315,DJ3413,IF($B$265=B$3316,DK3413,IF($B$265=B$3317,DL3413,IF($B$265=B$3318,DM3413,IF($B$265=B$3319,DN3413,IF($B$265=B$3320,DO3413,IF($B$265=B$3321,DP3413,IF($B$265=B$3322,DQ3413,IF($B$265=B$3323,DR3413,IF($B$265=B$3324,DS3413,IF($B$265=B$3325,DT3413,IF($B$265=B$3326,DU3413,IF($B$265=B$3327,DV3413,IF($B$265=B$3328,DW3413,IF($B$265=B$3329,DX3413,""))))))))))))))))))))))))))))))))))))))))))))))))))))</f>
        <v/>
      </c>
      <c r="BZ3414" s="245" t="s">
        <v>885</v>
      </c>
      <c r="CA3414" s="245" t="s">
        <v>885</v>
      </c>
      <c r="CC3414" s="245" t="s">
        <v>885</v>
      </c>
      <c r="CD3414" s="459" t="s">
        <v>885</v>
      </c>
      <c r="CE3414" s="459" t="s">
        <v>885</v>
      </c>
      <c r="CF3414" s="245" t="s">
        <v>885</v>
      </c>
      <c r="CG3414" s="245" t="s">
        <v>885</v>
      </c>
      <c r="CH3414" s="245" t="s">
        <v>885</v>
      </c>
      <c r="CI3414" s="245" t="s">
        <v>885</v>
      </c>
      <c r="CJ3414" t="s">
        <v>1570</v>
      </c>
      <c r="CK3414" s="459" t="s">
        <v>885</v>
      </c>
      <c r="CL3414" s="459" t="s">
        <v>885</v>
      </c>
      <c r="CM3414" s="459" t="s">
        <v>885</v>
      </c>
      <c r="CN3414" s="459" t="s">
        <v>885</v>
      </c>
      <c r="CO3414" s="459" t="s">
        <v>885</v>
      </c>
      <c r="CP3414" s="459" t="s">
        <v>885</v>
      </c>
      <c r="CQ3414" t="s">
        <v>1855</v>
      </c>
      <c r="CR3414" s="459" t="s">
        <v>885</v>
      </c>
      <c r="CS3414" s="459" t="s">
        <v>885</v>
      </c>
      <c r="CT3414" s="245" t="s">
        <v>885</v>
      </c>
      <c r="CU3414" s="463" t="s">
        <v>885</v>
      </c>
      <c r="CV3414" s="245" t="s">
        <v>885</v>
      </c>
      <c r="CW3414" s="245" t="s">
        <v>885</v>
      </c>
      <c r="CX3414" s="459" t="s">
        <v>885</v>
      </c>
      <c r="CY3414" s="459" t="s">
        <v>885</v>
      </c>
      <c r="CZ3414" s="459" t="s">
        <v>885</v>
      </c>
      <c r="DA3414" s="459" t="s">
        <v>885</v>
      </c>
      <c r="DB3414" s="459" t="s">
        <v>885</v>
      </c>
      <c r="DC3414" s="459" t="s">
        <v>885</v>
      </c>
      <c r="DD3414" s="459" t="s">
        <v>885</v>
      </c>
      <c r="DE3414" s="459" t="s">
        <v>885</v>
      </c>
      <c r="DF3414" s="459" t="s">
        <v>885</v>
      </c>
      <c r="DG3414" s="459" t="s">
        <v>885</v>
      </c>
      <c r="DH3414" s="459" t="s">
        <v>885</v>
      </c>
      <c r="DI3414" s="459" t="s">
        <v>885</v>
      </c>
      <c r="DJ3414" s="459" t="s">
        <v>885</v>
      </c>
      <c r="DK3414" s="459" t="s">
        <v>885</v>
      </c>
      <c r="DL3414" s="459" t="s">
        <v>885</v>
      </c>
      <c r="DM3414" s="459" t="s">
        <v>885</v>
      </c>
      <c r="DN3414" s="459" t="s">
        <v>885</v>
      </c>
      <c r="DO3414" s="459" t="s">
        <v>885</v>
      </c>
      <c r="DP3414" t="s">
        <v>3002</v>
      </c>
      <c r="DQ3414" s="459" t="s">
        <v>885</v>
      </c>
      <c r="DR3414" s="459" t="s">
        <v>885</v>
      </c>
      <c r="DS3414" t="s">
        <v>3189</v>
      </c>
      <c r="DT3414" s="459" t="s">
        <v>885</v>
      </c>
      <c r="DU3414" s="459" t="s">
        <v>885</v>
      </c>
      <c r="DV3414" s="459" t="s">
        <v>885</v>
      </c>
      <c r="DW3414" s="245" t="s">
        <v>885</v>
      </c>
      <c r="DX3414" s="245" t="s">
        <v>885</v>
      </c>
      <c r="DY3414" s="245"/>
      <c r="DZ3414" s="470" t="str">
        <f>IF($B$265=$B$3278,EB3414,IF($B$265=$B$3279,ED3414,IF($B$265=$B$3280,EF3414,IF($B$265=$B$3281,EH3414,IF($B$265=$B$3282,EJ3414,IF($B$265=$B$3283,EL3414,IF($B$265=$B$3284,EN3414,IF($B$265=$B$3285,EP3414,IF($B$265=$B$3286,ER3414,IF($B$265=$B$3287,ET3414,IF($B$265=$B$3288,EV3414,IF($B$265=$B$3289,EX3414,IF($B$265=$B$3290,EZ3414,IF($B$265=$B$3291,FB3414,IF($B$265=$B$3292,FD3414,IF($B$265=$B$3293,BU3414,IF($B$265=$B$3294,FF3414,IF($B$265=$B$3295,FH3414,IF($B$265=$B$3296,FJ3414,IF($B$265=$B$3297,FL3414,IF($B$265=$B$3298,FN3414,IF($B$265=$B$3299,FP3414,IF(BI$265=$B$3300,FR3414,IF($B$265=$B$3301,FT3414,IF($B$265=$B$3302,FV3414,IF($B$265=$B$3303,FX3414,IF($B$265=$B$3304,FZ3414,IF($B$265=$B$3305,GB3414,IF($B$265=$B$3306,GD3414,IF($B$265=$B$3307,GF3414,IF($B$265=$B$3308,GH3414,IF($B$265=$B$3309,GJ3414,IF($B$265=$B$3310,GL3414,IF($B$265=$B$3311,GN3414,IF($B$265=$B$3312,GP3414,IF($B$265=$B$3313,GR3414,IF($B$265=$B$3314,GT3414,IF($B$265=$B$3315,GV3414,IF($B$265=$B$3316,GX3414,IF($B$265=$B$3317,GZ3414,IF($B$265=$B$3318,HB3414,IF($B$265=$B$3319,HD3414,IF($B$265=$B$3320,HF3414,IF($B$265=$B$3321,HH3414,IF($B$265=$B$3322,HJ3414,IF($B$265=$B$3323,HL3414,IF($B$265=$B$3324,HN3414,IF($B$265=$B$3325,HP3414,IF($B$265=$B$3326,HR3414,IF($B$265=$B$3327,HT3414,IF($B$265=$B$3328,HV3414,IF($B$265=$B$3329,HX3414,""))))))))))))))))))))))))))))))))))))))))))))))))))))</f>
        <v/>
      </c>
      <c r="EA3414" s="470" t="str">
        <f>IF($B$265=$B$3278,EC3414,IF($B$265=$B$3279,EE3414,IF($B$265=$B$3280,EG3414,IF($B$265=$B$3281,EI3414,IF($B$265=$B$3282,EK3414,IF($B$265=$B$3283,EM3414,IF($B$265=$B$3284,EO3414,IF($B$265=$B$3285,EQ3414,IF($B$265=$B$3286,ES3414,IF($B$265=$B$3287,EU3414,IF($B$265=$B$3288,EW3414,IF($B$265=$B$3289,EY3414,IF($B$265=$B$3290,FA3414,IF($B$265=$B$3291,FC3414,IF($B$265=$B$3292,FE3414,IF($B$265=$B$3293,BK3414,IF($B$265=$B$3294,FG3414,IF($B$265=$B$3295,FI3414,IF($B$265=$B$3296,FK3414,IF($B$265=$B$3297,FM3414,IF($B$265=$B$3298,FO3414,IF($B$265=$B$3299,FQ3414,IF(BJ$265=$B$3300,FS3414,IF($B$265=$B$3301,FU3414,IF($B$265=$B$3302,FW3414,IF($B$265=$B$3303,FY3414,IF($B$265=$B$3304,GA3414,IF($B$265=$B$3305,GC3414,IF($B$265=$B$3306,GE3414,IF($B$265=$B$3307,GG3414,IF($B$265=$B$3308,GI3414,IF($B$265=$B$3309,GK3414,IF($B$265=$B$3310,GM3414,IF($B$265=$B$3311,GO3414,IF($B$265=$B$3312,GQ3414,IF($B$265=$B$3313,GS3414,IF($B$265=$B$3314,GU3414,IF($B$265=$B$3315,GW3414,IF($B$265=$B$3316,GY3414,IF($B$265=$B$3317,HA3414,IF($B$265=$B$3318,HC3414,IF($B$265=$B$3319,HE3414,IF($B$265=$B$3320,HG3414,IF($B$265=$B$3321,HI3414,IF($B$265=$B$3322,HK3414,IF($B$265=$B$3323,HM3414,IF($B$265=$B$3324,HO3414,IF($B$265=$B$3325,HQ3414,IF($B$265=$B$3326,HS3414,IF($B$265=$B$3327,HU3414,IF($B$265=$B$3328,HW3414,IF($B$265=$B$3329,HY3414,""))))))))))))))))))))))))))))))))))))))))))))))))))))</f>
        <v/>
      </c>
    </row>
    <row r="3415" spans="1:131" ht="16" hidden="1" x14ac:dyDescent="0.4">
      <c r="A3415" s="813"/>
      <c r="BS3415" s="464" t="str">
        <f>IF($B$265=B$3278,BZ3414,IF($B$265=B$3279,CA3414,IF($B$265=B$3280,CB3414,IF($B$265=B$3281,CC3414,IF($B$265=B$3282,CD3414,IF($B$265=B$3283,CE3414,IF($B$265=B$3284,CF3414,IF($B$265=B$3285,CG3414,IF($B$265=B$3286,CH3414,IF($B$265=B$3287,CI3414,IF($B$265=B$3288,CJ3414,IF($B$265=B$3289,CK3414,IF($B$265=B$3290,CL3414,IF($B$265=B$3291,CM3414,IF($B$265=B$3292,CN3414,IF($B$265=B$3293,C3414,IF($B$265=B$3294,CO3414,IF($B$265=B$3295,CP3414,IF($B$265=B$3296,CQ3414,IF($B$265=B$3297,CR3414,IF($B$265=B$3298,CS3414,IF($B$265=B$3299,CT3414,IF(B$265=B$3300,CU3414,IF($B$265=B$3301,CV3414,IF($B$265=B$3302,CW3414,IF($B$265=B$3303,CX3414,IF($B$265=B$3304,CY3414,IF($B$265=B$3305,CZ3414,IF($B$265=B$3306,DA3414,IF($B$265=B$3307,DB3414,IF($B$265=B$3308,DC3414,IF($B$265=B$3309,DD3414,IF($B$265=B$3310,DE3414,IF($B$265=B$3311,DF3414,IF($B$265=B$3312,DG3414,IF($B$265=B$3313,DH3414,IF($B$265=B$3314,DI3414,IF($B$265=B$3315,DJ3414,IF($B$265=B$3316,DK3414,IF($B$265=B$3317,DL3414,IF($B$265=B$3318,DM3414,IF($B$265=B$3319,DN3414,IF($B$265=B$3320,DO3414,IF($B$265=B$3321,DP3414,IF($B$265=B$3322,DQ3414,IF($B$265=B$3323,DR3414,IF($B$265=B$3324,DS3414,IF($B$265=B$3325,DT3414,IF($B$265=B$3326,DU3414,IF($B$265=B$3327,DV3414,IF($B$265=B$3328,DW3414,IF($B$265=B$3329,DX3414,""))))))))))))))))))))))))))))))))))))))))))))))))))))</f>
        <v/>
      </c>
      <c r="BZ3415" s="245" t="s">
        <v>885</v>
      </c>
      <c r="CA3415" s="245" t="s">
        <v>885</v>
      </c>
      <c r="CC3415" s="245" t="s">
        <v>885</v>
      </c>
      <c r="CD3415" s="459" t="s">
        <v>885</v>
      </c>
      <c r="CE3415" s="459" t="s">
        <v>885</v>
      </c>
      <c r="CF3415" s="245" t="s">
        <v>885</v>
      </c>
      <c r="CG3415" s="245" t="s">
        <v>885</v>
      </c>
      <c r="CH3415" s="245" t="s">
        <v>885</v>
      </c>
      <c r="CI3415" s="245" t="s">
        <v>885</v>
      </c>
      <c r="CJ3415" t="s">
        <v>1743</v>
      </c>
      <c r="CK3415" s="459" t="s">
        <v>885</v>
      </c>
      <c r="CL3415" s="459" t="s">
        <v>885</v>
      </c>
      <c r="CM3415" s="459" t="s">
        <v>885</v>
      </c>
      <c r="CN3415" s="459" t="s">
        <v>885</v>
      </c>
      <c r="CO3415" s="459" t="s">
        <v>885</v>
      </c>
      <c r="CP3415" s="459" t="s">
        <v>885</v>
      </c>
      <c r="CQ3415" t="s">
        <v>1856</v>
      </c>
      <c r="CR3415" s="459" t="s">
        <v>885</v>
      </c>
      <c r="CS3415" s="459" t="s">
        <v>885</v>
      </c>
      <c r="CT3415" s="245" t="s">
        <v>885</v>
      </c>
      <c r="CU3415" s="463" t="s">
        <v>885</v>
      </c>
      <c r="CV3415" s="245" t="s">
        <v>885</v>
      </c>
      <c r="CW3415" s="245" t="s">
        <v>885</v>
      </c>
      <c r="CX3415" s="459" t="s">
        <v>885</v>
      </c>
      <c r="CY3415" s="459" t="s">
        <v>885</v>
      </c>
      <c r="CZ3415" s="459" t="s">
        <v>885</v>
      </c>
      <c r="DA3415" s="459" t="s">
        <v>885</v>
      </c>
      <c r="DB3415" s="459" t="s">
        <v>885</v>
      </c>
      <c r="DC3415" s="459" t="s">
        <v>885</v>
      </c>
      <c r="DD3415" s="459" t="s">
        <v>885</v>
      </c>
      <c r="DE3415" s="459" t="s">
        <v>885</v>
      </c>
      <c r="DF3415" s="459" t="s">
        <v>885</v>
      </c>
      <c r="DG3415" s="459" t="s">
        <v>885</v>
      </c>
      <c r="DH3415" s="459" t="s">
        <v>885</v>
      </c>
      <c r="DI3415" s="459" t="s">
        <v>885</v>
      </c>
      <c r="DJ3415" s="459" t="s">
        <v>885</v>
      </c>
      <c r="DK3415" s="459" t="s">
        <v>885</v>
      </c>
      <c r="DL3415" s="459" t="s">
        <v>885</v>
      </c>
      <c r="DM3415" s="459" t="s">
        <v>885</v>
      </c>
      <c r="DN3415" s="459" t="s">
        <v>885</v>
      </c>
      <c r="DO3415" s="459" t="s">
        <v>885</v>
      </c>
      <c r="DP3415" t="s">
        <v>2885</v>
      </c>
      <c r="DQ3415" s="459" t="s">
        <v>885</v>
      </c>
      <c r="DR3415" s="459" t="s">
        <v>885</v>
      </c>
      <c r="DS3415" t="s">
        <v>3190</v>
      </c>
      <c r="DT3415" s="459" t="s">
        <v>885</v>
      </c>
      <c r="DU3415" s="459" t="s">
        <v>885</v>
      </c>
      <c r="DV3415" s="459" t="s">
        <v>885</v>
      </c>
      <c r="DW3415" s="245" t="s">
        <v>885</v>
      </c>
      <c r="DX3415" s="245" t="s">
        <v>885</v>
      </c>
      <c r="DY3415" s="245"/>
      <c r="DZ3415" s="470" t="str">
        <f>IF($B$265=$B$3278,EB3415,IF($B$265=$B$3279,ED3415,IF($B$265=$B$3280,EF3415,IF($B$265=$B$3281,EH3415,IF($B$265=$B$3282,EJ3415,IF($B$265=$B$3283,EL3415,IF($B$265=$B$3284,EN3415,IF($B$265=$B$3285,EP3415,IF($B$265=$B$3286,ER3415,IF($B$265=$B$3287,ET3415,IF($B$265=$B$3288,EV3415,IF($B$265=$B$3289,EX3415,IF($B$265=$B$3290,EZ3415,IF($B$265=$B$3291,FB3415,IF($B$265=$B$3292,FD3415,IF($B$265=$B$3293,BU3415,IF($B$265=$B$3294,FF3415,IF($B$265=$B$3295,FH3415,IF($B$265=$B$3296,FJ3415,IF($B$265=$B$3297,FL3415,IF($B$265=$B$3298,FN3415,IF($B$265=$B$3299,FP3415,IF(BI$265=$B$3300,FR3415,IF($B$265=$B$3301,FT3415,IF($B$265=$B$3302,FV3415,IF($B$265=$B$3303,FX3415,IF($B$265=$B$3304,FZ3415,IF($B$265=$B$3305,GB3415,IF($B$265=$B$3306,GD3415,IF($B$265=$B$3307,GF3415,IF($B$265=$B$3308,GH3415,IF($B$265=$B$3309,GJ3415,IF($B$265=$B$3310,GL3415,IF($B$265=$B$3311,GN3415,IF($B$265=$B$3312,GP3415,IF($B$265=$B$3313,GR3415,IF($B$265=$B$3314,GT3415,IF($B$265=$B$3315,GV3415,IF($B$265=$B$3316,GX3415,IF($B$265=$B$3317,GZ3415,IF($B$265=$B$3318,HB3415,IF($B$265=$B$3319,HD3415,IF($B$265=$B$3320,HF3415,IF($B$265=$B$3321,HH3415,IF($B$265=$B$3322,HJ3415,IF($B$265=$B$3323,HL3415,IF($B$265=$B$3324,HN3415,IF($B$265=$B$3325,HP3415,IF($B$265=$B$3326,HR3415,IF($B$265=$B$3327,HT3415,IF($B$265=$B$3328,HV3415,IF($B$265=$B$3329,HX3415,""))))))))))))))))))))))))))))))))))))))))))))))))))))</f>
        <v/>
      </c>
      <c r="EA3415" s="470" t="str">
        <f>IF($B$265=$B$3278,EC3415,IF($B$265=$B$3279,EE3415,IF($B$265=$B$3280,EG3415,IF($B$265=$B$3281,EI3415,IF($B$265=$B$3282,EK3415,IF($B$265=$B$3283,EM3415,IF($B$265=$B$3284,EO3415,IF($B$265=$B$3285,EQ3415,IF($B$265=$B$3286,ES3415,IF($B$265=$B$3287,EU3415,IF($B$265=$B$3288,EW3415,IF($B$265=$B$3289,EY3415,IF($B$265=$B$3290,FA3415,IF($B$265=$B$3291,FC3415,IF($B$265=$B$3292,FE3415,IF($B$265=$B$3293,BK3415,IF($B$265=$B$3294,FG3415,IF($B$265=$B$3295,FI3415,IF($B$265=$B$3296,FK3415,IF($B$265=$B$3297,FM3415,IF($B$265=$B$3298,FO3415,IF($B$265=$B$3299,FQ3415,IF(BJ$265=$B$3300,FS3415,IF($B$265=$B$3301,FU3415,IF($B$265=$B$3302,FW3415,IF($B$265=$B$3303,FY3415,IF($B$265=$B$3304,GA3415,IF($B$265=$B$3305,GC3415,IF($B$265=$B$3306,GE3415,IF($B$265=$B$3307,GG3415,IF($B$265=$B$3308,GI3415,IF($B$265=$B$3309,GK3415,IF($B$265=$B$3310,GM3415,IF($B$265=$B$3311,GO3415,IF($B$265=$B$3312,GQ3415,IF($B$265=$B$3313,GS3415,IF($B$265=$B$3314,GU3415,IF($B$265=$B$3315,GW3415,IF($B$265=$B$3316,GY3415,IF($B$265=$B$3317,HA3415,IF($B$265=$B$3318,HC3415,IF($B$265=$B$3319,HE3415,IF($B$265=$B$3320,HG3415,IF($B$265=$B$3321,HI3415,IF($B$265=$B$3322,HK3415,IF($B$265=$B$3323,HM3415,IF($B$265=$B$3324,HO3415,IF($B$265=$B$3325,HQ3415,IF($B$265=$B$3326,HS3415,IF($B$265=$B$3327,HU3415,IF($B$265=$B$3328,HW3415,IF($B$265=$B$3329,HY3415,""))))))))))))))))))))))))))))))))))))))))))))))))))))</f>
        <v/>
      </c>
    </row>
    <row r="3416" spans="1:131" ht="16" hidden="1" x14ac:dyDescent="0.4">
      <c r="A3416" s="813"/>
      <c r="BS3416" s="464" t="str">
        <f>IF($B$265=B$3278,BZ3415,IF($B$265=B$3279,CA3415,IF($B$265=B$3280,CB3415,IF($B$265=B$3281,CC3415,IF($B$265=B$3282,CD3415,IF($B$265=B$3283,CE3415,IF($B$265=B$3284,CF3415,IF($B$265=B$3285,CG3415,IF($B$265=B$3286,CH3415,IF($B$265=B$3287,CI3415,IF($B$265=B$3288,CJ3415,IF($B$265=B$3289,CK3415,IF($B$265=B$3290,CL3415,IF($B$265=B$3291,CM3415,IF($B$265=B$3292,CN3415,IF($B$265=B$3293,C3415,IF($B$265=B$3294,CO3415,IF($B$265=B$3295,CP3415,IF($B$265=B$3296,CQ3415,IF($B$265=B$3297,CR3415,IF($B$265=B$3298,CS3415,IF($B$265=B$3299,CT3415,IF(B$265=B$3300,CU3415,IF($B$265=B$3301,CV3415,IF($B$265=B$3302,CW3415,IF($B$265=B$3303,CX3415,IF($B$265=B$3304,CY3415,IF($B$265=B$3305,CZ3415,IF($B$265=B$3306,DA3415,IF($B$265=B$3307,DB3415,IF($B$265=B$3308,DC3415,IF($B$265=B$3309,DD3415,IF($B$265=B$3310,DE3415,IF($B$265=B$3311,DF3415,IF($B$265=B$3312,DG3415,IF($B$265=B$3313,DH3415,IF($B$265=B$3314,DI3415,IF($B$265=B$3315,DJ3415,IF($B$265=B$3316,DK3415,IF($B$265=B$3317,DL3415,IF($B$265=B$3318,DM3415,IF($B$265=B$3319,DN3415,IF($B$265=B$3320,DO3415,IF($B$265=B$3321,DP3415,IF($B$265=B$3322,DQ3415,IF($B$265=B$3323,DR3415,IF($B$265=B$3324,DS3415,IF($B$265=B$3325,DT3415,IF($B$265=B$3326,DU3415,IF($B$265=B$3327,DV3415,IF($B$265=B$3328,DW3415,IF($B$265=B$3329,DX3415,""))))))))))))))))))))))))))))))))))))))))))))))))))))</f>
        <v/>
      </c>
      <c r="BZ3416" s="245" t="s">
        <v>885</v>
      </c>
      <c r="CA3416" s="245" t="s">
        <v>885</v>
      </c>
      <c r="CC3416" s="245" t="s">
        <v>885</v>
      </c>
      <c r="CD3416" s="459" t="s">
        <v>885</v>
      </c>
      <c r="CE3416" s="459" t="s">
        <v>885</v>
      </c>
      <c r="CF3416" s="245" t="s">
        <v>885</v>
      </c>
      <c r="CG3416" s="245" t="s">
        <v>885</v>
      </c>
      <c r="CH3416" s="245" t="s">
        <v>885</v>
      </c>
      <c r="CI3416" s="245" t="s">
        <v>885</v>
      </c>
      <c r="CJ3416" t="s">
        <v>1830</v>
      </c>
      <c r="CK3416" s="459" t="s">
        <v>885</v>
      </c>
      <c r="CL3416" s="459" t="s">
        <v>885</v>
      </c>
      <c r="CM3416" s="459" t="s">
        <v>885</v>
      </c>
      <c r="CN3416" s="459" t="s">
        <v>885</v>
      </c>
      <c r="CO3416" s="459" t="s">
        <v>885</v>
      </c>
      <c r="CP3416" s="459" t="s">
        <v>885</v>
      </c>
      <c r="CQ3416" t="s">
        <v>1994</v>
      </c>
      <c r="CR3416" s="459" t="s">
        <v>885</v>
      </c>
      <c r="CS3416" s="459" t="s">
        <v>885</v>
      </c>
      <c r="CT3416" s="245" t="s">
        <v>885</v>
      </c>
      <c r="CU3416" s="463" t="s">
        <v>885</v>
      </c>
      <c r="CV3416" s="245" t="s">
        <v>885</v>
      </c>
      <c r="CW3416" s="245" t="s">
        <v>885</v>
      </c>
      <c r="CX3416" s="459" t="s">
        <v>885</v>
      </c>
      <c r="CY3416" s="459" t="s">
        <v>885</v>
      </c>
      <c r="CZ3416" s="459" t="s">
        <v>885</v>
      </c>
      <c r="DA3416" s="459" t="s">
        <v>885</v>
      </c>
      <c r="DB3416" s="459" t="s">
        <v>885</v>
      </c>
      <c r="DC3416" s="459" t="s">
        <v>885</v>
      </c>
      <c r="DD3416" s="459" t="s">
        <v>885</v>
      </c>
      <c r="DE3416" s="459" t="s">
        <v>885</v>
      </c>
      <c r="DF3416" s="459" t="s">
        <v>885</v>
      </c>
      <c r="DG3416" s="459" t="s">
        <v>885</v>
      </c>
      <c r="DH3416" s="459" t="s">
        <v>885</v>
      </c>
      <c r="DI3416" s="459" t="s">
        <v>885</v>
      </c>
      <c r="DJ3416" s="459" t="s">
        <v>885</v>
      </c>
      <c r="DK3416" s="459" t="s">
        <v>885</v>
      </c>
      <c r="DL3416" s="459" t="s">
        <v>885</v>
      </c>
      <c r="DM3416" s="459" t="s">
        <v>885</v>
      </c>
      <c r="DN3416" s="459" t="s">
        <v>885</v>
      </c>
      <c r="DO3416" s="459" t="s">
        <v>885</v>
      </c>
      <c r="DP3416" t="s">
        <v>3003</v>
      </c>
      <c r="DQ3416" s="459" t="s">
        <v>885</v>
      </c>
      <c r="DR3416" s="459" t="s">
        <v>885</v>
      </c>
      <c r="DS3416" t="s">
        <v>2096</v>
      </c>
      <c r="DT3416" s="459" t="s">
        <v>885</v>
      </c>
      <c r="DU3416" s="459" t="s">
        <v>885</v>
      </c>
      <c r="DV3416" s="459" t="s">
        <v>885</v>
      </c>
      <c r="DW3416" s="245" t="s">
        <v>885</v>
      </c>
      <c r="DX3416" s="245" t="s">
        <v>885</v>
      </c>
      <c r="DY3416" s="245"/>
      <c r="DZ3416" s="470" t="str">
        <f>IF($B$265=$B$3278,EB3416,IF($B$265=$B$3279,ED3416,IF($B$265=$B$3280,EF3416,IF($B$265=$B$3281,EH3416,IF($B$265=$B$3282,EJ3416,IF($B$265=$B$3283,EL3416,IF($B$265=$B$3284,EN3416,IF($B$265=$B$3285,EP3416,IF($B$265=$B$3286,ER3416,IF($B$265=$B$3287,ET3416,IF($B$265=$B$3288,EV3416,IF($B$265=$B$3289,EX3416,IF($B$265=$B$3290,EZ3416,IF($B$265=$B$3291,FB3416,IF($B$265=$B$3292,FD3416,IF($B$265=$B$3293,BU3416,IF($B$265=$B$3294,FF3416,IF($B$265=$B$3295,FH3416,IF($B$265=$B$3296,FJ3416,IF($B$265=$B$3297,FL3416,IF($B$265=$B$3298,FN3416,IF($B$265=$B$3299,FP3416,IF(BI$265=$B$3300,FR3416,IF($B$265=$B$3301,FT3416,IF($B$265=$B$3302,FV3416,IF($B$265=$B$3303,FX3416,IF($B$265=$B$3304,FZ3416,IF($B$265=$B$3305,GB3416,IF($B$265=$B$3306,GD3416,IF($B$265=$B$3307,GF3416,IF($B$265=$B$3308,GH3416,IF($B$265=$B$3309,GJ3416,IF($B$265=$B$3310,GL3416,IF($B$265=$B$3311,GN3416,IF($B$265=$B$3312,GP3416,IF($B$265=$B$3313,GR3416,IF($B$265=$B$3314,GT3416,IF($B$265=$B$3315,GV3416,IF($B$265=$B$3316,GX3416,IF($B$265=$B$3317,GZ3416,IF($B$265=$B$3318,HB3416,IF($B$265=$B$3319,HD3416,IF($B$265=$B$3320,HF3416,IF($B$265=$B$3321,HH3416,IF($B$265=$B$3322,HJ3416,IF($B$265=$B$3323,HL3416,IF($B$265=$B$3324,HN3416,IF($B$265=$B$3325,HP3416,IF($B$265=$B$3326,HR3416,IF($B$265=$B$3327,HT3416,IF($B$265=$B$3328,HV3416,IF($B$265=$B$3329,HX3416,""))))))))))))))))))))))))))))))))))))))))))))))))))))</f>
        <v/>
      </c>
      <c r="EA3416" s="470" t="str">
        <f>IF($B$265=$B$3278,EC3416,IF($B$265=$B$3279,EE3416,IF($B$265=$B$3280,EG3416,IF($B$265=$B$3281,EI3416,IF($B$265=$B$3282,EK3416,IF($B$265=$B$3283,EM3416,IF($B$265=$B$3284,EO3416,IF($B$265=$B$3285,EQ3416,IF($B$265=$B$3286,ES3416,IF($B$265=$B$3287,EU3416,IF($B$265=$B$3288,EW3416,IF($B$265=$B$3289,EY3416,IF($B$265=$B$3290,FA3416,IF($B$265=$B$3291,FC3416,IF($B$265=$B$3292,FE3416,IF($B$265=$B$3293,BK3416,IF($B$265=$B$3294,FG3416,IF($B$265=$B$3295,FI3416,IF($B$265=$B$3296,FK3416,IF($B$265=$B$3297,FM3416,IF($B$265=$B$3298,FO3416,IF($B$265=$B$3299,FQ3416,IF(BJ$265=$B$3300,FS3416,IF($B$265=$B$3301,FU3416,IF($B$265=$B$3302,FW3416,IF($B$265=$B$3303,FY3416,IF($B$265=$B$3304,GA3416,IF($B$265=$B$3305,GC3416,IF($B$265=$B$3306,GE3416,IF($B$265=$B$3307,GG3416,IF($B$265=$B$3308,GI3416,IF($B$265=$B$3309,GK3416,IF($B$265=$B$3310,GM3416,IF($B$265=$B$3311,GO3416,IF($B$265=$B$3312,GQ3416,IF($B$265=$B$3313,GS3416,IF($B$265=$B$3314,GU3416,IF($B$265=$B$3315,GW3416,IF($B$265=$B$3316,GY3416,IF($B$265=$B$3317,HA3416,IF($B$265=$B$3318,HC3416,IF($B$265=$B$3319,HE3416,IF($B$265=$B$3320,HG3416,IF($B$265=$B$3321,HI3416,IF($B$265=$B$3322,HK3416,IF($B$265=$B$3323,HM3416,IF($B$265=$B$3324,HO3416,IF($B$265=$B$3325,HQ3416,IF($B$265=$B$3326,HS3416,IF($B$265=$B$3327,HU3416,IF($B$265=$B$3328,HW3416,IF($B$265=$B$3329,HY3416,""))))))))))))))))))))))))))))))))))))))))))))))))))))</f>
        <v/>
      </c>
    </row>
    <row r="3417" spans="1:131" ht="16" hidden="1" x14ac:dyDescent="0.4">
      <c r="A3417" s="813"/>
      <c r="BS3417" s="464" t="str">
        <f>IF($B$265=B$3278,BZ3416,IF($B$265=B$3279,CA3416,IF($B$265=B$3280,CB3416,IF($B$265=B$3281,CC3416,IF($B$265=B$3282,CD3416,IF($B$265=B$3283,CE3416,IF($B$265=B$3284,CF3416,IF($B$265=B$3285,CG3416,IF($B$265=B$3286,CH3416,IF($B$265=B$3287,CI3416,IF($B$265=B$3288,CJ3416,IF($B$265=B$3289,CK3416,IF($B$265=B$3290,CL3416,IF($B$265=B$3291,CM3416,IF($B$265=B$3292,CN3416,IF($B$265=B$3293,C3416,IF($B$265=B$3294,CO3416,IF($B$265=B$3295,CP3416,IF($B$265=B$3296,CQ3416,IF($B$265=B$3297,CR3416,IF($B$265=B$3298,CS3416,IF($B$265=B$3299,CT3416,IF(B$265=B$3300,CU3416,IF($B$265=B$3301,CV3416,IF($B$265=B$3302,CW3416,IF($B$265=B$3303,CX3416,IF($B$265=B$3304,CY3416,IF($B$265=B$3305,CZ3416,IF($B$265=B$3306,DA3416,IF($B$265=B$3307,DB3416,IF($B$265=B$3308,DC3416,IF($B$265=B$3309,DD3416,IF($B$265=B$3310,DE3416,IF($B$265=B$3311,DF3416,IF($B$265=B$3312,DG3416,IF($B$265=B$3313,DH3416,IF($B$265=B$3314,DI3416,IF($B$265=B$3315,DJ3416,IF($B$265=B$3316,DK3416,IF($B$265=B$3317,DL3416,IF($B$265=B$3318,DM3416,IF($B$265=B$3319,DN3416,IF($B$265=B$3320,DO3416,IF($B$265=B$3321,DP3416,IF($B$265=B$3322,DQ3416,IF($B$265=B$3323,DR3416,IF($B$265=B$3324,DS3416,IF($B$265=B$3325,DT3416,IF($B$265=B$3326,DU3416,IF($B$265=B$3327,DV3416,IF($B$265=B$3328,DW3416,IF($B$265=B$3329,DX3416,""))))))))))))))))))))))))))))))))))))))))))))))))))))</f>
        <v/>
      </c>
      <c r="BZ3417" s="245" t="s">
        <v>885</v>
      </c>
      <c r="CA3417" s="245" t="s">
        <v>885</v>
      </c>
      <c r="CC3417" s="245" t="s">
        <v>885</v>
      </c>
      <c r="CD3417" s="459" t="s">
        <v>885</v>
      </c>
      <c r="CE3417" s="459" t="s">
        <v>885</v>
      </c>
      <c r="CF3417" s="245" t="s">
        <v>885</v>
      </c>
      <c r="CG3417" s="245" t="s">
        <v>885</v>
      </c>
      <c r="CH3417" s="245" t="s">
        <v>885</v>
      </c>
      <c r="CI3417" s="245" t="s">
        <v>885</v>
      </c>
      <c r="CJ3417" t="s">
        <v>1831</v>
      </c>
      <c r="CK3417" s="459" t="s">
        <v>885</v>
      </c>
      <c r="CL3417" s="459" t="s">
        <v>885</v>
      </c>
      <c r="CM3417" s="459" t="s">
        <v>885</v>
      </c>
      <c r="CN3417" s="459" t="s">
        <v>885</v>
      </c>
      <c r="CO3417" s="459" t="s">
        <v>885</v>
      </c>
      <c r="CP3417" s="459" t="s">
        <v>885</v>
      </c>
      <c r="CQ3417" t="s">
        <v>2161</v>
      </c>
      <c r="CR3417" s="459" t="s">
        <v>885</v>
      </c>
      <c r="CS3417" s="459" t="s">
        <v>885</v>
      </c>
      <c r="CT3417" s="245" t="s">
        <v>885</v>
      </c>
      <c r="CU3417" s="463" t="s">
        <v>885</v>
      </c>
      <c r="CV3417" s="245" t="s">
        <v>885</v>
      </c>
      <c r="CW3417" s="245" t="s">
        <v>885</v>
      </c>
      <c r="CX3417" s="459" t="s">
        <v>885</v>
      </c>
      <c r="CY3417" s="459" t="s">
        <v>885</v>
      </c>
      <c r="CZ3417" s="459" t="s">
        <v>885</v>
      </c>
      <c r="DA3417" s="459" t="s">
        <v>885</v>
      </c>
      <c r="DB3417" s="459" t="s">
        <v>885</v>
      </c>
      <c r="DC3417" s="459" t="s">
        <v>885</v>
      </c>
      <c r="DD3417" s="459" t="s">
        <v>885</v>
      </c>
      <c r="DE3417" s="459" t="s">
        <v>885</v>
      </c>
      <c r="DF3417" s="459" t="s">
        <v>885</v>
      </c>
      <c r="DG3417" s="459" t="s">
        <v>885</v>
      </c>
      <c r="DH3417" s="459" t="s">
        <v>885</v>
      </c>
      <c r="DI3417" s="459" t="s">
        <v>885</v>
      </c>
      <c r="DJ3417" s="459" t="s">
        <v>885</v>
      </c>
      <c r="DK3417" s="459" t="s">
        <v>885</v>
      </c>
      <c r="DL3417" s="459" t="s">
        <v>885</v>
      </c>
      <c r="DM3417" s="459" t="s">
        <v>885</v>
      </c>
      <c r="DN3417" s="459" t="s">
        <v>885</v>
      </c>
      <c r="DO3417" s="459" t="s">
        <v>885</v>
      </c>
      <c r="DP3417" t="s">
        <v>3004</v>
      </c>
      <c r="DQ3417" s="459" t="s">
        <v>885</v>
      </c>
      <c r="DR3417" s="459" t="s">
        <v>885</v>
      </c>
      <c r="DS3417" t="s">
        <v>3191</v>
      </c>
      <c r="DT3417" s="459" t="s">
        <v>885</v>
      </c>
      <c r="DU3417" s="459" t="s">
        <v>885</v>
      </c>
      <c r="DV3417" s="459" t="s">
        <v>885</v>
      </c>
      <c r="DW3417" s="245" t="s">
        <v>885</v>
      </c>
      <c r="DX3417" s="245" t="s">
        <v>885</v>
      </c>
      <c r="DY3417" s="245"/>
      <c r="DZ3417" s="470" t="str">
        <f>IF($B$265=$B$3278,EB3417,IF($B$265=$B$3279,ED3417,IF($B$265=$B$3280,EF3417,IF($B$265=$B$3281,EH3417,IF($B$265=$B$3282,EJ3417,IF($B$265=$B$3283,EL3417,IF($B$265=$B$3284,EN3417,IF($B$265=$B$3285,EP3417,IF($B$265=$B$3286,ER3417,IF($B$265=$B$3287,ET3417,IF($B$265=$B$3288,EV3417,IF($B$265=$B$3289,EX3417,IF($B$265=$B$3290,EZ3417,IF($B$265=$B$3291,FB3417,IF($B$265=$B$3292,FD3417,IF($B$265=$B$3293,BU3417,IF($B$265=$B$3294,FF3417,IF($B$265=$B$3295,FH3417,IF($B$265=$B$3296,FJ3417,IF($B$265=$B$3297,FL3417,IF($B$265=$B$3298,FN3417,IF($B$265=$B$3299,FP3417,IF(BI$265=$B$3300,FR3417,IF($B$265=$B$3301,FT3417,IF($B$265=$B$3302,FV3417,IF($B$265=$B$3303,FX3417,IF($B$265=$B$3304,FZ3417,IF($B$265=$B$3305,GB3417,IF($B$265=$B$3306,GD3417,IF($B$265=$B$3307,GF3417,IF($B$265=$B$3308,GH3417,IF($B$265=$B$3309,GJ3417,IF($B$265=$B$3310,GL3417,IF($B$265=$B$3311,GN3417,IF($B$265=$B$3312,GP3417,IF($B$265=$B$3313,GR3417,IF($B$265=$B$3314,GT3417,IF($B$265=$B$3315,GV3417,IF($B$265=$B$3316,GX3417,IF($B$265=$B$3317,GZ3417,IF($B$265=$B$3318,HB3417,IF($B$265=$B$3319,HD3417,IF($B$265=$B$3320,HF3417,IF($B$265=$B$3321,HH3417,IF($B$265=$B$3322,HJ3417,IF($B$265=$B$3323,HL3417,IF($B$265=$B$3324,HN3417,IF($B$265=$B$3325,HP3417,IF($B$265=$B$3326,HR3417,IF($B$265=$B$3327,HT3417,IF($B$265=$B$3328,HV3417,IF($B$265=$B$3329,HX3417,""))))))))))))))))))))))))))))))))))))))))))))))))))))</f>
        <v/>
      </c>
      <c r="EA3417" s="470" t="str">
        <f>IF($B$265=$B$3278,EC3417,IF($B$265=$B$3279,EE3417,IF($B$265=$B$3280,EG3417,IF($B$265=$B$3281,EI3417,IF($B$265=$B$3282,EK3417,IF($B$265=$B$3283,EM3417,IF($B$265=$B$3284,EO3417,IF($B$265=$B$3285,EQ3417,IF($B$265=$B$3286,ES3417,IF($B$265=$B$3287,EU3417,IF($B$265=$B$3288,EW3417,IF($B$265=$B$3289,EY3417,IF($B$265=$B$3290,FA3417,IF($B$265=$B$3291,FC3417,IF($B$265=$B$3292,FE3417,IF($B$265=$B$3293,BK3417,IF($B$265=$B$3294,FG3417,IF($B$265=$B$3295,FI3417,IF($B$265=$B$3296,FK3417,IF($B$265=$B$3297,FM3417,IF($B$265=$B$3298,FO3417,IF($B$265=$B$3299,FQ3417,IF(BJ$265=$B$3300,FS3417,IF($B$265=$B$3301,FU3417,IF($B$265=$B$3302,FW3417,IF($B$265=$B$3303,FY3417,IF($B$265=$B$3304,GA3417,IF($B$265=$B$3305,GC3417,IF($B$265=$B$3306,GE3417,IF($B$265=$B$3307,GG3417,IF($B$265=$B$3308,GI3417,IF($B$265=$B$3309,GK3417,IF($B$265=$B$3310,GM3417,IF($B$265=$B$3311,GO3417,IF($B$265=$B$3312,GQ3417,IF($B$265=$B$3313,GS3417,IF($B$265=$B$3314,GU3417,IF($B$265=$B$3315,GW3417,IF($B$265=$B$3316,GY3417,IF($B$265=$B$3317,HA3417,IF($B$265=$B$3318,HC3417,IF($B$265=$B$3319,HE3417,IF($B$265=$B$3320,HG3417,IF($B$265=$B$3321,HI3417,IF($B$265=$B$3322,HK3417,IF($B$265=$B$3323,HM3417,IF($B$265=$B$3324,HO3417,IF($B$265=$B$3325,HQ3417,IF($B$265=$B$3326,HS3417,IF($B$265=$B$3327,HU3417,IF($B$265=$B$3328,HW3417,IF($B$265=$B$3329,HY3417,""))))))))))))))))))))))))))))))))))))))))))))))))))))</f>
        <v/>
      </c>
    </row>
    <row r="3418" spans="1:131" ht="16" hidden="1" x14ac:dyDescent="0.4">
      <c r="A3418" s="813"/>
      <c r="BS3418" s="464" t="str">
        <f>IF($B$265=B$3278,BZ3417,IF($B$265=B$3279,CA3417,IF($B$265=B$3280,CB3417,IF($B$265=B$3281,CC3417,IF($B$265=B$3282,CD3417,IF($B$265=B$3283,CE3417,IF($B$265=B$3284,CF3417,IF($B$265=B$3285,CG3417,IF($B$265=B$3286,CH3417,IF($B$265=B$3287,CI3417,IF($B$265=B$3288,CJ3417,IF($B$265=B$3289,CK3417,IF($B$265=B$3290,CL3417,IF($B$265=B$3291,CM3417,IF($B$265=B$3292,CN3417,IF($B$265=B$3293,C3417,IF($B$265=B$3294,CO3417,IF($B$265=B$3295,CP3417,IF($B$265=B$3296,CQ3417,IF($B$265=B$3297,CR3417,IF($B$265=B$3298,CS3417,IF($B$265=B$3299,CT3417,IF(B$265=B$3300,CU3417,IF($B$265=B$3301,CV3417,IF($B$265=B$3302,CW3417,IF($B$265=B$3303,CX3417,IF($B$265=B$3304,CY3417,IF($B$265=B$3305,CZ3417,IF($B$265=B$3306,DA3417,IF($B$265=B$3307,DB3417,IF($B$265=B$3308,DC3417,IF($B$265=B$3309,DD3417,IF($B$265=B$3310,DE3417,IF($B$265=B$3311,DF3417,IF($B$265=B$3312,DG3417,IF($B$265=B$3313,DH3417,IF($B$265=B$3314,DI3417,IF($B$265=B$3315,DJ3417,IF($B$265=B$3316,DK3417,IF($B$265=B$3317,DL3417,IF($B$265=B$3318,DM3417,IF($B$265=B$3319,DN3417,IF($B$265=B$3320,DO3417,IF($B$265=B$3321,DP3417,IF($B$265=B$3322,DQ3417,IF($B$265=B$3323,DR3417,IF($B$265=B$3324,DS3417,IF($B$265=B$3325,DT3417,IF($B$265=B$3326,DU3417,IF($B$265=B$3327,DV3417,IF($B$265=B$3328,DW3417,IF($B$265=B$3329,DX3417,""))))))))))))))))))))))))))))))))))))))))))))))))))))</f>
        <v/>
      </c>
      <c r="BZ3418" s="245" t="s">
        <v>885</v>
      </c>
      <c r="CA3418" s="245" t="s">
        <v>885</v>
      </c>
      <c r="CC3418" s="245" t="s">
        <v>885</v>
      </c>
      <c r="CD3418" s="459" t="s">
        <v>885</v>
      </c>
      <c r="CE3418" s="459" t="s">
        <v>885</v>
      </c>
      <c r="CF3418" s="245" t="s">
        <v>885</v>
      </c>
      <c r="CG3418" s="245" t="s">
        <v>885</v>
      </c>
      <c r="CH3418" s="245" t="s">
        <v>885</v>
      </c>
      <c r="CI3418" s="245" t="s">
        <v>885</v>
      </c>
      <c r="CJ3418" t="s">
        <v>1486</v>
      </c>
      <c r="CK3418" s="459" t="s">
        <v>885</v>
      </c>
      <c r="CL3418" s="459" t="s">
        <v>885</v>
      </c>
      <c r="CM3418" s="459" t="s">
        <v>885</v>
      </c>
      <c r="CN3418" s="459" t="s">
        <v>885</v>
      </c>
      <c r="CO3418" s="459" t="s">
        <v>885</v>
      </c>
      <c r="CP3418" s="459" t="s">
        <v>885</v>
      </c>
      <c r="CQ3418" t="s">
        <v>1953</v>
      </c>
      <c r="CR3418" s="459" t="s">
        <v>885</v>
      </c>
      <c r="CS3418" s="459" t="s">
        <v>885</v>
      </c>
      <c r="CT3418" s="245" t="s">
        <v>885</v>
      </c>
      <c r="CU3418" s="463" t="s">
        <v>885</v>
      </c>
      <c r="CV3418" s="245" t="s">
        <v>885</v>
      </c>
      <c r="CW3418" s="245" t="s">
        <v>885</v>
      </c>
      <c r="CX3418" s="459" t="s">
        <v>885</v>
      </c>
      <c r="CY3418" s="459" t="s">
        <v>885</v>
      </c>
      <c r="CZ3418" s="459" t="s">
        <v>885</v>
      </c>
      <c r="DA3418" s="459" t="s">
        <v>885</v>
      </c>
      <c r="DB3418" s="459" t="s">
        <v>885</v>
      </c>
      <c r="DC3418" s="459" t="s">
        <v>885</v>
      </c>
      <c r="DD3418" s="459" t="s">
        <v>885</v>
      </c>
      <c r="DE3418" s="459" t="s">
        <v>885</v>
      </c>
      <c r="DF3418" s="459" t="s">
        <v>885</v>
      </c>
      <c r="DG3418" s="459" t="s">
        <v>885</v>
      </c>
      <c r="DH3418" s="459" t="s">
        <v>885</v>
      </c>
      <c r="DI3418" s="459" t="s">
        <v>885</v>
      </c>
      <c r="DJ3418" s="459" t="s">
        <v>885</v>
      </c>
      <c r="DK3418" s="459" t="s">
        <v>885</v>
      </c>
      <c r="DL3418" s="459" t="s">
        <v>885</v>
      </c>
      <c r="DM3418" s="459" t="s">
        <v>885</v>
      </c>
      <c r="DN3418" s="459" t="s">
        <v>885</v>
      </c>
      <c r="DO3418" s="459" t="s">
        <v>885</v>
      </c>
      <c r="DP3418" t="s">
        <v>1466</v>
      </c>
      <c r="DQ3418" s="459" t="s">
        <v>885</v>
      </c>
      <c r="DR3418" s="459" t="s">
        <v>885</v>
      </c>
      <c r="DS3418" t="s">
        <v>3192</v>
      </c>
      <c r="DT3418" s="459" t="s">
        <v>885</v>
      </c>
      <c r="DU3418" s="459" t="s">
        <v>885</v>
      </c>
      <c r="DV3418" s="459" t="s">
        <v>885</v>
      </c>
      <c r="DW3418" s="245" t="s">
        <v>885</v>
      </c>
      <c r="DX3418" s="245" t="s">
        <v>885</v>
      </c>
      <c r="DY3418" s="245"/>
      <c r="DZ3418" s="470" t="str">
        <f>IF($B$265=$B$3278,EB3418,IF($B$265=$B$3279,ED3418,IF($B$265=$B$3280,EF3418,IF($B$265=$B$3281,EH3418,IF($B$265=$B$3282,EJ3418,IF($B$265=$B$3283,EL3418,IF($B$265=$B$3284,EN3418,IF($B$265=$B$3285,EP3418,IF($B$265=$B$3286,ER3418,IF($B$265=$B$3287,ET3418,IF($B$265=$B$3288,EV3418,IF($B$265=$B$3289,EX3418,IF($B$265=$B$3290,EZ3418,IF($B$265=$B$3291,FB3418,IF($B$265=$B$3292,FD3418,IF($B$265=$B$3293,BU3418,IF($B$265=$B$3294,FF3418,IF($B$265=$B$3295,FH3418,IF($B$265=$B$3296,FJ3418,IF($B$265=$B$3297,FL3418,IF($B$265=$B$3298,FN3418,IF($B$265=$B$3299,FP3418,IF(BI$265=$B$3300,FR3418,IF($B$265=$B$3301,FT3418,IF($B$265=$B$3302,FV3418,IF($B$265=$B$3303,FX3418,IF($B$265=$B$3304,FZ3418,IF($B$265=$B$3305,GB3418,IF($B$265=$B$3306,GD3418,IF($B$265=$B$3307,GF3418,IF($B$265=$B$3308,GH3418,IF($B$265=$B$3309,GJ3418,IF($B$265=$B$3310,GL3418,IF($B$265=$B$3311,GN3418,IF($B$265=$B$3312,GP3418,IF($B$265=$B$3313,GR3418,IF($B$265=$B$3314,GT3418,IF($B$265=$B$3315,GV3418,IF($B$265=$B$3316,GX3418,IF($B$265=$B$3317,GZ3418,IF($B$265=$B$3318,HB3418,IF($B$265=$B$3319,HD3418,IF($B$265=$B$3320,HF3418,IF($B$265=$B$3321,HH3418,IF($B$265=$B$3322,HJ3418,IF($B$265=$B$3323,HL3418,IF($B$265=$B$3324,HN3418,IF($B$265=$B$3325,HP3418,IF($B$265=$B$3326,HR3418,IF($B$265=$B$3327,HT3418,IF($B$265=$B$3328,HV3418,IF($B$265=$B$3329,HX3418,""))))))))))))))))))))))))))))))))))))))))))))))))))))</f>
        <v/>
      </c>
      <c r="EA3418" s="470" t="str">
        <f>IF($B$265=$B$3278,EC3418,IF($B$265=$B$3279,EE3418,IF($B$265=$B$3280,EG3418,IF($B$265=$B$3281,EI3418,IF($B$265=$B$3282,EK3418,IF($B$265=$B$3283,EM3418,IF($B$265=$B$3284,EO3418,IF($B$265=$B$3285,EQ3418,IF($B$265=$B$3286,ES3418,IF($B$265=$B$3287,EU3418,IF($B$265=$B$3288,EW3418,IF($B$265=$B$3289,EY3418,IF($B$265=$B$3290,FA3418,IF($B$265=$B$3291,FC3418,IF($B$265=$B$3292,FE3418,IF($B$265=$B$3293,BK3418,IF($B$265=$B$3294,FG3418,IF($B$265=$B$3295,FI3418,IF($B$265=$B$3296,FK3418,IF($B$265=$B$3297,FM3418,IF($B$265=$B$3298,FO3418,IF($B$265=$B$3299,FQ3418,IF(BJ$265=$B$3300,FS3418,IF($B$265=$B$3301,FU3418,IF($B$265=$B$3302,FW3418,IF($B$265=$B$3303,FY3418,IF($B$265=$B$3304,GA3418,IF($B$265=$B$3305,GC3418,IF($B$265=$B$3306,GE3418,IF($B$265=$B$3307,GG3418,IF($B$265=$B$3308,GI3418,IF($B$265=$B$3309,GK3418,IF($B$265=$B$3310,GM3418,IF($B$265=$B$3311,GO3418,IF($B$265=$B$3312,GQ3418,IF($B$265=$B$3313,GS3418,IF($B$265=$B$3314,GU3418,IF($B$265=$B$3315,GW3418,IF($B$265=$B$3316,GY3418,IF($B$265=$B$3317,HA3418,IF($B$265=$B$3318,HC3418,IF($B$265=$B$3319,HE3418,IF($B$265=$B$3320,HG3418,IF($B$265=$B$3321,HI3418,IF($B$265=$B$3322,HK3418,IF($B$265=$B$3323,HM3418,IF($B$265=$B$3324,HO3418,IF($B$265=$B$3325,HQ3418,IF($B$265=$B$3326,HS3418,IF($B$265=$B$3327,HU3418,IF($B$265=$B$3328,HW3418,IF($B$265=$B$3329,HY3418,""))))))))))))))))))))))))))))))))))))))))))))))))))))</f>
        <v/>
      </c>
    </row>
    <row r="3419" spans="1:131" ht="16" hidden="1" x14ac:dyDescent="0.4">
      <c r="A3419" s="813"/>
      <c r="BS3419" s="464" t="str">
        <f>IF($B$265=B$3278,BZ3418,IF($B$265=B$3279,CA3418,IF($B$265=B$3280,CB3418,IF($B$265=B$3281,CC3418,IF($B$265=B$3282,CD3418,IF($B$265=B$3283,CE3418,IF($B$265=B$3284,CF3418,IF($B$265=B$3285,CG3418,IF($B$265=B$3286,CH3418,IF($B$265=B$3287,CI3418,IF($B$265=B$3288,CJ3418,IF($B$265=B$3289,CK3418,IF($B$265=B$3290,CL3418,IF($B$265=B$3291,CM3418,IF($B$265=B$3292,CN3418,IF($B$265=B$3293,C3418,IF($B$265=B$3294,CO3418,IF($B$265=B$3295,CP3418,IF($B$265=B$3296,CQ3418,IF($B$265=B$3297,CR3418,IF($B$265=B$3298,CS3418,IF($B$265=B$3299,CT3418,IF(B$265=B$3300,CU3418,IF($B$265=B$3301,CV3418,IF($B$265=B$3302,CW3418,IF($B$265=B$3303,CX3418,IF($B$265=B$3304,CY3418,IF($B$265=B$3305,CZ3418,IF($B$265=B$3306,DA3418,IF($B$265=B$3307,DB3418,IF($B$265=B$3308,DC3418,IF($B$265=B$3309,DD3418,IF($B$265=B$3310,DE3418,IF($B$265=B$3311,DF3418,IF($B$265=B$3312,DG3418,IF($B$265=B$3313,DH3418,IF($B$265=B$3314,DI3418,IF($B$265=B$3315,DJ3418,IF($B$265=B$3316,DK3418,IF($B$265=B$3317,DL3418,IF($B$265=B$3318,DM3418,IF($B$265=B$3319,DN3418,IF($B$265=B$3320,DO3418,IF($B$265=B$3321,DP3418,IF($B$265=B$3322,DQ3418,IF($B$265=B$3323,DR3418,IF($B$265=B$3324,DS3418,IF($B$265=B$3325,DT3418,IF($B$265=B$3326,DU3418,IF($B$265=B$3327,DV3418,IF($B$265=B$3328,DW3418,IF($B$265=B$3329,DX3418,""))))))))))))))))))))))))))))))))))))))))))))))))))))</f>
        <v/>
      </c>
      <c r="BZ3419" s="245" t="s">
        <v>885</v>
      </c>
      <c r="CA3419" s="245" t="s">
        <v>885</v>
      </c>
      <c r="CC3419" s="245" t="s">
        <v>885</v>
      </c>
      <c r="CD3419" s="459" t="s">
        <v>885</v>
      </c>
      <c r="CE3419" s="459" t="s">
        <v>885</v>
      </c>
      <c r="CF3419" s="245" t="s">
        <v>885</v>
      </c>
      <c r="CG3419" s="245" t="s">
        <v>885</v>
      </c>
      <c r="CH3419" s="245" t="s">
        <v>885</v>
      </c>
      <c r="CI3419" s="245" t="s">
        <v>885</v>
      </c>
      <c r="CJ3419" t="s">
        <v>1832</v>
      </c>
      <c r="CK3419" s="459" t="s">
        <v>885</v>
      </c>
      <c r="CL3419" s="459" t="s">
        <v>885</v>
      </c>
      <c r="CM3419" s="459" t="s">
        <v>885</v>
      </c>
      <c r="CN3419" s="459" t="s">
        <v>885</v>
      </c>
      <c r="CO3419" s="459" t="s">
        <v>885</v>
      </c>
      <c r="CP3419" s="459" t="s">
        <v>885</v>
      </c>
      <c r="CQ3419" s="459" t="s">
        <v>885</v>
      </c>
      <c r="CR3419" s="459" t="s">
        <v>885</v>
      </c>
      <c r="CS3419" s="459" t="s">
        <v>885</v>
      </c>
      <c r="CT3419" s="245" t="s">
        <v>885</v>
      </c>
      <c r="CU3419" s="463" t="s">
        <v>885</v>
      </c>
      <c r="CV3419" s="245" t="s">
        <v>885</v>
      </c>
      <c r="CW3419" s="245" t="s">
        <v>885</v>
      </c>
      <c r="CX3419" s="459" t="s">
        <v>885</v>
      </c>
      <c r="CY3419" s="459" t="s">
        <v>885</v>
      </c>
      <c r="CZ3419" s="459" t="s">
        <v>885</v>
      </c>
      <c r="DA3419" s="459" t="s">
        <v>885</v>
      </c>
      <c r="DB3419" s="459" t="s">
        <v>885</v>
      </c>
      <c r="DC3419" s="459" t="s">
        <v>885</v>
      </c>
      <c r="DD3419" s="459" t="s">
        <v>885</v>
      </c>
      <c r="DE3419" s="459" t="s">
        <v>885</v>
      </c>
      <c r="DF3419" s="459" t="s">
        <v>885</v>
      </c>
      <c r="DG3419" s="459" t="s">
        <v>885</v>
      </c>
      <c r="DH3419" s="459" t="s">
        <v>885</v>
      </c>
      <c r="DI3419" s="459" t="s">
        <v>885</v>
      </c>
      <c r="DJ3419" s="459" t="s">
        <v>885</v>
      </c>
      <c r="DK3419" s="459" t="s">
        <v>885</v>
      </c>
      <c r="DL3419" s="459" t="s">
        <v>885</v>
      </c>
      <c r="DM3419" s="459" t="s">
        <v>885</v>
      </c>
      <c r="DN3419" s="459" t="s">
        <v>885</v>
      </c>
      <c r="DO3419" s="459" t="s">
        <v>885</v>
      </c>
      <c r="DP3419" t="s">
        <v>1811</v>
      </c>
      <c r="DQ3419" s="459" t="s">
        <v>885</v>
      </c>
      <c r="DR3419" s="459" t="s">
        <v>885</v>
      </c>
      <c r="DS3419" t="s">
        <v>2671</v>
      </c>
      <c r="DT3419" s="459" t="s">
        <v>885</v>
      </c>
      <c r="DU3419" s="459" t="s">
        <v>885</v>
      </c>
      <c r="DV3419" s="459" t="s">
        <v>885</v>
      </c>
      <c r="DW3419" s="245" t="s">
        <v>885</v>
      </c>
      <c r="DX3419" s="245" t="s">
        <v>885</v>
      </c>
      <c r="DY3419" s="245"/>
      <c r="DZ3419" s="470" t="str">
        <f>IF($B$265=$B$3278,EB3419,IF($B$265=$B$3279,ED3419,IF($B$265=$B$3280,EF3419,IF($B$265=$B$3281,EH3419,IF($B$265=$B$3282,EJ3419,IF($B$265=$B$3283,EL3419,IF($B$265=$B$3284,EN3419,IF($B$265=$B$3285,EP3419,IF($B$265=$B$3286,ER3419,IF($B$265=$B$3287,ET3419,IF($B$265=$B$3288,EV3419,IF($B$265=$B$3289,EX3419,IF($B$265=$B$3290,EZ3419,IF($B$265=$B$3291,FB3419,IF($B$265=$B$3292,FD3419,IF($B$265=$B$3293,BU3419,IF($B$265=$B$3294,FF3419,IF($B$265=$B$3295,FH3419,IF($B$265=$B$3296,FJ3419,IF($B$265=$B$3297,FL3419,IF($B$265=$B$3298,FN3419,IF($B$265=$B$3299,FP3419,IF(BI$265=$B$3300,FR3419,IF($B$265=$B$3301,FT3419,IF($B$265=$B$3302,FV3419,IF($B$265=$B$3303,FX3419,IF($B$265=$B$3304,FZ3419,IF($B$265=$B$3305,GB3419,IF($B$265=$B$3306,GD3419,IF($B$265=$B$3307,GF3419,IF($B$265=$B$3308,GH3419,IF($B$265=$B$3309,GJ3419,IF($B$265=$B$3310,GL3419,IF($B$265=$B$3311,GN3419,IF($B$265=$B$3312,GP3419,IF($B$265=$B$3313,GR3419,IF($B$265=$B$3314,GT3419,IF($B$265=$B$3315,GV3419,IF($B$265=$B$3316,GX3419,IF($B$265=$B$3317,GZ3419,IF($B$265=$B$3318,HB3419,IF($B$265=$B$3319,HD3419,IF($B$265=$B$3320,HF3419,IF($B$265=$B$3321,HH3419,IF($B$265=$B$3322,HJ3419,IF($B$265=$B$3323,HL3419,IF($B$265=$B$3324,HN3419,IF($B$265=$B$3325,HP3419,IF($B$265=$B$3326,HR3419,IF($B$265=$B$3327,HT3419,IF($B$265=$B$3328,HV3419,IF($B$265=$B$3329,HX3419,""))))))))))))))))))))))))))))))))))))))))))))))))))))</f>
        <v/>
      </c>
      <c r="EA3419" s="470" t="str">
        <f>IF($B$265=$B$3278,EC3419,IF($B$265=$B$3279,EE3419,IF($B$265=$B$3280,EG3419,IF($B$265=$B$3281,EI3419,IF($B$265=$B$3282,EK3419,IF($B$265=$B$3283,EM3419,IF($B$265=$B$3284,EO3419,IF($B$265=$B$3285,EQ3419,IF($B$265=$B$3286,ES3419,IF($B$265=$B$3287,EU3419,IF($B$265=$B$3288,EW3419,IF($B$265=$B$3289,EY3419,IF($B$265=$B$3290,FA3419,IF($B$265=$B$3291,FC3419,IF($B$265=$B$3292,FE3419,IF($B$265=$B$3293,BK3419,IF($B$265=$B$3294,FG3419,IF($B$265=$B$3295,FI3419,IF($B$265=$B$3296,FK3419,IF($B$265=$B$3297,FM3419,IF($B$265=$B$3298,FO3419,IF($B$265=$B$3299,FQ3419,IF(BJ$265=$B$3300,FS3419,IF($B$265=$B$3301,FU3419,IF($B$265=$B$3302,FW3419,IF($B$265=$B$3303,FY3419,IF($B$265=$B$3304,GA3419,IF($B$265=$B$3305,GC3419,IF($B$265=$B$3306,GE3419,IF($B$265=$B$3307,GG3419,IF($B$265=$B$3308,GI3419,IF($B$265=$B$3309,GK3419,IF($B$265=$B$3310,GM3419,IF($B$265=$B$3311,GO3419,IF($B$265=$B$3312,GQ3419,IF($B$265=$B$3313,GS3419,IF($B$265=$B$3314,GU3419,IF($B$265=$B$3315,GW3419,IF($B$265=$B$3316,GY3419,IF($B$265=$B$3317,HA3419,IF($B$265=$B$3318,HC3419,IF($B$265=$B$3319,HE3419,IF($B$265=$B$3320,HG3419,IF($B$265=$B$3321,HI3419,IF($B$265=$B$3322,HK3419,IF($B$265=$B$3323,HM3419,IF($B$265=$B$3324,HO3419,IF($B$265=$B$3325,HQ3419,IF($B$265=$B$3326,HS3419,IF($B$265=$B$3327,HU3419,IF($B$265=$B$3328,HW3419,IF($B$265=$B$3329,HY3419,""))))))))))))))))))))))))))))))))))))))))))))))))))))</f>
        <v/>
      </c>
    </row>
    <row r="3420" spans="1:131" ht="16" hidden="1" x14ac:dyDescent="0.4">
      <c r="A3420" s="813"/>
      <c r="BS3420" s="464" t="str">
        <f>IF($B$265=B$3278,BZ3419,IF($B$265=B$3279,CA3419,IF($B$265=B$3280,CB3419,IF($B$265=B$3281,CC3419,IF($B$265=B$3282,CD3419,IF($B$265=B$3283,CE3419,IF($B$265=B$3284,CF3419,IF($B$265=B$3285,CG3419,IF($B$265=B$3286,CH3419,IF($B$265=B$3287,CI3419,IF($B$265=B$3288,CJ3419,IF($B$265=B$3289,CK3419,IF($B$265=B$3290,CL3419,IF($B$265=B$3291,CM3419,IF($B$265=B$3292,CN3419,IF($B$265=B$3293,C3419,IF($B$265=B$3294,CO3419,IF($B$265=B$3295,CP3419,IF($B$265=B$3296,CQ3419,IF($B$265=B$3297,CR3419,IF($B$265=B$3298,CS3419,IF($B$265=B$3299,CT3419,IF(B$265=B$3300,CU3419,IF($B$265=B$3301,CV3419,IF($B$265=B$3302,CW3419,IF($B$265=B$3303,CX3419,IF($B$265=B$3304,CY3419,IF($B$265=B$3305,CZ3419,IF($B$265=B$3306,DA3419,IF($B$265=B$3307,DB3419,IF($B$265=B$3308,DC3419,IF($B$265=B$3309,DD3419,IF($B$265=B$3310,DE3419,IF($B$265=B$3311,DF3419,IF($B$265=B$3312,DG3419,IF($B$265=B$3313,DH3419,IF($B$265=B$3314,DI3419,IF($B$265=B$3315,DJ3419,IF($B$265=B$3316,DK3419,IF($B$265=B$3317,DL3419,IF($B$265=B$3318,DM3419,IF($B$265=B$3319,DN3419,IF($B$265=B$3320,DO3419,IF($B$265=B$3321,DP3419,IF($B$265=B$3322,DQ3419,IF($B$265=B$3323,DR3419,IF($B$265=B$3324,DS3419,IF($B$265=B$3325,DT3419,IF($B$265=B$3326,DU3419,IF($B$265=B$3327,DV3419,IF($B$265=B$3328,DW3419,IF($B$265=B$3329,DX3419,""))))))))))))))))))))))))))))))))))))))))))))))))))))</f>
        <v/>
      </c>
      <c r="BZ3420" s="245" t="s">
        <v>885</v>
      </c>
      <c r="CA3420" s="245" t="s">
        <v>885</v>
      </c>
      <c r="CC3420" s="245" t="s">
        <v>885</v>
      </c>
      <c r="CD3420" s="459" t="s">
        <v>885</v>
      </c>
      <c r="CE3420" s="459" t="s">
        <v>885</v>
      </c>
      <c r="CF3420" s="245" t="s">
        <v>885</v>
      </c>
      <c r="CG3420" s="245" t="s">
        <v>885</v>
      </c>
      <c r="CH3420" s="245" t="s">
        <v>885</v>
      </c>
      <c r="CI3420" s="245" t="s">
        <v>885</v>
      </c>
      <c r="CJ3420" t="s">
        <v>1833</v>
      </c>
      <c r="CK3420" s="459" t="s">
        <v>885</v>
      </c>
      <c r="CL3420" s="459" t="s">
        <v>885</v>
      </c>
      <c r="CM3420" s="459" t="s">
        <v>885</v>
      </c>
      <c r="CN3420" s="459" t="s">
        <v>885</v>
      </c>
      <c r="CO3420" s="459" t="s">
        <v>885</v>
      </c>
      <c r="CP3420" s="459" t="s">
        <v>885</v>
      </c>
      <c r="CQ3420" s="459" t="s">
        <v>885</v>
      </c>
      <c r="CR3420" s="459" t="s">
        <v>885</v>
      </c>
      <c r="CS3420" s="459" t="s">
        <v>885</v>
      </c>
      <c r="CT3420" s="245" t="s">
        <v>885</v>
      </c>
      <c r="CU3420" s="463" t="s">
        <v>885</v>
      </c>
      <c r="CV3420" s="245" t="s">
        <v>885</v>
      </c>
      <c r="CW3420" s="245" t="s">
        <v>885</v>
      </c>
      <c r="CX3420" s="459" t="s">
        <v>885</v>
      </c>
      <c r="CY3420" s="459" t="s">
        <v>885</v>
      </c>
      <c r="CZ3420" s="459" t="s">
        <v>885</v>
      </c>
      <c r="DA3420" s="459" t="s">
        <v>885</v>
      </c>
      <c r="DB3420" s="459" t="s">
        <v>885</v>
      </c>
      <c r="DC3420" s="459" t="s">
        <v>885</v>
      </c>
      <c r="DD3420" s="459" t="s">
        <v>885</v>
      </c>
      <c r="DE3420" s="459" t="s">
        <v>885</v>
      </c>
      <c r="DF3420" s="459" t="s">
        <v>885</v>
      </c>
      <c r="DG3420" s="459" t="s">
        <v>885</v>
      </c>
      <c r="DH3420" s="459" t="s">
        <v>885</v>
      </c>
      <c r="DI3420" s="459" t="s">
        <v>885</v>
      </c>
      <c r="DJ3420" s="459" t="s">
        <v>885</v>
      </c>
      <c r="DK3420" s="459" t="s">
        <v>885</v>
      </c>
      <c r="DL3420" s="459" t="s">
        <v>885</v>
      </c>
      <c r="DM3420" s="459" t="s">
        <v>885</v>
      </c>
      <c r="DN3420" s="459" t="s">
        <v>885</v>
      </c>
      <c r="DO3420" s="459" t="s">
        <v>885</v>
      </c>
      <c r="DP3420" t="s">
        <v>1812</v>
      </c>
      <c r="DQ3420" s="459" t="s">
        <v>885</v>
      </c>
      <c r="DR3420" s="459" t="s">
        <v>885</v>
      </c>
      <c r="DS3420" t="s">
        <v>1704</v>
      </c>
      <c r="DT3420" s="459" t="s">
        <v>885</v>
      </c>
      <c r="DU3420" s="459" t="s">
        <v>885</v>
      </c>
      <c r="DV3420" s="459" t="s">
        <v>885</v>
      </c>
      <c r="DW3420" s="245" t="s">
        <v>885</v>
      </c>
      <c r="DX3420" s="245" t="s">
        <v>885</v>
      </c>
      <c r="DY3420" s="245"/>
      <c r="DZ3420" s="470" t="str">
        <f>IF($B$265=$B$3278,EB3420,IF($B$265=$B$3279,ED3420,IF($B$265=$B$3280,EF3420,IF($B$265=$B$3281,EH3420,IF($B$265=$B$3282,EJ3420,IF($B$265=$B$3283,EL3420,IF($B$265=$B$3284,EN3420,IF($B$265=$B$3285,EP3420,IF($B$265=$B$3286,ER3420,IF($B$265=$B$3287,ET3420,IF($B$265=$B$3288,EV3420,IF($B$265=$B$3289,EX3420,IF($B$265=$B$3290,EZ3420,IF($B$265=$B$3291,FB3420,IF($B$265=$B$3292,FD3420,IF($B$265=$B$3293,BU3420,IF($B$265=$B$3294,FF3420,IF($B$265=$B$3295,FH3420,IF($B$265=$B$3296,FJ3420,IF($B$265=$B$3297,FL3420,IF($B$265=$B$3298,FN3420,IF($B$265=$B$3299,FP3420,IF(BI$265=$B$3300,FR3420,IF($B$265=$B$3301,FT3420,IF($B$265=$B$3302,FV3420,IF($B$265=$B$3303,FX3420,IF($B$265=$B$3304,FZ3420,IF($B$265=$B$3305,GB3420,IF($B$265=$B$3306,GD3420,IF($B$265=$B$3307,GF3420,IF($B$265=$B$3308,GH3420,IF($B$265=$B$3309,GJ3420,IF($B$265=$B$3310,GL3420,IF($B$265=$B$3311,GN3420,IF($B$265=$B$3312,GP3420,IF($B$265=$B$3313,GR3420,IF($B$265=$B$3314,GT3420,IF($B$265=$B$3315,GV3420,IF($B$265=$B$3316,GX3420,IF($B$265=$B$3317,GZ3420,IF($B$265=$B$3318,HB3420,IF($B$265=$B$3319,HD3420,IF($B$265=$B$3320,HF3420,IF($B$265=$B$3321,HH3420,IF($B$265=$B$3322,HJ3420,IF($B$265=$B$3323,HL3420,IF($B$265=$B$3324,HN3420,IF($B$265=$B$3325,HP3420,IF($B$265=$B$3326,HR3420,IF($B$265=$B$3327,HT3420,IF($B$265=$B$3328,HV3420,IF($B$265=$B$3329,HX3420,""))))))))))))))))))))))))))))))))))))))))))))))))))))</f>
        <v/>
      </c>
      <c r="EA3420" s="470" t="str">
        <f>IF($B$265=$B$3278,EC3420,IF($B$265=$B$3279,EE3420,IF($B$265=$B$3280,EG3420,IF($B$265=$B$3281,EI3420,IF($B$265=$B$3282,EK3420,IF($B$265=$B$3283,EM3420,IF($B$265=$B$3284,EO3420,IF($B$265=$B$3285,EQ3420,IF($B$265=$B$3286,ES3420,IF($B$265=$B$3287,EU3420,IF($B$265=$B$3288,EW3420,IF($B$265=$B$3289,EY3420,IF($B$265=$B$3290,FA3420,IF($B$265=$B$3291,FC3420,IF($B$265=$B$3292,FE3420,IF($B$265=$B$3293,BK3420,IF($B$265=$B$3294,FG3420,IF($B$265=$B$3295,FI3420,IF($B$265=$B$3296,FK3420,IF($B$265=$B$3297,FM3420,IF($B$265=$B$3298,FO3420,IF($B$265=$B$3299,FQ3420,IF(BJ$265=$B$3300,FS3420,IF($B$265=$B$3301,FU3420,IF($B$265=$B$3302,FW3420,IF($B$265=$B$3303,FY3420,IF($B$265=$B$3304,GA3420,IF($B$265=$B$3305,GC3420,IF($B$265=$B$3306,GE3420,IF($B$265=$B$3307,GG3420,IF($B$265=$B$3308,GI3420,IF($B$265=$B$3309,GK3420,IF($B$265=$B$3310,GM3420,IF($B$265=$B$3311,GO3420,IF($B$265=$B$3312,GQ3420,IF($B$265=$B$3313,GS3420,IF($B$265=$B$3314,GU3420,IF($B$265=$B$3315,GW3420,IF($B$265=$B$3316,GY3420,IF($B$265=$B$3317,HA3420,IF($B$265=$B$3318,HC3420,IF($B$265=$B$3319,HE3420,IF($B$265=$B$3320,HG3420,IF($B$265=$B$3321,HI3420,IF($B$265=$B$3322,HK3420,IF($B$265=$B$3323,HM3420,IF($B$265=$B$3324,HO3420,IF($B$265=$B$3325,HQ3420,IF($B$265=$B$3326,HS3420,IF($B$265=$B$3327,HU3420,IF($B$265=$B$3328,HW3420,IF($B$265=$B$3329,HY3420,""))))))))))))))))))))))))))))))))))))))))))))))))))))</f>
        <v/>
      </c>
    </row>
    <row r="3421" spans="1:131" ht="16" hidden="1" x14ac:dyDescent="0.4">
      <c r="A3421" s="813"/>
      <c r="BS3421" s="464" t="str">
        <f>IF($B$265=B$3278,BZ3420,IF($B$265=B$3279,CA3420,IF($B$265=B$3280,CB3420,IF($B$265=B$3281,CC3420,IF($B$265=B$3282,CD3420,IF($B$265=B$3283,CE3420,IF($B$265=B$3284,CF3420,IF($B$265=B$3285,CG3420,IF($B$265=B$3286,CH3420,IF($B$265=B$3287,CI3420,IF($B$265=B$3288,CJ3420,IF($B$265=B$3289,CK3420,IF($B$265=B$3290,CL3420,IF($B$265=B$3291,CM3420,IF($B$265=B$3292,CN3420,IF($B$265=B$3293,C3420,IF($B$265=B$3294,CO3420,IF($B$265=B$3295,CP3420,IF($B$265=B$3296,CQ3420,IF($B$265=B$3297,CR3420,IF($B$265=B$3298,CS3420,IF($B$265=B$3299,CT3420,IF(B$265=B$3300,CU3420,IF($B$265=B$3301,CV3420,IF($B$265=B$3302,CW3420,IF($B$265=B$3303,CX3420,IF($B$265=B$3304,CY3420,IF($B$265=B$3305,CZ3420,IF($B$265=B$3306,DA3420,IF($B$265=B$3307,DB3420,IF($B$265=B$3308,DC3420,IF($B$265=B$3309,DD3420,IF($B$265=B$3310,DE3420,IF($B$265=B$3311,DF3420,IF($B$265=B$3312,DG3420,IF($B$265=B$3313,DH3420,IF($B$265=B$3314,DI3420,IF($B$265=B$3315,DJ3420,IF($B$265=B$3316,DK3420,IF($B$265=B$3317,DL3420,IF($B$265=B$3318,DM3420,IF($B$265=B$3319,DN3420,IF($B$265=B$3320,DO3420,IF($B$265=B$3321,DP3420,IF($B$265=B$3322,DQ3420,IF($B$265=B$3323,DR3420,IF($B$265=B$3324,DS3420,IF($B$265=B$3325,DT3420,IF($B$265=B$3326,DU3420,IF($B$265=B$3327,DV3420,IF($B$265=B$3328,DW3420,IF($B$265=B$3329,DX3420,""))))))))))))))))))))))))))))))))))))))))))))))))))))</f>
        <v/>
      </c>
      <c r="BZ3421" s="245" t="s">
        <v>885</v>
      </c>
      <c r="CA3421" s="245" t="s">
        <v>885</v>
      </c>
      <c r="CC3421" s="245" t="s">
        <v>885</v>
      </c>
      <c r="CD3421" s="459" t="s">
        <v>885</v>
      </c>
      <c r="CE3421" s="459" t="s">
        <v>885</v>
      </c>
      <c r="CF3421" s="245" t="s">
        <v>885</v>
      </c>
      <c r="CG3421" s="245" t="s">
        <v>885</v>
      </c>
      <c r="CH3421" s="245" t="s">
        <v>885</v>
      </c>
      <c r="CI3421" s="245" t="s">
        <v>885</v>
      </c>
      <c r="CJ3421" t="s">
        <v>1834</v>
      </c>
      <c r="CK3421" s="459" t="s">
        <v>885</v>
      </c>
      <c r="CL3421" s="459" t="s">
        <v>885</v>
      </c>
      <c r="CM3421" s="459" t="s">
        <v>885</v>
      </c>
      <c r="CN3421" s="459" t="s">
        <v>885</v>
      </c>
      <c r="CO3421" s="459" t="s">
        <v>885</v>
      </c>
      <c r="CP3421" s="459" t="s">
        <v>885</v>
      </c>
      <c r="CQ3421" s="459" t="s">
        <v>885</v>
      </c>
      <c r="CR3421" s="459" t="s">
        <v>885</v>
      </c>
      <c r="CS3421" s="459" t="s">
        <v>885</v>
      </c>
      <c r="CT3421" s="245" t="s">
        <v>885</v>
      </c>
      <c r="CU3421" s="463" t="s">
        <v>885</v>
      </c>
      <c r="CV3421" s="245" t="s">
        <v>885</v>
      </c>
      <c r="CW3421" s="245" t="s">
        <v>885</v>
      </c>
      <c r="CX3421" s="459" t="s">
        <v>885</v>
      </c>
      <c r="CY3421" s="459" t="s">
        <v>885</v>
      </c>
      <c r="CZ3421" s="459" t="s">
        <v>885</v>
      </c>
      <c r="DA3421" s="459" t="s">
        <v>885</v>
      </c>
      <c r="DB3421" s="459" t="s">
        <v>885</v>
      </c>
      <c r="DC3421" s="459" t="s">
        <v>885</v>
      </c>
      <c r="DD3421" s="459" t="s">
        <v>885</v>
      </c>
      <c r="DE3421" s="459" t="s">
        <v>885</v>
      </c>
      <c r="DF3421" s="459" t="s">
        <v>885</v>
      </c>
      <c r="DG3421" s="459" t="s">
        <v>885</v>
      </c>
      <c r="DH3421" s="459" t="s">
        <v>885</v>
      </c>
      <c r="DI3421" s="459" t="s">
        <v>885</v>
      </c>
      <c r="DJ3421" s="459" t="s">
        <v>885</v>
      </c>
      <c r="DK3421" s="459" t="s">
        <v>885</v>
      </c>
      <c r="DL3421" s="459" t="s">
        <v>885</v>
      </c>
      <c r="DM3421" s="459" t="s">
        <v>885</v>
      </c>
      <c r="DN3421" s="459" t="s">
        <v>885</v>
      </c>
      <c r="DO3421" s="459" t="s">
        <v>885</v>
      </c>
      <c r="DP3421" t="s">
        <v>1467</v>
      </c>
      <c r="DQ3421" s="459" t="s">
        <v>885</v>
      </c>
      <c r="DR3421" s="459" t="s">
        <v>885</v>
      </c>
      <c r="DS3421" t="s">
        <v>1946</v>
      </c>
      <c r="DT3421" s="459" t="s">
        <v>885</v>
      </c>
      <c r="DU3421" s="459" t="s">
        <v>885</v>
      </c>
      <c r="DV3421" s="459" t="s">
        <v>885</v>
      </c>
      <c r="DW3421" s="245" t="s">
        <v>885</v>
      </c>
      <c r="DX3421" s="245" t="s">
        <v>885</v>
      </c>
      <c r="DY3421" s="245"/>
      <c r="DZ3421" s="470" t="str">
        <f>IF($B$265=$B$3278,EB3421,IF($B$265=$B$3279,ED3421,IF($B$265=$B$3280,EF3421,IF($B$265=$B$3281,EH3421,IF($B$265=$B$3282,EJ3421,IF($B$265=$B$3283,EL3421,IF($B$265=$B$3284,EN3421,IF($B$265=$B$3285,EP3421,IF($B$265=$B$3286,ER3421,IF($B$265=$B$3287,ET3421,IF($B$265=$B$3288,EV3421,IF($B$265=$B$3289,EX3421,IF($B$265=$B$3290,EZ3421,IF($B$265=$B$3291,FB3421,IF($B$265=$B$3292,FD3421,IF($B$265=$B$3293,BU3421,IF($B$265=$B$3294,FF3421,IF($B$265=$B$3295,FH3421,IF($B$265=$B$3296,FJ3421,IF($B$265=$B$3297,FL3421,IF($B$265=$B$3298,FN3421,IF($B$265=$B$3299,FP3421,IF(BI$265=$B$3300,FR3421,IF($B$265=$B$3301,FT3421,IF($B$265=$B$3302,FV3421,IF($B$265=$B$3303,FX3421,IF($B$265=$B$3304,FZ3421,IF($B$265=$B$3305,GB3421,IF($B$265=$B$3306,GD3421,IF($B$265=$B$3307,GF3421,IF($B$265=$B$3308,GH3421,IF($B$265=$B$3309,GJ3421,IF($B$265=$B$3310,GL3421,IF($B$265=$B$3311,GN3421,IF($B$265=$B$3312,GP3421,IF($B$265=$B$3313,GR3421,IF($B$265=$B$3314,GT3421,IF($B$265=$B$3315,GV3421,IF($B$265=$B$3316,GX3421,IF($B$265=$B$3317,GZ3421,IF($B$265=$B$3318,HB3421,IF($B$265=$B$3319,HD3421,IF($B$265=$B$3320,HF3421,IF($B$265=$B$3321,HH3421,IF($B$265=$B$3322,HJ3421,IF($B$265=$B$3323,HL3421,IF($B$265=$B$3324,HN3421,IF($B$265=$B$3325,HP3421,IF($B$265=$B$3326,HR3421,IF($B$265=$B$3327,HT3421,IF($B$265=$B$3328,HV3421,IF($B$265=$B$3329,HX3421,""))))))))))))))))))))))))))))))))))))))))))))))))))))</f>
        <v/>
      </c>
      <c r="EA3421" s="470" t="str">
        <f>IF($B$265=$B$3278,EC3421,IF($B$265=$B$3279,EE3421,IF($B$265=$B$3280,EG3421,IF($B$265=$B$3281,EI3421,IF($B$265=$B$3282,EK3421,IF($B$265=$B$3283,EM3421,IF($B$265=$B$3284,EO3421,IF($B$265=$B$3285,EQ3421,IF($B$265=$B$3286,ES3421,IF($B$265=$B$3287,EU3421,IF($B$265=$B$3288,EW3421,IF($B$265=$B$3289,EY3421,IF($B$265=$B$3290,FA3421,IF($B$265=$B$3291,FC3421,IF($B$265=$B$3292,FE3421,IF($B$265=$B$3293,BK3421,IF($B$265=$B$3294,FG3421,IF($B$265=$B$3295,FI3421,IF($B$265=$B$3296,FK3421,IF($B$265=$B$3297,FM3421,IF($B$265=$B$3298,FO3421,IF($B$265=$B$3299,FQ3421,IF(BJ$265=$B$3300,FS3421,IF($B$265=$B$3301,FU3421,IF($B$265=$B$3302,FW3421,IF($B$265=$B$3303,FY3421,IF($B$265=$B$3304,GA3421,IF($B$265=$B$3305,GC3421,IF($B$265=$B$3306,GE3421,IF($B$265=$B$3307,GG3421,IF($B$265=$B$3308,GI3421,IF($B$265=$B$3309,GK3421,IF($B$265=$B$3310,GM3421,IF($B$265=$B$3311,GO3421,IF($B$265=$B$3312,GQ3421,IF($B$265=$B$3313,GS3421,IF($B$265=$B$3314,GU3421,IF($B$265=$B$3315,GW3421,IF($B$265=$B$3316,GY3421,IF($B$265=$B$3317,HA3421,IF($B$265=$B$3318,HC3421,IF($B$265=$B$3319,HE3421,IF($B$265=$B$3320,HG3421,IF($B$265=$B$3321,HI3421,IF($B$265=$B$3322,HK3421,IF($B$265=$B$3323,HM3421,IF($B$265=$B$3324,HO3421,IF($B$265=$B$3325,HQ3421,IF($B$265=$B$3326,HS3421,IF($B$265=$B$3327,HU3421,IF($B$265=$B$3328,HW3421,IF($B$265=$B$3329,HY3421,""))))))))))))))))))))))))))))))))))))))))))))))))))))</f>
        <v/>
      </c>
    </row>
    <row r="3422" spans="1:131" ht="16" hidden="1" x14ac:dyDescent="0.4">
      <c r="A3422" s="813"/>
      <c r="BS3422" s="464" t="str">
        <f>IF($B$265=B$3278,BZ3421,IF($B$265=B$3279,CA3421,IF($B$265=B$3280,CB3421,IF($B$265=B$3281,CC3421,IF($B$265=B$3282,CD3421,IF($B$265=B$3283,CE3421,IF($B$265=B$3284,CF3421,IF($B$265=B$3285,CG3421,IF($B$265=B$3286,CH3421,IF($B$265=B$3287,CI3421,IF($B$265=B$3288,CJ3421,IF($B$265=B$3289,CK3421,IF($B$265=B$3290,CL3421,IF($B$265=B$3291,CM3421,IF($B$265=B$3292,CN3421,IF($B$265=B$3293,C3421,IF($B$265=B$3294,CO3421,IF($B$265=B$3295,CP3421,IF($B$265=B$3296,CQ3421,IF($B$265=B$3297,CR3421,IF($B$265=B$3298,CS3421,IF($B$265=B$3299,CT3421,IF(B$265=B$3300,CU3421,IF($B$265=B$3301,CV3421,IF($B$265=B$3302,CW3421,IF($B$265=B$3303,CX3421,IF($B$265=B$3304,CY3421,IF($B$265=B$3305,CZ3421,IF($B$265=B$3306,DA3421,IF($B$265=B$3307,DB3421,IF($B$265=B$3308,DC3421,IF($B$265=B$3309,DD3421,IF($B$265=B$3310,DE3421,IF($B$265=B$3311,DF3421,IF($B$265=B$3312,DG3421,IF($B$265=B$3313,DH3421,IF($B$265=B$3314,DI3421,IF($B$265=B$3315,DJ3421,IF($B$265=B$3316,DK3421,IF($B$265=B$3317,DL3421,IF($B$265=B$3318,DM3421,IF($B$265=B$3319,DN3421,IF($B$265=B$3320,DO3421,IF($B$265=B$3321,DP3421,IF($B$265=B$3322,DQ3421,IF($B$265=B$3323,DR3421,IF($B$265=B$3324,DS3421,IF($B$265=B$3325,DT3421,IF($B$265=B$3326,DU3421,IF($B$265=B$3327,DV3421,IF($B$265=B$3328,DW3421,IF($B$265=B$3329,DX3421,""))))))))))))))))))))))))))))))))))))))))))))))))))))</f>
        <v/>
      </c>
      <c r="BZ3422" s="245" t="s">
        <v>885</v>
      </c>
      <c r="CA3422" s="245" t="s">
        <v>885</v>
      </c>
      <c r="CC3422" s="245" t="s">
        <v>885</v>
      </c>
      <c r="CD3422" s="459" t="s">
        <v>885</v>
      </c>
      <c r="CE3422" s="459" t="s">
        <v>885</v>
      </c>
      <c r="CF3422" s="245" t="s">
        <v>885</v>
      </c>
      <c r="CG3422" s="245" t="s">
        <v>885</v>
      </c>
      <c r="CH3422" s="245" t="s">
        <v>885</v>
      </c>
      <c r="CI3422" s="245" t="s">
        <v>885</v>
      </c>
      <c r="CJ3422" t="s">
        <v>1835</v>
      </c>
      <c r="CK3422" s="459" t="s">
        <v>885</v>
      </c>
      <c r="CL3422" s="459" t="s">
        <v>885</v>
      </c>
      <c r="CM3422" s="459" t="s">
        <v>885</v>
      </c>
      <c r="CN3422" s="459" t="s">
        <v>885</v>
      </c>
      <c r="CO3422" s="459" t="s">
        <v>885</v>
      </c>
      <c r="CP3422" s="459" t="s">
        <v>885</v>
      </c>
      <c r="CQ3422" s="459" t="s">
        <v>885</v>
      </c>
      <c r="CR3422" s="459" t="s">
        <v>885</v>
      </c>
      <c r="CS3422" s="459" t="s">
        <v>885</v>
      </c>
      <c r="CT3422" s="245" t="s">
        <v>885</v>
      </c>
      <c r="CU3422" s="463" t="s">
        <v>885</v>
      </c>
      <c r="CV3422" s="245" t="s">
        <v>885</v>
      </c>
      <c r="CW3422" s="245" t="s">
        <v>885</v>
      </c>
      <c r="CX3422" s="459" t="s">
        <v>885</v>
      </c>
      <c r="CY3422" s="459" t="s">
        <v>885</v>
      </c>
      <c r="CZ3422" s="459" t="s">
        <v>885</v>
      </c>
      <c r="DA3422" s="459" t="s">
        <v>885</v>
      </c>
      <c r="DB3422" s="459" t="s">
        <v>885</v>
      </c>
      <c r="DC3422" s="459" t="s">
        <v>885</v>
      </c>
      <c r="DD3422" s="459" t="s">
        <v>885</v>
      </c>
      <c r="DE3422" s="459" t="s">
        <v>885</v>
      </c>
      <c r="DF3422" s="459" t="s">
        <v>885</v>
      </c>
      <c r="DG3422" s="459" t="s">
        <v>885</v>
      </c>
      <c r="DH3422" s="459" t="s">
        <v>885</v>
      </c>
      <c r="DI3422" s="459" t="s">
        <v>885</v>
      </c>
      <c r="DJ3422" s="459" t="s">
        <v>885</v>
      </c>
      <c r="DK3422" s="459" t="s">
        <v>885</v>
      </c>
      <c r="DL3422" s="459" t="s">
        <v>885</v>
      </c>
      <c r="DM3422" s="459" t="s">
        <v>885</v>
      </c>
      <c r="DN3422" s="459" t="s">
        <v>885</v>
      </c>
      <c r="DO3422" s="459" t="s">
        <v>885</v>
      </c>
      <c r="DP3422" t="s">
        <v>3005</v>
      </c>
      <c r="DQ3422" s="459" t="s">
        <v>885</v>
      </c>
      <c r="DR3422" s="459" t="s">
        <v>885</v>
      </c>
      <c r="DS3422" t="s">
        <v>3193</v>
      </c>
      <c r="DT3422" s="459" t="s">
        <v>885</v>
      </c>
      <c r="DU3422" s="459" t="s">
        <v>885</v>
      </c>
      <c r="DV3422" s="459" t="s">
        <v>885</v>
      </c>
      <c r="DW3422" s="245" t="s">
        <v>885</v>
      </c>
      <c r="DX3422" s="245" t="s">
        <v>885</v>
      </c>
      <c r="DY3422" s="245"/>
      <c r="DZ3422" s="470" t="str">
        <f>IF($B$265=$B$3278,EB3422,IF($B$265=$B$3279,ED3422,IF($B$265=$B$3280,EF3422,IF($B$265=$B$3281,EH3422,IF($B$265=$B$3282,EJ3422,IF($B$265=$B$3283,EL3422,IF($B$265=$B$3284,EN3422,IF($B$265=$B$3285,EP3422,IF($B$265=$B$3286,ER3422,IF($B$265=$B$3287,ET3422,IF($B$265=$B$3288,EV3422,IF($B$265=$B$3289,EX3422,IF($B$265=$B$3290,EZ3422,IF($B$265=$B$3291,FB3422,IF($B$265=$B$3292,FD3422,IF($B$265=$B$3293,BU3422,IF($B$265=$B$3294,FF3422,IF($B$265=$B$3295,FH3422,IF($B$265=$B$3296,FJ3422,IF($B$265=$B$3297,FL3422,IF($B$265=$B$3298,FN3422,IF($B$265=$B$3299,FP3422,IF(BI$265=$B$3300,FR3422,IF($B$265=$B$3301,FT3422,IF($B$265=$B$3302,FV3422,IF($B$265=$B$3303,FX3422,IF($B$265=$B$3304,FZ3422,IF($B$265=$B$3305,GB3422,IF($B$265=$B$3306,GD3422,IF($B$265=$B$3307,GF3422,IF($B$265=$B$3308,GH3422,IF($B$265=$B$3309,GJ3422,IF($B$265=$B$3310,GL3422,IF($B$265=$B$3311,GN3422,IF($B$265=$B$3312,GP3422,IF($B$265=$B$3313,GR3422,IF($B$265=$B$3314,GT3422,IF($B$265=$B$3315,GV3422,IF($B$265=$B$3316,GX3422,IF($B$265=$B$3317,GZ3422,IF($B$265=$B$3318,HB3422,IF($B$265=$B$3319,HD3422,IF($B$265=$B$3320,HF3422,IF($B$265=$B$3321,HH3422,IF($B$265=$B$3322,HJ3422,IF($B$265=$B$3323,HL3422,IF($B$265=$B$3324,HN3422,IF($B$265=$B$3325,HP3422,IF($B$265=$B$3326,HR3422,IF($B$265=$B$3327,HT3422,IF($B$265=$B$3328,HV3422,IF($B$265=$B$3329,HX3422,""))))))))))))))))))))))))))))))))))))))))))))))))))))</f>
        <v/>
      </c>
      <c r="EA3422" s="470" t="str">
        <f>IF($B$265=$B$3278,EC3422,IF($B$265=$B$3279,EE3422,IF($B$265=$B$3280,EG3422,IF($B$265=$B$3281,EI3422,IF($B$265=$B$3282,EK3422,IF($B$265=$B$3283,EM3422,IF($B$265=$B$3284,EO3422,IF($B$265=$B$3285,EQ3422,IF($B$265=$B$3286,ES3422,IF($B$265=$B$3287,EU3422,IF($B$265=$B$3288,EW3422,IF($B$265=$B$3289,EY3422,IF($B$265=$B$3290,FA3422,IF($B$265=$B$3291,FC3422,IF($B$265=$B$3292,FE3422,IF($B$265=$B$3293,BK3422,IF($B$265=$B$3294,FG3422,IF($B$265=$B$3295,FI3422,IF($B$265=$B$3296,FK3422,IF($B$265=$B$3297,FM3422,IF($B$265=$B$3298,FO3422,IF($B$265=$B$3299,FQ3422,IF(BJ$265=$B$3300,FS3422,IF($B$265=$B$3301,FU3422,IF($B$265=$B$3302,FW3422,IF($B$265=$B$3303,FY3422,IF($B$265=$B$3304,GA3422,IF($B$265=$B$3305,GC3422,IF($B$265=$B$3306,GE3422,IF($B$265=$B$3307,GG3422,IF($B$265=$B$3308,GI3422,IF($B$265=$B$3309,GK3422,IF($B$265=$B$3310,GM3422,IF($B$265=$B$3311,GO3422,IF($B$265=$B$3312,GQ3422,IF($B$265=$B$3313,GS3422,IF($B$265=$B$3314,GU3422,IF($B$265=$B$3315,GW3422,IF($B$265=$B$3316,GY3422,IF($B$265=$B$3317,HA3422,IF($B$265=$B$3318,HC3422,IF($B$265=$B$3319,HE3422,IF($B$265=$B$3320,HG3422,IF($B$265=$B$3321,HI3422,IF($B$265=$B$3322,HK3422,IF($B$265=$B$3323,HM3422,IF($B$265=$B$3324,HO3422,IF($B$265=$B$3325,HQ3422,IF($B$265=$B$3326,HS3422,IF($B$265=$B$3327,HU3422,IF($B$265=$B$3328,HW3422,IF($B$265=$B$3329,HY3422,""))))))))))))))))))))))))))))))))))))))))))))))))))))</f>
        <v/>
      </c>
    </row>
    <row r="3423" spans="1:131" ht="16" hidden="1" x14ac:dyDescent="0.4">
      <c r="A3423" s="813"/>
      <c r="BS3423" s="464" t="str">
        <f>IF($B$265=B$3278,BZ3422,IF($B$265=B$3279,CA3422,IF($B$265=B$3280,CB3422,IF($B$265=B$3281,CC3422,IF($B$265=B$3282,CD3422,IF($B$265=B$3283,CE3422,IF($B$265=B$3284,CF3422,IF($B$265=B$3285,CG3422,IF($B$265=B$3286,CH3422,IF($B$265=B$3287,CI3422,IF($B$265=B$3288,CJ3422,IF($B$265=B$3289,CK3422,IF($B$265=B$3290,CL3422,IF($B$265=B$3291,CM3422,IF($B$265=B$3292,CN3422,IF($B$265=B$3293,C3422,IF($B$265=B$3294,CO3422,IF($B$265=B$3295,CP3422,IF($B$265=B$3296,CQ3422,IF($B$265=B$3297,CR3422,IF($B$265=B$3298,CS3422,IF($B$265=B$3299,CT3422,IF(B$265=B$3300,CU3422,IF($B$265=B$3301,CV3422,IF($B$265=B$3302,CW3422,IF($B$265=B$3303,CX3422,IF($B$265=B$3304,CY3422,IF($B$265=B$3305,CZ3422,IF($B$265=B$3306,DA3422,IF($B$265=B$3307,DB3422,IF($B$265=B$3308,DC3422,IF($B$265=B$3309,DD3422,IF($B$265=B$3310,DE3422,IF($B$265=B$3311,DF3422,IF($B$265=B$3312,DG3422,IF($B$265=B$3313,DH3422,IF($B$265=B$3314,DI3422,IF($B$265=B$3315,DJ3422,IF($B$265=B$3316,DK3422,IF($B$265=B$3317,DL3422,IF($B$265=B$3318,DM3422,IF($B$265=B$3319,DN3422,IF($B$265=B$3320,DO3422,IF($B$265=B$3321,DP3422,IF($B$265=B$3322,DQ3422,IF($B$265=B$3323,DR3422,IF($B$265=B$3324,DS3422,IF($B$265=B$3325,DT3422,IF($B$265=B$3326,DU3422,IF($B$265=B$3327,DV3422,IF($B$265=B$3328,DW3422,IF($B$265=B$3329,DX3422,""))))))))))))))))))))))))))))))))))))))))))))))))))))</f>
        <v/>
      </c>
      <c r="BZ3423" s="245" t="s">
        <v>885</v>
      </c>
      <c r="CA3423" s="245" t="s">
        <v>885</v>
      </c>
      <c r="CC3423" s="245" t="s">
        <v>885</v>
      </c>
      <c r="CD3423" s="459" t="s">
        <v>885</v>
      </c>
      <c r="CE3423" s="459" t="s">
        <v>885</v>
      </c>
      <c r="CF3423" s="245" t="s">
        <v>885</v>
      </c>
      <c r="CG3423" s="245" t="s">
        <v>885</v>
      </c>
      <c r="CH3423" s="245" t="s">
        <v>885</v>
      </c>
      <c r="CI3423" s="245" t="s">
        <v>885</v>
      </c>
      <c r="CJ3423" t="s">
        <v>1748</v>
      </c>
      <c r="CK3423" s="459" t="s">
        <v>885</v>
      </c>
      <c r="CL3423" s="459" t="s">
        <v>885</v>
      </c>
      <c r="CM3423" s="459" t="s">
        <v>885</v>
      </c>
      <c r="CN3423" s="459" t="s">
        <v>885</v>
      </c>
      <c r="CO3423" s="459" t="s">
        <v>885</v>
      </c>
      <c r="CP3423" s="459" t="s">
        <v>885</v>
      </c>
      <c r="CQ3423" s="459" t="s">
        <v>885</v>
      </c>
      <c r="CR3423" s="459" t="s">
        <v>885</v>
      </c>
      <c r="CS3423" s="459" t="s">
        <v>885</v>
      </c>
      <c r="CT3423" s="245" t="s">
        <v>885</v>
      </c>
      <c r="CU3423" s="463" t="s">
        <v>885</v>
      </c>
      <c r="CV3423" s="245" t="s">
        <v>885</v>
      </c>
      <c r="CW3423" s="245" t="s">
        <v>885</v>
      </c>
      <c r="CX3423" s="459" t="s">
        <v>885</v>
      </c>
      <c r="CY3423" s="459" t="s">
        <v>885</v>
      </c>
      <c r="CZ3423" s="459" t="s">
        <v>885</v>
      </c>
      <c r="DA3423" s="459" t="s">
        <v>885</v>
      </c>
      <c r="DB3423" s="459" t="s">
        <v>885</v>
      </c>
      <c r="DC3423" s="459" t="s">
        <v>885</v>
      </c>
      <c r="DD3423" s="459" t="s">
        <v>885</v>
      </c>
      <c r="DE3423" s="459" t="s">
        <v>885</v>
      </c>
      <c r="DF3423" s="459" t="s">
        <v>885</v>
      </c>
      <c r="DG3423" s="459" t="s">
        <v>885</v>
      </c>
      <c r="DH3423" s="459" t="s">
        <v>885</v>
      </c>
      <c r="DI3423" s="459" t="s">
        <v>885</v>
      </c>
      <c r="DJ3423" s="459" t="s">
        <v>885</v>
      </c>
      <c r="DK3423" s="459" t="s">
        <v>885</v>
      </c>
      <c r="DL3423" s="459" t="s">
        <v>885</v>
      </c>
      <c r="DM3423" s="459" t="s">
        <v>885</v>
      </c>
      <c r="DN3423" s="459" t="s">
        <v>885</v>
      </c>
      <c r="DO3423" s="459" t="s">
        <v>885</v>
      </c>
      <c r="DP3423" t="s">
        <v>3006</v>
      </c>
      <c r="DQ3423" s="459" t="s">
        <v>885</v>
      </c>
      <c r="DR3423" s="459" t="s">
        <v>885</v>
      </c>
      <c r="DS3423" t="s">
        <v>1854</v>
      </c>
      <c r="DT3423" s="459" t="s">
        <v>885</v>
      </c>
      <c r="DU3423" s="459" t="s">
        <v>885</v>
      </c>
      <c r="DV3423" s="459" t="s">
        <v>885</v>
      </c>
      <c r="DW3423" s="245" t="s">
        <v>885</v>
      </c>
      <c r="DX3423" s="245" t="s">
        <v>885</v>
      </c>
      <c r="DY3423" s="245"/>
      <c r="DZ3423" s="470" t="str">
        <f>IF($B$265=$B$3278,EB3423,IF($B$265=$B$3279,ED3423,IF($B$265=$B$3280,EF3423,IF($B$265=$B$3281,EH3423,IF($B$265=$B$3282,EJ3423,IF($B$265=$B$3283,EL3423,IF($B$265=$B$3284,EN3423,IF($B$265=$B$3285,EP3423,IF($B$265=$B$3286,ER3423,IF($B$265=$B$3287,ET3423,IF($B$265=$B$3288,EV3423,IF($B$265=$B$3289,EX3423,IF($B$265=$B$3290,EZ3423,IF($B$265=$B$3291,FB3423,IF($B$265=$B$3292,FD3423,IF($B$265=$B$3293,BU3423,IF($B$265=$B$3294,FF3423,IF($B$265=$B$3295,FH3423,IF($B$265=$B$3296,FJ3423,IF($B$265=$B$3297,FL3423,IF($B$265=$B$3298,FN3423,IF($B$265=$B$3299,FP3423,IF(BI$265=$B$3300,FR3423,IF($B$265=$B$3301,FT3423,IF($B$265=$B$3302,FV3423,IF($B$265=$B$3303,FX3423,IF($B$265=$B$3304,FZ3423,IF($B$265=$B$3305,GB3423,IF($B$265=$B$3306,GD3423,IF($B$265=$B$3307,GF3423,IF($B$265=$B$3308,GH3423,IF($B$265=$B$3309,GJ3423,IF($B$265=$B$3310,GL3423,IF($B$265=$B$3311,GN3423,IF($B$265=$B$3312,GP3423,IF($B$265=$B$3313,GR3423,IF($B$265=$B$3314,GT3423,IF($B$265=$B$3315,GV3423,IF($B$265=$B$3316,GX3423,IF($B$265=$B$3317,GZ3423,IF($B$265=$B$3318,HB3423,IF($B$265=$B$3319,HD3423,IF($B$265=$B$3320,HF3423,IF($B$265=$B$3321,HH3423,IF($B$265=$B$3322,HJ3423,IF($B$265=$B$3323,HL3423,IF($B$265=$B$3324,HN3423,IF($B$265=$B$3325,HP3423,IF($B$265=$B$3326,HR3423,IF($B$265=$B$3327,HT3423,IF($B$265=$B$3328,HV3423,IF($B$265=$B$3329,HX3423,""))))))))))))))))))))))))))))))))))))))))))))))))))))</f>
        <v/>
      </c>
      <c r="EA3423" s="470" t="str">
        <f>IF($B$265=$B$3278,EC3423,IF($B$265=$B$3279,EE3423,IF($B$265=$B$3280,EG3423,IF($B$265=$B$3281,EI3423,IF($B$265=$B$3282,EK3423,IF($B$265=$B$3283,EM3423,IF($B$265=$B$3284,EO3423,IF($B$265=$B$3285,EQ3423,IF($B$265=$B$3286,ES3423,IF($B$265=$B$3287,EU3423,IF($B$265=$B$3288,EW3423,IF($B$265=$B$3289,EY3423,IF($B$265=$B$3290,FA3423,IF($B$265=$B$3291,FC3423,IF($B$265=$B$3292,FE3423,IF($B$265=$B$3293,BK3423,IF($B$265=$B$3294,FG3423,IF($B$265=$B$3295,FI3423,IF($B$265=$B$3296,FK3423,IF($B$265=$B$3297,FM3423,IF($B$265=$B$3298,FO3423,IF($B$265=$B$3299,FQ3423,IF(BJ$265=$B$3300,FS3423,IF($B$265=$B$3301,FU3423,IF($B$265=$B$3302,FW3423,IF($B$265=$B$3303,FY3423,IF($B$265=$B$3304,GA3423,IF($B$265=$B$3305,GC3423,IF($B$265=$B$3306,GE3423,IF($B$265=$B$3307,GG3423,IF($B$265=$B$3308,GI3423,IF($B$265=$B$3309,GK3423,IF($B$265=$B$3310,GM3423,IF($B$265=$B$3311,GO3423,IF($B$265=$B$3312,GQ3423,IF($B$265=$B$3313,GS3423,IF($B$265=$B$3314,GU3423,IF($B$265=$B$3315,GW3423,IF($B$265=$B$3316,GY3423,IF($B$265=$B$3317,HA3423,IF($B$265=$B$3318,HC3423,IF($B$265=$B$3319,HE3423,IF($B$265=$B$3320,HG3423,IF($B$265=$B$3321,HI3423,IF($B$265=$B$3322,HK3423,IF($B$265=$B$3323,HM3423,IF($B$265=$B$3324,HO3423,IF($B$265=$B$3325,HQ3423,IF($B$265=$B$3326,HS3423,IF($B$265=$B$3327,HU3423,IF($B$265=$B$3328,HW3423,IF($B$265=$B$3329,HY3423,""))))))))))))))))))))))))))))))))))))))))))))))))))))</f>
        <v/>
      </c>
    </row>
    <row r="3424" spans="1:131" ht="16" hidden="1" x14ac:dyDescent="0.4">
      <c r="A3424" s="813"/>
      <c r="BS3424" s="464" t="str">
        <f>IF($B$265=B$3278,BZ3423,IF($B$265=B$3279,CA3423,IF($B$265=B$3280,CB3423,IF($B$265=B$3281,CC3423,IF($B$265=B$3282,CD3423,IF($B$265=B$3283,CE3423,IF($B$265=B$3284,CF3423,IF($B$265=B$3285,CG3423,IF($B$265=B$3286,CH3423,IF($B$265=B$3287,CI3423,IF($B$265=B$3288,CJ3423,IF($B$265=B$3289,CK3423,IF($B$265=B$3290,CL3423,IF($B$265=B$3291,CM3423,IF($B$265=B$3292,CN3423,IF($B$265=B$3293,C3423,IF($B$265=B$3294,CO3423,IF($B$265=B$3295,CP3423,IF($B$265=B$3296,CQ3423,IF($B$265=B$3297,CR3423,IF($B$265=B$3298,CS3423,IF($B$265=B$3299,CT3423,IF(B$265=B$3300,CU3423,IF($B$265=B$3301,CV3423,IF($B$265=B$3302,CW3423,IF($B$265=B$3303,CX3423,IF($B$265=B$3304,CY3423,IF($B$265=B$3305,CZ3423,IF($B$265=B$3306,DA3423,IF($B$265=B$3307,DB3423,IF($B$265=B$3308,DC3423,IF($B$265=B$3309,DD3423,IF($B$265=B$3310,DE3423,IF($B$265=B$3311,DF3423,IF($B$265=B$3312,DG3423,IF($B$265=B$3313,DH3423,IF($B$265=B$3314,DI3423,IF($B$265=B$3315,DJ3423,IF($B$265=B$3316,DK3423,IF($B$265=B$3317,DL3423,IF($B$265=B$3318,DM3423,IF($B$265=B$3319,DN3423,IF($B$265=B$3320,DO3423,IF($B$265=B$3321,DP3423,IF($B$265=B$3322,DQ3423,IF($B$265=B$3323,DR3423,IF($B$265=B$3324,DS3423,IF($B$265=B$3325,DT3423,IF($B$265=B$3326,DU3423,IF($B$265=B$3327,DV3423,IF($B$265=B$3328,DW3423,IF($B$265=B$3329,DX3423,""))))))))))))))))))))))))))))))))))))))))))))))))))))</f>
        <v/>
      </c>
      <c r="BZ3424" s="245" t="s">
        <v>885</v>
      </c>
      <c r="CA3424" s="245" t="s">
        <v>885</v>
      </c>
      <c r="CC3424" s="245" t="s">
        <v>885</v>
      </c>
      <c r="CD3424" s="459" t="s">
        <v>885</v>
      </c>
      <c r="CE3424" s="459" t="s">
        <v>885</v>
      </c>
      <c r="CF3424" s="245" t="s">
        <v>885</v>
      </c>
      <c r="CG3424" s="245" t="s">
        <v>885</v>
      </c>
      <c r="CH3424" s="245" t="s">
        <v>885</v>
      </c>
      <c r="CI3424" s="245" t="s">
        <v>885</v>
      </c>
      <c r="CJ3424" t="s">
        <v>1836</v>
      </c>
      <c r="CK3424" s="459" t="s">
        <v>885</v>
      </c>
      <c r="CL3424" s="459" t="s">
        <v>885</v>
      </c>
      <c r="CM3424" s="459" t="s">
        <v>885</v>
      </c>
      <c r="CN3424" s="459" t="s">
        <v>885</v>
      </c>
      <c r="CO3424" s="459" t="s">
        <v>885</v>
      </c>
      <c r="CP3424" s="459" t="s">
        <v>885</v>
      </c>
      <c r="CQ3424" s="459" t="s">
        <v>885</v>
      </c>
      <c r="CR3424" s="459" t="s">
        <v>885</v>
      </c>
      <c r="CS3424" s="459" t="s">
        <v>885</v>
      </c>
      <c r="CT3424" s="245" t="s">
        <v>885</v>
      </c>
      <c r="CU3424" s="463" t="s">
        <v>885</v>
      </c>
      <c r="CV3424" s="245" t="s">
        <v>885</v>
      </c>
      <c r="CW3424" s="245" t="s">
        <v>885</v>
      </c>
      <c r="CX3424" s="459" t="s">
        <v>885</v>
      </c>
      <c r="CY3424" s="459" t="s">
        <v>885</v>
      </c>
      <c r="CZ3424" s="459" t="s">
        <v>885</v>
      </c>
      <c r="DA3424" s="459" t="s">
        <v>885</v>
      </c>
      <c r="DB3424" s="459" t="s">
        <v>885</v>
      </c>
      <c r="DC3424" s="459" t="s">
        <v>885</v>
      </c>
      <c r="DD3424" s="459" t="s">
        <v>885</v>
      </c>
      <c r="DE3424" s="459" t="s">
        <v>885</v>
      </c>
      <c r="DF3424" s="459" t="s">
        <v>885</v>
      </c>
      <c r="DG3424" s="459" t="s">
        <v>885</v>
      </c>
      <c r="DH3424" s="459" t="s">
        <v>885</v>
      </c>
      <c r="DI3424" s="459" t="s">
        <v>885</v>
      </c>
      <c r="DJ3424" s="459" t="s">
        <v>885</v>
      </c>
      <c r="DK3424" s="459" t="s">
        <v>885</v>
      </c>
      <c r="DL3424" s="459" t="s">
        <v>885</v>
      </c>
      <c r="DM3424" s="459" t="s">
        <v>885</v>
      </c>
      <c r="DN3424" s="459" t="s">
        <v>885</v>
      </c>
      <c r="DO3424" s="459" t="s">
        <v>885</v>
      </c>
      <c r="DP3424" t="s">
        <v>1554</v>
      </c>
      <c r="DQ3424" s="459" t="s">
        <v>885</v>
      </c>
      <c r="DR3424" s="459" t="s">
        <v>885</v>
      </c>
      <c r="DS3424" t="s">
        <v>1495</v>
      </c>
      <c r="DT3424" s="459" t="s">
        <v>885</v>
      </c>
      <c r="DU3424" s="459" t="s">
        <v>885</v>
      </c>
      <c r="DV3424" s="459" t="s">
        <v>885</v>
      </c>
      <c r="DW3424" s="245" t="s">
        <v>885</v>
      </c>
      <c r="DX3424" s="245" t="s">
        <v>885</v>
      </c>
      <c r="DY3424" s="245"/>
      <c r="DZ3424" s="470" t="str">
        <f>IF($B$265=$B$3278,EB3424,IF($B$265=$B$3279,ED3424,IF($B$265=$B$3280,EF3424,IF($B$265=$B$3281,EH3424,IF($B$265=$B$3282,EJ3424,IF($B$265=$B$3283,EL3424,IF($B$265=$B$3284,EN3424,IF($B$265=$B$3285,EP3424,IF($B$265=$B$3286,ER3424,IF($B$265=$B$3287,ET3424,IF($B$265=$B$3288,EV3424,IF($B$265=$B$3289,EX3424,IF($B$265=$B$3290,EZ3424,IF($B$265=$B$3291,FB3424,IF($B$265=$B$3292,FD3424,IF($B$265=$B$3293,BU3424,IF($B$265=$B$3294,FF3424,IF($B$265=$B$3295,FH3424,IF($B$265=$B$3296,FJ3424,IF($B$265=$B$3297,FL3424,IF($B$265=$B$3298,FN3424,IF($B$265=$B$3299,FP3424,IF(BI$265=$B$3300,FR3424,IF($B$265=$B$3301,FT3424,IF($B$265=$B$3302,FV3424,IF($B$265=$B$3303,FX3424,IF($B$265=$B$3304,FZ3424,IF($B$265=$B$3305,GB3424,IF($B$265=$B$3306,GD3424,IF($B$265=$B$3307,GF3424,IF($B$265=$B$3308,GH3424,IF($B$265=$B$3309,GJ3424,IF($B$265=$B$3310,GL3424,IF($B$265=$B$3311,GN3424,IF($B$265=$B$3312,GP3424,IF($B$265=$B$3313,GR3424,IF($B$265=$B$3314,GT3424,IF($B$265=$B$3315,GV3424,IF($B$265=$B$3316,GX3424,IF($B$265=$B$3317,GZ3424,IF($B$265=$B$3318,HB3424,IF($B$265=$B$3319,HD3424,IF($B$265=$B$3320,HF3424,IF($B$265=$B$3321,HH3424,IF($B$265=$B$3322,HJ3424,IF($B$265=$B$3323,HL3424,IF($B$265=$B$3324,HN3424,IF($B$265=$B$3325,HP3424,IF($B$265=$B$3326,HR3424,IF($B$265=$B$3327,HT3424,IF($B$265=$B$3328,HV3424,IF($B$265=$B$3329,HX3424,""))))))))))))))))))))))))))))))))))))))))))))))))))))</f>
        <v/>
      </c>
      <c r="EA3424" s="470" t="str">
        <f>IF($B$265=$B$3278,EC3424,IF($B$265=$B$3279,EE3424,IF($B$265=$B$3280,EG3424,IF($B$265=$B$3281,EI3424,IF($B$265=$B$3282,EK3424,IF($B$265=$B$3283,EM3424,IF($B$265=$B$3284,EO3424,IF($B$265=$B$3285,EQ3424,IF($B$265=$B$3286,ES3424,IF($B$265=$B$3287,EU3424,IF($B$265=$B$3288,EW3424,IF($B$265=$B$3289,EY3424,IF($B$265=$B$3290,FA3424,IF($B$265=$B$3291,FC3424,IF($B$265=$B$3292,FE3424,IF($B$265=$B$3293,BK3424,IF($B$265=$B$3294,FG3424,IF($B$265=$B$3295,FI3424,IF($B$265=$B$3296,FK3424,IF($B$265=$B$3297,FM3424,IF($B$265=$B$3298,FO3424,IF($B$265=$B$3299,FQ3424,IF(BJ$265=$B$3300,FS3424,IF($B$265=$B$3301,FU3424,IF($B$265=$B$3302,FW3424,IF($B$265=$B$3303,FY3424,IF($B$265=$B$3304,GA3424,IF($B$265=$B$3305,GC3424,IF($B$265=$B$3306,GE3424,IF($B$265=$B$3307,GG3424,IF($B$265=$B$3308,GI3424,IF($B$265=$B$3309,GK3424,IF($B$265=$B$3310,GM3424,IF($B$265=$B$3311,GO3424,IF($B$265=$B$3312,GQ3424,IF($B$265=$B$3313,GS3424,IF($B$265=$B$3314,GU3424,IF($B$265=$B$3315,GW3424,IF($B$265=$B$3316,GY3424,IF($B$265=$B$3317,HA3424,IF($B$265=$B$3318,HC3424,IF($B$265=$B$3319,HE3424,IF($B$265=$B$3320,HG3424,IF($B$265=$B$3321,HI3424,IF($B$265=$B$3322,HK3424,IF($B$265=$B$3323,HM3424,IF($B$265=$B$3324,HO3424,IF($B$265=$B$3325,HQ3424,IF($B$265=$B$3326,HS3424,IF($B$265=$B$3327,HU3424,IF($B$265=$B$3328,HW3424,IF($B$265=$B$3329,HY3424,""))))))))))))))))))))))))))))))))))))))))))))))))))))</f>
        <v/>
      </c>
    </row>
    <row r="3425" spans="1:132" ht="16" hidden="1" x14ac:dyDescent="0.4">
      <c r="A3425" s="813"/>
      <c r="BS3425" s="464" t="str">
        <f>IF($B$265=B$3278,BZ3424,IF($B$265=B$3279,CA3424,IF($B$265=B$3280,CB3424,IF($B$265=B$3281,CC3424,IF($B$265=B$3282,CD3424,IF($B$265=B$3283,CE3424,IF($B$265=B$3284,CF3424,IF($B$265=B$3285,CG3424,IF($B$265=B$3286,CH3424,IF($B$265=B$3287,CI3424,IF($B$265=B$3288,CJ3424,IF($B$265=B$3289,CK3424,IF($B$265=B$3290,CL3424,IF($B$265=B$3291,CM3424,IF($B$265=B$3292,CN3424,IF($B$265=B$3293,C3424,IF($B$265=B$3294,CO3424,IF($B$265=B$3295,CP3424,IF($B$265=B$3296,CQ3424,IF($B$265=B$3297,CR3424,IF($B$265=B$3298,CS3424,IF($B$265=B$3299,CT3424,IF(B$265=B$3300,CU3424,IF($B$265=B$3301,CV3424,IF($B$265=B$3302,CW3424,IF($B$265=B$3303,CX3424,IF($B$265=B$3304,CY3424,IF($B$265=B$3305,CZ3424,IF($B$265=B$3306,DA3424,IF($B$265=B$3307,DB3424,IF($B$265=B$3308,DC3424,IF($B$265=B$3309,DD3424,IF($B$265=B$3310,DE3424,IF($B$265=B$3311,DF3424,IF($B$265=B$3312,DG3424,IF($B$265=B$3313,DH3424,IF($B$265=B$3314,DI3424,IF($B$265=B$3315,DJ3424,IF($B$265=B$3316,DK3424,IF($B$265=B$3317,DL3424,IF($B$265=B$3318,DM3424,IF($B$265=B$3319,DN3424,IF($B$265=B$3320,DO3424,IF($B$265=B$3321,DP3424,IF($B$265=B$3322,DQ3424,IF($B$265=B$3323,DR3424,IF($B$265=B$3324,DS3424,IF($B$265=B$3325,DT3424,IF($B$265=B$3326,DU3424,IF($B$265=B$3327,DV3424,IF($B$265=B$3328,DW3424,IF($B$265=B$3329,DX3424,""))))))))))))))))))))))))))))))))))))))))))))))))))))</f>
        <v/>
      </c>
      <c r="BZ3425" s="245" t="s">
        <v>885</v>
      </c>
      <c r="CA3425" s="245" t="s">
        <v>885</v>
      </c>
      <c r="CC3425" s="245" t="s">
        <v>885</v>
      </c>
      <c r="CD3425" s="459" t="s">
        <v>885</v>
      </c>
      <c r="CE3425" s="459" t="s">
        <v>885</v>
      </c>
      <c r="CF3425" s="245" t="s">
        <v>885</v>
      </c>
      <c r="CG3425" s="245" t="s">
        <v>885</v>
      </c>
      <c r="CH3425" s="245" t="s">
        <v>885</v>
      </c>
      <c r="CI3425" s="245" t="s">
        <v>885</v>
      </c>
      <c r="CJ3425" t="s">
        <v>1837</v>
      </c>
      <c r="CK3425" s="459" t="s">
        <v>885</v>
      </c>
      <c r="CL3425" s="459" t="s">
        <v>885</v>
      </c>
      <c r="CM3425" s="459" t="s">
        <v>885</v>
      </c>
      <c r="CN3425" s="459" t="s">
        <v>885</v>
      </c>
      <c r="CO3425" s="459" t="s">
        <v>885</v>
      </c>
      <c r="CP3425" s="459" t="s">
        <v>885</v>
      </c>
      <c r="CQ3425" s="459" t="s">
        <v>885</v>
      </c>
      <c r="CR3425" s="459" t="s">
        <v>885</v>
      </c>
      <c r="CS3425" s="459" t="s">
        <v>885</v>
      </c>
      <c r="CT3425" s="245" t="s">
        <v>885</v>
      </c>
      <c r="CU3425" s="463" t="s">
        <v>885</v>
      </c>
      <c r="CV3425" s="245" t="s">
        <v>885</v>
      </c>
      <c r="CW3425" s="245" t="s">
        <v>885</v>
      </c>
      <c r="CX3425" s="459" t="s">
        <v>885</v>
      </c>
      <c r="CY3425" s="459" t="s">
        <v>885</v>
      </c>
      <c r="CZ3425" s="459" t="s">
        <v>885</v>
      </c>
      <c r="DA3425" s="459" t="s">
        <v>885</v>
      </c>
      <c r="DB3425" s="459" t="s">
        <v>885</v>
      </c>
      <c r="DC3425" s="459" t="s">
        <v>885</v>
      </c>
      <c r="DD3425" s="459" t="s">
        <v>885</v>
      </c>
      <c r="DE3425" s="459" t="s">
        <v>885</v>
      </c>
      <c r="DF3425" s="459" t="s">
        <v>885</v>
      </c>
      <c r="DG3425" s="459" t="s">
        <v>885</v>
      </c>
      <c r="DH3425" s="459" t="s">
        <v>885</v>
      </c>
      <c r="DI3425" s="459" t="s">
        <v>885</v>
      </c>
      <c r="DJ3425" s="459" t="s">
        <v>885</v>
      </c>
      <c r="DK3425" s="459" t="s">
        <v>885</v>
      </c>
      <c r="DL3425" s="459" t="s">
        <v>885</v>
      </c>
      <c r="DM3425" s="459" t="s">
        <v>885</v>
      </c>
      <c r="DN3425" s="459" t="s">
        <v>885</v>
      </c>
      <c r="DO3425" s="459" t="s">
        <v>885</v>
      </c>
      <c r="DP3425" t="s">
        <v>1814</v>
      </c>
      <c r="DQ3425" s="459" t="s">
        <v>885</v>
      </c>
      <c r="DR3425" s="459" t="s">
        <v>885</v>
      </c>
      <c r="DS3425" t="s">
        <v>3194</v>
      </c>
      <c r="DT3425" s="459" t="s">
        <v>885</v>
      </c>
      <c r="DU3425" s="459" t="s">
        <v>885</v>
      </c>
      <c r="DV3425" s="459" t="s">
        <v>885</v>
      </c>
      <c r="DW3425" s="245" t="s">
        <v>885</v>
      </c>
      <c r="DX3425" s="245" t="s">
        <v>885</v>
      </c>
      <c r="DY3425" s="245"/>
      <c r="DZ3425" s="470" t="str">
        <f>IF($B$265=$B$3278,EB3425,IF($B$265=$B$3279,ED3425,IF($B$265=$B$3280,EF3425,IF($B$265=$B$3281,EH3425,IF($B$265=$B$3282,EJ3425,IF($B$265=$B$3283,EL3425,IF($B$265=$B$3284,EN3425,IF($B$265=$B$3285,EP3425,IF($B$265=$B$3286,ER3425,IF($B$265=$B$3287,ET3425,IF($B$265=$B$3288,EV3425,IF($B$265=$B$3289,EX3425,IF($B$265=$B$3290,EZ3425,IF($B$265=$B$3291,FB3425,IF($B$265=$B$3292,FD3425,IF($B$265=$B$3293,BU3425,IF($B$265=$B$3294,FF3425,IF($B$265=$B$3295,FH3425,IF($B$265=$B$3296,FJ3425,IF($B$265=$B$3297,FL3425,IF($B$265=$B$3298,FN3425,IF($B$265=$B$3299,FP3425,IF(BI$265=$B$3300,FR3425,IF($B$265=$B$3301,FT3425,IF($B$265=$B$3302,FV3425,IF($B$265=$B$3303,FX3425,IF($B$265=$B$3304,FZ3425,IF($B$265=$B$3305,GB3425,IF($B$265=$B$3306,GD3425,IF($B$265=$B$3307,GF3425,IF($B$265=$B$3308,GH3425,IF($B$265=$B$3309,GJ3425,IF($B$265=$B$3310,GL3425,IF($B$265=$B$3311,GN3425,IF($B$265=$B$3312,GP3425,IF($B$265=$B$3313,GR3425,IF($B$265=$B$3314,GT3425,IF($B$265=$B$3315,GV3425,IF($B$265=$B$3316,GX3425,IF($B$265=$B$3317,GZ3425,IF($B$265=$B$3318,HB3425,IF($B$265=$B$3319,HD3425,IF($B$265=$B$3320,HF3425,IF($B$265=$B$3321,HH3425,IF($B$265=$B$3322,HJ3425,IF($B$265=$B$3323,HL3425,IF($B$265=$B$3324,HN3425,IF($B$265=$B$3325,HP3425,IF($B$265=$B$3326,HR3425,IF($B$265=$B$3327,HT3425,IF($B$265=$B$3328,HV3425,IF($B$265=$B$3329,HX3425,""))))))))))))))))))))))))))))))))))))))))))))))))))))</f>
        <v/>
      </c>
      <c r="EA3425" s="470" t="str">
        <f>IF($B$265=$B$3278,EC3425,IF($B$265=$B$3279,EE3425,IF($B$265=$B$3280,EG3425,IF($B$265=$B$3281,EI3425,IF($B$265=$B$3282,EK3425,IF($B$265=$B$3283,EM3425,IF($B$265=$B$3284,EO3425,IF($B$265=$B$3285,EQ3425,IF($B$265=$B$3286,ES3425,IF($B$265=$B$3287,EU3425,IF($B$265=$B$3288,EW3425,IF($B$265=$B$3289,EY3425,IF($B$265=$B$3290,FA3425,IF($B$265=$B$3291,FC3425,IF($B$265=$B$3292,FE3425,IF($B$265=$B$3293,BK3425,IF($B$265=$B$3294,FG3425,IF($B$265=$B$3295,FI3425,IF($B$265=$B$3296,FK3425,IF($B$265=$B$3297,FM3425,IF($B$265=$B$3298,FO3425,IF($B$265=$B$3299,FQ3425,IF(BJ$265=$B$3300,FS3425,IF($B$265=$B$3301,FU3425,IF($B$265=$B$3302,FW3425,IF($B$265=$B$3303,FY3425,IF($B$265=$B$3304,GA3425,IF($B$265=$B$3305,GC3425,IF($B$265=$B$3306,GE3425,IF($B$265=$B$3307,GG3425,IF($B$265=$B$3308,GI3425,IF($B$265=$B$3309,GK3425,IF($B$265=$B$3310,GM3425,IF($B$265=$B$3311,GO3425,IF($B$265=$B$3312,GQ3425,IF($B$265=$B$3313,GS3425,IF($B$265=$B$3314,GU3425,IF($B$265=$B$3315,GW3425,IF($B$265=$B$3316,GY3425,IF($B$265=$B$3317,HA3425,IF($B$265=$B$3318,HC3425,IF($B$265=$B$3319,HE3425,IF($B$265=$B$3320,HG3425,IF($B$265=$B$3321,HI3425,IF($B$265=$B$3322,HK3425,IF($B$265=$B$3323,HM3425,IF($B$265=$B$3324,HO3425,IF($B$265=$B$3325,HQ3425,IF($B$265=$B$3326,HS3425,IF($B$265=$B$3327,HU3425,IF($B$265=$B$3328,HW3425,IF($B$265=$B$3329,HY3425,""))))))))))))))))))))))))))))))))))))))))))))))))))))</f>
        <v/>
      </c>
    </row>
    <row r="3426" spans="1:132" ht="16" hidden="1" x14ac:dyDescent="0.4">
      <c r="A3426" s="813"/>
      <c r="BB3426" s="48"/>
      <c r="BS3426" s="464" t="str">
        <f>IF($B$265=B$3278,BZ3425,IF($B$265=B$3279,CA3425,IF($B$265=B$3280,CB3425,IF($B$265=B$3281,CC3425,IF($B$265=B$3282,CD3425,IF($B$265=B$3283,CE3425,IF($B$265=B$3284,CF3425,IF($B$265=B$3285,CG3425,IF($B$265=B$3286,CH3425,IF($B$265=B$3287,CI3425,IF($B$265=B$3288,CJ3425,IF($B$265=B$3289,CK3425,IF($B$265=B$3290,CL3425,IF($B$265=B$3291,CM3425,IF($B$265=B$3292,CN3425,IF($B$265=B$3293,C3425,IF($B$265=B$3294,CO3425,IF($B$265=B$3295,CP3425,IF($B$265=B$3296,CQ3425,IF($B$265=B$3297,CR3425,IF($B$265=B$3298,CS3425,IF($B$265=B$3299,CT3425,IF(B$265=B$3300,CU3425,IF($B$265=B$3301,CV3425,IF($B$265=B$3302,CW3425,IF($B$265=B$3303,CX3425,IF($B$265=B$3304,CY3425,IF($B$265=B$3305,CZ3425,IF($B$265=B$3306,DA3425,IF($B$265=B$3307,DB3425,IF($B$265=B$3308,DC3425,IF($B$265=B$3309,DD3425,IF($B$265=B$3310,DE3425,IF($B$265=B$3311,DF3425,IF($B$265=B$3312,DG3425,IF($B$265=B$3313,DH3425,IF($B$265=B$3314,DI3425,IF($B$265=B$3315,DJ3425,IF($B$265=B$3316,DK3425,IF($B$265=B$3317,DL3425,IF($B$265=B$3318,DM3425,IF($B$265=B$3319,DN3425,IF($B$265=B$3320,DO3425,IF($B$265=B$3321,DP3425,IF($B$265=B$3322,DQ3425,IF($B$265=B$3323,DR3425,IF($B$265=B$3324,DS3425,IF($B$265=B$3325,DT3425,IF($B$265=B$3326,DU3425,IF($B$265=B$3327,DV3425,IF($B$265=B$3328,DW3425,IF($B$265=B$3329,DX3425,""))))))))))))))))))))))))))))))))))))))))))))))))))))</f>
        <v/>
      </c>
      <c r="BZ3426" s="245" t="s">
        <v>885</v>
      </c>
      <c r="CA3426" s="245" t="s">
        <v>885</v>
      </c>
      <c r="CC3426" s="245" t="s">
        <v>885</v>
      </c>
      <c r="CD3426" s="459" t="s">
        <v>885</v>
      </c>
      <c r="CE3426" s="459" t="s">
        <v>885</v>
      </c>
      <c r="CF3426" s="245" t="s">
        <v>885</v>
      </c>
      <c r="CG3426" s="245" t="s">
        <v>885</v>
      </c>
      <c r="CH3426" s="245" t="s">
        <v>885</v>
      </c>
      <c r="CI3426" s="245" t="s">
        <v>885</v>
      </c>
      <c r="CJ3426" t="s">
        <v>1838</v>
      </c>
      <c r="CK3426" s="459" t="s">
        <v>885</v>
      </c>
      <c r="CL3426" s="459" t="s">
        <v>885</v>
      </c>
      <c r="CM3426" s="459" t="s">
        <v>885</v>
      </c>
      <c r="CN3426" s="459" t="s">
        <v>885</v>
      </c>
      <c r="CO3426" s="459" t="s">
        <v>885</v>
      </c>
      <c r="CP3426" s="459" t="s">
        <v>885</v>
      </c>
      <c r="CQ3426" s="459" t="s">
        <v>885</v>
      </c>
      <c r="CR3426" s="459" t="s">
        <v>885</v>
      </c>
      <c r="CS3426" s="459" t="s">
        <v>885</v>
      </c>
      <c r="CT3426" s="245" t="s">
        <v>885</v>
      </c>
      <c r="CU3426" s="463" t="s">
        <v>885</v>
      </c>
      <c r="CV3426" s="245" t="s">
        <v>885</v>
      </c>
      <c r="CW3426" s="245" t="s">
        <v>885</v>
      </c>
      <c r="CX3426" s="459" t="s">
        <v>885</v>
      </c>
      <c r="CY3426" s="459" t="s">
        <v>885</v>
      </c>
      <c r="CZ3426" s="459" t="s">
        <v>885</v>
      </c>
      <c r="DA3426" s="459" t="s">
        <v>885</v>
      </c>
      <c r="DB3426" s="459" t="s">
        <v>885</v>
      </c>
      <c r="DC3426" s="459" t="s">
        <v>885</v>
      </c>
      <c r="DD3426" s="459" t="s">
        <v>885</v>
      </c>
      <c r="DE3426" s="459" t="s">
        <v>885</v>
      </c>
      <c r="DF3426" s="459" t="s">
        <v>885</v>
      </c>
      <c r="DG3426" s="459" t="s">
        <v>885</v>
      </c>
      <c r="DH3426" s="459" t="s">
        <v>885</v>
      </c>
      <c r="DI3426" s="459" t="s">
        <v>885</v>
      </c>
      <c r="DJ3426" s="459" t="s">
        <v>885</v>
      </c>
      <c r="DK3426" s="459" t="s">
        <v>885</v>
      </c>
      <c r="DL3426" s="459" t="s">
        <v>885</v>
      </c>
      <c r="DM3426" s="459" t="s">
        <v>885</v>
      </c>
      <c r="DN3426" s="459" t="s">
        <v>885</v>
      </c>
      <c r="DO3426" s="459" t="s">
        <v>885</v>
      </c>
      <c r="DP3426" t="s">
        <v>3007</v>
      </c>
      <c r="DQ3426" s="459" t="s">
        <v>885</v>
      </c>
      <c r="DR3426" s="459" t="s">
        <v>885</v>
      </c>
      <c r="DS3426" t="s">
        <v>2836</v>
      </c>
      <c r="DT3426" s="459" t="s">
        <v>885</v>
      </c>
      <c r="DU3426" s="459" t="s">
        <v>885</v>
      </c>
      <c r="DV3426" s="459" t="s">
        <v>885</v>
      </c>
      <c r="DW3426" s="245" t="s">
        <v>885</v>
      </c>
      <c r="DX3426" s="245" t="s">
        <v>885</v>
      </c>
      <c r="DY3426" s="245"/>
      <c r="DZ3426" s="470" t="str">
        <f>IF($B$265=$B$3278,EB3426,IF($B$265=$B$3279,ED3426,IF($B$265=$B$3280,EF3426,IF($B$265=$B$3281,EH3426,IF($B$265=$B$3282,EJ3426,IF($B$265=$B$3283,EL3426,IF($B$265=$B$3284,EN3426,IF($B$265=$B$3285,EP3426,IF($B$265=$B$3286,ER3426,IF($B$265=$B$3287,ET3426,IF($B$265=$B$3288,EV3426,IF($B$265=$B$3289,EX3426,IF($B$265=$B$3290,EZ3426,IF($B$265=$B$3291,FB3426,IF($B$265=$B$3292,FD3426,IF($B$265=$B$3293,BU3426,IF($B$265=$B$3294,FF3426,IF($B$265=$B$3295,FH3426,IF($B$265=$B$3296,FJ3426,IF($B$265=$B$3297,FL3426,IF($B$265=$B$3298,FN3426,IF($B$265=$B$3299,FP3426,IF(BI$265=$B$3300,FR3426,IF($B$265=$B$3301,FT3426,IF($B$265=$B$3302,FV3426,IF($B$265=$B$3303,FX3426,IF($B$265=$B$3304,FZ3426,IF($B$265=$B$3305,GB3426,IF($B$265=$B$3306,GD3426,IF($B$265=$B$3307,GF3426,IF($B$265=$B$3308,GH3426,IF($B$265=$B$3309,GJ3426,IF($B$265=$B$3310,GL3426,IF($B$265=$B$3311,GN3426,IF($B$265=$B$3312,GP3426,IF($B$265=$B$3313,GR3426,IF($B$265=$B$3314,GT3426,IF($B$265=$B$3315,GV3426,IF($B$265=$B$3316,GX3426,IF($B$265=$B$3317,GZ3426,IF($B$265=$B$3318,HB3426,IF($B$265=$B$3319,HD3426,IF($B$265=$B$3320,HF3426,IF($B$265=$B$3321,HH3426,IF($B$265=$B$3322,HJ3426,IF($B$265=$B$3323,HL3426,IF($B$265=$B$3324,HN3426,IF($B$265=$B$3325,HP3426,IF($B$265=$B$3326,HR3426,IF($B$265=$B$3327,HT3426,IF($B$265=$B$3328,HV3426,IF($B$265=$B$3329,HX3426,""))))))))))))))))))))))))))))))))))))))))))))))))))))</f>
        <v/>
      </c>
      <c r="EA3426" s="470" t="str">
        <f>IF($B$265=$B$3278,EC3426,IF($B$265=$B$3279,EE3426,IF($B$265=$B$3280,EG3426,IF($B$265=$B$3281,EI3426,IF($B$265=$B$3282,EK3426,IF($B$265=$B$3283,EM3426,IF($B$265=$B$3284,EO3426,IF($B$265=$B$3285,EQ3426,IF($B$265=$B$3286,ES3426,IF($B$265=$B$3287,EU3426,IF($B$265=$B$3288,EW3426,IF($B$265=$B$3289,EY3426,IF($B$265=$B$3290,FA3426,IF($B$265=$B$3291,FC3426,IF($B$265=$B$3292,FE3426,IF($B$265=$B$3293,BK3426,IF($B$265=$B$3294,FG3426,IF($B$265=$B$3295,FI3426,IF($B$265=$B$3296,FK3426,IF($B$265=$B$3297,FM3426,IF($B$265=$B$3298,FO3426,IF($B$265=$B$3299,FQ3426,IF(BJ$265=$B$3300,FS3426,IF($B$265=$B$3301,FU3426,IF($B$265=$B$3302,FW3426,IF($B$265=$B$3303,FY3426,IF($B$265=$B$3304,GA3426,IF($B$265=$B$3305,GC3426,IF($B$265=$B$3306,GE3426,IF($B$265=$B$3307,GG3426,IF($B$265=$B$3308,GI3426,IF($B$265=$B$3309,GK3426,IF($B$265=$B$3310,GM3426,IF($B$265=$B$3311,GO3426,IF($B$265=$B$3312,GQ3426,IF($B$265=$B$3313,GS3426,IF($B$265=$B$3314,GU3426,IF($B$265=$B$3315,GW3426,IF($B$265=$B$3316,GY3426,IF($B$265=$B$3317,HA3426,IF($B$265=$B$3318,HC3426,IF($B$265=$B$3319,HE3426,IF($B$265=$B$3320,HG3426,IF($B$265=$B$3321,HI3426,IF($B$265=$B$3322,HK3426,IF($B$265=$B$3323,HM3426,IF($B$265=$B$3324,HO3426,IF($B$265=$B$3325,HQ3426,IF($B$265=$B$3326,HS3426,IF($B$265=$B$3327,HU3426,IF($B$265=$B$3328,HW3426,IF($B$265=$B$3329,HY3426,""))))))))))))))))))))))))))))))))))))))))))))))))))))</f>
        <v/>
      </c>
    </row>
    <row r="3427" spans="1:132" ht="16" hidden="1" x14ac:dyDescent="0.4">
      <c r="A3427" s="813"/>
      <c r="BB3427" s="48"/>
      <c r="BS3427" s="464" t="str">
        <f>IF($B$265=B$3278,BZ3426,IF($B$265=B$3279,CA3426,IF($B$265=B$3280,CB3426,IF($B$265=B$3281,CC3426,IF($B$265=B$3282,CD3426,IF($B$265=B$3283,CE3426,IF($B$265=B$3284,CF3426,IF($B$265=B$3285,CG3426,IF($B$265=B$3286,CH3426,IF($B$265=B$3287,CI3426,IF($B$265=B$3288,CJ3426,IF($B$265=B$3289,CK3426,IF($B$265=B$3290,CL3426,IF($B$265=B$3291,CM3426,IF($B$265=B$3292,CN3426,IF($B$265=B$3293,C3426,IF($B$265=B$3294,CO3426,IF($B$265=B$3295,CP3426,IF($B$265=B$3296,CQ3426,IF($B$265=B$3297,CR3426,IF($B$265=B$3298,CS3426,IF($B$265=B$3299,CT3426,IF(B$265=B$3300,CU3426,IF($B$265=B$3301,CV3426,IF($B$265=B$3302,CW3426,IF($B$265=B$3303,CX3426,IF($B$265=B$3304,CY3426,IF($B$265=B$3305,CZ3426,IF($B$265=B$3306,DA3426,IF($B$265=B$3307,DB3426,IF($B$265=B$3308,DC3426,IF($B$265=B$3309,DD3426,IF($B$265=B$3310,DE3426,IF($B$265=B$3311,DF3426,IF($B$265=B$3312,DG3426,IF($B$265=B$3313,DH3426,IF($B$265=B$3314,DI3426,IF($B$265=B$3315,DJ3426,IF($B$265=B$3316,DK3426,IF($B$265=B$3317,DL3426,IF($B$265=B$3318,DM3426,IF($B$265=B$3319,DN3426,IF($B$265=B$3320,DO3426,IF($B$265=B$3321,DP3426,IF($B$265=B$3322,DQ3426,IF($B$265=B$3323,DR3426,IF($B$265=B$3324,DS3426,IF($B$265=B$3325,DT3426,IF($B$265=B$3326,DU3426,IF($B$265=B$3327,DV3426,IF($B$265=B$3328,DW3426,IF($B$265=B$3329,DX3426,""))))))))))))))))))))))))))))))))))))))))))))))))))))</f>
        <v/>
      </c>
      <c r="BZ3427" s="245" t="s">
        <v>885</v>
      </c>
      <c r="CA3427" s="245" t="s">
        <v>885</v>
      </c>
      <c r="CC3427" s="245" t="s">
        <v>885</v>
      </c>
      <c r="CD3427" s="459" t="s">
        <v>885</v>
      </c>
      <c r="CE3427" s="459" t="s">
        <v>885</v>
      </c>
      <c r="CF3427" s="245" t="s">
        <v>885</v>
      </c>
      <c r="CG3427" s="245" t="s">
        <v>885</v>
      </c>
      <c r="CH3427" s="245" t="s">
        <v>885</v>
      </c>
      <c r="CI3427" s="245" t="s">
        <v>885</v>
      </c>
      <c r="CJ3427" t="s">
        <v>1490</v>
      </c>
      <c r="CK3427" s="459" t="s">
        <v>885</v>
      </c>
      <c r="CL3427" s="459" t="s">
        <v>885</v>
      </c>
      <c r="CM3427" s="459" t="s">
        <v>885</v>
      </c>
      <c r="CN3427" s="459" t="s">
        <v>885</v>
      </c>
      <c r="CO3427" s="459" t="s">
        <v>885</v>
      </c>
      <c r="CP3427" s="459" t="s">
        <v>885</v>
      </c>
      <c r="CQ3427" s="459" t="s">
        <v>885</v>
      </c>
      <c r="CR3427" s="459" t="s">
        <v>885</v>
      </c>
      <c r="CS3427" s="459" t="s">
        <v>885</v>
      </c>
      <c r="CT3427" s="245" t="s">
        <v>885</v>
      </c>
      <c r="CU3427" s="463" t="s">
        <v>885</v>
      </c>
      <c r="CV3427" s="245" t="s">
        <v>885</v>
      </c>
      <c r="CW3427" s="245" t="s">
        <v>885</v>
      </c>
      <c r="CX3427" s="459" t="s">
        <v>885</v>
      </c>
      <c r="CY3427" s="459" t="s">
        <v>885</v>
      </c>
      <c r="CZ3427" s="459" t="s">
        <v>885</v>
      </c>
      <c r="DA3427" s="459" t="s">
        <v>885</v>
      </c>
      <c r="DB3427" s="459" t="s">
        <v>885</v>
      </c>
      <c r="DC3427" s="459" t="s">
        <v>885</v>
      </c>
      <c r="DD3427" s="459" t="s">
        <v>885</v>
      </c>
      <c r="DE3427" s="459" t="s">
        <v>885</v>
      </c>
      <c r="DF3427" s="459" t="s">
        <v>885</v>
      </c>
      <c r="DG3427" s="459" t="s">
        <v>885</v>
      </c>
      <c r="DH3427" s="459" t="s">
        <v>885</v>
      </c>
      <c r="DI3427" s="459" t="s">
        <v>885</v>
      </c>
      <c r="DJ3427" s="459" t="s">
        <v>885</v>
      </c>
      <c r="DK3427" s="459" t="s">
        <v>885</v>
      </c>
      <c r="DL3427" s="459" t="s">
        <v>885</v>
      </c>
      <c r="DM3427" s="459" t="s">
        <v>885</v>
      </c>
      <c r="DN3427" s="459" t="s">
        <v>885</v>
      </c>
      <c r="DO3427" s="459" t="s">
        <v>885</v>
      </c>
      <c r="DP3427" t="s">
        <v>3008</v>
      </c>
      <c r="DQ3427" s="459" t="s">
        <v>885</v>
      </c>
      <c r="DR3427" s="459" t="s">
        <v>885</v>
      </c>
      <c r="DS3427" t="s">
        <v>3195</v>
      </c>
      <c r="DT3427" s="459" t="s">
        <v>885</v>
      </c>
      <c r="DU3427" s="459" t="s">
        <v>885</v>
      </c>
      <c r="DV3427" s="459" t="s">
        <v>885</v>
      </c>
      <c r="DW3427" s="245" t="s">
        <v>885</v>
      </c>
      <c r="DX3427" s="245" t="s">
        <v>885</v>
      </c>
      <c r="DY3427" s="245"/>
      <c r="DZ3427" s="470" t="str">
        <f>IF($B$265=$B$3278,EB3427,IF($B$265=$B$3279,ED3427,IF($B$265=$B$3280,EF3427,IF($B$265=$B$3281,EH3427,IF($B$265=$B$3282,EJ3427,IF($B$265=$B$3283,EL3427,IF($B$265=$B$3284,EN3427,IF($B$265=$B$3285,EP3427,IF($B$265=$B$3286,ER3427,IF($B$265=$B$3287,ET3427,IF($B$265=$B$3288,EV3427,IF($B$265=$B$3289,EX3427,IF($B$265=$B$3290,EZ3427,IF($B$265=$B$3291,FB3427,IF($B$265=$B$3292,FD3427,IF($B$265=$B$3293,BU3427,IF($B$265=$B$3294,FF3427,IF($B$265=$B$3295,FH3427,IF($B$265=$B$3296,FJ3427,IF($B$265=$B$3297,FL3427,IF($B$265=$B$3298,FN3427,IF($B$265=$B$3299,FP3427,IF(BI$265=$B$3300,FR3427,IF($B$265=$B$3301,FT3427,IF($B$265=$B$3302,FV3427,IF($B$265=$B$3303,FX3427,IF($B$265=$B$3304,FZ3427,IF($B$265=$B$3305,GB3427,IF($B$265=$B$3306,GD3427,IF($B$265=$B$3307,GF3427,IF($B$265=$B$3308,GH3427,IF($B$265=$B$3309,GJ3427,IF($B$265=$B$3310,GL3427,IF($B$265=$B$3311,GN3427,IF($B$265=$B$3312,GP3427,IF($B$265=$B$3313,GR3427,IF($B$265=$B$3314,GT3427,IF($B$265=$B$3315,GV3427,IF($B$265=$B$3316,GX3427,IF($B$265=$B$3317,GZ3427,IF($B$265=$B$3318,HB3427,IF($B$265=$B$3319,HD3427,IF($B$265=$B$3320,HF3427,IF($B$265=$B$3321,HH3427,IF($B$265=$B$3322,HJ3427,IF($B$265=$B$3323,HL3427,IF($B$265=$B$3324,HN3427,IF($B$265=$B$3325,HP3427,IF($B$265=$B$3326,HR3427,IF($B$265=$B$3327,HT3427,IF($B$265=$B$3328,HV3427,IF($B$265=$B$3329,HX3427,""))))))))))))))))))))))))))))))))))))))))))))))))))))</f>
        <v/>
      </c>
      <c r="EA3427" s="470" t="str">
        <f>IF($B$265=$B$3278,EC3427,IF($B$265=$B$3279,EE3427,IF($B$265=$B$3280,EG3427,IF($B$265=$B$3281,EI3427,IF($B$265=$B$3282,EK3427,IF($B$265=$B$3283,EM3427,IF($B$265=$B$3284,EO3427,IF($B$265=$B$3285,EQ3427,IF($B$265=$B$3286,ES3427,IF($B$265=$B$3287,EU3427,IF($B$265=$B$3288,EW3427,IF($B$265=$B$3289,EY3427,IF($B$265=$B$3290,FA3427,IF($B$265=$B$3291,FC3427,IF($B$265=$B$3292,FE3427,IF($B$265=$B$3293,BK3427,IF($B$265=$B$3294,FG3427,IF($B$265=$B$3295,FI3427,IF($B$265=$B$3296,FK3427,IF($B$265=$B$3297,FM3427,IF($B$265=$B$3298,FO3427,IF($B$265=$B$3299,FQ3427,IF(BJ$265=$B$3300,FS3427,IF($B$265=$B$3301,FU3427,IF($B$265=$B$3302,FW3427,IF($B$265=$B$3303,FY3427,IF($B$265=$B$3304,GA3427,IF($B$265=$B$3305,GC3427,IF($B$265=$B$3306,GE3427,IF($B$265=$B$3307,GG3427,IF($B$265=$B$3308,GI3427,IF($B$265=$B$3309,GK3427,IF($B$265=$B$3310,GM3427,IF($B$265=$B$3311,GO3427,IF($B$265=$B$3312,GQ3427,IF($B$265=$B$3313,GS3427,IF($B$265=$B$3314,GU3427,IF($B$265=$B$3315,GW3427,IF($B$265=$B$3316,GY3427,IF($B$265=$B$3317,HA3427,IF($B$265=$B$3318,HC3427,IF($B$265=$B$3319,HE3427,IF($B$265=$B$3320,HG3427,IF($B$265=$B$3321,HI3427,IF($B$265=$B$3322,HK3427,IF($B$265=$B$3323,HM3427,IF($B$265=$B$3324,HO3427,IF($B$265=$B$3325,HQ3427,IF($B$265=$B$3326,HS3427,IF($B$265=$B$3327,HU3427,IF($B$265=$B$3328,HW3427,IF($B$265=$B$3329,HY3427,""))))))))))))))))))))))))))))))))))))))))))))))))))))</f>
        <v/>
      </c>
    </row>
    <row r="3428" spans="1:132" ht="16" hidden="1" x14ac:dyDescent="0.4">
      <c r="A3428" s="813"/>
      <c r="BB3428" s="48"/>
      <c r="BS3428" s="464" t="str">
        <f>IF($B$265=B$3278,BZ3427,IF($B$265=B$3279,CA3427,IF($B$265=B$3280,CB3427,IF($B$265=B$3281,CC3427,IF($B$265=B$3282,CD3427,IF($B$265=B$3283,CE3427,IF($B$265=B$3284,CF3427,IF($B$265=B$3285,CG3427,IF($B$265=B$3286,CH3427,IF($B$265=B$3287,CI3427,IF($B$265=B$3288,CJ3427,IF($B$265=B$3289,CK3427,IF($B$265=B$3290,CL3427,IF($B$265=B$3291,CM3427,IF($B$265=B$3292,CN3427,IF($B$265=B$3293,C3427,IF($B$265=B$3294,CO3427,IF($B$265=B$3295,CP3427,IF($B$265=B$3296,CQ3427,IF($B$265=B$3297,CR3427,IF($B$265=B$3298,CS3427,IF($B$265=B$3299,CT3427,IF(B$265=B$3300,CU3427,IF($B$265=B$3301,CV3427,IF($B$265=B$3302,CW3427,IF($B$265=B$3303,CX3427,IF($B$265=B$3304,CY3427,IF($B$265=B$3305,CZ3427,IF($B$265=B$3306,DA3427,IF($B$265=B$3307,DB3427,IF($B$265=B$3308,DC3427,IF($B$265=B$3309,DD3427,IF($B$265=B$3310,DE3427,IF($B$265=B$3311,DF3427,IF($B$265=B$3312,DG3427,IF($B$265=B$3313,DH3427,IF($B$265=B$3314,DI3427,IF($B$265=B$3315,DJ3427,IF($B$265=B$3316,DK3427,IF($B$265=B$3317,DL3427,IF($B$265=B$3318,DM3427,IF($B$265=B$3319,DN3427,IF($B$265=B$3320,DO3427,IF($B$265=B$3321,DP3427,IF($B$265=B$3322,DQ3427,IF($B$265=B$3323,DR3427,IF($B$265=B$3324,DS3427,IF($B$265=B$3325,DT3427,IF($B$265=B$3326,DU3427,IF($B$265=B$3327,DV3427,IF($B$265=B$3328,DW3427,IF($B$265=B$3329,DX3427,""))))))))))))))))))))))))))))))))))))))))))))))))))))</f>
        <v/>
      </c>
      <c r="BZ3428" s="245" t="s">
        <v>885</v>
      </c>
      <c r="CA3428" s="245" t="s">
        <v>885</v>
      </c>
      <c r="CC3428" s="245" t="s">
        <v>885</v>
      </c>
      <c r="CD3428" s="459" t="s">
        <v>885</v>
      </c>
      <c r="CE3428" s="459" t="s">
        <v>885</v>
      </c>
      <c r="CF3428" s="245" t="s">
        <v>885</v>
      </c>
      <c r="CG3428" s="245" t="s">
        <v>885</v>
      </c>
      <c r="CH3428" s="245" t="s">
        <v>885</v>
      </c>
      <c r="CI3428" s="245" t="s">
        <v>885</v>
      </c>
      <c r="CJ3428" t="s">
        <v>1839</v>
      </c>
      <c r="CK3428" s="459" t="s">
        <v>885</v>
      </c>
      <c r="CL3428" s="459" t="s">
        <v>885</v>
      </c>
      <c r="CM3428" s="459" t="s">
        <v>885</v>
      </c>
      <c r="CN3428" s="459" t="s">
        <v>885</v>
      </c>
      <c r="CO3428" s="459" t="s">
        <v>885</v>
      </c>
      <c r="CP3428" s="459" t="s">
        <v>885</v>
      </c>
      <c r="CQ3428" s="459" t="s">
        <v>885</v>
      </c>
      <c r="CR3428" s="459" t="s">
        <v>885</v>
      </c>
      <c r="CS3428" s="459" t="s">
        <v>885</v>
      </c>
      <c r="CT3428" s="245" t="s">
        <v>885</v>
      </c>
      <c r="CU3428" s="463" t="s">
        <v>885</v>
      </c>
      <c r="CV3428" s="245" t="s">
        <v>885</v>
      </c>
      <c r="CW3428" s="245" t="s">
        <v>885</v>
      </c>
      <c r="CX3428" s="459" t="s">
        <v>885</v>
      </c>
      <c r="CY3428" s="459" t="s">
        <v>885</v>
      </c>
      <c r="CZ3428" s="459" t="s">
        <v>885</v>
      </c>
      <c r="DA3428" s="459" t="s">
        <v>885</v>
      </c>
      <c r="DB3428" s="459" t="s">
        <v>885</v>
      </c>
      <c r="DC3428" s="459" t="s">
        <v>885</v>
      </c>
      <c r="DD3428" s="459" t="s">
        <v>885</v>
      </c>
      <c r="DE3428" s="459" t="s">
        <v>885</v>
      </c>
      <c r="DF3428" s="459" t="s">
        <v>885</v>
      </c>
      <c r="DG3428" s="459" t="s">
        <v>885</v>
      </c>
      <c r="DH3428" s="459" t="s">
        <v>885</v>
      </c>
      <c r="DI3428" s="459" t="s">
        <v>885</v>
      </c>
      <c r="DJ3428" s="459" t="s">
        <v>885</v>
      </c>
      <c r="DK3428" s="459" t="s">
        <v>885</v>
      </c>
      <c r="DL3428" s="459" t="s">
        <v>885</v>
      </c>
      <c r="DM3428" s="459" t="s">
        <v>885</v>
      </c>
      <c r="DN3428" s="459" t="s">
        <v>885</v>
      </c>
      <c r="DO3428" s="459" t="s">
        <v>885</v>
      </c>
      <c r="DP3428" t="s">
        <v>1924</v>
      </c>
      <c r="DQ3428" s="459" t="s">
        <v>885</v>
      </c>
      <c r="DR3428" s="459" t="s">
        <v>885</v>
      </c>
      <c r="DS3428" t="s">
        <v>3196</v>
      </c>
      <c r="DT3428" s="459" t="s">
        <v>885</v>
      </c>
      <c r="DU3428" s="459" t="s">
        <v>885</v>
      </c>
      <c r="DV3428" s="459" t="s">
        <v>885</v>
      </c>
      <c r="DW3428" s="245" t="s">
        <v>885</v>
      </c>
      <c r="DX3428" s="245" t="s">
        <v>885</v>
      </c>
      <c r="DY3428" s="245"/>
      <c r="DZ3428" s="470" t="str">
        <f>IF($B$265=$B$3278,EB3428,IF($B$265=$B$3279,ED3428,IF($B$265=$B$3280,EF3428,IF($B$265=$B$3281,EH3428,IF($B$265=$B$3282,EJ3428,IF($B$265=$B$3283,EL3428,IF($B$265=$B$3284,EN3428,IF($B$265=$B$3285,EP3428,IF($B$265=$B$3286,ER3428,IF($B$265=$B$3287,ET3428,IF($B$265=$B$3288,EV3428,IF($B$265=$B$3289,EX3428,IF($B$265=$B$3290,EZ3428,IF($B$265=$B$3291,FB3428,IF($B$265=$B$3292,FD3428,IF($B$265=$B$3293,BU3428,IF($B$265=$B$3294,FF3428,IF($B$265=$B$3295,FH3428,IF($B$265=$B$3296,FJ3428,IF($B$265=$B$3297,FL3428,IF($B$265=$B$3298,FN3428,IF($B$265=$B$3299,FP3428,IF(BI$265=$B$3300,FR3428,IF($B$265=$B$3301,FT3428,IF($B$265=$B$3302,FV3428,IF($B$265=$B$3303,FX3428,IF($B$265=$B$3304,FZ3428,IF($B$265=$B$3305,GB3428,IF($B$265=$B$3306,GD3428,IF($B$265=$B$3307,GF3428,IF($B$265=$B$3308,GH3428,IF($B$265=$B$3309,GJ3428,IF($B$265=$B$3310,GL3428,IF($B$265=$B$3311,GN3428,IF($B$265=$B$3312,GP3428,IF($B$265=$B$3313,GR3428,IF($B$265=$B$3314,GT3428,IF($B$265=$B$3315,GV3428,IF($B$265=$B$3316,GX3428,IF($B$265=$B$3317,GZ3428,IF($B$265=$B$3318,HB3428,IF($B$265=$B$3319,HD3428,IF($B$265=$B$3320,HF3428,IF($B$265=$B$3321,HH3428,IF($B$265=$B$3322,HJ3428,IF($B$265=$B$3323,HL3428,IF($B$265=$B$3324,HN3428,IF($B$265=$B$3325,HP3428,IF($B$265=$B$3326,HR3428,IF($B$265=$B$3327,HT3428,IF($B$265=$B$3328,HV3428,IF($B$265=$B$3329,HX3428,""))))))))))))))))))))))))))))))))))))))))))))))))))))</f>
        <v/>
      </c>
      <c r="EA3428" s="470" t="str">
        <f>IF($B$265=$B$3278,EC3428,IF($B$265=$B$3279,EE3428,IF($B$265=$B$3280,EG3428,IF($B$265=$B$3281,EI3428,IF($B$265=$B$3282,EK3428,IF($B$265=$B$3283,EM3428,IF($B$265=$B$3284,EO3428,IF($B$265=$B$3285,EQ3428,IF($B$265=$B$3286,ES3428,IF($B$265=$B$3287,EU3428,IF($B$265=$B$3288,EW3428,IF($B$265=$B$3289,EY3428,IF($B$265=$B$3290,FA3428,IF($B$265=$B$3291,FC3428,IF($B$265=$B$3292,FE3428,IF($B$265=$B$3293,BK3428,IF($B$265=$B$3294,FG3428,IF($B$265=$B$3295,FI3428,IF($B$265=$B$3296,FK3428,IF($B$265=$B$3297,FM3428,IF($B$265=$B$3298,FO3428,IF($B$265=$B$3299,FQ3428,IF(BJ$265=$B$3300,FS3428,IF($B$265=$B$3301,FU3428,IF($B$265=$B$3302,FW3428,IF($B$265=$B$3303,FY3428,IF($B$265=$B$3304,GA3428,IF($B$265=$B$3305,GC3428,IF($B$265=$B$3306,GE3428,IF($B$265=$B$3307,GG3428,IF($B$265=$B$3308,GI3428,IF($B$265=$B$3309,GK3428,IF($B$265=$B$3310,GM3428,IF($B$265=$B$3311,GO3428,IF($B$265=$B$3312,GQ3428,IF($B$265=$B$3313,GS3428,IF($B$265=$B$3314,GU3428,IF($B$265=$B$3315,GW3428,IF($B$265=$B$3316,GY3428,IF($B$265=$B$3317,HA3428,IF($B$265=$B$3318,HC3428,IF($B$265=$B$3319,HE3428,IF($B$265=$B$3320,HG3428,IF($B$265=$B$3321,HI3428,IF($B$265=$B$3322,HK3428,IF($B$265=$B$3323,HM3428,IF($B$265=$B$3324,HO3428,IF($B$265=$B$3325,HQ3428,IF($B$265=$B$3326,HS3428,IF($B$265=$B$3327,HU3428,IF($B$265=$B$3328,HW3428,IF($B$265=$B$3329,HY3428,""))))))))))))))))))))))))))))))))))))))))))))))))))))</f>
        <v/>
      </c>
    </row>
    <row r="3429" spans="1:132" ht="16" hidden="1" x14ac:dyDescent="0.4">
      <c r="A3429" s="813"/>
      <c r="BB3429" s="48"/>
      <c r="BS3429" s="464" t="str">
        <f>IF($B$265=B$3278,BZ3428,IF($B$265=B$3279,CA3428,IF($B$265=B$3280,CB3428,IF($B$265=B$3281,CC3428,IF($B$265=B$3282,CD3428,IF($B$265=B$3283,CE3428,IF($B$265=B$3284,CF3428,IF($B$265=B$3285,CG3428,IF($B$265=B$3286,CH3428,IF($B$265=B$3287,CI3428,IF($B$265=B$3288,CJ3428,IF($B$265=B$3289,CK3428,IF($B$265=B$3290,CL3428,IF($B$265=B$3291,CM3428,IF($B$265=B$3292,CN3428,IF($B$265=B$3293,C3428,IF($B$265=B$3294,CO3428,IF($B$265=B$3295,CP3428,IF($B$265=B$3296,CQ3428,IF($B$265=B$3297,CR3428,IF($B$265=B$3298,CS3428,IF($B$265=B$3299,CT3428,IF(B$265=B$3300,CU3428,IF($B$265=B$3301,CV3428,IF($B$265=B$3302,CW3428,IF($B$265=B$3303,CX3428,IF($B$265=B$3304,CY3428,IF($B$265=B$3305,CZ3428,IF($B$265=B$3306,DA3428,IF($B$265=B$3307,DB3428,IF($B$265=B$3308,DC3428,IF($B$265=B$3309,DD3428,IF($B$265=B$3310,DE3428,IF($B$265=B$3311,DF3428,IF($B$265=B$3312,DG3428,IF($B$265=B$3313,DH3428,IF($B$265=B$3314,DI3428,IF($B$265=B$3315,DJ3428,IF($B$265=B$3316,DK3428,IF($B$265=B$3317,DL3428,IF($B$265=B$3318,DM3428,IF($B$265=B$3319,DN3428,IF($B$265=B$3320,DO3428,IF($B$265=B$3321,DP3428,IF($B$265=B$3322,DQ3428,IF($B$265=B$3323,DR3428,IF($B$265=B$3324,DS3428,IF($B$265=B$3325,DT3428,IF($B$265=B$3326,DU3428,IF($B$265=B$3327,DV3428,IF($B$265=B$3328,DW3428,IF($B$265=B$3329,DX3428,""))))))))))))))))))))))))))))))))))))))))))))))))))))</f>
        <v/>
      </c>
      <c r="BZ3429" s="245" t="s">
        <v>885</v>
      </c>
      <c r="CA3429" s="245" t="s">
        <v>885</v>
      </c>
      <c r="CC3429" s="245" t="s">
        <v>885</v>
      </c>
      <c r="CD3429" s="459" t="s">
        <v>885</v>
      </c>
      <c r="CE3429" s="459" t="s">
        <v>885</v>
      </c>
      <c r="CF3429" s="245" t="s">
        <v>885</v>
      </c>
      <c r="CG3429" s="245" t="s">
        <v>885</v>
      </c>
      <c r="CH3429" s="245" t="s">
        <v>885</v>
      </c>
      <c r="CI3429" s="245" t="s">
        <v>885</v>
      </c>
      <c r="CJ3429" t="s">
        <v>1840</v>
      </c>
      <c r="CK3429" s="459" t="s">
        <v>885</v>
      </c>
      <c r="CL3429" s="459" t="s">
        <v>885</v>
      </c>
      <c r="CM3429" s="459" t="s">
        <v>885</v>
      </c>
      <c r="CN3429" s="459" t="s">
        <v>885</v>
      </c>
      <c r="CO3429" s="459" t="s">
        <v>885</v>
      </c>
      <c r="CP3429" s="459" t="s">
        <v>885</v>
      </c>
      <c r="CQ3429" s="459" t="s">
        <v>885</v>
      </c>
      <c r="CR3429" s="459" t="s">
        <v>885</v>
      </c>
      <c r="CS3429" s="459" t="s">
        <v>885</v>
      </c>
      <c r="CT3429" s="245" t="s">
        <v>885</v>
      </c>
      <c r="CU3429" s="463" t="s">
        <v>885</v>
      </c>
      <c r="CV3429" s="245" t="s">
        <v>885</v>
      </c>
      <c r="CW3429" s="245" t="s">
        <v>885</v>
      </c>
      <c r="CX3429" s="459" t="s">
        <v>885</v>
      </c>
      <c r="CY3429" s="459" t="s">
        <v>885</v>
      </c>
      <c r="CZ3429" s="459" t="s">
        <v>885</v>
      </c>
      <c r="DA3429" s="459" t="s">
        <v>885</v>
      </c>
      <c r="DB3429" s="459" t="s">
        <v>885</v>
      </c>
      <c r="DC3429" s="459" t="s">
        <v>885</v>
      </c>
      <c r="DD3429" s="459" t="s">
        <v>885</v>
      </c>
      <c r="DE3429" s="459" t="s">
        <v>885</v>
      </c>
      <c r="DF3429" s="459" t="s">
        <v>885</v>
      </c>
      <c r="DG3429" s="459" t="s">
        <v>885</v>
      </c>
      <c r="DH3429" s="459" t="s">
        <v>885</v>
      </c>
      <c r="DI3429" s="459" t="s">
        <v>885</v>
      </c>
      <c r="DJ3429" s="459" t="s">
        <v>885</v>
      </c>
      <c r="DK3429" s="459" t="s">
        <v>885</v>
      </c>
      <c r="DL3429" s="459" t="s">
        <v>885</v>
      </c>
      <c r="DM3429" s="459" t="s">
        <v>885</v>
      </c>
      <c r="DN3429" s="459" t="s">
        <v>885</v>
      </c>
      <c r="DO3429" s="459" t="s">
        <v>885</v>
      </c>
      <c r="DP3429" t="s">
        <v>3009</v>
      </c>
      <c r="DQ3429" s="459" t="s">
        <v>885</v>
      </c>
      <c r="DR3429" s="459" t="s">
        <v>885</v>
      </c>
      <c r="DS3429" t="s">
        <v>3086</v>
      </c>
      <c r="DT3429" s="459" t="s">
        <v>885</v>
      </c>
      <c r="DU3429" s="459" t="s">
        <v>885</v>
      </c>
      <c r="DV3429" s="459" t="s">
        <v>885</v>
      </c>
      <c r="DW3429" s="245" t="s">
        <v>885</v>
      </c>
      <c r="DX3429" s="245" t="s">
        <v>885</v>
      </c>
      <c r="DY3429" s="245"/>
      <c r="DZ3429" s="470" t="str">
        <f>IF($B$265=$B$3278,EB3429,IF($B$265=$B$3279,ED3429,IF($B$265=$B$3280,EF3429,IF($B$265=$B$3281,EH3429,IF($B$265=$B$3282,EJ3429,IF($B$265=$B$3283,EL3429,IF($B$265=$B$3284,EN3429,IF($B$265=$B$3285,EP3429,IF($B$265=$B$3286,ER3429,IF($B$265=$B$3287,ET3429,IF($B$265=$B$3288,EV3429,IF($B$265=$B$3289,EX3429,IF($B$265=$B$3290,EZ3429,IF($B$265=$B$3291,FB3429,IF($B$265=$B$3292,FD3429,IF($B$265=$B$3293,BU3429,IF($B$265=$B$3294,FF3429,IF($B$265=$B$3295,FH3429,IF($B$265=$B$3296,FJ3429,IF($B$265=$B$3297,FL3429,IF($B$265=$B$3298,FN3429,IF($B$265=$B$3299,FP3429,IF(BI$265=$B$3300,FR3429,IF($B$265=$B$3301,FT3429,IF($B$265=$B$3302,FV3429,IF($B$265=$B$3303,FX3429,IF($B$265=$B$3304,FZ3429,IF($B$265=$B$3305,GB3429,IF($B$265=$B$3306,GD3429,IF($B$265=$B$3307,GF3429,IF($B$265=$B$3308,GH3429,IF($B$265=$B$3309,GJ3429,IF($B$265=$B$3310,GL3429,IF($B$265=$B$3311,GN3429,IF($B$265=$B$3312,GP3429,IF($B$265=$B$3313,GR3429,IF($B$265=$B$3314,GT3429,IF($B$265=$B$3315,GV3429,IF($B$265=$B$3316,GX3429,IF($B$265=$B$3317,GZ3429,IF($B$265=$B$3318,HB3429,IF($B$265=$B$3319,HD3429,IF($B$265=$B$3320,HF3429,IF($B$265=$B$3321,HH3429,IF($B$265=$B$3322,HJ3429,IF($B$265=$B$3323,HL3429,IF($B$265=$B$3324,HN3429,IF($B$265=$B$3325,HP3429,IF($B$265=$B$3326,HR3429,IF($B$265=$B$3327,HT3429,IF($B$265=$B$3328,HV3429,IF($B$265=$B$3329,HX3429,""))))))))))))))))))))))))))))))))))))))))))))))))))))</f>
        <v/>
      </c>
      <c r="EA3429" s="470" t="str">
        <f>IF($B$265=$B$3278,EC3429,IF($B$265=$B$3279,EE3429,IF($B$265=$B$3280,EG3429,IF($B$265=$B$3281,EI3429,IF($B$265=$B$3282,EK3429,IF($B$265=$B$3283,EM3429,IF($B$265=$B$3284,EO3429,IF($B$265=$B$3285,EQ3429,IF($B$265=$B$3286,ES3429,IF($B$265=$B$3287,EU3429,IF($B$265=$B$3288,EW3429,IF($B$265=$B$3289,EY3429,IF($B$265=$B$3290,FA3429,IF($B$265=$B$3291,FC3429,IF($B$265=$B$3292,FE3429,IF($B$265=$B$3293,BK3429,IF($B$265=$B$3294,FG3429,IF($B$265=$B$3295,FI3429,IF($B$265=$B$3296,FK3429,IF($B$265=$B$3297,FM3429,IF($B$265=$B$3298,FO3429,IF($B$265=$B$3299,FQ3429,IF(BJ$265=$B$3300,FS3429,IF($B$265=$B$3301,FU3429,IF($B$265=$B$3302,FW3429,IF($B$265=$B$3303,FY3429,IF($B$265=$B$3304,GA3429,IF($B$265=$B$3305,GC3429,IF($B$265=$B$3306,GE3429,IF($B$265=$B$3307,GG3429,IF($B$265=$B$3308,GI3429,IF($B$265=$B$3309,GK3429,IF($B$265=$B$3310,GM3429,IF($B$265=$B$3311,GO3429,IF($B$265=$B$3312,GQ3429,IF($B$265=$B$3313,GS3429,IF($B$265=$B$3314,GU3429,IF($B$265=$B$3315,GW3429,IF($B$265=$B$3316,GY3429,IF($B$265=$B$3317,HA3429,IF($B$265=$B$3318,HC3429,IF($B$265=$B$3319,HE3429,IF($B$265=$B$3320,HG3429,IF($B$265=$B$3321,HI3429,IF($B$265=$B$3322,HK3429,IF($B$265=$B$3323,HM3429,IF($B$265=$B$3324,HO3429,IF($B$265=$B$3325,HQ3429,IF($B$265=$B$3326,HS3429,IF($B$265=$B$3327,HU3429,IF($B$265=$B$3328,HW3429,IF($B$265=$B$3329,HY3429,""))))))))))))))))))))))))))))))))))))))))))))))))))))</f>
        <v/>
      </c>
    </row>
    <row r="3430" spans="1:132" ht="16" hidden="1" x14ac:dyDescent="0.4">
      <c r="A3430" s="813"/>
      <c r="BB3430" s="48"/>
      <c r="BS3430" s="464" t="str">
        <f>IF($B$265=B$3278,BZ3429,IF($B$265=B$3279,CA3429,IF($B$265=B$3280,CB3429,IF($B$265=B$3281,CC3429,IF($B$265=B$3282,CD3429,IF($B$265=B$3283,CE3429,IF($B$265=B$3284,CF3429,IF($B$265=B$3285,CG3429,IF($B$265=B$3286,CH3429,IF($B$265=B$3287,CI3429,IF($B$265=B$3288,CJ3429,IF($B$265=B$3289,CK3429,IF($B$265=B$3290,CL3429,IF($B$265=B$3291,CM3429,IF($B$265=B$3292,CN3429,IF($B$265=B$3293,C3429,IF($B$265=B$3294,CO3429,IF($B$265=B$3295,CP3429,IF($B$265=B$3296,CQ3429,IF($B$265=B$3297,CR3429,IF($B$265=B$3298,CS3429,IF($B$265=B$3299,CT3429,IF(B$265=B$3300,CU3429,IF($B$265=B$3301,CV3429,IF($B$265=B$3302,CW3429,IF($B$265=B$3303,CX3429,IF($B$265=B$3304,CY3429,IF($B$265=B$3305,CZ3429,IF($B$265=B$3306,DA3429,IF($B$265=B$3307,DB3429,IF($B$265=B$3308,DC3429,IF($B$265=B$3309,DD3429,IF($B$265=B$3310,DE3429,IF($B$265=B$3311,DF3429,IF($B$265=B$3312,DG3429,IF($B$265=B$3313,DH3429,IF($B$265=B$3314,DI3429,IF($B$265=B$3315,DJ3429,IF($B$265=B$3316,DK3429,IF($B$265=B$3317,DL3429,IF($B$265=B$3318,DM3429,IF($B$265=B$3319,DN3429,IF($B$265=B$3320,DO3429,IF($B$265=B$3321,DP3429,IF($B$265=B$3322,DQ3429,IF($B$265=B$3323,DR3429,IF($B$265=B$3324,DS3429,IF($B$265=B$3325,DT3429,IF($B$265=B$3326,DU3429,IF($B$265=B$3327,DV3429,IF($B$265=B$3328,DW3429,IF($B$265=B$3329,DX3429,""))))))))))))))))))))))))))))))))))))))))))))))))))))</f>
        <v/>
      </c>
      <c r="BZ3430" s="245" t="s">
        <v>885</v>
      </c>
      <c r="CA3430" s="245" t="s">
        <v>885</v>
      </c>
      <c r="CC3430" s="245" t="s">
        <v>885</v>
      </c>
      <c r="CD3430" s="459" t="s">
        <v>885</v>
      </c>
      <c r="CE3430" s="459" t="s">
        <v>885</v>
      </c>
      <c r="CF3430" s="245" t="s">
        <v>885</v>
      </c>
      <c r="CG3430" s="245" t="s">
        <v>885</v>
      </c>
      <c r="CH3430" s="245" t="s">
        <v>885</v>
      </c>
      <c r="CI3430" s="245" t="s">
        <v>885</v>
      </c>
      <c r="CJ3430" t="s">
        <v>1841</v>
      </c>
      <c r="CK3430" s="459" t="s">
        <v>885</v>
      </c>
      <c r="CL3430" s="459" t="s">
        <v>885</v>
      </c>
      <c r="CM3430" s="459" t="s">
        <v>885</v>
      </c>
      <c r="CN3430" s="459" t="s">
        <v>885</v>
      </c>
      <c r="CO3430" s="459" t="s">
        <v>885</v>
      </c>
      <c r="CP3430" s="459" t="s">
        <v>885</v>
      </c>
      <c r="CQ3430" s="459" t="s">
        <v>885</v>
      </c>
      <c r="CR3430" s="459" t="s">
        <v>885</v>
      </c>
      <c r="CS3430" s="459" t="s">
        <v>885</v>
      </c>
      <c r="CT3430" s="245" t="s">
        <v>885</v>
      </c>
      <c r="CU3430" s="463" t="s">
        <v>885</v>
      </c>
      <c r="CV3430" s="245" t="s">
        <v>885</v>
      </c>
      <c r="CW3430" s="245" t="s">
        <v>885</v>
      </c>
      <c r="CX3430" s="459" t="s">
        <v>885</v>
      </c>
      <c r="CY3430" s="459" t="s">
        <v>885</v>
      </c>
      <c r="CZ3430" s="459" t="s">
        <v>885</v>
      </c>
      <c r="DA3430" s="459" t="s">
        <v>885</v>
      </c>
      <c r="DB3430" s="459" t="s">
        <v>885</v>
      </c>
      <c r="DC3430" s="459" t="s">
        <v>885</v>
      </c>
      <c r="DD3430" s="459" t="s">
        <v>885</v>
      </c>
      <c r="DE3430" s="459" t="s">
        <v>885</v>
      </c>
      <c r="DF3430" s="459" t="s">
        <v>885</v>
      </c>
      <c r="DG3430" s="459" t="s">
        <v>885</v>
      </c>
      <c r="DH3430" s="459" t="s">
        <v>885</v>
      </c>
      <c r="DI3430" s="459" t="s">
        <v>885</v>
      </c>
      <c r="DJ3430" s="459" t="s">
        <v>885</v>
      </c>
      <c r="DK3430" s="459" t="s">
        <v>885</v>
      </c>
      <c r="DL3430" s="459" t="s">
        <v>885</v>
      </c>
      <c r="DM3430" s="459" t="s">
        <v>885</v>
      </c>
      <c r="DN3430" s="459" t="s">
        <v>885</v>
      </c>
      <c r="DO3430" s="459" t="s">
        <v>885</v>
      </c>
      <c r="DP3430" t="s">
        <v>148</v>
      </c>
      <c r="DQ3430" s="459" t="s">
        <v>885</v>
      </c>
      <c r="DR3430" s="459" t="s">
        <v>885</v>
      </c>
      <c r="DS3430" t="s">
        <v>3197</v>
      </c>
      <c r="DT3430" s="459" t="s">
        <v>885</v>
      </c>
      <c r="DU3430" s="459" t="s">
        <v>885</v>
      </c>
      <c r="DV3430" s="459" t="s">
        <v>885</v>
      </c>
      <c r="DW3430" s="245" t="s">
        <v>885</v>
      </c>
      <c r="DX3430" s="245" t="s">
        <v>885</v>
      </c>
      <c r="DY3430" s="245"/>
      <c r="DZ3430" s="470" t="str">
        <f>IF($B$265=$B$3278,EB3430,IF($B$265=$B$3279,ED3430,IF($B$265=$B$3280,EF3430,IF($B$265=$B$3281,EH3430,IF($B$265=$B$3282,EJ3430,IF($B$265=$B$3283,EL3430,IF($B$265=$B$3284,EN3430,IF($B$265=$B$3285,EP3430,IF($B$265=$B$3286,ER3430,IF($B$265=$B$3287,ET3430,IF($B$265=$B$3288,EV3430,IF($B$265=$B$3289,EX3430,IF($B$265=$B$3290,EZ3430,IF($B$265=$B$3291,FB3430,IF($B$265=$B$3292,FD3430,IF($B$265=$B$3293,BU3430,IF($B$265=$B$3294,FF3430,IF($B$265=$B$3295,FH3430,IF($B$265=$B$3296,FJ3430,IF($B$265=$B$3297,FL3430,IF($B$265=$B$3298,FN3430,IF($B$265=$B$3299,FP3430,IF(BI$265=$B$3300,FR3430,IF($B$265=$B$3301,FT3430,IF($B$265=$B$3302,FV3430,IF($B$265=$B$3303,FX3430,IF($B$265=$B$3304,FZ3430,IF($B$265=$B$3305,GB3430,IF($B$265=$B$3306,GD3430,IF($B$265=$B$3307,GF3430,IF($B$265=$B$3308,GH3430,IF($B$265=$B$3309,GJ3430,IF($B$265=$B$3310,GL3430,IF($B$265=$B$3311,GN3430,IF($B$265=$B$3312,GP3430,IF($B$265=$B$3313,GR3430,IF($B$265=$B$3314,GT3430,IF($B$265=$B$3315,GV3430,IF($B$265=$B$3316,GX3430,IF($B$265=$B$3317,GZ3430,IF($B$265=$B$3318,HB3430,IF($B$265=$B$3319,HD3430,IF($B$265=$B$3320,HF3430,IF($B$265=$B$3321,HH3430,IF($B$265=$B$3322,HJ3430,IF($B$265=$B$3323,HL3430,IF($B$265=$B$3324,HN3430,IF($B$265=$B$3325,HP3430,IF($B$265=$B$3326,HR3430,IF($B$265=$B$3327,HT3430,IF($B$265=$B$3328,HV3430,IF($B$265=$B$3329,HX3430,""))))))))))))))))))))))))))))))))))))))))))))))))))))</f>
        <v/>
      </c>
      <c r="EA3430" s="470" t="str">
        <f>IF($B$265=$B$3278,EC3430,IF($B$265=$B$3279,EE3430,IF($B$265=$B$3280,EG3430,IF($B$265=$B$3281,EI3430,IF($B$265=$B$3282,EK3430,IF($B$265=$B$3283,EM3430,IF($B$265=$B$3284,EO3430,IF($B$265=$B$3285,EQ3430,IF($B$265=$B$3286,ES3430,IF($B$265=$B$3287,EU3430,IF($B$265=$B$3288,EW3430,IF($B$265=$B$3289,EY3430,IF($B$265=$B$3290,FA3430,IF($B$265=$B$3291,FC3430,IF($B$265=$B$3292,FE3430,IF($B$265=$B$3293,BK3430,IF($B$265=$B$3294,FG3430,IF($B$265=$B$3295,FI3430,IF($B$265=$B$3296,FK3430,IF($B$265=$B$3297,FM3430,IF($B$265=$B$3298,FO3430,IF($B$265=$B$3299,FQ3430,IF(BJ$265=$B$3300,FS3430,IF($B$265=$B$3301,FU3430,IF($B$265=$B$3302,FW3430,IF($B$265=$B$3303,FY3430,IF($B$265=$B$3304,GA3430,IF($B$265=$B$3305,GC3430,IF($B$265=$B$3306,GE3430,IF($B$265=$B$3307,GG3430,IF($B$265=$B$3308,GI3430,IF($B$265=$B$3309,GK3430,IF($B$265=$B$3310,GM3430,IF($B$265=$B$3311,GO3430,IF($B$265=$B$3312,GQ3430,IF($B$265=$B$3313,GS3430,IF($B$265=$B$3314,GU3430,IF($B$265=$B$3315,GW3430,IF($B$265=$B$3316,GY3430,IF($B$265=$B$3317,HA3430,IF($B$265=$B$3318,HC3430,IF($B$265=$B$3319,HE3430,IF($B$265=$B$3320,HG3430,IF($B$265=$B$3321,HI3430,IF($B$265=$B$3322,HK3430,IF($B$265=$B$3323,HM3430,IF($B$265=$B$3324,HO3430,IF($B$265=$B$3325,HQ3430,IF($B$265=$B$3326,HS3430,IF($B$265=$B$3327,HU3430,IF($B$265=$B$3328,HW3430,IF($B$265=$B$3329,HY3430,""))))))))))))))))))))))))))))))))))))))))))))))))))))</f>
        <v/>
      </c>
    </row>
    <row r="3431" spans="1:132" ht="16" hidden="1" x14ac:dyDescent="0.4">
      <c r="A3431" s="813"/>
      <c r="BB3431" s="48"/>
      <c r="BS3431" s="464" t="str">
        <f>IF($B$265=B$3278,BZ3430,IF($B$265=B$3279,CA3430,IF($B$265=B$3280,CB3430,IF($B$265=B$3281,CC3430,IF($B$265=B$3282,CD3430,IF($B$265=B$3283,CE3430,IF($B$265=B$3284,CF3430,IF($B$265=B$3285,CG3430,IF($B$265=B$3286,CH3430,IF($B$265=B$3287,CI3430,IF($B$265=B$3288,CJ3430,IF($B$265=B$3289,CK3430,IF($B$265=B$3290,CL3430,IF($B$265=B$3291,CM3430,IF($B$265=B$3292,CN3430,IF($B$265=B$3293,C3430,IF($B$265=B$3294,CO3430,IF($B$265=B$3295,CP3430,IF($B$265=B$3296,CQ3430,IF($B$265=B$3297,CR3430,IF($B$265=B$3298,CS3430,IF($B$265=B$3299,CT3430,IF(B$265=B$3300,CU3430,IF($B$265=B$3301,CV3430,IF($B$265=B$3302,CW3430,IF($B$265=B$3303,CX3430,IF($B$265=B$3304,CY3430,IF($B$265=B$3305,CZ3430,IF($B$265=B$3306,DA3430,IF($B$265=B$3307,DB3430,IF($B$265=B$3308,DC3430,IF($B$265=B$3309,DD3430,IF($B$265=B$3310,DE3430,IF($B$265=B$3311,DF3430,IF($B$265=B$3312,DG3430,IF($B$265=B$3313,DH3430,IF($B$265=B$3314,DI3430,IF($B$265=B$3315,DJ3430,IF($B$265=B$3316,DK3430,IF($B$265=B$3317,DL3430,IF($B$265=B$3318,DM3430,IF($B$265=B$3319,DN3430,IF($B$265=B$3320,DO3430,IF($B$265=B$3321,DP3430,IF($B$265=B$3322,DQ3430,IF($B$265=B$3323,DR3430,IF($B$265=B$3324,DS3430,IF($B$265=B$3325,DT3430,IF($B$265=B$3326,DU3430,IF($B$265=B$3327,DV3430,IF($B$265=B$3328,DW3430,IF($B$265=B$3329,DX3430,""))))))))))))))))))))))))))))))))))))))))))))))))))))</f>
        <v/>
      </c>
      <c r="BZ3431" s="245" t="s">
        <v>885</v>
      </c>
      <c r="CA3431" s="245" t="s">
        <v>885</v>
      </c>
      <c r="CC3431" s="245" t="s">
        <v>885</v>
      </c>
      <c r="CD3431" s="459" t="s">
        <v>885</v>
      </c>
      <c r="CE3431" s="459" t="s">
        <v>885</v>
      </c>
      <c r="CF3431" s="245" t="s">
        <v>885</v>
      </c>
      <c r="CG3431" s="245" t="s">
        <v>885</v>
      </c>
      <c r="CH3431" s="245" t="s">
        <v>885</v>
      </c>
      <c r="CI3431" s="245" t="s">
        <v>885</v>
      </c>
      <c r="CJ3431" t="s">
        <v>1750</v>
      </c>
      <c r="CK3431" s="459" t="s">
        <v>885</v>
      </c>
      <c r="CL3431" s="459" t="s">
        <v>885</v>
      </c>
      <c r="CM3431" s="459" t="s">
        <v>885</v>
      </c>
      <c r="CN3431" s="459" t="s">
        <v>885</v>
      </c>
      <c r="CO3431" s="459" t="s">
        <v>885</v>
      </c>
      <c r="CP3431" s="459" t="s">
        <v>885</v>
      </c>
      <c r="CQ3431" s="459" t="s">
        <v>885</v>
      </c>
      <c r="CR3431" s="459" t="s">
        <v>885</v>
      </c>
      <c r="CS3431" s="459" t="s">
        <v>885</v>
      </c>
      <c r="CT3431" s="245" t="s">
        <v>885</v>
      </c>
      <c r="CU3431" s="463" t="s">
        <v>885</v>
      </c>
      <c r="CV3431" s="245" t="s">
        <v>885</v>
      </c>
      <c r="CW3431" s="245" t="s">
        <v>885</v>
      </c>
      <c r="CX3431" s="459" t="s">
        <v>885</v>
      </c>
      <c r="CY3431" s="459" t="s">
        <v>885</v>
      </c>
      <c r="CZ3431" s="459" t="s">
        <v>885</v>
      </c>
      <c r="DA3431" s="459" t="s">
        <v>885</v>
      </c>
      <c r="DB3431" s="459" t="s">
        <v>885</v>
      </c>
      <c r="DC3431" s="459" t="s">
        <v>885</v>
      </c>
      <c r="DD3431" s="459" t="s">
        <v>885</v>
      </c>
      <c r="DE3431" s="459" t="s">
        <v>885</v>
      </c>
      <c r="DF3431" s="459" t="s">
        <v>885</v>
      </c>
      <c r="DG3431" s="459" t="s">
        <v>885</v>
      </c>
      <c r="DH3431" s="459" t="s">
        <v>885</v>
      </c>
      <c r="DI3431" s="459" t="s">
        <v>885</v>
      </c>
      <c r="DJ3431" s="459" t="s">
        <v>885</v>
      </c>
      <c r="DK3431" s="459" t="s">
        <v>885</v>
      </c>
      <c r="DL3431" s="459" t="s">
        <v>885</v>
      </c>
      <c r="DM3431" s="459" t="s">
        <v>885</v>
      </c>
      <c r="DN3431" s="459" t="s">
        <v>885</v>
      </c>
      <c r="DO3431" s="459" t="s">
        <v>885</v>
      </c>
      <c r="DP3431" t="s">
        <v>3010</v>
      </c>
      <c r="DQ3431" s="459" t="s">
        <v>885</v>
      </c>
      <c r="DR3431" s="459" t="s">
        <v>885</v>
      </c>
      <c r="DS3431" t="s">
        <v>2531</v>
      </c>
      <c r="DT3431" s="459" t="s">
        <v>885</v>
      </c>
      <c r="DU3431" s="459" t="s">
        <v>885</v>
      </c>
      <c r="DV3431" s="459" t="s">
        <v>885</v>
      </c>
      <c r="DW3431" s="245" t="s">
        <v>885</v>
      </c>
      <c r="DX3431" s="245" t="s">
        <v>885</v>
      </c>
      <c r="DY3431" s="245"/>
      <c r="DZ3431" s="470" t="str">
        <f>IF($B$265=$B$3278,EB3431,IF($B$265=$B$3279,ED3431,IF($B$265=$B$3280,EF3431,IF($B$265=$B$3281,EH3431,IF($B$265=$B$3282,EJ3431,IF($B$265=$B$3283,EL3431,IF($B$265=$B$3284,EN3431,IF($B$265=$B$3285,EP3431,IF($B$265=$B$3286,ER3431,IF($B$265=$B$3287,ET3431,IF($B$265=$B$3288,EV3431,IF($B$265=$B$3289,EX3431,IF($B$265=$B$3290,EZ3431,IF($B$265=$B$3291,FB3431,IF($B$265=$B$3292,FD3431,IF($B$265=$B$3293,BU3431,IF($B$265=$B$3294,FF3431,IF($B$265=$B$3295,FH3431,IF($B$265=$B$3296,FJ3431,IF($B$265=$B$3297,FL3431,IF($B$265=$B$3298,FN3431,IF($B$265=$B$3299,FP3431,IF(BI$265=$B$3300,FR3431,IF($B$265=$B$3301,FT3431,IF($B$265=$B$3302,FV3431,IF($B$265=$B$3303,FX3431,IF($B$265=$B$3304,FZ3431,IF($B$265=$B$3305,GB3431,IF($B$265=$B$3306,GD3431,IF($B$265=$B$3307,GF3431,IF($B$265=$B$3308,GH3431,IF($B$265=$B$3309,GJ3431,IF($B$265=$B$3310,GL3431,IF($B$265=$B$3311,GN3431,IF($B$265=$B$3312,GP3431,IF($B$265=$B$3313,GR3431,IF($B$265=$B$3314,GT3431,IF($B$265=$B$3315,GV3431,IF($B$265=$B$3316,GX3431,IF($B$265=$B$3317,GZ3431,IF($B$265=$B$3318,HB3431,IF($B$265=$B$3319,HD3431,IF($B$265=$B$3320,HF3431,IF($B$265=$B$3321,HH3431,IF($B$265=$B$3322,HJ3431,IF($B$265=$B$3323,HL3431,IF($B$265=$B$3324,HN3431,IF($B$265=$B$3325,HP3431,IF($B$265=$B$3326,HR3431,IF($B$265=$B$3327,HT3431,IF($B$265=$B$3328,HV3431,IF($B$265=$B$3329,HX3431,""))))))))))))))))))))))))))))))))))))))))))))))))))))</f>
        <v/>
      </c>
      <c r="EA3431" s="470" t="str">
        <f>IF($B$265=$B$3278,EC3431,IF($B$265=$B$3279,EE3431,IF($B$265=$B$3280,EG3431,IF($B$265=$B$3281,EI3431,IF($B$265=$B$3282,EK3431,IF($B$265=$B$3283,EM3431,IF($B$265=$B$3284,EO3431,IF($B$265=$B$3285,EQ3431,IF($B$265=$B$3286,ES3431,IF($B$265=$B$3287,EU3431,IF($B$265=$B$3288,EW3431,IF($B$265=$B$3289,EY3431,IF($B$265=$B$3290,FA3431,IF($B$265=$B$3291,FC3431,IF($B$265=$B$3292,FE3431,IF($B$265=$B$3293,BK3431,IF($B$265=$B$3294,FG3431,IF($B$265=$B$3295,FI3431,IF($B$265=$B$3296,FK3431,IF($B$265=$B$3297,FM3431,IF($B$265=$B$3298,FO3431,IF($B$265=$B$3299,FQ3431,IF(BJ$265=$B$3300,FS3431,IF($B$265=$B$3301,FU3431,IF($B$265=$B$3302,FW3431,IF($B$265=$B$3303,FY3431,IF($B$265=$B$3304,GA3431,IF($B$265=$B$3305,GC3431,IF($B$265=$B$3306,GE3431,IF($B$265=$B$3307,GG3431,IF($B$265=$B$3308,GI3431,IF($B$265=$B$3309,GK3431,IF($B$265=$B$3310,GM3431,IF($B$265=$B$3311,GO3431,IF($B$265=$B$3312,GQ3431,IF($B$265=$B$3313,GS3431,IF($B$265=$B$3314,GU3431,IF($B$265=$B$3315,GW3431,IF($B$265=$B$3316,GY3431,IF($B$265=$B$3317,HA3431,IF($B$265=$B$3318,HC3431,IF($B$265=$B$3319,HE3431,IF($B$265=$B$3320,HG3431,IF($B$265=$B$3321,HI3431,IF($B$265=$B$3322,HK3431,IF($B$265=$B$3323,HM3431,IF($B$265=$B$3324,HO3431,IF($B$265=$B$3325,HQ3431,IF($B$265=$B$3326,HS3431,IF($B$265=$B$3327,HU3431,IF($B$265=$B$3328,HW3431,IF($B$265=$B$3329,HY3431,""))))))))))))))))))))))))))))))))))))))))))))))))))))</f>
        <v/>
      </c>
    </row>
    <row r="3432" spans="1:132" ht="16" hidden="1" x14ac:dyDescent="0.4">
      <c r="A3432" s="813"/>
      <c r="BB3432" s="48"/>
      <c r="BS3432" s="464" t="str">
        <f>IF($B$265=B$3278,BZ3431,IF($B$265=B$3279,CA3431,IF($B$265=B$3280,CB3431,IF($B$265=B$3281,CC3431,IF($B$265=B$3282,CD3431,IF($B$265=B$3283,CE3431,IF($B$265=B$3284,CF3431,IF($B$265=B$3285,CG3431,IF($B$265=B$3286,CH3431,IF($B$265=B$3287,CI3431,IF($B$265=B$3288,CJ3431,IF($B$265=B$3289,CK3431,IF($B$265=B$3290,CL3431,IF($B$265=B$3291,CM3431,IF($B$265=B$3292,CN3431,IF($B$265=B$3293,C3431,IF($B$265=B$3294,CO3431,IF($B$265=B$3295,CP3431,IF($B$265=B$3296,CQ3431,IF($B$265=B$3297,CR3431,IF($B$265=B$3298,CS3431,IF($B$265=B$3299,CT3431,IF(B$265=B$3300,CU3431,IF($B$265=B$3301,CV3431,IF($B$265=B$3302,CW3431,IF($B$265=B$3303,CX3431,IF($B$265=B$3304,CY3431,IF($B$265=B$3305,CZ3431,IF($B$265=B$3306,DA3431,IF($B$265=B$3307,DB3431,IF($B$265=B$3308,DC3431,IF($B$265=B$3309,DD3431,IF($B$265=B$3310,DE3431,IF($B$265=B$3311,DF3431,IF($B$265=B$3312,DG3431,IF($B$265=B$3313,DH3431,IF($B$265=B$3314,DI3431,IF($B$265=B$3315,DJ3431,IF($B$265=B$3316,DK3431,IF($B$265=B$3317,DL3431,IF($B$265=B$3318,DM3431,IF($B$265=B$3319,DN3431,IF($B$265=B$3320,DO3431,IF($B$265=B$3321,DP3431,IF($B$265=B$3322,DQ3431,IF($B$265=B$3323,DR3431,IF($B$265=B$3324,DS3431,IF($B$265=B$3325,DT3431,IF($B$265=B$3326,DU3431,IF($B$265=B$3327,DV3431,IF($B$265=B$3328,DW3431,IF($B$265=B$3329,DX3431,""))))))))))))))))))))))))))))))))))))))))))))))))))))</f>
        <v/>
      </c>
      <c r="BZ3432" s="245" t="s">
        <v>885</v>
      </c>
      <c r="CA3432" s="245" t="s">
        <v>885</v>
      </c>
      <c r="CC3432" s="245" t="s">
        <v>885</v>
      </c>
      <c r="CD3432" s="459" t="s">
        <v>885</v>
      </c>
      <c r="CE3432" s="459" t="s">
        <v>885</v>
      </c>
      <c r="CF3432" s="245" t="s">
        <v>885</v>
      </c>
      <c r="CG3432" s="245" t="s">
        <v>885</v>
      </c>
      <c r="CH3432" s="245" t="s">
        <v>885</v>
      </c>
      <c r="CI3432" s="245" t="s">
        <v>885</v>
      </c>
      <c r="CJ3432" t="s">
        <v>1842</v>
      </c>
      <c r="CK3432" s="459" t="s">
        <v>885</v>
      </c>
      <c r="CL3432" s="459" t="s">
        <v>885</v>
      </c>
      <c r="CM3432" s="459" t="s">
        <v>885</v>
      </c>
      <c r="CN3432" s="459" t="s">
        <v>885</v>
      </c>
      <c r="CO3432" s="459" t="s">
        <v>885</v>
      </c>
      <c r="CP3432" s="459" t="s">
        <v>885</v>
      </c>
      <c r="CQ3432" s="459" t="s">
        <v>885</v>
      </c>
      <c r="CR3432" s="459" t="s">
        <v>885</v>
      </c>
      <c r="CS3432" s="459" t="s">
        <v>885</v>
      </c>
      <c r="CT3432" s="245" t="s">
        <v>885</v>
      </c>
      <c r="CU3432" s="463" t="s">
        <v>885</v>
      </c>
      <c r="CV3432" s="245" t="s">
        <v>885</v>
      </c>
      <c r="CW3432" s="245" t="s">
        <v>885</v>
      </c>
      <c r="CX3432" s="459" t="s">
        <v>885</v>
      </c>
      <c r="CY3432" s="459" t="s">
        <v>885</v>
      </c>
      <c r="CZ3432" s="459" t="s">
        <v>885</v>
      </c>
      <c r="DA3432" s="459" t="s">
        <v>885</v>
      </c>
      <c r="DB3432" s="459" t="s">
        <v>885</v>
      </c>
      <c r="DC3432" s="459" t="s">
        <v>885</v>
      </c>
      <c r="DD3432" s="459" t="s">
        <v>885</v>
      </c>
      <c r="DE3432" s="459" t="s">
        <v>885</v>
      </c>
      <c r="DF3432" s="459" t="s">
        <v>885</v>
      </c>
      <c r="DG3432" s="459" t="s">
        <v>885</v>
      </c>
      <c r="DH3432" s="459" t="s">
        <v>885</v>
      </c>
      <c r="DI3432" s="459" t="s">
        <v>885</v>
      </c>
      <c r="DJ3432" s="459" t="s">
        <v>885</v>
      </c>
      <c r="DK3432" s="459" t="s">
        <v>885</v>
      </c>
      <c r="DL3432" s="459" t="s">
        <v>885</v>
      </c>
      <c r="DM3432" s="459" t="s">
        <v>885</v>
      </c>
      <c r="DN3432" s="459" t="s">
        <v>885</v>
      </c>
      <c r="DO3432" s="459" t="s">
        <v>885</v>
      </c>
      <c r="DP3432" t="s">
        <v>3011</v>
      </c>
      <c r="DQ3432" s="459" t="s">
        <v>885</v>
      </c>
      <c r="DR3432" s="459" t="s">
        <v>885</v>
      </c>
      <c r="DS3432" s="459" t="s">
        <v>885</v>
      </c>
      <c r="DT3432" s="459" t="s">
        <v>885</v>
      </c>
      <c r="DU3432" s="459" t="s">
        <v>885</v>
      </c>
      <c r="DV3432" s="459" t="s">
        <v>885</v>
      </c>
      <c r="DW3432" s="245" t="s">
        <v>885</v>
      </c>
      <c r="DX3432" s="245" t="s">
        <v>885</v>
      </c>
      <c r="DY3432" s="245"/>
      <c r="DZ3432" s="470" t="str">
        <f>IF($B$265=$B$3278,EB3432,IF($B$265=$B$3279,ED3432,IF($B$265=$B$3280,EF3432,IF($B$265=$B$3281,EH3432,IF($B$265=$B$3282,EJ3432,IF($B$265=$B$3283,EL3432,IF($B$265=$B$3284,EN3432,IF($B$265=$B$3285,EP3432,IF($B$265=$B$3286,ER3432,IF($B$265=$B$3287,ET3432,IF($B$265=$B$3288,EV3432,IF($B$265=$B$3289,EX3432,IF($B$265=$B$3290,EZ3432,IF($B$265=$B$3291,FB3432,IF($B$265=$B$3292,FD3432,IF($B$265=$B$3293,BU3432,IF($B$265=$B$3294,FF3432,IF($B$265=$B$3295,FH3432,IF($B$265=$B$3296,FJ3432,IF($B$265=$B$3297,FL3432,IF($B$265=$B$3298,FN3432,IF($B$265=$B$3299,FP3432,IF(BI$265=$B$3300,FR3432,IF($B$265=$B$3301,FT3432,IF($B$265=$B$3302,FV3432,IF($B$265=$B$3303,FX3432,IF($B$265=$B$3304,FZ3432,IF($B$265=$B$3305,GB3432,IF($B$265=$B$3306,GD3432,IF($B$265=$B$3307,GF3432,IF($B$265=$B$3308,GH3432,IF($B$265=$B$3309,GJ3432,IF($B$265=$B$3310,GL3432,IF($B$265=$B$3311,GN3432,IF($B$265=$B$3312,GP3432,IF($B$265=$B$3313,GR3432,IF($B$265=$B$3314,GT3432,IF($B$265=$B$3315,GV3432,IF($B$265=$B$3316,GX3432,IF($B$265=$B$3317,GZ3432,IF($B$265=$B$3318,HB3432,IF($B$265=$B$3319,HD3432,IF($B$265=$B$3320,HF3432,IF($B$265=$B$3321,HH3432,IF($B$265=$B$3322,HJ3432,IF($B$265=$B$3323,HL3432,IF($B$265=$B$3324,HN3432,IF($B$265=$B$3325,HP3432,IF($B$265=$B$3326,HR3432,IF($B$265=$B$3327,HT3432,IF($B$265=$B$3328,HV3432,IF($B$265=$B$3329,HX3432,""))))))))))))))))))))))))))))))))))))))))))))))))))))</f>
        <v/>
      </c>
      <c r="EA3432" s="470" t="str">
        <f>IF($B$265=$B$3278,EC3432,IF($B$265=$B$3279,EE3432,IF($B$265=$B$3280,EG3432,IF($B$265=$B$3281,EI3432,IF($B$265=$B$3282,EK3432,IF($B$265=$B$3283,EM3432,IF($B$265=$B$3284,EO3432,IF($B$265=$B$3285,EQ3432,IF($B$265=$B$3286,ES3432,IF($B$265=$B$3287,EU3432,IF($B$265=$B$3288,EW3432,IF($B$265=$B$3289,EY3432,IF($B$265=$B$3290,FA3432,IF($B$265=$B$3291,FC3432,IF($B$265=$B$3292,FE3432,IF($B$265=$B$3293,BK3432,IF($B$265=$B$3294,FG3432,IF($B$265=$B$3295,FI3432,IF($B$265=$B$3296,FK3432,IF($B$265=$B$3297,FM3432,IF($B$265=$B$3298,FO3432,IF($B$265=$B$3299,FQ3432,IF(BJ$265=$B$3300,FS3432,IF($B$265=$B$3301,FU3432,IF($B$265=$B$3302,FW3432,IF($B$265=$B$3303,FY3432,IF($B$265=$B$3304,GA3432,IF($B$265=$B$3305,GC3432,IF($B$265=$B$3306,GE3432,IF($B$265=$B$3307,GG3432,IF($B$265=$B$3308,GI3432,IF($B$265=$B$3309,GK3432,IF($B$265=$B$3310,GM3432,IF($B$265=$B$3311,GO3432,IF($B$265=$B$3312,GQ3432,IF($B$265=$B$3313,GS3432,IF($B$265=$B$3314,GU3432,IF($B$265=$B$3315,GW3432,IF($B$265=$B$3316,GY3432,IF($B$265=$B$3317,HA3432,IF($B$265=$B$3318,HC3432,IF($B$265=$B$3319,HE3432,IF($B$265=$B$3320,HG3432,IF($B$265=$B$3321,HI3432,IF($B$265=$B$3322,HK3432,IF($B$265=$B$3323,HM3432,IF($B$265=$B$3324,HO3432,IF($B$265=$B$3325,HQ3432,IF($B$265=$B$3326,HS3432,IF($B$265=$B$3327,HU3432,IF($B$265=$B$3328,HW3432,IF($B$265=$B$3329,HY3432,""))))))))))))))))))))))))))))))))))))))))))))))))))))</f>
        <v/>
      </c>
      <c r="EB3432" s="459" t="s">
        <v>885</v>
      </c>
    </row>
    <row r="3433" spans="1:132" ht="16" hidden="1" x14ac:dyDescent="0.4">
      <c r="A3433" s="813"/>
      <c r="BB3433" s="48"/>
      <c r="BS3433" s="464" t="str">
        <f>IF($B$265=B$3278,BZ3432,IF($B$265=B$3279,CA3432,IF($B$265=B$3280,CB3432,IF($B$265=B$3281,CC3432,IF($B$265=B$3282,CD3432,IF($B$265=B$3283,CE3432,IF($B$265=B$3284,CF3432,IF($B$265=B$3285,CG3432,IF($B$265=B$3286,CH3432,IF($B$265=B$3287,CI3432,IF($B$265=B$3288,CJ3432,IF($B$265=B$3289,CK3432,IF($B$265=B$3290,CL3432,IF($B$265=B$3291,CM3432,IF($B$265=B$3292,CN3432,IF($B$265=B$3293,C3432,IF($B$265=B$3294,CO3432,IF($B$265=B$3295,CP3432,IF($B$265=B$3296,CQ3432,IF($B$265=B$3297,CR3432,IF($B$265=B$3298,CS3432,IF($B$265=B$3299,CT3432,IF(B$265=B$3300,CU3432,IF($B$265=B$3301,CV3432,IF($B$265=B$3302,CW3432,IF($B$265=B$3303,CX3432,IF($B$265=B$3304,CY3432,IF($B$265=B$3305,CZ3432,IF($B$265=B$3306,DA3432,IF($B$265=B$3307,DB3432,IF($B$265=B$3308,DC3432,IF($B$265=B$3309,DD3432,IF($B$265=B$3310,DE3432,IF($B$265=B$3311,DF3432,IF($B$265=B$3312,DG3432,IF($B$265=B$3313,DH3432,IF($B$265=B$3314,DI3432,IF($B$265=B$3315,DJ3432,IF($B$265=B$3316,DK3432,IF($B$265=B$3317,DL3432,IF($B$265=B$3318,DM3432,IF($B$265=B$3319,DN3432,IF($B$265=B$3320,DO3432,IF($B$265=B$3321,DP3432,IF($B$265=B$3322,DQ3432,IF($B$265=B$3323,DR3432,IF($B$265=B$3324,DS3432,IF($B$265=B$3325,DT3432,IF($B$265=B$3326,DU3432,IF($B$265=B$3327,DV3432,IF($B$265=B$3328,DW3432,IF($B$265=B$3329,DX3432,""))))))))))))))))))))))))))))))))))))))))))))))))))))</f>
        <v/>
      </c>
      <c r="BZ3433" s="245" t="s">
        <v>885</v>
      </c>
      <c r="CA3433" s="245" t="s">
        <v>885</v>
      </c>
      <c r="CC3433" s="245" t="s">
        <v>885</v>
      </c>
      <c r="CD3433" s="459" t="s">
        <v>885</v>
      </c>
      <c r="CE3433" s="459" t="s">
        <v>885</v>
      </c>
      <c r="CF3433" s="245" t="s">
        <v>885</v>
      </c>
      <c r="CG3433" s="245" t="s">
        <v>885</v>
      </c>
      <c r="CH3433" s="245" t="s">
        <v>885</v>
      </c>
      <c r="CI3433" s="245" t="s">
        <v>885</v>
      </c>
      <c r="CJ3433" t="s">
        <v>1843</v>
      </c>
      <c r="CK3433" s="459" t="s">
        <v>885</v>
      </c>
      <c r="CL3433" s="459" t="s">
        <v>885</v>
      </c>
      <c r="CM3433" s="459" t="s">
        <v>885</v>
      </c>
      <c r="CN3433" s="459" t="s">
        <v>885</v>
      </c>
      <c r="CO3433" s="459" t="s">
        <v>885</v>
      </c>
      <c r="CP3433" s="459" t="s">
        <v>885</v>
      </c>
      <c r="CQ3433" s="459" t="s">
        <v>885</v>
      </c>
      <c r="CR3433" s="459" t="s">
        <v>885</v>
      </c>
      <c r="CS3433" s="459" t="s">
        <v>885</v>
      </c>
      <c r="CT3433" s="245" t="s">
        <v>885</v>
      </c>
      <c r="CU3433" s="463" t="s">
        <v>885</v>
      </c>
      <c r="CV3433" s="245" t="s">
        <v>885</v>
      </c>
      <c r="CW3433" s="245" t="s">
        <v>885</v>
      </c>
      <c r="CX3433" s="459" t="s">
        <v>885</v>
      </c>
      <c r="CY3433" s="459" t="s">
        <v>885</v>
      </c>
      <c r="CZ3433" s="459" t="s">
        <v>885</v>
      </c>
      <c r="DA3433" s="459" t="s">
        <v>885</v>
      </c>
      <c r="DB3433" s="459" t="s">
        <v>885</v>
      </c>
      <c r="DC3433" s="459" t="s">
        <v>885</v>
      </c>
      <c r="DD3433" s="459" t="s">
        <v>885</v>
      </c>
      <c r="DE3433" s="459" t="s">
        <v>885</v>
      </c>
      <c r="DF3433" s="459" t="s">
        <v>885</v>
      </c>
      <c r="DG3433" s="459" t="s">
        <v>885</v>
      </c>
      <c r="DH3433" s="459" t="s">
        <v>885</v>
      </c>
      <c r="DI3433" s="459" t="s">
        <v>885</v>
      </c>
      <c r="DJ3433" s="459" t="s">
        <v>885</v>
      </c>
      <c r="DK3433" s="459" t="s">
        <v>885</v>
      </c>
      <c r="DL3433" s="459" t="s">
        <v>885</v>
      </c>
      <c r="DM3433" s="459" t="s">
        <v>885</v>
      </c>
      <c r="DN3433" s="459" t="s">
        <v>885</v>
      </c>
      <c r="DO3433" s="459" t="s">
        <v>885</v>
      </c>
      <c r="DP3433" t="s">
        <v>3012</v>
      </c>
      <c r="DQ3433" s="459" t="s">
        <v>885</v>
      </c>
      <c r="DR3433" s="459" t="s">
        <v>885</v>
      </c>
      <c r="DS3433" s="459" t="s">
        <v>885</v>
      </c>
      <c r="DT3433" s="459" t="s">
        <v>885</v>
      </c>
      <c r="DU3433" s="459" t="s">
        <v>885</v>
      </c>
      <c r="DV3433" s="459" t="s">
        <v>885</v>
      </c>
      <c r="DW3433" s="459" t="s">
        <v>885</v>
      </c>
      <c r="DX3433" s="245" t="s">
        <v>885</v>
      </c>
      <c r="DY3433" s="245"/>
      <c r="DZ3433" s="470" t="str">
        <f>IF($B$265=$B$3278,EB3433,IF($B$265=$B$3279,ED3433,IF($B$265=$B$3280,EF3433,IF($B$265=$B$3281,EH3433,IF($B$265=$B$3282,EJ3433,IF($B$265=$B$3283,EL3433,IF($B$265=$B$3284,EN3433,IF($B$265=$B$3285,EP3433,IF($B$265=$B$3286,ER3433,IF($B$265=$B$3287,ET3433,IF($B$265=$B$3288,EV3433,IF($B$265=$B$3289,EX3433,IF($B$265=$B$3290,EZ3433,IF($B$265=$B$3291,FB3433,IF($B$265=$B$3292,FD3433,IF($B$265=$B$3293,BU3433,IF($B$265=$B$3294,FF3433,IF($B$265=$B$3295,FH3433,IF($B$265=$B$3296,FJ3433,IF($B$265=$B$3297,FL3433,IF($B$265=$B$3298,FN3433,IF($B$265=$B$3299,FP3433,IF(BI$265=$B$3300,FR3433,IF($B$265=$B$3301,FT3433,IF($B$265=$B$3302,FV3433,IF($B$265=$B$3303,FX3433,IF($B$265=$B$3304,FZ3433,IF($B$265=$B$3305,GB3433,IF($B$265=$B$3306,GD3433,IF($B$265=$B$3307,GF3433,IF($B$265=$B$3308,GH3433,IF($B$265=$B$3309,GJ3433,IF($B$265=$B$3310,GL3433,IF($B$265=$B$3311,GN3433,IF($B$265=$B$3312,GP3433,IF($B$265=$B$3313,GR3433,IF($B$265=$B$3314,GT3433,IF($B$265=$B$3315,GV3433,IF($B$265=$B$3316,GX3433,IF($B$265=$B$3317,GZ3433,IF($B$265=$B$3318,HB3433,IF($B$265=$B$3319,HD3433,IF($B$265=$B$3320,HF3433,IF($B$265=$B$3321,HH3433,IF($B$265=$B$3322,HJ3433,IF($B$265=$B$3323,HL3433,IF($B$265=$B$3324,HN3433,IF($B$265=$B$3325,HP3433,IF($B$265=$B$3326,HR3433,IF($B$265=$B$3327,HT3433,IF($B$265=$B$3328,HV3433,IF($B$265=$B$3329,HX3433,""))))))))))))))))))))))))))))))))))))))))))))))))))))</f>
        <v/>
      </c>
      <c r="EA3433" s="470" t="str">
        <f>IF($B$265=$B$3278,EC3433,IF($B$265=$B$3279,EE3433,IF($B$265=$B$3280,EG3433,IF($B$265=$B$3281,EI3433,IF($B$265=$B$3282,EK3433,IF($B$265=$B$3283,EM3433,IF($B$265=$B$3284,EO3433,IF($B$265=$B$3285,EQ3433,IF($B$265=$B$3286,ES3433,IF($B$265=$B$3287,EU3433,IF($B$265=$B$3288,EW3433,IF($B$265=$B$3289,EY3433,IF($B$265=$B$3290,FA3433,IF($B$265=$B$3291,FC3433,IF($B$265=$B$3292,FE3433,IF($B$265=$B$3293,BK3433,IF($B$265=$B$3294,FG3433,IF($B$265=$B$3295,FI3433,IF($B$265=$B$3296,FK3433,IF($B$265=$B$3297,FM3433,IF($B$265=$B$3298,FO3433,IF($B$265=$B$3299,FQ3433,IF(BJ$265=$B$3300,FS3433,IF($B$265=$B$3301,FU3433,IF($B$265=$B$3302,FW3433,IF($B$265=$B$3303,FY3433,IF($B$265=$B$3304,GA3433,IF($B$265=$B$3305,GC3433,IF($B$265=$B$3306,GE3433,IF($B$265=$B$3307,GG3433,IF($B$265=$B$3308,GI3433,IF($B$265=$B$3309,GK3433,IF($B$265=$B$3310,GM3433,IF($B$265=$B$3311,GO3433,IF($B$265=$B$3312,GQ3433,IF($B$265=$B$3313,GS3433,IF($B$265=$B$3314,GU3433,IF($B$265=$B$3315,GW3433,IF($B$265=$B$3316,GY3433,IF($B$265=$B$3317,HA3433,IF($B$265=$B$3318,HC3433,IF($B$265=$B$3319,HE3433,IF($B$265=$B$3320,HG3433,IF($B$265=$B$3321,HI3433,IF($B$265=$B$3322,HK3433,IF($B$265=$B$3323,HM3433,IF($B$265=$B$3324,HO3433,IF($B$265=$B$3325,HQ3433,IF($B$265=$B$3326,HS3433,IF($B$265=$B$3327,HU3433,IF($B$265=$B$3328,HW3433,IF($B$265=$B$3329,HY3433,""))))))))))))))))))))))))))))))))))))))))))))))))))))</f>
        <v/>
      </c>
      <c r="EB3433" s="459" t="s">
        <v>885</v>
      </c>
    </row>
    <row r="3434" spans="1:132" ht="16" hidden="1" x14ac:dyDescent="0.4">
      <c r="A3434" s="813"/>
      <c r="BB3434" s="48"/>
      <c r="BS3434" s="464" t="str">
        <f>IF($B$265=B$3278,BZ3433,IF($B$265=B$3279,CA3433,IF($B$265=B$3280,CB3433,IF($B$265=B$3281,CC3433,IF($B$265=B$3282,CD3433,IF($B$265=B$3283,CE3433,IF($B$265=B$3284,CF3433,IF($B$265=B$3285,CG3433,IF($B$265=B$3286,CH3433,IF($B$265=B$3287,CI3433,IF($B$265=B$3288,CJ3433,IF($B$265=B$3289,CK3433,IF($B$265=B$3290,CL3433,IF($B$265=B$3291,CM3433,IF($B$265=B$3292,CN3433,IF($B$265=B$3293,C3433,IF($B$265=B$3294,CO3433,IF($B$265=B$3295,CP3433,IF($B$265=B$3296,CQ3433,IF($B$265=B$3297,CR3433,IF($B$265=B$3298,CS3433,IF($B$265=B$3299,CT3433,IF(B$265=B$3300,CU3433,IF($B$265=B$3301,CV3433,IF($B$265=B$3302,CW3433,IF($B$265=B$3303,CX3433,IF($B$265=B$3304,CY3433,IF($B$265=B$3305,CZ3433,IF($B$265=B$3306,DA3433,IF($B$265=B$3307,DB3433,IF($B$265=B$3308,DC3433,IF($B$265=B$3309,DD3433,IF($B$265=B$3310,DE3433,IF($B$265=B$3311,DF3433,IF($B$265=B$3312,DG3433,IF($B$265=B$3313,DH3433,IF($B$265=B$3314,DI3433,IF($B$265=B$3315,DJ3433,IF($B$265=B$3316,DK3433,IF($B$265=B$3317,DL3433,IF($B$265=B$3318,DM3433,IF($B$265=B$3319,DN3433,IF($B$265=B$3320,DO3433,IF($B$265=B$3321,DP3433,IF($B$265=B$3322,DQ3433,IF($B$265=B$3323,DR3433,IF($B$265=B$3324,DS3433,IF($B$265=B$3325,DT3433,IF($B$265=B$3326,DU3433,IF($B$265=B$3327,DV3433,IF($B$265=B$3328,DW3433,IF($B$265=B$3329,DX3433,""))))))))))))))))))))))))))))))))))))))))))))))))))))</f>
        <v/>
      </c>
      <c r="BZ3434" s="245" t="s">
        <v>885</v>
      </c>
      <c r="CA3434" s="245" t="s">
        <v>885</v>
      </c>
      <c r="CC3434" s="245" t="s">
        <v>885</v>
      </c>
      <c r="CD3434" s="459" t="s">
        <v>885</v>
      </c>
      <c r="CE3434" s="459" t="s">
        <v>885</v>
      </c>
      <c r="CF3434" s="245" t="s">
        <v>885</v>
      </c>
      <c r="CG3434" s="245" t="s">
        <v>885</v>
      </c>
      <c r="CH3434" s="245" t="s">
        <v>885</v>
      </c>
      <c r="CI3434" s="245" t="s">
        <v>885</v>
      </c>
      <c r="CJ3434" t="s">
        <v>1844</v>
      </c>
      <c r="CK3434" s="459" t="s">
        <v>885</v>
      </c>
      <c r="CL3434" s="459" t="s">
        <v>885</v>
      </c>
      <c r="CM3434" s="459" t="s">
        <v>885</v>
      </c>
      <c r="CN3434" s="459" t="s">
        <v>885</v>
      </c>
      <c r="CO3434" s="459" t="s">
        <v>885</v>
      </c>
      <c r="CP3434" s="459" t="s">
        <v>885</v>
      </c>
      <c r="CQ3434" s="459" t="s">
        <v>885</v>
      </c>
      <c r="CR3434" s="459" t="s">
        <v>885</v>
      </c>
      <c r="CS3434" s="459" t="s">
        <v>885</v>
      </c>
      <c r="CT3434" s="245" t="s">
        <v>885</v>
      </c>
      <c r="CU3434" s="463" t="s">
        <v>885</v>
      </c>
      <c r="CV3434" s="245" t="s">
        <v>885</v>
      </c>
      <c r="CW3434" s="245" t="s">
        <v>885</v>
      </c>
      <c r="CX3434" s="459" t="s">
        <v>885</v>
      </c>
      <c r="CY3434" s="459" t="s">
        <v>885</v>
      </c>
      <c r="CZ3434" s="459" t="s">
        <v>885</v>
      </c>
      <c r="DA3434" s="459" t="s">
        <v>885</v>
      </c>
      <c r="DB3434" s="459" t="s">
        <v>885</v>
      </c>
      <c r="DC3434" s="459" t="s">
        <v>885</v>
      </c>
      <c r="DD3434" s="459" t="s">
        <v>885</v>
      </c>
      <c r="DE3434" s="459" t="s">
        <v>885</v>
      </c>
      <c r="DF3434" s="459" t="s">
        <v>885</v>
      </c>
      <c r="DG3434" s="459" t="s">
        <v>885</v>
      </c>
      <c r="DH3434" s="459" t="s">
        <v>885</v>
      </c>
      <c r="DI3434" s="459" t="s">
        <v>885</v>
      </c>
      <c r="DJ3434" s="459" t="s">
        <v>885</v>
      </c>
      <c r="DK3434" s="459" t="s">
        <v>885</v>
      </c>
      <c r="DL3434" s="459" t="s">
        <v>885</v>
      </c>
      <c r="DM3434" s="459" t="s">
        <v>885</v>
      </c>
      <c r="DN3434" s="459" t="s">
        <v>885</v>
      </c>
      <c r="DO3434" s="459" t="s">
        <v>885</v>
      </c>
      <c r="DP3434" t="s">
        <v>3013</v>
      </c>
      <c r="DQ3434" s="459" t="s">
        <v>885</v>
      </c>
      <c r="DR3434" s="459" t="s">
        <v>885</v>
      </c>
      <c r="DS3434" s="459" t="s">
        <v>885</v>
      </c>
      <c r="DT3434" s="459" t="s">
        <v>885</v>
      </c>
      <c r="DU3434" s="459" t="s">
        <v>885</v>
      </c>
      <c r="DV3434" s="459" t="s">
        <v>885</v>
      </c>
      <c r="DW3434" s="459" t="s">
        <v>885</v>
      </c>
      <c r="DX3434" s="245" t="s">
        <v>885</v>
      </c>
      <c r="DY3434" s="245"/>
      <c r="DZ3434" s="470" t="str">
        <f>IF($B$265=$B$3278,EB3434,IF($B$265=$B$3279,ED3434,IF($B$265=$B$3280,EF3434,IF($B$265=$B$3281,EH3434,IF($B$265=$B$3282,EJ3434,IF($B$265=$B$3283,EL3434,IF($B$265=$B$3284,EN3434,IF($B$265=$B$3285,EP3434,IF($B$265=$B$3286,ER3434,IF($B$265=$B$3287,ET3434,IF($B$265=$B$3288,EV3434,IF($B$265=$B$3289,EX3434,IF($B$265=$B$3290,EZ3434,IF($B$265=$B$3291,FB3434,IF($B$265=$B$3292,FD3434,IF($B$265=$B$3293,BU3434,IF($B$265=$B$3294,FF3434,IF($B$265=$B$3295,FH3434,IF($B$265=$B$3296,FJ3434,IF($B$265=$B$3297,FL3434,IF($B$265=$B$3298,FN3434,IF($B$265=$B$3299,FP3434,IF(BI$265=$B$3300,FR3434,IF($B$265=$B$3301,FT3434,IF($B$265=$B$3302,FV3434,IF($B$265=$B$3303,FX3434,IF($B$265=$B$3304,FZ3434,IF($B$265=$B$3305,GB3434,IF($B$265=$B$3306,GD3434,IF($B$265=$B$3307,GF3434,IF($B$265=$B$3308,GH3434,IF($B$265=$B$3309,GJ3434,IF($B$265=$B$3310,GL3434,IF($B$265=$B$3311,GN3434,IF($B$265=$B$3312,GP3434,IF($B$265=$B$3313,GR3434,IF($B$265=$B$3314,GT3434,IF($B$265=$B$3315,GV3434,IF($B$265=$B$3316,GX3434,IF($B$265=$B$3317,GZ3434,IF($B$265=$B$3318,HB3434,IF($B$265=$B$3319,HD3434,IF($B$265=$B$3320,HF3434,IF($B$265=$B$3321,HH3434,IF($B$265=$B$3322,HJ3434,IF($B$265=$B$3323,HL3434,IF($B$265=$B$3324,HN3434,IF($B$265=$B$3325,HP3434,IF($B$265=$B$3326,HR3434,IF($B$265=$B$3327,HT3434,IF($B$265=$B$3328,HV3434,IF($B$265=$B$3329,HX3434,""))))))))))))))))))))))))))))))))))))))))))))))))))))</f>
        <v/>
      </c>
      <c r="EA3434" s="470" t="str">
        <f>IF($B$265=$B$3278,EC3434,IF($B$265=$B$3279,EE3434,IF($B$265=$B$3280,EG3434,IF($B$265=$B$3281,EI3434,IF($B$265=$B$3282,EK3434,IF($B$265=$B$3283,EM3434,IF($B$265=$B$3284,EO3434,IF($B$265=$B$3285,EQ3434,IF($B$265=$B$3286,ES3434,IF($B$265=$B$3287,EU3434,IF($B$265=$B$3288,EW3434,IF($B$265=$B$3289,EY3434,IF($B$265=$B$3290,FA3434,IF($B$265=$B$3291,FC3434,IF($B$265=$B$3292,FE3434,IF($B$265=$B$3293,BK3434,IF($B$265=$B$3294,FG3434,IF($B$265=$B$3295,FI3434,IF($B$265=$B$3296,FK3434,IF($B$265=$B$3297,FM3434,IF($B$265=$B$3298,FO3434,IF($B$265=$B$3299,FQ3434,IF(BJ$265=$B$3300,FS3434,IF($B$265=$B$3301,FU3434,IF($B$265=$B$3302,FW3434,IF($B$265=$B$3303,FY3434,IF($B$265=$B$3304,GA3434,IF($B$265=$B$3305,GC3434,IF($B$265=$B$3306,GE3434,IF($B$265=$B$3307,GG3434,IF($B$265=$B$3308,GI3434,IF($B$265=$B$3309,GK3434,IF($B$265=$B$3310,GM3434,IF($B$265=$B$3311,GO3434,IF($B$265=$B$3312,GQ3434,IF($B$265=$B$3313,GS3434,IF($B$265=$B$3314,GU3434,IF($B$265=$B$3315,GW3434,IF($B$265=$B$3316,GY3434,IF($B$265=$B$3317,HA3434,IF($B$265=$B$3318,HC3434,IF($B$265=$B$3319,HE3434,IF($B$265=$B$3320,HG3434,IF($B$265=$B$3321,HI3434,IF($B$265=$B$3322,HK3434,IF($B$265=$B$3323,HM3434,IF($B$265=$B$3324,HO3434,IF($B$265=$B$3325,HQ3434,IF($B$265=$B$3326,HS3434,IF($B$265=$B$3327,HU3434,IF($B$265=$B$3328,HW3434,IF($B$265=$B$3329,HY3434,""))))))))))))))))))))))))))))))))))))))))))))))))))))</f>
        <v/>
      </c>
      <c r="EB3434" s="459" t="s">
        <v>885</v>
      </c>
    </row>
    <row r="3435" spans="1:132" ht="16" hidden="1" x14ac:dyDescent="0.4">
      <c r="A3435" s="813"/>
      <c r="BB3435" s="48"/>
      <c r="BS3435" s="464" t="str">
        <f>IF($B$265=B$3278,BZ3434,IF($B$265=B$3279,CA3434,IF($B$265=B$3280,CB3434,IF($B$265=B$3281,CC3434,IF($B$265=B$3282,CD3434,IF($B$265=B$3283,CE3434,IF($B$265=B$3284,CF3434,IF($B$265=B$3285,CG3434,IF($B$265=B$3286,CH3434,IF($B$265=B$3287,CI3434,IF($B$265=B$3288,CJ3434,IF($B$265=B$3289,CK3434,IF($B$265=B$3290,CL3434,IF($B$265=B$3291,CM3434,IF($B$265=B$3292,CN3434,IF($B$265=B$3293,C3434,IF($B$265=B$3294,CO3434,IF($B$265=B$3295,CP3434,IF($B$265=B$3296,CQ3434,IF($B$265=B$3297,CR3434,IF($B$265=B$3298,CS3434,IF($B$265=B$3299,CT3434,IF(B$265=B$3300,CU3434,IF($B$265=B$3301,CV3434,IF($B$265=B$3302,CW3434,IF($B$265=B$3303,CX3434,IF($B$265=B$3304,CY3434,IF($B$265=B$3305,CZ3434,IF($B$265=B$3306,DA3434,IF($B$265=B$3307,DB3434,IF($B$265=B$3308,DC3434,IF($B$265=B$3309,DD3434,IF($B$265=B$3310,DE3434,IF($B$265=B$3311,DF3434,IF($B$265=B$3312,DG3434,IF($B$265=B$3313,DH3434,IF($B$265=B$3314,DI3434,IF($B$265=B$3315,DJ3434,IF($B$265=B$3316,DK3434,IF($B$265=B$3317,DL3434,IF($B$265=B$3318,DM3434,IF($B$265=B$3319,DN3434,IF($B$265=B$3320,DO3434,IF($B$265=B$3321,DP3434,IF($B$265=B$3322,DQ3434,IF($B$265=B$3323,DR3434,IF($B$265=B$3324,DS3434,IF($B$265=B$3325,DT3434,IF($B$265=B$3326,DU3434,IF($B$265=B$3327,DV3434,IF($B$265=B$3328,DW3434,IF($B$265=B$3329,DX3434,""))))))))))))))))))))))))))))))))))))))))))))))))))))</f>
        <v/>
      </c>
      <c r="BZ3435" s="245" t="s">
        <v>885</v>
      </c>
      <c r="CA3435" s="245" t="s">
        <v>885</v>
      </c>
      <c r="CC3435" s="245" t="s">
        <v>885</v>
      </c>
      <c r="CD3435" s="459" t="s">
        <v>885</v>
      </c>
      <c r="CE3435" s="459" t="s">
        <v>885</v>
      </c>
      <c r="CF3435" s="245" t="s">
        <v>885</v>
      </c>
      <c r="CG3435" s="245" t="s">
        <v>885</v>
      </c>
      <c r="CH3435" s="245" t="s">
        <v>885</v>
      </c>
      <c r="CI3435" s="245" t="s">
        <v>885</v>
      </c>
      <c r="CJ3435" t="s">
        <v>1845</v>
      </c>
      <c r="CK3435" s="459" t="s">
        <v>885</v>
      </c>
      <c r="CL3435" s="459" t="s">
        <v>885</v>
      </c>
      <c r="CM3435" s="459" t="s">
        <v>885</v>
      </c>
      <c r="CN3435" s="459" t="s">
        <v>885</v>
      </c>
      <c r="CO3435" s="459" t="s">
        <v>885</v>
      </c>
      <c r="CP3435" s="459" t="s">
        <v>885</v>
      </c>
      <c r="CQ3435" s="459" t="s">
        <v>885</v>
      </c>
      <c r="CR3435" s="459" t="s">
        <v>885</v>
      </c>
      <c r="CS3435" s="459" t="s">
        <v>885</v>
      </c>
      <c r="CT3435" s="245" t="s">
        <v>885</v>
      </c>
      <c r="CU3435" s="463" t="s">
        <v>885</v>
      </c>
      <c r="CV3435" s="245" t="s">
        <v>885</v>
      </c>
      <c r="CW3435" s="245" t="s">
        <v>885</v>
      </c>
      <c r="CX3435" s="459" t="s">
        <v>885</v>
      </c>
      <c r="CY3435" s="459" t="s">
        <v>885</v>
      </c>
      <c r="CZ3435" s="459" t="s">
        <v>885</v>
      </c>
      <c r="DA3435" s="459" t="s">
        <v>885</v>
      </c>
      <c r="DB3435" s="459" t="s">
        <v>885</v>
      </c>
      <c r="DC3435" s="459" t="s">
        <v>885</v>
      </c>
      <c r="DD3435" s="459" t="s">
        <v>885</v>
      </c>
      <c r="DE3435" s="459" t="s">
        <v>885</v>
      </c>
      <c r="DF3435" s="459" t="s">
        <v>885</v>
      </c>
      <c r="DG3435" s="459" t="s">
        <v>885</v>
      </c>
      <c r="DH3435" s="459" t="s">
        <v>885</v>
      </c>
      <c r="DI3435" s="459" t="s">
        <v>885</v>
      </c>
      <c r="DJ3435" s="459" t="s">
        <v>885</v>
      </c>
      <c r="DK3435" s="459" t="s">
        <v>885</v>
      </c>
      <c r="DL3435" s="459" t="s">
        <v>885</v>
      </c>
      <c r="DM3435" s="459" t="s">
        <v>885</v>
      </c>
      <c r="DN3435" s="459" t="s">
        <v>885</v>
      </c>
      <c r="DO3435" s="459" t="s">
        <v>885</v>
      </c>
      <c r="DP3435" t="s">
        <v>3014</v>
      </c>
      <c r="DQ3435" s="459" t="s">
        <v>885</v>
      </c>
      <c r="DR3435" s="459" t="s">
        <v>885</v>
      </c>
      <c r="DS3435" s="459" t="s">
        <v>885</v>
      </c>
      <c r="DT3435" s="459" t="s">
        <v>885</v>
      </c>
      <c r="DU3435" s="459" t="s">
        <v>885</v>
      </c>
      <c r="DV3435" s="459" t="s">
        <v>885</v>
      </c>
      <c r="DW3435" s="459" t="s">
        <v>885</v>
      </c>
      <c r="DX3435" s="245" t="s">
        <v>885</v>
      </c>
      <c r="DY3435" s="245"/>
      <c r="DZ3435" s="470" t="str">
        <f>IF($B$265=$B$3278,EB3435,IF($B$265=$B$3279,ED3435,IF($B$265=$B$3280,EF3435,IF($B$265=$B$3281,EH3435,IF($B$265=$B$3282,EJ3435,IF($B$265=$B$3283,EL3435,IF($B$265=$B$3284,EN3435,IF($B$265=$B$3285,EP3435,IF($B$265=$B$3286,ER3435,IF($B$265=$B$3287,ET3435,IF($B$265=$B$3288,EV3435,IF($B$265=$B$3289,EX3435,IF($B$265=$B$3290,EZ3435,IF($B$265=$B$3291,FB3435,IF($B$265=$B$3292,FD3435,IF($B$265=$B$3293,BU3435,IF($B$265=$B$3294,FF3435,IF($B$265=$B$3295,FH3435,IF($B$265=$B$3296,FJ3435,IF($B$265=$B$3297,FL3435,IF($B$265=$B$3298,FN3435,IF($B$265=$B$3299,FP3435,IF(BI$265=$B$3300,FR3435,IF($B$265=$B$3301,FT3435,IF($B$265=$B$3302,FV3435,IF($B$265=$B$3303,FX3435,IF($B$265=$B$3304,FZ3435,IF($B$265=$B$3305,GB3435,IF($B$265=$B$3306,GD3435,IF($B$265=$B$3307,GF3435,IF($B$265=$B$3308,GH3435,IF($B$265=$B$3309,GJ3435,IF($B$265=$B$3310,GL3435,IF($B$265=$B$3311,GN3435,IF($B$265=$B$3312,GP3435,IF($B$265=$B$3313,GR3435,IF($B$265=$B$3314,GT3435,IF($B$265=$B$3315,GV3435,IF($B$265=$B$3316,GX3435,IF($B$265=$B$3317,GZ3435,IF($B$265=$B$3318,HB3435,IF($B$265=$B$3319,HD3435,IF($B$265=$B$3320,HF3435,IF($B$265=$B$3321,HH3435,IF($B$265=$B$3322,HJ3435,IF($B$265=$B$3323,HL3435,IF($B$265=$B$3324,HN3435,IF($B$265=$B$3325,HP3435,IF($B$265=$B$3326,HR3435,IF($B$265=$B$3327,HT3435,IF($B$265=$B$3328,HV3435,IF($B$265=$B$3329,HX3435,""))))))))))))))))))))))))))))))))))))))))))))))))))))</f>
        <v/>
      </c>
      <c r="EA3435" s="470" t="str">
        <f>IF($B$265=$B$3278,EC3435,IF($B$265=$B$3279,EE3435,IF($B$265=$B$3280,EG3435,IF($B$265=$B$3281,EI3435,IF($B$265=$B$3282,EK3435,IF($B$265=$B$3283,EM3435,IF($B$265=$B$3284,EO3435,IF($B$265=$B$3285,EQ3435,IF($B$265=$B$3286,ES3435,IF($B$265=$B$3287,EU3435,IF($B$265=$B$3288,EW3435,IF($B$265=$B$3289,EY3435,IF($B$265=$B$3290,FA3435,IF($B$265=$B$3291,FC3435,IF($B$265=$B$3292,FE3435,IF($B$265=$B$3293,BK3435,IF($B$265=$B$3294,FG3435,IF($B$265=$B$3295,FI3435,IF($B$265=$B$3296,FK3435,IF($B$265=$B$3297,FM3435,IF($B$265=$B$3298,FO3435,IF($B$265=$B$3299,FQ3435,IF(BJ$265=$B$3300,FS3435,IF($B$265=$B$3301,FU3435,IF($B$265=$B$3302,FW3435,IF($B$265=$B$3303,FY3435,IF($B$265=$B$3304,GA3435,IF($B$265=$B$3305,GC3435,IF($B$265=$B$3306,GE3435,IF($B$265=$B$3307,GG3435,IF($B$265=$B$3308,GI3435,IF($B$265=$B$3309,GK3435,IF($B$265=$B$3310,GM3435,IF($B$265=$B$3311,GO3435,IF($B$265=$B$3312,GQ3435,IF($B$265=$B$3313,GS3435,IF($B$265=$B$3314,GU3435,IF($B$265=$B$3315,GW3435,IF($B$265=$B$3316,GY3435,IF($B$265=$B$3317,HA3435,IF($B$265=$B$3318,HC3435,IF($B$265=$B$3319,HE3435,IF($B$265=$B$3320,HG3435,IF($B$265=$B$3321,HI3435,IF($B$265=$B$3322,HK3435,IF($B$265=$B$3323,HM3435,IF($B$265=$B$3324,HO3435,IF($B$265=$B$3325,HQ3435,IF($B$265=$B$3326,HS3435,IF($B$265=$B$3327,HU3435,IF($B$265=$B$3328,HW3435,IF($B$265=$B$3329,HY3435,""))))))))))))))))))))))))))))))))))))))))))))))))))))</f>
        <v/>
      </c>
      <c r="EB3435" s="459" t="s">
        <v>885</v>
      </c>
    </row>
    <row r="3436" spans="1:132" ht="16" hidden="1" x14ac:dyDescent="0.4">
      <c r="A3436" s="813"/>
      <c r="BS3436" s="464" t="str">
        <f>IF($B$265=B$3278,BZ3435,IF($B$265=B$3279,CA3435,IF($B$265=B$3280,CB3435,IF($B$265=B$3281,CC3435,IF($B$265=B$3282,CD3435,IF($B$265=B$3283,CE3435,IF($B$265=B$3284,CF3435,IF($B$265=B$3285,CG3435,IF($B$265=B$3286,CH3435,IF($B$265=B$3287,CI3435,IF($B$265=B$3288,CJ3435,IF($B$265=B$3289,CK3435,IF($B$265=B$3290,CL3435,IF($B$265=B$3291,CM3435,IF($B$265=B$3292,CN3435,IF($B$265=B$3293,C3435,IF($B$265=B$3294,CO3435,IF($B$265=B$3295,CP3435,IF($B$265=B$3296,CQ3435,IF($B$265=B$3297,CR3435,IF($B$265=B$3298,CS3435,IF($B$265=B$3299,CT3435,IF(B$265=B$3300,CU3435,IF($B$265=B$3301,CV3435,IF($B$265=B$3302,CW3435,IF($B$265=B$3303,CX3435,IF($B$265=B$3304,CY3435,IF($B$265=B$3305,CZ3435,IF($B$265=B$3306,DA3435,IF($B$265=B$3307,DB3435,IF($B$265=B$3308,DC3435,IF($B$265=B$3309,DD3435,IF($B$265=B$3310,DE3435,IF($B$265=B$3311,DF3435,IF($B$265=B$3312,DG3435,IF($B$265=B$3313,DH3435,IF($B$265=B$3314,DI3435,IF($B$265=B$3315,DJ3435,IF($B$265=B$3316,DK3435,IF($B$265=B$3317,DL3435,IF($B$265=B$3318,DM3435,IF($B$265=B$3319,DN3435,IF($B$265=B$3320,DO3435,IF($B$265=B$3321,DP3435,IF($B$265=B$3322,DQ3435,IF($B$265=B$3323,DR3435,IF($B$265=B$3324,DS3435,IF($B$265=B$3325,DT3435,IF($B$265=B$3326,DU3435,IF($B$265=B$3327,DV3435,IF($B$265=B$3328,DW3435,IF($B$265=B$3329,DX3435,""))))))))))))))))))))))))))))))))))))))))))))))))))))</f>
        <v/>
      </c>
      <c r="BZ3436" s="245" t="s">
        <v>885</v>
      </c>
      <c r="CA3436" s="245" t="s">
        <v>885</v>
      </c>
      <c r="CC3436" s="245" t="s">
        <v>885</v>
      </c>
      <c r="CD3436" s="459" t="s">
        <v>885</v>
      </c>
      <c r="CE3436" s="459" t="s">
        <v>885</v>
      </c>
      <c r="CF3436" s="245" t="s">
        <v>885</v>
      </c>
      <c r="CG3436" s="245" t="s">
        <v>885</v>
      </c>
      <c r="CH3436" s="245" t="s">
        <v>885</v>
      </c>
      <c r="CI3436" s="245" t="s">
        <v>885</v>
      </c>
      <c r="CJ3436" t="s">
        <v>1846</v>
      </c>
      <c r="CK3436" s="459" t="s">
        <v>885</v>
      </c>
      <c r="CL3436" s="459" t="s">
        <v>885</v>
      </c>
      <c r="CM3436" s="459" t="s">
        <v>885</v>
      </c>
      <c r="CN3436" s="459" t="s">
        <v>885</v>
      </c>
      <c r="CO3436" s="459" t="s">
        <v>885</v>
      </c>
      <c r="CP3436" s="459" t="s">
        <v>885</v>
      </c>
      <c r="CQ3436" s="459" t="s">
        <v>885</v>
      </c>
      <c r="CR3436" s="459" t="s">
        <v>885</v>
      </c>
      <c r="CS3436" s="459" t="s">
        <v>885</v>
      </c>
      <c r="CT3436" s="245" t="s">
        <v>885</v>
      </c>
      <c r="CU3436" s="463" t="s">
        <v>885</v>
      </c>
      <c r="CV3436" s="245" t="s">
        <v>885</v>
      </c>
      <c r="CW3436" s="245" t="s">
        <v>885</v>
      </c>
      <c r="CX3436" s="459" t="s">
        <v>885</v>
      </c>
      <c r="CY3436" s="459" t="s">
        <v>885</v>
      </c>
      <c r="CZ3436" s="459" t="s">
        <v>885</v>
      </c>
      <c r="DA3436" s="459" t="s">
        <v>885</v>
      </c>
      <c r="DB3436" s="459" t="s">
        <v>885</v>
      </c>
      <c r="DC3436" s="459" t="s">
        <v>885</v>
      </c>
      <c r="DD3436" s="459" t="s">
        <v>885</v>
      </c>
      <c r="DE3436" s="459" t="s">
        <v>885</v>
      </c>
      <c r="DF3436" s="459" t="s">
        <v>885</v>
      </c>
      <c r="DG3436" s="459" t="s">
        <v>885</v>
      </c>
      <c r="DH3436" s="459" t="s">
        <v>885</v>
      </c>
      <c r="DI3436" s="459" t="s">
        <v>885</v>
      </c>
      <c r="DJ3436" s="459" t="s">
        <v>885</v>
      </c>
      <c r="DK3436" s="459" t="s">
        <v>885</v>
      </c>
      <c r="DL3436" s="459" t="s">
        <v>885</v>
      </c>
      <c r="DM3436" s="459" t="s">
        <v>885</v>
      </c>
      <c r="DN3436" s="459" t="s">
        <v>885</v>
      </c>
      <c r="DO3436" s="459" t="s">
        <v>885</v>
      </c>
      <c r="DP3436" t="s">
        <v>1925</v>
      </c>
      <c r="DQ3436" s="459" t="s">
        <v>885</v>
      </c>
      <c r="DR3436" s="459" t="s">
        <v>885</v>
      </c>
      <c r="DS3436" s="459" t="s">
        <v>885</v>
      </c>
      <c r="DT3436" s="459" t="s">
        <v>885</v>
      </c>
      <c r="DU3436" s="459" t="s">
        <v>885</v>
      </c>
      <c r="DV3436" s="459" t="s">
        <v>885</v>
      </c>
      <c r="DW3436" s="459" t="s">
        <v>885</v>
      </c>
      <c r="DX3436" s="245" t="s">
        <v>885</v>
      </c>
      <c r="DY3436" s="245"/>
      <c r="DZ3436" s="470" t="str">
        <f>IF($B$265=$B$3278,EB3436,IF($B$265=$B$3279,ED3436,IF($B$265=$B$3280,EF3436,IF($B$265=$B$3281,EH3436,IF($B$265=$B$3282,EJ3436,IF($B$265=$B$3283,EL3436,IF($B$265=$B$3284,EN3436,IF($B$265=$B$3285,EP3436,IF($B$265=$B$3286,ER3436,IF($B$265=$B$3287,ET3436,IF($B$265=$B$3288,EV3436,IF($B$265=$B$3289,EX3436,IF($B$265=$B$3290,EZ3436,IF($B$265=$B$3291,FB3436,IF($B$265=$B$3292,FD3436,IF($B$265=$B$3293,BU3436,IF($B$265=$B$3294,FF3436,IF($B$265=$B$3295,FH3436,IF($B$265=$B$3296,FJ3436,IF($B$265=$B$3297,FL3436,IF($B$265=$B$3298,FN3436,IF($B$265=$B$3299,FP3436,IF(BI$265=$B$3300,FR3436,IF($B$265=$B$3301,FT3436,IF($B$265=$B$3302,FV3436,IF($B$265=$B$3303,FX3436,IF($B$265=$B$3304,FZ3436,IF($B$265=$B$3305,GB3436,IF($B$265=$B$3306,GD3436,IF($B$265=$B$3307,GF3436,IF($B$265=$B$3308,GH3436,IF($B$265=$B$3309,GJ3436,IF($B$265=$B$3310,GL3436,IF($B$265=$B$3311,GN3436,IF($B$265=$B$3312,GP3436,IF($B$265=$B$3313,GR3436,IF($B$265=$B$3314,GT3436,IF($B$265=$B$3315,GV3436,IF($B$265=$B$3316,GX3436,IF($B$265=$B$3317,GZ3436,IF($B$265=$B$3318,HB3436,IF($B$265=$B$3319,HD3436,IF($B$265=$B$3320,HF3436,IF($B$265=$B$3321,HH3436,IF($B$265=$B$3322,HJ3436,IF($B$265=$B$3323,HL3436,IF($B$265=$B$3324,HN3436,IF($B$265=$B$3325,HP3436,IF($B$265=$B$3326,HR3436,IF($B$265=$B$3327,HT3436,IF($B$265=$B$3328,HV3436,IF($B$265=$B$3329,HX3436,""))))))))))))))))))))))))))))))))))))))))))))))))))))</f>
        <v/>
      </c>
      <c r="EA3436" s="470" t="str">
        <f>IF($B$265=$B$3278,EC3436,IF($B$265=$B$3279,EE3436,IF($B$265=$B$3280,EG3436,IF($B$265=$B$3281,EI3436,IF($B$265=$B$3282,EK3436,IF($B$265=$B$3283,EM3436,IF($B$265=$B$3284,EO3436,IF($B$265=$B$3285,EQ3436,IF($B$265=$B$3286,ES3436,IF($B$265=$B$3287,EU3436,IF($B$265=$B$3288,EW3436,IF($B$265=$B$3289,EY3436,IF($B$265=$B$3290,FA3436,IF($B$265=$B$3291,FC3436,IF($B$265=$B$3292,FE3436,IF($B$265=$B$3293,BK3436,IF($B$265=$B$3294,FG3436,IF($B$265=$B$3295,FI3436,IF($B$265=$B$3296,FK3436,IF($B$265=$B$3297,FM3436,IF($B$265=$B$3298,FO3436,IF($B$265=$B$3299,FQ3436,IF(BJ$265=$B$3300,FS3436,IF($B$265=$B$3301,FU3436,IF($B$265=$B$3302,FW3436,IF($B$265=$B$3303,FY3436,IF($B$265=$B$3304,GA3436,IF($B$265=$B$3305,GC3436,IF($B$265=$B$3306,GE3436,IF($B$265=$B$3307,GG3436,IF($B$265=$B$3308,GI3436,IF($B$265=$B$3309,GK3436,IF($B$265=$B$3310,GM3436,IF($B$265=$B$3311,GO3436,IF($B$265=$B$3312,GQ3436,IF($B$265=$B$3313,GS3436,IF($B$265=$B$3314,GU3436,IF($B$265=$B$3315,GW3436,IF($B$265=$B$3316,GY3436,IF($B$265=$B$3317,HA3436,IF($B$265=$B$3318,HC3436,IF($B$265=$B$3319,HE3436,IF($B$265=$B$3320,HG3436,IF($B$265=$B$3321,HI3436,IF($B$265=$B$3322,HK3436,IF($B$265=$B$3323,HM3436,IF($B$265=$B$3324,HO3436,IF($B$265=$B$3325,HQ3436,IF($B$265=$B$3326,HS3436,IF($B$265=$B$3327,HU3436,IF($B$265=$B$3328,HW3436,IF($B$265=$B$3329,HY3436,""))))))))))))))))))))))))))))))))))))))))))))))))))))</f>
        <v/>
      </c>
      <c r="EB3436" s="459" t="s">
        <v>885</v>
      </c>
    </row>
    <row r="3437" spans="1:132" ht="16" hidden="1" x14ac:dyDescent="0.4">
      <c r="A3437" s="813"/>
      <c r="BS3437" s="464" t="str">
        <f>IF($B$265=B$3278,BZ3436,IF($B$265=B$3279,CA3436,IF($B$265=B$3280,CB3436,IF($B$265=B$3281,CC3436,IF($B$265=B$3282,CD3436,IF($B$265=B$3283,CE3436,IF($B$265=B$3284,CF3436,IF($B$265=B$3285,CG3436,IF($B$265=B$3286,CH3436,IF($B$265=B$3287,CI3436,IF($B$265=B$3288,CJ3436,IF($B$265=B$3289,CK3436,IF($B$265=B$3290,CL3436,IF($B$265=B$3291,CM3436,IF($B$265=B$3292,CN3436,IF($B$265=B$3293,C3436,IF($B$265=B$3294,CO3436,IF($B$265=B$3295,CP3436,IF($B$265=B$3296,CQ3436,IF($B$265=B$3297,CR3436,IF($B$265=B$3298,CS3436,IF($B$265=B$3299,CT3436,IF(B$265=B$3300,CU3436,IF($B$265=B$3301,CV3436,IF($B$265=B$3302,CW3436,IF($B$265=B$3303,CX3436,IF($B$265=B$3304,CY3436,IF($B$265=B$3305,CZ3436,IF($B$265=B$3306,DA3436,IF($B$265=B$3307,DB3436,IF($B$265=B$3308,DC3436,IF($B$265=B$3309,DD3436,IF($B$265=B$3310,DE3436,IF($B$265=B$3311,DF3436,IF($B$265=B$3312,DG3436,IF($B$265=B$3313,DH3436,IF($B$265=B$3314,DI3436,IF($B$265=B$3315,DJ3436,IF($B$265=B$3316,DK3436,IF($B$265=B$3317,DL3436,IF($B$265=B$3318,DM3436,IF($B$265=B$3319,DN3436,IF($B$265=B$3320,DO3436,IF($B$265=B$3321,DP3436,IF($B$265=B$3322,DQ3436,IF($B$265=B$3323,DR3436,IF($B$265=B$3324,DS3436,IF($B$265=B$3325,DT3436,IF($B$265=B$3326,DU3436,IF($B$265=B$3327,DV3436,IF($B$265=B$3328,DW3436,IF($B$265=B$3329,DX3436,""))))))))))))))))))))))))))))))))))))))))))))))))))))</f>
        <v/>
      </c>
      <c r="BZ3437" s="245" t="s">
        <v>885</v>
      </c>
      <c r="CA3437" s="245" t="s">
        <v>885</v>
      </c>
      <c r="CC3437" s="245" t="s">
        <v>885</v>
      </c>
      <c r="CD3437" s="459" t="s">
        <v>885</v>
      </c>
      <c r="CE3437" s="459" t="s">
        <v>885</v>
      </c>
      <c r="CF3437" s="245" t="s">
        <v>885</v>
      </c>
      <c r="CG3437" s="245" t="s">
        <v>885</v>
      </c>
      <c r="CH3437" s="245" t="s">
        <v>885</v>
      </c>
      <c r="CI3437" s="245" t="s">
        <v>885</v>
      </c>
      <c r="CJ3437" t="s">
        <v>1847</v>
      </c>
      <c r="CK3437" s="459" t="s">
        <v>885</v>
      </c>
      <c r="CL3437" s="459" t="s">
        <v>885</v>
      </c>
      <c r="CM3437" s="459" t="s">
        <v>885</v>
      </c>
      <c r="CN3437" s="459" t="s">
        <v>885</v>
      </c>
      <c r="CO3437" s="459" t="s">
        <v>885</v>
      </c>
      <c r="CP3437" s="459" t="s">
        <v>885</v>
      </c>
      <c r="CQ3437" s="459" t="s">
        <v>885</v>
      </c>
      <c r="CR3437" s="459" t="s">
        <v>885</v>
      </c>
      <c r="CS3437" s="459" t="s">
        <v>885</v>
      </c>
      <c r="CT3437" s="245" t="s">
        <v>885</v>
      </c>
      <c r="CU3437" s="463" t="s">
        <v>885</v>
      </c>
      <c r="CV3437" s="245" t="s">
        <v>885</v>
      </c>
      <c r="CW3437" s="245" t="s">
        <v>885</v>
      </c>
      <c r="CX3437" s="459" t="s">
        <v>885</v>
      </c>
      <c r="CY3437" s="459" t="s">
        <v>885</v>
      </c>
      <c r="CZ3437" s="459" t="s">
        <v>885</v>
      </c>
      <c r="DA3437" s="459" t="s">
        <v>885</v>
      </c>
      <c r="DB3437" s="459" t="s">
        <v>885</v>
      </c>
      <c r="DC3437" s="459" t="s">
        <v>885</v>
      </c>
      <c r="DD3437" s="459" t="s">
        <v>885</v>
      </c>
      <c r="DE3437" s="459" t="s">
        <v>885</v>
      </c>
      <c r="DF3437" s="459" t="s">
        <v>885</v>
      </c>
      <c r="DG3437" s="459" t="s">
        <v>885</v>
      </c>
      <c r="DH3437" s="459" t="s">
        <v>885</v>
      </c>
      <c r="DI3437" s="459" t="s">
        <v>885</v>
      </c>
      <c r="DJ3437" s="459" t="s">
        <v>885</v>
      </c>
      <c r="DK3437" s="459" t="s">
        <v>885</v>
      </c>
      <c r="DL3437" s="459" t="s">
        <v>885</v>
      </c>
      <c r="DM3437" s="459" t="s">
        <v>885</v>
      </c>
      <c r="DN3437" s="459" t="s">
        <v>885</v>
      </c>
      <c r="DO3437" s="459" t="s">
        <v>885</v>
      </c>
      <c r="DP3437" t="s">
        <v>1468</v>
      </c>
      <c r="DQ3437" s="459" t="s">
        <v>885</v>
      </c>
      <c r="DR3437" s="459" t="s">
        <v>885</v>
      </c>
      <c r="DS3437" s="459" t="s">
        <v>885</v>
      </c>
      <c r="DT3437" s="459" t="s">
        <v>885</v>
      </c>
      <c r="DU3437" s="459" t="s">
        <v>885</v>
      </c>
      <c r="DV3437" s="459" t="s">
        <v>885</v>
      </c>
      <c r="DW3437" s="459" t="s">
        <v>885</v>
      </c>
      <c r="DX3437" s="245" t="s">
        <v>885</v>
      </c>
      <c r="DY3437" s="245"/>
      <c r="DZ3437" s="470" t="str">
        <f>IF($B$265=$B$3278,EB3437,IF($B$265=$B$3279,ED3437,IF($B$265=$B$3280,EF3437,IF($B$265=$B$3281,EH3437,IF($B$265=$B$3282,EJ3437,IF($B$265=$B$3283,EL3437,IF($B$265=$B$3284,EN3437,IF($B$265=$B$3285,EP3437,IF($B$265=$B$3286,ER3437,IF($B$265=$B$3287,ET3437,IF($B$265=$B$3288,EV3437,IF($B$265=$B$3289,EX3437,IF($B$265=$B$3290,EZ3437,IF($B$265=$B$3291,FB3437,IF($B$265=$B$3292,FD3437,IF($B$265=$B$3293,BU3437,IF($B$265=$B$3294,FF3437,IF($B$265=$B$3295,FH3437,IF($B$265=$B$3296,FJ3437,IF($B$265=$B$3297,FL3437,IF($B$265=$B$3298,FN3437,IF($B$265=$B$3299,FP3437,IF(BI$265=$B$3300,FR3437,IF($B$265=$B$3301,FT3437,IF($B$265=$B$3302,FV3437,IF($B$265=$B$3303,FX3437,IF($B$265=$B$3304,FZ3437,IF($B$265=$B$3305,GB3437,IF($B$265=$B$3306,GD3437,IF($B$265=$B$3307,GF3437,IF($B$265=$B$3308,GH3437,IF($B$265=$B$3309,GJ3437,IF($B$265=$B$3310,GL3437,IF($B$265=$B$3311,GN3437,IF($B$265=$B$3312,GP3437,IF($B$265=$B$3313,GR3437,IF($B$265=$B$3314,GT3437,IF($B$265=$B$3315,GV3437,IF($B$265=$B$3316,GX3437,IF($B$265=$B$3317,GZ3437,IF($B$265=$B$3318,HB3437,IF($B$265=$B$3319,HD3437,IF($B$265=$B$3320,HF3437,IF($B$265=$B$3321,HH3437,IF($B$265=$B$3322,HJ3437,IF($B$265=$B$3323,HL3437,IF($B$265=$B$3324,HN3437,IF($B$265=$B$3325,HP3437,IF($B$265=$B$3326,HR3437,IF($B$265=$B$3327,HT3437,IF($B$265=$B$3328,HV3437,IF($B$265=$B$3329,HX3437,""))))))))))))))))))))))))))))))))))))))))))))))))))))</f>
        <v/>
      </c>
      <c r="EA3437" s="470" t="str">
        <f>IF($B$265=$B$3278,EC3437,IF($B$265=$B$3279,EE3437,IF($B$265=$B$3280,EG3437,IF($B$265=$B$3281,EI3437,IF($B$265=$B$3282,EK3437,IF($B$265=$B$3283,EM3437,IF($B$265=$B$3284,EO3437,IF($B$265=$B$3285,EQ3437,IF($B$265=$B$3286,ES3437,IF($B$265=$B$3287,EU3437,IF($B$265=$B$3288,EW3437,IF($B$265=$B$3289,EY3437,IF($B$265=$B$3290,FA3437,IF($B$265=$B$3291,FC3437,IF($B$265=$B$3292,FE3437,IF($B$265=$B$3293,BK3437,IF($B$265=$B$3294,FG3437,IF($B$265=$B$3295,FI3437,IF($B$265=$B$3296,FK3437,IF($B$265=$B$3297,FM3437,IF($B$265=$B$3298,FO3437,IF($B$265=$B$3299,FQ3437,IF(BJ$265=$B$3300,FS3437,IF($B$265=$B$3301,FU3437,IF($B$265=$B$3302,FW3437,IF($B$265=$B$3303,FY3437,IF($B$265=$B$3304,GA3437,IF($B$265=$B$3305,GC3437,IF($B$265=$B$3306,GE3437,IF($B$265=$B$3307,GG3437,IF($B$265=$B$3308,GI3437,IF($B$265=$B$3309,GK3437,IF($B$265=$B$3310,GM3437,IF($B$265=$B$3311,GO3437,IF($B$265=$B$3312,GQ3437,IF($B$265=$B$3313,GS3437,IF($B$265=$B$3314,GU3437,IF($B$265=$B$3315,GW3437,IF($B$265=$B$3316,GY3437,IF($B$265=$B$3317,HA3437,IF($B$265=$B$3318,HC3437,IF($B$265=$B$3319,HE3437,IF($B$265=$B$3320,HG3437,IF($B$265=$B$3321,HI3437,IF($B$265=$B$3322,HK3437,IF($B$265=$B$3323,HM3437,IF($B$265=$B$3324,HO3437,IF($B$265=$B$3325,HQ3437,IF($B$265=$B$3326,HS3437,IF($B$265=$B$3327,HU3437,IF($B$265=$B$3328,HW3437,IF($B$265=$B$3329,HY3437,""))))))))))))))))))))))))))))))))))))))))))))))))))))</f>
        <v/>
      </c>
      <c r="EB3437" s="459" t="s">
        <v>885</v>
      </c>
    </row>
    <row r="3438" spans="1:132" ht="16" hidden="1" x14ac:dyDescent="0.4">
      <c r="A3438" s="813"/>
      <c r="BS3438" s="464" t="str">
        <f>IF($B$265=B$3278,BZ3437,IF($B$265=B$3279,CA3437,IF($B$265=B$3280,CB3437,IF($B$265=B$3281,CC3437,IF($B$265=B$3282,CD3437,IF($B$265=B$3283,CE3437,IF($B$265=B$3284,CF3437,IF($B$265=B$3285,CG3437,IF($B$265=B$3286,CH3437,IF($B$265=B$3287,CI3437,IF($B$265=B$3288,CJ3437,IF($B$265=B$3289,CK3437,IF($B$265=B$3290,CL3437,IF($B$265=B$3291,CM3437,IF($B$265=B$3292,CN3437,IF($B$265=B$3293,C3437,IF($B$265=B$3294,CO3437,IF($B$265=B$3295,CP3437,IF($B$265=B$3296,CQ3437,IF($B$265=B$3297,CR3437,IF($B$265=B$3298,CS3437,IF($B$265=B$3299,CT3437,IF(B$265=B$3300,CU3437,IF($B$265=B$3301,CV3437,IF($B$265=B$3302,CW3437,IF($B$265=B$3303,CX3437,IF($B$265=B$3304,CY3437,IF($B$265=B$3305,CZ3437,IF($B$265=B$3306,DA3437,IF($B$265=B$3307,DB3437,IF($B$265=B$3308,DC3437,IF($B$265=B$3309,DD3437,IF($B$265=B$3310,DE3437,IF($B$265=B$3311,DF3437,IF($B$265=B$3312,DG3437,IF($B$265=B$3313,DH3437,IF($B$265=B$3314,DI3437,IF($B$265=B$3315,DJ3437,IF($B$265=B$3316,DK3437,IF($B$265=B$3317,DL3437,IF($B$265=B$3318,DM3437,IF($B$265=B$3319,DN3437,IF($B$265=B$3320,DO3437,IF($B$265=B$3321,DP3437,IF($B$265=B$3322,DQ3437,IF($B$265=B$3323,DR3437,IF($B$265=B$3324,DS3437,IF($B$265=B$3325,DT3437,IF($B$265=B$3326,DU3437,IF($B$265=B$3327,DV3437,IF($B$265=B$3328,DW3437,IF($B$265=B$3329,DX3437,""))))))))))))))))))))))))))))))))))))))))))))))))))))</f>
        <v/>
      </c>
      <c r="BZ3438" s="245" t="s">
        <v>885</v>
      </c>
      <c r="CA3438" s="245" t="s">
        <v>885</v>
      </c>
      <c r="CC3438" s="245" t="s">
        <v>885</v>
      </c>
      <c r="CD3438" s="459" t="s">
        <v>885</v>
      </c>
      <c r="CE3438" s="459" t="s">
        <v>885</v>
      </c>
      <c r="CF3438" s="245" t="s">
        <v>885</v>
      </c>
      <c r="CG3438" s="245" t="s">
        <v>885</v>
      </c>
      <c r="CH3438" s="245" t="s">
        <v>885</v>
      </c>
      <c r="CI3438" s="245" t="s">
        <v>885</v>
      </c>
      <c r="CJ3438" t="s">
        <v>1848</v>
      </c>
      <c r="CK3438" s="459" t="s">
        <v>885</v>
      </c>
      <c r="CL3438" s="459" t="s">
        <v>885</v>
      </c>
      <c r="CM3438" s="459" t="s">
        <v>885</v>
      </c>
      <c r="CN3438" s="459" t="s">
        <v>885</v>
      </c>
      <c r="CO3438" s="459" t="s">
        <v>885</v>
      </c>
      <c r="CP3438" s="459" t="s">
        <v>885</v>
      </c>
      <c r="CQ3438" s="459" t="s">
        <v>885</v>
      </c>
      <c r="CR3438" s="459" t="s">
        <v>885</v>
      </c>
      <c r="CS3438" s="459" t="s">
        <v>885</v>
      </c>
      <c r="CT3438" s="245" t="s">
        <v>885</v>
      </c>
      <c r="CU3438" s="463" t="s">
        <v>885</v>
      </c>
      <c r="CV3438" s="245" t="s">
        <v>885</v>
      </c>
      <c r="CW3438" s="245" t="s">
        <v>885</v>
      </c>
      <c r="CX3438" s="459" t="s">
        <v>885</v>
      </c>
      <c r="CY3438" s="459" t="s">
        <v>885</v>
      </c>
      <c r="CZ3438" s="459" t="s">
        <v>885</v>
      </c>
      <c r="DA3438" s="459" t="s">
        <v>885</v>
      </c>
      <c r="DB3438" s="459" t="s">
        <v>885</v>
      </c>
      <c r="DC3438" s="459" t="s">
        <v>885</v>
      </c>
      <c r="DD3438" s="459" t="s">
        <v>885</v>
      </c>
      <c r="DE3438" s="459" t="s">
        <v>885</v>
      </c>
      <c r="DF3438" s="459" t="s">
        <v>885</v>
      </c>
      <c r="DG3438" s="459" t="s">
        <v>885</v>
      </c>
      <c r="DH3438" s="459" t="s">
        <v>885</v>
      </c>
      <c r="DI3438" s="459" t="s">
        <v>885</v>
      </c>
      <c r="DJ3438" s="459" t="s">
        <v>885</v>
      </c>
      <c r="DK3438" s="459" t="s">
        <v>885</v>
      </c>
      <c r="DL3438" s="459" t="s">
        <v>885</v>
      </c>
      <c r="DM3438" s="459" t="s">
        <v>885</v>
      </c>
      <c r="DN3438" s="459" t="s">
        <v>885</v>
      </c>
      <c r="DO3438" s="459" t="s">
        <v>885</v>
      </c>
      <c r="DP3438" t="s">
        <v>3015</v>
      </c>
      <c r="DQ3438" s="459" t="s">
        <v>885</v>
      </c>
      <c r="DR3438" s="459" t="s">
        <v>885</v>
      </c>
      <c r="DS3438" s="459" t="s">
        <v>885</v>
      </c>
      <c r="DT3438" s="459" t="s">
        <v>885</v>
      </c>
      <c r="DU3438" s="459" t="s">
        <v>885</v>
      </c>
      <c r="DV3438" s="459" t="s">
        <v>885</v>
      </c>
      <c r="DW3438" s="459" t="s">
        <v>885</v>
      </c>
      <c r="DX3438" s="245" t="s">
        <v>885</v>
      </c>
      <c r="DY3438" s="245"/>
      <c r="DZ3438" s="470" t="str">
        <f>IF($B$265=$B$3278,EB3438,IF($B$265=$B$3279,ED3438,IF($B$265=$B$3280,EF3438,IF($B$265=$B$3281,EH3438,IF($B$265=$B$3282,EJ3438,IF($B$265=$B$3283,EL3438,IF($B$265=$B$3284,EN3438,IF($B$265=$B$3285,EP3438,IF($B$265=$B$3286,ER3438,IF($B$265=$B$3287,ET3438,IF($B$265=$B$3288,EV3438,IF($B$265=$B$3289,EX3438,IF($B$265=$B$3290,EZ3438,IF($B$265=$B$3291,FB3438,IF($B$265=$B$3292,FD3438,IF($B$265=$B$3293,BU3438,IF($B$265=$B$3294,FF3438,IF($B$265=$B$3295,FH3438,IF($B$265=$B$3296,FJ3438,IF($B$265=$B$3297,FL3438,IF($B$265=$B$3298,FN3438,IF($B$265=$B$3299,FP3438,IF(BI$265=$B$3300,FR3438,IF($B$265=$B$3301,FT3438,IF($B$265=$B$3302,FV3438,IF($B$265=$B$3303,FX3438,IF($B$265=$B$3304,FZ3438,IF($B$265=$B$3305,GB3438,IF($B$265=$B$3306,GD3438,IF($B$265=$B$3307,GF3438,IF($B$265=$B$3308,GH3438,IF($B$265=$B$3309,GJ3438,IF($B$265=$B$3310,GL3438,IF($B$265=$B$3311,GN3438,IF($B$265=$B$3312,GP3438,IF($B$265=$B$3313,GR3438,IF($B$265=$B$3314,GT3438,IF($B$265=$B$3315,GV3438,IF($B$265=$B$3316,GX3438,IF($B$265=$B$3317,GZ3438,IF($B$265=$B$3318,HB3438,IF($B$265=$B$3319,HD3438,IF($B$265=$B$3320,HF3438,IF($B$265=$B$3321,HH3438,IF($B$265=$B$3322,HJ3438,IF($B$265=$B$3323,HL3438,IF($B$265=$B$3324,HN3438,IF($B$265=$B$3325,HP3438,IF($B$265=$B$3326,HR3438,IF($B$265=$B$3327,HT3438,IF($B$265=$B$3328,HV3438,IF($B$265=$B$3329,HX3438,""))))))))))))))))))))))))))))))))))))))))))))))))))))</f>
        <v/>
      </c>
      <c r="EA3438" s="470" t="str">
        <f>IF($B$265=$B$3278,EC3438,IF($B$265=$B$3279,EE3438,IF($B$265=$B$3280,EG3438,IF($B$265=$B$3281,EI3438,IF($B$265=$B$3282,EK3438,IF($B$265=$B$3283,EM3438,IF($B$265=$B$3284,EO3438,IF($B$265=$B$3285,EQ3438,IF($B$265=$B$3286,ES3438,IF($B$265=$B$3287,EU3438,IF($B$265=$B$3288,EW3438,IF($B$265=$B$3289,EY3438,IF($B$265=$B$3290,FA3438,IF($B$265=$B$3291,FC3438,IF($B$265=$B$3292,FE3438,IF($B$265=$B$3293,BK3438,IF($B$265=$B$3294,FG3438,IF($B$265=$B$3295,FI3438,IF($B$265=$B$3296,FK3438,IF($B$265=$B$3297,FM3438,IF($B$265=$B$3298,FO3438,IF($B$265=$B$3299,FQ3438,IF(BJ$265=$B$3300,FS3438,IF($B$265=$B$3301,FU3438,IF($B$265=$B$3302,FW3438,IF($B$265=$B$3303,FY3438,IF($B$265=$B$3304,GA3438,IF($B$265=$B$3305,GC3438,IF($B$265=$B$3306,GE3438,IF($B$265=$B$3307,GG3438,IF($B$265=$B$3308,GI3438,IF($B$265=$B$3309,GK3438,IF($B$265=$B$3310,GM3438,IF($B$265=$B$3311,GO3438,IF($B$265=$B$3312,GQ3438,IF($B$265=$B$3313,GS3438,IF($B$265=$B$3314,GU3438,IF($B$265=$B$3315,GW3438,IF($B$265=$B$3316,GY3438,IF($B$265=$B$3317,HA3438,IF($B$265=$B$3318,HC3438,IF($B$265=$B$3319,HE3438,IF($B$265=$B$3320,HG3438,IF($B$265=$B$3321,HI3438,IF($B$265=$B$3322,HK3438,IF($B$265=$B$3323,HM3438,IF($B$265=$B$3324,HO3438,IF($B$265=$B$3325,HQ3438,IF($B$265=$B$3326,HS3438,IF($B$265=$B$3327,HU3438,IF($B$265=$B$3328,HW3438,IF($B$265=$B$3329,HY3438,""))))))))))))))))))))))))))))))))))))))))))))))))))))</f>
        <v/>
      </c>
      <c r="EB3438" s="459" t="s">
        <v>885</v>
      </c>
    </row>
    <row r="3439" spans="1:132" ht="16" hidden="1" x14ac:dyDescent="0.4">
      <c r="A3439" s="813"/>
      <c r="BS3439" s="464" t="str">
        <f>IF($B$265=B$3278,BZ3438,IF($B$265=B$3279,CA3438,IF($B$265=B$3280,CB3438,IF($B$265=B$3281,CC3438,IF($B$265=B$3282,CD3438,IF($B$265=B$3283,CE3438,IF($B$265=B$3284,CF3438,IF($B$265=B$3285,CG3438,IF($B$265=B$3286,CH3438,IF($B$265=B$3287,CI3438,IF($B$265=B$3288,CJ3438,IF($B$265=B$3289,CK3438,IF($B$265=B$3290,CL3438,IF($B$265=B$3291,CM3438,IF($B$265=B$3292,CN3438,IF($B$265=B$3293,C3438,IF($B$265=B$3294,CO3438,IF($B$265=B$3295,CP3438,IF($B$265=B$3296,CQ3438,IF($B$265=B$3297,CR3438,IF($B$265=B$3298,CS3438,IF($B$265=B$3299,CT3438,IF(B$265=B$3300,CU3438,IF($B$265=B$3301,CV3438,IF($B$265=B$3302,CW3438,IF($B$265=B$3303,CX3438,IF($B$265=B$3304,CY3438,IF($B$265=B$3305,CZ3438,IF($B$265=B$3306,DA3438,IF($B$265=B$3307,DB3438,IF($B$265=B$3308,DC3438,IF($B$265=B$3309,DD3438,IF($B$265=B$3310,DE3438,IF($B$265=B$3311,DF3438,IF($B$265=B$3312,DG3438,IF($B$265=B$3313,DH3438,IF($B$265=B$3314,DI3438,IF($B$265=B$3315,DJ3438,IF($B$265=B$3316,DK3438,IF($B$265=B$3317,DL3438,IF($B$265=B$3318,DM3438,IF($B$265=B$3319,DN3438,IF($B$265=B$3320,DO3438,IF($B$265=B$3321,DP3438,IF($B$265=B$3322,DQ3438,IF($B$265=B$3323,DR3438,IF($B$265=B$3324,DS3438,IF($B$265=B$3325,DT3438,IF($B$265=B$3326,DU3438,IF($B$265=B$3327,DV3438,IF($B$265=B$3328,DW3438,IF($B$265=B$3329,DX3438,""))))))))))))))))))))))))))))))))))))))))))))))))))))</f>
        <v/>
      </c>
      <c r="BZ3439" s="245" t="s">
        <v>885</v>
      </c>
      <c r="CA3439" s="245" t="s">
        <v>885</v>
      </c>
      <c r="CC3439" s="245" t="s">
        <v>885</v>
      </c>
      <c r="CD3439" s="459" t="s">
        <v>885</v>
      </c>
      <c r="CE3439" s="459" t="s">
        <v>885</v>
      </c>
      <c r="CF3439" s="245" t="s">
        <v>885</v>
      </c>
      <c r="CG3439" s="245" t="s">
        <v>885</v>
      </c>
      <c r="CH3439" s="245" t="s">
        <v>885</v>
      </c>
      <c r="CI3439" s="245" t="s">
        <v>885</v>
      </c>
      <c r="CJ3439" t="s">
        <v>1849</v>
      </c>
      <c r="CK3439" s="459" t="s">
        <v>885</v>
      </c>
      <c r="CL3439" s="459" t="s">
        <v>885</v>
      </c>
      <c r="CM3439" s="459" t="s">
        <v>885</v>
      </c>
      <c r="CN3439" s="459" t="s">
        <v>885</v>
      </c>
      <c r="CO3439" s="459" t="s">
        <v>885</v>
      </c>
      <c r="CP3439" s="459" t="s">
        <v>885</v>
      </c>
      <c r="CQ3439" s="459" t="s">
        <v>885</v>
      </c>
      <c r="CR3439" s="459" t="s">
        <v>885</v>
      </c>
      <c r="CS3439" s="459" t="s">
        <v>885</v>
      </c>
      <c r="CT3439" s="245" t="s">
        <v>885</v>
      </c>
      <c r="CU3439" s="463" t="s">
        <v>885</v>
      </c>
      <c r="CV3439" s="245" t="s">
        <v>885</v>
      </c>
      <c r="CW3439" s="245" t="s">
        <v>885</v>
      </c>
      <c r="CX3439" s="459" t="s">
        <v>885</v>
      </c>
      <c r="CY3439" s="459" t="s">
        <v>885</v>
      </c>
      <c r="CZ3439" s="459" t="s">
        <v>885</v>
      </c>
      <c r="DA3439" s="459" t="s">
        <v>885</v>
      </c>
      <c r="DB3439" s="459" t="s">
        <v>885</v>
      </c>
      <c r="DC3439" s="459" t="s">
        <v>885</v>
      </c>
      <c r="DD3439" s="459" t="s">
        <v>885</v>
      </c>
      <c r="DE3439" s="459" t="s">
        <v>885</v>
      </c>
      <c r="DF3439" s="459" t="s">
        <v>885</v>
      </c>
      <c r="DG3439" s="459" t="s">
        <v>885</v>
      </c>
      <c r="DH3439" s="459" t="s">
        <v>885</v>
      </c>
      <c r="DI3439" s="459" t="s">
        <v>885</v>
      </c>
      <c r="DJ3439" s="459" t="s">
        <v>885</v>
      </c>
      <c r="DK3439" s="459" t="s">
        <v>885</v>
      </c>
      <c r="DL3439" s="459" t="s">
        <v>885</v>
      </c>
      <c r="DM3439" s="459" t="s">
        <v>885</v>
      </c>
      <c r="DN3439" s="459" t="s">
        <v>885</v>
      </c>
      <c r="DO3439" s="459" t="s">
        <v>885</v>
      </c>
      <c r="DP3439" t="s">
        <v>3016</v>
      </c>
      <c r="DQ3439" s="459" t="s">
        <v>885</v>
      </c>
      <c r="DR3439" s="459" t="s">
        <v>885</v>
      </c>
      <c r="DS3439" s="459" t="s">
        <v>885</v>
      </c>
      <c r="DT3439" s="459" t="s">
        <v>885</v>
      </c>
      <c r="DU3439" s="459" t="s">
        <v>885</v>
      </c>
      <c r="DV3439" s="459" t="s">
        <v>885</v>
      </c>
      <c r="DW3439" s="459" t="s">
        <v>885</v>
      </c>
      <c r="DX3439" s="245" t="s">
        <v>885</v>
      </c>
      <c r="DY3439" s="245"/>
      <c r="DZ3439" s="470" t="str">
        <f>IF($B$265=$B$3278,EB3439,IF($B$265=$B$3279,ED3439,IF($B$265=$B$3280,EF3439,IF($B$265=$B$3281,EH3439,IF($B$265=$B$3282,EJ3439,IF($B$265=$B$3283,EL3439,IF($B$265=$B$3284,EN3439,IF($B$265=$B$3285,EP3439,IF($B$265=$B$3286,ER3439,IF($B$265=$B$3287,ET3439,IF($B$265=$B$3288,EV3439,IF($B$265=$B$3289,EX3439,IF($B$265=$B$3290,EZ3439,IF($B$265=$B$3291,FB3439,IF($B$265=$B$3292,FD3439,IF($B$265=$B$3293,BU3439,IF($B$265=$B$3294,FF3439,IF($B$265=$B$3295,FH3439,IF($B$265=$B$3296,FJ3439,IF($B$265=$B$3297,FL3439,IF($B$265=$B$3298,FN3439,IF($B$265=$B$3299,FP3439,IF(BI$265=$B$3300,FR3439,IF($B$265=$B$3301,FT3439,IF($B$265=$B$3302,FV3439,IF($B$265=$B$3303,FX3439,IF($B$265=$B$3304,FZ3439,IF($B$265=$B$3305,GB3439,IF($B$265=$B$3306,GD3439,IF($B$265=$B$3307,GF3439,IF($B$265=$B$3308,GH3439,IF($B$265=$B$3309,GJ3439,IF($B$265=$B$3310,GL3439,IF($B$265=$B$3311,GN3439,IF($B$265=$B$3312,GP3439,IF($B$265=$B$3313,GR3439,IF($B$265=$B$3314,GT3439,IF($B$265=$B$3315,GV3439,IF($B$265=$B$3316,GX3439,IF($B$265=$B$3317,GZ3439,IF($B$265=$B$3318,HB3439,IF($B$265=$B$3319,HD3439,IF($B$265=$B$3320,HF3439,IF($B$265=$B$3321,HH3439,IF($B$265=$B$3322,HJ3439,IF($B$265=$B$3323,HL3439,IF($B$265=$B$3324,HN3439,IF($B$265=$B$3325,HP3439,IF($B$265=$B$3326,HR3439,IF($B$265=$B$3327,HT3439,IF($B$265=$B$3328,HV3439,IF($B$265=$B$3329,HX3439,""))))))))))))))))))))))))))))))))))))))))))))))))))))</f>
        <v/>
      </c>
      <c r="EA3439" s="470" t="str">
        <f>IF($B$265=$B$3278,EC3439,IF($B$265=$B$3279,EE3439,IF($B$265=$B$3280,EG3439,IF($B$265=$B$3281,EI3439,IF($B$265=$B$3282,EK3439,IF($B$265=$B$3283,EM3439,IF($B$265=$B$3284,EO3439,IF($B$265=$B$3285,EQ3439,IF($B$265=$B$3286,ES3439,IF($B$265=$B$3287,EU3439,IF($B$265=$B$3288,EW3439,IF($B$265=$B$3289,EY3439,IF($B$265=$B$3290,FA3439,IF($B$265=$B$3291,FC3439,IF($B$265=$B$3292,FE3439,IF($B$265=$B$3293,BK3439,IF($B$265=$B$3294,FG3439,IF($B$265=$B$3295,FI3439,IF($B$265=$B$3296,FK3439,IF($B$265=$B$3297,FM3439,IF($B$265=$B$3298,FO3439,IF($B$265=$B$3299,FQ3439,IF(BJ$265=$B$3300,FS3439,IF($B$265=$B$3301,FU3439,IF($B$265=$B$3302,FW3439,IF($B$265=$B$3303,FY3439,IF($B$265=$B$3304,GA3439,IF($B$265=$B$3305,GC3439,IF($B$265=$B$3306,GE3439,IF($B$265=$B$3307,GG3439,IF($B$265=$B$3308,GI3439,IF($B$265=$B$3309,GK3439,IF($B$265=$B$3310,GM3439,IF($B$265=$B$3311,GO3439,IF($B$265=$B$3312,GQ3439,IF($B$265=$B$3313,GS3439,IF($B$265=$B$3314,GU3439,IF($B$265=$B$3315,GW3439,IF($B$265=$B$3316,GY3439,IF($B$265=$B$3317,HA3439,IF($B$265=$B$3318,HC3439,IF($B$265=$B$3319,HE3439,IF($B$265=$B$3320,HG3439,IF($B$265=$B$3321,HI3439,IF($B$265=$B$3322,HK3439,IF($B$265=$B$3323,HM3439,IF($B$265=$B$3324,HO3439,IF($B$265=$B$3325,HQ3439,IF($B$265=$B$3326,HS3439,IF($B$265=$B$3327,HU3439,IF($B$265=$B$3328,HW3439,IF($B$265=$B$3329,HY3439,""))))))))))))))))))))))))))))))))))))))))))))))))))))</f>
        <v/>
      </c>
      <c r="EB3439" s="459" t="s">
        <v>885</v>
      </c>
    </row>
    <row r="3440" spans="1:132" ht="16" hidden="1" x14ac:dyDescent="0.4">
      <c r="A3440" s="813"/>
      <c r="BB3440" s="48"/>
      <c r="BS3440" s="464" t="str">
        <f>IF($B$265=B$3278,BZ3439,IF($B$265=B$3279,CA3439,IF($B$265=B$3280,CB3439,IF($B$265=B$3281,CC3439,IF($B$265=B$3282,CD3439,IF($B$265=B$3283,CE3439,IF($B$265=B$3284,CF3439,IF($B$265=B$3285,CG3439,IF($B$265=B$3286,CH3439,IF($B$265=B$3287,CI3439,IF($B$265=B$3288,CJ3439,IF($B$265=B$3289,CK3439,IF($B$265=B$3290,CL3439,IF($B$265=B$3291,CM3439,IF($B$265=B$3292,CN3439,IF($B$265=B$3293,C3439,IF($B$265=B$3294,CO3439,IF($B$265=B$3295,CP3439,IF($B$265=B$3296,CQ3439,IF($B$265=B$3297,CR3439,IF($B$265=B$3298,CS3439,IF($B$265=B$3299,CT3439,IF(B$265=B$3300,CU3439,IF($B$265=B$3301,CV3439,IF($B$265=B$3302,CW3439,IF($B$265=B$3303,CX3439,IF($B$265=B$3304,CY3439,IF($B$265=B$3305,CZ3439,IF($B$265=B$3306,DA3439,IF($B$265=B$3307,DB3439,IF($B$265=B$3308,DC3439,IF($B$265=B$3309,DD3439,IF($B$265=B$3310,DE3439,IF($B$265=B$3311,DF3439,IF($B$265=B$3312,DG3439,IF($B$265=B$3313,DH3439,IF($B$265=B$3314,DI3439,IF($B$265=B$3315,DJ3439,IF($B$265=B$3316,DK3439,IF($B$265=B$3317,DL3439,IF($B$265=B$3318,DM3439,IF($B$265=B$3319,DN3439,IF($B$265=B$3320,DO3439,IF($B$265=B$3321,DP3439,IF($B$265=B$3322,DQ3439,IF($B$265=B$3323,DR3439,IF($B$265=B$3324,DS3439,IF($B$265=B$3325,DT3439,IF($B$265=B$3326,DU3439,IF($B$265=B$3327,DV3439,IF($B$265=B$3328,DW3439,IF($B$265=B$3329,DX3439,""))))))))))))))))))))))))))))))))))))))))))))))))))))</f>
        <v/>
      </c>
      <c r="BZ3440" s="245" t="s">
        <v>885</v>
      </c>
      <c r="CA3440" s="245" t="s">
        <v>885</v>
      </c>
      <c r="CC3440" s="245" t="s">
        <v>885</v>
      </c>
      <c r="CD3440" s="459" t="s">
        <v>885</v>
      </c>
      <c r="CE3440" s="459" t="s">
        <v>885</v>
      </c>
      <c r="CF3440" s="245" t="s">
        <v>885</v>
      </c>
      <c r="CG3440" s="245" t="s">
        <v>885</v>
      </c>
      <c r="CH3440" s="245" t="s">
        <v>885</v>
      </c>
      <c r="CI3440" s="245" t="s">
        <v>885</v>
      </c>
      <c r="CJ3440" t="s">
        <v>1850</v>
      </c>
      <c r="CK3440" s="459" t="s">
        <v>885</v>
      </c>
      <c r="CL3440" s="459" t="s">
        <v>885</v>
      </c>
      <c r="CM3440" s="459" t="s">
        <v>885</v>
      </c>
      <c r="CN3440" s="459" t="s">
        <v>885</v>
      </c>
      <c r="CO3440" s="459" t="s">
        <v>885</v>
      </c>
      <c r="CP3440" s="459" t="s">
        <v>885</v>
      </c>
      <c r="CQ3440" s="459" t="s">
        <v>885</v>
      </c>
      <c r="CR3440" s="459" t="s">
        <v>885</v>
      </c>
      <c r="CS3440" s="459" t="s">
        <v>885</v>
      </c>
      <c r="CT3440" s="245" t="s">
        <v>885</v>
      </c>
      <c r="CU3440" s="463" t="s">
        <v>885</v>
      </c>
      <c r="CV3440" s="245" t="s">
        <v>885</v>
      </c>
      <c r="CW3440" s="245" t="s">
        <v>885</v>
      </c>
      <c r="CX3440" s="459" t="s">
        <v>885</v>
      </c>
      <c r="CY3440" s="459" t="s">
        <v>885</v>
      </c>
      <c r="CZ3440" s="459" t="s">
        <v>885</v>
      </c>
      <c r="DA3440" s="459" t="s">
        <v>885</v>
      </c>
      <c r="DB3440" s="459" t="s">
        <v>885</v>
      </c>
      <c r="DC3440" s="459" t="s">
        <v>885</v>
      </c>
      <c r="DD3440" s="459" t="s">
        <v>885</v>
      </c>
      <c r="DE3440" s="459" t="s">
        <v>885</v>
      </c>
      <c r="DF3440" s="459" t="s">
        <v>885</v>
      </c>
      <c r="DG3440" s="459" t="s">
        <v>885</v>
      </c>
      <c r="DH3440" s="459" t="s">
        <v>885</v>
      </c>
      <c r="DI3440" s="459" t="s">
        <v>885</v>
      </c>
      <c r="DJ3440" s="459" t="s">
        <v>885</v>
      </c>
      <c r="DK3440" s="459" t="s">
        <v>885</v>
      </c>
      <c r="DL3440" s="459" t="s">
        <v>885</v>
      </c>
      <c r="DM3440" s="459" t="s">
        <v>885</v>
      </c>
      <c r="DN3440" s="459" t="s">
        <v>885</v>
      </c>
      <c r="DO3440" s="459" t="s">
        <v>885</v>
      </c>
      <c r="DP3440" t="s">
        <v>3017</v>
      </c>
      <c r="DQ3440" s="459" t="s">
        <v>885</v>
      </c>
      <c r="DR3440" s="459" t="s">
        <v>885</v>
      </c>
      <c r="DS3440" s="459" t="s">
        <v>885</v>
      </c>
      <c r="DT3440" s="459" t="s">
        <v>885</v>
      </c>
      <c r="DU3440" s="459" t="s">
        <v>885</v>
      </c>
      <c r="DV3440" s="459" t="s">
        <v>885</v>
      </c>
      <c r="DW3440" s="459" t="s">
        <v>885</v>
      </c>
      <c r="DX3440" s="245" t="s">
        <v>885</v>
      </c>
      <c r="DY3440" s="245"/>
      <c r="DZ3440" s="470" t="str">
        <f>IF($B$265=$B$3278,EB3440,IF($B$265=$B$3279,ED3440,IF($B$265=$B$3280,EF3440,IF($B$265=$B$3281,EH3440,IF($B$265=$B$3282,EJ3440,IF($B$265=$B$3283,EL3440,IF($B$265=$B$3284,EN3440,IF($B$265=$B$3285,EP3440,IF($B$265=$B$3286,ER3440,IF($B$265=$B$3287,ET3440,IF($B$265=$B$3288,EV3440,IF($B$265=$B$3289,EX3440,IF($B$265=$B$3290,EZ3440,IF($B$265=$B$3291,FB3440,IF($B$265=$B$3292,FD3440,IF($B$265=$B$3293,BU3440,IF($B$265=$B$3294,FF3440,IF($B$265=$B$3295,FH3440,IF($B$265=$B$3296,FJ3440,IF($B$265=$B$3297,FL3440,IF($B$265=$B$3298,FN3440,IF($B$265=$B$3299,FP3440,IF(BI$265=$B$3300,FR3440,IF($B$265=$B$3301,FT3440,IF($B$265=$B$3302,FV3440,IF($B$265=$B$3303,FX3440,IF($B$265=$B$3304,FZ3440,IF($B$265=$B$3305,GB3440,IF($B$265=$B$3306,GD3440,IF($B$265=$B$3307,GF3440,IF($B$265=$B$3308,GH3440,IF($B$265=$B$3309,GJ3440,IF($B$265=$B$3310,GL3440,IF($B$265=$B$3311,GN3440,IF($B$265=$B$3312,GP3440,IF($B$265=$B$3313,GR3440,IF($B$265=$B$3314,GT3440,IF($B$265=$B$3315,GV3440,IF($B$265=$B$3316,GX3440,IF($B$265=$B$3317,GZ3440,IF($B$265=$B$3318,HB3440,IF($B$265=$B$3319,HD3440,IF($B$265=$B$3320,HF3440,IF($B$265=$B$3321,HH3440,IF($B$265=$B$3322,HJ3440,IF($B$265=$B$3323,HL3440,IF($B$265=$B$3324,HN3440,IF($B$265=$B$3325,HP3440,IF($B$265=$B$3326,HR3440,IF($B$265=$B$3327,HT3440,IF($B$265=$B$3328,HV3440,IF($B$265=$B$3329,HX3440,""))))))))))))))))))))))))))))))))))))))))))))))))))))</f>
        <v/>
      </c>
      <c r="EA3440" s="470" t="str">
        <f>IF($B$265=$B$3278,EC3440,IF($B$265=$B$3279,EE3440,IF($B$265=$B$3280,EG3440,IF($B$265=$B$3281,EI3440,IF($B$265=$B$3282,EK3440,IF($B$265=$B$3283,EM3440,IF($B$265=$B$3284,EO3440,IF($B$265=$B$3285,EQ3440,IF($B$265=$B$3286,ES3440,IF($B$265=$B$3287,EU3440,IF($B$265=$B$3288,EW3440,IF($B$265=$B$3289,EY3440,IF($B$265=$B$3290,FA3440,IF($B$265=$B$3291,FC3440,IF($B$265=$B$3292,FE3440,IF($B$265=$B$3293,BK3440,IF($B$265=$B$3294,FG3440,IF($B$265=$B$3295,FI3440,IF($B$265=$B$3296,FK3440,IF($B$265=$B$3297,FM3440,IF($B$265=$B$3298,FO3440,IF($B$265=$B$3299,FQ3440,IF(BJ$265=$B$3300,FS3440,IF($B$265=$B$3301,FU3440,IF($B$265=$B$3302,FW3440,IF($B$265=$B$3303,FY3440,IF($B$265=$B$3304,GA3440,IF($B$265=$B$3305,GC3440,IF($B$265=$B$3306,GE3440,IF($B$265=$B$3307,GG3440,IF($B$265=$B$3308,GI3440,IF($B$265=$B$3309,GK3440,IF($B$265=$B$3310,GM3440,IF($B$265=$B$3311,GO3440,IF($B$265=$B$3312,GQ3440,IF($B$265=$B$3313,GS3440,IF($B$265=$B$3314,GU3440,IF($B$265=$B$3315,GW3440,IF($B$265=$B$3316,GY3440,IF($B$265=$B$3317,HA3440,IF($B$265=$B$3318,HC3440,IF($B$265=$B$3319,HE3440,IF($B$265=$B$3320,HG3440,IF($B$265=$B$3321,HI3440,IF($B$265=$B$3322,HK3440,IF($B$265=$B$3323,HM3440,IF($B$265=$B$3324,HO3440,IF($B$265=$B$3325,HQ3440,IF($B$265=$B$3326,HS3440,IF($B$265=$B$3327,HU3440,IF($B$265=$B$3328,HW3440,IF($B$265=$B$3329,HY3440,""))))))))))))))))))))))))))))))))))))))))))))))))))))</f>
        <v/>
      </c>
      <c r="EB3440" s="459" t="s">
        <v>885</v>
      </c>
    </row>
    <row r="3441" spans="1:132" ht="16" hidden="1" x14ac:dyDescent="0.4">
      <c r="A3441" s="813"/>
      <c r="BB3441" s="48"/>
      <c r="BS3441" s="464" t="str">
        <f>IF($B$265=B$3278,BZ3440,IF($B$265=B$3279,CA3440,IF($B$265=B$3280,CB3440,IF($B$265=B$3281,CC3440,IF($B$265=B$3282,CD3440,IF($B$265=B$3283,CE3440,IF($B$265=B$3284,CF3440,IF($B$265=B$3285,CG3440,IF($B$265=B$3286,CH3440,IF($B$265=B$3287,CI3440,IF($B$265=B$3288,CJ3440,IF($B$265=B$3289,CK3440,IF($B$265=B$3290,CL3440,IF($B$265=B$3291,CM3440,IF($B$265=B$3292,CN3440,IF($B$265=B$3293,C3440,IF($B$265=B$3294,CO3440,IF($B$265=B$3295,CP3440,IF($B$265=B$3296,CQ3440,IF($B$265=B$3297,CR3440,IF($B$265=B$3298,CS3440,IF($B$265=B$3299,CT3440,IF(B$265=B$3300,CU3440,IF($B$265=B$3301,CV3440,IF($B$265=B$3302,CW3440,IF($B$265=B$3303,CX3440,IF($B$265=B$3304,CY3440,IF($B$265=B$3305,CZ3440,IF($B$265=B$3306,DA3440,IF($B$265=B$3307,DB3440,IF($B$265=B$3308,DC3440,IF($B$265=B$3309,DD3440,IF($B$265=B$3310,DE3440,IF($B$265=B$3311,DF3440,IF($B$265=B$3312,DG3440,IF($B$265=B$3313,DH3440,IF($B$265=B$3314,DI3440,IF($B$265=B$3315,DJ3440,IF($B$265=B$3316,DK3440,IF($B$265=B$3317,DL3440,IF($B$265=B$3318,DM3440,IF($B$265=B$3319,DN3440,IF($B$265=B$3320,DO3440,IF($B$265=B$3321,DP3440,IF($B$265=B$3322,DQ3440,IF($B$265=B$3323,DR3440,IF($B$265=B$3324,DS3440,IF($B$265=B$3325,DT3440,IF($B$265=B$3326,DU3440,IF($B$265=B$3327,DV3440,IF($B$265=B$3328,DW3440,IF($B$265=B$3329,DX3440,""))))))))))))))))))))))))))))))))))))))))))))))))))))</f>
        <v/>
      </c>
      <c r="BZ3441" s="245" t="s">
        <v>885</v>
      </c>
      <c r="CA3441" s="245" t="s">
        <v>885</v>
      </c>
      <c r="CC3441" s="245" t="s">
        <v>885</v>
      </c>
      <c r="CD3441" s="459" t="s">
        <v>885</v>
      </c>
      <c r="CE3441" s="459" t="s">
        <v>885</v>
      </c>
      <c r="CF3441" s="245" t="s">
        <v>885</v>
      </c>
      <c r="CG3441" s="245" t="s">
        <v>885</v>
      </c>
      <c r="CH3441" s="245" t="s">
        <v>885</v>
      </c>
      <c r="CI3441" s="245" t="s">
        <v>885</v>
      </c>
      <c r="CJ3441" t="s">
        <v>1851</v>
      </c>
      <c r="CK3441" s="459" t="s">
        <v>885</v>
      </c>
      <c r="CL3441" s="459" t="s">
        <v>885</v>
      </c>
      <c r="CM3441" s="459" t="s">
        <v>885</v>
      </c>
      <c r="CN3441" s="459" t="s">
        <v>885</v>
      </c>
      <c r="CO3441" s="459" t="s">
        <v>885</v>
      </c>
      <c r="CP3441" s="459" t="s">
        <v>885</v>
      </c>
      <c r="CQ3441" s="459" t="s">
        <v>885</v>
      </c>
      <c r="CR3441" s="459" t="s">
        <v>885</v>
      </c>
      <c r="CS3441" s="459" t="s">
        <v>885</v>
      </c>
      <c r="CT3441" s="245" t="s">
        <v>885</v>
      </c>
      <c r="CU3441" s="463" t="s">
        <v>885</v>
      </c>
      <c r="CV3441" s="245" t="s">
        <v>885</v>
      </c>
      <c r="CW3441" s="245" t="s">
        <v>885</v>
      </c>
      <c r="CX3441" s="459" t="s">
        <v>885</v>
      </c>
      <c r="CY3441" s="459" t="s">
        <v>885</v>
      </c>
      <c r="CZ3441" s="459" t="s">
        <v>885</v>
      </c>
      <c r="DA3441" s="459" t="s">
        <v>885</v>
      </c>
      <c r="DB3441" s="459" t="s">
        <v>885</v>
      </c>
      <c r="DC3441" s="459" t="s">
        <v>885</v>
      </c>
      <c r="DD3441" s="459" t="s">
        <v>885</v>
      </c>
      <c r="DE3441" s="459" t="s">
        <v>885</v>
      </c>
      <c r="DF3441" s="459" t="s">
        <v>885</v>
      </c>
      <c r="DG3441" s="459" t="s">
        <v>885</v>
      </c>
      <c r="DH3441" s="459" t="s">
        <v>885</v>
      </c>
      <c r="DI3441" s="459" t="s">
        <v>885</v>
      </c>
      <c r="DJ3441" s="459" t="s">
        <v>885</v>
      </c>
      <c r="DK3441" s="459" t="s">
        <v>885</v>
      </c>
      <c r="DL3441" s="459" t="s">
        <v>885</v>
      </c>
      <c r="DM3441" s="459" t="s">
        <v>885</v>
      </c>
      <c r="DN3441" s="459" t="s">
        <v>885</v>
      </c>
      <c r="DO3441" s="459" t="s">
        <v>885</v>
      </c>
      <c r="DP3441" t="s">
        <v>3018</v>
      </c>
      <c r="DQ3441" s="459" t="s">
        <v>885</v>
      </c>
      <c r="DR3441" s="459" t="s">
        <v>885</v>
      </c>
      <c r="DS3441" s="459" t="s">
        <v>885</v>
      </c>
      <c r="DT3441" s="459" t="s">
        <v>885</v>
      </c>
      <c r="DU3441" s="459" t="s">
        <v>885</v>
      </c>
      <c r="DV3441" s="459" t="s">
        <v>885</v>
      </c>
      <c r="DW3441" s="459" t="s">
        <v>885</v>
      </c>
      <c r="DX3441" s="245" t="s">
        <v>885</v>
      </c>
      <c r="DY3441" s="245"/>
      <c r="DZ3441" s="470" t="str">
        <f>IF($B$265=$B$3278,EB3441,IF($B$265=$B$3279,ED3441,IF($B$265=$B$3280,EF3441,IF($B$265=$B$3281,EH3441,IF($B$265=$B$3282,EJ3441,IF($B$265=$B$3283,EL3441,IF($B$265=$B$3284,EN3441,IF($B$265=$B$3285,EP3441,IF($B$265=$B$3286,ER3441,IF($B$265=$B$3287,ET3441,IF($B$265=$B$3288,EV3441,IF($B$265=$B$3289,EX3441,IF($B$265=$B$3290,EZ3441,IF($B$265=$B$3291,FB3441,IF($B$265=$B$3292,FD3441,IF($B$265=$B$3293,BU3441,IF($B$265=$B$3294,FF3441,IF($B$265=$B$3295,FH3441,IF($B$265=$B$3296,FJ3441,IF($B$265=$B$3297,FL3441,IF($B$265=$B$3298,FN3441,IF($B$265=$B$3299,FP3441,IF(BI$265=$B$3300,FR3441,IF($B$265=$B$3301,FT3441,IF($B$265=$B$3302,FV3441,IF($B$265=$B$3303,FX3441,IF($B$265=$B$3304,FZ3441,IF($B$265=$B$3305,GB3441,IF($B$265=$B$3306,GD3441,IF($B$265=$B$3307,GF3441,IF($B$265=$B$3308,GH3441,IF($B$265=$B$3309,GJ3441,IF($B$265=$B$3310,GL3441,IF($B$265=$B$3311,GN3441,IF($B$265=$B$3312,GP3441,IF($B$265=$B$3313,GR3441,IF($B$265=$B$3314,GT3441,IF($B$265=$B$3315,GV3441,IF($B$265=$B$3316,GX3441,IF($B$265=$B$3317,GZ3441,IF($B$265=$B$3318,HB3441,IF($B$265=$B$3319,HD3441,IF($B$265=$B$3320,HF3441,IF($B$265=$B$3321,HH3441,IF($B$265=$B$3322,HJ3441,IF($B$265=$B$3323,HL3441,IF($B$265=$B$3324,HN3441,IF($B$265=$B$3325,HP3441,IF($B$265=$B$3326,HR3441,IF($B$265=$B$3327,HT3441,IF($B$265=$B$3328,HV3441,IF($B$265=$B$3329,HX3441,""))))))))))))))))))))))))))))))))))))))))))))))))))))</f>
        <v/>
      </c>
      <c r="EA3441" s="470" t="str">
        <f>IF($B$265=$B$3278,EC3441,IF($B$265=$B$3279,EE3441,IF($B$265=$B$3280,EG3441,IF($B$265=$B$3281,EI3441,IF($B$265=$B$3282,EK3441,IF($B$265=$B$3283,EM3441,IF($B$265=$B$3284,EO3441,IF($B$265=$B$3285,EQ3441,IF($B$265=$B$3286,ES3441,IF($B$265=$B$3287,EU3441,IF($B$265=$B$3288,EW3441,IF($B$265=$B$3289,EY3441,IF($B$265=$B$3290,FA3441,IF($B$265=$B$3291,FC3441,IF($B$265=$B$3292,FE3441,IF($B$265=$B$3293,BK3441,IF($B$265=$B$3294,FG3441,IF($B$265=$B$3295,FI3441,IF($B$265=$B$3296,FK3441,IF($B$265=$B$3297,FM3441,IF($B$265=$B$3298,FO3441,IF($B$265=$B$3299,FQ3441,IF(BJ$265=$B$3300,FS3441,IF($B$265=$B$3301,FU3441,IF($B$265=$B$3302,FW3441,IF($B$265=$B$3303,FY3441,IF($B$265=$B$3304,GA3441,IF($B$265=$B$3305,GC3441,IF($B$265=$B$3306,GE3441,IF($B$265=$B$3307,GG3441,IF($B$265=$B$3308,GI3441,IF($B$265=$B$3309,GK3441,IF($B$265=$B$3310,GM3441,IF($B$265=$B$3311,GO3441,IF($B$265=$B$3312,GQ3441,IF($B$265=$B$3313,GS3441,IF($B$265=$B$3314,GU3441,IF($B$265=$B$3315,GW3441,IF($B$265=$B$3316,GY3441,IF($B$265=$B$3317,HA3441,IF($B$265=$B$3318,HC3441,IF($B$265=$B$3319,HE3441,IF($B$265=$B$3320,HG3441,IF($B$265=$B$3321,HI3441,IF($B$265=$B$3322,HK3441,IF($B$265=$B$3323,HM3441,IF($B$265=$B$3324,HO3441,IF($B$265=$B$3325,HQ3441,IF($B$265=$B$3326,HS3441,IF($B$265=$B$3327,HU3441,IF($B$265=$B$3328,HW3441,IF($B$265=$B$3329,HY3441,""))))))))))))))))))))))))))))))))))))))))))))))))))))</f>
        <v/>
      </c>
      <c r="EB3441" s="459" t="s">
        <v>885</v>
      </c>
    </row>
    <row r="3442" spans="1:132" ht="16" hidden="1" x14ac:dyDescent="0.4">
      <c r="A3442" s="813"/>
      <c r="BB3442" s="48"/>
      <c r="BS3442" s="464" t="str">
        <f>IF($B$265=B$3278,BZ3441,IF($B$265=B$3279,CA3441,IF($B$265=B$3280,CB3441,IF($B$265=B$3281,CC3441,IF($B$265=B$3282,CD3441,IF($B$265=B$3283,CE3441,IF($B$265=B$3284,CF3441,IF($B$265=B$3285,CG3441,IF($B$265=B$3286,CH3441,IF($B$265=B$3287,CI3441,IF($B$265=B$3288,CJ3441,IF($B$265=B$3289,CK3441,IF($B$265=B$3290,CL3441,IF($B$265=B$3291,CM3441,IF($B$265=B$3292,CN3441,IF($B$265=B$3293,#REF!,IF($B$265=B$3294,CO3441,IF($B$265=B$3295,CP3441,IF($B$265=B$3296,CQ3441,IF($B$265=B$3297,CR3441,IF($B$265=B$3298,CS3441,IF($B$265=B$3299,CT3441,IF(B$265=B$3300,CU3441,IF($B$265=B$3301,CV3441,IF($B$265=B$3302,CW3441,IF($B$265=B$3303,CX3441,IF($B$265=B$3304,CY3441,IF($B$265=B$3305,CZ3441,IF($B$265=B$3306,DA3441,IF($B$265=B$3307,DB3441,IF($B$265=B$3308,DC3441,IF($B$265=B$3309,DD3441,IF($B$265=B$3310,DE3441,IF($B$265=B$3311,DF3441,IF($B$265=B$3312,DG3441,IF($B$265=B$3313,DH3441,IF($B$265=B$3314,DI3441,IF($B$265=B$3315,DJ3441,IF($B$265=B$3316,DK3441,IF($B$265=B$3317,DL3441,IF($B$265=B$3318,DM3441,IF($B$265=B$3319,DN3441,IF($B$265=B$3320,DO3441,IF($B$265=B$3321,DP3441,IF($B$265=B$3322,DQ3441,IF($B$265=B$3323,DR3441,IF($B$265=B$3324,DS3441,IF($B$265=B$3325,DT3441,IF($B$265=B$3326,DU3441,IF($B$265=B$3327,DV3441,IF($B$265=B$3328,DW3441,IF($B$265=B$3329,DX3441,""))))))))))))))))))))))))))))))))))))))))))))))))))))</f>
        <v/>
      </c>
      <c r="BZ3442" s="245" t="s">
        <v>885</v>
      </c>
      <c r="CA3442" s="245" t="s">
        <v>885</v>
      </c>
      <c r="CC3442" s="245" t="s">
        <v>885</v>
      </c>
      <c r="CD3442" s="459" t="s">
        <v>885</v>
      </c>
      <c r="CE3442" s="459" t="s">
        <v>885</v>
      </c>
      <c r="CF3442" s="245" t="s">
        <v>885</v>
      </c>
      <c r="CG3442" s="245" t="s">
        <v>885</v>
      </c>
      <c r="CH3442" s="245" t="s">
        <v>885</v>
      </c>
      <c r="CI3442" s="245" t="s">
        <v>885</v>
      </c>
      <c r="CJ3442" t="s">
        <v>1579</v>
      </c>
      <c r="CK3442" s="459" t="s">
        <v>885</v>
      </c>
      <c r="CL3442" s="459" t="s">
        <v>885</v>
      </c>
      <c r="CM3442" s="459" t="s">
        <v>885</v>
      </c>
      <c r="CN3442" s="459" t="s">
        <v>885</v>
      </c>
      <c r="CO3442" s="459" t="s">
        <v>885</v>
      </c>
      <c r="CP3442" s="459" t="s">
        <v>885</v>
      </c>
      <c r="CQ3442" s="459" t="s">
        <v>885</v>
      </c>
      <c r="CR3442" s="459" t="s">
        <v>885</v>
      </c>
      <c r="CS3442" s="459" t="s">
        <v>885</v>
      </c>
      <c r="CT3442" s="245" t="s">
        <v>885</v>
      </c>
      <c r="CU3442" s="463" t="s">
        <v>885</v>
      </c>
      <c r="CV3442" s="245" t="s">
        <v>885</v>
      </c>
      <c r="CW3442" s="245" t="s">
        <v>885</v>
      </c>
      <c r="CX3442" s="459" t="s">
        <v>885</v>
      </c>
      <c r="CY3442" s="459" t="s">
        <v>885</v>
      </c>
      <c r="CZ3442" s="459" t="s">
        <v>885</v>
      </c>
      <c r="DA3442" s="459" t="s">
        <v>885</v>
      </c>
      <c r="DB3442" s="459" t="s">
        <v>885</v>
      </c>
      <c r="DC3442" s="459" t="s">
        <v>885</v>
      </c>
      <c r="DD3442" s="459" t="s">
        <v>885</v>
      </c>
      <c r="DE3442" s="459" t="s">
        <v>885</v>
      </c>
      <c r="DF3442" s="459" t="s">
        <v>885</v>
      </c>
      <c r="DG3442" s="459" t="s">
        <v>885</v>
      </c>
      <c r="DH3442" s="459" t="s">
        <v>885</v>
      </c>
      <c r="DI3442" s="459" t="s">
        <v>885</v>
      </c>
      <c r="DJ3442" s="459" t="s">
        <v>885</v>
      </c>
      <c r="DK3442" s="459" t="s">
        <v>885</v>
      </c>
      <c r="DL3442" s="459" t="s">
        <v>885</v>
      </c>
      <c r="DM3442" s="459" t="s">
        <v>885</v>
      </c>
      <c r="DN3442" s="459" t="s">
        <v>885</v>
      </c>
      <c r="DO3442" s="459" t="s">
        <v>885</v>
      </c>
      <c r="DP3442" t="s">
        <v>1471</v>
      </c>
      <c r="DQ3442" s="459" t="s">
        <v>885</v>
      </c>
      <c r="DR3442" s="459" t="s">
        <v>885</v>
      </c>
      <c r="DS3442" s="459" t="s">
        <v>885</v>
      </c>
      <c r="DT3442" s="459" t="s">
        <v>885</v>
      </c>
      <c r="DU3442" s="459" t="s">
        <v>885</v>
      </c>
      <c r="DV3442" s="459" t="s">
        <v>885</v>
      </c>
      <c r="DW3442" s="459" t="s">
        <v>885</v>
      </c>
      <c r="DX3442" s="245" t="s">
        <v>885</v>
      </c>
      <c r="DY3442" s="245"/>
      <c r="DZ3442" s="470" t="str">
        <f>IF($B$265=$B$3278,EB3442,IF($B$265=$B$3279,ED3442,IF($B$265=$B$3280,EF3442,IF($B$265=$B$3281,EH3442,IF($B$265=$B$3282,EJ3442,IF($B$265=$B$3283,EL3442,IF($B$265=$B$3284,EN3442,IF($B$265=$B$3285,EP3442,IF($B$265=$B$3286,ER3442,IF($B$265=$B$3287,ET3442,IF($B$265=$B$3288,EV3442,IF($B$265=$B$3289,EX3442,IF($B$265=$B$3290,EZ3442,IF($B$265=$B$3291,FB3442,IF($B$265=$B$3292,FD3442,IF($B$265=$B$3293,BU3442,IF($B$265=$B$3294,FF3442,IF($B$265=$B$3295,FH3442,IF($B$265=$B$3296,FJ3442,IF($B$265=$B$3297,FL3442,IF($B$265=$B$3298,FN3442,IF($B$265=$B$3299,FP3442,IF(BI$265=$B$3300,FR3442,IF($B$265=$B$3301,FT3442,IF($B$265=$B$3302,FV3442,IF($B$265=$B$3303,FX3442,IF($B$265=$B$3304,FZ3442,IF($B$265=$B$3305,GB3442,IF($B$265=$B$3306,GD3442,IF($B$265=$B$3307,GF3442,IF($B$265=$B$3308,GH3442,IF($B$265=$B$3309,GJ3442,IF($B$265=$B$3310,GL3442,IF($B$265=$B$3311,GN3442,IF($B$265=$B$3312,GP3442,IF($B$265=$B$3313,GR3442,IF($B$265=$B$3314,GT3442,IF($B$265=$B$3315,GV3442,IF($B$265=$B$3316,GX3442,IF($B$265=$B$3317,GZ3442,IF($B$265=$B$3318,HB3442,IF($B$265=$B$3319,HD3442,IF($B$265=$B$3320,HF3442,IF($B$265=$B$3321,HH3442,IF($B$265=$B$3322,HJ3442,IF($B$265=$B$3323,HL3442,IF($B$265=$B$3324,HN3442,IF($B$265=$B$3325,HP3442,IF($B$265=$B$3326,HR3442,IF($B$265=$B$3327,HT3442,IF($B$265=$B$3328,HV3442,IF($B$265=$B$3329,HX3442,""))))))))))))))))))))))))))))))))))))))))))))))))))))</f>
        <v/>
      </c>
      <c r="EA3442" s="470" t="str">
        <f>IF($B$265=$B$3278,EC3442,IF($B$265=$B$3279,EE3442,IF($B$265=$B$3280,EG3442,IF($B$265=$B$3281,EI3442,IF($B$265=$B$3282,EK3442,IF($B$265=$B$3283,EM3442,IF($B$265=$B$3284,EO3442,IF($B$265=$B$3285,EQ3442,IF($B$265=$B$3286,ES3442,IF($B$265=$B$3287,EU3442,IF($B$265=$B$3288,EW3442,IF($B$265=$B$3289,EY3442,IF($B$265=$B$3290,FA3442,IF($B$265=$B$3291,FC3442,IF($B$265=$B$3292,FE3442,IF($B$265=$B$3293,BK3442,IF($B$265=$B$3294,FG3442,IF($B$265=$B$3295,FI3442,IF($B$265=$B$3296,FK3442,IF($B$265=$B$3297,FM3442,IF($B$265=$B$3298,FO3442,IF($B$265=$B$3299,FQ3442,IF(BJ$265=$B$3300,FS3442,IF($B$265=$B$3301,FU3442,IF($B$265=$B$3302,FW3442,IF($B$265=$B$3303,FY3442,IF($B$265=$B$3304,GA3442,IF($B$265=$B$3305,GC3442,IF($B$265=$B$3306,GE3442,IF($B$265=$B$3307,GG3442,IF($B$265=$B$3308,GI3442,IF($B$265=$B$3309,GK3442,IF($B$265=$B$3310,GM3442,IF($B$265=$B$3311,GO3442,IF($B$265=$B$3312,GQ3442,IF($B$265=$B$3313,GS3442,IF($B$265=$B$3314,GU3442,IF($B$265=$B$3315,GW3442,IF($B$265=$B$3316,GY3442,IF($B$265=$B$3317,HA3442,IF($B$265=$B$3318,HC3442,IF($B$265=$B$3319,HE3442,IF($B$265=$B$3320,HG3442,IF($B$265=$B$3321,HI3442,IF($B$265=$B$3322,HK3442,IF($B$265=$B$3323,HM3442,IF($B$265=$B$3324,HO3442,IF($B$265=$B$3325,HQ3442,IF($B$265=$B$3326,HS3442,IF($B$265=$B$3327,HU3442,IF($B$265=$B$3328,HW3442,IF($B$265=$B$3329,HY3442,""))))))))))))))))))))))))))))))))))))))))))))))))))))</f>
        <v/>
      </c>
      <c r="EB3442" s="459" t="s">
        <v>885</v>
      </c>
    </row>
    <row r="3443" spans="1:132" ht="16" hidden="1" x14ac:dyDescent="0.4">
      <c r="A3443" s="813"/>
      <c r="BB3443" s="48"/>
      <c r="BS3443" s="464" t="str">
        <f>IF($B$265=B$3278,BZ3442,IF($B$265=B$3279,CA3442,IF($B$265=B$3280,CB3442,IF($B$265=B$3281,CC3442,IF($B$265=B$3282,CD3442,IF($B$265=B$3283,CE3442,IF($B$265=B$3284,CF3442,IF($B$265=B$3285,CG3442,IF($B$265=B$3286,CH3442,IF($B$265=B$3287,CI3442,IF($B$265=B$3288,CJ3442,IF($B$265=B$3289,CK3442,IF($B$265=B$3290,CL3442,IF($B$265=B$3291,CM3442,IF($B$265=B$3292,CN3442,IF($B$265=B$3293,#REF!,IF($B$265=B$3294,CO3442,IF($B$265=B$3295,CP3442,IF($B$265=B$3296,CQ3442,IF($B$265=B$3297,CR3442,IF($B$265=B$3298,CS3442,IF($B$265=B$3299,CT3442,IF(B$265=B$3300,CU3442,IF($B$265=B$3301,CV3442,IF($B$265=B$3302,CW3442,IF($B$265=B$3303,CX3442,IF($B$265=B$3304,CY3442,IF($B$265=B$3305,CZ3442,IF($B$265=B$3306,DA3442,IF($B$265=B$3307,DB3442,IF($B$265=B$3308,DC3442,IF($B$265=B$3309,DD3442,IF($B$265=B$3310,DE3442,IF($B$265=B$3311,DF3442,IF($B$265=B$3312,DG3442,IF($B$265=B$3313,DH3442,IF($B$265=B$3314,DI3442,IF($B$265=B$3315,DJ3442,IF($B$265=B$3316,DK3442,IF($B$265=B$3317,DL3442,IF($B$265=B$3318,DM3442,IF($B$265=B$3319,DN3442,IF($B$265=B$3320,DO3442,IF($B$265=B$3321,DP3442,IF($B$265=B$3322,DQ3442,IF($B$265=B$3323,DR3442,IF($B$265=B$3324,DS3442,IF($B$265=B$3325,DT3442,IF($B$265=B$3326,DU3442,IF($B$265=B$3327,DV3442,IF($B$265=B$3328,DW3442,IF($B$265=B$3329,DX3442,""))))))))))))))))))))))))))))))))))))))))))))))))))))</f>
        <v/>
      </c>
      <c r="BZ3443" s="245" t="s">
        <v>885</v>
      </c>
      <c r="CA3443" s="245" t="s">
        <v>885</v>
      </c>
      <c r="CC3443" s="245" t="s">
        <v>885</v>
      </c>
      <c r="CD3443" s="459" t="s">
        <v>885</v>
      </c>
      <c r="CE3443" s="459" t="s">
        <v>885</v>
      </c>
      <c r="CF3443" s="245" t="s">
        <v>885</v>
      </c>
      <c r="CG3443" s="245" t="s">
        <v>885</v>
      </c>
      <c r="CH3443" s="245" t="s">
        <v>885</v>
      </c>
      <c r="CI3443" s="245" t="s">
        <v>885</v>
      </c>
      <c r="CJ3443" t="s">
        <v>1852</v>
      </c>
      <c r="CK3443" s="459" t="s">
        <v>885</v>
      </c>
      <c r="CL3443" s="459" t="s">
        <v>885</v>
      </c>
      <c r="CM3443" s="459" t="s">
        <v>885</v>
      </c>
      <c r="CN3443" s="459" t="s">
        <v>885</v>
      </c>
      <c r="CO3443" s="459" t="s">
        <v>885</v>
      </c>
      <c r="CP3443" s="459" t="s">
        <v>885</v>
      </c>
      <c r="CQ3443" s="459" t="s">
        <v>885</v>
      </c>
      <c r="CR3443" s="459" t="s">
        <v>885</v>
      </c>
      <c r="CS3443" s="459" t="s">
        <v>885</v>
      </c>
      <c r="CT3443" s="245" t="s">
        <v>885</v>
      </c>
      <c r="CU3443" s="463" t="s">
        <v>885</v>
      </c>
      <c r="CV3443" s="245" t="s">
        <v>885</v>
      </c>
      <c r="CW3443" s="245" t="s">
        <v>885</v>
      </c>
      <c r="CX3443" s="459" t="s">
        <v>885</v>
      </c>
      <c r="CY3443" s="459" t="s">
        <v>885</v>
      </c>
      <c r="CZ3443" s="459" t="s">
        <v>885</v>
      </c>
      <c r="DA3443" s="459" t="s">
        <v>885</v>
      </c>
      <c r="DB3443" s="459" t="s">
        <v>885</v>
      </c>
      <c r="DC3443" s="459" t="s">
        <v>885</v>
      </c>
      <c r="DD3443" s="459" t="s">
        <v>885</v>
      </c>
      <c r="DE3443" s="459" t="s">
        <v>885</v>
      </c>
      <c r="DF3443" s="459" t="s">
        <v>885</v>
      </c>
      <c r="DG3443" s="459" t="s">
        <v>885</v>
      </c>
      <c r="DH3443" s="459" t="s">
        <v>885</v>
      </c>
      <c r="DI3443" s="459" t="s">
        <v>885</v>
      </c>
      <c r="DJ3443" s="459" t="s">
        <v>885</v>
      </c>
      <c r="DK3443" s="459" t="s">
        <v>885</v>
      </c>
      <c r="DL3443" s="459" t="s">
        <v>885</v>
      </c>
      <c r="DM3443" s="459" t="s">
        <v>885</v>
      </c>
      <c r="DN3443" s="459" t="s">
        <v>885</v>
      </c>
      <c r="DO3443" s="459" t="s">
        <v>885</v>
      </c>
      <c r="DP3443" t="s">
        <v>1730</v>
      </c>
      <c r="DQ3443" s="459" t="s">
        <v>885</v>
      </c>
      <c r="DR3443" s="459" t="s">
        <v>885</v>
      </c>
      <c r="DS3443" s="459" t="s">
        <v>885</v>
      </c>
      <c r="DT3443" s="459" t="s">
        <v>885</v>
      </c>
      <c r="DU3443" s="459" t="s">
        <v>885</v>
      </c>
      <c r="DV3443" s="459" t="s">
        <v>885</v>
      </c>
      <c r="DW3443" s="459" t="s">
        <v>885</v>
      </c>
      <c r="DX3443" s="245" t="s">
        <v>885</v>
      </c>
      <c r="DY3443" s="245"/>
      <c r="DZ3443" s="470" t="str">
        <f>IF($B$265=$B$3278,EB3443,IF($B$265=$B$3279,ED3443,IF($B$265=$B$3280,EF3443,IF($B$265=$B$3281,EH3443,IF($B$265=$B$3282,EJ3443,IF($B$265=$B$3283,EL3443,IF($B$265=$B$3284,EN3443,IF($B$265=$B$3285,EP3443,IF($B$265=$B$3286,ER3443,IF($B$265=$B$3287,ET3443,IF($B$265=$B$3288,EV3443,IF($B$265=$B$3289,EX3443,IF($B$265=$B$3290,EZ3443,IF($B$265=$B$3291,FB3443,IF($B$265=$B$3292,FD3443,IF($B$265=$B$3293,BU3443,IF($B$265=$B$3294,FF3443,IF($B$265=$B$3295,FH3443,IF($B$265=$B$3296,FJ3443,IF($B$265=$B$3297,FL3443,IF($B$265=$B$3298,FN3443,IF($B$265=$B$3299,FP3443,IF(BI$265=$B$3300,FR3443,IF($B$265=$B$3301,FT3443,IF($B$265=$B$3302,FV3443,IF($B$265=$B$3303,FX3443,IF($B$265=$B$3304,FZ3443,IF($B$265=$B$3305,GB3443,IF($B$265=$B$3306,GD3443,IF($B$265=$B$3307,GF3443,IF($B$265=$B$3308,GH3443,IF($B$265=$B$3309,GJ3443,IF($B$265=$B$3310,GL3443,IF($B$265=$B$3311,GN3443,IF($B$265=$B$3312,GP3443,IF($B$265=$B$3313,GR3443,IF($B$265=$B$3314,GT3443,IF($B$265=$B$3315,GV3443,IF($B$265=$B$3316,GX3443,IF($B$265=$B$3317,GZ3443,IF($B$265=$B$3318,HB3443,IF($B$265=$B$3319,HD3443,IF($B$265=$B$3320,HF3443,IF($B$265=$B$3321,HH3443,IF($B$265=$B$3322,HJ3443,IF($B$265=$B$3323,HL3443,IF($B$265=$B$3324,HN3443,IF($B$265=$B$3325,HP3443,IF($B$265=$B$3326,HR3443,IF($B$265=$B$3327,HT3443,IF($B$265=$B$3328,HV3443,IF($B$265=$B$3329,HX3443,""))))))))))))))))))))))))))))))))))))))))))))))))))))</f>
        <v/>
      </c>
      <c r="EA3443" s="470" t="str">
        <f>IF($B$265=$B$3278,EC3443,IF($B$265=$B$3279,EE3443,IF($B$265=$B$3280,EG3443,IF($B$265=$B$3281,EI3443,IF($B$265=$B$3282,EK3443,IF($B$265=$B$3283,EM3443,IF($B$265=$B$3284,EO3443,IF($B$265=$B$3285,EQ3443,IF($B$265=$B$3286,ES3443,IF($B$265=$B$3287,EU3443,IF($B$265=$B$3288,EW3443,IF($B$265=$B$3289,EY3443,IF($B$265=$B$3290,FA3443,IF($B$265=$B$3291,FC3443,IF($B$265=$B$3292,FE3443,IF($B$265=$B$3293,BK3443,IF($B$265=$B$3294,FG3443,IF($B$265=$B$3295,FI3443,IF($B$265=$B$3296,FK3443,IF($B$265=$B$3297,FM3443,IF($B$265=$B$3298,FO3443,IF($B$265=$B$3299,FQ3443,IF(BJ$265=$B$3300,FS3443,IF($B$265=$B$3301,FU3443,IF($B$265=$B$3302,FW3443,IF($B$265=$B$3303,FY3443,IF($B$265=$B$3304,GA3443,IF($B$265=$B$3305,GC3443,IF($B$265=$B$3306,GE3443,IF($B$265=$B$3307,GG3443,IF($B$265=$B$3308,GI3443,IF($B$265=$B$3309,GK3443,IF($B$265=$B$3310,GM3443,IF($B$265=$B$3311,GO3443,IF($B$265=$B$3312,GQ3443,IF($B$265=$B$3313,GS3443,IF($B$265=$B$3314,GU3443,IF($B$265=$B$3315,GW3443,IF($B$265=$B$3316,GY3443,IF($B$265=$B$3317,HA3443,IF($B$265=$B$3318,HC3443,IF($B$265=$B$3319,HE3443,IF($B$265=$B$3320,HG3443,IF($B$265=$B$3321,HI3443,IF($B$265=$B$3322,HK3443,IF($B$265=$B$3323,HM3443,IF($B$265=$B$3324,HO3443,IF($B$265=$B$3325,HQ3443,IF($B$265=$B$3326,HS3443,IF($B$265=$B$3327,HU3443,IF($B$265=$B$3328,HW3443,IF($B$265=$B$3329,HY3443,""))))))))))))))))))))))))))))))))))))))))))))))))))))</f>
        <v/>
      </c>
      <c r="EB3443" s="459" t="s">
        <v>885</v>
      </c>
    </row>
    <row r="3444" spans="1:132" ht="16" hidden="1" x14ac:dyDescent="0.4">
      <c r="A3444" s="813"/>
      <c r="BB3444" s="48"/>
      <c r="BS3444" s="464" t="str">
        <f>IF($B$265=B$3278,BZ3443,IF($B$265=B$3279,CA3443,IF($B$265=B$3280,CB3443,IF($B$265=B$3281,CC3443,IF($B$265=B$3282,CD3443,IF($B$265=B$3283,CE3443,IF($B$265=B$3284,CF3443,IF($B$265=B$3285,CG3443,IF($B$265=B$3286,CH3443,IF($B$265=B$3287,CI3443,IF($B$265=B$3288,CJ3443,IF($B$265=B$3289,CK3443,IF($B$265=B$3290,CL3443,IF($B$265=B$3291,CM3443,IF($B$265=B$3292,CN3443,IF($B$265=B$3293,#REF!,IF($B$265=B$3294,CO3443,IF($B$265=B$3295,CP3443,IF($B$265=B$3296,CQ3443,IF($B$265=B$3297,CR3443,IF($B$265=B$3298,CS3443,IF($B$265=B$3299,CT3443,IF(B$265=B$3300,CU3443,IF($B$265=B$3301,CV3443,IF($B$265=B$3302,CW3443,IF($B$265=B$3303,CX3443,IF($B$265=B$3304,CY3443,IF($B$265=B$3305,CZ3443,IF($B$265=B$3306,DA3443,IF($B$265=B$3307,DB3443,IF($B$265=B$3308,DC3443,IF($B$265=B$3309,DD3443,IF($B$265=B$3310,DE3443,IF($B$265=B$3311,DF3443,IF($B$265=B$3312,DG3443,IF($B$265=B$3313,DH3443,IF($B$265=B$3314,DI3443,IF($B$265=B$3315,DJ3443,IF($B$265=B$3316,DK3443,IF($B$265=B$3317,DL3443,IF($B$265=B$3318,DM3443,IF($B$265=B$3319,DN3443,IF($B$265=B$3320,DO3443,IF($B$265=B$3321,DP3443,IF($B$265=B$3322,DQ3443,IF($B$265=B$3323,DR3443,IF($B$265=B$3324,DS3443,IF($B$265=B$3325,DT3443,IF($B$265=B$3326,DU3443,IF($B$265=B$3327,DV3443,IF($B$265=B$3328,DW3443,IF($B$265=B$3329,DX3443,""))))))))))))))))))))))))))))))))))))))))))))))))))))</f>
        <v/>
      </c>
      <c r="BZ3444" s="245" t="s">
        <v>885</v>
      </c>
      <c r="CA3444" s="245" t="s">
        <v>885</v>
      </c>
      <c r="CC3444" s="245" t="s">
        <v>885</v>
      </c>
      <c r="CD3444" s="459" t="s">
        <v>885</v>
      </c>
      <c r="CE3444" s="459" t="s">
        <v>885</v>
      </c>
      <c r="CF3444" s="245" t="s">
        <v>885</v>
      </c>
      <c r="CG3444" s="245" t="s">
        <v>885</v>
      </c>
      <c r="CH3444" s="245" t="s">
        <v>885</v>
      </c>
      <c r="CI3444" s="245" t="s">
        <v>885</v>
      </c>
      <c r="CJ3444" t="s">
        <v>1494</v>
      </c>
      <c r="CK3444" s="459" t="s">
        <v>885</v>
      </c>
      <c r="CL3444" s="459" t="s">
        <v>885</v>
      </c>
      <c r="CM3444" s="459" t="s">
        <v>885</v>
      </c>
      <c r="CN3444" s="459" t="s">
        <v>885</v>
      </c>
      <c r="CO3444" s="459" t="s">
        <v>885</v>
      </c>
      <c r="CP3444" s="459" t="s">
        <v>885</v>
      </c>
      <c r="CQ3444" s="459" t="s">
        <v>885</v>
      </c>
      <c r="CR3444" s="459" t="s">
        <v>885</v>
      </c>
      <c r="CS3444" s="459" t="s">
        <v>885</v>
      </c>
      <c r="CT3444" s="245" t="s">
        <v>885</v>
      </c>
      <c r="CU3444" s="463" t="s">
        <v>885</v>
      </c>
      <c r="CV3444" s="245" t="s">
        <v>885</v>
      </c>
      <c r="CW3444" s="245" t="s">
        <v>885</v>
      </c>
      <c r="CX3444" s="459" t="s">
        <v>885</v>
      </c>
      <c r="CY3444" s="459" t="s">
        <v>885</v>
      </c>
      <c r="CZ3444" s="459" t="s">
        <v>885</v>
      </c>
      <c r="DA3444" s="459" t="s">
        <v>885</v>
      </c>
      <c r="DB3444" s="459" t="s">
        <v>885</v>
      </c>
      <c r="DC3444" s="459" t="s">
        <v>885</v>
      </c>
      <c r="DD3444" s="459" t="s">
        <v>885</v>
      </c>
      <c r="DE3444" s="459" t="s">
        <v>885</v>
      </c>
      <c r="DF3444" s="459" t="s">
        <v>885</v>
      </c>
      <c r="DG3444" s="459" t="s">
        <v>885</v>
      </c>
      <c r="DH3444" s="459" t="s">
        <v>885</v>
      </c>
      <c r="DI3444" s="459" t="s">
        <v>885</v>
      </c>
      <c r="DJ3444" s="459" t="s">
        <v>885</v>
      </c>
      <c r="DK3444" s="459" t="s">
        <v>885</v>
      </c>
      <c r="DL3444" s="459" t="s">
        <v>885</v>
      </c>
      <c r="DM3444" s="459" t="s">
        <v>885</v>
      </c>
      <c r="DN3444" s="459" t="s">
        <v>885</v>
      </c>
      <c r="DO3444" s="459" t="s">
        <v>885</v>
      </c>
      <c r="DP3444" t="s">
        <v>1732</v>
      </c>
      <c r="DQ3444" s="459" t="s">
        <v>885</v>
      </c>
      <c r="DR3444" s="459" t="s">
        <v>885</v>
      </c>
      <c r="DS3444" s="459" t="s">
        <v>885</v>
      </c>
      <c r="DT3444" s="459" t="s">
        <v>885</v>
      </c>
      <c r="DU3444" s="459" t="s">
        <v>885</v>
      </c>
      <c r="DV3444" s="459" t="s">
        <v>885</v>
      </c>
      <c r="DW3444" s="459" t="s">
        <v>885</v>
      </c>
      <c r="DX3444" s="245" t="s">
        <v>885</v>
      </c>
      <c r="DY3444" s="245"/>
      <c r="DZ3444" s="470" t="str">
        <f>IF($B$265=$B$3278,EB3444,IF($B$265=$B$3279,ED3444,IF($B$265=$B$3280,EF3444,IF($B$265=$B$3281,EH3444,IF($B$265=$B$3282,EJ3444,IF($B$265=$B$3283,EL3444,IF($B$265=$B$3284,EN3444,IF($B$265=$B$3285,EP3444,IF($B$265=$B$3286,ER3444,IF($B$265=$B$3287,ET3444,IF($B$265=$B$3288,EV3444,IF($B$265=$B$3289,EX3444,IF($B$265=$B$3290,EZ3444,IF($B$265=$B$3291,FB3444,IF($B$265=$B$3292,FD3444,IF($B$265=$B$3293,BU3444,IF($B$265=$B$3294,FF3444,IF($B$265=$B$3295,FH3444,IF($B$265=$B$3296,FJ3444,IF($B$265=$B$3297,FL3444,IF($B$265=$B$3298,FN3444,IF($B$265=$B$3299,FP3444,IF(BI$265=$B$3300,FR3444,IF($B$265=$B$3301,FT3444,IF($B$265=$B$3302,FV3444,IF($B$265=$B$3303,FX3444,IF($B$265=$B$3304,FZ3444,IF($B$265=$B$3305,GB3444,IF($B$265=$B$3306,GD3444,IF($B$265=$B$3307,GF3444,IF($B$265=$B$3308,GH3444,IF($B$265=$B$3309,GJ3444,IF($B$265=$B$3310,GL3444,IF($B$265=$B$3311,GN3444,IF($B$265=$B$3312,GP3444,IF($B$265=$B$3313,GR3444,IF($B$265=$B$3314,GT3444,IF($B$265=$B$3315,GV3444,IF($B$265=$B$3316,GX3444,IF($B$265=$B$3317,GZ3444,IF($B$265=$B$3318,HB3444,IF($B$265=$B$3319,HD3444,IF($B$265=$B$3320,HF3444,IF($B$265=$B$3321,HH3444,IF($B$265=$B$3322,HJ3444,IF($B$265=$B$3323,HL3444,IF($B$265=$B$3324,HN3444,IF($B$265=$B$3325,HP3444,IF($B$265=$B$3326,HR3444,IF($B$265=$B$3327,HT3444,IF($B$265=$B$3328,HV3444,IF($B$265=$B$3329,HX3444,""))))))))))))))))))))))))))))))))))))))))))))))))))))</f>
        <v/>
      </c>
      <c r="EA3444" s="470" t="str">
        <f>IF($B$265=$B$3278,EC3444,IF($B$265=$B$3279,EE3444,IF($B$265=$B$3280,EG3444,IF($B$265=$B$3281,EI3444,IF($B$265=$B$3282,EK3444,IF($B$265=$B$3283,EM3444,IF($B$265=$B$3284,EO3444,IF($B$265=$B$3285,EQ3444,IF($B$265=$B$3286,ES3444,IF($B$265=$B$3287,EU3444,IF($B$265=$B$3288,EW3444,IF($B$265=$B$3289,EY3444,IF($B$265=$B$3290,FA3444,IF($B$265=$B$3291,FC3444,IF($B$265=$B$3292,FE3444,IF($B$265=$B$3293,BK3444,IF($B$265=$B$3294,FG3444,IF($B$265=$B$3295,FI3444,IF($B$265=$B$3296,FK3444,IF($B$265=$B$3297,FM3444,IF($B$265=$B$3298,FO3444,IF($B$265=$B$3299,FQ3444,IF(BJ$265=$B$3300,FS3444,IF($B$265=$B$3301,FU3444,IF($B$265=$B$3302,FW3444,IF($B$265=$B$3303,FY3444,IF($B$265=$B$3304,GA3444,IF($B$265=$B$3305,GC3444,IF($B$265=$B$3306,GE3444,IF($B$265=$B$3307,GG3444,IF($B$265=$B$3308,GI3444,IF($B$265=$B$3309,GK3444,IF($B$265=$B$3310,GM3444,IF($B$265=$B$3311,GO3444,IF($B$265=$B$3312,GQ3444,IF($B$265=$B$3313,GS3444,IF($B$265=$B$3314,GU3444,IF($B$265=$B$3315,GW3444,IF($B$265=$B$3316,GY3444,IF($B$265=$B$3317,HA3444,IF($B$265=$B$3318,HC3444,IF($B$265=$B$3319,HE3444,IF($B$265=$B$3320,HG3444,IF($B$265=$B$3321,HI3444,IF($B$265=$B$3322,HK3444,IF($B$265=$B$3323,HM3444,IF($B$265=$B$3324,HO3444,IF($B$265=$B$3325,HQ3444,IF($B$265=$B$3326,HS3444,IF($B$265=$B$3327,HU3444,IF($B$265=$B$3328,HW3444,IF($B$265=$B$3329,HY3444,""))))))))))))))))))))))))))))))))))))))))))))))))))))</f>
        <v/>
      </c>
      <c r="EB3444" s="459" t="s">
        <v>885</v>
      </c>
    </row>
    <row r="3445" spans="1:132" ht="16" hidden="1" x14ac:dyDescent="0.4">
      <c r="A3445" s="813"/>
      <c r="BB3445" s="48"/>
      <c r="BS3445" s="464" t="str">
        <f>IF($B$265=B$3278,BZ3444,IF($B$265=B$3279,CA3444,IF($B$265=B$3280,CB3444,IF($B$265=B$3281,CC3444,IF($B$265=B$3282,CD3444,IF($B$265=B$3283,CE3444,IF($B$265=B$3284,CF3444,IF($B$265=B$3285,CG3444,IF($B$265=B$3286,CH3444,IF($B$265=B$3287,CI3444,IF($B$265=B$3288,CJ3444,IF($B$265=B$3289,CK3444,IF($B$265=B$3290,CL3444,IF($B$265=B$3291,CM3444,IF($B$265=B$3292,CN3444,IF($B$265=B$3293,#REF!,IF($B$265=B$3294,CO3444,IF($B$265=B$3295,CP3444,IF($B$265=B$3296,CQ3444,IF($B$265=B$3297,CR3444,IF($B$265=B$3298,CS3444,IF($B$265=B$3299,CT3444,IF(B$265=B$3300,CU3444,IF($B$265=B$3301,CV3444,IF($B$265=B$3302,CW3444,IF($B$265=B$3303,CX3444,IF($B$265=B$3304,CY3444,IF($B$265=B$3305,CZ3444,IF($B$265=B$3306,DA3444,IF($B$265=B$3307,DB3444,IF($B$265=B$3308,DC3444,IF($B$265=B$3309,DD3444,IF($B$265=B$3310,DE3444,IF($B$265=B$3311,DF3444,IF($B$265=B$3312,DG3444,IF($B$265=B$3313,DH3444,IF($B$265=B$3314,DI3444,IF($B$265=B$3315,DJ3444,IF($B$265=B$3316,DK3444,IF($B$265=B$3317,DL3444,IF($B$265=B$3318,DM3444,IF($B$265=B$3319,DN3444,IF($B$265=B$3320,DO3444,IF($B$265=B$3321,DP3444,IF($B$265=B$3322,DQ3444,IF($B$265=B$3323,DR3444,IF($B$265=B$3324,DS3444,IF($B$265=B$3325,DT3444,IF($B$265=B$3326,DU3444,IF($B$265=B$3327,DV3444,IF($B$265=B$3328,DW3444,IF($B$265=B$3329,DX3444,""))))))))))))))))))))))))))))))))))))))))))))))))))))</f>
        <v/>
      </c>
      <c r="BZ3445" s="245" t="s">
        <v>885</v>
      </c>
      <c r="CA3445" s="245" t="s">
        <v>885</v>
      </c>
      <c r="CC3445" s="245" t="s">
        <v>885</v>
      </c>
      <c r="CD3445" s="459" t="s">
        <v>885</v>
      </c>
      <c r="CE3445" s="459" t="s">
        <v>885</v>
      </c>
      <c r="CF3445" s="245" t="s">
        <v>885</v>
      </c>
      <c r="CG3445" s="245" t="s">
        <v>885</v>
      </c>
      <c r="CH3445" s="245" t="s">
        <v>885</v>
      </c>
      <c r="CI3445" s="245" t="s">
        <v>885</v>
      </c>
      <c r="CJ3445" t="s">
        <v>1753</v>
      </c>
      <c r="CK3445" s="459" t="s">
        <v>885</v>
      </c>
      <c r="CL3445" s="459" t="s">
        <v>885</v>
      </c>
      <c r="CM3445" s="459" t="s">
        <v>885</v>
      </c>
      <c r="CN3445" s="459" t="s">
        <v>885</v>
      </c>
      <c r="CO3445" s="459" t="s">
        <v>885</v>
      </c>
      <c r="CP3445" s="459" t="s">
        <v>885</v>
      </c>
      <c r="CQ3445" s="459" t="s">
        <v>885</v>
      </c>
      <c r="CR3445" s="459" t="s">
        <v>885</v>
      </c>
      <c r="CS3445" s="459" t="s">
        <v>885</v>
      </c>
      <c r="CT3445" s="245" t="s">
        <v>885</v>
      </c>
      <c r="CU3445" s="463" t="s">
        <v>885</v>
      </c>
      <c r="CV3445" s="245" t="s">
        <v>885</v>
      </c>
      <c r="CW3445" s="245" t="s">
        <v>885</v>
      </c>
      <c r="CX3445" s="459" t="s">
        <v>885</v>
      </c>
      <c r="CY3445" s="459" t="s">
        <v>885</v>
      </c>
      <c r="CZ3445" s="459" t="s">
        <v>885</v>
      </c>
      <c r="DA3445" s="459" t="s">
        <v>885</v>
      </c>
      <c r="DB3445" s="459" t="s">
        <v>885</v>
      </c>
      <c r="DC3445" s="459" t="s">
        <v>885</v>
      </c>
      <c r="DD3445" s="459" t="s">
        <v>885</v>
      </c>
      <c r="DE3445" s="459" t="s">
        <v>885</v>
      </c>
      <c r="DF3445" s="459" t="s">
        <v>885</v>
      </c>
      <c r="DG3445" s="459" t="s">
        <v>885</v>
      </c>
      <c r="DH3445" s="459" t="s">
        <v>885</v>
      </c>
      <c r="DI3445" s="459" t="s">
        <v>885</v>
      </c>
      <c r="DJ3445" s="459" t="s">
        <v>885</v>
      </c>
      <c r="DK3445" s="459" t="s">
        <v>885</v>
      </c>
      <c r="DL3445" s="459" t="s">
        <v>885</v>
      </c>
      <c r="DM3445" s="459" t="s">
        <v>885</v>
      </c>
      <c r="DN3445" s="459" t="s">
        <v>885</v>
      </c>
      <c r="DO3445" s="459" t="s">
        <v>885</v>
      </c>
      <c r="DP3445" t="s">
        <v>1472</v>
      </c>
      <c r="DQ3445" s="459" t="s">
        <v>885</v>
      </c>
      <c r="DR3445" s="459" t="s">
        <v>885</v>
      </c>
      <c r="DS3445" s="459" t="s">
        <v>885</v>
      </c>
      <c r="DT3445" s="459" t="s">
        <v>885</v>
      </c>
      <c r="DU3445" s="459" t="s">
        <v>885</v>
      </c>
      <c r="DV3445" s="459" t="s">
        <v>885</v>
      </c>
      <c r="DW3445" s="459" t="s">
        <v>885</v>
      </c>
      <c r="DX3445" s="245" t="s">
        <v>885</v>
      </c>
      <c r="DY3445" s="245"/>
      <c r="DZ3445" s="470" t="str">
        <f>IF($B$265=$B$3278,EB3445,IF($B$265=$B$3279,ED3445,IF($B$265=$B$3280,EF3445,IF($B$265=$B$3281,EH3445,IF($B$265=$B$3282,EJ3445,IF($B$265=$B$3283,EL3445,IF($B$265=$B$3284,EN3445,IF($B$265=$B$3285,EP3445,IF($B$265=$B$3286,ER3445,IF($B$265=$B$3287,ET3445,IF($B$265=$B$3288,EV3445,IF($B$265=$B$3289,EX3445,IF($B$265=$B$3290,EZ3445,IF($B$265=$B$3291,FB3445,IF($B$265=$B$3292,FD3445,IF($B$265=$B$3293,BU3445,IF($B$265=$B$3294,FF3445,IF($B$265=$B$3295,FH3445,IF($B$265=$B$3296,FJ3445,IF($B$265=$B$3297,FL3445,IF($B$265=$B$3298,FN3445,IF($B$265=$B$3299,FP3445,IF(BI$265=$B$3300,FR3445,IF($B$265=$B$3301,FT3445,IF($B$265=$B$3302,FV3445,IF($B$265=$B$3303,FX3445,IF($B$265=$B$3304,FZ3445,IF($B$265=$B$3305,GB3445,IF($B$265=$B$3306,GD3445,IF($B$265=$B$3307,GF3445,IF($B$265=$B$3308,GH3445,IF($B$265=$B$3309,GJ3445,IF($B$265=$B$3310,GL3445,IF($B$265=$B$3311,GN3445,IF($B$265=$B$3312,GP3445,IF($B$265=$B$3313,GR3445,IF($B$265=$B$3314,GT3445,IF($B$265=$B$3315,GV3445,IF($B$265=$B$3316,GX3445,IF($B$265=$B$3317,GZ3445,IF($B$265=$B$3318,HB3445,IF($B$265=$B$3319,HD3445,IF($B$265=$B$3320,HF3445,IF($B$265=$B$3321,HH3445,IF($B$265=$B$3322,HJ3445,IF($B$265=$B$3323,HL3445,IF($B$265=$B$3324,HN3445,IF($B$265=$B$3325,HP3445,IF($B$265=$B$3326,HR3445,IF($B$265=$B$3327,HT3445,IF($B$265=$B$3328,HV3445,IF($B$265=$B$3329,HX3445,""))))))))))))))))))))))))))))))))))))))))))))))))))))</f>
        <v/>
      </c>
      <c r="EA3445" s="470" t="str">
        <f>IF($B$265=$B$3278,EC3445,IF($B$265=$B$3279,EE3445,IF($B$265=$B$3280,EG3445,IF($B$265=$B$3281,EI3445,IF($B$265=$B$3282,EK3445,IF($B$265=$B$3283,EM3445,IF($B$265=$B$3284,EO3445,IF($B$265=$B$3285,EQ3445,IF($B$265=$B$3286,ES3445,IF($B$265=$B$3287,EU3445,IF($B$265=$B$3288,EW3445,IF($B$265=$B$3289,EY3445,IF($B$265=$B$3290,FA3445,IF($B$265=$B$3291,FC3445,IF($B$265=$B$3292,FE3445,IF($B$265=$B$3293,BK3445,IF($B$265=$B$3294,FG3445,IF($B$265=$B$3295,FI3445,IF($B$265=$B$3296,FK3445,IF($B$265=$B$3297,FM3445,IF($B$265=$B$3298,FO3445,IF($B$265=$B$3299,FQ3445,IF(BJ$265=$B$3300,FS3445,IF($B$265=$B$3301,FU3445,IF($B$265=$B$3302,FW3445,IF($B$265=$B$3303,FY3445,IF($B$265=$B$3304,GA3445,IF($B$265=$B$3305,GC3445,IF($B$265=$B$3306,GE3445,IF($B$265=$B$3307,GG3445,IF($B$265=$B$3308,GI3445,IF($B$265=$B$3309,GK3445,IF($B$265=$B$3310,GM3445,IF($B$265=$B$3311,GO3445,IF($B$265=$B$3312,GQ3445,IF($B$265=$B$3313,GS3445,IF($B$265=$B$3314,GU3445,IF($B$265=$B$3315,GW3445,IF($B$265=$B$3316,GY3445,IF($B$265=$B$3317,HA3445,IF($B$265=$B$3318,HC3445,IF($B$265=$B$3319,HE3445,IF($B$265=$B$3320,HG3445,IF($B$265=$B$3321,HI3445,IF($B$265=$B$3322,HK3445,IF($B$265=$B$3323,HM3445,IF($B$265=$B$3324,HO3445,IF($B$265=$B$3325,HQ3445,IF($B$265=$B$3326,HS3445,IF($B$265=$B$3327,HU3445,IF($B$265=$B$3328,HW3445,IF($B$265=$B$3329,HY3445,""))))))))))))))))))))))))))))))))))))))))))))))))))))</f>
        <v/>
      </c>
      <c r="EB3445" s="459" t="s">
        <v>885</v>
      </c>
    </row>
    <row r="3446" spans="1:132" ht="16" hidden="1" x14ac:dyDescent="0.4">
      <c r="A3446" s="813"/>
      <c r="BB3446" s="48"/>
      <c r="BS3446" s="464" t="str">
        <f>IF($B$265=B$3278,BZ3445,IF($B$265=B$3279,CA3445,IF($B$265=B$3280,CB3445,IF($B$265=B$3281,CC3445,IF($B$265=B$3282,CD3445,IF($B$265=B$3283,CE3445,IF($B$265=B$3284,CF3445,IF($B$265=B$3285,CG3445,IF($B$265=B$3286,CH3445,IF($B$265=B$3287,CI3445,IF($B$265=B$3288,CJ3445,IF($B$265=B$3289,CK3445,IF($B$265=B$3290,CL3445,IF($B$265=B$3291,CM3445,IF($B$265=B$3292,CN3445,IF($B$265=B$3293,#REF!,IF($B$265=B$3294,CO3445,IF($B$265=B$3295,CP3445,IF($B$265=B$3296,CQ3445,IF($B$265=B$3297,CR3445,IF($B$265=B$3298,CS3445,IF($B$265=B$3299,CT3445,IF(B$265=B$3300,CU3445,IF($B$265=B$3301,CV3445,IF($B$265=B$3302,CW3445,IF($B$265=B$3303,CX3445,IF($B$265=B$3304,CY3445,IF($B$265=B$3305,CZ3445,IF($B$265=B$3306,DA3445,IF($B$265=B$3307,DB3445,IF($B$265=B$3308,DC3445,IF($B$265=B$3309,DD3445,IF($B$265=B$3310,DE3445,IF($B$265=B$3311,DF3445,IF($B$265=B$3312,DG3445,IF($B$265=B$3313,DH3445,IF($B$265=B$3314,DI3445,IF($B$265=B$3315,DJ3445,IF($B$265=B$3316,DK3445,IF($B$265=B$3317,DL3445,IF($B$265=B$3318,DM3445,IF($B$265=B$3319,DN3445,IF($B$265=B$3320,DO3445,IF($B$265=B$3321,DP3445,IF($B$265=B$3322,DQ3445,IF($B$265=B$3323,DR3445,IF($B$265=B$3324,DS3445,IF($B$265=B$3325,DT3445,IF($B$265=B$3326,DU3445,IF($B$265=B$3327,DV3445,IF($B$265=B$3328,DW3445,IF($B$265=B$3329,DX3445,""))))))))))))))))))))))))))))))))))))))))))))))))))))</f>
        <v/>
      </c>
      <c r="BZ3446" s="245" t="s">
        <v>885</v>
      </c>
      <c r="CA3446" s="245" t="s">
        <v>885</v>
      </c>
      <c r="CC3446" s="245" t="s">
        <v>885</v>
      </c>
      <c r="CD3446" s="459" t="s">
        <v>885</v>
      </c>
      <c r="CE3446" s="459" t="s">
        <v>885</v>
      </c>
      <c r="CF3446" s="245" t="s">
        <v>885</v>
      </c>
      <c r="CG3446" s="245" t="s">
        <v>885</v>
      </c>
      <c r="CH3446" s="245" t="s">
        <v>885</v>
      </c>
      <c r="CI3446" s="245" t="s">
        <v>885</v>
      </c>
      <c r="CJ3446" t="s">
        <v>1853</v>
      </c>
      <c r="CK3446" s="459" t="s">
        <v>885</v>
      </c>
      <c r="CL3446" s="459" t="s">
        <v>885</v>
      </c>
      <c r="CM3446" s="459" t="s">
        <v>885</v>
      </c>
      <c r="CN3446" s="459" t="s">
        <v>885</v>
      </c>
      <c r="CO3446" s="459" t="s">
        <v>885</v>
      </c>
      <c r="CP3446" s="459" t="s">
        <v>885</v>
      </c>
      <c r="CQ3446" s="459" t="s">
        <v>885</v>
      </c>
      <c r="CR3446" s="459" t="s">
        <v>885</v>
      </c>
      <c r="CS3446" s="459" t="s">
        <v>885</v>
      </c>
      <c r="CT3446" s="245" t="s">
        <v>885</v>
      </c>
      <c r="CU3446" s="463" t="s">
        <v>885</v>
      </c>
      <c r="CV3446" s="245" t="s">
        <v>885</v>
      </c>
      <c r="CW3446" s="245" t="s">
        <v>885</v>
      </c>
      <c r="CX3446" s="459" t="s">
        <v>885</v>
      </c>
      <c r="CY3446" s="459" t="s">
        <v>885</v>
      </c>
      <c r="CZ3446" s="459" t="s">
        <v>885</v>
      </c>
      <c r="DA3446" s="459" t="s">
        <v>885</v>
      </c>
      <c r="DB3446" s="459" t="s">
        <v>885</v>
      </c>
      <c r="DC3446" s="459" t="s">
        <v>885</v>
      </c>
      <c r="DD3446" s="459" t="s">
        <v>885</v>
      </c>
      <c r="DE3446" s="459" t="s">
        <v>885</v>
      </c>
      <c r="DF3446" s="459" t="s">
        <v>885</v>
      </c>
      <c r="DG3446" s="459" t="s">
        <v>885</v>
      </c>
      <c r="DH3446" s="459" t="s">
        <v>885</v>
      </c>
      <c r="DI3446" s="459" t="s">
        <v>885</v>
      </c>
      <c r="DJ3446" s="459" t="s">
        <v>885</v>
      </c>
      <c r="DK3446" s="459" t="s">
        <v>885</v>
      </c>
      <c r="DL3446" s="459" t="s">
        <v>885</v>
      </c>
      <c r="DM3446" s="459" t="s">
        <v>885</v>
      </c>
      <c r="DN3446" s="459" t="s">
        <v>885</v>
      </c>
      <c r="DO3446" s="459" t="s">
        <v>885</v>
      </c>
      <c r="DP3446" t="s">
        <v>3019</v>
      </c>
      <c r="DQ3446" s="459" t="s">
        <v>885</v>
      </c>
      <c r="DR3446" s="459" t="s">
        <v>885</v>
      </c>
      <c r="DS3446" s="459" t="s">
        <v>885</v>
      </c>
      <c r="DT3446" s="459" t="s">
        <v>885</v>
      </c>
      <c r="DU3446" s="459" t="s">
        <v>885</v>
      </c>
      <c r="DV3446" s="459" t="s">
        <v>885</v>
      </c>
      <c r="DW3446" s="459" t="s">
        <v>885</v>
      </c>
      <c r="DX3446" s="245" t="s">
        <v>885</v>
      </c>
      <c r="DY3446" s="245"/>
      <c r="DZ3446" s="470" t="str">
        <f>IF($B$265=$B$3278,EB3446,IF($B$265=$B$3279,ED3446,IF($B$265=$B$3280,EF3446,IF($B$265=$B$3281,EH3446,IF($B$265=$B$3282,EJ3446,IF($B$265=$B$3283,EL3446,IF($B$265=$B$3284,EN3446,IF($B$265=$B$3285,EP3446,IF($B$265=$B$3286,ER3446,IF($B$265=$B$3287,ET3446,IF($B$265=$B$3288,EV3446,IF($B$265=$B$3289,EX3446,IF($B$265=$B$3290,EZ3446,IF($B$265=$B$3291,FB3446,IF($B$265=$B$3292,FD3446,IF($B$265=$B$3293,BU3446,IF($B$265=$B$3294,FF3446,IF($B$265=$B$3295,FH3446,IF($B$265=$B$3296,FJ3446,IF($B$265=$B$3297,FL3446,IF($B$265=$B$3298,FN3446,IF($B$265=$B$3299,FP3446,IF(BI$265=$B$3300,FR3446,IF($B$265=$B$3301,FT3446,IF($B$265=$B$3302,FV3446,IF($B$265=$B$3303,FX3446,IF($B$265=$B$3304,FZ3446,IF($B$265=$B$3305,GB3446,IF($B$265=$B$3306,GD3446,IF($B$265=$B$3307,GF3446,IF($B$265=$B$3308,GH3446,IF($B$265=$B$3309,GJ3446,IF($B$265=$B$3310,GL3446,IF($B$265=$B$3311,GN3446,IF($B$265=$B$3312,GP3446,IF($B$265=$B$3313,GR3446,IF($B$265=$B$3314,GT3446,IF($B$265=$B$3315,GV3446,IF($B$265=$B$3316,GX3446,IF($B$265=$B$3317,GZ3446,IF($B$265=$B$3318,HB3446,IF($B$265=$B$3319,HD3446,IF($B$265=$B$3320,HF3446,IF($B$265=$B$3321,HH3446,IF($B$265=$B$3322,HJ3446,IF($B$265=$B$3323,HL3446,IF($B$265=$B$3324,HN3446,IF($B$265=$B$3325,HP3446,IF($B$265=$B$3326,HR3446,IF($B$265=$B$3327,HT3446,IF($B$265=$B$3328,HV3446,IF($B$265=$B$3329,HX3446,""))))))))))))))))))))))))))))))))))))))))))))))))))))</f>
        <v/>
      </c>
      <c r="EA3446" s="470" t="str">
        <f>IF($B$265=$B$3278,EC3446,IF($B$265=$B$3279,EE3446,IF($B$265=$B$3280,EG3446,IF($B$265=$B$3281,EI3446,IF($B$265=$B$3282,EK3446,IF($B$265=$B$3283,EM3446,IF($B$265=$B$3284,EO3446,IF($B$265=$B$3285,EQ3446,IF($B$265=$B$3286,ES3446,IF($B$265=$B$3287,EU3446,IF($B$265=$B$3288,EW3446,IF($B$265=$B$3289,EY3446,IF($B$265=$B$3290,FA3446,IF($B$265=$B$3291,FC3446,IF($B$265=$B$3292,FE3446,IF($B$265=$B$3293,BK3446,IF($B$265=$B$3294,FG3446,IF($B$265=$B$3295,FI3446,IF($B$265=$B$3296,FK3446,IF($B$265=$B$3297,FM3446,IF($B$265=$B$3298,FO3446,IF($B$265=$B$3299,FQ3446,IF(BJ$265=$B$3300,FS3446,IF($B$265=$B$3301,FU3446,IF($B$265=$B$3302,FW3446,IF($B$265=$B$3303,FY3446,IF($B$265=$B$3304,GA3446,IF($B$265=$B$3305,GC3446,IF($B$265=$B$3306,GE3446,IF($B$265=$B$3307,GG3446,IF($B$265=$B$3308,GI3446,IF($B$265=$B$3309,GK3446,IF($B$265=$B$3310,GM3446,IF($B$265=$B$3311,GO3446,IF($B$265=$B$3312,GQ3446,IF($B$265=$B$3313,GS3446,IF($B$265=$B$3314,GU3446,IF($B$265=$B$3315,GW3446,IF($B$265=$B$3316,GY3446,IF($B$265=$B$3317,HA3446,IF($B$265=$B$3318,HC3446,IF($B$265=$B$3319,HE3446,IF($B$265=$B$3320,HG3446,IF($B$265=$B$3321,HI3446,IF($B$265=$B$3322,HK3446,IF($B$265=$B$3323,HM3446,IF($B$265=$B$3324,HO3446,IF($B$265=$B$3325,HQ3446,IF($B$265=$B$3326,HS3446,IF($B$265=$B$3327,HU3446,IF($B$265=$B$3328,HW3446,IF($B$265=$B$3329,HY3446,""))))))))))))))))))))))))))))))))))))))))))))))))))))</f>
        <v/>
      </c>
      <c r="EB3446" s="459" t="s">
        <v>885</v>
      </c>
    </row>
    <row r="3447" spans="1:132" ht="16" hidden="1" x14ac:dyDescent="0.4">
      <c r="A3447" s="813"/>
      <c r="BB3447" s="48"/>
      <c r="BS3447" s="464" t="str">
        <f>IF($B$265=B$3278,BZ3446,IF($B$265=B$3279,CA3446,IF($B$265=B$3280,CB3446,IF($B$265=B$3281,CC3446,IF($B$265=B$3282,CD3446,IF($B$265=B$3283,CE3446,IF($B$265=B$3284,CF3446,IF($B$265=B$3285,CG3446,IF($B$265=B$3286,CH3446,IF($B$265=B$3287,CI3446,IF($B$265=B$3288,CJ3446,IF($B$265=B$3289,CK3446,IF($B$265=B$3290,CL3446,IF($B$265=B$3291,CM3446,IF($B$265=B$3292,CN3446,IF($B$265=B$3293,#REF!,IF($B$265=B$3294,CO3446,IF($B$265=B$3295,CP3446,IF($B$265=B$3296,CQ3446,IF($B$265=B$3297,CR3446,IF($B$265=B$3298,CS3446,IF($B$265=B$3299,CT3446,IF(B$265=B$3300,CU3446,IF($B$265=B$3301,CV3446,IF($B$265=B$3302,CW3446,IF($B$265=B$3303,CX3446,IF($B$265=B$3304,CY3446,IF($B$265=B$3305,CZ3446,IF($B$265=B$3306,DA3446,IF($B$265=B$3307,DB3446,IF($B$265=B$3308,DC3446,IF($B$265=B$3309,DD3446,IF($B$265=B$3310,DE3446,IF($B$265=B$3311,DF3446,IF($B$265=B$3312,DG3446,IF($B$265=B$3313,DH3446,IF($B$265=B$3314,DI3446,IF($B$265=B$3315,DJ3446,IF($B$265=B$3316,DK3446,IF($B$265=B$3317,DL3446,IF($B$265=B$3318,DM3446,IF($B$265=B$3319,DN3446,IF($B$265=B$3320,DO3446,IF($B$265=B$3321,DP3446,IF($B$265=B$3322,DQ3446,IF($B$265=B$3323,DR3446,IF($B$265=B$3324,DS3446,IF($B$265=B$3325,DT3446,IF($B$265=B$3326,DU3446,IF($B$265=B$3327,DV3446,IF($B$265=B$3328,DW3446,IF($B$265=B$3329,DX3446,""))))))))))))))))))))))))))))))))))))))))))))))))))))</f>
        <v/>
      </c>
      <c r="BZ3447" s="245" t="s">
        <v>885</v>
      </c>
      <c r="CA3447" s="245" t="s">
        <v>885</v>
      </c>
      <c r="CC3447" s="245" t="s">
        <v>885</v>
      </c>
      <c r="CD3447" s="459" t="s">
        <v>885</v>
      </c>
      <c r="CE3447" s="459" t="s">
        <v>885</v>
      </c>
      <c r="CF3447" s="245" t="s">
        <v>885</v>
      </c>
      <c r="CG3447" s="245" t="s">
        <v>885</v>
      </c>
      <c r="CH3447" s="245" t="s">
        <v>885</v>
      </c>
      <c r="CI3447" s="245" t="s">
        <v>885</v>
      </c>
      <c r="CJ3447" t="s">
        <v>1854</v>
      </c>
      <c r="CK3447" s="459" t="s">
        <v>885</v>
      </c>
      <c r="CL3447" s="459" t="s">
        <v>885</v>
      </c>
      <c r="CM3447" s="459" t="s">
        <v>885</v>
      </c>
      <c r="CN3447" s="459" t="s">
        <v>885</v>
      </c>
      <c r="CO3447" s="459" t="s">
        <v>885</v>
      </c>
      <c r="CP3447" s="459" t="s">
        <v>885</v>
      </c>
      <c r="CQ3447" s="459" t="s">
        <v>885</v>
      </c>
      <c r="CR3447" s="459" t="s">
        <v>885</v>
      </c>
      <c r="CS3447" s="459" t="s">
        <v>885</v>
      </c>
      <c r="CT3447" s="245" t="s">
        <v>885</v>
      </c>
      <c r="CU3447" s="463" t="s">
        <v>885</v>
      </c>
      <c r="CV3447" s="245" t="s">
        <v>885</v>
      </c>
      <c r="CW3447" s="245" t="s">
        <v>885</v>
      </c>
      <c r="CX3447" s="459" t="s">
        <v>885</v>
      </c>
      <c r="CY3447" s="459" t="s">
        <v>885</v>
      </c>
      <c r="CZ3447" s="459" t="s">
        <v>885</v>
      </c>
      <c r="DA3447" s="459" t="s">
        <v>885</v>
      </c>
      <c r="DB3447" s="459" t="s">
        <v>885</v>
      </c>
      <c r="DC3447" s="459" t="s">
        <v>885</v>
      </c>
      <c r="DD3447" s="459" t="s">
        <v>885</v>
      </c>
      <c r="DE3447" s="459" t="s">
        <v>885</v>
      </c>
      <c r="DF3447" s="459" t="s">
        <v>885</v>
      </c>
      <c r="DG3447" s="459" t="s">
        <v>885</v>
      </c>
      <c r="DH3447" s="459" t="s">
        <v>885</v>
      </c>
      <c r="DI3447" s="459" t="s">
        <v>885</v>
      </c>
      <c r="DJ3447" s="459" t="s">
        <v>885</v>
      </c>
      <c r="DK3447" s="459" t="s">
        <v>885</v>
      </c>
      <c r="DL3447" s="459" t="s">
        <v>885</v>
      </c>
      <c r="DM3447" s="459" t="s">
        <v>885</v>
      </c>
      <c r="DN3447" s="459" t="s">
        <v>885</v>
      </c>
      <c r="DO3447" s="459" t="s">
        <v>885</v>
      </c>
      <c r="DP3447" t="s">
        <v>3020</v>
      </c>
      <c r="DQ3447" s="459" t="s">
        <v>885</v>
      </c>
      <c r="DR3447" s="459" t="s">
        <v>885</v>
      </c>
      <c r="DS3447" s="459" t="s">
        <v>885</v>
      </c>
      <c r="DT3447" s="459" t="s">
        <v>885</v>
      </c>
      <c r="DU3447" s="459" t="s">
        <v>885</v>
      </c>
      <c r="DV3447" s="459" t="s">
        <v>885</v>
      </c>
      <c r="DW3447" s="459" t="s">
        <v>885</v>
      </c>
      <c r="DX3447" s="245" t="s">
        <v>885</v>
      </c>
      <c r="DY3447" s="245"/>
      <c r="DZ3447" s="470" t="str">
        <f>IF($B$265=$B$3278,EB3447,IF($B$265=$B$3279,ED3447,IF($B$265=$B$3280,EF3447,IF($B$265=$B$3281,EH3447,IF($B$265=$B$3282,EJ3447,IF($B$265=$B$3283,EL3447,IF($B$265=$B$3284,EN3447,IF($B$265=$B$3285,EP3447,IF($B$265=$B$3286,ER3447,IF($B$265=$B$3287,ET3447,IF($B$265=$B$3288,EV3447,IF($B$265=$B$3289,EX3447,IF($B$265=$B$3290,EZ3447,IF($B$265=$B$3291,FB3447,IF($B$265=$B$3292,FD3447,IF($B$265=$B$3293,BU3447,IF($B$265=$B$3294,FF3447,IF($B$265=$B$3295,FH3447,IF($B$265=$B$3296,FJ3447,IF($B$265=$B$3297,FL3447,IF($B$265=$B$3298,FN3447,IF($B$265=$B$3299,FP3447,IF(BI$265=$B$3300,FR3447,IF($B$265=$B$3301,FT3447,IF($B$265=$B$3302,FV3447,IF($B$265=$B$3303,FX3447,IF($B$265=$B$3304,FZ3447,IF($B$265=$B$3305,GB3447,IF($B$265=$B$3306,GD3447,IF($B$265=$B$3307,GF3447,IF($B$265=$B$3308,GH3447,IF($B$265=$B$3309,GJ3447,IF($B$265=$B$3310,GL3447,IF($B$265=$B$3311,GN3447,IF($B$265=$B$3312,GP3447,IF($B$265=$B$3313,GR3447,IF($B$265=$B$3314,GT3447,IF($B$265=$B$3315,GV3447,IF($B$265=$B$3316,GX3447,IF($B$265=$B$3317,GZ3447,IF($B$265=$B$3318,HB3447,IF($B$265=$B$3319,HD3447,IF($B$265=$B$3320,HF3447,IF($B$265=$B$3321,HH3447,IF($B$265=$B$3322,HJ3447,IF($B$265=$B$3323,HL3447,IF($B$265=$B$3324,HN3447,IF($B$265=$B$3325,HP3447,IF($B$265=$B$3326,HR3447,IF($B$265=$B$3327,HT3447,IF($B$265=$B$3328,HV3447,IF($B$265=$B$3329,HX3447,""))))))))))))))))))))))))))))))))))))))))))))))))))))</f>
        <v/>
      </c>
      <c r="EA3447" s="470" t="str">
        <f>IF($B$265=$B$3278,EC3447,IF($B$265=$B$3279,EE3447,IF($B$265=$B$3280,EG3447,IF($B$265=$B$3281,EI3447,IF($B$265=$B$3282,EK3447,IF($B$265=$B$3283,EM3447,IF($B$265=$B$3284,EO3447,IF($B$265=$B$3285,EQ3447,IF($B$265=$B$3286,ES3447,IF($B$265=$B$3287,EU3447,IF($B$265=$B$3288,EW3447,IF($B$265=$B$3289,EY3447,IF($B$265=$B$3290,FA3447,IF($B$265=$B$3291,FC3447,IF($B$265=$B$3292,FE3447,IF($B$265=$B$3293,BK3447,IF($B$265=$B$3294,FG3447,IF($B$265=$B$3295,FI3447,IF($B$265=$B$3296,FK3447,IF($B$265=$B$3297,FM3447,IF($B$265=$B$3298,FO3447,IF($B$265=$B$3299,FQ3447,IF(BJ$265=$B$3300,FS3447,IF($B$265=$B$3301,FU3447,IF($B$265=$B$3302,FW3447,IF($B$265=$B$3303,FY3447,IF($B$265=$B$3304,GA3447,IF($B$265=$B$3305,GC3447,IF($B$265=$B$3306,GE3447,IF($B$265=$B$3307,GG3447,IF($B$265=$B$3308,GI3447,IF($B$265=$B$3309,GK3447,IF($B$265=$B$3310,GM3447,IF($B$265=$B$3311,GO3447,IF($B$265=$B$3312,GQ3447,IF($B$265=$B$3313,GS3447,IF($B$265=$B$3314,GU3447,IF($B$265=$B$3315,GW3447,IF($B$265=$B$3316,GY3447,IF($B$265=$B$3317,HA3447,IF($B$265=$B$3318,HC3447,IF($B$265=$B$3319,HE3447,IF($B$265=$B$3320,HG3447,IF($B$265=$B$3321,HI3447,IF($B$265=$B$3322,HK3447,IF($B$265=$B$3323,HM3447,IF($B$265=$B$3324,HO3447,IF($B$265=$B$3325,HQ3447,IF($B$265=$B$3326,HS3447,IF($B$265=$B$3327,HU3447,IF($B$265=$B$3328,HW3447,IF($B$265=$B$3329,HY3447,""))))))))))))))))))))))))))))))))))))))))))))))))))))</f>
        <v/>
      </c>
      <c r="EB3447" s="459" t="s">
        <v>885</v>
      </c>
    </row>
    <row r="3448" spans="1:132" ht="16" hidden="1" x14ac:dyDescent="0.4">
      <c r="A3448" s="813"/>
      <c r="BB3448" s="48"/>
      <c r="BS3448" s="464" t="str">
        <f>IF($B$265=B$3278,BZ3447,IF($B$265=B$3279,CA3447,IF($B$265=B$3280,CB3447,IF($B$265=B$3281,CC3447,IF($B$265=B$3282,CD3447,IF($B$265=B$3283,CE3447,IF($B$265=B$3284,CF3447,IF($B$265=B$3285,CG3447,IF($B$265=B$3286,CH3447,IF($B$265=B$3287,CI3447,IF($B$265=B$3288,CJ3447,IF($B$265=B$3289,CK3447,IF($B$265=B$3290,CL3447,IF($B$265=B$3291,CM3447,IF($B$265=B$3292,CN3447,IF($B$265=B$3293,C2765,IF($B$265=B$3294,CO3447,IF($B$265=B$3295,CP3447,IF($B$265=B$3296,CQ3447,IF($B$265=B$3297,CR3447,IF($B$265=B$3298,CS3447,IF($B$265=B$3299,CT3447,IF(B$265=B$3300,CU3447,IF($B$265=B$3301,CV3447,IF($B$265=B$3302,CW3447,IF($B$265=B$3303,CX3447,IF($B$265=B$3304,CY3447,IF($B$265=B$3305,CZ3447,IF($B$265=B$3306,DA3447,IF($B$265=B$3307,DB3447,IF($B$265=B$3308,DC3447,IF($B$265=B$3309,DD3447,IF($B$265=B$3310,DE3447,IF($B$265=B$3311,DF3447,IF($B$265=B$3312,DG3447,IF($B$265=B$3313,DH3447,IF($B$265=B$3314,DI3447,IF($B$265=B$3315,DJ3447,IF($B$265=B$3316,DK3447,IF($B$265=B$3317,DL3447,IF($B$265=B$3318,DM3447,IF($B$265=B$3319,DN3447,IF($B$265=B$3320,DO3447,IF($B$265=B$3321,DP3447,IF($B$265=B$3322,DQ3447,IF($B$265=B$3323,DR3447,IF($B$265=B$3324,DS3447,IF($B$265=B$3325,DT3447,IF($B$265=B$3326,DU3447,IF($B$265=B$3327,DV3447,IF($B$265=B$3328,DW3447,IF($B$265=B$3329,DX3447,""))))))))))))))))))))))))))))))))))))))))))))))))))))</f>
        <v/>
      </c>
      <c r="BZ3448" s="245" t="s">
        <v>885</v>
      </c>
      <c r="CA3448" s="245" t="s">
        <v>885</v>
      </c>
      <c r="CC3448" s="245" t="s">
        <v>885</v>
      </c>
      <c r="CD3448" s="459" t="s">
        <v>885</v>
      </c>
      <c r="CE3448" s="459" t="s">
        <v>885</v>
      </c>
      <c r="CF3448" s="245" t="s">
        <v>885</v>
      </c>
      <c r="CG3448" s="245" t="s">
        <v>885</v>
      </c>
      <c r="CH3448" s="245" t="s">
        <v>885</v>
      </c>
      <c r="CI3448" s="245" t="s">
        <v>885</v>
      </c>
      <c r="CJ3448" t="s">
        <v>1495</v>
      </c>
      <c r="CK3448" s="459" t="s">
        <v>885</v>
      </c>
      <c r="CL3448" s="459" t="s">
        <v>885</v>
      </c>
      <c r="CM3448" s="459" t="s">
        <v>885</v>
      </c>
      <c r="CN3448" s="459" t="s">
        <v>885</v>
      </c>
      <c r="CO3448" s="459" t="s">
        <v>885</v>
      </c>
      <c r="CP3448" s="459" t="s">
        <v>885</v>
      </c>
      <c r="CQ3448" s="459" t="s">
        <v>885</v>
      </c>
      <c r="CR3448" s="459" t="s">
        <v>885</v>
      </c>
      <c r="CS3448" s="459" t="s">
        <v>885</v>
      </c>
      <c r="CT3448" s="245" t="s">
        <v>885</v>
      </c>
      <c r="CU3448" s="463" t="s">
        <v>885</v>
      </c>
      <c r="CV3448" s="245" t="s">
        <v>885</v>
      </c>
      <c r="CW3448" s="245" t="s">
        <v>885</v>
      </c>
      <c r="CX3448" s="459" t="s">
        <v>885</v>
      </c>
      <c r="CY3448" s="459" t="s">
        <v>885</v>
      </c>
      <c r="CZ3448" s="459" t="s">
        <v>885</v>
      </c>
      <c r="DA3448" s="459" t="s">
        <v>885</v>
      </c>
      <c r="DB3448" s="459" t="s">
        <v>885</v>
      </c>
      <c r="DC3448" s="459" t="s">
        <v>885</v>
      </c>
      <c r="DD3448" s="459" t="s">
        <v>885</v>
      </c>
      <c r="DE3448" s="459" t="s">
        <v>885</v>
      </c>
      <c r="DF3448" s="459" t="s">
        <v>885</v>
      </c>
      <c r="DG3448" s="459" t="s">
        <v>885</v>
      </c>
      <c r="DH3448" s="459" t="s">
        <v>885</v>
      </c>
      <c r="DI3448" s="459" t="s">
        <v>885</v>
      </c>
      <c r="DJ3448" s="459" t="s">
        <v>885</v>
      </c>
      <c r="DK3448" s="459" t="s">
        <v>885</v>
      </c>
      <c r="DL3448" s="459" t="s">
        <v>885</v>
      </c>
      <c r="DM3448" s="459" t="s">
        <v>885</v>
      </c>
      <c r="DN3448" s="459" t="s">
        <v>885</v>
      </c>
      <c r="DO3448" s="459" t="s">
        <v>885</v>
      </c>
      <c r="DP3448" t="s">
        <v>3021</v>
      </c>
      <c r="DQ3448" s="459" t="s">
        <v>885</v>
      </c>
      <c r="DR3448" s="459" t="s">
        <v>885</v>
      </c>
      <c r="DS3448" s="459" t="s">
        <v>885</v>
      </c>
      <c r="DT3448" s="459" t="s">
        <v>885</v>
      </c>
      <c r="DU3448" s="459" t="s">
        <v>885</v>
      </c>
      <c r="DV3448" s="459" t="s">
        <v>885</v>
      </c>
      <c r="DW3448" s="459" t="s">
        <v>885</v>
      </c>
      <c r="DX3448" s="245" t="s">
        <v>885</v>
      </c>
      <c r="DY3448" s="245"/>
      <c r="DZ3448" s="470" t="str">
        <f>IF($B$265=$B$3278,EB3448,IF($B$265=$B$3279,ED3448,IF($B$265=$B$3280,EF3448,IF($B$265=$B$3281,EH3448,IF($B$265=$B$3282,EJ3448,IF($B$265=$B$3283,EL3448,IF($B$265=$B$3284,EN3448,IF($B$265=$B$3285,EP3448,IF($B$265=$B$3286,ER3448,IF($B$265=$B$3287,ET3448,IF($B$265=$B$3288,EV3448,IF($B$265=$B$3289,EX3448,IF($B$265=$B$3290,EZ3448,IF($B$265=$B$3291,FB3448,IF($B$265=$B$3292,FD3448,IF($B$265=$B$3293,BU3448,IF($B$265=$B$3294,FF3448,IF($B$265=$B$3295,FH3448,IF($B$265=$B$3296,FJ3448,IF($B$265=$B$3297,FL3448,IF($B$265=$B$3298,FN3448,IF($B$265=$B$3299,FP3448,IF(BI$265=$B$3300,FR3448,IF($B$265=$B$3301,FT3448,IF($B$265=$B$3302,FV3448,IF($B$265=$B$3303,FX3448,IF($B$265=$B$3304,FZ3448,IF($B$265=$B$3305,GB3448,IF($B$265=$B$3306,GD3448,IF($B$265=$B$3307,GF3448,IF($B$265=$B$3308,GH3448,IF($B$265=$B$3309,GJ3448,IF($B$265=$B$3310,GL3448,IF($B$265=$B$3311,GN3448,IF($B$265=$B$3312,GP3448,IF($B$265=$B$3313,GR3448,IF($B$265=$B$3314,GT3448,IF($B$265=$B$3315,GV3448,IF($B$265=$B$3316,GX3448,IF($B$265=$B$3317,GZ3448,IF($B$265=$B$3318,HB3448,IF($B$265=$B$3319,HD3448,IF($B$265=$B$3320,HF3448,IF($B$265=$B$3321,HH3448,IF($B$265=$B$3322,HJ3448,IF($B$265=$B$3323,HL3448,IF($B$265=$B$3324,HN3448,IF($B$265=$B$3325,HP3448,IF($B$265=$B$3326,HR3448,IF($B$265=$B$3327,HT3448,IF($B$265=$B$3328,HV3448,IF($B$265=$B$3329,HX3448,""))))))))))))))))))))))))))))))))))))))))))))))))))))</f>
        <v/>
      </c>
      <c r="EA3448" s="470" t="str">
        <f>IF($B$265=$B$3278,EC3448,IF($B$265=$B$3279,EE3448,IF($B$265=$B$3280,EG3448,IF($B$265=$B$3281,EI3448,IF($B$265=$B$3282,EK3448,IF($B$265=$B$3283,EM3448,IF($B$265=$B$3284,EO3448,IF($B$265=$B$3285,EQ3448,IF($B$265=$B$3286,ES3448,IF($B$265=$B$3287,EU3448,IF($B$265=$B$3288,EW3448,IF($B$265=$B$3289,EY3448,IF($B$265=$B$3290,FA3448,IF($B$265=$B$3291,FC3448,IF($B$265=$B$3292,FE3448,IF($B$265=$B$3293,BK3448,IF($B$265=$B$3294,FG3448,IF($B$265=$B$3295,FI3448,IF($B$265=$B$3296,FK3448,IF($B$265=$B$3297,FM3448,IF($B$265=$B$3298,FO3448,IF($B$265=$B$3299,FQ3448,IF(BJ$265=$B$3300,FS3448,IF($B$265=$B$3301,FU3448,IF($B$265=$B$3302,FW3448,IF($B$265=$B$3303,FY3448,IF($B$265=$B$3304,GA3448,IF($B$265=$B$3305,GC3448,IF($B$265=$B$3306,GE3448,IF($B$265=$B$3307,GG3448,IF($B$265=$B$3308,GI3448,IF($B$265=$B$3309,GK3448,IF($B$265=$B$3310,GM3448,IF($B$265=$B$3311,GO3448,IF($B$265=$B$3312,GQ3448,IF($B$265=$B$3313,GS3448,IF($B$265=$B$3314,GU3448,IF($B$265=$B$3315,GW3448,IF($B$265=$B$3316,GY3448,IF($B$265=$B$3317,HA3448,IF($B$265=$B$3318,HC3448,IF($B$265=$B$3319,HE3448,IF($B$265=$B$3320,HG3448,IF($B$265=$B$3321,HI3448,IF($B$265=$B$3322,HK3448,IF($B$265=$B$3323,HM3448,IF($B$265=$B$3324,HO3448,IF($B$265=$B$3325,HQ3448,IF($B$265=$B$3326,HS3448,IF($B$265=$B$3327,HU3448,IF($B$265=$B$3328,HW3448,IF($B$265=$B$3329,HY3448,""))))))))))))))))))))))))))))))))))))))))))))))))))))</f>
        <v/>
      </c>
      <c r="EB3448" s="459" t="s">
        <v>885</v>
      </c>
    </row>
    <row r="3449" spans="1:132" ht="16" hidden="1" x14ac:dyDescent="0.4">
      <c r="A3449" s="813"/>
      <c r="BS3449" s="464" t="str">
        <f>IF($B$265=B$3278,BZ3448,IF($B$265=B$3279,CA3448,IF($B$265=B$3280,CB3448,IF($B$265=B$3281,CC3448,IF($B$265=B$3282,CD3448,IF($B$265=B$3283,CE3448,IF($B$265=B$3284,CF3448,IF($B$265=B$3285,CG3448,IF($B$265=B$3286,CH3448,IF($B$265=B$3287,CI3448,IF($B$265=B$3288,CJ3448,IF($B$265=B$3289,CK3448,IF($B$265=B$3290,CL3448,IF($B$265=B$3291,CM3448,IF($B$265=B$3292,CN3448,IF($B$265=B$3293,C2766,IF($B$265=B$3294,CO3448,IF($B$265=B$3295,CP3448,IF($B$265=B$3296,CQ3448,IF($B$265=B$3297,CR3448,IF($B$265=B$3298,CS3448,IF($B$265=B$3299,CT3448,IF(B$265=B$3300,CU3448,IF($B$265=B$3301,CV3448,IF($B$265=B$3302,CW3448,IF($B$265=B$3303,CX3448,IF($B$265=B$3304,CY3448,IF($B$265=B$3305,CZ3448,IF($B$265=B$3306,DA3448,IF($B$265=B$3307,DB3448,IF($B$265=B$3308,DC3448,IF($B$265=B$3309,DD3448,IF($B$265=B$3310,DE3448,IF($B$265=B$3311,DF3448,IF($B$265=B$3312,DG3448,IF($B$265=B$3313,DH3448,IF($B$265=B$3314,DI3448,IF($B$265=B$3315,DJ3448,IF($B$265=B$3316,DK3448,IF($B$265=B$3317,DL3448,IF($B$265=B$3318,DM3448,IF($B$265=B$3319,DN3448,IF($B$265=B$3320,DO3448,IF($B$265=B$3321,DP3448,IF($B$265=B$3322,DQ3448,IF($B$265=B$3323,DR3448,IF($B$265=B$3324,DS3448,IF($B$265=B$3325,DT3448,IF($B$265=B$3326,DU3448,IF($B$265=B$3327,DV3448,IF($B$265=B$3328,DW3448,IF($B$265=B$3329,DX3448,""))))))))))))))))))))))))))))))))))))))))))))))))))))</f>
        <v/>
      </c>
      <c r="BZ3449" s="245" t="s">
        <v>885</v>
      </c>
      <c r="CA3449" s="245" t="s">
        <v>885</v>
      </c>
      <c r="CC3449" s="245" t="s">
        <v>885</v>
      </c>
      <c r="CD3449" s="459" t="s">
        <v>885</v>
      </c>
      <c r="CE3449" s="459" t="s">
        <v>885</v>
      </c>
      <c r="CF3449" s="245" t="s">
        <v>885</v>
      </c>
      <c r="CG3449" s="245" t="s">
        <v>885</v>
      </c>
      <c r="CH3449" s="245" t="s">
        <v>885</v>
      </c>
      <c r="CI3449" s="245" t="s">
        <v>885</v>
      </c>
      <c r="CJ3449" t="s">
        <v>1855</v>
      </c>
      <c r="CK3449" s="459" t="s">
        <v>885</v>
      </c>
      <c r="CL3449" s="459" t="s">
        <v>885</v>
      </c>
      <c r="CM3449" s="459" t="s">
        <v>885</v>
      </c>
      <c r="CN3449" s="459" t="s">
        <v>885</v>
      </c>
      <c r="CO3449" s="459" t="s">
        <v>885</v>
      </c>
      <c r="CP3449" s="459" t="s">
        <v>885</v>
      </c>
      <c r="CQ3449" s="459" t="s">
        <v>885</v>
      </c>
      <c r="CR3449" s="459" t="s">
        <v>885</v>
      </c>
      <c r="CS3449" s="459" t="s">
        <v>885</v>
      </c>
      <c r="CT3449" s="245" t="s">
        <v>885</v>
      </c>
      <c r="CU3449" s="463" t="s">
        <v>885</v>
      </c>
      <c r="CV3449" s="245" t="s">
        <v>885</v>
      </c>
      <c r="CW3449" s="245" t="s">
        <v>885</v>
      </c>
      <c r="CX3449" s="459" t="s">
        <v>885</v>
      </c>
      <c r="CY3449" s="459" t="s">
        <v>885</v>
      </c>
      <c r="CZ3449" s="459" t="s">
        <v>885</v>
      </c>
      <c r="DA3449" s="459" t="s">
        <v>885</v>
      </c>
      <c r="DB3449" s="459" t="s">
        <v>885</v>
      </c>
      <c r="DC3449" s="459" t="s">
        <v>885</v>
      </c>
      <c r="DD3449" s="459" t="s">
        <v>885</v>
      </c>
      <c r="DE3449" s="459" t="s">
        <v>885</v>
      </c>
      <c r="DF3449" s="459" t="s">
        <v>885</v>
      </c>
      <c r="DG3449" s="459" t="s">
        <v>885</v>
      </c>
      <c r="DH3449" s="459" t="s">
        <v>885</v>
      </c>
      <c r="DI3449" s="459" t="s">
        <v>885</v>
      </c>
      <c r="DJ3449" s="459" t="s">
        <v>885</v>
      </c>
      <c r="DK3449" s="459" t="s">
        <v>885</v>
      </c>
      <c r="DL3449" s="459" t="s">
        <v>885</v>
      </c>
      <c r="DM3449" s="459" t="s">
        <v>885</v>
      </c>
      <c r="DN3449" s="459" t="s">
        <v>885</v>
      </c>
      <c r="DO3449" s="459" t="s">
        <v>885</v>
      </c>
      <c r="DP3449" t="s">
        <v>3022</v>
      </c>
      <c r="DQ3449" s="459" t="s">
        <v>885</v>
      </c>
      <c r="DR3449" s="459" t="s">
        <v>885</v>
      </c>
      <c r="DS3449" s="459" t="s">
        <v>885</v>
      </c>
      <c r="DT3449" s="459" t="s">
        <v>885</v>
      </c>
      <c r="DU3449" s="459" t="s">
        <v>885</v>
      </c>
      <c r="DV3449" s="459" t="s">
        <v>885</v>
      </c>
      <c r="DW3449" s="459" t="s">
        <v>885</v>
      </c>
      <c r="DX3449" s="245" t="s">
        <v>885</v>
      </c>
      <c r="DY3449" s="245"/>
      <c r="DZ3449" s="470" t="str">
        <f>IF($B$265=$B$3278,EB3449,IF($B$265=$B$3279,ED3449,IF($B$265=$B$3280,EF3449,IF($B$265=$B$3281,EH3449,IF($B$265=$B$3282,EJ3449,IF($B$265=$B$3283,EL3449,IF($B$265=$B$3284,EN3449,IF($B$265=$B$3285,EP3449,IF($B$265=$B$3286,ER3449,IF($B$265=$B$3287,ET3449,IF($B$265=$B$3288,EV3449,IF($B$265=$B$3289,EX3449,IF($B$265=$B$3290,EZ3449,IF($B$265=$B$3291,FB3449,IF($B$265=$B$3292,FD3449,IF($B$265=$B$3293,BU3449,IF($B$265=$B$3294,FF3449,IF($B$265=$B$3295,FH3449,IF($B$265=$B$3296,FJ3449,IF($B$265=$B$3297,FL3449,IF($B$265=$B$3298,FN3449,IF($B$265=$B$3299,FP3449,IF(BI$265=$B$3300,FR3449,IF($B$265=$B$3301,FT3449,IF($B$265=$B$3302,FV3449,IF($B$265=$B$3303,FX3449,IF($B$265=$B$3304,FZ3449,IF($B$265=$B$3305,GB3449,IF($B$265=$B$3306,GD3449,IF($B$265=$B$3307,GF3449,IF($B$265=$B$3308,GH3449,IF($B$265=$B$3309,GJ3449,IF($B$265=$B$3310,GL3449,IF($B$265=$B$3311,GN3449,IF($B$265=$B$3312,GP3449,IF($B$265=$B$3313,GR3449,IF($B$265=$B$3314,GT3449,IF($B$265=$B$3315,GV3449,IF($B$265=$B$3316,GX3449,IF($B$265=$B$3317,GZ3449,IF($B$265=$B$3318,HB3449,IF($B$265=$B$3319,HD3449,IF($B$265=$B$3320,HF3449,IF($B$265=$B$3321,HH3449,IF($B$265=$B$3322,HJ3449,IF($B$265=$B$3323,HL3449,IF($B$265=$B$3324,HN3449,IF($B$265=$B$3325,HP3449,IF($B$265=$B$3326,HR3449,IF($B$265=$B$3327,HT3449,IF($B$265=$B$3328,HV3449,IF($B$265=$B$3329,HX3449,""))))))))))))))))))))))))))))))))))))))))))))))))))))</f>
        <v/>
      </c>
      <c r="EA3449" s="470" t="str">
        <f>IF($B$265=$B$3278,EC3449,IF($B$265=$B$3279,EE3449,IF($B$265=$B$3280,EG3449,IF($B$265=$B$3281,EI3449,IF($B$265=$B$3282,EK3449,IF($B$265=$B$3283,EM3449,IF($B$265=$B$3284,EO3449,IF($B$265=$B$3285,EQ3449,IF($B$265=$B$3286,ES3449,IF($B$265=$B$3287,EU3449,IF($B$265=$B$3288,EW3449,IF($B$265=$B$3289,EY3449,IF($B$265=$B$3290,FA3449,IF($B$265=$B$3291,FC3449,IF($B$265=$B$3292,FE3449,IF($B$265=$B$3293,BK3449,IF($B$265=$B$3294,FG3449,IF($B$265=$B$3295,FI3449,IF($B$265=$B$3296,FK3449,IF($B$265=$B$3297,FM3449,IF($B$265=$B$3298,FO3449,IF($B$265=$B$3299,FQ3449,IF(BJ$265=$B$3300,FS3449,IF($B$265=$B$3301,FU3449,IF($B$265=$B$3302,FW3449,IF($B$265=$B$3303,FY3449,IF($B$265=$B$3304,GA3449,IF($B$265=$B$3305,GC3449,IF($B$265=$B$3306,GE3449,IF($B$265=$B$3307,GG3449,IF($B$265=$B$3308,GI3449,IF($B$265=$B$3309,GK3449,IF($B$265=$B$3310,GM3449,IF($B$265=$B$3311,GO3449,IF($B$265=$B$3312,GQ3449,IF($B$265=$B$3313,GS3449,IF($B$265=$B$3314,GU3449,IF($B$265=$B$3315,GW3449,IF($B$265=$B$3316,GY3449,IF($B$265=$B$3317,HA3449,IF($B$265=$B$3318,HC3449,IF($B$265=$B$3319,HE3449,IF($B$265=$B$3320,HG3449,IF($B$265=$B$3321,HI3449,IF($B$265=$B$3322,HK3449,IF($B$265=$B$3323,HM3449,IF($B$265=$B$3324,HO3449,IF($B$265=$B$3325,HQ3449,IF($B$265=$B$3326,HS3449,IF($B$265=$B$3327,HU3449,IF($B$265=$B$3328,HW3449,IF($B$265=$B$3329,HY3449,""))))))))))))))))))))))))))))))))))))))))))))))))))))</f>
        <v/>
      </c>
      <c r="EB3449" s="459" t="s">
        <v>885</v>
      </c>
    </row>
    <row r="3450" spans="1:132" ht="16" hidden="1" x14ac:dyDescent="0.4">
      <c r="A3450" s="813"/>
      <c r="BS3450" s="464" t="str">
        <f>IF($B$265=B$3278,BZ3449,IF($B$265=B$3279,CA3449,IF($B$265=B$3280,CB3449,IF($B$265=B$3281,CC3449,IF($B$265=B$3282,CD3449,IF($B$265=B$3283,CE3449,IF($B$265=B$3284,CF3449,IF($B$265=B$3285,CG3449,IF($B$265=B$3286,CH3449,IF($B$265=B$3287,CI3449,IF($B$265=B$3288,CJ3449,IF($B$265=B$3289,CK3449,IF($B$265=B$3290,CL3449,IF($B$265=B$3291,CM3449,IF($B$265=B$3292,CN3449,IF($B$265=B$3293,C2767,IF($B$265=B$3294,CO3449,IF($B$265=B$3295,CP3449,IF($B$265=B$3296,CQ3449,IF($B$265=B$3297,CR3449,IF($B$265=B$3298,CS3449,IF($B$265=B$3299,CT3449,IF(B$265=B$3300,CU3449,IF($B$265=B$3301,CV3449,IF($B$265=B$3302,CW3449,IF($B$265=B$3303,CX3449,IF($B$265=B$3304,CY3449,IF($B$265=B$3305,CZ3449,IF($B$265=B$3306,DA3449,IF($B$265=B$3307,DB3449,IF($B$265=B$3308,DC3449,IF($B$265=B$3309,DD3449,IF($B$265=B$3310,DE3449,IF($B$265=B$3311,DF3449,IF($B$265=B$3312,DG3449,IF($B$265=B$3313,DH3449,IF($B$265=B$3314,DI3449,IF($B$265=B$3315,DJ3449,IF($B$265=B$3316,DK3449,IF($B$265=B$3317,DL3449,IF($B$265=B$3318,DM3449,IF($B$265=B$3319,DN3449,IF($B$265=B$3320,DO3449,IF($B$265=B$3321,DP3449,IF($B$265=B$3322,DQ3449,IF($B$265=B$3323,DR3449,IF($B$265=B$3324,DS3449,IF($B$265=B$3325,DT3449,IF($B$265=B$3326,DU3449,IF($B$265=B$3327,DV3449,IF($B$265=B$3328,DW3449,IF($B$265=B$3329,DX3449,""))))))))))))))))))))))))))))))))))))))))))))))))))))</f>
        <v/>
      </c>
      <c r="BZ3450" s="245" t="s">
        <v>885</v>
      </c>
      <c r="CA3450" s="245" t="s">
        <v>885</v>
      </c>
      <c r="CC3450" s="245" t="s">
        <v>885</v>
      </c>
      <c r="CD3450" s="459" t="s">
        <v>885</v>
      </c>
      <c r="CE3450" s="459" t="s">
        <v>885</v>
      </c>
      <c r="CF3450" s="245" t="s">
        <v>885</v>
      </c>
      <c r="CG3450" s="245" t="s">
        <v>885</v>
      </c>
      <c r="CH3450" s="245" t="s">
        <v>885</v>
      </c>
      <c r="CI3450" s="245" t="s">
        <v>885</v>
      </c>
      <c r="CJ3450" t="s">
        <v>1856</v>
      </c>
      <c r="CK3450" s="459" t="s">
        <v>885</v>
      </c>
      <c r="CL3450" s="459" t="s">
        <v>885</v>
      </c>
      <c r="CM3450" s="459" t="s">
        <v>885</v>
      </c>
      <c r="CN3450" s="459" t="s">
        <v>885</v>
      </c>
      <c r="CO3450" s="459" t="s">
        <v>885</v>
      </c>
      <c r="CP3450" s="459" t="s">
        <v>885</v>
      </c>
      <c r="CQ3450" s="459" t="s">
        <v>885</v>
      </c>
      <c r="CR3450" s="459" t="s">
        <v>885</v>
      </c>
      <c r="CS3450" s="459" t="s">
        <v>885</v>
      </c>
      <c r="CT3450" s="245" t="s">
        <v>885</v>
      </c>
      <c r="CU3450" s="463" t="s">
        <v>885</v>
      </c>
      <c r="CV3450" s="245" t="s">
        <v>885</v>
      </c>
      <c r="CW3450" s="245" t="s">
        <v>885</v>
      </c>
      <c r="CX3450" s="459" t="s">
        <v>885</v>
      </c>
      <c r="CY3450" s="459" t="s">
        <v>885</v>
      </c>
      <c r="CZ3450" s="459" t="s">
        <v>885</v>
      </c>
      <c r="DA3450" s="459" t="s">
        <v>885</v>
      </c>
      <c r="DB3450" s="459" t="s">
        <v>885</v>
      </c>
      <c r="DC3450" s="459" t="s">
        <v>885</v>
      </c>
      <c r="DD3450" s="459" t="s">
        <v>885</v>
      </c>
      <c r="DE3450" s="459" t="s">
        <v>885</v>
      </c>
      <c r="DF3450" s="459" t="s">
        <v>885</v>
      </c>
      <c r="DG3450" s="459" t="s">
        <v>885</v>
      </c>
      <c r="DH3450" s="459" t="s">
        <v>885</v>
      </c>
      <c r="DI3450" s="459" t="s">
        <v>885</v>
      </c>
      <c r="DJ3450" s="459" t="s">
        <v>885</v>
      </c>
      <c r="DK3450" s="459" t="s">
        <v>885</v>
      </c>
      <c r="DL3450" s="459" t="s">
        <v>885</v>
      </c>
      <c r="DM3450" s="459" t="s">
        <v>885</v>
      </c>
      <c r="DN3450" s="459" t="s">
        <v>885</v>
      </c>
      <c r="DO3450" s="459" t="s">
        <v>885</v>
      </c>
      <c r="DP3450" t="s">
        <v>3023</v>
      </c>
      <c r="DQ3450" s="459" t="s">
        <v>885</v>
      </c>
      <c r="DR3450" s="459" t="s">
        <v>885</v>
      </c>
      <c r="DS3450" s="459" t="s">
        <v>885</v>
      </c>
      <c r="DT3450" s="459" t="s">
        <v>885</v>
      </c>
      <c r="DU3450" s="459" t="s">
        <v>885</v>
      </c>
      <c r="DV3450" s="459" t="s">
        <v>885</v>
      </c>
      <c r="DW3450" s="459" t="s">
        <v>885</v>
      </c>
      <c r="DX3450" s="245" t="s">
        <v>885</v>
      </c>
      <c r="DY3450" s="245"/>
      <c r="DZ3450" s="470" t="str">
        <f>IF($B$265=$B$3278,EB3450,IF($B$265=$B$3279,ED3450,IF($B$265=$B$3280,EF3450,IF($B$265=$B$3281,EH3450,IF($B$265=$B$3282,EJ3450,IF($B$265=$B$3283,EL3450,IF($B$265=$B$3284,EN3450,IF($B$265=$B$3285,EP3450,IF($B$265=$B$3286,ER3450,IF($B$265=$B$3287,ET3450,IF($B$265=$B$3288,EV3450,IF($B$265=$B$3289,EX3450,IF($B$265=$B$3290,EZ3450,IF($B$265=$B$3291,FB3450,IF($B$265=$B$3292,FD3450,IF($B$265=$B$3293,BU3450,IF($B$265=$B$3294,FF3450,IF($B$265=$B$3295,FH3450,IF($B$265=$B$3296,FJ3450,IF($B$265=$B$3297,FL3450,IF($B$265=$B$3298,FN3450,IF($B$265=$B$3299,FP3450,IF(BI$265=$B$3300,FR3450,IF($B$265=$B$3301,FT3450,IF($B$265=$B$3302,FV3450,IF($B$265=$B$3303,FX3450,IF($B$265=$B$3304,FZ3450,IF($B$265=$B$3305,GB3450,IF($B$265=$B$3306,GD3450,IF($B$265=$B$3307,GF3450,IF($B$265=$B$3308,GH3450,IF($B$265=$B$3309,GJ3450,IF($B$265=$B$3310,GL3450,IF($B$265=$B$3311,GN3450,IF($B$265=$B$3312,GP3450,IF($B$265=$B$3313,GR3450,IF($B$265=$B$3314,GT3450,IF($B$265=$B$3315,GV3450,IF($B$265=$B$3316,GX3450,IF($B$265=$B$3317,GZ3450,IF($B$265=$B$3318,HB3450,IF($B$265=$B$3319,HD3450,IF($B$265=$B$3320,HF3450,IF($B$265=$B$3321,HH3450,IF($B$265=$B$3322,HJ3450,IF($B$265=$B$3323,HL3450,IF($B$265=$B$3324,HN3450,IF($B$265=$B$3325,HP3450,IF($B$265=$B$3326,HR3450,IF($B$265=$B$3327,HT3450,IF($B$265=$B$3328,HV3450,IF($B$265=$B$3329,HX3450,""))))))))))))))))))))))))))))))))))))))))))))))))))))</f>
        <v/>
      </c>
      <c r="EA3450" s="470" t="str">
        <f>IF($B$265=$B$3278,EC3450,IF($B$265=$B$3279,EE3450,IF($B$265=$B$3280,EG3450,IF($B$265=$B$3281,EI3450,IF($B$265=$B$3282,EK3450,IF($B$265=$B$3283,EM3450,IF($B$265=$B$3284,EO3450,IF($B$265=$B$3285,EQ3450,IF($B$265=$B$3286,ES3450,IF($B$265=$B$3287,EU3450,IF($B$265=$B$3288,EW3450,IF($B$265=$B$3289,EY3450,IF($B$265=$B$3290,FA3450,IF($B$265=$B$3291,FC3450,IF($B$265=$B$3292,FE3450,IF($B$265=$B$3293,BK3450,IF($B$265=$B$3294,FG3450,IF($B$265=$B$3295,FI3450,IF($B$265=$B$3296,FK3450,IF($B$265=$B$3297,FM3450,IF($B$265=$B$3298,FO3450,IF($B$265=$B$3299,FQ3450,IF(BJ$265=$B$3300,FS3450,IF($B$265=$B$3301,FU3450,IF($B$265=$B$3302,FW3450,IF($B$265=$B$3303,FY3450,IF($B$265=$B$3304,GA3450,IF($B$265=$B$3305,GC3450,IF($B$265=$B$3306,GE3450,IF($B$265=$B$3307,GG3450,IF($B$265=$B$3308,GI3450,IF($B$265=$B$3309,GK3450,IF($B$265=$B$3310,GM3450,IF($B$265=$B$3311,GO3450,IF($B$265=$B$3312,GQ3450,IF($B$265=$B$3313,GS3450,IF($B$265=$B$3314,GU3450,IF($B$265=$B$3315,GW3450,IF($B$265=$B$3316,GY3450,IF($B$265=$B$3317,HA3450,IF($B$265=$B$3318,HC3450,IF($B$265=$B$3319,HE3450,IF($B$265=$B$3320,HG3450,IF($B$265=$B$3321,HI3450,IF($B$265=$B$3322,HK3450,IF($B$265=$B$3323,HM3450,IF($B$265=$B$3324,HO3450,IF($B$265=$B$3325,HQ3450,IF($B$265=$B$3326,HS3450,IF($B$265=$B$3327,HU3450,IF($B$265=$B$3328,HW3450,IF($B$265=$B$3329,HY3450,""))))))))))))))))))))))))))))))))))))))))))))))))))))</f>
        <v/>
      </c>
      <c r="EB3450" s="459" t="s">
        <v>885</v>
      </c>
    </row>
    <row r="3451" spans="1:132" ht="16" hidden="1" x14ac:dyDescent="0.4">
      <c r="A3451" s="813"/>
      <c r="BB3451" s="48"/>
      <c r="BS3451" s="464" t="str">
        <f>IF($B$265=B$3278,BZ3450,IF($B$265=B$3279,CA3450,IF($B$265=B$3280,CB3450,IF($B$265=B$3281,CC3450,IF($B$265=B$3282,CD3450,IF($B$265=B$3283,CE3450,IF($B$265=B$3284,CF3450,IF($B$265=B$3285,CG3450,IF($B$265=B$3286,CH3450,IF($B$265=B$3287,CI3450,IF($B$265=B$3288,CJ3450,IF($B$265=B$3289,CK3450,IF($B$265=B$3290,CL3450,IF($B$265=B$3291,CM3450,IF($B$265=B$3292,CN3450,IF($B$265=B$3293,C2768,IF($B$265=B$3294,CO3450,IF($B$265=B$3295,CP3450,IF($B$265=B$3296,CQ3450,IF($B$265=B$3297,CR3450,IF($B$265=B$3298,CS3450,IF($B$265=B$3299,CT3450,IF(B$265=B$3300,CU3450,IF($B$265=B$3301,CV3450,IF($B$265=B$3302,CW3450,IF($B$265=B$3303,CX3450,IF($B$265=B$3304,CY3450,IF($B$265=B$3305,CZ3450,IF($B$265=B$3306,DA3450,IF($B$265=B$3307,DB3450,IF($B$265=B$3308,DC3450,IF($B$265=B$3309,DD3450,IF($B$265=B$3310,DE3450,IF($B$265=B$3311,DF3450,IF($B$265=B$3312,DG3450,IF($B$265=B$3313,DH3450,IF($B$265=B$3314,DI3450,IF($B$265=B$3315,DJ3450,IF($B$265=B$3316,DK3450,IF($B$265=B$3317,DL3450,IF($B$265=B$3318,DM3450,IF($B$265=B$3319,DN3450,IF($B$265=B$3320,DO3450,IF($B$265=B$3321,DP3450,IF($B$265=B$3322,DQ3450,IF($B$265=B$3323,DR3450,IF($B$265=B$3324,DS3450,IF($B$265=B$3325,DT3450,IF($B$265=B$3326,DU3450,IF($B$265=B$3327,DV3450,IF($B$265=B$3328,DW3450,IF($B$265=B$3329,DX3450,""))))))))))))))))))))))))))))))))))))))))))))))))))))</f>
        <v/>
      </c>
      <c r="BZ3451" s="245" t="s">
        <v>885</v>
      </c>
      <c r="CA3451" s="245" t="s">
        <v>885</v>
      </c>
      <c r="CC3451" s="245" t="s">
        <v>885</v>
      </c>
      <c r="CD3451" s="459" t="s">
        <v>885</v>
      </c>
      <c r="CE3451" s="459" t="s">
        <v>885</v>
      </c>
      <c r="CF3451" s="245" t="s">
        <v>885</v>
      </c>
      <c r="CG3451" s="245" t="s">
        <v>885</v>
      </c>
      <c r="CH3451" s="245" t="s">
        <v>885</v>
      </c>
      <c r="CI3451" s="245" t="s">
        <v>885</v>
      </c>
      <c r="CJ3451" t="s">
        <v>1857</v>
      </c>
      <c r="CK3451" s="459" t="s">
        <v>885</v>
      </c>
      <c r="CL3451" s="459" t="s">
        <v>885</v>
      </c>
      <c r="CM3451" s="459" t="s">
        <v>885</v>
      </c>
      <c r="CN3451" s="459" t="s">
        <v>885</v>
      </c>
      <c r="CO3451" s="459" t="s">
        <v>885</v>
      </c>
      <c r="CP3451" s="459" t="s">
        <v>885</v>
      </c>
      <c r="CQ3451" s="459" t="s">
        <v>885</v>
      </c>
      <c r="CR3451" s="459" t="s">
        <v>885</v>
      </c>
      <c r="CS3451" s="459" t="s">
        <v>885</v>
      </c>
      <c r="CT3451" s="245" t="s">
        <v>885</v>
      </c>
      <c r="CU3451" s="463" t="s">
        <v>885</v>
      </c>
      <c r="CV3451" s="245" t="s">
        <v>885</v>
      </c>
      <c r="CW3451" s="245" t="s">
        <v>885</v>
      </c>
      <c r="CX3451" s="459" t="s">
        <v>885</v>
      </c>
      <c r="CY3451" s="459" t="s">
        <v>885</v>
      </c>
      <c r="CZ3451" s="459" t="s">
        <v>885</v>
      </c>
      <c r="DA3451" s="459" t="s">
        <v>885</v>
      </c>
      <c r="DB3451" s="459" t="s">
        <v>885</v>
      </c>
      <c r="DC3451" s="459" t="s">
        <v>885</v>
      </c>
      <c r="DD3451" s="459" t="s">
        <v>885</v>
      </c>
      <c r="DE3451" s="459" t="s">
        <v>885</v>
      </c>
      <c r="DF3451" s="459" t="s">
        <v>885</v>
      </c>
      <c r="DG3451" s="459" t="s">
        <v>885</v>
      </c>
      <c r="DH3451" s="459" t="s">
        <v>885</v>
      </c>
      <c r="DI3451" s="459" t="s">
        <v>885</v>
      </c>
      <c r="DJ3451" s="459" t="s">
        <v>885</v>
      </c>
      <c r="DK3451" s="459" t="s">
        <v>885</v>
      </c>
      <c r="DL3451" s="459" t="s">
        <v>885</v>
      </c>
      <c r="DM3451" s="459" t="s">
        <v>885</v>
      </c>
      <c r="DN3451" s="459" t="s">
        <v>885</v>
      </c>
      <c r="DO3451" s="459" t="s">
        <v>885</v>
      </c>
      <c r="DP3451" t="s">
        <v>3024</v>
      </c>
      <c r="DQ3451" s="459" t="s">
        <v>885</v>
      </c>
      <c r="DR3451" s="459" t="s">
        <v>885</v>
      </c>
      <c r="DS3451" s="459" t="s">
        <v>885</v>
      </c>
      <c r="DT3451" s="459" t="s">
        <v>885</v>
      </c>
      <c r="DU3451" s="459" t="s">
        <v>885</v>
      </c>
      <c r="DV3451" s="459" t="s">
        <v>885</v>
      </c>
      <c r="DW3451" s="459" t="s">
        <v>885</v>
      </c>
      <c r="DX3451" s="245" t="s">
        <v>885</v>
      </c>
      <c r="DY3451" s="245"/>
      <c r="DZ3451" s="470" t="str">
        <f>IF($B$265=$B$3278,EB3451,IF($B$265=$B$3279,ED3451,IF($B$265=$B$3280,EF3451,IF($B$265=$B$3281,EH3451,IF($B$265=$B$3282,EJ3451,IF($B$265=$B$3283,EL3451,IF($B$265=$B$3284,EN3451,IF($B$265=$B$3285,EP3451,IF($B$265=$B$3286,ER3451,IF($B$265=$B$3287,ET3451,IF($B$265=$B$3288,EV3451,IF($B$265=$B$3289,EX3451,IF($B$265=$B$3290,EZ3451,IF($B$265=$B$3291,FB3451,IF($B$265=$B$3292,FD3451,IF($B$265=$B$3293,BU3451,IF($B$265=$B$3294,FF3451,IF($B$265=$B$3295,FH3451,IF($B$265=$B$3296,FJ3451,IF($B$265=$B$3297,FL3451,IF($B$265=$B$3298,FN3451,IF($B$265=$B$3299,FP3451,IF(BI$265=$B$3300,FR3451,IF($B$265=$B$3301,FT3451,IF($B$265=$B$3302,FV3451,IF($B$265=$B$3303,FX3451,IF($B$265=$B$3304,FZ3451,IF($B$265=$B$3305,GB3451,IF($B$265=$B$3306,GD3451,IF($B$265=$B$3307,GF3451,IF($B$265=$B$3308,GH3451,IF($B$265=$B$3309,GJ3451,IF($B$265=$B$3310,GL3451,IF($B$265=$B$3311,GN3451,IF($B$265=$B$3312,GP3451,IF($B$265=$B$3313,GR3451,IF($B$265=$B$3314,GT3451,IF($B$265=$B$3315,GV3451,IF($B$265=$B$3316,GX3451,IF($B$265=$B$3317,GZ3451,IF($B$265=$B$3318,HB3451,IF($B$265=$B$3319,HD3451,IF($B$265=$B$3320,HF3451,IF($B$265=$B$3321,HH3451,IF($B$265=$B$3322,HJ3451,IF($B$265=$B$3323,HL3451,IF($B$265=$B$3324,HN3451,IF($B$265=$B$3325,HP3451,IF($B$265=$B$3326,HR3451,IF($B$265=$B$3327,HT3451,IF($B$265=$B$3328,HV3451,IF($B$265=$B$3329,HX3451,""))))))))))))))))))))))))))))))))))))))))))))))))))))</f>
        <v/>
      </c>
      <c r="EA3451" s="470" t="str">
        <f>IF($B$265=$B$3278,EC3451,IF($B$265=$B$3279,EE3451,IF($B$265=$B$3280,EG3451,IF($B$265=$B$3281,EI3451,IF($B$265=$B$3282,EK3451,IF($B$265=$B$3283,EM3451,IF($B$265=$B$3284,EO3451,IF($B$265=$B$3285,EQ3451,IF($B$265=$B$3286,ES3451,IF($B$265=$B$3287,EU3451,IF($B$265=$B$3288,EW3451,IF($B$265=$B$3289,EY3451,IF($B$265=$B$3290,FA3451,IF($B$265=$B$3291,FC3451,IF($B$265=$B$3292,FE3451,IF($B$265=$B$3293,BK3451,IF($B$265=$B$3294,FG3451,IF($B$265=$B$3295,FI3451,IF($B$265=$B$3296,FK3451,IF($B$265=$B$3297,FM3451,IF($B$265=$B$3298,FO3451,IF($B$265=$B$3299,FQ3451,IF(BJ$265=$B$3300,FS3451,IF($B$265=$B$3301,FU3451,IF($B$265=$B$3302,FW3451,IF($B$265=$B$3303,FY3451,IF($B$265=$B$3304,GA3451,IF($B$265=$B$3305,GC3451,IF($B$265=$B$3306,GE3451,IF($B$265=$B$3307,GG3451,IF($B$265=$B$3308,GI3451,IF($B$265=$B$3309,GK3451,IF($B$265=$B$3310,GM3451,IF($B$265=$B$3311,GO3451,IF($B$265=$B$3312,GQ3451,IF($B$265=$B$3313,GS3451,IF($B$265=$B$3314,GU3451,IF($B$265=$B$3315,GW3451,IF($B$265=$B$3316,GY3451,IF($B$265=$B$3317,HA3451,IF($B$265=$B$3318,HC3451,IF($B$265=$B$3319,HE3451,IF($B$265=$B$3320,HG3451,IF($B$265=$B$3321,HI3451,IF($B$265=$B$3322,HK3451,IF($B$265=$B$3323,HM3451,IF($B$265=$B$3324,HO3451,IF($B$265=$B$3325,HQ3451,IF($B$265=$B$3326,HS3451,IF($B$265=$B$3327,HU3451,IF($B$265=$B$3328,HW3451,IF($B$265=$B$3329,HY3451,""))))))))))))))))))))))))))))))))))))))))))))))))))))</f>
        <v/>
      </c>
      <c r="EB3451" s="459" t="s">
        <v>885</v>
      </c>
    </row>
    <row r="3452" spans="1:132" ht="16" hidden="1" x14ac:dyDescent="0.4">
      <c r="A3452" s="813"/>
      <c r="BB3452" s="48"/>
      <c r="BS3452" s="464" t="str">
        <f>IF($B$265=B$3278,BZ3451,IF($B$265=B$3279,CA3451,IF($B$265=B$3280,CB3451,IF($B$265=B$3281,CC3451,IF($B$265=B$3282,CD3451,IF($B$265=B$3283,CE3451,IF($B$265=B$3284,CF3451,IF($B$265=B$3285,CG3451,IF($B$265=B$3286,CH3451,IF($B$265=B$3287,CI3451,IF($B$265=B$3288,CJ3451,IF($B$265=B$3289,CK3451,IF($B$265=B$3290,CL3451,IF($B$265=B$3291,CM3451,IF($B$265=B$3292,CN3451,IF($B$265=B$3293,C2769,IF($B$265=B$3294,CO3451,IF($B$265=B$3295,CP3451,IF($B$265=B$3296,CQ3451,IF($B$265=B$3297,CR3451,IF($B$265=B$3298,CS3451,IF($B$265=B$3299,CT3451,IF(B$265=B$3300,CU3451,IF($B$265=B$3301,CV3451,IF($B$265=B$3302,CW3451,IF($B$265=B$3303,CX3451,IF($B$265=B$3304,CY3451,IF($B$265=B$3305,CZ3451,IF($B$265=B$3306,DA3451,IF($B$265=B$3307,DB3451,IF($B$265=B$3308,DC3451,IF($B$265=B$3309,DD3451,IF($B$265=B$3310,DE3451,IF($B$265=B$3311,DF3451,IF($B$265=B$3312,DG3451,IF($B$265=B$3313,DH3451,IF($B$265=B$3314,DI3451,IF($B$265=B$3315,DJ3451,IF($B$265=B$3316,DK3451,IF($B$265=B$3317,DL3451,IF($B$265=B$3318,DM3451,IF($B$265=B$3319,DN3451,IF($B$265=B$3320,DO3451,IF($B$265=B$3321,DP3451,IF($B$265=B$3322,DQ3451,IF($B$265=B$3323,DR3451,IF($B$265=B$3324,DS3451,IF($B$265=B$3325,DT3451,IF($B$265=B$3326,DU3451,IF($B$265=B$3327,DV3451,IF($B$265=B$3328,DW3451,IF($B$265=B$3329,DX3451,""))))))))))))))))))))))))))))))))))))))))))))))))))))</f>
        <v/>
      </c>
      <c r="BZ3452" s="245" t="s">
        <v>885</v>
      </c>
      <c r="CA3452" s="245" t="s">
        <v>885</v>
      </c>
      <c r="CC3452" s="245" t="s">
        <v>885</v>
      </c>
      <c r="CD3452" s="459" t="s">
        <v>885</v>
      </c>
      <c r="CE3452" s="459" t="s">
        <v>885</v>
      </c>
      <c r="CF3452" s="245" t="s">
        <v>885</v>
      </c>
      <c r="CG3452" s="245" t="s">
        <v>885</v>
      </c>
      <c r="CH3452" s="245" t="s">
        <v>885</v>
      </c>
      <c r="CI3452" s="245" t="s">
        <v>885</v>
      </c>
      <c r="CJ3452" t="s">
        <v>1581</v>
      </c>
      <c r="CK3452" s="459" t="s">
        <v>885</v>
      </c>
      <c r="CL3452" s="459" t="s">
        <v>885</v>
      </c>
      <c r="CM3452" s="459" t="s">
        <v>885</v>
      </c>
      <c r="CN3452" s="459" t="s">
        <v>885</v>
      </c>
      <c r="CO3452" s="459" t="s">
        <v>885</v>
      </c>
      <c r="CP3452" s="459" t="s">
        <v>885</v>
      </c>
      <c r="CQ3452" s="459" t="s">
        <v>885</v>
      </c>
      <c r="CR3452" s="459" t="s">
        <v>885</v>
      </c>
      <c r="CS3452" s="459" t="s">
        <v>885</v>
      </c>
      <c r="CT3452" s="245" t="s">
        <v>885</v>
      </c>
      <c r="CU3452" s="463" t="s">
        <v>885</v>
      </c>
      <c r="CV3452" s="245" t="s">
        <v>885</v>
      </c>
      <c r="CW3452" s="245" t="s">
        <v>885</v>
      </c>
      <c r="CX3452" s="459" t="s">
        <v>885</v>
      </c>
      <c r="CY3452" s="459" t="s">
        <v>885</v>
      </c>
      <c r="CZ3452" s="459" t="s">
        <v>885</v>
      </c>
      <c r="DA3452" s="459" t="s">
        <v>885</v>
      </c>
      <c r="DB3452" s="459" t="s">
        <v>885</v>
      </c>
      <c r="DC3452" s="459" t="s">
        <v>885</v>
      </c>
      <c r="DD3452" s="459" t="s">
        <v>885</v>
      </c>
      <c r="DE3452" s="459" t="s">
        <v>885</v>
      </c>
      <c r="DF3452" s="459" t="s">
        <v>885</v>
      </c>
      <c r="DG3452" s="459" t="s">
        <v>885</v>
      </c>
      <c r="DH3452" s="459" t="s">
        <v>885</v>
      </c>
      <c r="DI3452" s="459" t="s">
        <v>885</v>
      </c>
      <c r="DJ3452" s="459" t="s">
        <v>885</v>
      </c>
      <c r="DK3452" s="459" t="s">
        <v>885</v>
      </c>
      <c r="DL3452" s="459" t="s">
        <v>885</v>
      </c>
      <c r="DM3452" s="459" t="s">
        <v>885</v>
      </c>
      <c r="DN3452" s="459" t="s">
        <v>885</v>
      </c>
      <c r="DO3452" s="459" t="s">
        <v>885</v>
      </c>
      <c r="DP3452" t="s">
        <v>3025</v>
      </c>
      <c r="DQ3452" s="459" t="s">
        <v>885</v>
      </c>
      <c r="DR3452" s="459" t="s">
        <v>885</v>
      </c>
      <c r="DS3452" s="459" t="s">
        <v>885</v>
      </c>
      <c r="DT3452" s="459" t="s">
        <v>885</v>
      </c>
      <c r="DU3452" s="459" t="s">
        <v>885</v>
      </c>
      <c r="DV3452" s="459" t="s">
        <v>885</v>
      </c>
      <c r="DW3452" s="459" t="s">
        <v>885</v>
      </c>
      <c r="DX3452" s="245" t="s">
        <v>885</v>
      </c>
      <c r="DY3452" s="245"/>
      <c r="DZ3452" s="470" t="str">
        <f>IF($B$265=$B$3278,EB3452,IF($B$265=$B$3279,ED3452,IF($B$265=$B$3280,EF3452,IF($B$265=$B$3281,EH3452,IF($B$265=$B$3282,EJ3452,IF($B$265=$B$3283,EL3452,IF($B$265=$B$3284,EN3452,IF($B$265=$B$3285,EP3452,IF($B$265=$B$3286,ER3452,IF($B$265=$B$3287,ET3452,IF($B$265=$B$3288,EV3452,IF($B$265=$B$3289,EX3452,IF($B$265=$B$3290,EZ3452,IF($B$265=$B$3291,FB3452,IF($B$265=$B$3292,FD3452,IF($B$265=$B$3293,BU3452,IF($B$265=$B$3294,FF3452,IF($B$265=$B$3295,FH3452,IF($B$265=$B$3296,FJ3452,IF($B$265=$B$3297,FL3452,IF($B$265=$B$3298,FN3452,IF($B$265=$B$3299,FP3452,IF(BI$265=$B$3300,FR3452,IF($B$265=$B$3301,FT3452,IF($B$265=$B$3302,FV3452,IF($B$265=$B$3303,FX3452,IF($B$265=$B$3304,FZ3452,IF($B$265=$B$3305,GB3452,IF($B$265=$B$3306,GD3452,IF($B$265=$B$3307,GF3452,IF($B$265=$B$3308,GH3452,IF($B$265=$B$3309,GJ3452,IF($B$265=$B$3310,GL3452,IF($B$265=$B$3311,GN3452,IF($B$265=$B$3312,GP3452,IF($B$265=$B$3313,GR3452,IF($B$265=$B$3314,GT3452,IF($B$265=$B$3315,GV3452,IF($B$265=$B$3316,GX3452,IF($B$265=$B$3317,GZ3452,IF($B$265=$B$3318,HB3452,IF($B$265=$B$3319,HD3452,IF($B$265=$B$3320,HF3452,IF($B$265=$B$3321,HH3452,IF($B$265=$B$3322,HJ3452,IF($B$265=$B$3323,HL3452,IF($B$265=$B$3324,HN3452,IF($B$265=$B$3325,HP3452,IF($B$265=$B$3326,HR3452,IF($B$265=$B$3327,HT3452,IF($B$265=$B$3328,HV3452,IF($B$265=$B$3329,HX3452,""))))))))))))))))))))))))))))))))))))))))))))))))))))</f>
        <v/>
      </c>
      <c r="EA3452" s="470" t="str">
        <f>IF($B$265=$B$3278,EC3452,IF($B$265=$B$3279,EE3452,IF($B$265=$B$3280,EG3452,IF($B$265=$B$3281,EI3452,IF($B$265=$B$3282,EK3452,IF($B$265=$B$3283,EM3452,IF($B$265=$B$3284,EO3452,IF($B$265=$B$3285,EQ3452,IF($B$265=$B$3286,ES3452,IF($B$265=$B$3287,EU3452,IF($B$265=$B$3288,EW3452,IF($B$265=$B$3289,EY3452,IF($B$265=$B$3290,FA3452,IF($B$265=$B$3291,FC3452,IF($B$265=$B$3292,FE3452,IF($B$265=$B$3293,BK3452,IF($B$265=$B$3294,FG3452,IF($B$265=$B$3295,FI3452,IF($B$265=$B$3296,FK3452,IF($B$265=$B$3297,FM3452,IF($B$265=$B$3298,FO3452,IF($B$265=$B$3299,FQ3452,IF(BJ$265=$B$3300,FS3452,IF($B$265=$B$3301,FU3452,IF($B$265=$B$3302,FW3452,IF($B$265=$B$3303,FY3452,IF($B$265=$B$3304,GA3452,IF($B$265=$B$3305,GC3452,IF($B$265=$B$3306,GE3452,IF($B$265=$B$3307,GG3452,IF($B$265=$B$3308,GI3452,IF($B$265=$B$3309,GK3452,IF($B$265=$B$3310,GM3452,IF($B$265=$B$3311,GO3452,IF($B$265=$B$3312,GQ3452,IF($B$265=$B$3313,GS3452,IF($B$265=$B$3314,GU3452,IF($B$265=$B$3315,GW3452,IF($B$265=$B$3316,GY3452,IF($B$265=$B$3317,HA3452,IF($B$265=$B$3318,HC3452,IF($B$265=$B$3319,HE3452,IF($B$265=$B$3320,HG3452,IF($B$265=$B$3321,HI3452,IF($B$265=$B$3322,HK3452,IF($B$265=$B$3323,HM3452,IF($B$265=$B$3324,HO3452,IF($B$265=$B$3325,HQ3452,IF($B$265=$B$3326,HS3452,IF($B$265=$B$3327,HU3452,IF($B$265=$B$3328,HW3452,IF($B$265=$B$3329,HY3452,""))))))))))))))))))))))))))))))))))))))))))))))))))))</f>
        <v/>
      </c>
      <c r="EB3452" s="459" t="s">
        <v>885</v>
      </c>
    </row>
    <row r="3453" spans="1:132" ht="16" hidden="1" x14ac:dyDescent="0.4">
      <c r="A3453" s="813"/>
      <c r="BB3453" s="48"/>
      <c r="BS3453" s="464" t="str">
        <f>IF($B$265=B$3278,BZ3452,IF($B$265=B$3279,CA3452,IF($B$265=B$3280,CB3452,IF($B$265=B$3281,CC3452,IF($B$265=B$3282,CD3452,IF($B$265=B$3283,CE3452,IF($B$265=B$3284,CF3452,IF($B$265=B$3285,CG3452,IF($B$265=B$3286,CH3452,IF($B$265=B$3287,CI3452,IF($B$265=B$3288,CJ3452,IF($B$265=B$3289,CK3452,IF($B$265=B$3290,CL3452,IF($B$265=B$3291,CM3452,IF($B$265=B$3292,CN3452,IF($B$265=B$3293,D2759,IF($B$265=B$3294,CO3452,IF($B$265=B$3295,CP3452,IF($B$265=B$3296,CQ3452,IF($B$265=B$3297,CR3452,IF($B$265=B$3298,CS3452,IF($B$265=B$3299,CT3452,IF(B$265=B$3300,CU3452,IF($B$265=B$3301,CV3452,IF($B$265=B$3302,CW3452,IF($B$265=B$3303,CX3452,IF($B$265=B$3304,CY3452,IF($B$265=B$3305,CZ3452,IF($B$265=B$3306,DA3452,IF($B$265=B$3307,DB3452,IF($B$265=B$3308,DC3452,IF($B$265=B$3309,DD3452,IF($B$265=B$3310,DE3452,IF($B$265=B$3311,DF3452,IF($B$265=B$3312,DG3452,IF($B$265=B$3313,DH3452,IF($B$265=B$3314,DI3452,IF($B$265=B$3315,DJ3452,IF($B$265=B$3316,DK3452,IF($B$265=B$3317,DL3452,IF($B$265=B$3318,DM3452,IF($B$265=B$3319,DN3452,IF($B$265=B$3320,DO3452,IF($B$265=B$3321,DP3452,IF($B$265=B$3322,DQ3452,IF($B$265=B$3323,DR3452,IF($B$265=B$3324,DS3452,IF($B$265=B$3325,DT3452,IF($B$265=B$3326,DU3452,IF($B$265=B$3327,DV3452,IF($B$265=B$3328,DW3452,IF($B$265=B$3329,DX3452,""))))))))))))))))))))))))))))))))))))))))))))))))))))</f>
        <v/>
      </c>
      <c r="BZ3453" s="245" t="s">
        <v>885</v>
      </c>
      <c r="CA3453" s="245" t="s">
        <v>885</v>
      </c>
      <c r="CC3453" s="245" t="s">
        <v>885</v>
      </c>
      <c r="CD3453" s="459" t="s">
        <v>885</v>
      </c>
      <c r="CE3453" s="459" t="s">
        <v>885</v>
      </c>
      <c r="CF3453" s="245" t="s">
        <v>885</v>
      </c>
      <c r="CG3453" s="245" t="s">
        <v>885</v>
      </c>
      <c r="CH3453" s="245" t="s">
        <v>885</v>
      </c>
      <c r="CI3453" s="245" t="s">
        <v>885</v>
      </c>
      <c r="CJ3453" t="s">
        <v>1858</v>
      </c>
      <c r="CK3453" s="459" t="s">
        <v>885</v>
      </c>
      <c r="CL3453" s="459" t="s">
        <v>885</v>
      </c>
      <c r="CM3453" s="459" t="s">
        <v>885</v>
      </c>
      <c r="CN3453" s="459" t="s">
        <v>885</v>
      </c>
      <c r="CO3453" s="459" t="s">
        <v>885</v>
      </c>
      <c r="CP3453" s="459" t="s">
        <v>885</v>
      </c>
      <c r="CQ3453" s="459" t="s">
        <v>885</v>
      </c>
      <c r="CR3453" s="459" t="s">
        <v>885</v>
      </c>
      <c r="CS3453" s="459" t="s">
        <v>885</v>
      </c>
      <c r="CT3453" s="245" t="s">
        <v>885</v>
      </c>
      <c r="CU3453" s="463" t="s">
        <v>885</v>
      </c>
      <c r="CV3453" s="245" t="s">
        <v>885</v>
      </c>
      <c r="CW3453" s="245" t="s">
        <v>885</v>
      </c>
      <c r="CX3453" s="459" t="s">
        <v>885</v>
      </c>
      <c r="CY3453" s="459" t="s">
        <v>885</v>
      </c>
      <c r="CZ3453" s="459" t="s">
        <v>885</v>
      </c>
      <c r="DA3453" s="459" t="s">
        <v>885</v>
      </c>
      <c r="DB3453" s="459" t="s">
        <v>885</v>
      </c>
      <c r="DC3453" s="459" t="s">
        <v>885</v>
      </c>
      <c r="DD3453" s="459" t="s">
        <v>885</v>
      </c>
      <c r="DE3453" s="459" t="s">
        <v>885</v>
      </c>
      <c r="DF3453" s="459" t="s">
        <v>885</v>
      </c>
      <c r="DG3453" s="459" t="s">
        <v>885</v>
      </c>
      <c r="DH3453" s="459" t="s">
        <v>885</v>
      </c>
      <c r="DI3453" s="459" t="s">
        <v>885</v>
      </c>
      <c r="DJ3453" s="459" t="s">
        <v>885</v>
      </c>
      <c r="DK3453" s="459" t="s">
        <v>885</v>
      </c>
      <c r="DL3453" s="459" t="s">
        <v>885</v>
      </c>
      <c r="DM3453" s="459" t="s">
        <v>885</v>
      </c>
      <c r="DN3453" s="459" t="s">
        <v>885</v>
      </c>
      <c r="DO3453" s="459" t="s">
        <v>885</v>
      </c>
      <c r="DP3453" t="s">
        <v>3026</v>
      </c>
      <c r="DQ3453" s="459" t="s">
        <v>885</v>
      </c>
      <c r="DR3453" s="459" t="s">
        <v>885</v>
      </c>
      <c r="DS3453" s="459" t="s">
        <v>885</v>
      </c>
      <c r="DT3453" s="459" t="s">
        <v>885</v>
      </c>
      <c r="DU3453" s="459" t="s">
        <v>885</v>
      </c>
      <c r="DV3453" s="459" t="s">
        <v>885</v>
      </c>
      <c r="DW3453" s="459" t="s">
        <v>885</v>
      </c>
      <c r="DX3453" s="245" t="s">
        <v>885</v>
      </c>
      <c r="DY3453" s="245"/>
      <c r="DZ3453" s="470" t="str">
        <f>IF($B$265=$B$3278,EB3453,IF($B$265=$B$3279,ED3453,IF($B$265=$B$3280,EF3453,IF($B$265=$B$3281,EH3453,IF($B$265=$B$3282,EJ3453,IF($B$265=$B$3283,EL3453,IF($B$265=$B$3284,EN3453,IF($B$265=$B$3285,EP3453,IF($B$265=$B$3286,ER3453,IF($B$265=$B$3287,ET3453,IF($B$265=$B$3288,EV3453,IF($B$265=$B$3289,EX3453,IF($B$265=$B$3290,EZ3453,IF($B$265=$B$3291,FB3453,IF($B$265=$B$3292,FD3453,IF($B$265=$B$3293,BU3453,IF($B$265=$B$3294,FF3453,IF($B$265=$B$3295,FH3453,IF($B$265=$B$3296,FJ3453,IF($B$265=$B$3297,FL3453,IF($B$265=$B$3298,FN3453,IF($B$265=$B$3299,FP3453,IF(BI$265=$B$3300,FR3453,IF($B$265=$B$3301,FT3453,IF($B$265=$B$3302,FV3453,IF($B$265=$B$3303,FX3453,IF($B$265=$B$3304,FZ3453,IF($B$265=$B$3305,GB3453,IF($B$265=$B$3306,GD3453,IF($B$265=$B$3307,GF3453,IF($B$265=$B$3308,GH3453,IF($B$265=$B$3309,GJ3453,IF($B$265=$B$3310,GL3453,IF($B$265=$B$3311,GN3453,IF($B$265=$B$3312,GP3453,IF($B$265=$B$3313,GR3453,IF($B$265=$B$3314,GT3453,IF($B$265=$B$3315,GV3453,IF($B$265=$B$3316,GX3453,IF($B$265=$B$3317,GZ3453,IF($B$265=$B$3318,HB3453,IF($B$265=$B$3319,HD3453,IF($B$265=$B$3320,HF3453,IF($B$265=$B$3321,HH3453,IF($B$265=$B$3322,HJ3453,IF($B$265=$B$3323,HL3453,IF($B$265=$B$3324,HN3453,IF($B$265=$B$3325,HP3453,IF($B$265=$B$3326,HR3453,IF($B$265=$B$3327,HT3453,IF($B$265=$B$3328,HV3453,IF($B$265=$B$3329,HX3453,""))))))))))))))))))))))))))))))))))))))))))))))))))))</f>
        <v/>
      </c>
      <c r="EA3453" s="470" t="str">
        <f>IF($B$265=$B$3278,EC3453,IF($B$265=$B$3279,EE3453,IF($B$265=$B$3280,EG3453,IF($B$265=$B$3281,EI3453,IF($B$265=$B$3282,EK3453,IF($B$265=$B$3283,EM3453,IF($B$265=$B$3284,EO3453,IF($B$265=$B$3285,EQ3453,IF($B$265=$B$3286,ES3453,IF($B$265=$B$3287,EU3453,IF($B$265=$B$3288,EW3453,IF($B$265=$B$3289,EY3453,IF($B$265=$B$3290,FA3453,IF($B$265=$B$3291,FC3453,IF($B$265=$B$3292,FE3453,IF($B$265=$B$3293,BK3453,IF($B$265=$B$3294,FG3453,IF($B$265=$B$3295,FI3453,IF($B$265=$B$3296,FK3453,IF($B$265=$B$3297,FM3453,IF($B$265=$B$3298,FO3453,IF($B$265=$B$3299,FQ3453,IF(BJ$265=$B$3300,FS3453,IF($B$265=$B$3301,FU3453,IF($B$265=$B$3302,FW3453,IF($B$265=$B$3303,FY3453,IF($B$265=$B$3304,GA3453,IF($B$265=$B$3305,GC3453,IF($B$265=$B$3306,GE3453,IF($B$265=$B$3307,GG3453,IF($B$265=$B$3308,GI3453,IF($B$265=$B$3309,GK3453,IF($B$265=$B$3310,GM3453,IF($B$265=$B$3311,GO3453,IF($B$265=$B$3312,GQ3453,IF($B$265=$B$3313,GS3453,IF($B$265=$B$3314,GU3453,IF($B$265=$B$3315,GW3453,IF($B$265=$B$3316,GY3453,IF($B$265=$B$3317,HA3453,IF($B$265=$B$3318,HC3453,IF($B$265=$B$3319,HE3453,IF($B$265=$B$3320,HG3453,IF($B$265=$B$3321,HI3453,IF($B$265=$B$3322,HK3453,IF($B$265=$B$3323,HM3453,IF($B$265=$B$3324,HO3453,IF($B$265=$B$3325,HQ3453,IF($B$265=$B$3326,HS3453,IF($B$265=$B$3327,HU3453,IF($B$265=$B$3328,HW3453,IF($B$265=$B$3329,HY3453,""))))))))))))))))))))))))))))))))))))))))))))))))))))</f>
        <v/>
      </c>
      <c r="EB3453" s="459" t="s">
        <v>885</v>
      </c>
    </row>
    <row r="3454" spans="1:132" ht="16" hidden="1" x14ac:dyDescent="0.4">
      <c r="A3454" s="813"/>
      <c r="BB3454" s="48"/>
      <c r="BS3454" s="464" t="str">
        <f>IF($B$265=B$3278,BZ3453,IF($B$265=B$3279,CA3453,IF($B$265=B$3280,CB3453,IF($B$265=B$3281,CC3453,IF($B$265=B$3282,CD3453,IF($B$265=B$3283,CE3453,IF($B$265=B$3284,CF3453,IF($B$265=B$3285,CG3453,IF($B$265=B$3286,CH3453,IF($B$265=B$3287,CI3453,IF($B$265=B$3288,CJ3453,IF($B$265=B$3289,CK3453,IF($B$265=B$3290,CL3453,IF($B$265=B$3291,CM3453,IF($B$265=B$3292,CN3453,IF($B$265=B$3293,D2760,IF($B$265=B$3294,CO3453,IF($B$265=B$3295,CP3453,IF($B$265=B$3296,CQ3453,IF($B$265=B$3297,CR3453,IF($B$265=B$3298,CS3453,IF($B$265=B$3299,CT3453,IF(B$265=B$3300,CU3453,IF($B$265=B$3301,CV3453,IF($B$265=B$3302,CW3453,IF($B$265=B$3303,CX3453,IF($B$265=B$3304,CY3453,IF($B$265=B$3305,CZ3453,IF($B$265=B$3306,DA3453,IF($B$265=B$3307,DB3453,IF($B$265=B$3308,DC3453,IF($B$265=B$3309,DD3453,IF($B$265=B$3310,DE3453,IF($B$265=B$3311,DF3453,IF($B$265=B$3312,DG3453,IF($B$265=B$3313,DH3453,IF($B$265=B$3314,DI3453,IF($B$265=B$3315,DJ3453,IF($B$265=B$3316,DK3453,IF($B$265=B$3317,DL3453,IF($B$265=B$3318,DM3453,IF($B$265=B$3319,DN3453,IF($B$265=B$3320,DO3453,IF($B$265=B$3321,DP3453,IF($B$265=B$3322,DQ3453,IF($B$265=B$3323,DR3453,IF($B$265=B$3324,DS3453,IF($B$265=B$3325,DT3453,IF($B$265=B$3326,DU3453,IF($B$265=B$3327,DV3453,IF($B$265=B$3328,DW3453,IF($B$265=B$3329,DX3453,""))))))))))))))))))))))))))))))))))))))))))))))))))))</f>
        <v/>
      </c>
      <c r="BZ3454" s="245" t="s">
        <v>885</v>
      </c>
      <c r="CA3454" s="245" t="s">
        <v>885</v>
      </c>
      <c r="CC3454" s="245" t="s">
        <v>885</v>
      </c>
      <c r="CD3454" s="459" t="s">
        <v>885</v>
      </c>
      <c r="CE3454" s="459" t="s">
        <v>885</v>
      </c>
      <c r="CF3454" s="245" t="s">
        <v>885</v>
      </c>
      <c r="CG3454" s="245" t="s">
        <v>885</v>
      </c>
      <c r="CH3454" s="245" t="s">
        <v>885</v>
      </c>
      <c r="CI3454" s="245" t="s">
        <v>885</v>
      </c>
      <c r="CJ3454" t="s">
        <v>1496</v>
      </c>
      <c r="CK3454" s="459" t="s">
        <v>885</v>
      </c>
      <c r="CL3454" s="459" t="s">
        <v>885</v>
      </c>
      <c r="CM3454" s="459" t="s">
        <v>885</v>
      </c>
      <c r="CN3454" s="459" t="s">
        <v>885</v>
      </c>
      <c r="CO3454" s="459" t="s">
        <v>885</v>
      </c>
      <c r="CP3454" s="459" t="s">
        <v>885</v>
      </c>
      <c r="CQ3454" s="459" t="s">
        <v>885</v>
      </c>
      <c r="CR3454" s="459" t="s">
        <v>885</v>
      </c>
      <c r="CS3454" s="459" t="s">
        <v>885</v>
      </c>
      <c r="CT3454" s="245" t="s">
        <v>885</v>
      </c>
      <c r="CU3454" s="463" t="s">
        <v>885</v>
      </c>
      <c r="CV3454" s="245" t="s">
        <v>885</v>
      </c>
      <c r="CW3454" s="245" t="s">
        <v>885</v>
      </c>
      <c r="CX3454" s="459" t="s">
        <v>885</v>
      </c>
      <c r="CY3454" s="459" t="s">
        <v>885</v>
      </c>
      <c r="CZ3454" s="459" t="s">
        <v>885</v>
      </c>
      <c r="DA3454" s="459" t="s">
        <v>885</v>
      </c>
      <c r="DB3454" s="459" t="s">
        <v>885</v>
      </c>
      <c r="DC3454" s="459" t="s">
        <v>885</v>
      </c>
      <c r="DD3454" s="459" t="s">
        <v>885</v>
      </c>
      <c r="DE3454" s="459" t="s">
        <v>885</v>
      </c>
      <c r="DF3454" s="459" t="s">
        <v>885</v>
      </c>
      <c r="DG3454" s="459" t="s">
        <v>885</v>
      </c>
      <c r="DH3454" s="459" t="s">
        <v>885</v>
      </c>
      <c r="DI3454" s="459" t="s">
        <v>885</v>
      </c>
      <c r="DJ3454" s="459" t="s">
        <v>885</v>
      </c>
      <c r="DK3454" s="459" t="s">
        <v>885</v>
      </c>
      <c r="DL3454" s="459" t="s">
        <v>885</v>
      </c>
      <c r="DM3454" s="459" t="s">
        <v>885</v>
      </c>
      <c r="DN3454" s="459" t="s">
        <v>885</v>
      </c>
      <c r="DO3454" s="459" t="s">
        <v>885</v>
      </c>
      <c r="DP3454" t="s">
        <v>3027</v>
      </c>
      <c r="DQ3454" s="459" t="s">
        <v>885</v>
      </c>
      <c r="DR3454" s="459" t="s">
        <v>885</v>
      </c>
      <c r="DS3454" s="459" t="s">
        <v>885</v>
      </c>
      <c r="DT3454" s="459" t="s">
        <v>885</v>
      </c>
      <c r="DU3454" s="459" t="s">
        <v>885</v>
      </c>
      <c r="DV3454" s="459" t="s">
        <v>885</v>
      </c>
      <c r="DW3454" s="459" t="s">
        <v>885</v>
      </c>
      <c r="DX3454" s="245" t="s">
        <v>885</v>
      </c>
      <c r="DY3454" s="245"/>
      <c r="DZ3454" s="470" t="str">
        <f>IF($B$265=$B$3278,EB3454,IF($B$265=$B$3279,ED3454,IF($B$265=$B$3280,EF3454,IF($B$265=$B$3281,EH3454,IF($B$265=$B$3282,EJ3454,IF($B$265=$B$3283,EL3454,IF($B$265=$B$3284,EN3454,IF($B$265=$B$3285,EP3454,IF($B$265=$B$3286,ER3454,IF($B$265=$B$3287,ET3454,IF($B$265=$B$3288,EV3454,IF($B$265=$B$3289,EX3454,IF($B$265=$B$3290,EZ3454,IF($B$265=$B$3291,FB3454,IF($B$265=$B$3292,FD3454,IF($B$265=$B$3293,BU3454,IF($B$265=$B$3294,FF3454,IF($B$265=$B$3295,FH3454,IF($B$265=$B$3296,FJ3454,IF($B$265=$B$3297,FL3454,IF($B$265=$B$3298,FN3454,IF($B$265=$B$3299,FP3454,IF(BI$265=$B$3300,FR3454,IF($B$265=$B$3301,FT3454,IF($B$265=$B$3302,FV3454,IF($B$265=$B$3303,FX3454,IF($B$265=$B$3304,FZ3454,IF($B$265=$B$3305,GB3454,IF($B$265=$B$3306,GD3454,IF($B$265=$B$3307,GF3454,IF($B$265=$B$3308,GH3454,IF($B$265=$B$3309,GJ3454,IF($B$265=$B$3310,GL3454,IF($B$265=$B$3311,GN3454,IF($B$265=$B$3312,GP3454,IF($B$265=$B$3313,GR3454,IF($B$265=$B$3314,GT3454,IF($B$265=$B$3315,GV3454,IF($B$265=$B$3316,GX3454,IF($B$265=$B$3317,GZ3454,IF($B$265=$B$3318,HB3454,IF($B$265=$B$3319,HD3454,IF($B$265=$B$3320,HF3454,IF($B$265=$B$3321,HH3454,IF($B$265=$B$3322,HJ3454,IF($B$265=$B$3323,HL3454,IF($B$265=$B$3324,HN3454,IF($B$265=$B$3325,HP3454,IF($B$265=$B$3326,HR3454,IF($B$265=$B$3327,HT3454,IF($B$265=$B$3328,HV3454,IF($B$265=$B$3329,HX3454,""))))))))))))))))))))))))))))))))))))))))))))))))))))</f>
        <v/>
      </c>
      <c r="EA3454" s="470" t="str">
        <f>IF($B$265=$B$3278,EC3454,IF($B$265=$B$3279,EE3454,IF($B$265=$B$3280,EG3454,IF($B$265=$B$3281,EI3454,IF($B$265=$B$3282,EK3454,IF($B$265=$B$3283,EM3454,IF($B$265=$B$3284,EO3454,IF($B$265=$B$3285,EQ3454,IF($B$265=$B$3286,ES3454,IF($B$265=$B$3287,EU3454,IF($B$265=$B$3288,EW3454,IF($B$265=$B$3289,EY3454,IF($B$265=$B$3290,FA3454,IF($B$265=$B$3291,FC3454,IF($B$265=$B$3292,FE3454,IF($B$265=$B$3293,BK3454,IF($B$265=$B$3294,FG3454,IF($B$265=$B$3295,FI3454,IF($B$265=$B$3296,FK3454,IF($B$265=$B$3297,FM3454,IF($B$265=$B$3298,FO3454,IF($B$265=$B$3299,FQ3454,IF(BJ$265=$B$3300,FS3454,IF($B$265=$B$3301,FU3454,IF($B$265=$B$3302,FW3454,IF($B$265=$B$3303,FY3454,IF($B$265=$B$3304,GA3454,IF($B$265=$B$3305,GC3454,IF($B$265=$B$3306,GE3454,IF($B$265=$B$3307,GG3454,IF($B$265=$B$3308,GI3454,IF($B$265=$B$3309,GK3454,IF($B$265=$B$3310,GM3454,IF($B$265=$B$3311,GO3454,IF($B$265=$B$3312,GQ3454,IF($B$265=$B$3313,GS3454,IF($B$265=$B$3314,GU3454,IF($B$265=$B$3315,GW3454,IF($B$265=$B$3316,GY3454,IF($B$265=$B$3317,HA3454,IF($B$265=$B$3318,HC3454,IF($B$265=$B$3319,HE3454,IF($B$265=$B$3320,HG3454,IF($B$265=$B$3321,HI3454,IF($B$265=$B$3322,HK3454,IF($B$265=$B$3323,HM3454,IF($B$265=$B$3324,HO3454,IF($B$265=$B$3325,HQ3454,IF($B$265=$B$3326,HS3454,IF($B$265=$B$3327,HU3454,IF($B$265=$B$3328,HW3454,IF($B$265=$B$3329,HY3454,""))))))))))))))))))))))))))))))))))))))))))))))))))))</f>
        <v/>
      </c>
      <c r="EB3454" s="459" t="s">
        <v>885</v>
      </c>
    </row>
    <row r="3455" spans="1:132" ht="16" hidden="1" x14ac:dyDescent="0.4">
      <c r="A3455" s="813"/>
      <c r="BB3455" s="48"/>
      <c r="BS3455" s="464" t="str">
        <f>IF($B$265=B$3278,BZ3454,IF($B$265=B$3279,CA3454,IF($B$265=B$3280,CB3454,IF($B$265=B$3281,CC3454,IF($B$265=B$3282,CD3454,IF($B$265=B$3283,CE3454,IF($B$265=B$3284,CF3454,IF($B$265=B$3285,CG3454,IF($B$265=B$3286,CH3454,IF($B$265=B$3287,CI3454,IF($B$265=B$3288,CJ3454,IF($B$265=B$3289,CK3454,IF($B$265=B$3290,CL3454,IF($B$265=B$3291,CM3454,IF($B$265=B$3292,CN3454,IF($B$265=B$3293,D2761,IF($B$265=B$3294,CO3454,IF($B$265=B$3295,CP3454,IF($B$265=B$3296,CQ3454,IF($B$265=B$3297,CR3454,IF($B$265=B$3298,CS3454,IF($B$265=B$3299,CT3454,IF(B$265=B$3300,CU3454,IF($B$265=B$3301,CV3454,IF($B$265=B$3302,CW3454,IF($B$265=B$3303,CX3454,IF($B$265=B$3304,CY3454,IF($B$265=B$3305,CZ3454,IF($B$265=B$3306,DA3454,IF($B$265=B$3307,DB3454,IF($B$265=B$3308,DC3454,IF($B$265=B$3309,DD3454,IF($B$265=B$3310,DE3454,IF($B$265=B$3311,DF3454,IF($B$265=B$3312,DG3454,IF($B$265=B$3313,DH3454,IF($B$265=B$3314,DI3454,IF($B$265=B$3315,DJ3454,IF($B$265=B$3316,DK3454,IF($B$265=B$3317,DL3454,IF($B$265=B$3318,DM3454,IF($B$265=B$3319,DN3454,IF($B$265=B$3320,DO3454,IF($B$265=B$3321,DP3454,IF($B$265=B$3322,DQ3454,IF($B$265=B$3323,DR3454,IF($B$265=B$3324,DS3454,IF($B$265=B$3325,DT3454,IF($B$265=B$3326,DU3454,IF($B$265=B$3327,DV3454,IF($B$265=B$3328,DW3454,IF($B$265=B$3329,DX3454,""))))))))))))))))))))))))))))))))))))))))))))))))))))</f>
        <v/>
      </c>
      <c r="BZ3455" s="245" t="s">
        <v>885</v>
      </c>
      <c r="CA3455" s="245" t="s">
        <v>885</v>
      </c>
      <c r="CC3455" s="245" t="s">
        <v>885</v>
      </c>
      <c r="CD3455" s="459" t="s">
        <v>885</v>
      </c>
      <c r="CE3455" s="459" t="s">
        <v>885</v>
      </c>
      <c r="CF3455" s="245" t="s">
        <v>885</v>
      </c>
      <c r="CG3455" s="245" t="s">
        <v>885</v>
      </c>
      <c r="CH3455" s="245" t="s">
        <v>885</v>
      </c>
      <c r="CI3455" s="245" t="s">
        <v>885</v>
      </c>
      <c r="CJ3455" t="s">
        <v>1859</v>
      </c>
      <c r="CK3455" s="459" t="s">
        <v>885</v>
      </c>
      <c r="CL3455" s="459" t="s">
        <v>885</v>
      </c>
      <c r="CM3455" s="459" t="s">
        <v>885</v>
      </c>
      <c r="CN3455" s="459" t="s">
        <v>885</v>
      </c>
      <c r="CO3455" s="459" t="s">
        <v>885</v>
      </c>
      <c r="CP3455" s="459" t="s">
        <v>885</v>
      </c>
      <c r="CQ3455" s="459" t="s">
        <v>885</v>
      </c>
      <c r="CR3455" s="459" t="s">
        <v>885</v>
      </c>
      <c r="CS3455" s="459" t="s">
        <v>885</v>
      </c>
      <c r="CT3455" s="245" t="s">
        <v>885</v>
      </c>
      <c r="CU3455" s="463" t="s">
        <v>885</v>
      </c>
      <c r="CV3455" s="245" t="s">
        <v>885</v>
      </c>
      <c r="CW3455" s="245" t="s">
        <v>885</v>
      </c>
      <c r="CX3455" s="459" t="s">
        <v>885</v>
      </c>
      <c r="CY3455" s="459" t="s">
        <v>885</v>
      </c>
      <c r="CZ3455" s="459" t="s">
        <v>885</v>
      </c>
      <c r="DA3455" s="459" t="s">
        <v>885</v>
      </c>
      <c r="DB3455" s="459" t="s">
        <v>885</v>
      </c>
      <c r="DC3455" s="459" t="s">
        <v>885</v>
      </c>
      <c r="DD3455" s="459" t="s">
        <v>885</v>
      </c>
      <c r="DE3455" s="459" t="s">
        <v>885</v>
      </c>
      <c r="DF3455" s="459" t="s">
        <v>885</v>
      </c>
      <c r="DG3455" s="459" t="s">
        <v>885</v>
      </c>
      <c r="DH3455" s="459" t="s">
        <v>885</v>
      </c>
      <c r="DI3455" s="459" t="s">
        <v>885</v>
      </c>
      <c r="DJ3455" s="459" t="s">
        <v>885</v>
      </c>
      <c r="DK3455" s="459" t="s">
        <v>885</v>
      </c>
      <c r="DL3455" s="459" t="s">
        <v>885</v>
      </c>
      <c r="DM3455" s="459" t="s">
        <v>885</v>
      </c>
      <c r="DN3455" s="459" t="s">
        <v>885</v>
      </c>
      <c r="DO3455" s="459" t="s">
        <v>885</v>
      </c>
      <c r="DP3455" t="s">
        <v>1475</v>
      </c>
      <c r="DQ3455" s="459" t="s">
        <v>885</v>
      </c>
      <c r="DR3455" s="459" t="s">
        <v>885</v>
      </c>
      <c r="DS3455" s="459" t="s">
        <v>885</v>
      </c>
      <c r="DT3455" s="459" t="s">
        <v>885</v>
      </c>
      <c r="DU3455" s="459" t="s">
        <v>885</v>
      </c>
      <c r="DV3455" s="459" t="s">
        <v>885</v>
      </c>
      <c r="DW3455" s="459" t="s">
        <v>885</v>
      </c>
      <c r="DX3455" s="245" t="s">
        <v>885</v>
      </c>
      <c r="DY3455" s="245"/>
      <c r="DZ3455" s="470" t="str">
        <f>IF($B$265=$B$3278,EB3455,IF($B$265=$B$3279,ED3455,IF($B$265=$B$3280,EF3455,IF($B$265=$B$3281,EH3455,IF($B$265=$B$3282,EJ3455,IF($B$265=$B$3283,EL3455,IF($B$265=$B$3284,EN3455,IF($B$265=$B$3285,EP3455,IF($B$265=$B$3286,ER3455,IF($B$265=$B$3287,ET3455,IF($B$265=$B$3288,EV3455,IF($B$265=$B$3289,EX3455,IF($B$265=$B$3290,EZ3455,IF($B$265=$B$3291,FB3455,IF($B$265=$B$3292,FD3455,IF($B$265=$B$3293,BU3455,IF($B$265=$B$3294,FF3455,IF($B$265=$B$3295,FH3455,IF($B$265=$B$3296,FJ3455,IF($B$265=$B$3297,FL3455,IF($B$265=$B$3298,FN3455,IF($B$265=$B$3299,FP3455,IF(BI$265=$B$3300,FR3455,IF($B$265=$B$3301,FT3455,IF($B$265=$B$3302,FV3455,IF($B$265=$B$3303,FX3455,IF($B$265=$B$3304,FZ3455,IF($B$265=$B$3305,GB3455,IF($B$265=$B$3306,GD3455,IF($B$265=$B$3307,GF3455,IF($B$265=$B$3308,GH3455,IF($B$265=$B$3309,GJ3455,IF($B$265=$B$3310,GL3455,IF($B$265=$B$3311,GN3455,IF($B$265=$B$3312,GP3455,IF($B$265=$B$3313,GR3455,IF($B$265=$B$3314,GT3455,IF($B$265=$B$3315,GV3455,IF($B$265=$B$3316,GX3455,IF($B$265=$B$3317,GZ3455,IF($B$265=$B$3318,HB3455,IF($B$265=$B$3319,HD3455,IF($B$265=$B$3320,HF3455,IF($B$265=$B$3321,HH3455,IF($B$265=$B$3322,HJ3455,IF($B$265=$B$3323,HL3455,IF($B$265=$B$3324,HN3455,IF($B$265=$B$3325,HP3455,IF($B$265=$B$3326,HR3455,IF($B$265=$B$3327,HT3455,IF($B$265=$B$3328,HV3455,IF($B$265=$B$3329,HX3455,""))))))))))))))))))))))))))))))))))))))))))))))))))))</f>
        <v/>
      </c>
      <c r="EA3455" s="470" t="str">
        <f>IF($B$265=$B$3278,EC3455,IF($B$265=$B$3279,EE3455,IF($B$265=$B$3280,EG3455,IF($B$265=$B$3281,EI3455,IF($B$265=$B$3282,EK3455,IF($B$265=$B$3283,EM3455,IF($B$265=$B$3284,EO3455,IF($B$265=$B$3285,EQ3455,IF($B$265=$B$3286,ES3455,IF($B$265=$B$3287,EU3455,IF($B$265=$B$3288,EW3455,IF($B$265=$B$3289,EY3455,IF($B$265=$B$3290,FA3455,IF($B$265=$B$3291,FC3455,IF($B$265=$B$3292,FE3455,IF($B$265=$B$3293,BK3455,IF($B$265=$B$3294,FG3455,IF($B$265=$B$3295,FI3455,IF($B$265=$B$3296,FK3455,IF($B$265=$B$3297,FM3455,IF($B$265=$B$3298,FO3455,IF($B$265=$B$3299,FQ3455,IF(BJ$265=$B$3300,FS3455,IF($B$265=$B$3301,FU3455,IF($B$265=$B$3302,FW3455,IF($B$265=$B$3303,FY3455,IF($B$265=$B$3304,GA3455,IF($B$265=$B$3305,GC3455,IF($B$265=$B$3306,GE3455,IF($B$265=$B$3307,GG3455,IF($B$265=$B$3308,GI3455,IF($B$265=$B$3309,GK3455,IF($B$265=$B$3310,GM3455,IF($B$265=$B$3311,GO3455,IF($B$265=$B$3312,GQ3455,IF($B$265=$B$3313,GS3455,IF($B$265=$B$3314,GU3455,IF($B$265=$B$3315,GW3455,IF($B$265=$B$3316,GY3455,IF($B$265=$B$3317,HA3455,IF($B$265=$B$3318,HC3455,IF($B$265=$B$3319,HE3455,IF($B$265=$B$3320,HG3455,IF($B$265=$B$3321,HI3455,IF($B$265=$B$3322,HK3455,IF($B$265=$B$3323,HM3455,IF($B$265=$B$3324,HO3455,IF($B$265=$B$3325,HQ3455,IF($B$265=$B$3326,HS3455,IF($B$265=$B$3327,HU3455,IF($B$265=$B$3328,HW3455,IF($B$265=$B$3329,HY3455,""))))))))))))))))))))))))))))))))))))))))))))))))))))</f>
        <v/>
      </c>
      <c r="EB3455" s="459" t="s">
        <v>885</v>
      </c>
    </row>
    <row r="3456" spans="1:132" ht="16" hidden="1" x14ac:dyDescent="0.4">
      <c r="A3456" s="813"/>
      <c r="BB3456" s="48"/>
      <c r="BS3456" s="464" t="str">
        <f>IF($B$265=B$3278,BZ3455,IF($B$265=B$3279,CA3455,IF($B$265=B$3280,CB3455,IF($B$265=B$3281,CC3455,IF($B$265=B$3282,CD3455,IF($B$265=B$3283,CE3455,IF($B$265=B$3284,CF3455,IF($B$265=B$3285,CG3455,IF($B$265=B$3286,CH3455,IF($B$265=B$3287,CI3455,IF($B$265=B$3288,CJ3455,IF($B$265=B$3289,CK3455,IF($B$265=B$3290,CL3455,IF($B$265=B$3291,CM3455,IF($B$265=B$3292,CN3455,IF($B$265=B$3293,D2762,IF($B$265=B$3294,CO3455,IF($B$265=B$3295,CP3455,IF($B$265=B$3296,CQ3455,IF($B$265=B$3297,CR3455,IF($B$265=B$3298,CS3455,IF($B$265=B$3299,CT3455,IF(B$265=B$3300,CU3455,IF($B$265=B$3301,CV3455,IF($B$265=B$3302,CW3455,IF($B$265=B$3303,CX3455,IF($B$265=B$3304,CY3455,IF($B$265=B$3305,CZ3455,IF($B$265=B$3306,DA3455,IF($B$265=B$3307,DB3455,IF($B$265=B$3308,DC3455,IF($B$265=B$3309,DD3455,IF($B$265=B$3310,DE3455,IF($B$265=B$3311,DF3455,IF($B$265=B$3312,DG3455,IF($B$265=B$3313,DH3455,IF($B$265=B$3314,DI3455,IF($B$265=B$3315,DJ3455,IF($B$265=B$3316,DK3455,IF($B$265=B$3317,DL3455,IF($B$265=B$3318,DM3455,IF($B$265=B$3319,DN3455,IF($B$265=B$3320,DO3455,IF($B$265=B$3321,DP3455,IF($B$265=B$3322,DQ3455,IF($B$265=B$3323,DR3455,IF($B$265=B$3324,DS3455,IF($B$265=B$3325,DT3455,IF($B$265=B$3326,DU3455,IF($B$265=B$3327,DV3455,IF($B$265=B$3328,DW3455,IF($B$265=B$3329,DX3455,""))))))))))))))))))))))))))))))))))))))))))))))))))))</f>
        <v/>
      </c>
      <c r="BZ3456" s="245" t="s">
        <v>885</v>
      </c>
      <c r="CA3456" s="245" t="s">
        <v>885</v>
      </c>
      <c r="CC3456" s="245" t="s">
        <v>885</v>
      </c>
      <c r="CD3456" s="459" t="s">
        <v>885</v>
      </c>
      <c r="CE3456" s="459" t="s">
        <v>885</v>
      </c>
      <c r="CF3456" s="245" t="s">
        <v>885</v>
      </c>
      <c r="CG3456" s="245" t="s">
        <v>885</v>
      </c>
      <c r="CH3456" s="245" t="s">
        <v>885</v>
      </c>
      <c r="CI3456" s="245" t="s">
        <v>885</v>
      </c>
      <c r="CJ3456" t="s">
        <v>1860</v>
      </c>
      <c r="CK3456" s="459" t="s">
        <v>885</v>
      </c>
      <c r="CL3456" s="459" t="s">
        <v>885</v>
      </c>
      <c r="CM3456" s="459" t="s">
        <v>885</v>
      </c>
      <c r="CN3456" s="459" t="s">
        <v>885</v>
      </c>
      <c r="CO3456" s="459" t="s">
        <v>885</v>
      </c>
      <c r="CP3456" s="459" t="s">
        <v>885</v>
      </c>
      <c r="CQ3456" s="459" t="s">
        <v>885</v>
      </c>
      <c r="CR3456" s="459" t="s">
        <v>885</v>
      </c>
      <c r="CS3456" s="459" t="s">
        <v>885</v>
      </c>
      <c r="CT3456" s="245" t="s">
        <v>885</v>
      </c>
      <c r="CU3456" s="463" t="s">
        <v>885</v>
      </c>
      <c r="CV3456" s="245" t="s">
        <v>885</v>
      </c>
      <c r="CW3456" s="245" t="s">
        <v>885</v>
      </c>
      <c r="CX3456" s="459" t="s">
        <v>885</v>
      </c>
      <c r="CY3456" s="459" t="s">
        <v>885</v>
      </c>
      <c r="CZ3456" s="459" t="s">
        <v>885</v>
      </c>
      <c r="DA3456" s="459" t="s">
        <v>885</v>
      </c>
      <c r="DB3456" s="459" t="s">
        <v>885</v>
      </c>
      <c r="DC3456" s="459" t="s">
        <v>885</v>
      </c>
      <c r="DD3456" s="459" t="s">
        <v>885</v>
      </c>
      <c r="DE3456" s="459" t="s">
        <v>885</v>
      </c>
      <c r="DF3456" s="459" t="s">
        <v>885</v>
      </c>
      <c r="DG3456" s="459" t="s">
        <v>885</v>
      </c>
      <c r="DH3456" s="459" t="s">
        <v>885</v>
      </c>
      <c r="DI3456" s="459" t="s">
        <v>885</v>
      </c>
      <c r="DJ3456" s="459" t="s">
        <v>885</v>
      </c>
      <c r="DK3456" s="459" t="s">
        <v>885</v>
      </c>
      <c r="DL3456" s="459" t="s">
        <v>885</v>
      </c>
      <c r="DM3456" s="459" t="s">
        <v>885</v>
      </c>
      <c r="DN3456" s="459" t="s">
        <v>885</v>
      </c>
      <c r="DO3456" s="459" t="s">
        <v>885</v>
      </c>
      <c r="DP3456" t="s">
        <v>1477</v>
      </c>
      <c r="DQ3456" s="459" t="s">
        <v>885</v>
      </c>
      <c r="DR3456" s="459" t="s">
        <v>885</v>
      </c>
      <c r="DS3456" s="459" t="s">
        <v>885</v>
      </c>
      <c r="DT3456" s="459" t="s">
        <v>885</v>
      </c>
      <c r="DU3456" s="459" t="s">
        <v>885</v>
      </c>
      <c r="DV3456" s="459" t="s">
        <v>885</v>
      </c>
      <c r="DW3456" s="459" t="s">
        <v>885</v>
      </c>
      <c r="DX3456" s="245" t="s">
        <v>885</v>
      </c>
      <c r="DY3456" s="245"/>
      <c r="DZ3456" s="470" t="str">
        <f>IF($B$265=$B$3278,EB3456,IF($B$265=$B$3279,ED3456,IF($B$265=$B$3280,EF3456,IF($B$265=$B$3281,EH3456,IF($B$265=$B$3282,EJ3456,IF($B$265=$B$3283,EL3456,IF($B$265=$B$3284,EN3456,IF($B$265=$B$3285,EP3456,IF($B$265=$B$3286,ER3456,IF($B$265=$B$3287,ET3456,IF($B$265=$B$3288,EV3456,IF($B$265=$B$3289,EX3456,IF($B$265=$B$3290,EZ3456,IF($B$265=$B$3291,FB3456,IF($B$265=$B$3292,FD3456,IF($B$265=$B$3293,BU3456,IF($B$265=$B$3294,FF3456,IF($B$265=$B$3295,FH3456,IF($B$265=$B$3296,FJ3456,IF($B$265=$B$3297,FL3456,IF($B$265=$B$3298,FN3456,IF($B$265=$B$3299,FP3456,IF(BI$265=$B$3300,FR3456,IF($B$265=$B$3301,FT3456,IF($B$265=$B$3302,FV3456,IF($B$265=$B$3303,FX3456,IF($B$265=$B$3304,FZ3456,IF($B$265=$B$3305,GB3456,IF($B$265=$B$3306,GD3456,IF($B$265=$B$3307,GF3456,IF($B$265=$B$3308,GH3456,IF($B$265=$B$3309,GJ3456,IF($B$265=$B$3310,GL3456,IF($B$265=$B$3311,GN3456,IF($B$265=$B$3312,GP3456,IF($B$265=$B$3313,GR3456,IF($B$265=$B$3314,GT3456,IF($B$265=$B$3315,GV3456,IF($B$265=$B$3316,GX3456,IF($B$265=$B$3317,GZ3456,IF($B$265=$B$3318,HB3456,IF($B$265=$B$3319,HD3456,IF($B$265=$B$3320,HF3456,IF($B$265=$B$3321,HH3456,IF($B$265=$B$3322,HJ3456,IF($B$265=$B$3323,HL3456,IF($B$265=$B$3324,HN3456,IF($B$265=$B$3325,HP3456,IF($B$265=$B$3326,HR3456,IF($B$265=$B$3327,HT3456,IF($B$265=$B$3328,HV3456,IF($B$265=$B$3329,HX3456,""))))))))))))))))))))))))))))))))))))))))))))))))))))</f>
        <v/>
      </c>
      <c r="EA3456" s="470" t="str">
        <f>IF($B$265=$B$3278,EC3456,IF($B$265=$B$3279,EE3456,IF($B$265=$B$3280,EG3456,IF($B$265=$B$3281,EI3456,IF($B$265=$B$3282,EK3456,IF($B$265=$B$3283,EM3456,IF($B$265=$B$3284,EO3456,IF($B$265=$B$3285,EQ3456,IF($B$265=$B$3286,ES3456,IF($B$265=$B$3287,EU3456,IF($B$265=$B$3288,EW3456,IF($B$265=$B$3289,EY3456,IF($B$265=$B$3290,FA3456,IF($B$265=$B$3291,FC3456,IF($B$265=$B$3292,FE3456,IF($B$265=$B$3293,BK3456,IF($B$265=$B$3294,FG3456,IF($B$265=$B$3295,FI3456,IF($B$265=$B$3296,FK3456,IF($B$265=$B$3297,FM3456,IF($B$265=$B$3298,FO3456,IF($B$265=$B$3299,FQ3456,IF(BJ$265=$B$3300,FS3456,IF($B$265=$B$3301,FU3456,IF($B$265=$B$3302,FW3456,IF($B$265=$B$3303,FY3456,IF($B$265=$B$3304,GA3456,IF($B$265=$B$3305,GC3456,IF($B$265=$B$3306,GE3456,IF($B$265=$B$3307,GG3456,IF($B$265=$B$3308,GI3456,IF($B$265=$B$3309,GK3456,IF($B$265=$B$3310,GM3456,IF($B$265=$B$3311,GO3456,IF($B$265=$B$3312,GQ3456,IF($B$265=$B$3313,GS3456,IF($B$265=$B$3314,GU3456,IF($B$265=$B$3315,GW3456,IF($B$265=$B$3316,GY3456,IF($B$265=$B$3317,HA3456,IF($B$265=$B$3318,HC3456,IF($B$265=$B$3319,HE3456,IF($B$265=$B$3320,HG3456,IF($B$265=$B$3321,HI3456,IF($B$265=$B$3322,HK3456,IF($B$265=$B$3323,HM3456,IF($B$265=$B$3324,HO3456,IF($B$265=$B$3325,HQ3456,IF($B$265=$B$3326,HS3456,IF($B$265=$B$3327,HU3456,IF($B$265=$B$3328,HW3456,IF($B$265=$B$3329,HY3456,""))))))))))))))))))))))))))))))))))))))))))))))))))))</f>
        <v/>
      </c>
      <c r="EB3456" s="459" t="s">
        <v>885</v>
      </c>
    </row>
    <row r="3457" spans="1:132" ht="16" hidden="1" x14ac:dyDescent="0.4">
      <c r="A3457" s="813"/>
      <c r="BB3457" s="48"/>
      <c r="BS3457" s="464" t="str">
        <f>IF($B$265=B$3278,BZ3456,IF($B$265=B$3279,CA3456,IF($B$265=B$3280,CB3456,IF($B$265=B$3281,CC3456,IF($B$265=B$3282,CD3456,IF($B$265=B$3283,CE3456,IF($B$265=B$3284,CF3456,IF($B$265=B$3285,CG3456,IF($B$265=B$3286,CH3456,IF($B$265=B$3287,CI3456,IF($B$265=B$3288,CJ3456,IF($B$265=B$3289,CK3456,IF($B$265=B$3290,CL3456,IF($B$265=B$3291,CM3456,IF($B$265=B$3292,CN3456,IF($B$265=B$3293,D2763,IF($B$265=B$3294,CO3456,IF($B$265=B$3295,CP3456,IF($B$265=B$3296,CQ3456,IF($B$265=B$3297,CR3456,IF($B$265=B$3298,CS3456,IF($B$265=B$3299,CT3456,IF(B$265=B$3300,CU3456,IF($B$265=B$3301,CV3456,IF($B$265=B$3302,CW3456,IF($B$265=B$3303,CX3456,IF($B$265=B$3304,CY3456,IF($B$265=B$3305,CZ3456,IF($B$265=B$3306,DA3456,IF($B$265=B$3307,DB3456,IF($B$265=B$3308,DC3456,IF($B$265=B$3309,DD3456,IF($B$265=B$3310,DE3456,IF($B$265=B$3311,DF3456,IF($B$265=B$3312,DG3456,IF($B$265=B$3313,DH3456,IF($B$265=B$3314,DI3456,IF($B$265=B$3315,DJ3456,IF($B$265=B$3316,DK3456,IF($B$265=B$3317,DL3456,IF($B$265=B$3318,DM3456,IF($B$265=B$3319,DN3456,IF($B$265=B$3320,DO3456,IF($B$265=B$3321,DP3456,IF($B$265=B$3322,DQ3456,IF($B$265=B$3323,DR3456,IF($B$265=B$3324,DS3456,IF($B$265=B$3325,DT3456,IF($B$265=B$3326,DU3456,IF($B$265=B$3327,DV3456,IF($B$265=B$3328,DW3456,IF($B$265=B$3329,DX3456,""))))))))))))))))))))))))))))))))))))))))))))))))))))</f>
        <v/>
      </c>
      <c r="BZ3457" s="245" t="s">
        <v>885</v>
      </c>
      <c r="CA3457" s="245" t="s">
        <v>885</v>
      </c>
      <c r="CC3457" s="245" t="s">
        <v>885</v>
      </c>
      <c r="CD3457" s="459" t="s">
        <v>885</v>
      </c>
      <c r="CE3457" s="459" t="s">
        <v>885</v>
      </c>
      <c r="CF3457" s="245" t="s">
        <v>885</v>
      </c>
      <c r="CG3457" s="245" t="s">
        <v>885</v>
      </c>
      <c r="CH3457" s="245" t="s">
        <v>885</v>
      </c>
      <c r="CI3457" s="245" t="s">
        <v>885</v>
      </c>
      <c r="CJ3457" t="s">
        <v>1861</v>
      </c>
      <c r="CK3457" s="459" t="s">
        <v>885</v>
      </c>
      <c r="CL3457" s="459" t="s">
        <v>885</v>
      </c>
      <c r="CM3457" s="459" t="s">
        <v>885</v>
      </c>
      <c r="CN3457" s="459" t="s">
        <v>885</v>
      </c>
      <c r="CO3457" s="459" t="s">
        <v>885</v>
      </c>
      <c r="CP3457" s="459" t="s">
        <v>885</v>
      </c>
      <c r="CQ3457" s="459" t="s">
        <v>885</v>
      </c>
      <c r="CR3457" s="459" t="s">
        <v>885</v>
      </c>
      <c r="CS3457" s="459" t="s">
        <v>885</v>
      </c>
      <c r="CT3457" s="245" t="s">
        <v>885</v>
      </c>
      <c r="CU3457" s="463" t="s">
        <v>885</v>
      </c>
      <c r="CV3457" s="245" t="s">
        <v>885</v>
      </c>
      <c r="CW3457" s="245" t="s">
        <v>885</v>
      </c>
      <c r="CX3457" s="459" t="s">
        <v>885</v>
      </c>
      <c r="CY3457" s="459" t="s">
        <v>885</v>
      </c>
      <c r="CZ3457" s="459" t="s">
        <v>885</v>
      </c>
      <c r="DA3457" s="459" t="s">
        <v>885</v>
      </c>
      <c r="DB3457" s="459" t="s">
        <v>885</v>
      </c>
      <c r="DC3457" s="459" t="s">
        <v>885</v>
      </c>
      <c r="DD3457" s="459" t="s">
        <v>885</v>
      </c>
      <c r="DE3457" s="459" t="s">
        <v>885</v>
      </c>
      <c r="DF3457" s="459" t="s">
        <v>885</v>
      </c>
      <c r="DG3457" s="459" t="s">
        <v>885</v>
      </c>
      <c r="DH3457" s="459" t="s">
        <v>885</v>
      </c>
      <c r="DI3457" s="459" t="s">
        <v>885</v>
      </c>
      <c r="DJ3457" s="459" t="s">
        <v>885</v>
      </c>
      <c r="DK3457" s="459" t="s">
        <v>885</v>
      </c>
      <c r="DL3457" s="459" t="s">
        <v>885</v>
      </c>
      <c r="DM3457" s="459" t="s">
        <v>885</v>
      </c>
      <c r="DN3457" s="459" t="s">
        <v>885</v>
      </c>
      <c r="DO3457" s="459" t="s">
        <v>885</v>
      </c>
      <c r="DP3457" t="s">
        <v>1734</v>
      </c>
      <c r="DQ3457" s="459" t="s">
        <v>885</v>
      </c>
      <c r="DR3457" s="459" t="s">
        <v>885</v>
      </c>
      <c r="DS3457" s="459" t="s">
        <v>885</v>
      </c>
      <c r="DT3457" s="459" t="s">
        <v>885</v>
      </c>
      <c r="DU3457" s="459" t="s">
        <v>885</v>
      </c>
      <c r="DV3457" s="459" t="s">
        <v>885</v>
      </c>
      <c r="DW3457" s="459" t="s">
        <v>885</v>
      </c>
      <c r="DX3457" s="245" t="s">
        <v>885</v>
      </c>
      <c r="DY3457" s="245"/>
      <c r="DZ3457" s="470" t="str">
        <f>IF($B$265=$B$3278,EB3457,IF($B$265=$B$3279,ED3457,IF($B$265=$B$3280,EF3457,IF($B$265=$B$3281,EH3457,IF($B$265=$B$3282,EJ3457,IF($B$265=$B$3283,EL3457,IF($B$265=$B$3284,EN3457,IF($B$265=$B$3285,EP3457,IF($B$265=$B$3286,ER3457,IF($B$265=$B$3287,ET3457,IF($B$265=$B$3288,EV3457,IF($B$265=$B$3289,EX3457,IF($B$265=$B$3290,EZ3457,IF($B$265=$B$3291,FB3457,IF($B$265=$B$3292,FD3457,IF($B$265=$B$3293,BU3457,IF($B$265=$B$3294,FF3457,IF($B$265=$B$3295,FH3457,IF($B$265=$B$3296,FJ3457,IF($B$265=$B$3297,FL3457,IF($B$265=$B$3298,FN3457,IF($B$265=$B$3299,FP3457,IF(BI$265=$B$3300,FR3457,IF($B$265=$B$3301,FT3457,IF($B$265=$B$3302,FV3457,IF($B$265=$B$3303,FX3457,IF($B$265=$B$3304,FZ3457,IF($B$265=$B$3305,GB3457,IF($B$265=$B$3306,GD3457,IF($B$265=$B$3307,GF3457,IF($B$265=$B$3308,GH3457,IF($B$265=$B$3309,GJ3457,IF($B$265=$B$3310,GL3457,IF($B$265=$B$3311,GN3457,IF($B$265=$B$3312,GP3457,IF($B$265=$B$3313,GR3457,IF($B$265=$B$3314,GT3457,IF($B$265=$B$3315,GV3457,IF($B$265=$B$3316,GX3457,IF($B$265=$B$3317,GZ3457,IF($B$265=$B$3318,HB3457,IF($B$265=$B$3319,HD3457,IF($B$265=$B$3320,HF3457,IF($B$265=$B$3321,HH3457,IF($B$265=$B$3322,HJ3457,IF($B$265=$B$3323,HL3457,IF($B$265=$B$3324,HN3457,IF($B$265=$B$3325,HP3457,IF($B$265=$B$3326,HR3457,IF($B$265=$B$3327,HT3457,IF($B$265=$B$3328,HV3457,IF($B$265=$B$3329,HX3457,""))))))))))))))))))))))))))))))))))))))))))))))))))))</f>
        <v/>
      </c>
      <c r="EA3457" s="470" t="str">
        <f>IF($B$265=$B$3278,EC3457,IF($B$265=$B$3279,EE3457,IF($B$265=$B$3280,EG3457,IF($B$265=$B$3281,EI3457,IF($B$265=$B$3282,EK3457,IF($B$265=$B$3283,EM3457,IF($B$265=$B$3284,EO3457,IF($B$265=$B$3285,EQ3457,IF($B$265=$B$3286,ES3457,IF($B$265=$B$3287,EU3457,IF($B$265=$B$3288,EW3457,IF($B$265=$B$3289,EY3457,IF($B$265=$B$3290,FA3457,IF($B$265=$B$3291,FC3457,IF($B$265=$B$3292,FE3457,IF($B$265=$B$3293,BK3457,IF($B$265=$B$3294,FG3457,IF($B$265=$B$3295,FI3457,IF($B$265=$B$3296,FK3457,IF($B$265=$B$3297,FM3457,IF($B$265=$B$3298,FO3457,IF($B$265=$B$3299,FQ3457,IF(BJ$265=$B$3300,FS3457,IF($B$265=$B$3301,FU3457,IF($B$265=$B$3302,FW3457,IF($B$265=$B$3303,FY3457,IF($B$265=$B$3304,GA3457,IF($B$265=$B$3305,GC3457,IF($B$265=$B$3306,GE3457,IF($B$265=$B$3307,GG3457,IF($B$265=$B$3308,GI3457,IF($B$265=$B$3309,GK3457,IF($B$265=$B$3310,GM3457,IF($B$265=$B$3311,GO3457,IF($B$265=$B$3312,GQ3457,IF($B$265=$B$3313,GS3457,IF($B$265=$B$3314,GU3457,IF($B$265=$B$3315,GW3457,IF($B$265=$B$3316,GY3457,IF($B$265=$B$3317,HA3457,IF($B$265=$B$3318,HC3457,IF($B$265=$B$3319,HE3457,IF($B$265=$B$3320,HG3457,IF($B$265=$B$3321,HI3457,IF($B$265=$B$3322,HK3457,IF($B$265=$B$3323,HM3457,IF($B$265=$B$3324,HO3457,IF($B$265=$B$3325,HQ3457,IF($B$265=$B$3326,HS3457,IF($B$265=$B$3327,HU3457,IF($B$265=$B$3328,HW3457,IF($B$265=$B$3329,HY3457,""))))))))))))))))))))))))))))))))))))))))))))))))))))</f>
        <v/>
      </c>
      <c r="EB3457" s="459" t="s">
        <v>885</v>
      </c>
    </row>
    <row r="3458" spans="1:132" ht="16" hidden="1" x14ac:dyDescent="0.4">
      <c r="A3458" s="813"/>
      <c r="BB3458" s="48"/>
      <c r="BS3458" s="464" t="str">
        <f>IF($B$265=B$3278,BZ3457,IF($B$265=B$3279,CA3457,IF($B$265=B$3280,CB3457,IF($B$265=B$3281,CC3457,IF($B$265=B$3282,CD3457,IF($B$265=B$3283,CE3457,IF($B$265=B$3284,CF3457,IF($B$265=B$3285,CG3457,IF($B$265=B$3286,CH3457,IF($B$265=B$3287,CI3457,IF($B$265=B$3288,CJ3457,IF($B$265=B$3289,CK3457,IF($B$265=B$3290,CL3457,IF($B$265=B$3291,CM3457,IF($B$265=B$3292,CN3457,IF($B$265=B$3293,D2764,IF($B$265=B$3294,CO3457,IF($B$265=B$3295,CP3457,IF($B$265=B$3296,CQ3457,IF($B$265=B$3297,CR3457,IF($B$265=B$3298,CS3457,IF($B$265=B$3299,CT3457,IF(B$265=B$3300,CU3457,IF($B$265=B$3301,CV3457,IF($B$265=B$3302,CW3457,IF($B$265=B$3303,CX3457,IF($B$265=B$3304,CY3457,IF($B$265=B$3305,CZ3457,IF($B$265=B$3306,DA3457,IF($B$265=B$3307,DB3457,IF($B$265=B$3308,DC3457,IF($B$265=B$3309,DD3457,IF($B$265=B$3310,DE3457,IF($B$265=B$3311,DF3457,IF($B$265=B$3312,DG3457,IF($B$265=B$3313,DH3457,IF($B$265=B$3314,DI3457,IF($B$265=B$3315,DJ3457,IF($B$265=B$3316,DK3457,IF($B$265=B$3317,DL3457,IF($B$265=B$3318,DM3457,IF($B$265=B$3319,DN3457,IF($B$265=B$3320,DO3457,IF($B$265=B$3321,DP3457,IF($B$265=B$3322,DQ3457,IF($B$265=B$3323,DR3457,IF($B$265=B$3324,DS3457,IF($B$265=B$3325,DT3457,IF($B$265=B$3326,DU3457,IF($B$265=B$3327,DV3457,IF($B$265=B$3328,DW3457,IF($B$265=B$3329,DX3457,""))))))))))))))))))))))))))))))))))))))))))))))))))))</f>
        <v/>
      </c>
      <c r="BZ3458" s="245" t="s">
        <v>885</v>
      </c>
      <c r="CA3458" s="245" t="s">
        <v>885</v>
      </c>
      <c r="CC3458" s="245" t="s">
        <v>885</v>
      </c>
      <c r="CD3458" s="459" t="s">
        <v>885</v>
      </c>
      <c r="CE3458" s="459" t="s">
        <v>885</v>
      </c>
      <c r="CF3458" s="245" t="s">
        <v>885</v>
      </c>
      <c r="CG3458" s="245" t="s">
        <v>885</v>
      </c>
      <c r="CH3458" s="245" t="s">
        <v>885</v>
      </c>
      <c r="CI3458" s="245" t="s">
        <v>885</v>
      </c>
      <c r="CJ3458" s="459" t="s">
        <v>885</v>
      </c>
      <c r="CK3458" s="459" t="s">
        <v>885</v>
      </c>
      <c r="CL3458" s="459" t="s">
        <v>885</v>
      </c>
      <c r="CM3458" s="459" t="s">
        <v>885</v>
      </c>
      <c r="CN3458" s="459" t="s">
        <v>885</v>
      </c>
      <c r="CO3458" s="459" t="s">
        <v>885</v>
      </c>
      <c r="CP3458" s="459" t="s">
        <v>885</v>
      </c>
      <c r="CQ3458" s="459" t="s">
        <v>885</v>
      </c>
      <c r="CR3458" s="459" t="s">
        <v>885</v>
      </c>
      <c r="CS3458" s="459" t="s">
        <v>885</v>
      </c>
      <c r="CT3458" s="245" t="s">
        <v>885</v>
      </c>
      <c r="CU3458" s="463" t="s">
        <v>885</v>
      </c>
      <c r="CV3458" s="245" t="s">
        <v>885</v>
      </c>
      <c r="CW3458" s="245" t="s">
        <v>885</v>
      </c>
      <c r="CX3458" s="459" t="s">
        <v>885</v>
      </c>
      <c r="CY3458" s="459" t="s">
        <v>885</v>
      </c>
      <c r="CZ3458" s="459" t="s">
        <v>885</v>
      </c>
      <c r="DA3458" s="459" t="s">
        <v>885</v>
      </c>
      <c r="DB3458" s="459" t="s">
        <v>885</v>
      </c>
      <c r="DC3458" s="459" t="s">
        <v>885</v>
      </c>
      <c r="DD3458" s="459" t="s">
        <v>885</v>
      </c>
      <c r="DE3458" s="459" t="s">
        <v>885</v>
      </c>
      <c r="DF3458" s="459" t="s">
        <v>885</v>
      </c>
      <c r="DG3458" s="459" t="s">
        <v>885</v>
      </c>
      <c r="DH3458" s="459" t="s">
        <v>885</v>
      </c>
      <c r="DI3458" s="459" t="s">
        <v>885</v>
      </c>
      <c r="DJ3458" s="459" t="s">
        <v>885</v>
      </c>
      <c r="DK3458" s="459" t="s">
        <v>885</v>
      </c>
      <c r="DL3458" s="459" t="s">
        <v>885</v>
      </c>
      <c r="DM3458" s="459" t="s">
        <v>885</v>
      </c>
      <c r="DN3458" s="459" t="s">
        <v>885</v>
      </c>
      <c r="DO3458" s="459" t="s">
        <v>885</v>
      </c>
      <c r="DP3458" t="s">
        <v>1929</v>
      </c>
      <c r="DQ3458" s="459" t="s">
        <v>885</v>
      </c>
      <c r="DR3458" s="459" t="s">
        <v>885</v>
      </c>
      <c r="DS3458" s="459" t="s">
        <v>885</v>
      </c>
      <c r="DT3458" s="459" t="s">
        <v>885</v>
      </c>
      <c r="DU3458" s="459" t="s">
        <v>885</v>
      </c>
      <c r="DV3458" s="459" t="s">
        <v>885</v>
      </c>
      <c r="DW3458" s="459" t="s">
        <v>885</v>
      </c>
      <c r="DX3458" s="245" t="s">
        <v>885</v>
      </c>
      <c r="DY3458" s="245"/>
      <c r="DZ3458" s="470" t="str">
        <f>IF($B$265=$B$3278,EB3458,IF($B$265=$B$3279,ED3458,IF($B$265=$B$3280,EF3458,IF($B$265=$B$3281,EH3458,IF($B$265=$B$3282,EJ3458,IF($B$265=$B$3283,EL3458,IF($B$265=$B$3284,EN3458,IF($B$265=$B$3285,EP3458,IF($B$265=$B$3286,ER3458,IF($B$265=$B$3287,ET3458,IF($B$265=$B$3288,EV3458,IF($B$265=$B$3289,EX3458,IF($B$265=$B$3290,EZ3458,IF($B$265=$B$3291,FB3458,IF($B$265=$B$3292,FD3458,IF($B$265=$B$3293,BU3458,IF($B$265=$B$3294,FF3458,IF($B$265=$B$3295,FH3458,IF($B$265=$B$3296,FJ3458,IF($B$265=$B$3297,FL3458,IF($B$265=$B$3298,FN3458,IF($B$265=$B$3299,FP3458,IF(BI$265=$B$3300,FR3458,IF($B$265=$B$3301,FT3458,IF($B$265=$B$3302,FV3458,IF($B$265=$B$3303,FX3458,IF($B$265=$B$3304,FZ3458,IF($B$265=$B$3305,GB3458,IF($B$265=$B$3306,GD3458,IF($B$265=$B$3307,GF3458,IF($B$265=$B$3308,GH3458,IF($B$265=$B$3309,GJ3458,IF($B$265=$B$3310,GL3458,IF($B$265=$B$3311,GN3458,IF($B$265=$B$3312,GP3458,IF($B$265=$B$3313,GR3458,IF($B$265=$B$3314,GT3458,IF($B$265=$B$3315,GV3458,IF($B$265=$B$3316,GX3458,IF($B$265=$B$3317,GZ3458,IF($B$265=$B$3318,HB3458,IF($B$265=$B$3319,HD3458,IF($B$265=$B$3320,HF3458,IF($B$265=$B$3321,HH3458,IF($B$265=$B$3322,HJ3458,IF($B$265=$B$3323,HL3458,IF($B$265=$B$3324,HN3458,IF($B$265=$B$3325,HP3458,IF($B$265=$B$3326,HR3458,IF($B$265=$B$3327,HT3458,IF($B$265=$B$3328,HV3458,IF($B$265=$B$3329,HX3458,""))))))))))))))))))))))))))))))))))))))))))))))))))))</f>
        <v/>
      </c>
      <c r="EA3458" s="470" t="str">
        <f>IF($B$265=$B$3278,EC3458,IF($B$265=$B$3279,EE3458,IF($B$265=$B$3280,EG3458,IF($B$265=$B$3281,EI3458,IF($B$265=$B$3282,EK3458,IF($B$265=$B$3283,EM3458,IF($B$265=$B$3284,EO3458,IF($B$265=$B$3285,EQ3458,IF($B$265=$B$3286,ES3458,IF($B$265=$B$3287,EU3458,IF($B$265=$B$3288,EW3458,IF($B$265=$B$3289,EY3458,IF($B$265=$B$3290,FA3458,IF($B$265=$B$3291,FC3458,IF($B$265=$B$3292,FE3458,IF($B$265=$B$3293,BK3458,IF($B$265=$B$3294,FG3458,IF($B$265=$B$3295,FI3458,IF($B$265=$B$3296,FK3458,IF($B$265=$B$3297,FM3458,IF($B$265=$B$3298,FO3458,IF($B$265=$B$3299,FQ3458,IF(BJ$265=$B$3300,FS3458,IF($B$265=$B$3301,FU3458,IF($B$265=$B$3302,FW3458,IF($B$265=$B$3303,FY3458,IF($B$265=$B$3304,GA3458,IF($B$265=$B$3305,GC3458,IF($B$265=$B$3306,GE3458,IF($B$265=$B$3307,GG3458,IF($B$265=$B$3308,GI3458,IF($B$265=$B$3309,GK3458,IF($B$265=$B$3310,GM3458,IF($B$265=$B$3311,GO3458,IF($B$265=$B$3312,GQ3458,IF($B$265=$B$3313,GS3458,IF($B$265=$B$3314,GU3458,IF($B$265=$B$3315,GW3458,IF($B$265=$B$3316,GY3458,IF($B$265=$B$3317,HA3458,IF($B$265=$B$3318,HC3458,IF($B$265=$B$3319,HE3458,IF($B$265=$B$3320,HG3458,IF($B$265=$B$3321,HI3458,IF($B$265=$B$3322,HK3458,IF($B$265=$B$3323,HM3458,IF($B$265=$B$3324,HO3458,IF($B$265=$B$3325,HQ3458,IF($B$265=$B$3326,HS3458,IF($B$265=$B$3327,HU3458,IF($B$265=$B$3328,HW3458,IF($B$265=$B$3329,HY3458,""))))))))))))))))))))))))))))))))))))))))))))))))))))</f>
        <v/>
      </c>
      <c r="EB3458" s="459" t="s">
        <v>885</v>
      </c>
    </row>
    <row r="3459" spans="1:132" ht="16" hidden="1" x14ac:dyDescent="0.4">
      <c r="A3459" s="813"/>
      <c r="BB3459" s="48"/>
      <c r="BS3459" s="464" t="str">
        <f>IF($B$265=B$3278,BZ3458,IF($B$265=B$3279,CA3458,IF($B$265=B$3280,CB3458,IF($B$265=B$3281,CC3458,IF($B$265=B$3282,CD3458,IF($B$265=B$3283,CE3458,IF($B$265=B$3284,CF3458,IF($B$265=B$3285,CG3458,IF($B$265=B$3286,CH3458,IF($B$265=B$3287,CI3458,IF($B$265=B$3288,CJ3458,IF($B$265=B$3289,CK3458,IF($B$265=B$3290,CL3458,IF($B$265=B$3291,CM3458,IF($B$265=B$3292,CN3458,IF($B$265=B$3293,D2765,IF($B$265=B$3294,CO3458,IF($B$265=B$3295,CP3458,IF($B$265=B$3296,CQ3458,IF($B$265=B$3297,CR3458,IF($B$265=B$3298,CS3458,IF($B$265=B$3299,CT3458,IF(B$265=B$3300,CU3458,IF($B$265=B$3301,CV3458,IF($B$265=B$3302,CW3458,IF($B$265=B$3303,CX3458,IF($B$265=B$3304,CY3458,IF($B$265=B$3305,CZ3458,IF($B$265=B$3306,DA3458,IF($B$265=B$3307,DB3458,IF($B$265=B$3308,DC3458,IF($B$265=B$3309,DD3458,IF($B$265=B$3310,DE3458,IF($B$265=B$3311,DF3458,IF($B$265=B$3312,DG3458,IF($B$265=B$3313,DH3458,IF($B$265=B$3314,DI3458,IF($B$265=B$3315,DJ3458,IF($B$265=B$3316,DK3458,IF($B$265=B$3317,DL3458,IF($B$265=B$3318,DM3458,IF($B$265=B$3319,DN3458,IF($B$265=B$3320,DO3458,IF($B$265=B$3321,DP3458,IF($B$265=B$3322,DQ3458,IF($B$265=B$3323,DR3458,IF($B$265=B$3324,DS3458,IF($B$265=B$3325,DT3458,IF($B$265=B$3326,DU3458,IF($B$265=B$3327,DV3458,IF($B$265=B$3328,DW3458,IF($B$265=B$3329,DX3458,""))))))))))))))))))))))))))))))))))))))))))))))))))))</f>
        <v/>
      </c>
      <c r="BZ3459" s="245"/>
      <c r="CA3459" s="245"/>
      <c r="CC3459" s="245"/>
      <c r="CD3459" s="459"/>
      <c r="CE3459" s="459"/>
      <c r="CF3459" s="245"/>
      <c r="CG3459" s="245"/>
      <c r="CH3459" s="245"/>
      <c r="CI3459" s="245"/>
      <c r="CJ3459" s="459"/>
      <c r="CK3459" s="459"/>
      <c r="CL3459" s="459"/>
      <c r="CM3459" s="459"/>
      <c r="CN3459" s="459"/>
      <c r="CO3459" s="459"/>
      <c r="CP3459" s="459"/>
      <c r="CQ3459" s="459"/>
      <c r="CR3459" s="459"/>
      <c r="CS3459" s="459"/>
      <c r="CT3459" s="245"/>
      <c r="CU3459" s="463"/>
      <c r="CV3459" s="245"/>
      <c r="CW3459" s="245"/>
      <c r="CX3459" s="459"/>
      <c r="CY3459" s="459"/>
      <c r="CZ3459" s="459"/>
      <c r="DA3459" s="459"/>
      <c r="DB3459" s="459"/>
      <c r="DC3459" s="459"/>
      <c r="DD3459" s="459"/>
      <c r="DE3459" s="459"/>
      <c r="DF3459" s="459"/>
      <c r="DG3459" s="459"/>
      <c r="DH3459" s="459"/>
      <c r="DI3459" s="459"/>
      <c r="DJ3459" s="459"/>
      <c r="DK3459" s="459"/>
      <c r="DL3459" s="459"/>
      <c r="DM3459" s="459"/>
      <c r="DN3459" s="459"/>
      <c r="DO3459" s="459"/>
      <c r="DP3459"/>
      <c r="DQ3459" s="459"/>
      <c r="DR3459" s="459"/>
      <c r="DS3459" s="459"/>
      <c r="DT3459" s="459"/>
      <c r="DU3459" s="459"/>
      <c r="DV3459" s="459"/>
      <c r="DW3459" s="459"/>
      <c r="DX3459" s="245"/>
      <c r="DY3459" s="245"/>
      <c r="DZ3459" s="470"/>
      <c r="EA3459" s="470"/>
      <c r="EB3459" s="459"/>
    </row>
    <row r="3460" spans="1:132" ht="16" hidden="1" x14ac:dyDescent="0.4">
      <c r="A3460" s="813"/>
      <c r="BB3460" s="48"/>
      <c r="BS3460" s="464"/>
      <c r="BZ3460" s="245" t="s">
        <v>885</v>
      </c>
      <c r="CA3460" s="245" t="s">
        <v>885</v>
      </c>
      <c r="CC3460" s="245" t="s">
        <v>885</v>
      </c>
      <c r="CD3460" s="459" t="s">
        <v>885</v>
      </c>
      <c r="CE3460" s="459" t="s">
        <v>885</v>
      </c>
      <c r="CF3460" s="245" t="s">
        <v>885</v>
      </c>
      <c r="CG3460" s="245" t="s">
        <v>885</v>
      </c>
      <c r="CH3460" s="245" t="s">
        <v>885</v>
      </c>
      <c r="CI3460" s="245" t="s">
        <v>885</v>
      </c>
      <c r="CJ3460" s="459" t="s">
        <v>885</v>
      </c>
      <c r="CK3460" s="459" t="s">
        <v>885</v>
      </c>
      <c r="CL3460" s="459" t="s">
        <v>885</v>
      </c>
      <c r="CM3460" s="459" t="s">
        <v>885</v>
      </c>
      <c r="CN3460" s="459" t="s">
        <v>885</v>
      </c>
      <c r="CO3460" s="459" t="s">
        <v>885</v>
      </c>
      <c r="CP3460" s="459" t="s">
        <v>885</v>
      </c>
      <c r="CQ3460" s="459" t="s">
        <v>885</v>
      </c>
      <c r="CR3460" s="459" t="s">
        <v>885</v>
      </c>
      <c r="CS3460" s="459" t="s">
        <v>885</v>
      </c>
      <c r="CT3460" s="245" t="s">
        <v>885</v>
      </c>
      <c r="CU3460" s="463" t="s">
        <v>885</v>
      </c>
      <c r="CV3460" s="245" t="s">
        <v>885</v>
      </c>
      <c r="CW3460" s="245" t="s">
        <v>885</v>
      </c>
      <c r="CX3460" s="459" t="s">
        <v>885</v>
      </c>
      <c r="CY3460" s="459" t="s">
        <v>885</v>
      </c>
      <c r="CZ3460" s="459" t="s">
        <v>885</v>
      </c>
      <c r="DA3460" s="459" t="s">
        <v>885</v>
      </c>
      <c r="DB3460" s="459" t="s">
        <v>885</v>
      </c>
      <c r="DC3460" s="459" t="s">
        <v>885</v>
      </c>
      <c r="DD3460" s="459" t="s">
        <v>885</v>
      </c>
      <c r="DE3460" s="459" t="s">
        <v>885</v>
      </c>
      <c r="DF3460" s="459" t="s">
        <v>885</v>
      </c>
      <c r="DG3460" s="459" t="s">
        <v>885</v>
      </c>
      <c r="DH3460" s="459" t="s">
        <v>885</v>
      </c>
      <c r="DI3460" s="459" t="s">
        <v>885</v>
      </c>
      <c r="DJ3460" s="459" t="s">
        <v>885</v>
      </c>
      <c r="DK3460" s="459" t="s">
        <v>885</v>
      </c>
      <c r="DL3460" s="459" t="s">
        <v>885</v>
      </c>
      <c r="DM3460" s="459" t="s">
        <v>885</v>
      </c>
      <c r="DN3460" s="459" t="s">
        <v>885</v>
      </c>
      <c r="DO3460" s="459" t="s">
        <v>885</v>
      </c>
      <c r="DP3460" t="s">
        <v>3028</v>
      </c>
      <c r="DQ3460" s="459" t="s">
        <v>885</v>
      </c>
      <c r="DR3460" s="459" t="s">
        <v>885</v>
      </c>
      <c r="DS3460" s="459" t="s">
        <v>885</v>
      </c>
      <c r="DT3460" s="459" t="s">
        <v>885</v>
      </c>
      <c r="DU3460" s="459" t="s">
        <v>885</v>
      </c>
      <c r="DV3460" s="459" t="s">
        <v>885</v>
      </c>
      <c r="DW3460" s="459" t="s">
        <v>885</v>
      </c>
      <c r="DX3460" s="245" t="s">
        <v>885</v>
      </c>
      <c r="DY3460" s="245"/>
      <c r="DZ3460" s="470" t="str">
        <f>IF($B$265=$B$3278,EB3460,IF($B$265=$B$3279,ED3460,IF($B$265=$B$3280,EF3460,IF($B$265=$B$3281,EH3460,IF($B$265=$B$3282,EJ3460,IF($B$265=$B$3283,EL3460,IF($B$265=$B$3284,EN3460,IF($B$265=$B$3285,EP3460,IF($B$265=$B$3286,ER3460,IF($B$265=$B$3287,ET3460,IF($B$265=$B$3288,EV3460,IF($B$265=$B$3289,EX3460,IF($B$265=$B$3290,EZ3460,IF($B$265=$B$3291,FB3460,IF($B$265=$B$3292,FD3460,IF($B$265=$B$3293,BU3460,IF($B$265=$B$3294,FF3460,IF($B$265=$B$3295,FH3460,IF($B$265=$B$3296,FJ3460,IF($B$265=$B$3297,FL3460,IF($B$265=$B$3298,FN3460,IF($B$265=$B$3299,FP3460,IF(BI$265=$B$3300,FR3460,IF($B$265=$B$3301,FT3460,IF($B$265=$B$3302,FV3460,IF($B$265=$B$3303,FX3460,IF($B$265=$B$3304,FZ3460,IF($B$265=$B$3305,GB3460,IF($B$265=$B$3306,GD3460,IF($B$265=$B$3307,GF3460,IF($B$265=$B$3308,GH3460,IF($B$265=$B$3309,GJ3460,IF($B$265=$B$3310,GL3460,IF($B$265=$B$3311,GN3460,IF($B$265=$B$3312,GP3460,IF($B$265=$B$3313,GR3460,IF($B$265=$B$3314,GT3460,IF($B$265=$B$3315,GV3460,IF($B$265=$B$3316,GX3460,IF($B$265=$B$3317,GZ3460,IF($B$265=$B$3318,HB3460,IF($B$265=$B$3319,HD3460,IF($B$265=$B$3320,HF3460,IF($B$265=$B$3321,HH3460,IF($B$265=$B$3322,HJ3460,IF($B$265=$B$3323,HL3460,IF($B$265=$B$3324,HN3460,IF($B$265=$B$3325,HP3460,IF($B$265=$B$3326,HR3460,IF($B$265=$B$3327,HT3460,IF($B$265=$B$3328,HV3460,IF($B$265=$B$3329,HX3460,""))))))))))))))))))))))))))))))))))))))))))))))))))))</f>
        <v/>
      </c>
      <c r="EA3460" s="470" t="str">
        <f>IF($B$265=$B$3278,EC3460,IF($B$265=$B$3279,EE3460,IF($B$265=$B$3280,EG3460,IF($B$265=$B$3281,EI3460,IF($B$265=$B$3282,EK3460,IF($B$265=$B$3283,EM3460,IF($B$265=$B$3284,EO3460,IF($B$265=$B$3285,EQ3460,IF($B$265=$B$3286,ES3460,IF($B$265=$B$3287,EU3460,IF($B$265=$B$3288,EW3460,IF($B$265=$B$3289,EY3460,IF($B$265=$B$3290,FA3460,IF($B$265=$B$3291,FC3460,IF($B$265=$B$3292,FE3460,IF($B$265=$B$3293,BK3460,IF($B$265=$B$3294,FG3460,IF($B$265=$B$3295,FI3460,IF($B$265=$B$3296,FK3460,IF($B$265=$B$3297,FM3460,IF($B$265=$B$3298,FO3460,IF($B$265=$B$3299,FQ3460,IF(BJ$265=$B$3300,FS3460,IF($B$265=$B$3301,FU3460,IF($B$265=$B$3302,FW3460,IF($B$265=$B$3303,FY3460,IF($B$265=$B$3304,GA3460,IF($B$265=$B$3305,GC3460,IF($B$265=$B$3306,GE3460,IF($B$265=$B$3307,GG3460,IF($B$265=$B$3308,GI3460,IF($B$265=$B$3309,GK3460,IF($B$265=$B$3310,GM3460,IF($B$265=$B$3311,GO3460,IF($B$265=$B$3312,GQ3460,IF($B$265=$B$3313,GS3460,IF($B$265=$B$3314,GU3460,IF($B$265=$B$3315,GW3460,IF($B$265=$B$3316,GY3460,IF($B$265=$B$3317,HA3460,IF($B$265=$B$3318,HC3460,IF($B$265=$B$3319,HE3460,IF($B$265=$B$3320,HG3460,IF($B$265=$B$3321,HI3460,IF($B$265=$B$3322,HK3460,IF($B$265=$B$3323,HM3460,IF($B$265=$B$3324,HO3460,IF($B$265=$B$3325,HQ3460,IF($B$265=$B$3326,HS3460,IF($B$265=$B$3327,HU3460,IF($B$265=$B$3328,HW3460,IF($B$265=$B$3329,HY3460,""))))))))))))))))))))))))))))))))))))))))))))))))))))</f>
        <v/>
      </c>
      <c r="EB3460" s="459" t="s">
        <v>885</v>
      </c>
    </row>
    <row r="3461" spans="1:132" ht="16" hidden="1" x14ac:dyDescent="0.4">
      <c r="A3461" s="813"/>
      <c r="BB3461" s="48"/>
      <c r="BS3461" s="464" t="str">
        <f>IF($B$265=B$3278,BZ3460,IF($B$265=B$3279,CA3460,IF($B$265=B$3280,CB3460,IF($B$265=B$3281,CC3460,IF($B$265=B$3282,CD3460,IF($B$265=B$3283,CE3460,IF($B$265=B$3284,CF3460,IF($B$265=B$3285,CG3460,IF($B$265=B$3286,CH3460,IF($B$265=B$3287,CI3460,IF($B$265=B$3288,CJ3460,IF($B$265=B$3289,CK3460,IF($B$265=B$3290,CL3460,IF($B$265=B$3291,CM3460,IF($B$265=B$3292,CN3460,IF($B$265=B$3293,D2766,IF($B$265=B$3294,CO3460,IF($B$265=B$3295,CP3460,IF($B$265=B$3296,CQ3460,IF($B$265=B$3297,CR3460,IF($B$265=B$3298,CS3460,IF($B$265=B$3299,CT3460,IF(B$265=B$3300,CU3460,IF($B$265=B$3301,CV3460,IF($B$265=B$3302,CW3460,IF($B$265=B$3303,CX3460,IF($B$265=B$3304,CY3460,IF($B$265=B$3305,CZ3460,IF($B$265=B$3306,DA3460,IF($B$265=B$3307,DB3460,IF($B$265=B$3308,DC3460,IF($B$265=B$3309,DD3460,IF($B$265=B$3310,DE3460,IF($B$265=B$3311,DF3460,IF($B$265=B$3312,DG3460,IF($B$265=B$3313,DH3460,IF($B$265=B$3314,DI3460,IF($B$265=B$3315,DJ3460,IF($B$265=B$3316,DK3460,IF($B$265=B$3317,DL3460,IF($B$265=B$3318,DM3460,IF($B$265=B$3319,DN3460,IF($B$265=B$3320,DO3460,IF($B$265=B$3321,DP3460,IF($B$265=B$3322,DQ3460,IF($B$265=B$3323,DR3460,IF($B$265=B$3324,DS3460,IF($B$265=B$3325,DT3460,IF($B$265=B$3326,DU3460,IF($B$265=B$3327,DV3460,IF($B$265=B$3328,DW3460,IF($B$265=B$3329,DX3460,""))))))))))))))))))))))))))))))))))))))))))))))))))))</f>
        <v/>
      </c>
      <c r="BZ3461" s="245" t="s">
        <v>885</v>
      </c>
      <c r="CA3461" s="245" t="s">
        <v>885</v>
      </c>
      <c r="CC3461" s="245" t="s">
        <v>885</v>
      </c>
      <c r="CD3461" s="459" t="s">
        <v>885</v>
      </c>
      <c r="CE3461" s="459" t="s">
        <v>885</v>
      </c>
      <c r="CF3461" s="245" t="s">
        <v>885</v>
      </c>
      <c r="CG3461" s="245" t="s">
        <v>885</v>
      </c>
      <c r="CH3461" s="245" t="s">
        <v>885</v>
      </c>
      <c r="CI3461" s="245" t="s">
        <v>885</v>
      </c>
      <c r="CJ3461" s="459" t="s">
        <v>885</v>
      </c>
      <c r="CK3461" s="459" t="s">
        <v>885</v>
      </c>
      <c r="CL3461" s="459" t="s">
        <v>885</v>
      </c>
      <c r="CM3461" s="459" t="s">
        <v>885</v>
      </c>
      <c r="CN3461" s="459" t="s">
        <v>885</v>
      </c>
      <c r="CO3461" s="459" t="s">
        <v>885</v>
      </c>
      <c r="CP3461" s="459" t="s">
        <v>885</v>
      </c>
      <c r="CQ3461" s="459" t="s">
        <v>885</v>
      </c>
      <c r="CR3461" s="459" t="s">
        <v>885</v>
      </c>
      <c r="CS3461" s="459" t="s">
        <v>885</v>
      </c>
      <c r="CT3461" s="245" t="s">
        <v>885</v>
      </c>
      <c r="CU3461" s="463" t="s">
        <v>885</v>
      </c>
      <c r="CV3461" s="245" t="s">
        <v>885</v>
      </c>
      <c r="CW3461" s="245" t="s">
        <v>885</v>
      </c>
      <c r="CX3461" s="459" t="s">
        <v>885</v>
      </c>
      <c r="CY3461" s="459" t="s">
        <v>885</v>
      </c>
      <c r="CZ3461" s="459" t="s">
        <v>885</v>
      </c>
      <c r="DA3461" s="459" t="s">
        <v>885</v>
      </c>
      <c r="DB3461" s="459" t="s">
        <v>885</v>
      </c>
      <c r="DC3461" s="459" t="s">
        <v>885</v>
      </c>
      <c r="DD3461" s="459" t="s">
        <v>885</v>
      </c>
      <c r="DE3461" s="459" t="s">
        <v>885</v>
      </c>
      <c r="DF3461" s="459" t="s">
        <v>885</v>
      </c>
      <c r="DG3461" s="459" t="s">
        <v>885</v>
      </c>
      <c r="DH3461" s="459" t="s">
        <v>885</v>
      </c>
      <c r="DI3461" s="459" t="s">
        <v>885</v>
      </c>
      <c r="DJ3461" s="459" t="s">
        <v>885</v>
      </c>
      <c r="DK3461" s="459" t="s">
        <v>885</v>
      </c>
      <c r="DL3461" s="459" t="s">
        <v>885</v>
      </c>
      <c r="DM3461" s="459" t="s">
        <v>885</v>
      </c>
      <c r="DN3461" s="459" t="s">
        <v>885</v>
      </c>
      <c r="DO3461" s="459" t="s">
        <v>885</v>
      </c>
      <c r="DP3461" t="s">
        <v>3029</v>
      </c>
      <c r="DQ3461" s="459" t="s">
        <v>885</v>
      </c>
      <c r="DR3461" s="459" t="s">
        <v>885</v>
      </c>
      <c r="DS3461" s="459" t="s">
        <v>885</v>
      </c>
      <c r="DT3461" s="459" t="s">
        <v>885</v>
      </c>
      <c r="DU3461" s="459" t="s">
        <v>885</v>
      </c>
      <c r="DV3461" s="459" t="s">
        <v>885</v>
      </c>
      <c r="DW3461" s="459" t="s">
        <v>885</v>
      </c>
      <c r="DX3461" s="245" t="s">
        <v>885</v>
      </c>
      <c r="DY3461" s="245"/>
      <c r="DZ3461" s="470" t="str">
        <f>IF($B$265=$B$3278,EB3461,IF($B$265=$B$3279,ED3461,IF($B$265=$B$3280,EF3461,IF($B$265=$B$3281,EH3461,IF($B$265=$B$3282,EJ3461,IF($B$265=$B$3283,EL3461,IF($B$265=$B$3284,EN3461,IF($B$265=$B$3285,EP3461,IF($B$265=$B$3286,ER3461,IF($B$265=$B$3287,ET3461,IF($B$265=$B$3288,EV3461,IF($B$265=$B$3289,EX3461,IF($B$265=$B$3290,EZ3461,IF($B$265=$B$3291,FB3461,IF($B$265=$B$3292,FD3461,IF($B$265=$B$3293,BU3461,IF($B$265=$B$3294,FF3461,IF($B$265=$B$3295,FH3461,IF($B$265=$B$3296,FJ3461,IF($B$265=$B$3297,FL3461,IF($B$265=$B$3298,FN3461,IF($B$265=$B$3299,FP3461,IF(BI$265=$B$3300,FR3461,IF($B$265=$B$3301,FT3461,IF($B$265=$B$3302,FV3461,IF($B$265=$B$3303,FX3461,IF($B$265=$B$3304,FZ3461,IF($B$265=$B$3305,GB3461,IF($B$265=$B$3306,GD3461,IF($B$265=$B$3307,GF3461,IF($B$265=$B$3308,GH3461,IF($B$265=$B$3309,GJ3461,IF($B$265=$B$3310,GL3461,IF($B$265=$B$3311,GN3461,IF($B$265=$B$3312,GP3461,IF($B$265=$B$3313,GR3461,IF($B$265=$B$3314,GT3461,IF($B$265=$B$3315,GV3461,IF($B$265=$B$3316,GX3461,IF($B$265=$B$3317,GZ3461,IF($B$265=$B$3318,HB3461,IF($B$265=$B$3319,HD3461,IF($B$265=$B$3320,HF3461,IF($B$265=$B$3321,HH3461,IF($B$265=$B$3322,HJ3461,IF($B$265=$B$3323,HL3461,IF($B$265=$B$3324,HN3461,IF($B$265=$B$3325,HP3461,IF($B$265=$B$3326,HR3461,IF($B$265=$B$3327,HT3461,IF($B$265=$B$3328,HV3461,IF($B$265=$B$3329,HX3461,""))))))))))))))))))))))))))))))))))))))))))))))))))))</f>
        <v/>
      </c>
      <c r="EA3461" s="470" t="str">
        <f>IF($B$265=$B$3278,EC3461,IF($B$265=$B$3279,EE3461,IF($B$265=$B$3280,EG3461,IF($B$265=$B$3281,EI3461,IF($B$265=$B$3282,EK3461,IF($B$265=$B$3283,EM3461,IF($B$265=$B$3284,EO3461,IF($B$265=$B$3285,EQ3461,IF($B$265=$B$3286,ES3461,IF($B$265=$B$3287,EU3461,IF($B$265=$B$3288,EW3461,IF($B$265=$B$3289,EY3461,IF($B$265=$B$3290,FA3461,IF($B$265=$B$3291,FC3461,IF($B$265=$B$3292,FE3461,IF($B$265=$B$3293,BK3461,IF($B$265=$B$3294,FG3461,IF($B$265=$B$3295,FI3461,IF($B$265=$B$3296,FK3461,IF($B$265=$B$3297,FM3461,IF($B$265=$B$3298,FO3461,IF($B$265=$B$3299,FQ3461,IF(BJ$265=$B$3300,FS3461,IF($B$265=$B$3301,FU3461,IF($B$265=$B$3302,FW3461,IF($B$265=$B$3303,FY3461,IF($B$265=$B$3304,GA3461,IF($B$265=$B$3305,GC3461,IF($B$265=$B$3306,GE3461,IF($B$265=$B$3307,GG3461,IF($B$265=$B$3308,GI3461,IF($B$265=$B$3309,GK3461,IF($B$265=$B$3310,GM3461,IF($B$265=$B$3311,GO3461,IF($B$265=$B$3312,GQ3461,IF($B$265=$B$3313,GS3461,IF($B$265=$B$3314,GU3461,IF($B$265=$B$3315,GW3461,IF($B$265=$B$3316,GY3461,IF($B$265=$B$3317,HA3461,IF($B$265=$B$3318,HC3461,IF($B$265=$B$3319,HE3461,IF($B$265=$B$3320,HG3461,IF($B$265=$B$3321,HI3461,IF($B$265=$B$3322,HK3461,IF($B$265=$B$3323,HM3461,IF($B$265=$B$3324,HO3461,IF($B$265=$B$3325,HQ3461,IF($B$265=$B$3326,HS3461,IF($B$265=$B$3327,HU3461,IF($B$265=$B$3328,HW3461,IF($B$265=$B$3329,HY3461,""))))))))))))))))))))))))))))))))))))))))))))))))))))</f>
        <v/>
      </c>
      <c r="EB3461" s="459" t="s">
        <v>885</v>
      </c>
    </row>
    <row r="3462" spans="1:132" ht="16" hidden="1" x14ac:dyDescent="0.4">
      <c r="A3462" s="813"/>
      <c r="BB3462" s="48"/>
      <c r="BS3462" s="464" t="str">
        <f>IF($B$265=B$3278,BZ3461,IF($B$265=B$3279,CA3461,IF($B$265=B$3280,CB3461,IF($B$265=B$3281,CC3461,IF($B$265=B$3282,CD3461,IF($B$265=B$3283,CE3461,IF($B$265=B$3284,CF3461,IF($B$265=B$3285,CG3461,IF($B$265=B$3286,CH3461,IF($B$265=B$3287,CI3461,IF($B$265=B$3288,CJ3461,IF($B$265=B$3289,CK3461,IF($B$265=B$3290,CL3461,IF($B$265=B$3291,CM3461,IF($B$265=B$3292,CN3461,IF($B$265=B$3293,D2767,IF($B$265=B$3294,CO3461,IF($B$265=B$3295,CP3461,IF($B$265=B$3296,CQ3461,IF($B$265=B$3297,CR3461,IF($B$265=B$3298,CS3461,IF($B$265=B$3299,CT3461,IF(B$265=B$3300,CU3461,IF($B$265=B$3301,CV3461,IF($B$265=B$3302,CW3461,IF($B$265=B$3303,CX3461,IF($B$265=B$3304,CY3461,IF($B$265=B$3305,CZ3461,IF($B$265=B$3306,DA3461,IF($B$265=B$3307,DB3461,IF($B$265=B$3308,DC3461,IF($B$265=B$3309,DD3461,IF($B$265=B$3310,DE3461,IF($B$265=B$3311,DF3461,IF($B$265=B$3312,DG3461,IF($B$265=B$3313,DH3461,IF($B$265=B$3314,DI3461,IF($B$265=B$3315,DJ3461,IF($B$265=B$3316,DK3461,IF($B$265=B$3317,DL3461,IF($B$265=B$3318,DM3461,IF($B$265=B$3319,DN3461,IF($B$265=B$3320,DO3461,IF($B$265=B$3321,DP3461,IF($B$265=B$3322,DQ3461,IF($B$265=B$3323,DR3461,IF($B$265=B$3324,DS3461,IF($B$265=B$3325,DT3461,IF($B$265=B$3326,DU3461,IF($B$265=B$3327,DV3461,IF($B$265=B$3328,DW3461,IF($B$265=B$3329,DX3461,""))))))))))))))))))))))))))))))))))))))))))))))))))))</f>
        <v/>
      </c>
      <c r="BZ3462" s="245" t="s">
        <v>885</v>
      </c>
      <c r="CA3462" s="245" t="s">
        <v>885</v>
      </c>
      <c r="CC3462" s="245" t="s">
        <v>885</v>
      </c>
      <c r="CD3462" s="459" t="s">
        <v>885</v>
      </c>
      <c r="CE3462" s="459" t="s">
        <v>885</v>
      </c>
      <c r="CF3462" s="245" t="s">
        <v>885</v>
      </c>
      <c r="CG3462" s="245" t="s">
        <v>885</v>
      </c>
      <c r="CH3462" s="245" t="s">
        <v>885</v>
      </c>
      <c r="CI3462" s="245" t="s">
        <v>885</v>
      </c>
      <c r="CJ3462" s="459" t="s">
        <v>885</v>
      </c>
      <c r="CK3462" s="459" t="s">
        <v>885</v>
      </c>
      <c r="CL3462" s="459" t="s">
        <v>885</v>
      </c>
      <c r="CM3462" s="459" t="s">
        <v>885</v>
      </c>
      <c r="CN3462" s="459" t="s">
        <v>885</v>
      </c>
      <c r="CO3462" s="459" t="s">
        <v>885</v>
      </c>
      <c r="CP3462" s="459" t="s">
        <v>885</v>
      </c>
      <c r="CQ3462" s="459" t="s">
        <v>885</v>
      </c>
      <c r="CR3462" s="459" t="s">
        <v>885</v>
      </c>
      <c r="CS3462" s="459" t="s">
        <v>885</v>
      </c>
      <c r="CT3462" s="245" t="s">
        <v>885</v>
      </c>
      <c r="CU3462" s="463" t="s">
        <v>885</v>
      </c>
      <c r="CV3462" s="245" t="s">
        <v>885</v>
      </c>
      <c r="CW3462" s="245" t="s">
        <v>885</v>
      </c>
      <c r="CX3462" s="459" t="s">
        <v>885</v>
      </c>
      <c r="CY3462" s="459" t="s">
        <v>885</v>
      </c>
      <c r="CZ3462" s="459" t="s">
        <v>885</v>
      </c>
      <c r="DA3462" s="459" t="s">
        <v>885</v>
      </c>
      <c r="DB3462" s="459" t="s">
        <v>885</v>
      </c>
      <c r="DC3462" s="459" t="s">
        <v>885</v>
      </c>
      <c r="DD3462" s="459" t="s">
        <v>885</v>
      </c>
      <c r="DE3462" s="459" t="s">
        <v>885</v>
      </c>
      <c r="DF3462" s="459" t="s">
        <v>885</v>
      </c>
      <c r="DG3462" s="459" t="s">
        <v>885</v>
      </c>
      <c r="DH3462" s="459" t="s">
        <v>885</v>
      </c>
      <c r="DI3462" s="459" t="s">
        <v>885</v>
      </c>
      <c r="DJ3462" s="459" t="s">
        <v>885</v>
      </c>
      <c r="DK3462" s="459" t="s">
        <v>885</v>
      </c>
      <c r="DL3462" s="459" t="s">
        <v>885</v>
      </c>
      <c r="DM3462" s="459" t="s">
        <v>885</v>
      </c>
      <c r="DN3462" s="459" t="s">
        <v>885</v>
      </c>
      <c r="DO3462" s="459" t="s">
        <v>885</v>
      </c>
      <c r="DP3462" t="s">
        <v>2730</v>
      </c>
      <c r="DQ3462" s="459" t="s">
        <v>885</v>
      </c>
      <c r="DR3462" s="459" t="s">
        <v>885</v>
      </c>
      <c r="DS3462" s="459" t="s">
        <v>885</v>
      </c>
      <c r="DT3462" s="459" t="s">
        <v>885</v>
      </c>
      <c r="DU3462" s="459" t="s">
        <v>885</v>
      </c>
      <c r="DV3462" s="459" t="s">
        <v>885</v>
      </c>
      <c r="DW3462" s="459" t="s">
        <v>885</v>
      </c>
      <c r="DX3462" s="245" t="s">
        <v>885</v>
      </c>
      <c r="DY3462" s="245"/>
      <c r="DZ3462" s="470" t="str">
        <f>IF($B$265=$B$3278,EB3462,IF($B$265=$B$3279,ED3462,IF($B$265=$B$3280,EF3462,IF($B$265=$B$3281,EH3462,IF($B$265=$B$3282,EJ3462,IF($B$265=$B$3283,EL3462,IF($B$265=$B$3284,EN3462,IF($B$265=$B$3285,EP3462,IF($B$265=$B$3286,ER3462,IF($B$265=$B$3287,ET3462,IF($B$265=$B$3288,EV3462,IF($B$265=$B$3289,EX3462,IF($B$265=$B$3290,EZ3462,IF($B$265=$B$3291,FB3462,IF($B$265=$B$3292,FD3462,IF($B$265=$B$3293,BU3462,IF($B$265=$B$3294,FF3462,IF($B$265=$B$3295,FH3462,IF($B$265=$B$3296,FJ3462,IF($B$265=$B$3297,FL3462,IF($B$265=$B$3298,FN3462,IF($B$265=$B$3299,FP3462,IF(BI$265=$B$3300,FR3462,IF($B$265=$B$3301,FT3462,IF($B$265=$B$3302,FV3462,IF($B$265=$B$3303,FX3462,IF($B$265=$B$3304,FZ3462,IF($B$265=$B$3305,GB3462,IF($B$265=$B$3306,GD3462,IF($B$265=$B$3307,GF3462,IF($B$265=$B$3308,GH3462,IF($B$265=$B$3309,GJ3462,IF($B$265=$B$3310,GL3462,IF($B$265=$B$3311,GN3462,IF($B$265=$B$3312,GP3462,IF($B$265=$B$3313,GR3462,IF($B$265=$B$3314,GT3462,IF($B$265=$B$3315,GV3462,IF($B$265=$B$3316,GX3462,IF($B$265=$B$3317,GZ3462,IF($B$265=$B$3318,HB3462,IF($B$265=$B$3319,HD3462,IF($B$265=$B$3320,HF3462,IF($B$265=$B$3321,HH3462,IF($B$265=$B$3322,HJ3462,IF($B$265=$B$3323,HL3462,IF($B$265=$B$3324,HN3462,IF($B$265=$B$3325,HP3462,IF($B$265=$B$3326,HR3462,IF($B$265=$B$3327,HT3462,IF($B$265=$B$3328,HV3462,IF($B$265=$B$3329,HX3462,""))))))))))))))))))))))))))))))))))))))))))))))))))))</f>
        <v/>
      </c>
      <c r="EA3462" s="470" t="str">
        <f>IF($B$265=$B$3278,EC3462,IF($B$265=$B$3279,EE3462,IF($B$265=$B$3280,EG3462,IF($B$265=$B$3281,EI3462,IF($B$265=$B$3282,EK3462,IF($B$265=$B$3283,EM3462,IF($B$265=$B$3284,EO3462,IF($B$265=$B$3285,EQ3462,IF($B$265=$B$3286,ES3462,IF($B$265=$B$3287,EU3462,IF($B$265=$B$3288,EW3462,IF($B$265=$B$3289,EY3462,IF($B$265=$B$3290,FA3462,IF($B$265=$B$3291,FC3462,IF($B$265=$B$3292,FE3462,IF($B$265=$B$3293,BK3462,IF($B$265=$B$3294,FG3462,IF($B$265=$B$3295,FI3462,IF($B$265=$B$3296,FK3462,IF($B$265=$B$3297,FM3462,IF($B$265=$B$3298,FO3462,IF($B$265=$B$3299,FQ3462,IF(BJ$265=$B$3300,FS3462,IF($B$265=$B$3301,FU3462,IF($B$265=$B$3302,FW3462,IF($B$265=$B$3303,FY3462,IF($B$265=$B$3304,GA3462,IF($B$265=$B$3305,GC3462,IF($B$265=$B$3306,GE3462,IF($B$265=$B$3307,GG3462,IF($B$265=$B$3308,GI3462,IF($B$265=$B$3309,GK3462,IF($B$265=$B$3310,GM3462,IF($B$265=$B$3311,GO3462,IF($B$265=$B$3312,GQ3462,IF($B$265=$B$3313,GS3462,IF($B$265=$B$3314,GU3462,IF($B$265=$B$3315,GW3462,IF($B$265=$B$3316,GY3462,IF($B$265=$B$3317,HA3462,IF($B$265=$B$3318,HC3462,IF($B$265=$B$3319,HE3462,IF($B$265=$B$3320,HG3462,IF($B$265=$B$3321,HI3462,IF($B$265=$B$3322,HK3462,IF($B$265=$B$3323,HM3462,IF($B$265=$B$3324,HO3462,IF($B$265=$B$3325,HQ3462,IF($B$265=$B$3326,HS3462,IF($B$265=$B$3327,HU3462,IF($B$265=$B$3328,HW3462,IF($B$265=$B$3329,HY3462,""))))))))))))))))))))))))))))))))))))))))))))))))))))</f>
        <v/>
      </c>
      <c r="EB3462" s="459" t="s">
        <v>885</v>
      </c>
    </row>
    <row r="3463" spans="1:132" ht="16" hidden="1" x14ac:dyDescent="0.4">
      <c r="A3463" s="813"/>
      <c r="BB3463" s="48"/>
      <c r="BS3463" s="464" t="str">
        <f>IF($B$265=B$3278,BZ3462,IF($B$265=B$3279,CA3462,IF($B$265=B$3280,CB3462,IF($B$265=B$3281,CC3462,IF($B$265=B$3282,CD3462,IF($B$265=B$3283,CE3462,IF($B$265=B$3284,CF3462,IF($B$265=B$3285,CG3462,IF($B$265=B$3286,CH3462,IF($B$265=B$3287,CI3462,IF($B$265=B$3288,CJ3462,IF($B$265=B$3289,CK3462,IF($B$265=B$3290,CL3462,IF($B$265=B$3291,CM3462,IF($B$265=B$3292,CN3462,IF($B$265=B$3293,D2768,IF($B$265=B$3294,CO3462,IF($B$265=B$3295,CP3462,IF($B$265=B$3296,CQ3462,IF($B$265=B$3297,CR3462,IF($B$265=B$3298,CS3462,IF($B$265=B$3299,CT3462,IF(B$265=B$3300,CU3462,IF($B$265=B$3301,CV3462,IF($B$265=B$3302,CW3462,IF($B$265=B$3303,CX3462,IF($B$265=B$3304,CY3462,IF($B$265=B$3305,CZ3462,IF($B$265=B$3306,DA3462,IF($B$265=B$3307,DB3462,IF($B$265=B$3308,DC3462,IF($B$265=B$3309,DD3462,IF($B$265=B$3310,DE3462,IF($B$265=B$3311,DF3462,IF($B$265=B$3312,DG3462,IF($B$265=B$3313,DH3462,IF($B$265=B$3314,DI3462,IF($B$265=B$3315,DJ3462,IF($B$265=B$3316,DK3462,IF($B$265=B$3317,DL3462,IF($B$265=B$3318,DM3462,IF($B$265=B$3319,DN3462,IF($B$265=B$3320,DO3462,IF($B$265=B$3321,DP3462,IF($B$265=B$3322,DQ3462,IF($B$265=B$3323,DR3462,IF($B$265=B$3324,DS3462,IF($B$265=B$3325,DT3462,IF($B$265=B$3326,DU3462,IF($B$265=B$3327,DV3462,IF($B$265=B$3328,DW3462,IF($B$265=B$3329,DX3462,""))))))))))))))))))))))))))))))))))))))))))))))))))))</f>
        <v/>
      </c>
      <c r="BZ3463" s="245" t="s">
        <v>885</v>
      </c>
      <c r="CA3463" s="245" t="s">
        <v>885</v>
      </c>
      <c r="CC3463" s="245" t="s">
        <v>885</v>
      </c>
      <c r="CD3463" s="459" t="s">
        <v>885</v>
      </c>
      <c r="CE3463" s="459" t="s">
        <v>885</v>
      </c>
      <c r="CF3463" s="245" t="s">
        <v>885</v>
      </c>
      <c r="CG3463" s="245" t="s">
        <v>885</v>
      </c>
      <c r="CH3463" s="245" t="s">
        <v>885</v>
      </c>
      <c r="CI3463" s="245" t="s">
        <v>885</v>
      </c>
      <c r="CJ3463" s="459" t="s">
        <v>885</v>
      </c>
      <c r="CK3463" s="459" t="s">
        <v>885</v>
      </c>
      <c r="CL3463" s="459" t="s">
        <v>885</v>
      </c>
      <c r="CM3463" s="459" t="s">
        <v>885</v>
      </c>
      <c r="CN3463" s="459" t="s">
        <v>885</v>
      </c>
      <c r="CO3463" s="459" t="s">
        <v>885</v>
      </c>
      <c r="CP3463" s="459" t="s">
        <v>885</v>
      </c>
      <c r="CQ3463" s="459" t="s">
        <v>885</v>
      </c>
      <c r="CR3463" s="459" t="s">
        <v>885</v>
      </c>
      <c r="CS3463" s="459" t="s">
        <v>885</v>
      </c>
      <c r="CT3463" s="245" t="s">
        <v>885</v>
      </c>
      <c r="CU3463" s="463" t="s">
        <v>885</v>
      </c>
      <c r="CV3463" s="245" t="s">
        <v>885</v>
      </c>
      <c r="CW3463" s="245" t="s">
        <v>885</v>
      </c>
      <c r="CX3463" s="459" t="s">
        <v>885</v>
      </c>
      <c r="CY3463" s="459" t="s">
        <v>885</v>
      </c>
      <c r="CZ3463" s="459" t="s">
        <v>885</v>
      </c>
      <c r="DA3463" s="459" t="s">
        <v>885</v>
      </c>
      <c r="DB3463" s="459" t="s">
        <v>885</v>
      </c>
      <c r="DC3463" s="459" t="s">
        <v>885</v>
      </c>
      <c r="DD3463" s="459" t="s">
        <v>885</v>
      </c>
      <c r="DE3463" s="459" t="s">
        <v>885</v>
      </c>
      <c r="DF3463" s="459" t="s">
        <v>885</v>
      </c>
      <c r="DG3463" s="459" t="s">
        <v>885</v>
      </c>
      <c r="DH3463" s="459" t="s">
        <v>885</v>
      </c>
      <c r="DI3463" s="459" t="s">
        <v>885</v>
      </c>
      <c r="DJ3463" s="459" t="s">
        <v>885</v>
      </c>
      <c r="DK3463" s="459" t="s">
        <v>885</v>
      </c>
      <c r="DL3463" s="459" t="s">
        <v>885</v>
      </c>
      <c r="DM3463" s="459" t="s">
        <v>885</v>
      </c>
      <c r="DN3463" s="459" t="s">
        <v>885</v>
      </c>
      <c r="DO3463" s="459" t="s">
        <v>885</v>
      </c>
      <c r="DP3463" t="s">
        <v>1934</v>
      </c>
      <c r="DQ3463" s="459" t="s">
        <v>885</v>
      </c>
      <c r="DR3463" s="459" t="s">
        <v>885</v>
      </c>
      <c r="DS3463" s="459" t="s">
        <v>885</v>
      </c>
      <c r="DT3463" s="459" t="s">
        <v>885</v>
      </c>
      <c r="DU3463" s="459" t="s">
        <v>885</v>
      </c>
      <c r="DV3463" s="459" t="s">
        <v>885</v>
      </c>
      <c r="DW3463" s="459" t="s">
        <v>885</v>
      </c>
      <c r="DX3463" s="245" t="s">
        <v>885</v>
      </c>
      <c r="DY3463" s="245"/>
      <c r="DZ3463" s="470" t="str">
        <f>IF($B$265=$B$3278,EB3463,IF($B$265=$B$3279,ED3463,IF($B$265=$B$3280,EF3463,IF($B$265=$B$3281,EH3463,IF($B$265=$B$3282,EJ3463,IF($B$265=$B$3283,EL3463,IF($B$265=$B$3284,EN3463,IF($B$265=$B$3285,EP3463,IF($B$265=$B$3286,ER3463,IF($B$265=$B$3287,ET3463,IF($B$265=$B$3288,EV3463,IF($B$265=$B$3289,EX3463,IF($B$265=$B$3290,EZ3463,IF($B$265=$B$3291,FB3463,IF($B$265=$B$3292,FD3463,IF($B$265=$B$3293,BU3463,IF($B$265=$B$3294,FF3463,IF($B$265=$B$3295,FH3463,IF($B$265=$B$3296,FJ3463,IF($B$265=$B$3297,FL3463,IF($B$265=$B$3298,FN3463,IF($B$265=$B$3299,FP3463,IF(BI$265=$B$3300,FR3463,IF($B$265=$B$3301,FT3463,IF($B$265=$B$3302,FV3463,IF($B$265=$B$3303,FX3463,IF($B$265=$B$3304,FZ3463,IF($B$265=$B$3305,GB3463,IF($B$265=$B$3306,GD3463,IF($B$265=$B$3307,GF3463,IF($B$265=$B$3308,GH3463,IF($B$265=$B$3309,GJ3463,IF($B$265=$B$3310,GL3463,IF($B$265=$B$3311,GN3463,IF($B$265=$B$3312,GP3463,IF($B$265=$B$3313,GR3463,IF($B$265=$B$3314,GT3463,IF($B$265=$B$3315,GV3463,IF($B$265=$B$3316,GX3463,IF($B$265=$B$3317,GZ3463,IF($B$265=$B$3318,HB3463,IF($B$265=$B$3319,HD3463,IF($B$265=$B$3320,HF3463,IF($B$265=$B$3321,HH3463,IF($B$265=$B$3322,HJ3463,IF($B$265=$B$3323,HL3463,IF($B$265=$B$3324,HN3463,IF($B$265=$B$3325,HP3463,IF($B$265=$B$3326,HR3463,IF($B$265=$B$3327,HT3463,IF($B$265=$B$3328,HV3463,IF($B$265=$B$3329,HX3463,""))))))))))))))))))))))))))))))))))))))))))))))))))))</f>
        <v/>
      </c>
      <c r="EA3463" s="470" t="str">
        <f>IF($B$265=$B$3278,EC3463,IF($B$265=$B$3279,EE3463,IF($B$265=$B$3280,EG3463,IF($B$265=$B$3281,EI3463,IF($B$265=$B$3282,EK3463,IF($B$265=$B$3283,EM3463,IF($B$265=$B$3284,EO3463,IF($B$265=$B$3285,EQ3463,IF($B$265=$B$3286,ES3463,IF($B$265=$B$3287,EU3463,IF($B$265=$B$3288,EW3463,IF($B$265=$B$3289,EY3463,IF($B$265=$B$3290,FA3463,IF($B$265=$B$3291,FC3463,IF($B$265=$B$3292,FE3463,IF($B$265=$B$3293,BK3463,IF($B$265=$B$3294,FG3463,IF($B$265=$B$3295,FI3463,IF($B$265=$B$3296,FK3463,IF($B$265=$B$3297,FM3463,IF($B$265=$B$3298,FO3463,IF($B$265=$B$3299,FQ3463,IF(BJ$265=$B$3300,FS3463,IF($B$265=$B$3301,FU3463,IF($B$265=$B$3302,FW3463,IF($B$265=$B$3303,FY3463,IF($B$265=$B$3304,GA3463,IF($B$265=$B$3305,GC3463,IF($B$265=$B$3306,GE3463,IF($B$265=$B$3307,GG3463,IF($B$265=$B$3308,GI3463,IF($B$265=$B$3309,GK3463,IF($B$265=$B$3310,GM3463,IF($B$265=$B$3311,GO3463,IF($B$265=$B$3312,GQ3463,IF($B$265=$B$3313,GS3463,IF($B$265=$B$3314,GU3463,IF($B$265=$B$3315,GW3463,IF($B$265=$B$3316,GY3463,IF($B$265=$B$3317,HA3463,IF($B$265=$B$3318,HC3463,IF($B$265=$B$3319,HE3463,IF($B$265=$B$3320,HG3463,IF($B$265=$B$3321,HI3463,IF($B$265=$B$3322,HK3463,IF($B$265=$B$3323,HM3463,IF($B$265=$B$3324,HO3463,IF($B$265=$B$3325,HQ3463,IF($B$265=$B$3326,HS3463,IF($B$265=$B$3327,HU3463,IF($B$265=$B$3328,HW3463,IF($B$265=$B$3329,HY3463,""))))))))))))))))))))))))))))))))))))))))))))))))))))</f>
        <v/>
      </c>
      <c r="EB3463" s="459" t="s">
        <v>885</v>
      </c>
    </row>
    <row r="3464" spans="1:132" ht="16" hidden="1" x14ac:dyDescent="0.4">
      <c r="A3464" s="813"/>
      <c r="BS3464" s="464" t="str">
        <f>IF($B$265=B$3278,BZ3463,IF($B$265=B$3279,CA3463,IF($B$265=B$3280,CB3463,IF($B$265=B$3281,CC3463,IF($B$265=B$3282,CD3463,IF($B$265=B$3283,CE3463,IF($B$265=B$3284,CF3463,IF($B$265=B$3285,CG3463,IF($B$265=B$3286,CH3463,IF($B$265=B$3287,CI3463,IF($B$265=B$3288,CJ3463,IF($B$265=B$3289,CK3463,IF($B$265=B$3290,CL3463,IF($B$265=B$3291,CM3463,IF($B$265=B$3292,CN3463,IF($B$265=B$3293,D2769,IF($B$265=B$3294,CO3463,IF($B$265=B$3295,CP3463,IF($B$265=B$3296,CQ3463,IF($B$265=B$3297,CR3463,IF($B$265=B$3298,CS3463,IF($B$265=B$3299,CT3463,IF(B$265=B$3300,CU3463,IF($B$265=B$3301,CV3463,IF($B$265=B$3302,CW3463,IF($B$265=B$3303,CX3463,IF($B$265=B$3304,CY3463,IF($B$265=B$3305,CZ3463,IF($B$265=B$3306,DA3463,IF($B$265=B$3307,DB3463,IF($B$265=B$3308,DC3463,IF($B$265=B$3309,DD3463,IF($B$265=B$3310,DE3463,IF($B$265=B$3311,DF3463,IF($B$265=B$3312,DG3463,IF($B$265=B$3313,DH3463,IF($B$265=B$3314,DI3463,IF($B$265=B$3315,DJ3463,IF($B$265=B$3316,DK3463,IF($B$265=B$3317,DL3463,IF($B$265=B$3318,DM3463,IF($B$265=B$3319,DN3463,IF($B$265=B$3320,DO3463,IF($B$265=B$3321,DP3463,IF($B$265=B$3322,DQ3463,IF($B$265=B$3323,DR3463,IF($B$265=B$3324,DS3463,IF($B$265=B$3325,DT3463,IF($B$265=B$3326,DU3463,IF($B$265=B$3327,DV3463,IF($B$265=B$3328,DW3463,IF($B$265=B$3329,DX3463,""))))))))))))))))))))))))))))))))))))))))))))))))))))</f>
        <v/>
      </c>
      <c r="BZ3464" s="245" t="s">
        <v>885</v>
      </c>
      <c r="CA3464" s="245" t="s">
        <v>885</v>
      </c>
      <c r="CC3464" s="245" t="s">
        <v>885</v>
      </c>
      <c r="CD3464" s="459" t="s">
        <v>885</v>
      </c>
      <c r="CE3464" s="459" t="s">
        <v>885</v>
      </c>
      <c r="CF3464" s="245" t="s">
        <v>885</v>
      </c>
      <c r="CG3464" s="245" t="s">
        <v>885</v>
      </c>
      <c r="CH3464" s="245" t="s">
        <v>885</v>
      </c>
      <c r="CI3464" s="245" t="s">
        <v>885</v>
      </c>
      <c r="CJ3464" s="459" t="s">
        <v>885</v>
      </c>
      <c r="CK3464" s="459" t="s">
        <v>885</v>
      </c>
      <c r="CL3464" s="459" t="s">
        <v>885</v>
      </c>
      <c r="CM3464" s="459" t="s">
        <v>885</v>
      </c>
      <c r="CN3464" s="459" t="s">
        <v>885</v>
      </c>
      <c r="CO3464" s="459" t="s">
        <v>885</v>
      </c>
      <c r="CP3464" s="459" t="s">
        <v>885</v>
      </c>
      <c r="CQ3464" s="459" t="s">
        <v>885</v>
      </c>
      <c r="CR3464" s="459" t="s">
        <v>885</v>
      </c>
      <c r="CS3464" s="459" t="s">
        <v>885</v>
      </c>
      <c r="CT3464" s="245" t="s">
        <v>885</v>
      </c>
      <c r="CU3464" s="463" t="s">
        <v>885</v>
      </c>
      <c r="CV3464" s="245" t="s">
        <v>885</v>
      </c>
      <c r="CW3464" s="245" t="s">
        <v>885</v>
      </c>
      <c r="CX3464" s="459" t="s">
        <v>885</v>
      </c>
      <c r="CY3464" s="459" t="s">
        <v>885</v>
      </c>
      <c r="CZ3464" s="459" t="s">
        <v>885</v>
      </c>
      <c r="DA3464" s="459" t="s">
        <v>885</v>
      </c>
      <c r="DB3464" s="459" t="s">
        <v>885</v>
      </c>
      <c r="DC3464" s="459" t="s">
        <v>885</v>
      </c>
      <c r="DD3464" s="459" t="s">
        <v>885</v>
      </c>
      <c r="DE3464" s="459" t="s">
        <v>885</v>
      </c>
      <c r="DF3464" s="459" t="s">
        <v>885</v>
      </c>
      <c r="DG3464" s="459" t="s">
        <v>885</v>
      </c>
      <c r="DH3464" s="459" t="s">
        <v>885</v>
      </c>
      <c r="DI3464" s="459" t="s">
        <v>885</v>
      </c>
      <c r="DJ3464" s="459" t="s">
        <v>885</v>
      </c>
      <c r="DK3464" s="459" t="s">
        <v>885</v>
      </c>
      <c r="DL3464" s="459" t="s">
        <v>885</v>
      </c>
      <c r="DM3464" s="459" t="s">
        <v>885</v>
      </c>
      <c r="DN3464" s="459" t="s">
        <v>885</v>
      </c>
      <c r="DO3464" s="459" t="s">
        <v>885</v>
      </c>
      <c r="DP3464" t="s">
        <v>2295</v>
      </c>
      <c r="DQ3464" s="459" t="s">
        <v>885</v>
      </c>
      <c r="DR3464" s="459" t="s">
        <v>885</v>
      </c>
      <c r="DS3464" s="459" t="s">
        <v>885</v>
      </c>
      <c r="DT3464" s="459" t="s">
        <v>885</v>
      </c>
      <c r="DU3464" s="459" t="s">
        <v>885</v>
      </c>
      <c r="DV3464" s="459" t="s">
        <v>885</v>
      </c>
      <c r="DW3464" s="459" t="s">
        <v>885</v>
      </c>
      <c r="DX3464" s="245" t="s">
        <v>885</v>
      </c>
      <c r="DY3464" s="245"/>
      <c r="DZ3464" s="470" t="str">
        <f>IF($B$265=$B$3278,EB3464,IF($B$265=$B$3279,ED3464,IF($B$265=$B$3280,EF3464,IF($B$265=$B$3281,EH3464,IF($B$265=$B$3282,EJ3464,IF($B$265=$B$3283,EL3464,IF($B$265=$B$3284,EN3464,IF($B$265=$B$3285,EP3464,IF($B$265=$B$3286,ER3464,IF($B$265=$B$3287,ET3464,IF($B$265=$B$3288,EV3464,IF($B$265=$B$3289,EX3464,IF($B$265=$B$3290,EZ3464,IF($B$265=$B$3291,FB3464,IF($B$265=$B$3292,FD3464,IF($B$265=$B$3293,BU3464,IF($B$265=$B$3294,FF3464,IF($B$265=$B$3295,FH3464,IF($B$265=$B$3296,FJ3464,IF($B$265=$B$3297,FL3464,IF($B$265=$B$3298,FN3464,IF($B$265=$B$3299,FP3464,IF(BI$265=$B$3300,FR3464,IF($B$265=$B$3301,FT3464,IF($B$265=$B$3302,FV3464,IF($B$265=$B$3303,FX3464,IF($B$265=$B$3304,FZ3464,IF($B$265=$B$3305,GB3464,IF($B$265=$B$3306,GD3464,IF($B$265=$B$3307,GF3464,IF($B$265=$B$3308,GH3464,IF($B$265=$B$3309,GJ3464,IF($B$265=$B$3310,GL3464,IF($B$265=$B$3311,GN3464,IF($B$265=$B$3312,GP3464,IF($B$265=$B$3313,GR3464,IF($B$265=$B$3314,GT3464,IF($B$265=$B$3315,GV3464,IF($B$265=$B$3316,GX3464,IF($B$265=$B$3317,GZ3464,IF($B$265=$B$3318,HB3464,IF($B$265=$B$3319,HD3464,IF($B$265=$B$3320,HF3464,IF($B$265=$B$3321,HH3464,IF($B$265=$B$3322,HJ3464,IF($B$265=$B$3323,HL3464,IF($B$265=$B$3324,HN3464,IF($B$265=$B$3325,HP3464,IF($B$265=$B$3326,HR3464,IF($B$265=$B$3327,HT3464,IF($B$265=$B$3328,HV3464,IF($B$265=$B$3329,HX3464,""))))))))))))))))))))))))))))))))))))))))))))))))))))</f>
        <v/>
      </c>
      <c r="EA3464" s="470" t="str">
        <f>IF($B$265=$B$3278,EC3464,IF($B$265=$B$3279,EE3464,IF($B$265=$B$3280,EG3464,IF($B$265=$B$3281,EI3464,IF($B$265=$B$3282,EK3464,IF($B$265=$B$3283,EM3464,IF($B$265=$B$3284,EO3464,IF($B$265=$B$3285,EQ3464,IF($B$265=$B$3286,ES3464,IF($B$265=$B$3287,EU3464,IF($B$265=$B$3288,EW3464,IF($B$265=$B$3289,EY3464,IF($B$265=$B$3290,FA3464,IF($B$265=$B$3291,FC3464,IF($B$265=$B$3292,FE3464,IF($B$265=$B$3293,BK3464,IF($B$265=$B$3294,FG3464,IF($B$265=$B$3295,FI3464,IF($B$265=$B$3296,FK3464,IF($B$265=$B$3297,FM3464,IF($B$265=$B$3298,FO3464,IF($B$265=$B$3299,FQ3464,IF(BJ$265=$B$3300,FS3464,IF($B$265=$B$3301,FU3464,IF($B$265=$B$3302,FW3464,IF($B$265=$B$3303,FY3464,IF($B$265=$B$3304,GA3464,IF($B$265=$B$3305,GC3464,IF($B$265=$B$3306,GE3464,IF($B$265=$B$3307,GG3464,IF($B$265=$B$3308,GI3464,IF($B$265=$B$3309,GK3464,IF($B$265=$B$3310,GM3464,IF($B$265=$B$3311,GO3464,IF($B$265=$B$3312,GQ3464,IF($B$265=$B$3313,GS3464,IF($B$265=$B$3314,GU3464,IF($B$265=$B$3315,GW3464,IF($B$265=$B$3316,GY3464,IF($B$265=$B$3317,HA3464,IF($B$265=$B$3318,HC3464,IF($B$265=$B$3319,HE3464,IF($B$265=$B$3320,HG3464,IF($B$265=$B$3321,HI3464,IF($B$265=$B$3322,HK3464,IF($B$265=$B$3323,HM3464,IF($B$265=$B$3324,HO3464,IF($B$265=$B$3325,HQ3464,IF($B$265=$B$3326,HS3464,IF($B$265=$B$3327,HU3464,IF($B$265=$B$3328,HW3464,IF($B$265=$B$3329,HY3464,""))))))))))))))))))))))))))))))))))))))))))))))))))))</f>
        <v/>
      </c>
      <c r="EB3464" s="459" t="s">
        <v>885</v>
      </c>
    </row>
    <row r="3465" spans="1:132" ht="16" hidden="1" x14ac:dyDescent="0.4">
      <c r="A3465" s="813"/>
      <c r="BB3465" s="48"/>
      <c r="BS3465" s="464" t="str">
        <f>IF($B$265=B$3278,BZ3464,IF($B$265=B$3279,CA3464,IF($B$265=B$3280,CB3464,IF($B$265=B$3281,CC3464,IF($B$265=B$3282,CD3464,IF($B$265=B$3283,CE3464,IF($B$265=B$3284,CF3464,IF($B$265=B$3285,CG3464,IF($B$265=B$3286,CH3464,IF($B$265=B$3287,CI3464,IF($B$265=B$3288,CJ3464,IF($B$265=B$3289,CK3464,IF($B$265=B$3290,CL3464,IF($B$265=B$3291,CM3464,IF($B$265=B$3292,CN3464,IF($B$265=B$3293,#REF!,IF($B$265=B$3294,CO3464,IF($B$265=B$3295,CP3464,IF($B$265=B$3296,CQ3464,IF($B$265=B$3297,CR3464,IF($B$265=B$3298,CS3464,IF($B$265=B$3299,CT3464,IF(B$265=B$3300,CU3464,IF($B$265=B$3301,CV3464,IF($B$265=B$3302,CW3464,IF($B$265=B$3303,CX3464,IF($B$265=B$3304,CY3464,IF($B$265=B$3305,CZ3464,IF($B$265=B$3306,DA3464,IF($B$265=B$3307,DB3464,IF($B$265=B$3308,DC3464,IF($B$265=B$3309,DD3464,IF($B$265=B$3310,DE3464,IF($B$265=B$3311,DF3464,IF($B$265=B$3312,DG3464,IF($B$265=B$3313,DH3464,IF($B$265=B$3314,DI3464,IF($B$265=B$3315,DJ3464,IF($B$265=B$3316,DK3464,IF($B$265=B$3317,DL3464,IF($B$265=B$3318,DM3464,IF($B$265=B$3319,DN3464,IF($B$265=B$3320,DO3464,IF($B$265=B$3321,DP3464,IF($B$265=B$3322,DQ3464,IF($B$265=B$3323,DR3464,IF($B$265=B$3324,DS3464,IF($B$265=B$3325,DT3464,IF($B$265=B$3326,DU3464,IF($B$265=B$3327,DV3464,IF($B$265=B$3328,DW3464,IF($B$265=B$3329,DX3464,""))))))))))))))))))))))))))))))))))))))))))))))))))))</f>
        <v/>
      </c>
      <c r="BZ3465" s="245" t="s">
        <v>885</v>
      </c>
      <c r="CA3465" s="245" t="s">
        <v>885</v>
      </c>
      <c r="CC3465" s="245" t="s">
        <v>885</v>
      </c>
      <c r="CD3465" s="459" t="s">
        <v>885</v>
      </c>
      <c r="CE3465" s="459" t="s">
        <v>885</v>
      </c>
      <c r="CF3465" s="245" t="s">
        <v>885</v>
      </c>
      <c r="CG3465" s="245" t="s">
        <v>885</v>
      </c>
      <c r="CH3465" s="245" t="s">
        <v>885</v>
      </c>
      <c r="CI3465" s="245" t="s">
        <v>885</v>
      </c>
      <c r="CJ3465" s="459" t="s">
        <v>885</v>
      </c>
      <c r="CK3465" s="459" t="s">
        <v>885</v>
      </c>
      <c r="CL3465" s="459" t="s">
        <v>885</v>
      </c>
      <c r="CM3465" s="459" t="s">
        <v>885</v>
      </c>
      <c r="CN3465" s="459" t="s">
        <v>885</v>
      </c>
      <c r="CO3465" s="459" t="s">
        <v>885</v>
      </c>
      <c r="CP3465" s="459" t="s">
        <v>885</v>
      </c>
      <c r="CQ3465" s="459" t="s">
        <v>885</v>
      </c>
      <c r="CR3465" s="459" t="s">
        <v>885</v>
      </c>
      <c r="CS3465" s="459" t="s">
        <v>885</v>
      </c>
      <c r="CT3465" s="245" t="s">
        <v>885</v>
      </c>
      <c r="CU3465" s="463" t="s">
        <v>885</v>
      </c>
      <c r="CV3465" s="245" t="s">
        <v>885</v>
      </c>
      <c r="CW3465" s="245" t="s">
        <v>885</v>
      </c>
      <c r="CX3465" s="459" t="s">
        <v>885</v>
      </c>
      <c r="CY3465" s="459" t="s">
        <v>885</v>
      </c>
      <c r="CZ3465" s="459" t="s">
        <v>885</v>
      </c>
      <c r="DA3465" s="459" t="s">
        <v>885</v>
      </c>
      <c r="DB3465" s="459" t="s">
        <v>885</v>
      </c>
      <c r="DC3465" s="459" t="s">
        <v>885</v>
      </c>
      <c r="DD3465" s="459" t="s">
        <v>885</v>
      </c>
      <c r="DE3465" s="459" t="s">
        <v>885</v>
      </c>
      <c r="DF3465" s="459" t="s">
        <v>885</v>
      </c>
      <c r="DG3465" s="459" t="s">
        <v>885</v>
      </c>
      <c r="DH3465" s="459" t="s">
        <v>885</v>
      </c>
      <c r="DI3465" s="459" t="s">
        <v>885</v>
      </c>
      <c r="DJ3465" s="459" t="s">
        <v>885</v>
      </c>
      <c r="DK3465" s="459" t="s">
        <v>885</v>
      </c>
      <c r="DL3465" s="459" t="s">
        <v>885</v>
      </c>
      <c r="DM3465" s="459" t="s">
        <v>885</v>
      </c>
      <c r="DN3465" s="459" t="s">
        <v>885</v>
      </c>
      <c r="DO3465" s="459" t="s">
        <v>885</v>
      </c>
      <c r="DP3465" t="s">
        <v>3030</v>
      </c>
      <c r="DQ3465" s="459" t="s">
        <v>885</v>
      </c>
      <c r="DR3465" s="459" t="s">
        <v>885</v>
      </c>
      <c r="DS3465" s="459" t="s">
        <v>885</v>
      </c>
      <c r="DT3465" s="459" t="s">
        <v>885</v>
      </c>
      <c r="DU3465" s="459" t="s">
        <v>885</v>
      </c>
      <c r="DV3465" s="459" t="s">
        <v>885</v>
      </c>
      <c r="DW3465" s="459" t="s">
        <v>885</v>
      </c>
      <c r="DX3465" s="245" t="s">
        <v>885</v>
      </c>
      <c r="DY3465" s="245"/>
      <c r="DZ3465" s="470" t="str">
        <f>IF($B$265=$B$3278,EB3465,IF($B$265=$B$3279,ED3465,IF($B$265=$B$3280,EF3465,IF($B$265=$B$3281,EH3465,IF($B$265=$B$3282,EJ3465,IF($B$265=$B$3283,EL3465,IF($B$265=$B$3284,EN3465,IF($B$265=$B$3285,EP3465,IF($B$265=$B$3286,ER3465,IF($B$265=$B$3287,ET3465,IF($B$265=$B$3288,EV3465,IF($B$265=$B$3289,EX3465,IF($B$265=$B$3290,EZ3465,IF($B$265=$B$3291,FB3465,IF($B$265=$B$3292,FD3465,IF($B$265=$B$3293,BU3465,IF($B$265=$B$3294,FF3465,IF($B$265=$B$3295,FH3465,IF($B$265=$B$3296,FJ3465,IF($B$265=$B$3297,FL3465,IF($B$265=$B$3298,FN3465,IF($B$265=$B$3299,FP3465,IF(BI$265=$B$3300,FR3465,IF($B$265=$B$3301,FT3465,IF($B$265=$B$3302,FV3465,IF($B$265=$B$3303,FX3465,IF($B$265=$B$3304,FZ3465,IF($B$265=$B$3305,GB3465,IF($B$265=$B$3306,GD3465,IF($B$265=$B$3307,GF3465,IF($B$265=$B$3308,GH3465,IF($B$265=$B$3309,GJ3465,IF($B$265=$B$3310,GL3465,IF($B$265=$B$3311,GN3465,IF($B$265=$B$3312,GP3465,IF($B$265=$B$3313,GR3465,IF($B$265=$B$3314,GT3465,IF($B$265=$B$3315,GV3465,IF($B$265=$B$3316,GX3465,IF($B$265=$B$3317,GZ3465,IF($B$265=$B$3318,HB3465,IF($B$265=$B$3319,HD3465,IF($B$265=$B$3320,HF3465,IF($B$265=$B$3321,HH3465,IF($B$265=$B$3322,HJ3465,IF($B$265=$B$3323,HL3465,IF($B$265=$B$3324,HN3465,IF($B$265=$B$3325,HP3465,IF($B$265=$B$3326,HR3465,IF($B$265=$B$3327,HT3465,IF($B$265=$B$3328,HV3465,IF($B$265=$B$3329,HX3465,""))))))))))))))))))))))))))))))))))))))))))))))))))))</f>
        <v/>
      </c>
      <c r="EA3465" s="470" t="str">
        <f>IF($B$265=$B$3278,EC3465,IF($B$265=$B$3279,EE3465,IF($B$265=$B$3280,EG3465,IF($B$265=$B$3281,EI3465,IF($B$265=$B$3282,EK3465,IF($B$265=$B$3283,EM3465,IF($B$265=$B$3284,EO3465,IF($B$265=$B$3285,EQ3465,IF($B$265=$B$3286,ES3465,IF($B$265=$B$3287,EU3465,IF($B$265=$B$3288,EW3465,IF($B$265=$B$3289,EY3465,IF($B$265=$B$3290,FA3465,IF($B$265=$B$3291,FC3465,IF($B$265=$B$3292,FE3465,IF($B$265=$B$3293,BK3465,IF($B$265=$B$3294,FG3465,IF($B$265=$B$3295,FI3465,IF($B$265=$B$3296,FK3465,IF($B$265=$B$3297,FM3465,IF($B$265=$B$3298,FO3465,IF($B$265=$B$3299,FQ3465,IF(BJ$265=$B$3300,FS3465,IF($B$265=$B$3301,FU3465,IF($B$265=$B$3302,FW3465,IF($B$265=$B$3303,FY3465,IF($B$265=$B$3304,GA3465,IF($B$265=$B$3305,GC3465,IF($B$265=$B$3306,GE3465,IF($B$265=$B$3307,GG3465,IF($B$265=$B$3308,GI3465,IF($B$265=$B$3309,GK3465,IF($B$265=$B$3310,GM3465,IF($B$265=$B$3311,GO3465,IF($B$265=$B$3312,GQ3465,IF($B$265=$B$3313,GS3465,IF($B$265=$B$3314,GU3465,IF($B$265=$B$3315,GW3465,IF($B$265=$B$3316,GY3465,IF($B$265=$B$3317,HA3465,IF($B$265=$B$3318,HC3465,IF($B$265=$B$3319,HE3465,IF($B$265=$B$3320,HG3465,IF($B$265=$B$3321,HI3465,IF($B$265=$B$3322,HK3465,IF($B$265=$B$3323,HM3465,IF($B$265=$B$3324,HO3465,IF($B$265=$B$3325,HQ3465,IF($B$265=$B$3326,HS3465,IF($B$265=$B$3327,HU3465,IF($B$265=$B$3328,HW3465,IF($B$265=$B$3329,HY3465,""))))))))))))))))))))))))))))))))))))))))))))))))))))</f>
        <v/>
      </c>
      <c r="EB3465" s="459" t="s">
        <v>885</v>
      </c>
    </row>
    <row r="3466" spans="1:132" ht="16" hidden="1" x14ac:dyDescent="0.4">
      <c r="A3466" s="813"/>
      <c r="BB3466" s="48"/>
      <c r="BS3466" s="464" t="str">
        <f>IF($B$265=B$3278,BZ3465,IF($B$265=B$3279,CA3465,IF($B$265=B$3280,CB3465,IF($B$265=B$3281,CC3465,IF($B$265=B$3282,CD3465,IF($B$265=B$3283,CE3465,IF($B$265=B$3284,CF3465,IF($B$265=B$3285,CG3465,IF($B$265=B$3286,CH3465,IF($B$265=B$3287,CI3465,IF($B$265=B$3288,CJ3465,IF($B$265=B$3289,CK3465,IF($B$265=B$3290,CL3465,IF($B$265=B$3291,CM3465,IF($B$265=B$3292,CN3465,IF($B$265=B$3293,H2742,IF($B$265=B$3294,CO3465,IF($B$265=B$3295,CP3465,IF($B$265=B$3296,CQ3465,IF($B$265=B$3297,CR3465,IF($B$265=B$3298,CS3465,IF($B$265=B$3299,CT3465,IF(B$265=B$3300,CU3465,IF($B$265=B$3301,CV3465,IF($B$265=B$3302,CW3465,IF($B$265=B$3303,CX3465,IF($B$265=B$3304,CY3465,IF($B$265=B$3305,CZ3465,IF($B$265=B$3306,DA3465,IF($B$265=B$3307,DB3465,IF($B$265=B$3308,DC3465,IF($B$265=B$3309,DD3465,IF($B$265=B$3310,DE3465,IF($B$265=B$3311,DF3465,IF($B$265=B$3312,DG3465,IF($B$265=B$3313,DH3465,IF($B$265=B$3314,DI3465,IF($B$265=B$3315,DJ3465,IF($B$265=B$3316,DK3465,IF($B$265=B$3317,DL3465,IF($B$265=B$3318,DM3465,IF($B$265=B$3319,DN3465,IF($B$265=B$3320,DO3465,IF($B$265=B$3321,DP3465,IF($B$265=B$3322,DQ3465,IF($B$265=B$3323,DR3465,IF($B$265=B$3324,DS3465,IF($B$265=B$3325,DT3465,IF($B$265=B$3326,DU3465,IF($B$265=B$3327,DV3465,IF($B$265=B$3328,DW3465,IF($B$265=B$3329,DX3465,""))))))))))))))))))))))))))))))))))))))))))))))))))))</f>
        <v/>
      </c>
      <c r="BZ3466" s="245" t="s">
        <v>885</v>
      </c>
      <c r="CA3466" s="245" t="s">
        <v>885</v>
      </c>
      <c r="CC3466" s="245" t="s">
        <v>885</v>
      </c>
      <c r="CD3466" s="459" t="s">
        <v>885</v>
      </c>
      <c r="CE3466" s="459" t="s">
        <v>885</v>
      </c>
      <c r="CF3466" s="245" t="s">
        <v>885</v>
      </c>
      <c r="CG3466" s="245" t="s">
        <v>885</v>
      </c>
      <c r="CH3466" s="245" t="s">
        <v>885</v>
      </c>
      <c r="CI3466" s="245" t="s">
        <v>885</v>
      </c>
      <c r="CJ3466" s="459" t="s">
        <v>885</v>
      </c>
      <c r="CK3466" s="459" t="s">
        <v>885</v>
      </c>
      <c r="CL3466" s="459" t="s">
        <v>885</v>
      </c>
      <c r="CM3466" s="459" t="s">
        <v>885</v>
      </c>
      <c r="CN3466" s="459" t="s">
        <v>885</v>
      </c>
      <c r="CO3466" s="459" t="s">
        <v>885</v>
      </c>
      <c r="CP3466" s="459" t="s">
        <v>885</v>
      </c>
      <c r="CQ3466" s="459" t="s">
        <v>885</v>
      </c>
      <c r="CR3466" s="459" t="s">
        <v>885</v>
      </c>
      <c r="CS3466" s="459" t="s">
        <v>885</v>
      </c>
      <c r="CT3466" s="245" t="s">
        <v>885</v>
      </c>
      <c r="CU3466" s="463" t="s">
        <v>885</v>
      </c>
      <c r="CV3466" s="245" t="s">
        <v>885</v>
      </c>
      <c r="CW3466" s="245" t="s">
        <v>885</v>
      </c>
      <c r="CX3466" s="459" t="s">
        <v>885</v>
      </c>
      <c r="CY3466" s="459" t="s">
        <v>885</v>
      </c>
      <c r="CZ3466" s="459" t="s">
        <v>885</v>
      </c>
      <c r="DA3466" s="459" t="s">
        <v>885</v>
      </c>
      <c r="DB3466" s="459" t="s">
        <v>885</v>
      </c>
      <c r="DC3466" s="459" t="s">
        <v>885</v>
      </c>
      <c r="DD3466" s="459" t="s">
        <v>885</v>
      </c>
      <c r="DE3466" s="459" t="s">
        <v>885</v>
      </c>
      <c r="DF3466" s="459" t="s">
        <v>885</v>
      </c>
      <c r="DG3466" s="459" t="s">
        <v>885</v>
      </c>
      <c r="DH3466" s="459" t="s">
        <v>885</v>
      </c>
      <c r="DI3466" s="459" t="s">
        <v>885</v>
      </c>
      <c r="DJ3466" s="459" t="s">
        <v>885</v>
      </c>
      <c r="DK3466" s="459" t="s">
        <v>885</v>
      </c>
      <c r="DL3466" s="459" t="s">
        <v>885</v>
      </c>
      <c r="DM3466" s="459" t="s">
        <v>885</v>
      </c>
      <c r="DN3466" s="459" t="s">
        <v>885</v>
      </c>
      <c r="DO3466" s="459" t="s">
        <v>885</v>
      </c>
      <c r="DP3466" t="s">
        <v>2021</v>
      </c>
      <c r="DQ3466" s="459" t="s">
        <v>885</v>
      </c>
      <c r="DR3466" s="459" t="s">
        <v>885</v>
      </c>
      <c r="DS3466" s="459" t="s">
        <v>885</v>
      </c>
      <c r="DT3466" s="459" t="s">
        <v>885</v>
      </c>
      <c r="DU3466" s="459" t="s">
        <v>885</v>
      </c>
      <c r="DV3466" s="459" t="s">
        <v>885</v>
      </c>
      <c r="DW3466" s="459" t="s">
        <v>885</v>
      </c>
      <c r="DX3466" s="245" t="s">
        <v>885</v>
      </c>
      <c r="DY3466" s="245"/>
      <c r="DZ3466" s="470" t="str">
        <f>IF($B$265=$B$3278,EB3466,IF($B$265=$B$3279,ED3466,IF($B$265=$B$3280,EF3466,IF($B$265=$B$3281,EH3466,IF($B$265=$B$3282,EJ3466,IF($B$265=$B$3283,EL3466,IF($B$265=$B$3284,EN3466,IF($B$265=$B$3285,EP3466,IF($B$265=$B$3286,ER3466,IF($B$265=$B$3287,ET3466,IF($B$265=$B$3288,EV3466,IF($B$265=$B$3289,EX3466,IF($B$265=$B$3290,EZ3466,IF($B$265=$B$3291,FB3466,IF($B$265=$B$3292,FD3466,IF($B$265=$B$3293,BU3466,IF($B$265=$B$3294,FF3466,IF($B$265=$B$3295,FH3466,IF($B$265=$B$3296,FJ3466,IF($B$265=$B$3297,FL3466,IF($B$265=$B$3298,FN3466,IF($B$265=$B$3299,FP3466,IF(BI$265=$B$3300,FR3466,IF($B$265=$B$3301,FT3466,IF($B$265=$B$3302,FV3466,IF($B$265=$B$3303,FX3466,IF($B$265=$B$3304,FZ3466,IF($B$265=$B$3305,GB3466,IF($B$265=$B$3306,GD3466,IF($B$265=$B$3307,GF3466,IF($B$265=$B$3308,GH3466,IF($B$265=$B$3309,GJ3466,IF($B$265=$B$3310,GL3466,IF($B$265=$B$3311,GN3466,IF($B$265=$B$3312,GP3466,IF($B$265=$B$3313,GR3466,IF($B$265=$B$3314,GT3466,IF($B$265=$B$3315,GV3466,IF($B$265=$B$3316,GX3466,IF($B$265=$B$3317,GZ3466,IF($B$265=$B$3318,HB3466,IF($B$265=$B$3319,HD3466,IF($B$265=$B$3320,HF3466,IF($B$265=$B$3321,HH3466,IF($B$265=$B$3322,HJ3466,IF($B$265=$B$3323,HL3466,IF($B$265=$B$3324,HN3466,IF($B$265=$B$3325,HP3466,IF($B$265=$B$3326,HR3466,IF($B$265=$B$3327,HT3466,IF($B$265=$B$3328,HV3466,IF($B$265=$B$3329,HX3466,""))))))))))))))))))))))))))))))))))))))))))))))))))))</f>
        <v/>
      </c>
      <c r="EA3466" s="470" t="str">
        <f>IF($B$265=$B$3278,EC3466,IF($B$265=$B$3279,EE3466,IF($B$265=$B$3280,EG3466,IF($B$265=$B$3281,EI3466,IF($B$265=$B$3282,EK3466,IF($B$265=$B$3283,EM3466,IF($B$265=$B$3284,EO3466,IF($B$265=$B$3285,EQ3466,IF($B$265=$B$3286,ES3466,IF($B$265=$B$3287,EU3466,IF($B$265=$B$3288,EW3466,IF($B$265=$B$3289,EY3466,IF($B$265=$B$3290,FA3466,IF($B$265=$B$3291,FC3466,IF($B$265=$B$3292,FE3466,IF($B$265=$B$3293,BK3466,IF($B$265=$B$3294,FG3466,IF($B$265=$B$3295,FI3466,IF($B$265=$B$3296,FK3466,IF($B$265=$B$3297,FM3466,IF($B$265=$B$3298,FO3466,IF($B$265=$B$3299,FQ3466,IF(BJ$265=$B$3300,FS3466,IF($B$265=$B$3301,FU3466,IF($B$265=$B$3302,FW3466,IF($B$265=$B$3303,FY3466,IF($B$265=$B$3304,GA3466,IF($B$265=$B$3305,GC3466,IF($B$265=$B$3306,GE3466,IF($B$265=$B$3307,GG3466,IF($B$265=$B$3308,GI3466,IF($B$265=$B$3309,GK3466,IF($B$265=$B$3310,GM3466,IF($B$265=$B$3311,GO3466,IF($B$265=$B$3312,GQ3466,IF($B$265=$B$3313,GS3466,IF($B$265=$B$3314,GU3466,IF($B$265=$B$3315,GW3466,IF($B$265=$B$3316,GY3466,IF($B$265=$B$3317,HA3466,IF($B$265=$B$3318,HC3466,IF($B$265=$B$3319,HE3466,IF($B$265=$B$3320,HG3466,IF($B$265=$B$3321,HI3466,IF($B$265=$B$3322,HK3466,IF($B$265=$B$3323,HM3466,IF($B$265=$B$3324,HO3466,IF($B$265=$B$3325,HQ3466,IF($B$265=$B$3326,HS3466,IF($B$265=$B$3327,HU3466,IF($B$265=$B$3328,HW3466,IF($B$265=$B$3329,HY3466,""))))))))))))))))))))))))))))))))))))))))))))))))))))</f>
        <v/>
      </c>
      <c r="EB3466" s="459" t="s">
        <v>885</v>
      </c>
    </row>
    <row r="3467" spans="1:132" ht="16" hidden="1" x14ac:dyDescent="0.4">
      <c r="A3467" s="813"/>
      <c r="BB3467" s="48"/>
      <c r="BS3467" s="464" t="str">
        <f>IF($B$265=B$3278,BZ3466,IF($B$265=B$3279,CA3466,IF($B$265=B$3280,CB3466,IF($B$265=B$3281,CC3466,IF($B$265=B$3282,CD3466,IF($B$265=B$3283,CE3466,IF($B$265=B$3284,CF3466,IF($B$265=B$3285,CG3466,IF($B$265=B$3286,CH3466,IF($B$265=B$3287,CI3466,IF($B$265=B$3288,CJ3466,IF($B$265=B$3289,CK3466,IF($B$265=B$3290,CL3466,IF($B$265=B$3291,CM3466,IF($B$265=B$3292,CN3466,IF($B$265=B$3293,B2730,IF($B$265=B$3294,CO3466,IF($B$265=B$3295,CP3466,IF($B$265=B$3296,CQ3466,IF($B$265=B$3297,CR3466,IF($B$265=B$3298,CS3466,IF($B$265=B$3299,CT3466,IF(B$265=B$3300,CU3466,IF($B$265=B$3301,CV3466,IF($B$265=B$3302,CW3466,IF($B$265=B$3303,CX3466,IF($B$265=B$3304,CY3466,IF($B$265=B$3305,CZ3466,IF($B$265=B$3306,DA3466,IF($B$265=B$3307,DB3466,IF($B$265=B$3308,DC3466,IF($B$265=B$3309,DD3466,IF($B$265=B$3310,DE3466,IF($B$265=B$3311,DF3466,IF($B$265=B$3312,DG3466,IF($B$265=B$3313,DH3466,IF($B$265=B$3314,DI3466,IF($B$265=B$3315,DJ3466,IF($B$265=B$3316,DK3466,IF($B$265=B$3317,DL3466,IF($B$265=B$3318,DM3466,IF($B$265=B$3319,DN3466,IF($B$265=B$3320,DO3466,IF($B$265=B$3321,DP3466,IF($B$265=B$3322,DQ3466,IF($B$265=B$3323,DR3466,IF($B$265=B$3324,DS3466,IF($B$265=B$3325,DT3466,IF($B$265=B$3326,DU3466,IF($B$265=B$3327,DV3466,IF($B$265=B$3328,DW3466,IF($B$265=B$3329,DX3466,""))))))))))))))))))))))))))))))))))))))))))))))))))))</f>
        <v/>
      </c>
      <c r="BZ3467" s="245"/>
      <c r="CA3467" s="245"/>
      <c r="CC3467" s="245"/>
      <c r="CD3467" s="459"/>
      <c r="CE3467" s="459"/>
      <c r="CF3467" s="245"/>
      <c r="CG3467" s="245"/>
      <c r="CH3467" s="245"/>
      <c r="CI3467" s="245"/>
      <c r="CJ3467" s="459"/>
      <c r="CK3467" s="459"/>
      <c r="CL3467" s="459"/>
      <c r="CM3467" s="459"/>
      <c r="CN3467" s="459"/>
      <c r="CO3467" s="459"/>
      <c r="CP3467" s="459"/>
      <c r="CQ3467" s="459"/>
      <c r="CR3467" s="459"/>
      <c r="CS3467" s="459"/>
      <c r="CT3467" s="245"/>
      <c r="CU3467" s="463"/>
      <c r="CV3467" s="245"/>
      <c r="CW3467" s="245"/>
      <c r="CX3467" s="459"/>
      <c r="CY3467" s="459"/>
      <c r="CZ3467" s="459"/>
      <c r="DA3467" s="459"/>
      <c r="DB3467" s="459"/>
      <c r="DC3467" s="459"/>
      <c r="DD3467" s="459"/>
      <c r="DE3467" s="459"/>
      <c r="DF3467" s="459"/>
      <c r="DG3467" s="459"/>
      <c r="DH3467" s="459"/>
      <c r="DI3467" s="459"/>
      <c r="DJ3467" s="459"/>
      <c r="DK3467" s="459"/>
      <c r="DL3467" s="459"/>
      <c r="DM3467" s="459"/>
      <c r="DN3467" s="459"/>
      <c r="DO3467" s="459"/>
      <c r="DP3467"/>
      <c r="DQ3467" s="459"/>
      <c r="DR3467" s="459"/>
      <c r="DS3467" s="459"/>
      <c r="DT3467" s="459"/>
      <c r="DU3467" s="459"/>
      <c r="DV3467" s="459"/>
      <c r="DW3467" s="459"/>
      <c r="DX3467" s="245"/>
      <c r="DY3467" s="245"/>
      <c r="DZ3467" s="470"/>
      <c r="EA3467" s="470"/>
      <c r="EB3467" s="459"/>
    </row>
    <row r="3468" spans="1:132" ht="16" hidden="1" x14ac:dyDescent="0.4">
      <c r="A3468" s="813"/>
      <c r="BB3468" s="48"/>
      <c r="BS3468" s="464"/>
      <c r="BZ3468" s="245" t="s">
        <v>885</v>
      </c>
      <c r="CA3468" s="245" t="s">
        <v>885</v>
      </c>
      <c r="CC3468" s="245" t="s">
        <v>885</v>
      </c>
      <c r="CD3468" s="459" t="s">
        <v>885</v>
      </c>
      <c r="CE3468" s="459" t="s">
        <v>885</v>
      </c>
      <c r="CF3468" s="245" t="s">
        <v>885</v>
      </c>
      <c r="CG3468" s="245" t="s">
        <v>885</v>
      </c>
      <c r="CH3468" s="245" t="s">
        <v>885</v>
      </c>
      <c r="CI3468" s="245" t="s">
        <v>885</v>
      </c>
      <c r="CJ3468" s="459" t="s">
        <v>885</v>
      </c>
      <c r="CK3468" s="459" t="s">
        <v>885</v>
      </c>
      <c r="CL3468" s="459" t="s">
        <v>885</v>
      </c>
      <c r="CM3468" s="459" t="s">
        <v>885</v>
      </c>
      <c r="CN3468" s="459" t="s">
        <v>885</v>
      </c>
      <c r="CO3468" s="459" t="s">
        <v>885</v>
      </c>
      <c r="CP3468" s="459" t="s">
        <v>885</v>
      </c>
      <c r="CQ3468" s="459" t="s">
        <v>885</v>
      </c>
      <c r="CR3468" s="459" t="s">
        <v>885</v>
      </c>
      <c r="CS3468" s="459" t="s">
        <v>885</v>
      </c>
      <c r="CT3468" s="245" t="s">
        <v>885</v>
      </c>
      <c r="CU3468" s="463" t="s">
        <v>885</v>
      </c>
      <c r="CV3468" s="245" t="s">
        <v>885</v>
      </c>
      <c r="CW3468" s="245" t="s">
        <v>885</v>
      </c>
      <c r="CX3468" s="459" t="s">
        <v>885</v>
      </c>
      <c r="CY3468" s="459" t="s">
        <v>885</v>
      </c>
      <c r="CZ3468" s="459" t="s">
        <v>885</v>
      </c>
      <c r="DA3468" s="459" t="s">
        <v>885</v>
      </c>
      <c r="DB3468" s="459" t="s">
        <v>885</v>
      </c>
      <c r="DC3468" s="459" t="s">
        <v>885</v>
      </c>
      <c r="DD3468" s="459" t="s">
        <v>885</v>
      </c>
      <c r="DE3468" s="459" t="s">
        <v>885</v>
      </c>
      <c r="DF3468" s="459" t="s">
        <v>885</v>
      </c>
      <c r="DG3468" s="459" t="s">
        <v>885</v>
      </c>
      <c r="DH3468" s="459" t="s">
        <v>885</v>
      </c>
      <c r="DI3468" s="459" t="s">
        <v>885</v>
      </c>
      <c r="DJ3468" s="459" t="s">
        <v>885</v>
      </c>
      <c r="DK3468" s="459" t="s">
        <v>885</v>
      </c>
      <c r="DL3468" s="459" t="s">
        <v>885</v>
      </c>
      <c r="DM3468" s="459" t="s">
        <v>885</v>
      </c>
      <c r="DN3468" s="459" t="s">
        <v>885</v>
      </c>
      <c r="DO3468" s="459" t="s">
        <v>885</v>
      </c>
      <c r="DP3468" t="s">
        <v>1822</v>
      </c>
      <c r="DQ3468" s="459" t="s">
        <v>885</v>
      </c>
      <c r="DR3468" s="459" t="s">
        <v>885</v>
      </c>
      <c r="DS3468" s="459" t="s">
        <v>885</v>
      </c>
      <c r="DT3468" s="459" t="s">
        <v>885</v>
      </c>
      <c r="DU3468" s="459" t="s">
        <v>885</v>
      </c>
      <c r="DV3468" s="459" t="s">
        <v>885</v>
      </c>
      <c r="DW3468" s="459" t="s">
        <v>885</v>
      </c>
      <c r="DX3468" s="245" t="s">
        <v>885</v>
      </c>
      <c r="DY3468" s="245"/>
      <c r="DZ3468" s="470" t="str">
        <f>IF($B$265=$B$3278,EB3468,IF($B$265=$B$3279,ED3468,IF($B$265=$B$3280,EF3468,IF($B$265=$B$3281,EH3468,IF($B$265=$B$3282,EJ3468,IF($B$265=$B$3283,EL3468,IF($B$265=$B$3284,EN3468,IF($B$265=$B$3285,EP3468,IF($B$265=$B$3286,ER3468,IF($B$265=$B$3287,ET3468,IF($B$265=$B$3288,EV3468,IF($B$265=$B$3289,EX3468,IF($B$265=$B$3290,EZ3468,IF($B$265=$B$3291,FB3468,IF($B$265=$B$3292,FD3468,IF($B$265=$B$3293,BU3468,IF($B$265=$B$3294,FF3468,IF($B$265=$B$3295,FH3468,IF($B$265=$B$3296,FJ3468,IF($B$265=$B$3297,FL3468,IF($B$265=$B$3298,FN3468,IF($B$265=$B$3299,FP3468,IF(BI$265=$B$3300,FR3468,IF($B$265=$B$3301,FT3468,IF($B$265=$B$3302,FV3468,IF($B$265=$B$3303,FX3468,IF($B$265=$B$3304,FZ3468,IF($B$265=$B$3305,GB3468,IF($B$265=$B$3306,GD3468,IF($B$265=$B$3307,GF3468,IF($B$265=$B$3308,GH3468,IF($B$265=$B$3309,GJ3468,IF($B$265=$B$3310,GL3468,IF($B$265=$B$3311,GN3468,IF($B$265=$B$3312,GP3468,IF($B$265=$B$3313,GR3468,IF($B$265=$B$3314,GT3468,IF($B$265=$B$3315,GV3468,IF($B$265=$B$3316,GX3468,IF($B$265=$B$3317,GZ3468,IF($B$265=$B$3318,HB3468,IF($B$265=$B$3319,HD3468,IF($B$265=$B$3320,HF3468,IF($B$265=$B$3321,HH3468,IF($B$265=$B$3322,HJ3468,IF($B$265=$B$3323,HL3468,IF($B$265=$B$3324,HN3468,IF($B$265=$B$3325,HP3468,IF($B$265=$B$3326,HR3468,IF($B$265=$B$3327,HT3468,IF($B$265=$B$3328,HV3468,IF($B$265=$B$3329,HX3468,""))))))))))))))))))))))))))))))))))))))))))))))))))))</f>
        <v/>
      </c>
      <c r="EA3468" s="470" t="str">
        <f>IF($B$265=$B$3278,EC3468,IF($B$265=$B$3279,EE3468,IF($B$265=$B$3280,EG3468,IF($B$265=$B$3281,EI3468,IF($B$265=$B$3282,EK3468,IF($B$265=$B$3283,EM3468,IF($B$265=$B$3284,EO3468,IF($B$265=$B$3285,EQ3468,IF($B$265=$B$3286,ES3468,IF($B$265=$B$3287,EU3468,IF($B$265=$B$3288,EW3468,IF($B$265=$B$3289,EY3468,IF($B$265=$B$3290,FA3468,IF($B$265=$B$3291,FC3468,IF($B$265=$B$3292,FE3468,IF($B$265=$B$3293,BK3468,IF($B$265=$B$3294,FG3468,IF($B$265=$B$3295,FI3468,IF($B$265=$B$3296,FK3468,IF($B$265=$B$3297,FM3468,IF($B$265=$B$3298,FO3468,IF($B$265=$B$3299,FQ3468,IF(BJ$265=$B$3300,FS3468,IF($B$265=$B$3301,FU3468,IF($B$265=$B$3302,FW3468,IF($B$265=$B$3303,FY3468,IF($B$265=$B$3304,GA3468,IF($B$265=$B$3305,GC3468,IF($B$265=$B$3306,GE3468,IF($B$265=$B$3307,GG3468,IF($B$265=$B$3308,GI3468,IF($B$265=$B$3309,GK3468,IF($B$265=$B$3310,GM3468,IF($B$265=$B$3311,GO3468,IF($B$265=$B$3312,GQ3468,IF($B$265=$B$3313,GS3468,IF($B$265=$B$3314,GU3468,IF($B$265=$B$3315,GW3468,IF($B$265=$B$3316,GY3468,IF($B$265=$B$3317,HA3468,IF($B$265=$B$3318,HC3468,IF($B$265=$B$3319,HE3468,IF($B$265=$B$3320,HG3468,IF($B$265=$B$3321,HI3468,IF($B$265=$B$3322,HK3468,IF($B$265=$B$3323,HM3468,IF($B$265=$B$3324,HO3468,IF($B$265=$B$3325,HQ3468,IF($B$265=$B$3326,HS3468,IF($B$265=$B$3327,HU3468,IF($B$265=$B$3328,HW3468,IF($B$265=$B$3329,HY3468,""))))))))))))))))))))))))))))))))))))))))))))))))))))</f>
        <v/>
      </c>
      <c r="EB3468" s="459" t="s">
        <v>885</v>
      </c>
    </row>
    <row r="3469" spans="1:132" ht="16" hidden="1" x14ac:dyDescent="0.4">
      <c r="A3469" s="813"/>
      <c r="BB3469" s="48"/>
      <c r="BS3469" s="464" t="str">
        <f>IF($B$265=B$3278,BZ3468,IF($B$265=B$3279,CA3468,IF($B$265=B$3280,CB3468,IF($B$265=B$3281,CC3468,IF($B$265=B$3282,CD3468,IF($B$265=B$3283,CE3468,IF($B$265=B$3284,CF3468,IF($B$265=B$3285,CG3468,IF($B$265=B$3286,CH3468,IF($B$265=B$3287,CI3468,IF($B$265=B$3288,CJ3468,IF($B$265=B$3289,CK3468,IF($B$265=B$3290,CL3468,IF($B$265=B$3291,CM3468,IF($B$265=B$3292,CN3468,IF($B$265=B$3293,B2731,IF($B$265=B$3294,CO3468,IF($B$265=B$3295,CP3468,IF($B$265=B$3296,CQ3468,IF($B$265=B$3297,CR3468,IF($B$265=B$3298,CS3468,IF($B$265=B$3299,CT3468,IF(B$265=B$3300,CU3468,IF($B$265=B$3301,CV3468,IF($B$265=B$3302,CW3468,IF($B$265=B$3303,CX3468,IF($B$265=B$3304,CY3468,IF($B$265=B$3305,CZ3468,IF($B$265=B$3306,DA3468,IF($B$265=B$3307,DB3468,IF($B$265=B$3308,DC3468,IF($B$265=B$3309,DD3468,IF($B$265=B$3310,DE3468,IF($B$265=B$3311,DF3468,IF($B$265=B$3312,DG3468,IF($B$265=B$3313,DH3468,IF($B$265=B$3314,DI3468,IF($B$265=B$3315,DJ3468,IF($B$265=B$3316,DK3468,IF($B$265=B$3317,DL3468,IF($B$265=B$3318,DM3468,IF($B$265=B$3319,DN3468,IF($B$265=B$3320,DO3468,IF($B$265=B$3321,DP3468,IF($B$265=B$3322,DQ3468,IF($B$265=B$3323,DR3468,IF($B$265=B$3324,DS3468,IF($B$265=B$3325,DT3468,IF($B$265=B$3326,DU3468,IF($B$265=B$3327,DV3468,IF($B$265=B$3328,DW3468,IF($B$265=B$3329,DX3468,""))))))))))))))))))))))))))))))))))))))))))))))))))))</f>
        <v/>
      </c>
      <c r="BZ3469" s="245" t="s">
        <v>885</v>
      </c>
      <c r="CA3469" s="245" t="s">
        <v>885</v>
      </c>
      <c r="CC3469" s="245" t="s">
        <v>885</v>
      </c>
      <c r="CD3469" s="459" t="s">
        <v>885</v>
      </c>
      <c r="CE3469" s="459" t="s">
        <v>885</v>
      </c>
      <c r="CF3469" s="245" t="s">
        <v>885</v>
      </c>
      <c r="CG3469" s="245" t="s">
        <v>885</v>
      </c>
      <c r="CH3469" s="245" t="s">
        <v>885</v>
      </c>
      <c r="CI3469" s="245" t="s">
        <v>885</v>
      </c>
      <c r="CJ3469" s="459" t="s">
        <v>885</v>
      </c>
      <c r="CK3469" s="459" t="s">
        <v>885</v>
      </c>
      <c r="CL3469" s="459" t="s">
        <v>885</v>
      </c>
      <c r="CM3469" s="459" t="s">
        <v>885</v>
      </c>
      <c r="CN3469" s="459" t="s">
        <v>885</v>
      </c>
      <c r="CO3469" s="459" t="s">
        <v>885</v>
      </c>
      <c r="CP3469" s="459" t="s">
        <v>885</v>
      </c>
      <c r="CQ3469" s="459" t="s">
        <v>885</v>
      </c>
      <c r="CR3469" s="459" t="s">
        <v>885</v>
      </c>
      <c r="CS3469" s="459" t="s">
        <v>885</v>
      </c>
      <c r="CT3469" s="245" t="s">
        <v>885</v>
      </c>
      <c r="CU3469" s="463" t="s">
        <v>885</v>
      </c>
      <c r="CV3469" s="245" t="s">
        <v>885</v>
      </c>
      <c r="CW3469" s="245" t="s">
        <v>885</v>
      </c>
      <c r="CX3469" s="459" t="s">
        <v>885</v>
      </c>
      <c r="CY3469" s="459" t="s">
        <v>885</v>
      </c>
      <c r="CZ3469" s="459" t="s">
        <v>885</v>
      </c>
      <c r="DA3469" s="459" t="s">
        <v>885</v>
      </c>
      <c r="DB3469" s="459" t="s">
        <v>885</v>
      </c>
      <c r="DC3469" s="459" t="s">
        <v>885</v>
      </c>
      <c r="DD3469" s="459" t="s">
        <v>885</v>
      </c>
      <c r="DE3469" s="459" t="s">
        <v>885</v>
      </c>
      <c r="DF3469" s="459" t="s">
        <v>885</v>
      </c>
      <c r="DG3469" s="459" t="s">
        <v>885</v>
      </c>
      <c r="DH3469" s="459" t="s">
        <v>885</v>
      </c>
      <c r="DI3469" s="459" t="s">
        <v>885</v>
      </c>
      <c r="DJ3469" s="459" t="s">
        <v>885</v>
      </c>
      <c r="DK3469" s="459" t="s">
        <v>885</v>
      </c>
      <c r="DL3469" s="459" t="s">
        <v>885</v>
      </c>
      <c r="DM3469" s="459" t="s">
        <v>885</v>
      </c>
      <c r="DN3469" s="459" t="s">
        <v>885</v>
      </c>
      <c r="DO3469" s="459" t="s">
        <v>885</v>
      </c>
      <c r="DP3469" t="s">
        <v>3031</v>
      </c>
      <c r="DQ3469" s="459" t="s">
        <v>885</v>
      </c>
      <c r="DR3469" s="459" t="s">
        <v>885</v>
      </c>
      <c r="DS3469" s="459" t="s">
        <v>885</v>
      </c>
      <c r="DT3469" s="459" t="s">
        <v>885</v>
      </c>
      <c r="DU3469" s="459" t="s">
        <v>885</v>
      </c>
      <c r="DV3469" s="459" t="s">
        <v>885</v>
      </c>
      <c r="DW3469" s="459" t="s">
        <v>885</v>
      </c>
      <c r="DX3469" s="245" t="s">
        <v>885</v>
      </c>
      <c r="DY3469" s="245"/>
      <c r="DZ3469" s="470" t="str">
        <f>IF($B$265=$B$3278,EB3469,IF($B$265=$B$3279,ED3469,IF($B$265=$B$3280,EF3469,IF($B$265=$B$3281,EH3469,IF($B$265=$B$3282,EJ3469,IF($B$265=$B$3283,EL3469,IF($B$265=$B$3284,EN3469,IF($B$265=$B$3285,EP3469,IF($B$265=$B$3286,ER3469,IF($B$265=$B$3287,ET3469,IF($B$265=$B$3288,EV3469,IF($B$265=$B$3289,EX3469,IF($B$265=$B$3290,EZ3469,IF($B$265=$B$3291,FB3469,IF($B$265=$B$3292,FD3469,IF($B$265=$B$3293,BU3469,IF($B$265=$B$3294,FF3469,IF($B$265=$B$3295,FH3469,IF($B$265=$B$3296,FJ3469,IF($B$265=$B$3297,FL3469,IF($B$265=$B$3298,FN3469,IF($B$265=$B$3299,FP3469,IF(BI$265=$B$3300,FR3469,IF($B$265=$B$3301,FT3469,IF($B$265=$B$3302,FV3469,IF($B$265=$B$3303,FX3469,IF($B$265=$B$3304,FZ3469,IF($B$265=$B$3305,GB3469,IF($B$265=$B$3306,GD3469,IF($B$265=$B$3307,GF3469,IF($B$265=$B$3308,GH3469,IF($B$265=$B$3309,GJ3469,IF($B$265=$B$3310,GL3469,IF($B$265=$B$3311,GN3469,IF($B$265=$B$3312,GP3469,IF($B$265=$B$3313,GR3469,IF($B$265=$B$3314,GT3469,IF($B$265=$B$3315,GV3469,IF($B$265=$B$3316,GX3469,IF($B$265=$B$3317,GZ3469,IF($B$265=$B$3318,HB3469,IF($B$265=$B$3319,HD3469,IF($B$265=$B$3320,HF3469,IF($B$265=$B$3321,HH3469,IF($B$265=$B$3322,HJ3469,IF($B$265=$B$3323,HL3469,IF($B$265=$B$3324,HN3469,IF($B$265=$B$3325,HP3469,IF($B$265=$B$3326,HR3469,IF($B$265=$B$3327,HT3469,IF($B$265=$B$3328,HV3469,IF($B$265=$B$3329,HX3469,""))))))))))))))))))))))))))))))))))))))))))))))))))))</f>
        <v/>
      </c>
      <c r="EA3469" s="470" t="str">
        <f>IF($B$265=$B$3278,EC3469,IF($B$265=$B$3279,EE3469,IF($B$265=$B$3280,EG3469,IF($B$265=$B$3281,EI3469,IF($B$265=$B$3282,EK3469,IF($B$265=$B$3283,EM3469,IF($B$265=$B$3284,EO3469,IF($B$265=$B$3285,EQ3469,IF($B$265=$B$3286,ES3469,IF($B$265=$B$3287,EU3469,IF($B$265=$B$3288,EW3469,IF($B$265=$B$3289,EY3469,IF($B$265=$B$3290,FA3469,IF($B$265=$B$3291,FC3469,IF($B$265=$B$3292,FE3469,IF($B$265=$B$3293,BK3469,IF($B$265=$B$3294,FG3469,IF($B$265=$B$3295,FI3469,IF($B$265=$B$3296,FK3469,IF($B$265=$B$3297,FM3469,IF($B$265=$B$3298,FO3469,IF($B$265=$B$3299,FQ3469,IF(BJ$265=$B$3300,FS3469,IF($B$265=$B$3301,FU3469,IF($B$265=$B$3302,FW3469,IF($B$265=$B$3303,FY3469,IF($B$265=$B$3304,GA3469,IF($B$265=$B$3305,GC3469,IF($B$265=$B$3306,GE3469,IF($B$265=$B$3307,GG3469,IF($B$265=$B$3308,GI3469,IF($B$265=$B$3309,GK3469,IF($B$265=$B$3310,GM3469,IF($B$265=$B$3311,GO3469,IF($B$265=$B$3312,GQ3469,IF($B$265=$B$3313,GS3469,IF($B$265=$B$3314,GU3469,IF($B$265=$B$3315,GW3469,IF($B$265=$B$3316,GY3469,IF($B$265=$B$3317,HA3469,IF($B$265=$B$3318,HC3469,IF($B$265=$B$3319,HE3469,IF($B$265=$B$3320,HG3469,IF($B$265=$B$3321,HI3469,IF($B$265=$B$3322,HK3469,IF($B$265=$B$3323,HM3469,IF($B$265=$B$3324,HO3469,IF($B$265=$B$3325,HQ3469,IF($B$265=$B$3326,HS3469,IF($B$265=$B$3327,HU3469,IF($B$265=$B$3328,HW3469,IF($B$265=$B$3329,HY3469,""))))))))))))))))))))))))))))))))))))))))))))))))))))</f>
        <v/>
      </c>
      <c r="EB3469" s="459" t="s">
        <v>885</v>
      </c>
    </row>
    <row r="3470" spans="1:132" ht="16" hidden="1" x14ac:dyDescent="0.4">
      <c r="A3470" s="813"/>
      <c r="BB3470" s="48"/>
      <c r="BS3470" s="464" t="str">
        <f>IF($B$265=B$3278,BZ3469,IF($B$265=B$3279,CA3469,IF($B$265=B$3280,CB3469,IF($B$265=B$3281,CC3469,IF($B$265=B$3282,CD3469,IF($B$265=B$3283,CE3469,IF($B$265=B$3284,CF3469,IF($B$265=B$3285,CG3469,IF($B$265=B$3286,CH3469,IF($B$265=B$3287,CI3469,IF($B$265=B$3288,CJ3469,IF($B$265=B$3289,CK3469,IF($B$265=B$3290,CL3469,IF($B$265=B$3291,CM3469,IF($B$265=B$3292,CN3469,IF($B$265=B$3293,B2732,IF($B$265=B$3294,CO3469,IF($B$265=B$3295,CP3469,IF($B$265=B$3296,CQ3469,IF($B$265=B$3297,CR3469,IF($B$265=B$3298,CS3469,IF($B$265=B$3299,CT3469,IF(B$265=B$3300,CU3469,IF($B$265=B$3301,CV3469,IF($B$265=B$3302,CW3469,IF($B$265=B$3303,CX3469,IF($B$265=B$3304,CY3469,IF($B$265=B$3305,CZ3469,IF($B$265=B$3306,DA3469,IF($B$265=B$3307,DB3469,IF($B$265=B$3308,DC3469,IF($B$265=B$3309,DD3469,IF($B$265=B$3310,DE3469,IF($B$265=B$3311,DF3469,IF($B$265=B$3312,DG3469,IF($B$265=B$3313,DH3469,IF($B$265=B$3314,DI3469,IF($B$265=B$3315,DJ3469,IF($B$265=B$3316,DK3469,IF($B$265=B$3317,DL3469,IF($B$265=B$3318,DM3469,IF($B$265=B$3319,DN3469,IF($B$265=B$3320,DO3469,IF($B$265=B$3321,DP3469,IF($B$265=B$3322,DQ3469,IF($B$265=B$3323,DR3469,IF($B$265=B$3324,DS3469,IF($B$265=B$3325,DT3469,IF($B$265=B$3326,DU3469,IF($B$265=B$3327,DV3469,IF($B$265=B$3328,DW3469,IF($B$265=B$3329,DX3469,""))))))))))))))))))))))))))))))))))))))))))))))))))))</f>
        <v/>
      </c>
      <c r="BZ3470" s="245" t="s">
        <v>885</v>
      </c>
      <c r="CA3470" s="245" t="s">
        <v>885</v>
      </c>
      <c r="CC3470" s="245" t="s">
        <v>885</v>
      </c>
      <c r="CD3470" s="459" t="s">
        <v>885</v>
      </c>
      <c r="CE3470" s="459" t="s">
        <v>885</v>
      </c>
      <c r="CF3470" s="245" t="s">
        <v>885</v>
      </c>
      <c r="CG3470" s="245" t="s">
        <v>885</v>
      </c>
      <c r="CH3470" s="245" t="s">
        <v>885</v>
      </c>
      <c r="CI3470" s="245" t="s">
        <v>885</v>
      </c>
      <c r="CJ3470" s="459" t="s">
        <v>885</v>
      </c>
      <c r="CK3470" s="459" t="s">
        <v>885</v>
      </c>
      <c r="CL3470" s="459" t="s">
        <v>885</v>
      </c>
      <c r="CM3470" s="459" t="s">
        <v>885</v>
      </c>
      <c r="CN3470" s="459" t="s">
        <v>885</v>
      </c>
      <c r="CO3470" s="459" t="s">
        <v>885</v>
      </c>
      <c r="CP3470" s="459" t="s">
        <v>885</v>
      </c>
      <c r="CQ3470" s="459" t="s">
        <v>885</v>
      </c>
      <c r="CR3470" s="459" t="s">
        <v>885</v>
      </c>
      <c r="CS3470" s="459" t="s">
        <v>885</v>
      </c>
      <c r="CT3470" s="245" t="s">
        <v>885</v>
      </c>
      <c r="CU3470" s="463" t="s">
        <v>885</v>
      </c>
      <c r="CV3470" s="245" t="s">
        <v>885</v>
      </c>
      <c r="CW3470" s="245" t="s">
        <v>885</v>
      </c>
      <c r="CX3470" s="459" t="s">
        <v>885</v>
      </c>
      <c r="CY3470" s="459" t="s">
        <v>885</v>
      </c>
      <c r="CZ3470" s="459" t="s">
        <v>885</v>
      </c>
      <c r="DA3470" s="459" t="s">
        <v>885</v>
      </c>
      <c r="DB3470" s="459" t="s">
        <v>885</v>
      </c>
      <c r="DC3470" s="459" t="s">
        <v>885</v>
      </c>
      <c r="DD3470" s="459" t="s">
        <v>885</v>
      </c>
      <c r="DE3470" s="459" t="s">
        <v>885</v>
      </c>
      <c r="DF3470" s="459" t="s">
        <v>885</v>
      </c>
      <c r="DG3470" s="459" t="s">
        <v>885</v>
      </c>
      <c r="DH3470" s="459" t="s">
        <v>885</v>
      </c>
      <c r="DI3470" s="459" t="s">
        <v>885</v>
      </c>
      <c r="DJ3470" s="459" t="s">
        <v>885</v>
      </c>
      <c r="DK3470" s="459" t="s">
        <v>885</v>
      </c>
      <c r="DL3470" s="459" t="s">
        <v>885</v>
      </c>
      <c r="DM3470" s="459" t="s">
        <v>885</v>
      </c>
      <c r="DN3470" s="459" t="s">
        <v>885</v>
      </c>
      <c r="DO3470" s="459" t="s">
        <v>885</v>
      </c>
      <c r="DP3470" t="s">
        <v>1481</v>
      </c>
      <c r="DQ3470" s="459" t="s">
        <v>885</v>
      </c>
      <c r="DR3470" s="459" t="s">
        <v>885</v>
      </c>
      <c r="DS3470" s="459" t="s">
        <v>885</v>
      </c>
      <c r="DT3470" s="459" t="s">
        <v>885</v>
      </c>
      <c r="DU3470" s="459" t="s">
        <v>885</v>
      </c>
      <c r="DV3470" s="459" t="s">
        <v>885</v>
      </c>
      <c r="DW3470" s="459" t="s">
        <v>885</v>
      </c>
      <c r="DX3470" s="245" t="s">
        <v>885</v>
      </c>
      <c r="DY3470" s="245"/>
      <c r="DZ3470" s="470" t="str">
        <f>IF($B$265=$B$3278,EB3470,IF($B$265=$B$3279,ED3470,IF($B$265=$B$3280,EF3470,IF($B$265=$B$3281,EH3470,IF($B$265=$B$3282,EJ3470,IF($B$265=$B$3283,EL3470,IF($B$265=$B$3284,EN3470,IF($B$265=$B$3285,EP3470,IF($B$265=$B$3286,ER3470,IF($B$265=$B$3287,ET3470,IF($B$265=$B$3288,EV3470,IF($B$265=$B$3289,EX3470,IF($B$265=$B$3290,EZ3470,IF($B$265=$B$3291,FB3470,IF($B$265=$B$3292,FD3470,IF($B$265=$B$3293,BU3470,IF($B$265=$B$3294,FF3470,IF($B$265=$B$3295,FH3470,IF($B$265=$B$3296,FJ3470,IF($B$265=$B$3297,FL3470,IF($B$265=$B$3298,FN3470,IF($B$265=$B$3299,FP3470,IF(BI$265=$B$3300,FR3470,IF($B$265=$B$3301,FT3470,IF($B$265=$B$3302,FV3470,IF($B$265=$B$3303,FX3470,IF($B$265=$B$3304,FZ3470,IF($B$265=$B$3305,GB3470,IF($B$265=$B$3306,GD3470,IF($B$265=$B$3307,GF3470,IF($B$265=$B$3308,GH3470,IF($B$265=$B$3309,GJ3470,IF($B$265=$B$3310,GL3470,IF($B$265=$B$3311,GN3470,IF($B$265=$B$3312,GP3470,IF($B$265=$B$3313,GR3470,IF($B$265=$B$3314,GT3470,IF($B$265=$B$3315,GV3470,IF($B$265=$B$3316,GX3470,IF($B$265=$B$3317,GZ3470,IF($B$265=$B$3318,HB3470,IF($B$265=$B$3319,HD3470,IF($B$265=$B$3320,HF3470,IF($B$265=$B$3321,HH3470,IF($B$265=$B$3322,HJ3470,IF($B$265=$B$3323,HL3470,IF($B$265=$B$3324,HN3470,IF($B$265=$B$3325,HP3470,IF($B$265=$B$3326,HR3470,IF($B$265=$B$3327,HT3470,IF($B$265=$B$3328,HV3470,IF($B$265=$B$3329,HX3470,""))))))))))))))))))))))))))))))))))))))))))))))))))))</f>
        <v/>
      </c>
      <c r="EA3470" s="470" t="str">
        <f>IF($B$265=$B$3278,EC3470,IF($B$265=$B$3279,EE3470,IF($B$265=$B$3280,EG3470,IF($B$265=$B$3281,EI3470,IF($B$265=$B$3282,EK3470,IF($B$265=$B$3283,EM3470,IF($B$265=$B$3284,EO3470,IF($B$265=$B$3285,EQ3470,IF($B$265=$B$3286,ES3470,IF($B$265=$B$3287,EU3470,IF($B$265=$B$3288,EW3470,IF($B$265=$B$3289,EY3470,IF($B$265=$B$3290,FA3470,IF($B$265=$B$3291,FC3470,IF($B$265=$B$3292,FE3470,IF($B$265=$B$3293,BK3470,IF($B$265=$B$3294,FG3470,IF($B$265=$B$3295,FI3470,IF($B$265=$B$3296,FK3470,IF($B$265=$B$3297,FM3470,IF($B$265=$B$3298,FO3470,IF($B$265=$B$3299,FQ3470,IF(BJ$265=$B$3300,FS3470,IF($B$265=$B$3301,FU3470,IF($B$265=$B$3302,FW3470,IF($B$265=$B$3303,FY3470,IF($B$265=$B$3304,GA3470,IF($B$265=$B$3305,GC3470,IF($B$265=$B$3306,GE3470,IF($B$265=$B$3307,GG3470,IF($B$265=$B$3308,GI3470,IF($B$265=$B$3309,GK3470,IF($B$265=$B$3310,GM3470,IF($B$265=$B$3311,GO3470,IF($B$265=$B$3312,GQ3470,IF($B$265=$B$3313,GS3470,IF($B$265=$B$3314,GU3470,IF($B$265=$B$3315,GW3470,IF($B$265=$B$3316,GY3470,IF($B$265=$B$3317,HA3470,IF($B$265=$B$3318,HC3470,IF($B$265=$B$3319,HE3470,IF($B$265=$B$3320,HG3470,IF($B$265=$B$3321,HI3470,IF($B$265=$B$3322,HK3470,IF($B$265=$B$3323,HM3470,IF($B$265=$B$3324,HO3470,IF($B$265=$B$3325,HQ3470,IF($B$265=$B$3326,HS3470,IF($B$265=$B$3327,HU3470,IF($B$265=$B$3328,HW3470,IF($B$265=$B$3329,HY3470,""))))))))))))))))))))))))))))))))))))))))))))))))))))</f>
        <v/>
      </c>
      <c r="EB3470" s="459" t="s">
        <v>885</v>
      </c>
    </row>
    <row r="3471" spans="1:132" ht="16" hidden="1" x14ac:dyDescent="0.4">
      <c r="A3471" s="813"/>
      <c r="BB3471" s="48"/>
      <c r="BS3471" s="464" t="str">
        <f>IF($B$265=B$3278,BZ3470,IF($B$265=B$3279,CA3470,IF($B$265=B$3280,CB3470,IF($B$265=B$3281,CC3470,IF($B$265=B$3282,CD3470,IF($B$265=B$3283,CE3470,IF($B$265=B$3284,CF3470,IF($B$265=B$3285,CG3470,IF($B$265=B$3286,CH3470,IF($B$265=B$3287,CI3470,IF($B$265=B$3288,CJ3470,IF($B$265=B$3289,CK3470,IF($B$265=B$3290,CL3470,IF($B$265=B$3291,CM3470,IF($B$265=B$3292,CN3470,IF($B$265=B$3293,B2733,IF($B$265=B$3294,CO3470,IF($B$265=B$3295,CP3470,IF($B$265=B$3296,CQ3470,IF($B$265=B$3297,CR3470,IF($B$265=B$3298,CS3470,IF($B$265=B$3299,CT3470,IF(B$265=B$3300,CU3470,IF($B$265=B$3301,CV3470,IF($B$265=B$3302,CW3470,IF($B$265=B$3303,CX3470,IF($B$265=B$3304,CY3470,IF($B$265=B$3305,CZ3470,IF($B$265=B$3306,DA3470,IF($B$265=B$3307,DB3470,IF($B$265=B$3308,DC3470,IF($B$265=B$3309,DD3470,IF($B$265=B$3310,DE3470,IF($B$265=B$3311,DF3470,IF($B$265=B$3312,DG3470,IF($B$265=B$3313,DH3470,IF($B$265=B$3314,DI3470,IF($B$265=B$3315,DJ3470,IF($B$265=B$3316,DK3470,IF($B$265=B$3317,DL3470,IF($B$265=B$3318,DM3470,IF($B$265=B$3319,DN3470,IF($B$265=B$3320,DO3470,IF($B$265=B$3321,DP3470,IF($B$265=B$3322,DQ3470,IF($B$265=B$3323,DR3470,IF($B$265=B$3324,DS3470,IF($B$265=B$3325,DT3470,IF($B$265=B$3326,DU3470,IF($B$265=B$3327,DV3470,IF($B$265=B$3328,DW3470,IF($B$265=B$3329,DX3470,""))))))))))))))))))))))))))))))))))))))))))))))))))))</f>
        <v/>
      </c>
      <c r="BZ3471" s="245" t="s">
        <v>885</v>
      </c>
      <c r="CA3471" s="245" t="s">
        <v>885</v>
      </c>
      <c r="CC3471" s="245" t="s">
        <v>885</v>
      </c>
      <c r="CD3471" s="459" t="s">
        <v>885</v>
      </c>
      <c r="CE3471" s="459" t="s">
        <v>885</v>
      </c>
      <c r="CF3471" s="245" t="s">
        <v>885</v>
      </c>
      <c r="CG3471" s="245" t="s">
        <v>885</v>
      </c>
      <c r="CH3471" s="245" t="s">
        <v>885</v>
      </c>
      <c r="CI3471" s="245" t="s">
        <v>885</v>
      </c>
      <c r="CJ3471" s="459" t="s">
        <v>885</v>
      </c>
      <c r="CK3471" s="459" t="s">
        <v>885</v>
      </c>
      <c r="CL3471" s="459" t="s">
        <v>885</v>
      </c>
      <c r="CM3471" s="459" t="s">
        <v>885</v>
      </c>
      <c r="CN3471" s="459" t="s">
        <v>885</v>
      </c>
      <c r="CO3471" s="459" t="s">
        <v>885</v>
      </c>
      <c r="CP3471" s="459" t="s">
        <v>885</v>
      </c>
      <c r="CQ3471" s="459" t="s">
        <v>885</v>
      </c>
      <c r="CR3471" s="459" t="s">
        <v>885</v>
      </c>
      <c r="CS3471" s="459" t="s">
        <v>885</v>
      </c>
      <c r="CT3471" s="245" t="s">
        <v>885</v>
      </c>
      <c r="CU3471" s="463" t="s">
        <v>885</v>
      </c>
      <c r="CV3471" s="245" t="s">
        <v>885</v>
      </c>
      <c r="CW3471" s="245" t="s">
        <v>885</v>
      </c>
      <c r="CX3471" s="459" t="s">
        <v>885</v>
      </c>
      <c r="CY3471" s="459" t="s">
        <v>885</v>
      </c>
      <c r="CZ3471" s="459" t="s">
        <v>885</v>
      </c>
      <c r="DA3471" s="459" t="s">
        <v>885</v>
      </c>
      <c r="DB3471" s="459" t="s">
        <v>885</v>
      </c>
      <c r="DC3471" s="459" t="s">
        <v>885</v>
      </c>
      <c r="DD3471" s="459" t="s">
        <v>885</v>
      </c>
      <c r="DE3471" s="459" t="s">
        <v>885</v>
      </c>
      <c r="DF3471" s="459" t="s">
        <v>885</v>
      </c>
      <c r="DG3471" s="459" t="s">
        <v>885</v>
      </c>
      <c r="DH3471" s="459" t="s">
        <v>885</v>
      </c>
      <c r="DI3471" s="459" t="s">
        <v>885</v>
      </c>
      <c r="DJ3471" s="459" t="s">
        <v>885</v>
      </c>
      <c r="DK3471" s="459" t="s">
        <v>885</v>
      </c>
      <c r="DL3471" s="459" t="s">
        <v>885</v>
      </c>
      <c r="DM3471" s="459" t="s">
        <v>885</v>
      </c>
      <c r="DN3471" s="459" t="s">
        <v>885</v>
      </c>
      <c r="DO3471" s="459" t="s">
        <v>885</v>
      </c>
      <c r="DP3471" t="s">
        <v>2655</v>
      </c>
      <c r="DQ3471" s="459" t="s">
        <v>885</v>
      </c>
      <c r="DR3471" s="459" t="s">
        <v>885</v>
      </c>
      <c r="DS3471" s="459" t="s">
        <v>885</v>
      </c>
      <c r="DT3471" s="459" t="s">
        <v>885</v>
      </c>
      <c r="DU3471" s="459" t="s">
        <v>885</v>
      </c>
      <c r="DV3471" s="459" t="s">
        <v>885</v>
      </c>
      <c r="DW3471" s="459" t="s">
        <v>885</v>
      </c>
      <c r="DX3471" s="245" t="s">
        <v>885</v>
      </c>
      <c r="DY3471" s="245"/>
      <c r="DZ3471" s="470" t="str">
        <f>IF($B$265=$B$3278,EB3471,IF($B$265=$B$3279,ED3471,IF($B$265=$B$3280,EF3471,IF($B$265=$B$3281,EH3471,IF($B$265=$B$3282,EJ3471,IF($B$265=$B$3283,EL3471,IF($B$265=$B$3284,EN3471,IF($B$265=$B$3285,EP3471,IF($B$265=$B$3286,ER3471,IF($B$265=$B$3287,ET3471,IF($B$265=$B$3288,EV3471,IF($B$265=$B$3289,EX3471,IF($B$265=$B$3290,EZ3471,IF($B$265=$B$3291,FB3471,IF($B$265=$B$3292,FD3471,IF($B$265=$B$3293,BU3471,IF($B$265=$B$3294,FF3471,IF($B$265=$B$3295,FH3471,IF($B$265=$B$3296,FJ3471,IF($B$265=$B$3297,FL3471,IF($B$265=$B$3298,FN3471,IF($B$265=$B$3299,FP3471,IF(BI$265=$B$3300,FR3471,IF($B$265=$B$3301,FT3471,IF($B$265=$B$3302,FV3471,IF($B$265=$B$3303,FX3471,IF($B$265=$B$3304,FZ3471,IF($B$265=$B$3305,GB3471,IF($B$265=$B$3306,GD3471,IF($B$265=$B$3307,GF3471,IF($B$265=$B$3308,GH3471,IF($B$265=$B$3309,GJ3471,IF($B$265=$B$3310,GL3471,IF($B$265=$B$3311,GN3471,IF($B$265=$B$3312,GP3471,IF($B$265=$B$3313,GR3471,IF($B$265=$B$3314,GT3471,IF($B$265=$B$3315,GV3471,IF($B$265=$B$3316,GX3471,IF($B$265=$B$3317,GZ3471,IF($B$265=$B$3318,HB3471,IF($B$265=$B$3319,HD3471,IF($B$265=$B$3320,HF3471,IF($B$265=$B$3321,HH3471,IF($B$265=$B$3322,HJ3471,IF($B$265=$B$3323,HL3471,IF($B$265=$B$3324,HN3471,IF($B$265=$B$3325,HP3471,IF($B$265=$B$3326,HR3471,IF($B$265=$B$3327,HT3471,IF($B$265=$B$3328,HV3471,IF($B$265=$B$3329,HX3471,""))))))))))))))))))))))))))))))))))))))))))))))))))))</f>
        <v/>
      </c>
      <c r="EA3471" s="470" t="str">
        <f>IF($B$265=$B$3278,EC3471,IF($B$265=$B$3279,EE3471,IF($B$265=$B$3280,EG3471,IF($B$265=$B$3281,EI3471,IF($B$265=$B$3282,EK3471,IF($B$265=$B$3283,EM3471,IF($B$265=$B$3284,EO3471,IF($B$265=$B$3285,EQ3471,IF($B$265=$B$3286,ES3471,IF($B$265=$B$3287,EU3471,IF($B$265=$B$3288,EW3471,IF($B$265=$B$3289,EY3471,IF($B$265=$B$3290,FA3471,IF($B$265=$B$3291,FC3471,IF($B$265=$B$3292,FE3471,IF($B$265=$B$3293,BK3471,IF($B$265=$B$3294,FG3471,IF($B$265=$B$3295,FI3471,IF($B$265=$B$3296,FK3471,IF($B$265=$B$3297,FM3471,IF($B$265=$B$3298,FO3471,IF($B$265=$B$3299,FQ3471,IF(BJ$265=$B$3300,FS3471,IF($B$265=$B$3301,FU3471,IF($B$265=$B$3302,FW3471,IF($B$265=$B$3303,FY3471,IF($B$265=$B$3304,GA3471,IF($B$265=$B$3305,GC3471,IF($B$265=$B$3306,GE3471,IF($B$265=$B$3307,GG3471,IF($B$265=$B$3308,GI3471,IF($B$265=$B$3309,GK3471,IF($B$265=$B$3310,GM3471,IF($B$265=$B$3311,GO3471,IF($B$265=$B$3312,GQ3471,IF($B$265=$B$3313,GS3471,IF($B$265=$B$3314,GU3471,IF($B$265=$B$3315,GW3471,IF($B$265=$B$3316,GY3471,IF($B$265=$B$3317,HA3471,IF($B$265=$B$3318,HC3471,IF($B$265=$B$3319,HE3471,IF($B$265=$B$3320,HG3471,IF($B$265=$B$3321,HI3471,IF($B$265=$B$3322,HK3471,IF($B$265=$B$3323,HM3471,IF($B$265=$B$3324,HO3471,IF($B$265=$B$3325,HQ3471,IF($B$265=$B$3326,HS3471,IF($B$265=$B$3327,HU3471,IF($B$265=$B$3328,HW3471,IF($B$265=$B$3329,HY3471,""))))))))))))))))))))))))))))))))))))))))))))))))))))</f>
        <v/>
      </c>
      <c r="EB3471" s="459" t="s">
        <v>885</v>
      </c>
    </row>
    <row r="3472" spans="1:132" ht="16" hidden="1" x14ac:dyDescent="0.4">
      <c r="A3472" s="813"/>
      <c r="BB3472" s="48"/>
      <c r="BS3472" s="464" t="str">
        <f>IF($B$265=B$3278,BZ3471,IF($B$265=B$3279,CA3471,IF($B$265=B$3280,CB3471,IF($B$265=B$3281,CC3471,IF($B$265=B$3282,CD3471,IF($B$265=B$3283,CE3471,IF($B$265=B$3284,CF3471,IF($B$265=B$3285,CG3471,IF($B$265=B$3286,CH3471,IF($B$265=B$3287,CI3471,IF($B$265=B$3288,CJ3471,IF($B$265=B$3289,CK3471,IF($B$265=B$3290,CL3471,IF($B$265=B$3291,CM3471,IF($B$265=B$3292,CN3471,IF($B$265=B$3293,B2734,IF($B$265=B$3294,CO3471,IF($B$265=B$3295,CP3471,IF($B$265=B$3296,CQ3471,IF($B$265=B$3297,CR3471,IF($B$265=B$3298,CS3471,IF($B$265=B$3299,CT3471,IF(B$265=B$3300,CU3471,IF($B$265=B$3301,CV3471,IF($B$265=B$3302,CW3471,IF($B$265=B$3303,CX3471,IF($B$265=B$3304,CY3471,IF($B$265=B$3305,CZ3471,IF($B$265=B$3306,DA3471,IF($B$265=B$3307,DB3471,IF($B$265=B$3308,DC3471,IF($B$265=B$3309,DD3471,IF($B$265=B$3310,DE3471,IF($B$265=B$3311,DF3471,IF($B$265=B$3312,DG3471,IF($B$265=B$3313,DH3471,IF($B$265=B$3314,DI3471,IF($B$265=B$3315,DJ3471,IF($B$265=B$3316,DK3471,IF($B$265=B$3317,DL3471,IF($B$265=B$3318,DM3471,IF($B$265=B$3319,DN3471,IF($B$265=B$3320,DO3471,IF($B$265=B$3321,DP3471,IF($B$265=B$3322,DQ3471,IF($B$265=B$3323,DR3471,IF($B$265=B$3324,DS3471,IF($B$265=B$3325,DT3471,IF($B$265=B$3326,DU3471,IF($B$265=B$3327,DV3471,IF($B$265=B$3328,DW3471,IF($B$265=B$3329,DX3471,""))))))))))))))))))))))))))))))))))))))))))))))))))))</f>
        <v/>
      </c>
      <c r="BZ3472" s="245" t="s">
        <v>885</v>
      </c>
      <c r="CA3472" s="245" t="s">
        <v>885</v>
      </c>
      <c r="CC3472" s="245" t="s">
        <v>885</v>
      </c>
      <c r="CD3472" s="459" t="s">
        <v>885</v>
      </c>
      <c r="CE3472" s="459" t="s">
        <v>885</v>
      </c>
      <c r="CF3472" s="245" t="s">
        <v>885</v>
      </c>
      <c r="CG3472" s="245" t="s">
        <v>885</v>
      </c>
      <c r="CH3472" s="245" t="s">
        <v>885</v>
      </c>
      <c r="CI3472" s="245" t="s">
        <v>885</v>
      </c>
      <c r="CJ3472" s="459" t="s">
        <v>885</v>
      </c>
      <c r="CK3472" s="459" t="s">
        <v>885</v>
      </c>
      <c r="CL3472" s="459" t="s">
        <v>885</v>
      </c>
      <c r="CM3472" s="459" t="s">
        <v>885</v>
      </c>
      <c r="CN3472" s="459" t="s">
        <v>885</v>
      </c>
      <c r="CO3472" s="459" t="s">
        <v>885</v>
      </c>
      <c r="CP3472" s="459" t="s">
        <v>885</v>
      </c>
      <c r="CQ3472" s="459" t="s">
        <v>885</v>
      </c>
      <c r="CR3472" s="459" t="s">
        <v>885</v>
      </c>
      <c r="CS3472" s="459" t="s">
        <v>885</v>
      </c>
      <c r="CT3472" s="245" t="s">
        <v>885</v>
      </c>
      <c r="CU3472" s="463" t="s">
        <v>885</v>
      </c>
      <c r="CV3472" s="245" t="s">
        <v>885</v>
      </c>
      <c r="CW3472" s="245" t="s">
        <v>885</v>
      </c>
      <c r="CX3472" s="459" t="s">
        <v>885</v>
      </c>
      <c r="CY3472" s="459" t="s">
        <v>885</v>
      </c>
      <c r="CZ3472" s="459" t="s">
        <v>885</v>
      </c>
      <c r="DA3472" s="459" t="s">
        <v>885</v>
      </c>
      <c r="DB3472" s="459" t="s">
        <v>885</v>
      </c>
      <c r="DC3472" s="459" t="s">
        <v>885</v>
      </c>
      <c r="DD3472" s="459" t="s">
        <v>885</v>
      </c>
      <c r="DE3472" s="459" t="s">
        <v>885</v>
      </c>
      <c r="DF3472" s="459" t="s">
        <v>885</v>
      </c>
      <c r="DG3472" s="459" t="s">
        <v>885</v>
      </c>
      <c r="DH3472" s="459" t="s">
        <v>885</v>
      </c>
      <c r="DI3472" s="459" t="s">
        <v>885</v>
      </c>
      <c r="DJ3472" s="459" t="s">
        <v>885</v>
      </c>
      <c r="DK3472" s="459" t="s">
        <v>885</v>
      </c>
      <c r="DL3472" s="459" t="s">
        <v>885</v>
      </c>
      <c r="DM3472" s="459" t="s">
        <v>885</v>
      </c>
      <c r="DN3472" s="459" t="s">
        <v>885</v>
      </c>
      <c r="DO3472" s="459" t="s">
        <v>885</v>
      </c>
      <c r="DP3472" t="s">
        <v>2073</v>
      </c>
      <c r="DQ3472" s="459" t="s">
        <v>885</v>
      </c>
      <c r="DR3472" s="459" t="s">
        <v>885</v>
      </c>
      <c r="DS3472" s="459" t="s">
        <v>885</v>
      </c>
      <c r="DT3472" s="459" t="s">
        <v>885</v>
      </c>
      <c r="DU3472" s="459" t="s">
        <v>885</v>
      </c>
      <c r="DV3472" s="459" t="s">
        <v>885</v>
      </c>
      <c r="DW3472" s="459" t="s">
        <v>885</v>
      </c>
      <c r="DX3472" s="245" t="s">
        <v>885</v>
      </c>
      <c r="DY3472" s="245"/>
      <c r="DZ3472" s="470" t="str">
        <f>IF($B$265=$B$3278,EB3472,IF($B$265=$B$3279,ED3472,IF($B$265=$B$3280,EF3472,IF($B$265=$B$3281,EH3472,IF($B$265=$B$3282,EJ3472,IF($B$265=$B$3283,EL3472,IF($B$265=$B$3284,EN3472,IF($B$265=$B$3285,EP3472,IF($B$265=$B$3286,ER3472,IF($B$265=$B$3287,ET3472,IF($B$265=$B$3288,EV3472,IF($B$265=$B$3289,EX3472,IF($B$265=$B$3290,EZ3472,IF($B$265=$B$3291,FB3472,IF($B$265=$B$3292,FD3472,IF($B$265=$B$3293,BU3472,IF($B$265=$B$3294,FF3472,IF($B$265=$B$3295,FH3472,IF($B$265=$B$3296,FJ3472,IF($B$265=$B$3297,FL3472,IF($B$265=$B$3298,FN3472,IF($B$265=$B$3299,FP3472,IF(BI$265=$B$3300,FR3472,IF($B$265=$B$3301,FT3472,IF($B$265=$B$3302,FV3472,IF($B$265=$B$3303,FX3472,IF($B$265=$B$3304,FZ3472,IF($B$265=$B$3305,GB3472,IF($B$265=$B$3306,GD3472,IF($B$265=$B$3307,GF3472,IF($B$265=$B$3308,GH3472,IF($B$265=$B$3309,GJ3472,IF($B$265=$B$3310,GL3472,IF($B$265=$B$3311,GN3472,IF($B$265=$B$3312,GP3472,IF($B$265=$B$3313,GR3472,IF($B$265=$B$3314,GT3472,IF($B$265=$B$3315,GV3472,IF($B$265=$B$3316,GX3472,IF($B$265=$B$3317,GZ3472,IF($B$265=$B$3318,HB3472,IF($B$265=$B$3319,HD3472,IF($B$265=$B$3320,HF3472,IF($B$265=$B$3321,HH3472,IF($B$265=$B$3322,HJ3472,IF($B$265=$B$3323,HL3472,IF($B$265=$B$3324,HN3472,IF($B$265=$B$3325,HP3472,IF($B$265=$B$3326,HR3472,IF($B$265=$B$3327,HT3472,IF($B$265=$B$3328,HV3472,IF($B$265=$B$3329,HX3472,""))))))))))))))))))))))))))))))))))))))))))))))))))))</f>
        <v/>
      </c>
      <c r="EA3472" s="470" t="str">
        <f>IF($B$265=$B$3278,EC3472,IF($B$265=$B$3279,EE3472,IF($B$265=$B$3280,EG3472,IF($B$265=$B$3281,EI3472,IF($B$265=$B$3282,EK3472,IF($B$265=$B$3283,EM3472,IF($B$265=$B$3284,EO3472,IF($B$265=$B$3285,EQ3472,IF($B$265=$B$3286,ES3472,IF($B$265=$B$3287,EU3472,IF($B$265=$B$3288,EW3472,IF($B$265=$B$3289,EY3472,IF($B$265=$B$3290,FA3472,IF($B$265=$B$3291,FC3472,IF($B$265=$B$3292,FE3472,IF($B$265=$B$3293,BK3472,IF($B$265=$B$3294,FG3472,IF($B$265=$B$3295,FI3472,IF($B$265=$B$3296,FK3472,IF($B$265=$B$3297,FM3472,IF($B$265=$B$3298,FO3472,IF($B$265=$B$3299,FQ3472,IF(BJ$265=$B$3300,FS3472,IF($B$265=$B$3301,FU3472,IF($B$265=$B$3302,FW3472,IF($B$265=$B$3303,FY3472,IF($B$265=$B$3304,GA3472,IF($B$265=$B$3305,GC3472,IF($B$265=$B$3306,GE3472,IF($B$265=$B$3307,GG3472,IF($B$265=$B$3308,GI3472,IF($B$265=$B$3309,GK3472,IF($B$265=$B$3310,GM3472,IF($B$265=$B$3311,GO3472,IF($B$265=$B$3312,GQ3472,IF($B$265=$B$3313,GS3472,IF($B$265=$B$3314,GU3472,IF($B$265=$B$3315,GW3472,IF($B$265=$B$3316,GY3472,IF($B$265=$B$3317,HA3472,IF($B$265=$B$3318,HC3472,IF($B$265=$B$3319,HE3472,IF($B$265=$B$3320,HG3472,IF($B$265=$B$3321,HI3472,IF($B$265=$B$3322,HK3472,IF($B$265=$B$3323,HM3472,IF($B$265=$B$3324,HO3472,IF($B$265=$B$3325,HQ3472,IF($B$265=$B$3326,HS3472,IF($B$265=$B$3327,HU3472,IF($B$265=$B$3328,HW3472,IF($B$265=$B$3329,HY3472,""))))))))))))))))))))))))))))))))))))))))))))))))))))</f>
        <v/>
      </c>
      <c r="EB3472" s="459" t="s">
        <v>885</v>
      </c>
    </row>
    <row r="3473" spans="1:132" ht="16" hidden="1" x14ac:dyDescent="0.4">
      <c r="A3473" s="813"/>
      <c r="BB3473" s="48"/>
      <c r="BS3473" s="464" t="str">
        <f>IF($B$265=B$3278,BZ3472,IF($B$265=B$3279,CA3472,IF($B$265=B$3280,CB3472,IF($B$265=B$3281,CC3472,IF($B$265=B$3282,CD3472,IF($B$265=B$3283,CE3472,IF($B$265=B$3284,CF3472,IF($B$265=B$3285,CG3472,IF($B$265=B$3286,CH3472,IF($B$265=B$3287,CI3472,IF($B$265=B$3288,CJ3472,IF($B$265=B$3289,CK3472,IF($B$265=B$3290,CL3472,IF($B$265=B$3291,CM3472,IF($B$265=B$3292,CN3472,IF($B$265=B$3293,B2735,IF($B$265=B$3294,CO3472,IF($B$265=B$3295,CP3472,IF($B$265=B$3296,CQ3472,IF($B$265=B$3297,CR3472,IF($B$265=B$3298,CS3472,IF($B$265=B$3299,CT3472,IF(B$265=B$3300,CU3472,IF($B$265=B$3301,CV3472,IF($B$265=B$3302,CW3472,IF($B$265=B$3303,CX3472,IF($B$265=B$3304,CY3472,IF($B$265=B$3305,CZ3472,IF($B$265=B$3306,DA3472,IF($B$265=B$3307,DB3472,IF($B$265=B$3308,DC3472,IF($B$265=B$3309,DD3472,IF($B$265=B$3310,DE3472,IF($B$265=B$3311,DF3472,IF($B$265=B$3312,DG3472,IF($B$265=B$3313,DH3472,IF($B$265=B$3314,DI3472,IF($B$265=B$3315,DJ3472,IF($B$265=B$3316,DK3472,IF($B$265=B$3317,DL3472,IF($B$265=B$3318,DM3472,IF($B$265=B$3319,DN3472,IF($B$265=B$3320,DO3472,IF($B$265=B$3321,DP3472,IF($B$265=B$3322,DQ3472,IF($B$265=B$3323,DR3472,IF($B$265=B$3324,DS3472,IF($B$265=B$3325,DT3472,IF($B$265=B$3326,DU3472,IF($B$265=B$3327,DV3472,IF($B$265=B$3328,DW3472,IF($B$265=B$3329,DX3472,""))))))))))))))))))))))))))))))))))))))))))))))))))))</f>
        <v/>
      </c>
      <c r="BZ3473" s="245" t="s">
        <v>885</v>
      </c>
      <c r="CA3473" s="245" t="s">
        <v>885</v>
      </c>
      <c r="CC3473" s="245" t="s">
        <v>885</v>
      </c>
      <c r="CD3473" s="459" t="s">
        <v>885</v>
      </c>
      <c r="CE3473" s="459" t="s">
        <v>885</v>
      </c>
      <c r="CF3473" s="245" t="s">
        <v>885</v>
      </c>
      <c r="CG3473" s="245" t="s">
        <v>885</v>
      </c>
      <c r="CH3473" s="245" t="s">
        <v>885</v>
      </c>
      <c r="CI3473" s="245" t="s">
        <v>885</v>
      </c>
      <c r="CJ3473" s="459" t="s">
        <v>885</v>
      </c>
      <c r="CK3473" s="459" t="s">
        <v>885</v>
      </c>
      <c r="CL3473" s="459" t="s">
        <v>885</v>
      </c>
      <c r="CM3473" s="459" t="s">
        <v>885</v>
      </c>
      <c r="CN3473" s="459" t="s">
        <v>885</v>
      </c>
      <c r="CO3473" s="459" t="s">
        <v>885</v>
      </c>
      <c r="CP3473" s="459" t="s">
        <v>885</v>
      </c>
      <c r="CQ3473" s="459" t="s">
        <v>885</v>
      </c>
      <c r="CR3473" s="459" t="s">
        <v>885</v>
      </c>
      <c r="CS3473" s="459" t="s">
        <v>885</v>
      </c>
      <c r="CT3473" s="245" t="s">
        <v>885</v>
      </c>
      <c r="CU3473" s="463" t="s">
        <v>885</v>
      </c>
      <c r="CV3473" s="245" t="s">
        <v>885</v>
      </c>
      <c r="CW3473" s="245" t="s">
        <v>885</v>
      </c>
      <c r="CX3473" s="459" t="s">
        <v>885</v>
      </c>
      <c r="CY3473" s="459" t="s">
        <v>885</v>
      </c>
      <c r="CZ3473" s="459" t="s">
        <v>885</v>
      </c>
      <c r="DA3473" s="459" t="s">
        <v>885</v>
      </c>
      <c r="DB3473" s="459" t="s">
        <v>885</v>
      </c>
      <c r="DC3473" s="459" t="s">
        <v>885</v>
      </c>
      <c r="DD3473" s="459" t="s">
        <v>885</v>
      </c>
      <c r="DE3473" s="459" t="s">
        <v>885</v>
      </c>
      <c r="DF3473" s="459" t="s">
        <v>885</v>
      </c>
      <c r="DG3473" s="459" t="s">
        <v>885</v>
      </c>
      <c r="DH3473" s="459" t="s">
        <v>885</v>
      </c>
      <c r="DI3473" s="459" t="s">
        <v>885</v>
      </c>
      <c r="DJ3473" s="459" t="s">
        <v>885</v>
      </c>
      <c r="DK3473" s="459" t="s">
        <v>885</v>
      </c>
      <c r="DL3473" s="459" t="s">
        <v>885</v>
      </c>
      <c r="DM3473" s="459" t="s">
        <v>885</v>
      </c>
      <c r="DN3473" s="459" t="s">
        <v>885</v>
      </c>
      <c r="DO3473" s="459" t="s">
        <v>885</v>
      </c>
      <c r="DP3473" t="s">
        <v>3032</v>
      </c>
      <c r="DQ3473" s="459" t="s">
        <v>885</v>
      </c>
      <c r="DR3473" s="459" t="s">
        <v>885</v>
      </c>
      <c r="DS3473" s="459" t="s">
        <v>885</v>
      </c>
      <c r="DT3473" s="459" t="s">
        <v>885</v>
      </c>
      <c r="DU3473" s="459" t="s">
        <v>885</v>
      </c>
      <c r="DV3473" s="459" t="s">
        <v>885</v>
      </c>
      <c r="DW3473" s="459" t="s">
        <v>885</v>
      </c>
      <c r="DX3473" s="245" t="s">
        <v>885</v>
      </c>
      <c r="DY3473" s="245"/>
      <c r="DZ3473" s="470" t="str">
        <f>IF($B$265=$B$3278,EB3473,IF($B$265=$B$3279,ED3473,IF($B$265=$B$3280,EF3473,IF($B$265=$B$3281,EH3473,IF($B$265=$B$3282,EJ3473,IF($B$265=$B$3283,EL3473,IF($B$265=$B$3284,EN3473,IF($B$265=$B$3285,EP3473,IF($B$265=$B$3286,ER3473,IF($B$265=$B$3287,ET3473,IF($B$265=$B$3288,EV3473,IF($B$265=$B$3289,EX3473,IF($B$265=$B$3290,EZ3473,IF($B$265=$B$3291,FB3473,IF($B$265=$B$3292,FD3473,IF($B$265=$B$3293,BU3473,IF($B$265=$B$3294,FF3473,IF($B$265=$B$3295,FH3473,IF($B$265=$B$3296,FJ3473,IF($B$265=$B$3297,FL3473,IF($B$265=$B$3298,FN3473,IF($B$265=$B$3299,FP3473,IF(BI$265=$B$3300,FR3473,IF($B$265=$B$3301,FT3473,IF($B$265=$B$3302,FV3473,IF($B$265=$B$3303,FX3473,IF($B$265=$B$3304,FZ3473,IF($B$265=$B$3305,GB3473,IF($B$265=$B$3306,GD3473,IF($B$265=$B$3307,GF3473,IF($B$265=$B$3308,GH3473,IF($B$265=$B$3309,GJ3473,IF($B$265=$B$3310,GL3473,IF($B$265=$B$3311,GN3473,IF($B$265=$B$3312,GP3473,IF($B$265=$B$3313,GR3473,IF($B$265=$B$3314,GT3473,IF($B$265=$B$3315,GV3473,IF($B$265=$B$3316,GX3473,IF($B$265=$B$3317,GZ3473,IF($B$265=$B$3318,HB3473,IF($B$265=$B$3319,HD3473,IF($B$265=$B$3320,HF3473,IF($B$265=$B$3321,HH3473,IF($B$265=$B$3322,HJ3473,IF($B$265=$B$3323,HL3473,IF($B$265=$B$3324,HN3473,IF($B$265=$B$3325,HP3473,IF($B$265=$B$3326,HR3473,IF($B$265=$B$3327,HT3473,IF($B$265=$B$3328,HV3473,IF($B$265=$B$3329,HX3473,""))))))))))))))))))))))))))))))))))))))))))))))))))))</f>
        <v/>
      </c>
      <c r="EA3473" s="470" t="str">
        <f>IF($B$265=$B$3278,EC3473,IF($B$265=$B$3279,EE3473,IF($B$265=$B$3280,EG3473,IF($B$265=$B$3281,EI3473,IF($B$265=$B$3282,EK3473,IF($B$265=$B$3283,EM3473,IF($B$265=$B$3284,EO3473,IF($B$265=$B$3285,EQ3473,IF($B$265=$B$3286,ES3473,IF($B$265=$B$3287,EU3473,IF($B$265=$B$3288,EW3473,IF($B$265=$B$3289,EY3473,IF($B$265=$B$3290,FA3473,IF($B$265=$B$3291,FC3473,IF($B$265=$B$3292,FE3473,IF($B$265=$B$3293,BK3473,IF($B$265=$B$3294,FG3473,IF($B$265=$B$3295,FI3473,IF($B$265=$B$3296,FK3473,IF($B$265=$B$3297,FM3473,IF($B$265=$B$3298,FO3473,IF($B$265=$B$3299,FQ3473,IF(BJ$265=$B$3300,FS3473,IF($B$265=$B$3301,FU3473,IF($B$265=$B$3302,FW3473,IF($B$265=$B$3303,FY3473,IF($B$265=$B$3304,GA3473,IF($B$265=$B$3305,GC3473,IF($B$265=$B$3306,GE3473,IF($B$265=$B$3307,GG3473,IF($B$265=$B$3308,GI3473,IF($B$265=$B$3309,GK3473,IF($B$265=$B$3310,GM3473,IF($B$265=$B$3311,GO3473,IF($B$265=$B$3312,GQ3473,IF($B$265=$B$3313,GS3473,IF($B$265=$B$3314,GU3473,IF($B$265=$B$3315,GW3473,IF($B$265=$B$3316,GY3473,IF($B$265=$B$3317,HA3473,IF($B$265=$B$3318,HC3473,IF($B$265=$B$3319,HE3473,IF($B$265=$B$3320,HG3473,IF($B$265=$B$3321,HI3473,IF($B$265=$B$3322,HK3473,IF($B$265=$B$3323,HM3473,IF($B$265=$B$3324,HO3473,IF($B$265=$B$3325,HQ3473,IF($B$265=$B$3326,HS3473,IF($B$265=$B$3327,HU3473,IF($B$265=$B$3328,HW3473,IF($B$265=$B$3329,HY3473,""))))))))))))))))))))))))))))))))))))))))))))))))))))</f>
        <v/>
      </c>
      <c r="EB3473" s="459" t="s">
        <v>885</v>
      </c>
    </row>
    <row r="3474" spans="1:132" ht="16" hidden="1" x14ac:dyDescent="0.4">
      <c r="A3474" s="813"/>
      <c r="BB3474" s="48"/>
      <c r="BS3474" s="464" t="str">
        <f>IF($B$265=B$3278,BZ3473,IF($B$265=B$3279,CA3473,IF($B$265=B$3280,CB3473,IF($B$265=B$3281,CC3473,IF($B$265=B$3282,CD3473,IF($B$265=B$3283,CE3473,IF($B$265=B$3284,CF3473,IF($B$265=B$3285,CG3473,IF($B$265=B$3286,CH3473,IF($B$265=B$3287,CI3473,IF($B$265=B$3288,CJ3473,IF($B$265=B$3289,CK3473,IF($B$265=B$3290,CL3473,IF($B$265=B$3291,CM3473,IF($B$265=B$3292,CN3473,IF($B$265=B$3293,B2736,IF($B$265=B$3294,CO3473,IF($B$265=B$3295,CP3473,IF($B$265=B$3296,CQ3473,IF($B$265=B$3297,CR3473,IF($B$265=B$3298,CS3473,IF($B$265=B$3299,CT3473,IF(B$265=B$3300,CU3473,IF($B$265=B$3301,CV3473,IF($B$265=B$3302,CW3473,IF($B$265=B$3303,CX3473,IF($B$265=B$3304,CY3473,IF($B$265=B$3305,CZ3473,IF($B$265=B$3306,DA3473,IF($B$265=B$3307,DB3473,IF($B$265=B$3308,DC3473,IF($B$265=B$3309,DD3473,IF($B$265=B$3310,DE3473,IF($B$265=B$3311,DF3473,IF($B$265=B$3312,DG3473,IF($B$265=B$3313,DH3473,IF($B$265=B$3314,DI3473,IF($B$265=B$3315,DJ3473,IF($B$265=B$3316,DK3473,IF($B$265=B$3317,DL3473,IF($B$265=B$3318,DM3473,IF($B$265=B$3319,DN3473,IF($B$265=B$3320,DO3473,IF($B$265=B$3321,DP3473,IF($B$265=B$3322,DQ3473,IF($B$265=B$3323,DR3473,IF($B$265=B$3324,DS3473,IF($B$265=B$3325,DT3473,IF($B$265=B$3326,DU3473,IF($B$265=B$3327,DV3473,IF($B$265=B$3328,DW3473,IF($B$265=B$3329,DX3473,""))))))))))))))))))))))))))))))))))))))))))))))))))))</f>
        <v/>
      </c>
      <c r="BZ3474" s="245" t="s">
        <v>885</v>
      </c>
      <c r="CA3474" s="245" t="s">
        <v>885</v>
      </c>
      <c r="CC3474" s="245" t="s">
        <v>885</v>
      </c>
      <c r="CD3474" s="459" t="s">
        <v>885</v>
      </c>
      <c r="CE3474" s="459" t="s">
        <v>885</v>
      </c>
      <c r="CF3474" s="245" t="s">
        <v>885</v>
      </c>
      <c r="CG3474" s="245" t="s">
        <v>885</v>
      </c>
      <c r="CH3474" s="245" t="s">
        <v>885</v>
      </c>
      <c r="CI3474" s="245" t="s">
        <v>885</v>
      </c>
      <c r="CJ3474" s="459" t="s">
        <v>885</v>
      </c>
      <c r="CK3474" s="459" t="s">
        <v>885</v>
      </c>
      <c r="CL3474" s="459" t="s">
        <v>885</v>
      </c>
      <c r="CM3474" s="459" t="s">
        <v>885</v>
      </c>
      <c r="CN3474" s="459" t="s">
        <v>885</v>
      </c>
      <c r="CO3474" s="459" t="s">
        <v>885</v>
      </c>
      <c r="CP3474" s="459" t="s">
        <v>885</v>
      </c>
      <c r="CQ3474" s="459" t="s">
        <v>885</v>
      </c>
      <c r="CR3474" s="459" t="s">
        <v>885</v>
      </c>
      <c r="CS3474" s="459" t="s">
        <v>885</v>
      </c>
      <c r="CT3474" s="245" t="s">
        <v>885</v>
      </c>
      <c r="CU3474" s="463" t="s">
        <v>885</v>
      </c>
      <c r="CV3474" s="245" t="s">
        <v>885</v>
      </c>
      <c r="CW3474" s="245" t="s">
        <v>885</v>
      </c>
      <c r="CX3474" s="459" t="s">
        <v>885</v>
      </c>
      <c r="CY3474" s="459" t="s">
        <v>885</v>
      </c>
      <c r="CZ3474" s="459" t="s">
        <v>885</v>
      </c>
      <c r="DA3474" s="459" t="s">
        <v>885</v>
      </c>
      <c r="DB3474" s="459" t="s">
        <v>885</v>
      </c>
      <c r="DC3474" s="459" t="s">
        <v>885</v>
      </c>
      <c r="DD3474" s="459" t="s">
        <v>885</v>
      </c>
      <c r="DE3474" s="459" t="s">
        <v>885</v>
      </c>
      <c r="DF3474" s="459" t="s">
        <v>885</v>
      </c>
      <c r="DG3474" s="459" t="s">
        <v>885</v>
      </c>
      <c r="DH3474" s="459" t="s">
        <v>885</v>
      </c>
      <c r="DI3474" s="459" t="s">
        <v>885</v>
      </c>
      <c r="DJ3474" s="459" t="s">
        <v>885</v>
      </c>
      <c r="DK3474" s="459" t="s">
        <v>885</v>
      </c>
      <c r="DL3474" s="459" t="s">
        <v>885</v>
      </c>
      <c r="DM3474" s="459" t="s">
        <v>885</v>
      </c>
      <c r="DN3474" s="459" t="s">
        <v>885</v>
      </c>
      <c r="DO3474" s="459" t="s">
        <v>885</v>
      </c>
      <c r="DP3474" t="s">
        <v>3033</v>
      </c>
      <c r="DQ3474" s="459" t="s">
        <v>885</v>
      </c>
      <c r="DR3474" s="459" t="s">
        <v>885</v>
      </c>
      <c r="DS3474" s="459" t="s">
        <v>885</v>
      </c>
      <c r="DT3474" s="459" t="s">
        <v>885</v>
      </c>
      <c r="DU3474" s="459" t="s">
        <v>885</v>
      </c>
      <c r="DV3474" s="459" t="s">
        <v>885</v>
      </c>
      <c r="DW3474" s="459" t="s">
        <v>885</v>
      </c>
      <c r="DX3474" s="245" t="s">
        <v>885</v>
      </c>
      <c r="DY3474" s="245"/>
      <c r="DZ3474" s="470" t="str">
        <f>IF($B$265=$B$3278,EB3474,IF($B$265=$B$3279,ED3474,IF($B$265=$B$3280,EF3474,IF($B$265=$B$3281,EH3474,IF($B$265=$B$3282,EJ3474,IF($B$265=$B$3283,EL3474,IF($B$265=$B$3284,EN3474,IF($B$265=$B$3285,EP3474,IF($B$265=$B$3286,ER3474,IF($B$265=$B$3287,ET3474,IF($B$265=$B$3288,EV3474,IF($B$265=$B$3289,EX3474,IF($B$265=$B$3290,EZ3474,IF($B$265=$B$3291,FB3474,IF($B$265=$B$3292,FD3474,IF($B$265=$B$3293,BU3474,IF($B$265=$B$3294,FF3474,IF($B$265=$B$3295,FH3474,IF($B$265=$B$3296,FJ3474,IF($B$265=$B$3297,FL3474,IF($B$265=$B$3298,FN3474,IF($B$265=$B$3299,FP3474,IF(BI$265=$B$3300,FR3474,IF($B$265=$B$3301,FT3474,IF($B$265=$B$3302,FV3474,IF($B$265=$B$3303,FX3474,IF($B$265=$B$3304,FZ3474,IF($B$265=$B$3305,GB3474,IF($B$265=$B$3306,GD3474,IF($B$265=$B$3307,GF3474,IF($B$265=$B$3308,GH3474,IF($B$265=$B$3309,GJ3474,IF($B$265=$B$3310,GL3474,IF($B$265=$B$3311,GN3474,IF($B$265=$B$3312,GP3474,IF($B$265=$B$3313,GR3474,IF($B$265=$B$3314,GT3474,IF($B$265=$B$3315,GV3474,IF($B$265=$B$3316,GX3474,IF($B$265=$B$3317,GZ3474,IF($B$265=$B$3318,HB3474,IF($B$265=$B$3319,HD3474,IF($B$265=$B$3320,HF3474,IF($B$265=$B$3321,HH3474,IF($B$265=$B$3322,HJ3474,IF($B$265=$B$3323,HL3474,IF($B$265=$B$3324,HN3474,IF($B$265=$B$3325,HP3474,IF($B$265=$B$3326,HR3474,IF($B$265=$B$3327,HT3474,IF($B$265=$B$3328,HV3474,IF($B$265=$B$3329,HX3474,""))))))))))))))))))))))))))))))))))))))))))))))))))))</f>
        <v/>
      </c>
      <c r="EA3474" s="470" t="str">
        <f>IF($B$265=$B$3278,EC3474,IF($B$265=$B$3279,EE3474,IF($B$265=$B$3280,EG3474,IF($B$265=$B$3281,EI3474,IF($B$265=$B$3282,EK3474,IF($B$265=$B$3283,EM3474,IF($B$265=$B$3284,EO3474,IF($B$265=$B$3285,EQ3474,IF($B$265=$B$3286,ES3474,IF($B$265=$B$3287,EU3474,IF($B$265=$B$3288,EW3474,IF($B$265=$B$3289,EY3474,IF($B$265=$B$3290,FA3474,IF($B$265=$B$3291,FC3474,IF($B$265=$B$3292,FE3474,IF($B$265=$B$3293,BK3474,IF($B$265=$B$3294,FG3474,IF($B$265=$B$3295,FI3474,IF($B$265=$B$3296,FK3474,IF($B$265=$B$3297,FM3474,IF($B$265=$B$3298,FO3474,IF($B$265=$B$3299,FQ3474,IF(BJ$265=$B$3300,FS3474,IF($B$265=$B$3301,FU3474,IF($B$265=$B$3302,FW3474,IF($B$265=$B$3303,FY3474,IF($B$265=$B$3304,GA3474,IF($B$265=$B$3305,GC3474,IF($B$265=$B$3306,GE3474,IF($B$265=$B$3307,GG3474,IF($B$265=$B$3308,GI3474,IF($B$265=$B$3309,GK3474,IF($B$265=$B$3310,GM3474,IF($B$265=$B$3311,GO3474,IF($B$265=$B$3312,GQ3474,IF($B$265=$B$3313,GS3474,IF($B$265=$B$3314,GU3474,IF($B$265=$B$3315,GW3474,IF($B$265=$B$3316,GY3474,IF($B$265=$B$3317,HA3474,IF($B$265=$B$3318,HC3474,IF($B$265=$B$3319,HE3474,IF($B$265=$B$3320,HG3474,IF($B$265=$B$3321,HI3474,IF($B$265=$B$3322,HK3474,IF($B$265=$B$3323,HM3474,IF($B$265=$B$3324,HO3474,IF($B$265=$B$3325,HQ3474,IF($B$265=$B$3326,HS3474,IF($B$265=$B$3327,HU3474,IF($B$265=$B$3328,HW3474,IF($B$265=$B$3329,HY3474,""))))))))))))))))))))))))))))))))))))))))))))))))))))</f>
        <v/>
      </c>
      <c r="EB3474" s="459" t="s">
        <v>885</v>
      </c>
    </row>
    <row r="3475" spans="1:132" ht="16" hidden="1" x14ac:dyDescent="0.4">
      <c r="A3475" s="813"/>
      <c r="BB3475" s="48"/>
      <c r="BS3475" s="464" t="str">
        <f>IF($B$265=B$3278,BZ3474,IF($B$265=B$3279,CA3474,IF($B$265=B$3280,CB3474,IF($B$265=B$3281,CC3474,IF($B$265=B$3282,CD3474,IF($B$265=B$3283,CE3474,IF($B$265=B$3284,CF3474,IF($B$265=B$3285,CG3474,IF($B$265=B$3286,CH3474,IF($B$265=B$3287,CI3474,IF($B$265=B$3288,CJ3474,IF($B$265=B$3289,CK3474,IF($B$265=B$3290,CL3474,IF($B$265=B$3291,CM3474,IF($B$265=B$3292,CN3474,IF($B$265=B$3293,B2737,IF($B$265=B$3294,CO3474,IF($B$265=B$3295,CP3474,IF($B$265=B$3296,CQ3474,IF($B$265=B$3297,CR3474,IF($B$265=B$3298,CS3474,IF($B$265=B$3299,CT3474,IF(B$265=B$3300,CU3474,IF($B$265=B$3301,CV3474,IF($B$265=B$3302,CW3474,IF($B$265=B$3303,CX3474,IF($B$265=B$3304,CY3474,IF($B$265=B$3305,CZ3474,IF($B$265=B$3306,DA3474,IF($B$265=B$3307,DB3474,IF($B$265=B$3308,DC3474,IF($B$265=B$3309,DD3474,IF($B$265=B$3310,DE3474,IF($B$265=B$3311,DF3474,IF($B$265=B$3312,DG3474,IF($B$265=B$3313,DH3474,IF($B$265=B$3314,DI3474,IF($B$265=B$3315,DJ3474,IF($B$265=B$3316,DK3474,IF($B$265=B$3317,DL3474,IF($B$265=B$3318,DM3474,IF($B$265=B$3319,DN3474,IF($B$265=B$3320,DO3474,IF($B$265=B$3321,DP3474,IF($B$265=B$3322,DQ3474,IF($B$265=B$3323,DR3474,IF($B$265=B$3324,DS3474,IF($B$265=B$3325,DT3474,IF($B$265=B$3326,DU3474,IF($B$265=B$3327,DV3474,IF($B$265=B$3328,DW3474,IF($B$265=B$3329,DX3474,""))))))))))))))))))))))))))))))))))))))))))))))))))))</f>
        <v/>
      </c>
      <c r="BZ3475" s="245" t="s">
        <v>885</v>
      </c>
      <c r="CA3475" s="245" t="s">
        <v>885</v>
      </c>
      <c r="CC3475" s="245" t="s">
        <v>885</v>
      </c>
      <c r="CD3475" s="459" t="s">
        <v>885</v>
      </c>
      <c r="CE3475" s="459" t="s">
        <v>885</v>
      </c>
      <c r="CF3475" s="245" t="s">
        <v>885</v>
      </c>
      <c r="CG3475" s="245" t="s">
        <v>885</v>
      </c>
      <c r="CH3475" s="245" t="s">
        <v>885</v>
      </c>
      <c r="CI3475" s="245" t="s">
        <v>885</v>
      </c>
      <c r="CJ3475" s="459" t="s">
        <v>885</v>
      </c>
      <c r="CK3475" s="459" t="s">
        <v>885</v>
      </c>
      <c r="CL3475" s="459" t="s">
        <v>885</v>
      </c>
      <c r="CM3475" s="459" t="s">
        <v>885</v>
      </c>
      <c r="CN3475" s="459" t="s">
        <v>885</v>
      </c>
      <c r="CO3475" s="459" t="s">
        <v>885</v>
      </c>
      <c r="CP3475" s="459" t="s">
        <v>885</v>
      </c>
      <c r="CQ3475" s="459" t="s">
        <v>885</v>
      </c>
      <c r="CR3475" s="459" t="s">
        <v>885</v>
      </c>
      <c r="CS3475" s="459" t="s">
        <v>885</v>
      </c>
      <c r="CT3475" s="245" t="s">
        <v>885</v>
      </c>
      <c r="CU3475" s="463" t="s">
        <v>885</v>
      </c>
      <c r="CV3475" s="245" t="s">
        <v>885</v>
      </c>
      <c r="CW3475" s="245" t="s">
        <v>885</v>
      </c>
      <c r="CX3475" s="459" t="s">
        <v>885</v>
      </c>
      <c r="CY3475" s="459" t="s">
        <v>885</v>
      </c>
      <c r="CZ3475" s="459" t="s">
        <v>885</v>
      </c>
      <c r="DA3475" s="459" t="s">
        <v>885</v>
      </c>
      <c r="DB3475" s="459" t="s">
        <v>885</v>
      </c>
      <c r="DC3475" s="459" t="s">
        <v>885</v>
      </c>
      <c r="DD3475" s="459" t="s">
        <v>885</v>
      </c>
      <c r="DE3475" s="459" t="s">
        <v>885</v>
      </c>
      <c r="DF3475" s="459" t="s">
        <v>885</v>
      </c>
      <c r="DG3475" s="459" t="s">
        <v>885</v>
      </c>
      <c r="DH3475" s="459" t="s">
        <v>885</v>
      </c>
      <c r="DI3475" s="459" t="s">
        <v>885</v>
      </c>
      <c r="DJ3475" s="459" t="s">
        <v>885</v>
      </c>
      <c r="DK3475" s="459" t="s">
        <v>885</v>
      </c>
      <c r="DL3475" s="459" t="s">
        <v>885</v>
      </c>
      <c r="DM3475" s="459" t="s">
        <v>885</v>
      </c>
      <c r="DN3475" s="459" t="s">
        <v>885</v>
      </c>
      <c r="DO3475" s="459" t="s">
        <v>885</v>
      </c>
      <c r="DP3475" t="s">
        <v>3034</v>
      </c>
      <c r="DQ3475" s="459" t="s">
        <v>885</v>
      </c>
      <c r="DR3475" s="459" t="s">
        <v>885</v>
      </c>
      <c r="DS3475" s="459" t="s">
        <v>885</v>
      </c>
      <c r="DT3475" s="459" t="s">
        <v>885</v>
      </c>
      <c r="DU3475" s="459" t="s">
        <v>885</v>
      </c>
      <c r="DV3475" s="459" t="s">
        <v>885</v>
      </c>
      <c r="DW3475" s="459" t="s">
        <v>885</v>
      </c>
      <c r="DX3475" s="245" t="s">
        <v>885</v>
      </c>
      <c r="DY3475" s="245"/>
      <c r="DZ3475" s="470" t="str">
        <f>IF($B$265=$B$3278,EB3475,IF($B$265=$B$3279,ED3475,IF($B$265=$B$3280,EF3475,IF($B$265=$B$3281,EH3475,IF($B$265=$B$3282,EJ3475,IF($B$265=$B$3283,EL3475,IF($B$265=$B$3284,EN3475,IF($B$265=$B$3285,EP3475,IF($B$265=$B$3286,ER3475,IF($B$265=$B$3287,ET3475,IF($B$265=$B$3288,EV3475,IF($B$265=$B$3289,EX3475,IF($B$265=$B$3290,EZ3475,IF($B$265=$B$3291,FB3475,IF($B$265=$B$3292,FD3475,IF($B$265=$B$3293,BU3475,IF($B$265=$B$3294,FF3475,IF($B$265=$B$3295,FH3475,IF($B$265=$B$3296,FJ3475,IF($B$265=$B$3297,FL3475,IF($B$265=$B$3298,FN3475,IF($B$265=$B$3299,FP3475,IF(BI$265=$B$3300,FR3475,IF($B$265=$B$3301,FT3475,IF($B$265=$B$3302,FV3475,IF($B$265=$B$3303,FX3475,IF($B$265=$B$3304,FZ3475,IF($B$265=$B$3305,GB3475,IF($B$265=$B$3306,GD3475,IF($B$265=$B$3307,GF3475,IF($B$265=$B$3308,GH3475,IF($B$265=$B$3309,GJ3475,IF($B$265=$B$3310,GL3475,IF($B$265=$B$3311,GN3475,IF($B$265=$B$3312,GP3475,IF($B$265=$B$3313,GR3475,IF($B$265=$B$3314,GT3475,IF($B$265=$B$3315,GV3475,IF($B$265=$B$3316,GX3475,IF($B$265=$B$3317,GZ3475,IF($B$265=$B$3318,HB3475,IF($B$265=$B$3319,HD3475,IF($B$265=$B$3320,HF3475,IF($B$265=$B$3321,HH3475,IF($B$265=$B$3322,HJ3475,IF($B$265=$B$3323,HL3475,IF($B$265=$B$3324,HN3475,IF($B$265=$B$3325,HP3475,IF($B$265=$B$3326,HR3475,IF($B$265=$B$3327,HT3475,IF($B$265=$B$3328,HV3475,IF($B$265=$B$3329,HX3475,""))))))))))))))))))))))))))))))))))))))))))))))))))))</f>
        <v/>
      </c>
      <c r="EA3475" s="470" t="str">
        <f>IF($B$265=$B$3278,EC3475,IF($B$265=$B$3279,EE3475,IF($B$265=$B$3280,EG3475,IF($B$265=$B$3281,EI3475,IF($B$265=$B$3282,EK3475,IF($B$265=$B$3283,EM3475,IF($B$265=$B$3284,EO3475,IF($B$265=$B$3285,EQ3475,IF($B$265=$B$3286,ES3475,IF($B$265=$B$3287,EU3475,IF($B$265=$B$3288,EW3475,IF($B$265=$B$3289,EY3475,IF($B$265=$B$3290,FA3475,IF($B$265=$B$3291,FC3475,IF($B$265=$B$3292,FE3475,IF($B$265=$B$3293,BK3475,IF($B$265=$B$3294,FG3475,IF($B$265=$B$3295,FI3475,IF($B$265=$B$3296,FK3475,IF($B$265=$B$3297,FM3475,IF($B$265=$B$3298,FO3475,IF($B$265=$B$3299,FQ3475,IF(BJ$265=$B$3300,FS3475,IF($B$265=$B$3301,FU3475,IF($B$265=$B$3302,FW3475,IF($B$265=$B$3303,FY3475,IF($B$265=$B$3304,GA3475,IF($B$265=$B$3305,GC3475,IF($B$265=$B$3306,GE3475,IF($B$265=$B$3307,GG3475,IF($B$265=$B$3308,GI3475,IF($B$265=$B$3309,GK3475,IF($B$265=$B$3310,GM3475,IF($B$265=$B$3311,GO3475,IF($B$265=$B$3312,GQ3475,IF($B$265=$B$3313,GS3475,IF($B$265=$B$3314,GU3475,IF($B$265=$B$3315,GW3475,IF($B$265=$B$3316,GY3475,IF($B$265=$B$3317,HA3475,IF($B$265=$B$3318,HC3475,IF($B$265=$B$3319,HE3475,IF($B$265=$B$3320,HG3475,IF($B$265=$B$3321,HI3475,IF($B$265=$B$3322,HK3475,IF($B$265=$B$3323,HM3475,IF($B$265=$B$3324,HO3475,IF($B$265=$B$3325,HQ3475,IF($B$265=$B$3326,HS3475,IF($B$265=$B$3327,HU3475,IF($B$265=$B$3328,HW3475,IF($B$265=$B$3329,HY3475,""))))))))))))))))))))))))))))))))))))))))))))))))))))</f>
        <v/>
      </c>
      <c r="EB3475" s="459" t="s">
        <v>885</v>
      </c>
    </row>
    <row r="3476" spans="1:132" ht="16" hidden="1" x14ac:dyDescent="0.4">
      <c r="A3476" s="813"/>
      <c r="BB3476" s="48"/>
      <c r="BS3476" s="464" t="str">
        <f>IF($B$265=B$3278,BZ3475,IF($B$265=B$3279,CA3475,IF($B$265=B$3280,CB3475,IF($B$265=B$3281,CC3475,IF($B$265=B$3282,CD3475,IF($B$265=B$3283,CE3475,IF($B$265=B$3284,CF3475,IF($B$265=B$3285,CG3475,IF($B$265=B$3286,CH3475,IF($B$265=B$3287,CI3475,IF($B$265=B$3288,CJ3475,IF($B$265=B$3289,CK3475,IF($B$265=B$3290,CL3475,IF($B$265=B$3291,CM3475,IF($B$265=B$3292,CN3475,IF($B$265=B$3293,B2738,IF($B$265=B$3294,CO3475,IF($B$265=B$3295,CP3475,IF($B$265=B$3296,CQ3475,IF($B$265=B$3297,CR3475,IF($B$265=B$3298,CS3475,IF($B$265=B$3299,CT3475,IF(B$265=B$3300,CU3475,IF($B$265=B$3301,CV3475,IF($B$265=B$3302,CW3475,IF($B$265=B$3303,CX3475,IF($B$265=B$3304,CY3475,IF($B$265=B$3305,CZ3475,IF($B$265=B$3306,DA3475,IF($B$265=B$3307,DB3475,IF($B$265=B$3308,DC3475,IF($B$265=B$3309,DD3475,IF($B$265=B$3310,DE3475,IF($B$265=B$3311,DF3475,IF($B$265=B$3312,DG3475,IF($B$265=B$3313,DH3475,IF($B$265=B$3314,DI3475,IF($B$265=B$3315,DJ3475,IF($B$265=B$3316,DK3475,IF($B$265=B$3317,DL3475,IF($B$265=B$3318,DM3475,IF($B$265=B$3319,DN3475,IF($B$265=B$3320,DO3475,IF($B$265=B$3321,DP3475,IF($B$265=B$3322,DQ3475,IF($B$265=B$3323,DR3475,IF($B$265=B$3324,DS3475,IF($B$265=B$3325,DT3475,IF($B$265=B$3326,DU3475,IF($B$265=B$3327,DV3475,IF($B$265=B$3328,DW3475,IF($B$265=B$3329,DX3475,""))))))))))))))))))))))))))))))))))))))))))))))))))))</f>
        <v/>
      </c>
      <c r="BZ3476" s="245" t="s">
        <v>885</v>
      </c>
      <c r="CA3476" s="245" t="s">
        <v>885</v>
      </c>
      <c r="CC3476" s="245" t="s">
        <v>885</v>
      </c>
      <c r="CD3476" s="459" t="s">
        <v>885</v>
      </c>
      <c r="CE3476" s="459" t="s">
        <v>885</v>
      </c>
      <c r="CF3476" s="245" t="s">
        <v>885</v>
      </c>
      <c r="CG3476" s="245" t="s">
        <v>885</v>
      </c>
      <c r="CH3476" s="245" t="s">
        <v>885</v>
      </c>
      <c r="CI3476" s="245" t="s">
        <v>885</v>
      </c>
      <c r="CJ3476" s="459" t="s">
        <v>885</v>
      </c>
      <c r="CK3476" s="459" t="s">
        <v>885</v>
      </c>
      <c r="CL3476" s="459" t="s">
        <v>885</v>
      </c>
      <c r="CM3476" s="459" t="s">
        <v>885</v>
      </c>
      <c r="CN3476" s="459" t="s">
        <v>885</v>
      </c>
      <c r="CO3476" s="459" t="s">
        <v>885</v>
      </c>
      <c r="CP3476" s="459" t="s">
        <v>885</v>
      </c>
      <c r="CQ3476" s="459" t="s">
        <v>885</v>
      </c>
      <c r="CR3476" s="459" t="s">
        <v>885</v>
      </c>
      <c r="CS3476" s="459" t="s">
        <v>885</v>
      </c>
      <c r="CT3476" s="245" t="s">
        <v>885</v>
      </c>
      <c r="CU3476" s="463" t="s">
        <v>885</v>
      </c>
      <c r="CV3476" s="245" t="s">
        <v>885</v>
      </c>
      <c r="CW3476" s="245" t="s">
        <v>885</v>
      </c>
      <c r="CX3476" s="459" t="s">
        <v>885</v>
      </c>
      <c r="CY3476" s="459" t="s">
        <v>885</v>
      </c>
      <c r="CZ3476" s="459" t="s">
        <v>885</v>
      </c>
      <c r="DA3476" s="459" t="s">
        <v>885</v>
      </c>
      <c r="DB3476" s="459" t="s">
        <v>885</v>
      </c>
      <c r="DC3476" s="459" t="s">
        <v>885</v>
      </c>
      <c r="DD3476" s="459" t="s">
        <v>885</v>
      </c>
      <c r="DE3476" s="459" t="s">
        <v>885</v>
      </c>
      <c r="DF3476" s="459" t="s">
        <v>885</v>
      </c>
      <c r="DG3476" s="459" t="s">
        <v>885</v>
      </c>
      <c r="DH3476" s="459" t="s">
        <v>885</v>
      </c>
      <c r="DI3476" s="459" t="s">
        <v>885</v>
      </c>
      <c r="DJ3476" s="459" t="s">
        <v>885</v>
      </c>
      <c r="DK3476" s="459" t="s">
        <v>885</v>
      </c>
      <c r="DL3476" s="459" t="s">
        <v>885</v>
      </c>
      <c r="DM3476" s="459" t="s">
        <v>885</v>
      </c>
      <c r="DN3476" s="459" t="s">
        <v>885</v>
      </c>
      <c r="DO3476" s="459" t="s">
        <v>885</v>
      </c>
      <c r="DP3476" t="s">
        <v>1563</v>
      </c>
      <c r="DQ3476" s="459" t="s">
        <v>885</v>
      </c>
      <c r="DR3476" s="459" t="s">
        <v>885</v>
      </c>
      <c r="DS3476" s="459" t="s">
        <v>885</v>
      </c>
      <c r="DT3476" s="459" t="s">
        <v>885</v>
      </c>
      <c r="DU3476" s="459" t="s">
        <v>885</v>
      </c>
      <c r="DV3476" s="459" t="s">
        <v>885</v>
      </c>
      <c r="DW3476" s="459" t="s">
        <v>885</v>
      </c>
      <c r="DX3476" s="245" t="s">
        <v>885</v>
      </c>
      <c r="DY3476" s="245"/>
      <c r="DZ3476" s="470" t="str">
        <f>IF($B$265=$B$3278,EB3476,IF($B$265=$B$3279,ED3476,IF($B$265=$B$3280,EF3476,IF($B$265=$B$3281,EH3476,IF($B$265=$B$3282,EJ3476,IF($B$265=$B$3283,EL3476,IF($B$265=$B$3284,EN3476,IF($B$265=$B$3285,EP3476,IF($B$265=$B$3286,ER3476,IF($B$265=$B$3287,ET3476,IF($B$265=$B$3288,EV3476,IF($B$265=$B$3289,EX3476,IF($B$265=$B$3290,EZ3476,IF($B$265=$B$3291,FB3476,IF($B$265=$B$3292,FD3476,IF($B$265=$B$3293,BU3476,IF($B$265=$B$3294,FF3476,IF($B$265=$B$3295,FH3476,IF($B$265=$B$3296,FJ3476,IF($B$265=$B$3297,FL3476,IF($B$265=$B$3298,FN3476,IF($B$265=$B$3299,FP3476,IF(BI$265=$B$3300,FR3476,IF($B$265=$B$3301,FT3476,IF($B$265=$B$3302,FV3476,IF($B$265=$B$3303,FX3476,IF($B$265=$B$3304,FZ3476,IF($B$265=$B$3305,GB3476,IF($B$265=$B$3306,GD3476,IF($B$265=$B$3307,GF3476,IF($B$265=$B$3308,GH3476,IF($B$265=$B$3309,GJ3476,IF($B$265=$B$3310,GL3476,IF($B$265=$B$3311,GN3476,IF($B$265=$B$3312,GP3476,IF($B$265=$B$3313,GR3476,IF($B$265=$B$3314,GT3476,IF($B$265=$B$3315,GV3476,IF($B$265=$B$3316,GX3476,IF($B$265=$B$3317,GZ3476,IF($B$265=$B$3318,HB3476,IF($B$265=$B$3319,HD3476,IF($B$265=$B$3320,HF3476,IF($B$265=$B$3321,HH3476,IF($B$265=$B$3322,HJ3476,IF($B$265=$B$3323,HL3476,IF($B$265=$B$3324,HN3476,IF($B$265=$B$3325,HP3476,IF($B$265=$B$3326,HR3476,IF($B$265=$B$3327,HT3476,IF($B$265=$B$3328,HV3476,IF($B$265=$B$3329,HX3476,""))))))))))))))))))))))))))))))))))))))))))))))))))))</f>
        <v/>
      </c>
      <c r="EA3476" s="470" t="str">
        <f>IF($B$265=$B$3278,EC3476,IF($B$265=$B$3279,EE3476,IF($B$265=$B$3280,EG3476,IF($B$265=$B$3281,EI3476,IF($B$265=$B$3282,EK3476,IF($B$265=$B$3283,EM3476,IF($B$265=$B$3284,EO3476,IF($B$265=$B$3285,EQ3476,IF($B$265=$B$3286,ES3476,IF($B$265=$B$3287,EU3476,IF($B$265=$B$3288,EW3476,IF($B$265=$B$3289,EY3476,IF($B$265=$B$3290,FA3476,IF($B$265=$B$3291,FC3476,IF($B$265=$B$3292,FE3476,IF($B$265=$B$3293,BK3476,IF($B$265=$B$3294,FG3476,IF($B$265=$B$3295,FI3476,IF($B$265=$B$3296,FK3476,IF($B$265=$B$3297,FM3476,IF($B$265=$B$3298,FO3476,IF($B$265=$B$3299,FQ3476,IF(BJ$265=$B$3300,FS3476,IF($B$265=$B$3301,FU3476,IF($B$265=$B$3302,FW3476,IF($B$265=$B$3303,FY3476,IF($B$265=$B$3304,GA3476,IF($B$265=$B$3305,GC3476,IF($B$265=$B$3306,GE3476,IF($B$265=$B$3307,GG3476,IF($B$265=$B$3308,GI3476,IF($B$265=$B$3309,GK3476,IF($B$265=$B$3310,GM3476,IF($B$265=$B$3311,GO3476,IF($B$265=$B$3312,GQ3476,IF($B$265=$B$3313,GS3476,IF($B$265=$B$3314,GU3476,IF($B$265=$B$3315,GW3476,IF($B$265=$B$3316,GY3476,IF($B$265=$B$3317,HA3476,IF($B$265=$B$3318,HC3476,IF($B$265=$B$3319,HE3476,IF($B$265=$B$3320,HG3476,IF($B$265=$B$3321,HI3476,IF($B$265=$B$3322,HK3476,IF($B$265=$B$3323,HM3476,IF($B$265=$B$3324,HO3476,IF($B$265=$B$3325,HQ3476,IF($B$265=$B$3326,HS3476,IF($B$265=$B$3327,HU3476,IF($B$265=$B$3328,HW3476,IF($B$265=$B$3329,HY3476,""))))))))))))))))))))))))))))))))))))))))))))))))))))</f>
        <v/>
      </c>
      <c r="EB3476" s="459" t="s">
        <v>885</v>
      </c>
    </row>
    <row r="3477" spans="1:132" ht="16" hidden="1" x14ac:dyDescent="0.4">
      <c r="A3477" s="813"/>
      <c r="BB3477" s="48"/>
      <c r="BS3477" s="464" t="str">
        <f>IF($B$265=B$3278,BZ3476,IF($B$265=B$3279,CA3476,IF($B$265=B$3280,CB3476,IF($B$265=B$3281,CC3476,IF($B$265=B$3282,CD3476,IF($B$265=B$3283,CE3476,IF($B$265=B$3284,CF3476,IF($B$265=B$3285,CG3476,IF($B$265=B$3286,CH3476,IF($B$265=B$3287,CI3476,IF($B$265=B$3288,CJ3476,IF($B$265=B$3289,CK3476,IF($B$265=B$3290,CL3476,IF($B$265=B$3291,CM3476,IF($B$265=B$3292,CN3476,IF($B$265=B$3293,B2739,IF($B$265=B$3294,CO3476,IF($B$265=B$3295,CP3476,IF($B$265=B$3296,CQ3476,IF($B$265=B$3297,CR3476,IF($B$265=B$3298,CS3476,IF($B$265=B$3299,CT3476,IF(B$265=B$3300,CU3476,IF($B$265=B$3301,CV3476,IF($B$265=B$3302,CW3476,IF($B$265=B$3303,CX3476,IF($B$265=B$3304,CY3476,IF($B$265=B$3305,CZ3476,IF($B$265=B$3306,DA3476,IF($B$265=B$3307,DB3476,IF($B$265=B$3308,DC3476,IF($B$265=B$3309,DD3476,IF($B$265=B$3310,DE3476,IF($B$265=B$3311,DF3476,IF($B$265=B$3312,DG3476,IF($B$265=B$3313,DH3476,IF($B$265=B$3314,DI3476,IF($B$265=B$3315,DJ3476,IF($B$265=B$3316,DK3476,IF($B$265=B$3317,DL3476,IF($B$265=B$3318,DM3476,IF($B$265=B$3319,DN3476,IF($B$265=B$3320,DO3476,IF($B$265=B$3321,DP3476,IF($B$265=B$3322,DQ3476,IF($B$265=B$3323,DR3476,IF($B$265=B$3324,DS3476,IF($B$265=B$3325,DT3476,IF($B$265=B$3326,DU3476,IF($B$265=B$3327,DV3476,IF($B$265=B$3328,DW3476,IF($B$265=B$3329,DX3476,""))))))))))))))))))))))))))))))))))))))))))))))))))))</f>
        <v/>
      </c>
      <c r="BZ3477" s="245" t="s">
        <v>885</v>
      </c>
      <c r="CA3477" s="245" t="s">
        <v>885</v>
      </c>
      <c r="CC3477" s="245" t="s">
        <v>885</v>
      </c>
      <c r="CD3477" s="459" t="s">
        <v>885</v>
      </c>
      <c r="CE3477" s="459" t="s">
        <v>885</v>
      </c>
      <c r="CF3477" s="245" t="s">
        <v>885</v>
      </c>
      <c r="CG3477" s="245" t="s">
        <v>885</v>
      </c>
      <c r="CH3477" s="245" t="s">
        <v>885</v>
      </c>
      <c r="CI3477" s="245" t="s">
        <v>885</v>
      </c>
      <c r="CJ3477" s="459" t="s">
        <v>885</v>
      </c>
      <c r="CK3477" s="459" t="s">
        <v>885</v>
      </c>
      <c r="CL3477" s="459" t="s">
        <v>885</v>
      </c>
      <c r="CM3477" s="459" t="s">
        <v>885</v>
      </c>
      <c r="CN3477" s="459" t="s">
        <v>885</v>
      </c>
      <c r="CO3477" s="459" t="s">
        <v>885</v>
      </c>
      <c r="CP3477" s="459" t="s">
        <v>885</v>
      </c>
      <c r="CQ3477" s="459" t="s">
        <v>885</v>
      </c>
      <c r="CR3477" s="459" t="s">
        <v>885</v>
      </c>
      <c r="CS3477" s="459" t="s">
        <v>885</v>
      </c>
      <c r="CT3477" s="245" t="s">
        <v>885</v>
      </c>
      <c r="CU3477" s="463" t="s">
        <v>885</v>
      </c>
      <c r="CV3477" s="245" t="s">
        <v>885</v>
      </c>
      <c r="CW3477" s="245" t="s">
        <v>885</v>
      </c>
      <c r="CX3477" s="459" t="s">
        <v>885</v>
      </c>
      <c r="CY3477" s="459" t="s">
        <v>885</v>
      </c>
      <c r="CZ3477" s="459" t="s">
        <v>885</v>
      </c>
      <c r="DA3477" s="459" t="s">
        <v>885</v>
      </c>
      <c r="DB3477" s="459" t="s">
        <v>885</v>
      </c>
      <c r="DC3477" s="459" t="s">
        <v>885</v>
      </c>
      <c r="DD3477" s="459" t="s">
        <v>885</v>
      </c>
      <c r="DE3477" s="459" t="s">
        <v>885</v>
      </c>
      <c r="DF3477" s="459" t="s">
        <v>885</v>
      </c>
      <c r="DG3477" s="459" t="s">
        <v>885</v>
      </c>
      <c r="DH3477" s="459" t="s">
        <v>885</v>
      </c>
      <c r="DI3477" s="459" t="s">
        <v>885</v>
      </c>
      <c r="DJ3477" s="459" t="s">
        <v>885</v>
      </c>
      <c r="DK3477" s="459" t="s">
        <v>885</v>
      </c>
      <c r="DL3477" s="459" t="s">
        <v>885</v>
      </c>
      <c r="DM3477" s="459" t="s">
        <v>885</v>
      </c>
      <c r="DN3477" s="459" t="s">
        <v>885</v>
      </c>
      <c r="DO3477" s="459" t="s">
        <v>885</v>
      </c>
      <c r="DP3477" t="s">
        <v>3035</v>
      </c>
      <c r="DQ3477" s="459" t="s">
        <v>885</v>
      </c>
      <c r="DR3477" s="459" t="s">
        <v>885</v>
      </c>
      <c r="DS3477" s="459" t="s">
        <v>885</v>
      </c>
      <c r="DT3477" s="459" t="s">
        <v>885</v>
      </c>
      <c r="DU3477" s="459" t="s">
        <v>885</v>
      </c>
      <c r="DV3477" s="459" t="s">
        <v>885</v>
      </c>
      <c r="DW3477" s="459" t="s">
        <v>885</v>
      </c>
      <c r="DX3477" s="245" t="s">
        <v>885</v>
      </c>
      <c r="DY3477" s="245"/>
      <c r="DZ3477" s="470" t="str">
        <f>IF($B$265=$B$3278,EB3477,IF($B$265=$B$3279,ED3477,IF($B$265=$B$3280,EF3477,IF($B$265=$B$3281,EH3477,IF($B$265=$B$3282,EJ3477,IF($B$265=$B$3283,EL3477,IF($B$265=$B$3284,EN3477,IF($B$265=$B$3285,EP3477,IF($B$265=$B$3286,ER3477,IF($B$265=$B$3287,ET3477,IF($B$265=$B$3288,EV3477,IF($B$265=$B$3289,EX3477,IF($B$265=$B$3290,EZ3477,IF($B$265=$B$3291,FB3477,IF($B$265=$B$3292,FD3477,IF($B$265=$B$3293,BU3477,IF($B$265=$B$3294,FF3477,IF($B$265=$B$3295,FH3477,IF($B$265=$B$3296,FJ3477,IF($B$265=$B$3297,FL3477,IF($B$265=$B$3298,FN3477,IF($B$265=$B$3299,FP3477,IF(BI$265=$B$3300,FR3477,IF($B$265=$B$3301,FT3477,IF($B$265=$B$3302,FV3477,IF($B$265=$B$3303,FX3477,IF($B$265=$B$3304,FZ3477,IF($B$265=$B$3305,GB3477,IF($B$265=$B$3306,GD3477,IF($B$265=$B$3307,GF3477,IF($B$265=$B$3308,GH3477,IF($B$265=$B$3309,GJ3477,IF($B$265=$B$3310,GL3477,IF($B$265=$B$3311,GN3477,IF($B$265=$B$3312,GP3477,IF($B$265=$B$3313,GR3477,IF($B$265=$B$3314,GT3477,IF($B$265=$B$3315,GV3477,IF($B$265=$B$3316,GX3477,IF($B$265=$B$3317,GZ3477,IF($B$265=$B$3318,HB3477,IF($B$265=$B$3319,HD3477,IF($B$265=$B$3320,HF3477,IF($B$265=$B$3321,HH3477,IF($B$265=$B$3322,HJ3477,IF($B$265=$B$3323,HL3477,IF($B$265=$B$3324,HN3477,IF($B$265=$B$3325,HP3477,IF($B$265=$B$3326,HR3477,IF($B$265=$B$3327,HT3477,IF($B$265=$B$3328,HV3477,IF($B$265=$B$3329,HX3477,""))))))))))))))))))))))))))))))))))))))))))))))))))))</f>
        <v/>
      </c>
      <c r="EA3477" s="470" t="str">
        <f>IF($B$265=$B$3278,EC3477,IF($B$265=$B$3279,EE3477,IF($B$265=$B$3280,EG3477,IF($B$265=$B$3281,EI3477,IF($B$265=$B$3282,EK3477,IF($B$265=$B$3283,EM3477,IF($B$265=$B$3284,EO3477,IF($B$265=$B$3285,EQ3477,IF($B$265=$B$3286,ES3477,IF($B$265=$B$3287,EU3477,IF($B$265=$B$3288,EW3477,IF($B$265=$B$3289,EY3477,IF($B$265=$B$3290,FA3477,IF($B$265=$B$3291,FC3477,IF($B$265=$B$3292,FE3477,IF($B$265=$B$3293,BK3477,IF($B$265=$B$3294,FG3477,IF($B$265=$B$3295,FI3477,IF($B$265=$B$3296,FK3477,IF($B$265=$B$3297,FM3477,IF($B$265=$B$3298,FO3477,IF($B$265=$B$3299,FQ3477,IF(BJ$265=$B$3300,FS3477,IF($B$265=$B$3301,FU3477,IF($B$265=$B$3302,FW3477,IF($B$265=$B$3303,FY3477,IF($B$265=$B$3304,GA3477,IF($B$265=$B$3305,GC3477,IF($B$265=$B$3306,GE3477,IF($B$265=$B$3307,GG3477,IF($B$265=$B$3308,GI3477,IF($B$265=$B$3309,GK3477,IF($B$265=$B$3310,GM3477,IF($B$265=$B$3311,GO3477,IF($B$265=$B$3312,GQ3477,IF($B$265=$B$3313,GS3477,IF($B$265=$B$3314,GU3477,IF($B$265=$B$3315,GW3477,IF($B$265=$B$3316,GY3477,IF($B$265=$B$3317,HA3477,IF($B$265=$B$3318,HC3477,IF($B$265=$B$3319,HE3477,IF($B$265=$B$3320,HG3477,IF($B$265=$B$3321,HI3477,IF($B$265=$B$3322,HK3477,IF($B$265=$B$3323,HM3477,IF($B$265=$B$3324,HO3477,IF($B$265=$B$3325,HQ3477,IF($B$265=$B$3326,HS3477,IF($B$265=$B$3327,HU3477,IF($B$265=$B$3328,HW3477,IF($B$265=$B$3329,HY3477,""))))))))))))))))))))))))))))))))))))))))))))))))))))</f>
        <v/>
      </c>
      <c r="EB3477" s="459" t="s">
        <v>885</v>
      </c>
    </row>
    <row r="3478" spans="1:132" ht="16" hidden="1" x14ac:dyDescent="0.4">
      <c r="A3478" s="813"/>
      <c r="BB3478" s="48"/>
      <c r="BS3478" s="464" t="str">
        <f>IF($B$265=B$3278,BZ3477,IF($B$265=B$3279,CA3477,IF($B$265=B$3280,CB3477,IF($B$265=B$3281,CC3477,IF($B$265=B$3282,CD3477,IF($B$265=B$3283,CE3477,IF($B$265=B$3284,CF3477,IF($B$265=B$3285,CG3477,IF($B$265=B$3286,CH3477,IF($B$265=B$3287,CI3477,IF($B$265=B$3288,CJ3477,IF($B$265=B$3289,CK3477,IF($B$265=B$3290,CL3477,IF($B$265=B$3291,CM3477,IF($B$265=B$3292,CN3477,IF($B$265=B$3293,B2740,IF($B$265=B$3294,CO3477,IF($B$265=B$3295,CP3477,IF($B$265=B$3296,CQ3477,IF($B$265=B$3297,CR3477,IF($B$265=B$3298,CS3477,IF($B$265=B$3299,CT3477,IF(B$265=B$3300,CU3477,IF($B$265=B$3301,CV3477,IF($B$265=B$3302,CW3477,IF($B$265=B$3303,CX3477,IF($B$265=B$3304,CY3477,IF($B$265=B$3305,CZ3477,IF($B$265=B$3306,DA3477,IF($B$265=B$3307,DB3477,IF($B$265=B$3308,DC3477,IF($B$265=B$3309,DD3477,IF($B$265=B$3310,DE3477,IF($B$265=B$3311,DF3477,IF($B$265=B$3312,DG3477,IF($B$265=B$3313,DH3477,IF($B$265=B$3314,DI3477,IF($B$265=B$3315,DJ3477,IF($B$265=B$3316,DK3477,IF($B$265=B$3317,DL3477,IF($B$265=B$3318,DM3477,IF($B$265=B$3319,DN3477,IF($B$265=B$3320,DO3477,IF($B$265=B$3321,DP3477,IF($B$265=B$3322,DQ3477,IF($B$265=B$3323,DR3477,IF($B$265=B$3324,DS3477,IF($B$265=B$3325,DT3477,IF($B$265=B$3326,DU3477,IF($B$265=B$3327,DV3477,IF($B$265=B$3328,DW3477,IF($B$265=B$3329,DX3477,""))))))))))))))))))))))))))))))))))))))))))))))))))))</f>
        <v/>
      </c>
      <c r="BZ3478" s="245" t="s">
        <v>885</v>
      </c>
      <c r="CA3478" s="245" t="s">
        <v>885</v>
      </c>
      <c r="CC3478" s="245" t="s">
        <v>885</v>
      </c>
      <c r="CD3478" s="459" t="s">
        <v>885</v>
      </c>
      <c r="CE3478" s="459" t="s">
        <v>885</v>
      </c>
      <c r="CF3478" s="245" t="s">
        <v>885</v>
      </c>
      <c r="CG3478" s="245" t="s">
        <v>885</v>
      </c>
      <c r="CH3478" s="245" t="s">
        <v>885</v>
      </c>
      <c r="CI3478" s="245" t="s">
        <v>885</v>
      </c>
      <c r="CJ3478" s="459" t="s">
        <v>885</v>
      </c>
      <c r="CK3478" s="459" t="s">
        <v>885</v>
      </c>
      <c r="CL3478" s="459" t="s">
        <v>885</v>
      </c>
      <c r="CM3478" s="459" t="s">
        <v>885</v>
      </c>
      <c r="CN3478" s="459" t="s">
        <v>885</v>
      </c>
      <c r="CO3478" s="459" t="s">
        <v>885</v>
      </c>
      <c r="CP3478" s="459" t="s">
        <v>885</v>
      </c>
      <c r="CQ3478" s="459" t="s">
        <v>885</v>
      </c>
      <c r="CR3478" s="459" t="s">
        <v>885</v>
      </c>
      <c r="CS3478" s="459" t="s">
        <v>885</v>
      </c>
      <c r="CT3478" s="245" t="s">
        <v>885</v>
      </c>
      <c r="CU3478" s="463" t="s">
        <v>885</v>
      </c>
      <c r="CV3478" s="245" t="s">
        <v>885</v>
      </c>
      <c r="CW3478" s="245" t="s">
        <v>885</v>
      </c>
      <c r="CX3478" s="459" t="s">
        <v>885</v>
      </c>
      <c r="CY3478" s="459" t="s">
        <v>885</v>
      </c>
      <c r="CZ3478" s="459" t="s">
        <v>885</v>
      </c>
      <c r="DA3478" s="459" t="s">
        <v>885</v>
      </c>
      <c r="DB3478" s="459" t="s">
        <v>885</v>
      </c>
      <c r="DC3478" s="459" t="s">
        <v>885</v>
      </c>
      <c r="DD3478" s="459" t="s">
        <v>885</v>
      </c>
      <c r="DE3478" s="459" t="s">
        <v>885</v>
      </c>
      <c r="DF3478" s="459" t="s">
        <v>885</v>
      </c>
      <c r="DG3478" s="459" t="s">
        <v>885</v>
      </c>
      <c r="DH3478" s="459" t="s">
        <v>885</v>
      </c>
      <c r="DI3478" s="459" t="s">
        <v>885</v>
      </c>
      <c r="DJ3478" s="459" t="s">
        <v>885</v>
      </c>
      <c r="DK3478" s="459" t="s">
        <v>885</v>
      </c>
      <c r="DL3478" s="459" t="s">
        <v>885</v>
      </c>
      <c r="DM3478" s="459" t="s">
        <v>885</v>
      </c>
      <c r="DN3478" s="459" t="s">
        <v>885</v>
      </c>
      <c r="DO3478" s="459" t="s">
        <v>885</v>
      </c>
      <c r="DP3478" t="s">
        <v>3036</v>
      </c>
      <c r="DQ3478" s="459" t="s">
        <v>885</v>
      </c>
      <c r="DR3478" s="459" t="s">
        <v>885</v>
      </c>
      <c r="DS3478" s="459" t="s">
        <v>885</v>
      </c>
      <c r="DT3478" s="459" t="s">
        <v>885</v>
      </c>
      <c r="DU3478" s="459" t="s">
        <v>885</v>
      </c>
      <c r="DV3478" s="459" t="s">
        <v>885</v>
      </c>
      <c r="DW3478" s="459" t="s">
        <v>885</v>
      </c>
      <c r="DX3478" s="245" t="s">
        <v>885</v>
      </c>
      <c r="DY3478" s="245"/>
      <c r="DZ3478" s="470" t="str">
        <f>IF($B$265=$B$3278,EB3478,IF($B$265=$B$3279,ED3478,IF($B$265=$B$3280,EF3478,IF($B$265=$B$3281,EH3478,IF($B$265=$B$3282,EJ3478,IF($B$265=$B$3283,EL3478,IF($B$265=$B$3284,EN3478,IF($B$265=$B$3285,EP3478,IF($B$265=$B$3286,ER3478,IF($B$265=$B$3287,ET3478,IF($B$265=$B$3288,EV3478,IF($B$265=$B$3289,EX3478,IF($B$265=$B$3290,EZ3478,IF($B$265=$B$3291,FB3478,IF($B$265=$B$3292,FD3478,IF($B$265=$B$3293,BU3478,IF($B$265=$B$3294,FF3478,IF($B$265=$B$3295,FH3478,IF($B$265=$B$3296,FJ3478,IF($B$265=$B$3297,FL3478,IF($B$265=$B$3298,FN3478,IF($B$265=$B$3299,FP3478,IF(BI$265=$B$3300,FR3478,IF($B$265=$B$3301,FT3478,IF($B$265=$B$3302,FV3478,IF($B$265=$B$3303,FX3478,IF($B$265=$B$3304,FZ3478,IF($B$265=$B$3305,GB3478,IF($B$265=$B$3306,GD3478,IF($B$265=$B$3307,GF3478,IF($B$265=$B$3308,GH3478,IF($B$265=$B$3309,GJ3478,IF($B$265=$B$3310,GL3478,IF($B$265=$B$3311,GN3478,IF($B$265=$B$3312,GP3478,IF($B$265=$B$3313,GR3478,IF($B$265=$B$3314,GT3478,IF($B$265=$B$3315,GV3478,IF($B$265=$B$3316,GX3478,IF($B$265=$B$3317,GZ3478,IF($B$265=$B$3318,HB3478,IF($B$265=$B$3319,HD3478,IF($B$265=$B$3320,HF3478,IF($B$265=$B$3321,HH3478,IF($B$265=$B$3322,HJ3478,IF($B$265=$B$3323,HL3478,IF($B$265=$B$3324,HN3478,IF($B$265=$B$3325,HP3478,IF($B$265=$B$3326,HR3478,IF($B$265=$B$3327,HT3478,IF($B$265=$B$3328,HV3478,IF($B$265=$B$3329,HX3478,""))))))))))))))))))))))))))))))))))))))))))))))))))))</f>
        <v/>
      </c>
      <c r="EA3478" s="470" t="str">
        <f>IF($B$265=$B$3278,EC3478,IF($B$265=$B$3279,EE3478,IF($B$265=$B$3280,EG3478,IF($B$265=$B$3281,EI3478,IF($B$265=$B$3282,EK3478,IF($B$265=$B$3283,EM3478,IF($B$265=$B$3284,EO3478,IF($B$265=$B$3285,EQ3478,IF($B$265=$B$3286,ES3478,IF($B$265=$B$3287,EU3478,IF($B$265=$B$3288,EW3478,IF($B$265=$B$3289,EY3478,IF($B$265=$B$3290,FA3478,IF($B$265=$B$3291,FC3478,IF($B$265=$B$3292,FE3478,IF($B$265=$B$3293,BK3478,IF($B$265=$B$3294,FG3478,IF($B$265=$B$3295,FI3478,IF($B$265=$B$3296,FK3478,IF($B$265=$B$3297,FM3478,IF($B$265=$B$3298,FO3478,IF($B$265=$B$3299,FQ3478,IF(BJ$265=$B$3300,FS3478,IF($B$265=$B$3301,FU3478,IF($B$265=$B$3302,FW3478,IF($B$265=$B$3303,FY3478,IF($B$265=$B$3304,GA3478,IF($B$265=$B$3305,GC3478,IF($B$265=$B$3306,GE3478,IF($B$265=$B$3307,GG3478,IF($B$265=$B$3308,GI3478,IF($B$265=$B$3309,GK3478,IF($B$265=$B$3310,GM3478,IF($B$265=$B$3311,GO3478,IF($B$265=$B$3312,GQ3478,IF($B$265=$B$3313,GS3478,IF($B$265=$B$3314,GU3478,IF($B$265=$B$3315,GW3478,IF($B$265=$B$3316,GY3478,IF($B$265=$B$3317,HA3478,IF($B$265=$B$3318,HC3478,IF($B$265=$B$3319,HE3478,IF($B$265=$B$3320,HG3478,IF($B$265=$B$3321,HI3478,IF($B$265=$B$3322,HK3478,IF($B$265=$B$3323,HM3478,IF($B$265=$B$3324,HO3478,IF($B$265=$B$3325,HQ3478,IF($B$265=$B$3326,HS3478,IF($B$265=$B$3327,HU3478,IF($B$265=$B$3328,HW3478,IF($B$265=$B$3329,HY3478,""))))))))))))))))))))))))))))))))))))))))))))))))))))</f>
        <v/>
      </c>
      <c r="EB3478" s="459" t="s">
        <v>885</v>
      </c>
    </row>
    <row r="3479" spans="1:132" ht="16" hidden="1" x14ac:dyDescent="0.4">
      <c r="A3479" s="813"/>
      <c r="BB3479" s="48"/>
      <c r="BS3479" s="464" t="str">
        <f>IF($B$265=B$3278,BZ3478,IF($B$265=B$3279,CA3478,IF($B$265=B$3280,CB3478,IF($B$265=B$3281,CC3478,IF($B$265=B$3282,CD3478,IF($B$265=B$3283,CE3478,IF($B$265=B$3284,CF3478,IF($B$265=B$3285,CG3478,IF($B$265=B$3286,CH3478,IF($B$265=B$3287,CI3478,IF($B$265=B$3288,CJ3478,IF($B$265=B$3289,CK3478,IF($B$265=B$3290,CL3478,IF($B$265=B$3291,CM3478,IF($B$265=B$3292,CN3478,IF($B$265=B$3293,B2741,IF($B$265=B$3294,CO3478,IF($B$265=B$3295,CP3478,IF($B$265=B$3296,CQ3478,IF($B$265=B$3297,CR3478,IF($B$265=B$3298,CS3478,IF($B$265=B$3299,CT3478,IF(B$265=B$3300,CU3478,IF($B$265=B$3301,CV3478,IF($B$265=B$3302,CW3478,IF($B$265=B$3303,CX3478,IF($B$265=B$3304,CY3478,IF($B$265=B$3305,CZ3478,IF($B$265=B$3306,DA3478,IF($B$265=B$3307,DB3478,IF($B$265=B$3308,DC3478,IF($B$265=B$3309,DD3478,IF($B$265=B$3310,DE3478,IF($B$265=B$3311,DF3478,IF($B$265=B$3312,DG3478,IF($B$265=B$3313,DH3478,IF($B$265=B$3314,DI3478,IF($B$265=B$3315,DJ3478,IF($B$265=B$3316,DK3478,IF($B$265=B$3317,DL3478,IF($B$265=B$3318,DM3478,IF($B$265=B$3319,DN3478,IF($B$265=B$3320,DO3478,IF($B$265=B$3321,DP3478,IF($B$265=B$3322,DQ3478,IF($B$265=B$3323,DR3478,IF($B$265=B$3324,DS3478,IF($B$265=B$3325,DT3478,IF($B$265=B$3326,DU3478,IF($B$265=B$3327,DV3478,IF($B$265=B$3328,DW3478,IF($B$265=B$3329,DX3478,""))))))))))))))))))))))))))))))))))))))))))))))))))))</f>
        <v/>
      </c>
      <c r="BZ3479" s="245" t="s">
        <v>885</v>
      </c>
      <c r="CA3479" s="245" t="s">
        <v>885</v>
      </c>
      <c r="CC3479" s="245" t="s">
        <v>885</v>
      </c>
      <c r="CD3479" s="459" t="s">
        <v>885</v>
      </c>
      <c r="CE3479" s="459" t="s">
        <v>885</v>
      </c>
      <c r="CF3479" s="245" t="s">
        <v>885</v>
      </c>
      <c r="CG3479" s="245" t="s">
        <v>885</v>
      </c>
      <c r="CH3479" s="245" t="s">
        <v>885</v>
      </c>
      <c r="CI3479" s="245" t="s">
        <v>885</v>
      </c>
      <c r="CJ3479" s="459" t="s">
        <v>885</v>
      </c>
      <c r="CK3479" s="459" t="s">
        <v>885</v>
      </c>
      <c r="CL3479" s="459" t="s">
        <v>885</v>
      </c>
      <c r="CM3479" s="459" t="s">
        <v>885</v>
      </c>
      <c r="CN3479" s="459" t="s">
        <v>885</v>
      </c>
      <c r="CO3479" s="459" t="s">
        <v>885</v>
      </c>
      <c r="CP3479" s="459" t="s">
        <v>885</v>
      </c>
      <c r="CQ3479" s="459" t="s">
        <v>885</v>
      </c>
      <c r="CR3479" s="459" t="s">
        <v>885</v>
      </c>
      <c r="CS3479" s="459" t="s">
        <v>885</v>
      </c>
      <c r="CT3479" s="245" t="s">
        <v>885</v>
      </c>
      <c r="CU3479" s="463" t="s">
        <v>885</v>
      </c>
      <c r="CV3479" s="245" t="s">
        <v>885</v>
      </c>
      <c r="CW3479" s="245" t="s">
        <v>885</v>
      </c>
      <c r="CX3479" s="459" t="s">
        <v>885</v>
      </c>
      <c r="CY3479" s="459" t="s">
        <v>885</v>
      </c>
      <c r="CZ3479" s="459" t="s">
        <v>885</v>
      </c>
      <c r="DA3479" s="459" t="s">
        <v>885</v>
      </c>
      <c r="DB3479" s="459" t="s">
        <v>885</v>
      </c>
      <c r="DC3479" s="459" t="s">
        <v>885</v>
      </c>
      <c r="DD3479" s="459" t="s">
        <v>885</v>
      </c>
      <c r="DE3479" s="459" t="s">
        <v>885</v>
      </c>
      <c r="DF3479" s="459" t="s">
        <v>885</v>
      </c>
      <c r="DG3479" s="459" t="s">
        <v>885</v>
      </c>
      <c r="DH3479" s="459" t="s">
        <v>885</v>
      </c>
      <c r="DI3479" s="459" t="s">
        <v>885</v>
      </c>
      <c r="DJ3479" s="459" t="s">
        <v>885</v>
      </c>
      <c r="DK3479" s="459" t="s">
        <v>885</v>
      </c>
      <c r="DL3479" s="459" t="s">
        <v>885</v>
      </c>
      <c r="DM3479" s="459" t="s">
        <v>885</v>
      </c>
      <c r="DN3479" s="459" t="s">
        <v>885</v>
      </c>
      <c r="DO3479" s="459" t="s">
        <v>885</v>
      </c>
      <c r="DP3479" t="s">
        <v>3037</v>
      </c>
      <c r="DQ3479" s="459" t="s">
        <v>885</v>
      </c>
      <c r="DR3479" s="459" t="s">
        <v>885</v>
      </c>
      <c r="DS3479" s="459" t="s">
        <v>885</v>
      </c>
      <c r="DT3479" s="459" t="s">
        <v>885</v>
      </c>
      <c r="DU3479" s="459" t="s">
        <v>885</v>
      </c>
      <c r="DV3479" s="459" t="s">
        <v>885</v>
      </c>
      <c r="DW3479" s="459" t="s">
        <v>885</v>
      </c>
      <c r="DX3479" s="245" t="s">
        <v>885</v>
      </c>
      <c r="DY3479" s="245"/>
      <c r="DZ3479" s="470" t="str">
        <f>IF($B$265=$B$3278,EB3479,IF($B$265=$B$3279,ED3479,IF($B$265=$B$3280,EF3479,IF($B$265=$B$3281,EH3479,IF($B$265=$B$3282,EJ3479,IF($B$265=$B$3283,EL3479,IF($B$265=$B$3284,EN3479,IF($B$265=$B$3285,EP3479,IF($B$265=$B$3286,ER3479,IF($B$265=$B$3287,ET3479,IF($B$265=$B$3288,EV3479,IF($B$265=$B$3289,EX3479,IF($B$265=$B$3290,EZ3479,IF($B$265=$B$3291,FB3479,IF($B$265=$B$3292,FD3479,IF($B$265=$B$3293,BU3479,IF($B$265=$B$3294,FF3479,IF($B$265=$B$3295,FH3479,IF($B$265=$B$3296,FJ3479,IF($B$265=$B$3297,FL3479,IF($B$265=$B$3298,FN3479,IF($B$265=$B$3299,FP3479,IF(BI$265=$B$3300,FR3479,IF($B$265=$B$3301,FT3479,IF($B$265=$B$3302,FV3479,IF($B$265=$B$3303,FX3479,IF($B$265=$B$3304,FZ3479,IF($B$265=$B$3305,GB3479,IF($B$265=$B$3306,GD3479,IF($B$265=$B$3307,GF3479,IF($B$265=$B$3308,GH3479,IF($B$265=$B$3309,GJ3479,IF($B$265=$B$3310,GL3479,IF($B$265=$B$3311,GN3479,IF($B$265=$B$3312,GP3479,IF($B$265=$B$3313,GR3479,IF($B$265=$B$3314,GT3479,IF($B$265=$B$3315,GV3479,IF($B$265=$B$3316,GX3479,IF($B$265=$B$3317,GZ3479,IF($B$265=$B$3318,HB3479,IF($B$265=$B$3319,HD3479,IF($B$265=$B$3320,HF3479,IF($B$265=$B$3321,HH3479,IF($B$265=$B$3322,HJ3479,IF($B$265=$B$3323,HL3479,IF($B$265=$B$3324,HN3479,IF($B$265=$B$3325,HP3479,IF($B$265=$B$3326,HR3479,IF($B$265=$B$3327,HT3479,IF($B$265=$B$3328,HV3479,IF($B$265=$B$3329,HX3479,""))))))))))))))))))))))))))))))))))))))))))))))))))))</f>
        <v/>
      </c>
      <c r="EA3479" s="470" t="str">
        <f>IF($B$265=$B$3278,EC3479,IF($B$265=$B$3279,EE3479,IF($B$265=$B$3280,EG3479,IF($B$265=$B$3281,EI3479,IF($B$265=$B$3282,EK3479,IF($B$265=$B$3283,EM3479,IF($B$265=$B$3284,EO3479,IF($B$265=$B$3285,EQ3479,IF($B$265=$B$3286,ES3479,IF($B$265=$B$3287,EU3479,IF($B$265=$B$3288,EW3479,IF($B$265=$B$3289,EY3479,IF($B$265=$B$3290,FA3479,IF($B$265=$B$3291,FC3479,IF($B$265=$B$3292,FE3479,IF($B$265=$B$3293,BK3479,IF($B$265=$B$3294,FG3479,IF($B$265=$B$3295,FI3479,IF($B$265=$B$3296,FK3479,IF($B$265=$B$3297,FM3479,IF($B$265=$B$3298,FO3479,IF($B$265=$B$3299,FQ3479,IF(BJ$265=$B$3300,FS3479,IF($B$265=$B$3301,FU3479,IF($B$265=$B$3302,FW3479,IF($B$265=$B$3303,FY3479,IF($B$265=$B$3304,GA3479,IF($B$265=$B$3305,GC3479,IF($B$265=$B$3306,GE3479,IF($B$265=$B$3307,GG3479,IF($B$265=$B$3308,GI3479,IF($B$265=$B$3309,GK3479,IF($B$265=$B$3310,GM3479,IF($B$265=$B$3311,GO3479,IF($B$265=$B$3312,GQ3479,IF($B$265=$B$3313,GS3479,IF($B$265=$B$3314,GU3479,IF($B$265=$B$3315,GW3479,IF($B$265=$B$3316,GY3479,IF($B$265=$B$3317,HA3479,IF($B$265=$B$3318,HC3479,IF($B$265=$B$3319,HE3479,IF($B$265=$B$3320,HG3479,IF($B$265=$B$3321,HI3479,IF($B$265=$B$3322,HK3479,IF($B$265=$B$3323,HM3479,IF($B$265=$B$3324,HO3479,IF($B$265=$B$3325,HQ3479,IF($B$265=$B$3326,HS3479,IF($B$265=$B$3327,HU3479,IF($B$265=$B$3328,HW3479,IF($B$265=$B$3329,HY3479,""))))))))))))))))))))))))))))))))))))))))))))))))))))</f>
        <v/>
      </c>
      <c r="EB3479" s="459" t="s">
        <v>885</v>
      </c>
    </row>
    <row r="3480" spans="1:132" ht="16" hidden="1" x14ac:dyDescent="0.4">
      <c r="A3480" s="813"/>
      <c r="BS3480" s="464" t="str">
        <f>IF($B$265=B$3278,BZ3479,IF($B$265=B$3279,CA3479,IF($B$265=B$3280,CB3479,IF($B$265=B$3281,CC3479,IF($B$265=B$3282,CD3479,IF($B$265=B$3283,CE3479,IF($B$265=B$3284,CF3479,IF($B$265=B$3285,CG3479,IF($B$265=B$3286,CH3479,IF($B$265=B$3287,CI3479,IF($B$265=B$3288,CJ3479,IF($B$265=B$3289,CK3479,IF($B$265=B$3290,CL3479,IF($B$265=B$3291,CM3479,IF($B$265=B$3292,CN3479,IF($B$265=B$3293,B2742,IF($B$265=B$3294,CO3479,IF($B$265=B$3295,CP3479,IF($B$265=B$3296,CQ3479,IF($B$265=B$3297,CR3479,IF($B$265=B$3298,CS3479,IF($B$265=B$3299,CT3479,IF(B$265=B$3300,CU3479,IF($B$265=B$3301,CV3479,IF($B$265=B$3302,CW3479,IF($B$265=B$3303,CX3479,IF($B$265=B$3304,CY3479,IF($B$265=B$3305,CZ3479,IF($B$265=B$3306,DA3479,IF($B$265=B$3307,DB3479,IF($B$265=B$3308,DC3479,IF($B$265=B$3309,DD3479,IF($B$265=B$3310,DE3479,IF($B$265=B$3311,DF3479,IF($B$265=B$3312,DG3479,IF($B$265=B$3313,DH3479,IF($B$265=B$3314,DI3479,IF($B$265=B$3315,DJ3479,IF($B$265=B$3316,DK3479,IF($B$265=B$3317,DL3479,IF($B$265=B$3318,DM3479,IF($B$265=B$3319,DN3479,IF($B$265=B$3320,DO3479,IF($B$265=B$3321,DP3479,IF($B$265=B$3322,DQ3479,IF($B$265=B$3323,DR3479,IF($B$265=B$3324,DS3479,IF($B$265=B$3325,DT3479,IF($B$265=B$3326,DU3479,IF($B$265=B$3327,DV3479,IF($B$265=B$3328,DW3479,IF($B$265=B$3329,DX3479,""))))))))))))))))))))))))))))))))))))))))))))))))))))</f>
        <v/>
      </c>
      <c r="BZ3480" s="245" t="s">
        <v>885</v>
      </c>
      <c r="CA3480" s="245" t="s">
        <v>885</v>
      </c>
      <c r="CC3480" s="245" t="s">
        <v>885</v>
      </c>
      <c r="CD3480" s="459" t="s">
        <v>885</v>
      </c>
      <c r="CE3480" s="459" t="s">
        <v>885</v>
      </c>
      <c r="CF3480" s="245" t="s">
        <v>885</v>
      </c>
      <c r="CG3480" s="245" t="s">
        <v>885</v>
      </c>
      <c r="CH3480" s="245" t="s">
        <v>885</v>
      </c>
      <c r="CI3480" s="245" t="s">
        <v>885</v>
      </c>
      <c r="CJ3480" s="459" t="s">
        <v>885</v>
      </c>
      <c r="CK3480" s="459" t="s">
        <v>885</v>
      </c>
      <c r="CL3480" s="459" t="s">
        <v>885</v>
      </c>
      <c r="CM3480" s="459" t="s">
        <v>885</v>
      </c>
      <c r="CN3480" s="459" t="s">
        <v>885</v>
      </c>
      <c r="CO3480" s="459" t="s">
        <v>885</v>
      </c>
      <c r="CP3480" s="459" t="s">
        <v>885</v>
      </c>
      <c r="CQ3480" s="459" t="s">
        <v>885</v>
      </c>
      <c r="CR3480" s="459" t="s">
        <v>885</v>
      </c>
      <c r="CS3480" s="459" t="s">
        <v>885</v>
      </c>
      <c r="CT3480" s="245" t="s">
        <v>885</v>
      </c>
      <c r="CU3480" s="463" t="s">
        <v>885</v>
      </c>
      <c r="CV3480" s="245" t="s">
        <v>885</v>
      </c>
      <c r="CW3480" s="245" t="s">
        <v>885</v>
      </c>
      <c r="CX3480" s="459" t="s">
        <v>885</v>
      </c>
      <c r="CY3480" s="459" t="s">
        <v>885</v>
      </c>
      <c r="CZ3480" s="459" t="s">
        <v>885</v>
      </c>
      <c r="DA3480" s="459" t="s">
        <v>885</v>
      </c>
      <c r="DB3480" s="459" t="s">
        <v>885</v>
      </c>
      <c r="DC3480" s="459" t="s">
        <v>885</v>
      </c>
      <c r="DD3480" s="459" t="s">
        <v>885</v>
      </c>
      <c r="DE3480" s="459" t="s">
        <v>885</v>
      </c>
      <c r="DF3480" s="459" t="s">
        <v>885</v>
      </c>
      <c r="DG3480" s="459" t="s">
        <v>885</v>
      </c>
      <c r="DH3480" s="459" t="s">
        <v>885</v>
      </c>
      <c r="DI3480" s="459" t="s">
        <v>885</v>
      </c>
      <c r="DJ3480" s="459" t="s">
        <v>885</v>
      </c>
      <c r="DK3480" s="459" t="s">
        <v>885</v>
      </c>
      <c r="DL3480" s="459" t="s">
        <v>885</v>
      </c>
      <c r="DM3480" s="459" t="s">
        <v>885</v>
      </c>
      <c r="DN3480" s="459" t="s">
        <v>885</v>
      </c>
      <c r="DO3480" s="459" t="s">
        <v>885</v>
      </c>
      <c r="DP3480" t="s">
        <v>2150</v>
      </c>
      <c r="DQ3480" s="459" t="s">
        <v>885</v>
      </c>
      <c r="DR3480" s="459" t="s">
        <v>885</v>
      </c>
      <c r="DS3480" s="459" t="s">
        <v>885</v>
      </c>
      <c r="DT3480" s="459" t="s">
        <v>885</v>
      </c>
      <c r="DU3480" s="459" t="s">
        <v>885</v>
      </c>
      <c r="DV3480" s="459" t="s">
        <v>885</v>
      </c>
      <c r="DW3480" s="459" t="s">
        <v>885</v>
      </c>
      <c r="DX3480" s="245" t="s">
        <v>885</v>
      </c>
      <c r="DY3480" s="245"/>
      <c r="DZ3480" s="470" t="str">
        <f>IF($B$265=$B$3278,EB3480,IF($B$265=$B$3279,ED3480,IF($B$265=$B$3280,EF3480,IF($B$265=$B$3281,EH3480,IF($B$265=$B$3282,EJ3480,IF($B$265=$B$3283,EL3480,IF($B$265=$B$3284,EN3480,IF($B$265=$B$3285,EP3480,IF($B$265=$B$3286,ER3480,IF($B$265=$B$3287,ET3480,IF($B$265=$B$3288,EV3480,IF($B$265=$B$3289,EX3480,IF($B$265=$B$3290,EZ3480,IF($B$265=$B$3291,FB3480,IF($B$265=$B$3292,FD3480,IF($B$265=$B$3293,BU3480,IF($B$265=$B$3294,FF3480,IF($B$265=$B$3295,FH3480,IF($B$265=$B$3296,FJ3480,IF($B$265=$B$3297,FL3480,IF($B$265=$B$3298,FN3480,IF($B$265=$B$3299,FP3480,IF(BI$265=$B$3300,FR3480,IF($B$265=$B$3301,FT3480,IF($B$265=$B$3302,FV3480,IF($B$265=$B$3303,FX3480,IF($B$265=$B$3304,FZ3480,IF($B$265=$B$3305,GB3480,IF($B$265=$B$3306,GD3480,IF($B$265=$B$3307,GF3480,IF($B$265=$B$3308,GH3480,IF($B$265=$B$3309,GJ3480,IF($B$265=$B$3310,GL3480,IF($B$265=$B$3311,GN3480,IF($B$265=$B$3312,GP3480,IF($B$265=$B$3313,GR3480,IF($B$265=$B$3314,GT3480,IF($B$265=$B$3315,GV3480,IF($B$265=$B$3316,GX3480,IF($B$265=$B$3317,GZ3480,IF($B$265=$B$3318,HB3480,IF($B$265=$B$3319,HD3480,IF($B$265=$B$3320,HF3480,IF($B$265=$B$3321,HH3480,IF($B$265=$B$3322,HJ3480,IF($B$265=$B$3323,HL3480,IF($B$265=$B$3324,HN3480,IF($B$265=$B$3325,HP3480,IF($B$265=$B$3326,HR3480,IF($B$265=$B$3327,HT3480,IF($B$265=$B$3328,HV3480,IF($B$265=$B$3329,HX3480,""))))))))))))))))))))))))))))))))))))))))))))))))))))</f>
        <v/>
      </c>
      <c r="EA3480" s="470" t="str">
        <f>IF($B$265=$B$3278,EC3480,IF($B$265=$B$3279,EE3480,IF($B$265=$B$3280,EG3480,IF($B$265=$B$3281,EI3480,IF($B$265=$B$3282,EK3480,IF($B$265=$B$3283,EM3480,IF($B$265=$B$3284,EO3480,IF($B$265=$B$3285,EQ3480,IF($B$265=$B$3286,ES3480,IF($B$265=$B$3287,EU3480,IF($B$265=$B$3288,EW3480,IF($B$265=$B$3289,EY3480,IF($B$265=$B$3290,FA3480,IF($B$265=$B$3291,FC3480,IF($B$265=$B$3292,FE3480,IF($B$265=$B$3293,BK3480,IF($B$265=$B$3294,FG3480,IF($B$265=$B$3295,FI3480,IF($B$265=$B$3296,FK3480,IF($B$265=$B$3297,FM3480,IF($B$265=$B$3298,FO3480,IF($B$265=$B$3299,FQ3480,IF(BJ$265=$B$3300,FS3480,IF($B$265=$B$3301,FU3480,IF($B$265=$B$3302,FW3480,IF($B$265=$B$3303,FY3480,IF($B$265=$B$3304,GA3480,IF($B$265=$B$3305,GC3480,IF($B$265=$B$3306,GE3480,IF($B$265=$B$3307,GG3480,IF($B$265=$B$3308,GI3480,IF($B$265=$B$3309,GK3480,IF($B$265=$B$3310,GM3480,IF($B$265=$B$3311,GO3480,IF($B$265=$B$3312,GQ3480,IF($B$265=$B$3313,GS3480,IF($B$265=$B$3314,GU3480,IF($B$265=$B$3315,GW3480,IF($B$265=$B$3316,GY3480,IF($B$265=$B$3317,HA3480,IF($B$265=$B$3318,HC3480,IF($B$265=$B$3319,HE3480,IF($B$265=$B$3320,HG3480,IF($B$265=$B$3321,HI3480,IF($B$265=$B$3322,HK3480,IF($B$265=$B$3323,HM3480,IF($B$265=$B$3324,HO3480,IF($B$265=$B$3325,HQ3480,IF($B$265=$B$3326,HS3480,IF($B$265=$B$3327,HU3480,IF($B$265=$B$3328,HW3480,IF($B$265=$B$3329,HY3480,""))))))))))))))))))))))))))))))))))))))))))))))))))))</f>
        <v/>
      </c>
      <c r="EB3480" s="459" t="s">
        <v>885</v>
      </c>
    </row>
    <row r="3481" spans="1:132" ht="16" hidden="1" x14ac:dyDescent="0.4">
      <c r="A3481" s="813"/>
      <c r="BB3481" s="48"/>
      <c r="BS3481" s="464" t="str">
        <f>IF($B$265=B$3278,BZ3480,IF($B$265=B$3279,CA3480,IF($B$265=B$3280,CB3480,IF($B$265=B$3281,CC3480,IF($B$265=B$3282,CD3480,IF($B$265=B$3283,CE3480,IF($B$265=B$3284,CF3480,IF($B$265=B$3285,CG3480,IF($B$265=B$3286,CH3480,IF($B$265=B$3287,CI3480,IF($B$265=B$3288,CJ3480,IF($B$265=B$3289,CK3480,IF($B$265=B$3290,CL3480,IF($B$265=B$3291,CM3480,IF($B$265=B$3292,CN3480,IF($B$265=B$3293,H2864,IF($B$265=B$3294,CO3480,IF($B$265=B$3295,CP3480,IF($B$265=B$3296,CQ3480,IF($B$265=B$3297,CR3480,IF($B$265=B$3298,CS3480,IF($B$265=B$3299,CT3480,IF(B$265=B$3300,CU3480,IF($B$265=B$3301,CV3480,IF($B$265=B$3302,CW3480,IF($B$265=B$3303,CX3480,IF($B$265=B$3304,CY3480,IF($B$265=B$3305,CZ3480,IF($B$265=B$3306,DA3480,IF($B$265=B$3307,DB3480,IF($B$265=B$3308,DC3480,IF($B$265=B$3309,DD3480,IF($B$265=B$3310,DE3480,IF($B$265=B$3311,DF3480,IF($B$265=B$3312,DG3480,IF($B$265=B$3313,DH3480,IF($B$265=B$3314,DI3480,IF($B$265=B$3315,DJ3480,IF($B$265=B$3316,DK3480,IF($B$265=B$3317,DL3480,IF($B$265=B$3318,DM3480,IF($B$265=B$3319,DN3480,IF($B$265=B$3320,DO3480,IF($B$265=B$3321,DP3480,IF($B$265=B$3322,DQ3480,IF($B$265=B$3323,DR3480,IF($B$265=B$3324,DS3480,IF($B$265=B$3325,DT3480,IF($B$265=B$3326,DU3480,IF($B$265=B$3327,DV3480,IF($B$265=B$3328,DW3480,IF($B$265=B$3329,DX3480,""))))))))))))))))))))))))))))))))))))))))))))))))))))</f>
        <v/>
      </c>
      <c r="BZ3481" s="245" t="s">
        <v>885</v>
      </c>
      <c r="CA3481" s="245" t="s">
        <v>885</v>
      </c>
      <c r="CC3481" s="245" t="s">
        <v>885</v>
      </c>
      <c r="CD3481" s="459" t="s">
        <v>885</v>
      </c>
      <c r="CE3481" s="459" t="s">
        <v>885</v>
      </c>
      <c r="CF3481" s="245" t="s">
        <v>885</v>
      </c>
      <c r="CG3481" s="245" t="s">
        <v>885</v>
      </c>
      <c r="CH3481" s="245" t="s">
        <v>885</v>
      </c>
      <c r="CI3481" s="245" t="s">
        <v>885</v>
      </c>
      <c r="CJ3481" s="459" t="s">
        <v>885</v>
      </c>
      <c r="CK3481" s="459" t="s">
        <v>885</v>
      </c>
      <c r="CL3481" s="459" t="s">
        <v>885</v>
      </c>
      <c r="CM3481" s="459" t="s">
        <v>885</v>
      </c>
      <c r="CN3481" s="459" t="s">
        <v>885</v>
      </c>
      <c r="CO3481" s="459" t="s">
        <v>885</v>
      </c>
      <c r="CP3481" s="459" t="s">
        <v>885</v>
      </c>
      <c r="CQ3481" s="459" t="s">
        <v>885</v>
      </c>
      <c r="CR3481" s="459" t="s">
        <v>885</v>
      </c>
      <c r="CS3481" s="459" t="s">
        <v>885</v>
      </c>
      <c r="CT3481" s="245" t="s">
        <v>885</v>
      </c>
      <c r="CU3481" s="463" t="s">
        <v>885</v>
      </c>
      <c r="CV3481" s="245" t="s">
        <v>885</v>
      </c>
      <c r="CW3481" s="245" t="s">
        <v>885</v>
      </c>
      <c r="CX3481" s="459" t="s">
        <v>885</v>
      </c>
      <c r="CY3481" s="459" t="s">
        <v>885</v>
      </c>
      <c r="CZ3481" s="459" t="s">
        <v>885</v>
      </c>
      <c r="DA3481" s="459" t="s">
        <v>885</v>
      </c>
      <c r="DB3481" s="459" t="s">
        <v>885</v>
      </c>
      <c r="DC3481" s="459" t="s">
        <v>885</v>
      </c>
      <c r="DD3481" s="459" t="s">
        <v>885</v>
      </c>
      <c r="DE3481" s="459" t="s">
        <v>885</v>
      </c>
      <c r="DF3481" s="459" t="s">
        <v>885</v>
      </c>
      <c r="DG3481" s="459" t="s">
        <v>885</v>
      </c>
      <c r="DH3481" s="459" t="s">
        <v>885</v>
      </c>
      <c r="DI3481" s="459" t="s">
        <v>885</v>
      </c>
      <c r="DJ3481" s="459" t="s">
        <v>885</v>
      </c>
      <c r="DK3481" s="459" t="s">
        <v>885</v>
      </c>
      <c r="DL3481" s="459" t="s">
        <v>885</v>
      </c>
      <c r="DM3481" s="459" t="s">
        <v>885</v>
      </c>
      <c r="DN3481" s="459" t="s">
        <v>885</v>
      </c>
      <c r="DO3481" s="459" t="s">
        <v>885</v>
      </c>
      <c r="DP3481" t="s">
        <v>1612</v>
      </c>
      <c r="DQ3481" s="459" t="s">
        <v>885</v>
      </c>
      <c r="DR3481" s="459" t="s">
        <v>885</v>
      </c>
      <c r="DS3481" s="459" t="s">
        <v>885</v>
      </c>
      <c r="DT3481" s="459" t="s">
        <v>885</v>
      </c>
      <c r="DU3481" s="459" t="s">
        <v>885</v>
      </c>
      <c r="DV3481" s="459" t="s">
        <v>885</v>
      </c>
      <c r="DW3481" s="459" t="s">
        <v>885</v>
      </c>
      <c r="DX3481" s="245" t="s">
        <v>885</v>
      </c>
      <c r="DY3481" s="245"/>
      <c r="DZ3481" s="470" t="str">
        <f>IF($B$265=$B$3278,EB3481,IF($B$265=$B$3279,ED3481,IF($B$265=$B$3280,EF3481,IF($B$265=$B$3281,EH3481,IF($B$265=$B$3282,EJ3481,IF($B$265=$B$3283,EL3481,IF($B$265=$B$3284,EN3481,IF($B$265=$B$3285,EP3481,IF($B$265=$B$3286,ER3481,IF($B$265=$B$3287,ET3481,IF($B$265=$B$3288,EV3481,IF($B$265=$B$3289,EX3481,IF($B$265=$B$3290,EZ3481,IF($B$265=$B$3291,FB3481,IF($B$265=$B$3292,FD3481,IF($B$265=$B$3293,BU3481,IF($B$265=$B$3294,FF3481,IF($B$265=$B$3295,FH3481,IF($B$265=$B$3296,FJ3481,IF($B$265=$B$3297,FL3481,IF($B$265=$B$3298,FN3481,IF($B$265=$B$3299,FP3481,IF(BI$265=$B$3300,FR3481,IF($B$265=$B$3301,FT3481,IF($B$265=$B$3302,FV3481,IF($B$265=$B$3303,FX3481,IF($B$265=$B$3304,FZ3481,IF($B$265=$B$3305,GB3481,IF($B$265=$B$3306,GD3481,IF($B$265=$B$3307,GF3481,IF($B$265=$B$3308,GH3481,IF($B$265=$B$3309,GJ3481,IF($B$265=$B$3310,GL3481,IF($B$265=$B$3311,GN3481,IF($B$265=$B$3312,GP3481,IF($B$265=$B$3313,GR3481,IF($B$265=$B$3314,GT3481,IF($B$265=$B$3315,GV3481,IF($B$265=$B$3316,GX3481,IF($B$265=$B$3317,GZ3481,IF($B$265=$B$3318,HB3481,IF($B$265=$B$3319,HD3481,IF($B$265=$B$3320,HF3481,IF($B$265=$B$3321,HH3481,IF($B$265=$B$3322,HJ3481,IF($B$265=$B$3323,HL3481,IF($B$265=$B$3324,HN3481,IF($B$265=$B$3325,HP3481,IF($B$265=$B$3326,HR3481,IF($B$265=$B$3327,HT3481,IF($B$265=$B$3328,HV3481,IF($B$265=$B$3329,HX3481,""))))))))))))))))))))))))))))))))))))))))))))))))))))</f>
        <v/>
      </c>
      <c r="EA3481" s="470" t="str">
        <f>IF($B$265=$B$3278,EC3481,IF($B$265=$B$3279,EE3481,IF($B$265=$B$3280,EG3481,IF($B$265=$B$3281,EI3481,IF($B$265=$B$3282,EK3481,IF($B$265=$B$3283,EM3481,IF($B$265=$B$3284,EO3481,IF($B$265=$B$3285,EQ3481,IF($B$265=$B$3286,ES3481,IF($B$265=$B$3287,EU3481,IF($B$265=$B$3288,EW3481,IF($B$265=$B$3289,EY3481,IF($B$265=$B$3290,FA3481,IF($B$265=$B$3291,FC3481,IF($B$265=$B$3292,FE3481,IF($B$265=$B$3293,BK3481,IF($B$265=$B$3294,FG3481,IF($B$265=$B$3295,FI3481,IF($B$265=$B$3296,FK3481,IF($B$265=$B$3297,FM3481,IF($B$265=$B$3298,FO3481,IF($B$265=$B$3299,FQ3481,IF(BJ$265=$B$3300,FS3481,IF($B$265=$B$3301,FU3481,IF($B$265=$B$3302,FW3481,IF($B$265=$B$3303,FY3481,IF($B$265=$B$3304,GA3481,IF($B$265=$B$3305,GC3481,IF($B$265=$B$3306,GE3481,IF($B$265=$B$3307,GG3481,IF($B$265=$B$3308,GI3481,IF($B$265=$B$3309,GK3481,IF($B$265=$B$3310,GM3481,IF($B$265=$B$3311,GO3481,IF($B$265=$B$3312,GQ3481,IF($B$265=$B$3313,GS3481,IF($B$265=$B$3314,GU3481,IF($B$265=$B$3315,GW3481,IF($B$265=$B$3316,GY3481,IF($B$265=$B$3317,HA3481,IF($B$265=$B$3318,HC3481,IF($B$265=$B$3319,HE3481,IF($B$265=$B$3320,HG3481,IF($B$265=$B$3321,HI3481,IF($B$265=$B$3322,HK3481,IF($B$265=$B$3323,HM3481,IF($B$265=$B$3324,HO3481,IF($B$265=$B$3325,HQ3481,IF($B$265=$B$3326,HS3481,IF($B$265=$B$3327,HU3481,IF($B$265=$B$3328,HW3481,IF($B$265=$B$3329,HY3481,""))))))))))))))))))))))))))))))))))))))))))))))))))))</f>
        <v/>
      </c>
      <c r="EB3481" s="459" t="s">
        <v>885</v>
      </c>
    </row>
    <row r="3482" spans="1:132" ht="16" hidden="1" x14ac:dyDescent="0.4">
      <c r="A3482" s="813"/>
      <c r="BB3482" s="48"/>
      <c r="BS3482" s="464" t="str">
        <f>IF($B$265=B$3278,BZ3481,IF($B$265=B$3279,CA3481,IF($B$265=B$3280,CB3481,IF($B$265=B$3281,CC3481,IF($B$265=B$3282,CD3481,IF($B$265=B$3283,CE3481,IF($B$265=B$3284,CF3481,IF($B$265=B$3285,CG3481,IF($B$265=B$3286,CH3481,IF($B$265=B$3287,CI3481,IF($B$265=B$3288,CJ3481,IF($B$265=B$3289,CK3481,IF($B$265=B$3290,CL3481,IF($B$265=B$3291,CM3481,IF($B$265=B$3292,CN3481,IF($B$265=B$3293,H2865,IF($B$265=B$3294,CO3481,IF($B$265=B$3295,CP3481,IF($B$265=B$3296,CQ3481,IF($B$265=B$3297,CR3481,IF($B$265=B$3298,CS3481,IF($B$265=B$3299,CT3481,IF(B$265=B$3300,CU3481,IF($B$265=B$3301,CV3481,IF($B$265=B$3302,CW3481,IF($B$265=B$3303,CX3481,IF($B$265=B$3304,CY3481,IF($B$265=B$3305,CZ3481,IF($B$265=B$3306,DA3481,IF($B$265=B$3307,DB3481,IF($B$265=B$3308,DC3481,IF($B$265=B$3309,DD3481,IF($B$265=B$3310,DE3481,IF($B$265=B$3311,DF3481,IF($B$265=B$3312,DG3481,IF($B$265=B$3313,DH3481,IF($B$265=B$3314,DI3481,IF($B$265=B$3315,DJ3481,IF($B$265=B$3316,DK3481,IF($B$265=B$3317,DL3481,IF($B$265=B$3318,DM3481,IF($B$265=B$3319,DN3481,IF($B$265=B$3320,DO3481,IF($B$265=B$3321,DP3481,IF($B$265=B$3322,DQ3481,IF($B$265=B$3323,DR3481,IF($B$265=B$3324,DS3481,IF($B$265=B$3325,DT3481,IF($B$265=B$3326,DU3481,IF($B$265=B$3327,DV3481,IF($B$265=B$3328,DW3481,IF($B$265=B$3329,DX3481,""))))))))))))))))))))))))))))))))))))))))))))))))))))</f>
        <v/>
      </c>
      <c r="BZ3482" s="245" t="s">
        <v>885</v>
      </c>
      <c r="CA3482" s="245" t="s">
        <v>885</v>
      </c>
      <c r="CC3482" s="245" t="s">
        <v>885</v>
      </c>
      <c r="CD3482" s="459" t="s">
        <v>885</v>
      </c>
      <c r="CE3482" s="459" t="s">
        <v>885</v>
      </c>
      <c r="CF3482" s="245" t="s">
        <v>885</v>
      </c>
      <c r="CG3482" s="245" t="s">
        <v>885</v>
      </c>
      <c r="CH3482" s="245" t="s">
        <v>885</v>
      </c>
      <c r="CI3482" s="245" t="s">
        <v>885</v>
      </c>
      <c r="CJ3482" s="459" t="s">
        <v>885</v>
      </c>
      <c r="CK3482" s="459" t="s">
        <v>885</v>
      </c>
      <c r="CL3482" s="459" t="s">
        <v>885</v>
      </c>
      <c r="CM3482" s="459" t="s">
        <v>885</v>
      </c>
      <c r="CN3482" s="459" t="s">
        <v>885</v>
      </c>
      <c r="CO3482" s="459" t="s">
        <v>885</v>
      </c>
      <c r="CP3482" s="459" t="s">
        <v>885</v>
      </c>
      <c r="CQ3482" s="459" t="s">
        <v>885</v>
      </c>
      <c r="CR3482" s="459" t="s">
        <v>885</v>
      </c>
      <c r="CS3482" s="459" t="s">
        <v>885</v>
      </c>
      <c r="CT3482" s="245" t="s">
        <v>885</v>
      </c>
      <c r="CU3482" s="463" t="s">
        <v>885</v>
      </c>
      <c r="CV3482" s="245" t="s">
        <v>885</v>
      </c>
      <c r="CW3482" s="245" t="s">
        <v>885</v>
      </c>
      <c r="CX3482" s="459" t="s">
        <v>885</v>
      </c>
      <c r="CY3482" s="459" t="s">
        <v>885</v>
      </c>
      <c r="CZ3482" s="459" t="s">
        <v>885</v>
      </c>
      <c r="DA3482" s="459" t="s">
        <v>885</v>
      </c>
      <c r="DB3482" s="459" t="s">
        <v>885</v>
      </c>
      <c r="DC3482" s="459" t="s">
        <v>885</v>
      </c>
      <c r="DD3482" s="459" t="s">
        <v>885</v>
      </c>
      <c r="DE3482" s="459" t="s">
        <v>885</v>
      </c>
      <c r="DF3482" s="459" t="s">
        <v>885</v>
      </c>
      <c r="DG3482" s="459" t="s">
        <v>885</v>
      </c>
      <c r="DH3482" s="459" t="s">
        <v>885</v>
      </c>
      <c r="DI3482" s="459" t="s">
        <v>885</v>
      </c>
      <c r="DJ3482" s="459" t="s">
        <v>885</v>
      </c>
      <c r="DK3482" s="459" t="s">
        <v>885</v>
      </c>
      <c r="DL3482" s="459" t="s">
        <v>885</v>
      </c>
      <c r="DM3482" s="459" t="s">
        <v>885</v>
      </c>
      <c r="DN3482" s="459" t="s">
        <v>885</v>
      </c>
      <c r="DO3482" s="459" t="s">
        <v>885</v>
      </c>
      <c r="DP3482" t="s">
        <v>3038</v>
      </c>
      <c r="DQ3482" s="459" t="s">
        <v>885</v>
      </c>
      <c r="DR3482" s="459" t="s">
        <v>885</v>
      </c>
      <c r="DS3482" s="459" t="s">
        <v>885</v>
      </c>
      <c r="DT3482" s="459" t="s">
        <v>885</v>
      </c>
      <c r="DU3482" s="459" t="s">
        <v>885</v>
      </c>
      <c r="DV3482" s="459" t="s">
        <v>885</v>
      </c>
      <c r="DW3482" s="459" t="s">
        <v>885</v>
      </c>
      <c r="DX3482" s="245" t="s">
        <v>885</v>
      </c>
      <c r="DY3482" s="245"/>
      <c r="DZ3482" s="470" t="str">
        <f>IF($B$265=$B$3278,EB3482,IF($B$265=$B$3279,ED3482,IF($B$265=$B$3280,EF3482,IF($B$265=$B$3281,EH3482,IF($B$265=$B$3282,EJ3482,IF($B$265=$B$3283,EL3482,IF($B$265=$B$3284,EN3482,IF($B$265=$B$3285,EP3482,IF($B$265=$B$3286,ER3482,IF($B$265=$B$3287,ET3482,IF($B$265=$B$3288,EV3482,IF($B$265=$B$3289,EX3482,IF($B$265=$B$3290,EZ3482,IF($B$265=$B$3291,FB3482,IF($B$265=$B$3292,FD3482,IF($B$265=$B$3293,BU3482,IF($B$265=$B$3294,FF3482,IF($B$265=$B$3295,FH3482,IF($B$265=$B$3296,FJ3482,IF($B$265=$B$3297,FL3482,IF($B$265=$B$3298,FN3482,IF($B$265=$B$3299,FP3482,IF(BI$265=$B$3300,FR3482,IF($B$265=$B$3301,FT3482,IF($B$265=$B$3302,FV3482,IF($B$265=$B$3303,FX3482,IF($B$265=$B$3304,FZ3482,IF($B$265=$B$3305,GB3482,IF($B$265=$B$3306,GD3482,IF($B$265=$B$3307,GF3482,IF($B$265=$B$3308,GH3482,IF($B$265=$B$3309,GJ3482,IF($B$265=$B$3310,GL3482,IF($B$265=$B$3311,GN3482,IF($B$265=$B$3312,GP3482,IF($B$265=$B$3313,GR3482,IF($B$265=$B$3314,GT3482,IF($B$265=$B$3315,GV3482,IF($B$265=$B$3316,GX3482,IF($B$265=$B$3317,GZ3482,IF($B$265=$B$3318,HB3482,IF($B$265=$B$3319,HD3482,IF($B$265=$B$3320,HF3482,IF($B$265=$B$3321,HH3482,IF($B$265=$B$3322,HJ3482,IF($B$265=$B$3323,HL3482,IF($B$265=$B$3324,HN3482,IF($B$265=$B$3325,HP3482,IF($B$265=$B$3326,HR3482,IF($B$265=$B$3327,HT3482,IF($B$265=$B$3328,HV3482,IF($B$265=$B$3329,HX3482,""))))))))))))))))))))))))))))))))))))))))))))))))))))</f>
        <v/>
      </c>
      <c r="EA3482" s="470" t="str">
        <f>IF($B$265=$B$3278,EC3482,IF($B$265=$B$3279,EE3482,IF($B$265=$B$3280,EG3482,IF($B$265=$B$3281,EI3482,IF($B$265=$B$3282,EK3482,IF($B$265=$B$3283,EM3482,IF($B$265=$B$3284,EO3482,IF($B$265=$B$3285,EQ3482,IF($B$265=$B$3286,ES3482,IF($B$265=$B$3287,EU3482,IF($B$265=$B$3288,EW3482,IF($B$265=$B$3289,EY3482,IF($B$265=$B$3290,FA3482,IF($B$265=$B$3291,FC3482,IF($B$265=$B$3292,FE3482,IF($B$265=$B$3293,BK3482,IF($B$265=$B$3294,FG3482,IF($B$265=$B$3295,FI3482,IF($B$265=$B$3296,FK3482,IF($B$265=$B$3297,FM3482,IF($B$265=$B$3298,FO3482,IF($B$265=$B$3299,FQ3482,IF(BJ$265=$B$3300,FS3482,IF($B$265=$B$3301,FU3482,IF($B$265=$B$3302,FW3482,IF($B$265=$B$3303,FY3482,IF($B$265=$B$3304,GA3482,IF($B$265=$B$3305,GC3482,IF($B$265=$B$3306,GE3482,IF($B$265=$B$3307,GG3482,IF($B$265=$B$3308,GI3482,IF($B$265=$B$3309,GK3482,IF($B$265=$B$3310,GM3482,IF($B$265=$B$3311,GO3482,IF($B$265=$B$3312,GQ3482,IF($B$265=$B$3313,GS3482,IF($B$265=$B$3314,GU3482,IF($B$265=$B$3315,GW3482,IF($B$265=$B$3316,GY3482,IF($B$265=$B$3317,HA3482,IF($B$265=$B$3318,HC3482,IF($B$265=$B$3319,HE3482,IF($B$265=$B$3320,HG3482,IF($B$265=$B$3321,HI3482,IF($B$265=$B$3322,HK3482,IF($B$265=$B$3323,HM3482,IF($B$265=$B$3324,HO3482,IF($B$265=$B$3325,HQ3482,IF($B$265=$B$3326,HS3482,IF($B$265=$B$3327,HU3482,IF($B$265=$B$3328,HW3482,IF($B$265=$B$3329,HY3482,""))))))))))))))))))))))))))))))))))))))))))))))))))))</f>
        <v/>
      </c>
      <c r="EB3482" s="459" t="s">
        <v>885</v>
      </c>
    </row>
    <row r="3483" spans="1:132" ht="16" hidden="1" x14ac:dyDescent="0.4">
      <c r="A3483" s="813"/>
      <c r="BB3483" s="48"/>
      <c r="BS3483" s="464" t="str">
        <f>IF($B$265=B$3278,BZ3482,IF($B$265=B$3279,CA3482,IF($B$265=B$3280,CB3482,IF($B$265=B$3281,CC3482,IF($B$265=B$3282,CD3482,IF($B$265=B$3283,CE3482,IF($B$265=B$3284,CF3482,IF($B$265=B$3285,CG3482,IF($B$265=B$3286,CH3482,IF($B$265=B$3287,CI3482,IF($B$265=B$3288,CJ3482,IF($B$265=B$3289,CK3482,IF($B$265=B$3290,CL3482,IF($B$265=B$3291,CM3482,IF($B$265=B$3292,CN3482,IF($B$265=B$3293,H2866,IF($B$265=B$3294,CO3482,IF($B$265=B$3295,CP3482,IF($B$265=B$3296,CQ3482,IF($B$265=B$3297,CR3482,IF($B$265=B$3298,CS3482,IF($B$265=B$3299,CT3482,IF(B$265=B$3300,CU3482,IF($B$265=B$3301,CV3482,IF($B$265=B$3302,CW3482,IF($B$265=B$3303,CX3482,IF($B$265=B$3304,CY3482,IF($B$265=B$3305,CZ3482,IF($B$265=B$3306,DA3482,IF($B$265=B$3307,DB3482,IF($B$265=B$3308,DC3482,IF($B$265=B$3309,DD3482,IF($B$265=B$3310,DE3482,IF($B$265=B$3311,DF3482,IF($B$265=B$3312,DG3482,IF($B$265=B$3313,DH3482,IF($B$265=B$3314,DI3482,IF($B$265=B$3315,DJ3482,IF($B$265=B$3316,DK3482,IF($B$265=B$3317,DL3482,IF($B$265=B$3318,DM3482,IF($B$265=B$3319,DN3482,IF($B$265=B$3320,DO3482,IF($B$265=B$3321,DP3482,IF($B$265=B$3322,DQ3482,IF($B$265=B$3323,DR3482,IF($B$265=B$3324,DS3482,IF($B$265=B$3325,DT3482,IF($B$265=B$3326,DU3482,IF($B$265=B$3327,DV3482,IF($B$265=B$3328,DW3482,IF($B$265=B$3329,DX3482,""))))))))))))))))))))))))))))))))))))))))))))))))))))</f>
        <v/>
      </c>
      <c r="BZ3483" s="245" t="s">
        <v>885</v>
      </c>
      <c r="CA3483" s="245" t="s">
        <v>885</v>
      </c>
      <c r="CC3483" s="245" t="s">
        <v>885</v>
      </c>
      <c r="CD3483" s="459" t="s">
        <v>885</v>
      </c>
      <c r="CE3483" s="459" t="s">
        <v>885</v>
      </c>
      <c r="CF3483" s="245" t="s">
        <v>885</v>
      </c>
      <c r="CG3483" s="245" t="s">
        <v>885</v>
      </c>
      <c r="CH3483" s="245" t="s">
        <v>885</v>
      </c>
      <c r="CI3483" s="245" t="s">
        <v>885</v>
      </c>
      <c r="CJ3483" s="459" t="s">
        <v>885</v>
      </c>
      <c r="CK3483" s="459" t="s">
        <v>885</v>
      </c>
      <c r="CL3483" s="459" t="s">
        <v>885</v>
      </c>
      <c r="CM3483" s="459" t="s">
        <v>885</v>
      </c>
      <c r="CN3483" s="459" t="s">
        <v>885</v>
      </c>
      <c r="CO3483" s="459" t="s">
        <v>885</v>
      </c>
      <c r="CP3483" s="459" t="s">
        <v>885</v>
      </c>
      <c r="CQ3483" s="459" t="s">
        <v>885</v>
      </c>
      <c r="CR3483" s="459" t="s">
        <v>885</v>
      </c>
      <c r="CS3483" s="459" t="s">
        <v>885</v>
      </c>
      <c r="CT3483" s="245" t="s">
        <v>885</v>
      </c>
      <c r="CU3483" s="463" t="s">
        <v>885</v>
      </c>
      <c r="CV3483" s="245" t="s">
        <v>885</v>
      </c>
      <c r="CW3483" s="245" t="s">
        <v>885</v>
      </c>
      <c r="CX3483" s="459" t="s">
        <v>885</v>
      </c>
      <c r="CY3483" s="459" t="s">
        <v>885</v>
      </c>
      <c r="CZ3483" s="459" t="s">
        <v>885</v>
      </c>
      <c r="DA3483" s="459" t="s">
        <v>885</v>
      </c>
      <c r="DB3483" s="459" t="s">
        <v>885</v>
      </c>
      <c r="DC3483" s="459" t="s">
        <v>885</v>
      </c>
      <c r="DD3483" s="459" t="s">
        <v>885</v>
      </c>
      <c r="DE3483" s="459" t="s">
        <v>885</v>
      </c>
      <c r="DF3483" s="459" t="s">
        <v>885</v>
      </c>
      <c r="DG3483" s="459" t="s">
        <v>885</v>
      </c>
      <c r="DH3483" s="459" t="s">
        <v>885</v>
      </c>
      <c r="DI3483" s="459" t="s">
        <v>885</v>
      </c>
      <c r="DJ3483" s="459" t="s">
        <v>885</v>
      </c>
      <c r="DK3483" s="459" t="s">
        <v>885</v>
      </c>
      <c r="DL3483" s="459" t="s">
        <v>885</v>
      </c>
      <c r="DM3483" s="459" t="s">
        <v>885</v>
      </c>
      <c r="DN3483" s="459" t="s">
        <v>885</v>
      </c>
      <c r="DO3483" s="459" t="s">
        <v>885</v>
      </c>
      <c r="DP3483" t="s">
        <v>2398</v>
      </c>
      <c r="DQ3483" s="459" t="s">
        <v>885</v>
      </c>
      <c r="DR3483" s="459" t="s">
        <v>885</v>
      </c>
      <c r="DS3483" s="459" t="s">
        <v>885</v>
      </c>
      <c r="DT3483" s="459" t="s">
        <v>885</v>
      </c>
      <c r="DU3483" s="459" t="s">
        <v>885</v>
      </c>
      <c r="DV3483" s="459" t="s">
        <v>885</v>
      </c>
      <c r="DW3483" s="459" t="s">
        <v>885</v>
      </c>
      <c r="DX3483" s="245" t="s">
        <v>885</v>
      </c>
      <c r="DY3483" s="245"/>
      <c r="DZ3483" s="470" t="str">
        <f>IF($B$265=$B$3278,EB3483,IF($B$265=$B$3279,ED3483,IF($B$265=$B$3280,EF3483,IF($B$265=$B$3281,EH3483,IF($B$265=$B$3282,EJ3483,IF($B$265=$B$3283,EL3483,IF($B$265=$B$3284,EN3483,IF($B$265=$B$3285,EP3483,IF($B$265=$B$3286,ER3483,IF($B$265=$B$3287,ET3483,IF($B$265=$B$3288,EV3483,IF($B$265=$B$3289,EX3483,IF($B$265=$B$3290,EZ3483,IF($B$265=$B$3291,FB3483,IF($B$265=$B$3292,FD3483,IF($B$265=$B$3293,BU3483,IF($B$265=$B$3294,FF3483,IF($B$265=$B$3295,FH3483,IF($B$265=$B$3296,FJ3483,IF($B$265=$B$3297,FL3483,IF($B$265=$B$3298,FN3483,IF($B$265=$B$3299,FP3483,IF(BI$265=$B$3300,FR3483,IF($B$265=$B$3301,FT3483,IF($B$265=$B$3302,FV3483,IF($B$265=$B$3303,FX3483,IF($B$265=$B$3304,FZ3483,IF($B$265=$B$3305,GB3483,IF($B$265=$B$3306,GD3483,IF($B$265=$B$3307,GF3483,IF($B$265=$B$3308,GH3483,IF($B$265=$B$3309,GJ3483,IF($B$265=$B$3310,GL3483,IF($B$265=$B$3311,GN3483,IF($B$265=$B$3312,GP3483,IF($B$265=$B$3313,GR3483,IF($B$265=$B$3314,GT3483,IF($B$265=$B$3315,GV3483,IF($B$265=$B$3316,GX3483,IF($B$265=$B$3317,GZ3483,IF($B$265=$B$3318,HB3483,IF($B$265=$B$3319,HD3483,IF($B$265=$B$3320,HF3483,IF($B$265=$B$3321,HH3483,IF($B$265=$B$3322,HJ3483,IF($B$265=$B$3323,HL3483,IF($B$265=$B$3324,HN3483,IF($B$265=$B$3325,HP3483,IF($B$265=$B$3326,HR3483,IF($B$265=$B$3327,HT3483,IF($B$265=$B$3328,HV3483,IF($B$265=$B$3329,HX3483,""))))))))))))))))))))))))))))))))))))))))))))))))))))</f>
        <v/>
      </c>
      <c r="EA3483" s="470" t="str">
        <f>IF($B$265=$B$3278,EC3483,IF($B$265=$B$3279,EE3483,IF($B$265=$B$3280,EG3483,IF($B$265=$B$3281,EI3483,IF($B$265=$B$3282,EK3483,IF($B$265=$B$3283,EM3483,IF($B$265=$B$3284,EO3483,IF($B$265=$B$3285,EQ3483,IF($B$265=$B$3286,ES3483,IF($B$265=$B$3287,EU3483,IF($B$265=$B$3288,EW3483,IF($B$265=$B$3289,EY3483,IF($B$265=$B$3290,FA3483,IF($B$265=$B$3291,FC3483,IF($B$265=$B$3292,FE3483,IF($B$265=$B$3293,BK3483,IF($B$265=$B$3294,FG3483,IF($B$265=$B$3295,FI3483,IF($B$265=$B$3296,FK3483,IF($B$265=$B$3297,FM3483,IF($B$265=$B$3298,FO3483,IF($B$265=$B$3299,FQ3483,IF(BJ$265=$B$3300,FS3483,IF($B$265=$B$3301,FU3483,IF($B$265=$B$3302,FW3483,IF($B$265=$B$3303,FY3483,IF($B$265=$B$3304,GA3483,IF($B$265=$B$3305,GC3483,IF($B$265=$B$3306,GE3483,IF($B$265=$B$3307,GG3483,IF($B$265=$B$3308,GI3483,IF($B$265=$B$3309,GK3483,IF($B$265=$B$3310,GM3483,IF($B$265=$B$3311,GO3483,IF($B$265=$B$3312,GQ3483,IF($B$265=$B$3313,GS3483,IF($B$265=$B$3314,GU3483,IF($B$265=$B$3315,GW3483,IF($B$265=$B$3316,GY3483,IF($B$265=$B$3317,HA3483,IF($B$265=$B$3318,HC3483,IF($B$265=$B$3319,HE3483,IF($B$265=$B$3320,HG3483,IF($B$265=$B$3321,HI3483,IF($B$265=$B$3322,HK3483,IF($B$265=$B$3323,HM3483,IF($B$265=$B$3324,HO3483,IF($B$265=$B$3325,HQ3483,IF($B$265=$B$3326,HS3483,IF($B$265=$B$3327,HU3483,IF($B$265=$B$3328,HW3483,IF($B$265=$B$3329,HY3483,""))))))))))))))))))))))))))))))))))))))))))))))))))))</f>
        <v/>
      </c>
      <c r="EB3483" s="459" t="s">
        <v>885</v>
      </c>
    </row>
    <row r="3484" spans="1:132" ht="16" hidden="1" x14ac:dyDescent="0.4">
      <c r="A3484" s="813"/>
      <c r="BB3484" s="48"/>
      <c r="BS3484" s="464" t="str">
        <f>IF($B$265=B$3278,BZ3483,IF($B$265=B$3279,CA3483,IF($B$265=B$3280,CB3483,IF($B$265=B$3281,CC3483,IF($B$265=B$3282,CD3483,IF($B$265=B$3283,CE3483,IF($B$265=B$3284,CF3483,IF($B$265=B$3285,CG3483,IF($B$265=B$3286,CH3483,IF($B$265=B$3287,CI3483,IF($B$265=B$3288,CJ3483,IF($B$265=B$3289,CK3483,IF($B$265=B$3290,CL3483,IF($B$265=B$3291,CM3483,IF($B$265=B$3292,CN3483,IF($B$265=B$3293,H2867,IF($B$265=B$3294,CO3483,IF($B$265=B$3295,CP3483,IF($B$265=B$3296,CQ3483,IF($B$265=B$3297,CR3483,IF($B$265=B$3298,CS3483,IF($B$265=B$3299,CT3483,IF(B$265=B$3300,CU3483,IF($B$265=B$3301,CV3483,IF($B$265=B$3302,CW3483,IF($B$265=B$3303,CX3483,IF($B$265=B$3304,CY3483,IF($B$265=B$3305,CZ3483,IF($B$265=B$3306,DA3483,IF($B$265=B$3307,DB3483,IF($B$265=B$3308,DC3483,IF($B$265=B$3309,DD3483,IF($B$265=B$3310,DE3483,IF($B$265=B$3311,DF3483,IF($B$265=B$3312,DG3483,IF($B$265=B$3313,DH3483,IF($B$265=B$3314,DI3483,IF($B$265=B$3315,DJ3483,IF($B$265=B$3316,DK3483,IF($B$265=B$3317,DL3483,IF($B$265=B$3318,DM3483,IF($B$265=B$3319,DN3483,IF($B$265=B$3320,DO3483,IF($B$265=B$3321,DP3483,IF($B$265=B$3322,DQ3483,IF($B$265=B$3323,DR3483,IF($B$265=B$3324,DS3483,IF($B$265=B$3325,DT3483,IF($B$265=B$3326,DU3483,IF($B$265=B$3327,DV3483,IF($B$265=B$3328,DW3483,IF($B$265=B$3329,DX3483,""))))))))))))))))))))))))))))))))))))))))))))))))))))</f>
        <v/>
      </c>
      <c r="BZ3484" s="245" t="s">
        <v>885</v>
      </c>
      <c r="CA3484" s="245" t="s">
        <v>885</v>
      </c>
      <c r="CC3484" s="245" t="s">
        <v>885</v>
      </c>
      <c r="CD3484" s="459" t="s">
        <v>885</v>
      </c>
      <c r="CE3484" s="459" t="s">
        <v>885</v>
      </c>
      <c r="CF3484" s="245" t="s">
        <v>885</v>
      </c>
      <c r="CG3484" s="245" t="s">
        <v>885</v>
      </c>
      <c r="CH3484" s="245" t="s">
        <v>885</v>
      </c>
      <c r="CI3484" s="245" t="s">
        <v>885</v>
      </c>
      <c r="CJ3484" s="459" t="s">
        <v>885</v>
      </c>
      <c r="CK3484" s="459" t="s">
        <v>885</v>
      </c>
      <c r="CL3484" s="459" t="s">
        <v>885</v>
      </c>
      <c r="CM3484" s="459" t="s">
        <v>885</v>
      </c>
      <c r="CN3484" s="459" t="s">
        <v>885</v>
      </c>
      <c r="CO3484" s="459" t="s">
        <v>885</v>
      </c>
      <c r="CP3484" s="459" t="s">
        <v>885</v>
      </c>
      <c r="CQ3484" s="459" t="s">
        <v>885</v>
      </c>
      <c r="CR3484" s="459" t="s">
        <v>885</v>
      </c>
      <c r="CS3484" s="459" t="s">
        <v>885</v>
      </c>
      <c r="CT3484" s="245" t="s">
        <v>885</v>
      </c>
      <c r="CU3484" s="463" t="s">
        <v>885</v>
      </c>
      <c r="CV3484" s="245" t="s">
        <v>885</v>
      </c>
      <c r="CW3484" s="245" t="s">
        <v>885</v>
      </c>
      <c r="CX3484" s="459" t="s">
        <v>885</v>
      </c>
      <c r="CY3484" s="459" t="s">
        <v>885</v>
      </c>
      <c r="CZ3484" s="459" t="s">
        <v>885</v>
      </c>
      <c r="DA3484" s="459" t="s">
        <v>885</v>
      </c>
      <c r="DB3484" s="459" t="s">
        <v>885</v>
      </c>
      <c r="DC3484" s="459" t="s">
        <v>885</v>
      </c>
      <c r="DD3484" s="459" t="s">
        <v>885</v>
      </c>
      <c r="DE3484" s="459" t="s">
        <v>885</v>
      </c>
      <c r="DF3484" s="459" t="s">
        <v>885</v>
      </c>
      <c r="DG3484" s="459" t="s">
        <v>885</v>
      </c>
      <c r="DH3484" s="459" t="s">
        <v>885</v>
      </c>
      <c r="DI3484" s="459" t="s">
        <v>885</v>
      </c>
      <c r="DJ3484" s="459" t="s">
        <v>885</v>
      </c>
      <c r="DK3484" s="459" t="s">
        <v>885</v>
      </c>
      <c r="DL3484" s="459" t="s">
        <v>885</v>
      </c>
      <c r="DM3484" s="459" t="s">
        <v>885</v>
      </c>
      <c r="DN3484" s="459" t="s">
        <v>885</v>
      </c>
      <c r="DO3484" s="459" t="s">
        <v>885</v>
      </c>
      <c r="DP3484" t="s">
        <v>3039</v>
      </c>
      <c r="DQ3484" s="459" t="s">
        <v>885</v>
      </c>
      <c r="DR3484" s="459" t="s">
        <v>885</v>
      </c>
      <c r="DS3484" s="459" t="s">
        <v>885</v>
      </c>
      <c r="DT3484" s="459" t="s">
        <v>885</v>
      </c>
      <c r="DU3484" s="459" t="s">
        <v>885</v>
      </c>
      <c r="DV3484" s="459" t="s">
        <v>885</v>
      </c>
      <c r="DW3484" s="459" t="s">
        <v>885</v>
      </c>
      <c r="DX3484" s="245" t="s">
        <v>885</v>
      </c>
      <c r="DY3484" s="245"/>
      <c r="DZ3484" s="470" t="str">
        <f>IF($B$265=$B$3278,EB3484,IF($B$265=$B$3279,ED3484,IF($B$265=$B$3280,EF3484,IF($B$265=$B$3281,EH3484,IF($B$265=$B$3282,EJ3484,IF($B$265=$B$3283,EL3484,IF($B$265=$B$3284,EN3484,IF($B$265=$B$3285,EP3484,IF($B$265=$B$3286,ER3484,IF($B$265=$B$3287,ET3484,IF($B$265=$B$3288,EV3484,IF($B$265=$B$3289,EX3484,IF($B$265=$B$3290,EZ3484,IF($B$265=$B$3291,FB3484,IF($B$265=$B$3292,FD3484,IF($B$265=$B$3293,BU3484,IF($B$265=$B$3294,FF3484,IF($B$265=$B$3295,FH3484,IF($B$265=$B$3296,FJ3484,IF($B$265=$B$3297,FL3484,IF($B$265=$B$3298,FN3484,IF($B$265=$B$3299,FP3484,IF(BI$265=$B$3300,FR3484,IF($B$265=$B$3301,FT3484,IF($B$265=$B$3302,FV3484,IF($B$265=$B$3303,FX3484,IF($B$265=$B$3304,FZ3484,IF($B$265=$B$3305,GB3484,IF($B$265=$B$3306,GD3484,IF($B$265=$B$3307,GF3484,IF($B$265=$B$3308,GH3484,IF($B$265=$B$3309,GJ3484,IF($B$265=$B$3310,GL3484,IF($B$265=$B$3311,GN3484,IF($B$265=$B$3312,GP3484,IF($B$265=$B$3313,GR3484,IF($B$265=$B$3314,GT3484,IF($B$265=$B$3315,GV3484,IF($B$265=$B$3316,GX3484,IF($B$265=$B$3317,GZ3484,IF($B$265=$B$3318,HB3484,IF($B$265=$B$3319,HD3484,IF($B$265=$B$3320,HF3484,IF($B$265=$B$3321,HH3484,IF($B$265=$B$3322,HJ3484,IF($B$265=$B$3323,HL3484,IF($B$265=$B$3324,HN3484,IF($B$265=$B$3325,HP3484,IF($B$265=$B$3326,HR3484,IF($B$265=$B$3327,HT3484,IF($B$265=$B$3328,HV3484,IF($B$265=$B$3329,HX3484,""))))))))))))))))))))))))))))))))))))))))))))))))))))</f>
        <v/>
      </c>
      <c r="EA3484" s="470" t="str">
        <f>IF($B$265=$B$3278,EC3484,IF($B$265=$B$3279,EE3484,IF($B$265=$B$3280,EG3484,IF($B$265=$B$3281,EI3484,IF($B$265=$B$3282,EK3484,IF($B$265=$B$3283,EM3484,IF($B$265=$B$3284,EO3484,IF($B$265=$B$3285,EQ3484,IF($B$265=$B$3286,ES3484,IF($B$265=$B$3287,EU3484,IF($B$265=$B$3288,EW3484,IF($B$265=$B$3289,EY3484,IF($B$265=$B$3290,FA3484,IF($B$265=$B$3291,FC3484,IF($B$265=$B$3292,FE3484,IF($B$265=$B$3293,BK3484,IF($B$265=$B$3294,FG3484,IF($B$265=$B$3295,FI3484,IF($B$265=$B$3296,FK3484,IF($B$265=$B$3297,FM3484,IF($B$265=$B$3298,FO3484,IF($B$265=$B$3299,FQ3484,IF(BJ$265=$B$3300,FS3484,IF($B$265=$B$3301,FU3484,IF($B$265=$B$3302,FW3484,IF($B$265=$B$3303,FY3484,IF($B$265=$B$3304,GA3484,IF($B$265=$B$3305,GC3484,IF($B$265=$B$3306,GE3484,IF($B$265=$B$3307,GG3484,IF($B$265=$B$3308,GI3484,IF($B$265=$B$3309,GK3484,IF($B$265=$B$3310,GM3484,IF($B$265=$B$3311,GO3484,IF($B$265=$B$3312,GQ3484,IF($B$265=$B$3313,GS3484,IF($B$265=$B$3314,GU3484,IF($B$265=$B$3315,GW3484,IF($B$265=$B$3316,GY3484,IF($B$265=$B$3317,HA3484,IF($B$265=$B$3318,HC3484,IF($B$265=$B$3319,HE3484,IF($B$265=$B$3320,HG3484,IF($B$265=$B$3321,HI3484,IF($B$265=$B$3322,HK3484,IF($B$265=$B$3323,HM3484,IF($B$265=$B$3324,HO3484,IF($B$265=$B$3325,HQ3484,IF($B$265=$B$3326,HS3484,IF($B$265=$B$3327,HU3484,IF($B$265=$B$3328,HW3484,IF($B$265=$B$3329,HY3484,""))))))))))))))))))))))))))))))))))))))))))))))))))))</f>
        <v/>
      </c>
      <c r="EB3484" s="459" t="s">
        <v>885</v>
      </c>
    </row>
    <row r="3485" spans="1:132" ht="16" hidden="1" x14ac:dyDescent="0.4">
      <c r="A3485" s="813"/>
      <c r="BS3485" s="464" t="str">
        <f>IF($B$265=B$3278,BZ3484,IF($B$265=B$3279,CA3484,IF($B$265=B$3280,CB3484,IF($B$265=B$3281,CC3484,IF($B$265=B$3282,CD3484,IF($B$265=B$3283,CE3484,IF($B$265=B$3284,CF3484,IF($B$265=B$3285,CG3484,IF($B$265=B$3286,CH3484,IF($B$265=B$3287,CI3484,IF($B$265=B$3288,CJ3484,IF($B$265=B$3289,CK3484,IF($B$265=B$3290,CL3484,IF($B$265=B$3291,CM3484,IF($B$265=B$3292,CN3484,IF($B$265=B$3293,H2868,IF($B$265=B$3294,CO3484,IF($B$265=B$3295,CP3484,IF($B$265=B$3296,CQ3484,IF($B$265=B$3297,CR3484,IF($B$265=B$3298,CS3484,IF($B$265=B$3299,CT3484,IF(B$265=B$3300,CU3484,IF($B$265=B$3301,CV3484,IF($B$265=B$3302,CW3484,IF($B$265=B$3303,CX3484,IF($B$265=B$3304,CY3484,IF($B$265=B$3305,CZ3484,IF($B$265=B$3306,DA3484,IF($B$265=B$3307,DB3484,IF($B$265=B$3308,DC3484,IF($B$265=B$3309,DD3484,IF($B$265=B$3310,DE3484,IF($B$265=B$3311,DF3484,IF($B$265=B$3312,DG3484,IF($B$265=B$3313,DH3484,IF($B$265=B$3314,DI3484,IF($B$265=B$3315,DJ3484,IF($B$265=B$3316,DK3484,IF($B$265=B$3317,DL3484,IF($B$265=B$3318,DM3484,IF($B$265=B$3319,DN3484,IF($B$265=B$3320,DO3484,IF($B$265=B$3321,DP3484,IF($B$265=B$3322,DQ3484,IF($B$265=B$3323,DR3484,IF($B$265=B$3324,DS3484,IF($B$265=B$3325,DT3484,IF($B$265=B$3326,DU3484,IF($B$265=B$3327,DV3484,IF($B$265=B$3328,DW3484,IF($B$265=B$3329,DX3484,""))))))))))))))))))))))))))))))))))))))))))))))))))))</f>
        <v/>
      </c>
      <c r="BZ3485" s="245" t="s">
        <v>885</v>
      </c>
      <c r="CA3485" s="245" t="s">
        <v>885</v>
      </c>
      <c r="CC3485" s="245" t="s">
        <v>885</v>
      </c>
      <c r="CD3485" s="459" t="s">
        <v>885</v>
      </c>
      <c r="CE3485" s="459" t="s">
        <v>885</v>
      </c>
      <c r="CF3485" s="245" t="s">
        <v>885</v>
      </c>
      <c r="CG3485" s="245" t="s">
        <v>885</v>
      </c>
      <c r="CH3485" s="245" t="s">
        <v>885</v>
      </c>
      <c r="CI3485" s="245" t="s">
        <v>885</v>
      </c>
      <c r="CJ3485" s="459" t="s">
        <v>885</v>
      </c>
      <c r="CK3485" s="459" t="s">
        <v>885</v>
      </c>
      <c r="CL3485" s="459" t="s">
        <v>885</v>
      </c>
      <c r="CM3485" s="459" t="s">
        <v>885</v>
      </c>
      <c r="CN3485" s="459" t="s">
        <v>885</v>
      </c>
      <c r="CO3485" s="459" t="s">
        <v>885</v>
      </c>
      <c r="CP3485" s="459" t="s">
        <v>885</v>
      </c>
      <c r="CQ3485" s="459" t="s">
        <v>885</v>
      </c>
      <c r="CR3485" s="459" t="s">
        <v>885</v>
      </c>
      <c r="CS3485" s="459" t="s">
        <v>885</v>
      </c>
      <c r="CT3485" s="245" t="s">
        <v>885</v>
      </c>
      <c r="CU3485" s="463" t="s">
        <v>885</v>
      </c>
      <c r="CV3485" s="245" t="s">
        <v>885</v>
      </c>
      <c r="CW3485" s="245" t="s">
        <v>885</v>
      </c>
      <c r="CX3485" s="459" t="s">
        <v>885</v>
      </c>
      <c r="CY3485" s="459" t="s">
        <v>885</v>
      </c>
      <c r="CZ3485" s="459" t="s">
        <v>885</v>
      </c>
      <c r="DA3485" s="459" t="s">
        <v>885</v>
      </c>
      <c r="DB3485" s="459" t="s">
        <v>885</v>
      </c>
      <c r="DC3485" s="459" t="s">
        <v>885</v>
      </c>
      <c r="DD3485" s="459" t="s">
        <v>885</v>
      </c>
      <c r="DE3485" s="459" t="s">
        <v>885</v>
      </c>
      <c r="DF3485" s="459" t="s">
        <v>885</v>
      </c>
      <c r="DG3485" s="459" t="s">
        <v>885</v>
      </c>
      <c r="DH3485" s="459" t="s">
        <v>885</v>
      </c>
      <c r="DI3485" s="459" t="s">
        <v>885</v>
      </c>
      <c r="DJ3485" s="459" t="s">
        <v>885</v>
      </c>
      <c r="DK3485" s="459" t="s">
        <v>885</v>
      </c>
      <c r="DL3485" s="459" t="s">
        <v>885</v>
      </c>
      <c r="DM3485" s="459" t="s">
        <v>885</v>
      </c>
      <c r="DN3485" s="459" t="s">
        <v>885</v>
      </c>
      <c r="DO3485" s="459" t="s">
        <v>885</v>
      </c>
      <c r="DP3485" t="s">
        <v>3040</v>
      </c>
      <c r="DQ3485" s="459" t="s">
        <v>885</v>
      </c>
      <c r="DR3485" s="459" t="s">
        <v>885</v>
      </c>
      <c r="DS3485" s="459" t="s">
        <v>885</v>
      </c>
      <c r="DT3485" s="459" t="s">
        <v>885</v>
      </c>
      <c r="DU3485" s="459" t="s">
        <v>885</v>
      </c>
      <c r="DV3485" s="459" t="s">
        <v>885</v>
      </c>
      <c r="DW3485" s="459" t="s">
        <v>885</v>
      </c>
      <c r="DX3485" s="245" t="s">
        <v>885</v>
      </c>
      <c r="DY3485" s="245"/>
      <c r="DZ3485" s="470" t="str">
        <f>IF($B$265=$B$3278,EB3485,IF($B$265=$B$3279,ED3485,IF($B$265=$B$3280,EF3485,IF($B$265=$B$3281,EH3485,IF($B$265=$B$3282,EJ3485,IF($B$265=$B$3283,EL3485,IF($B$265=$B$3284,EN3485,IF($B$265=$B$3285,EP3485,IF($B$265=$B$3286,ER3485,IF($B$265=$B$3287,ET3485,IF($B$265=$B$3288,EV3485,IF($B$265=$B$3289,EX3485,IF($B$265=$B$3290,EZ3485,IF($B$265=$B$3291,FB3485,IF($B$265=$B$3292,FD3485,IF($B$265=$B$3293,BU3485,IF($B$265=$B$3294,FF3485,IF($B$265=$B$3295,FH3485,IF($B$265=$B$3296,FJ3485,IF($B$265=$B$3297,FL3485,IF($B$265=$B$3298,FN3485,IF($B$265=$B$3299,FP3485,IF(BI$265=$B$3300,FR3485,IF($B$265=$B$3301,FT3485,IF($B$265=$B$3302,FV3485,IF($B$265=$B$3303,FX3485,IF($B$265=$B$3304,FZ3485,IF($B$265=$B$3305,GB3485,IF($B$265=$B$3306,GD3485,IF($B$265=$B$3307,GF3485,IF($B$265=$B$3308,GH3485,IF($B$265=$B$3309,GJ3485,IF($B$265=$B$3310,GL3485,IF($B$265=$B$3311,GN3485,IF($B$265=$B$3312,GP3485,IF($B$265=$B$3313,GR3485,IF($B$265=$B$3314,GT3485,IF($B$265=$B$3315,GV3485,IF($B$265=$B$3316,GX3485,IF($B$265=$B$3317,GZ3485,IF($B$265=$B$3318,HB3485,IF($B$265=$B$3319,HD3485,IF($B$265=$B$3320,HF3485,IF($B$265=$B$3321,HH3485,IF($B$265=$B$3322,HJ3485,IF($B$265=$B$3323,HL3485,IF($B$265=$B$3324,HN3485,IF($B$265=$B$3325,HP3485,IF($B$265=$B$3326,HR3485,IF($B$265=$B$3327,HT3485,IF($B$265=$B$3328,HV3485,IF($B$265=$B$3329,HX3485,""))))))))))))))))))))))))))))))))))))))))))))))))))))</f>
        <v/>
      </c>
      <c r="EA3485" s="470" t="str">
        <f>IF($B$265=$B$3278,EC3485,IF($B$265=$B$3279,EE3485,IF($B$265=$B$3280,EG3485,IF($B$265=$B$3281,EI3485,IF($B$265=$B$3282,EK3485,IF($B$265=$B$3283,EM3485,IF($B$265=$B$3284,EO3485,IF($B$265=$B$3285,EQ3485,IF($B$265=$B$3286,ES3485,IF($B$265=$B$3287,EU3485,IF($B$265=$B$3288,EW3485,IF($B$265=$B$3289,EY3485,IF($B$265=$B$3290,FA3485,IF($B$265=$B$3291,FC3485,IF($B$265=$B$3292,FE3485,IF($B$265=$B$3293,BK3485,IF($B$265=$B$3294,FG3485,IF($B$265=$B$3295,FI3485,IF($B$265=$B$3296,FK3485,IF($B$265=$B$3297,FM3485,IF($B$265=$B$3298,FO3485,IF($B$265=$B$3299,FQ3485,IF(BJ$265=$B$3300,FS3485,IF($B$265=$B$3301,FU3485,IF($B$265=$B$3302,FW3485,IF($B$265=$B$3303,FY3485,IF($B$265=$B$3304,GA3485,IF($B$265=$B$3305,GC3485,IF($B$265=$B$3306,GE3485,IF($B$265=$B$3307,GG3485,IF($B$265=$B$3308,GI3485,IF($B$265=$B$3309,GK3485,IF($B$265=$B$3310,GM3485,IF($B$265=$B$3311,GO3485,IF($B$265=$B$3312,GQ3485,IF($B$265=$B$3313,GS3485,IF($B$265=$B$3314,GU3485,IF($B$265=$B$3315,GW3485,IF($B$265=$B$3316,GY3485,IF($B$265=$B$3317,HA3485,IF($B$265=$B$3318,HC3485,IF($B$265=$B$3319,HE3485,IF($B$265=$B$3320,HG3485,IF($B$265=$B$3321,HI3485,IF($B$265=$B$3322,HK3485,IF($B$265=$B$3323,HM3485,IF($B$265=$B$3324,HO3485,IF($B$265=$B$3325,HQ3485,IF($B$265=$B$3326,HS3485,IF($B$265=$B$3327,HU3485,IF($B$265=$B$3328,HW3485,IF($B$265=$B$3329,HY3485,""))))))))))))))))))))))))))))))))))))))))))))))))))))</f>
        <v/>
      </c>
      <c r="EB3485" s="459" t="s">
        <v>885</v>
      </c>
    </row>
    <row r="3486" spans="1:132" ht="16" hidden="1" x14ac:dyDescent="0.4">
      <c r="A3486" s="813"/>
      <c r="BB3486" s="48"/>
      <c r="BS3486" s="464" t="str">
        <f>IF($B$265=B$3278,BZ3485,IF($B$265=B$3279,CA3485,IF($B$265=B$3280,CB3485,IF($B$265=B$3281,CC3485,IF($B$265=B$3282,CD3485,IF($B$265=B$3283,CE3485,IF($B$265=B$3284,CF3485,IF($B$265=B$3285,CG3485,IF($B$265=B$3286,CH3485,IF($B$265=B$3287,CI3485,IF($B$265=B$3288,CJ3485,IF($B$265=B$3289,CK3485,IF($B$265=B$3290,CL3485,IF($B$265=B$3291,CM3485,IF($B$265=B$3292,CN3485,IF($B$265=B$3293,C3485,IF($B$265=B$3294,CO3485,IF($B$265=B$3295,CP3485,IF($B$265=B$3296,CQ3485,IF($B$265=B$3297,CR3485,IF($B$265=B$3298,CS3485,IF($B$265=B$3299,CT3485,IF(B$265=B$3300,CU3485,IF($B$265=B$3301,CV3485,IF($B$265=B$3302,CW3485,IF($B$265=B$3303,CX3485,IF($B$265=B$3304,CY3485,IF($B$265=B$3305,CZ3485,IF($B$265=B$3306,DA3485,IF($B$265=B$3307,DB3485,IF($B$265=B$3308,DC3485,IF($B$265=B$3309,DD3485,IF($B$265=B$3310,DE3485,IF($B$265=B$3311,DF3485,IF($B$265=B$3312,DG3485,IF($B$265=B$3313,DH3485,IF($B$265=B$3314,DI3485,IF($B$265=B$3315,DJ3485,IF($B$265=B$3316,DK3485,IF($B$265=B$3317,DL3485,IF($B$265=B$3318,DM3485,IF($B$265=B$3319,DN3485,IF($B$265=B$3320,DO3485,IF($B$265=B$3321,DP3485,IF($B$265=B$3322,DQ3485,IF($B$265=B$3323,DR3485,IF($B$265=B$3324,DS3485,IF($B$265=B$3325,DT3485,IF($B$265=B$3326,DU3485,IF($B$265=B$3327,DV3485,IF($B$265=B$3328,DW3485,IF($B$265=B$3329,DX3485,""))))))))))))))))))))))))))))))))))))))))))))))))))))</f>
        <v/>
      </c>
      <c r="BZ3486" s="245" t="s">
        <v>885</v>
      </c>
      <c r="CA3486" s="245" t="s">
        <v>885</v>
      </c>
      <c r="CC3486" s="245" t="s">
        <v>885</v>
      </c>
      <c r="CD3486" s="459" t="s">
        <v>885</v>
      </c>
      <c r="CE3486" s="459" t="s">
        <v>885</v>
      </c>
      <c r="CF3486" s="245" t="s">
        <v>885</v>
      </c>
      <c r="CG3486" s="245" t="s">
        <v>885</v>
      </c>
      <c r="CH3486" s="245" t="s">
        <v>885</v>
      </c>
      <c r="CI3486" s="245" t="s">
        <v>885</v>
      </c>
      <c r="CJ3486" s="459" t="s">
        <v>885</v>
      </c>
      <c r="CK3486" s="459" t="s">
        <v>885</v>
      </c>
      <c r="CL3486" s="459" t="s">
        <v>885</v>
      </c>
      <c r="CM3486" s="459" t="s">
        <v>885</v>
      </c>
      <c r="CN3486" s="459" t="s">
        <v>885</v>
      </c>
      <c r="CO3486" s="459" t="s">
        <v>885</v>
      </c>
      <c r="CP3486" s="459" t="s">
        <v>885</v>
      </c>
      <c r="CQ3486" s="459" t="s">
        <v>885</v>
      </c>
      <c r="CR3486" s="459" t="s">
        <v>885</v>
      </c>
      <c r="CS3486" s="459" t="s">
        <v>885</v>
      </c>
      <c r="CT3486" s="245" t="s">
        <v>885</v>
      </c>
      <c r="CU3486" s="463" t="s">
        <v>885</v>
      </c>
      <c r="CV3486" s="245" t="s">
        <v>885</v>
      </c>
      <c r="CW3486" s="245" t="s">
        <v>885</v>
      </c>
      <c r="CX3486" s="459" t="s">
        <v>885</v>
      </c>
      <c r="CY3486" s="459" t="s">
        <v>885</v>
      </c>
      <c r="CZ3486" s="459" t="s">
        <v>885</v>
      </c>
      <c r="DA3486" s="459" t="s">
        <v>885</v>
      </c>
      <c r="DB3486" s="459" t="s">
        <v>885</v>
      </c>
      <c r="DC3486" s="459" t="s">
        <v>885</v>
      </c>
      <c r="DD3486" s="459" t="s">
        <v>885</v>
      </c>
      <c r="DE3486" s="459" t="s">
        <v>885</v>
      </c>
      <c r="DF3486" s="459" t="s">
        <v>885</v>
      </c>
      <c r="DG3486" s="459" t="s">
        <v>885</v>
      </c>
      <c r="DH3486" s="459" t="s">
        <v>885</v>
      </c>
      <c r="DI3486" s="459" t="s">
        <v>885</v>
      </c>
      <c r="DJ3486" s="459" t="s">
        <v>885</v>
      </c>
      <c r="DK3486" s="459" t="s">
        <v>885</v>
      </c>
      <c r="DL3486" s="459" t="s">
        <v>885</v>
      </c>
      <c r="DM3486" s="459" t="s">
        <v>885</v>
      </c>
      <c r="DN3486" s="459" t="s">
        <v>885</v>
      </c>
      <c r="DO3486" s="459" t="s">
        <v>885</v>
      </c>
      <c r="DP3486" t="s">
        <v>3041</v>
      </c>
      <c r="DQ3486" s="459" t="s">
        <v>885</v>
      </c>
      <c r="DR3486" s="459" t="s">
        <v>885</v>
      </c>
      <c r="DS3486" s="459" t="s">
        <v>885</v>
      </c>
      <c r="DT3486" s="459" t="s">
        <v>885</v>
      </c>
      <c r="DU3486" s="459" t="s">
        <v>885</v>
      </c>
      <c r="DV3486" s="459" t="s">
        <v>885</v>
      </c>
      <c r="DW3486" s="459" t="s">
        <v>885</v>
      </c>
      <c r="DX3486" s="245" t="s">
        <v>885</v>
      </c>
      <c r="DY3486" s="245"/>
      <c r="DZ3486" s="470" t="str">
        <f>IF($B$265=$B$3278,EB3486,IF($B$265=$B$3279,ED3486,IF($B$265=$B$3280,EF3486,IF($B$265=$B$3281,EH3486,IF($B$265=$B$3282,EJ3486,IF($B$265=$B$3283,EL3486,IF($B$265=$B$3284,EN3486,IF($B$265=$B$3285,EP3486,IF($B$265=$B$3286,ER3486,IF($B$265=$B$3287,ET3486,IF($B$265=$B$3288,EV3486,IF($B$265=$B$3289,EX3486,IF($B$265=$B$3290,EZ3486,IF($B$265=$B$3291,FB3486,IF($B$265=$B$3292,FD3486,IF($B$265=$B$3293,BU3486,IF($B$265=$B$3294,FF3486,IF($B$265=$B$3295,FH3486,IF($B$265=$B$3296,FJ3486,IF($B$265=$B$3297,FL3486,IF($B$265=$B$3298,FN3486,IF($B$265=$B$3299,FP3486,IF(BI$265=$B$3300,FR3486,IF($B$265=$B$3301,FT3486,IF($B$265=$B$3302,FV3486,IF($B$265=$B$3303,FX3486,IF($B$265=$B$3304,FZ3486,IF($B$265=$B$3305,GB3486,IF($B$265=$B$3306,GD3486,IF($B$265=$B$3307,GF3486,IF($B$265=$B$3308,GH3486,IF($B$265=$B$3309,GJ3486,IF($B$265=$B$3310,GL3486,IF($B$265=$B$3311,GN3486,IF($B$265=$B$3312,GP3486,IF($B$265=$B$3313,GR3486,IF($B$265=$B$3314,GT3486,IF($B$265=$B$3315,GV3486,IF($B$265=$B$3316,GX3486,IF($B$265=$B$3317,GZ3486,IF($B$265=$B$3318,HB3486,IF($B$265=$B$3319,HD3486,IF($B$265=$B$3320,HF3486,IF($B$265=$B$3321,HH3486,IF($B$265=$B$3322,HJ3486,IF($B$265=$B$3323,HL3486,IF($B$265=$B$3324,HN3486,IF($B$265=$B$3325,HP3486,IF($B$265=$B$3326,HR3486,IF($B$265=$B$3327,HT3486,IF($B$265=$B$3328,HV3486,IF($B$265=$B$3329,HX3486,""))))))))))))))))))))))))))))))))))))))))))))))))))))</f>
        <v/>
      </c>
      <c r="EA3486" s="470" t="str">
        <f>IF($B$265=$B$3278,EC3486,IF($B$265=$B$3279,EE3486,IF($B$265=$B$3280,EG3486,IF($B$265=$B$3281,EI3486,IF($B$265=$B$3282,EK3486,IF($B$265=$B$3283,EM3486,IF($B$265=$B$3284,EO3486,IF($B$265=$B$3285,EQ3486,IF($B$265=$B$3286,ES3486,IF($B$265=$B$3287,EU3486,IF($B$265=$B$3288,EW3486,IF($B$265=$B$3289,EY3486,IF($B$265=$B$3290,FA3486,IF($B$265=$B$3291,FC3486,IF($B$265=$B$3292,FE3486,IF($B$265=$B$3293,BK3486,IF($B$265=$B$3294,FG3486,IF($B$265=$B$3295,FI3486,IF($B$265=$B$3296,FK3486,IF($B$265=$B$3297,FM3486,IF($B$265=$B$3298,FO3486,IF($B$265=$B$3299,FQ3486,IF(BJ$265=$B$3300,FS3486,IF($B$265=$B$3301,FU3486,IF($B$265=$B$3302,FW3486,IF($B$265=$B$3303,FY3486,IF($B$265=$B$3304,GA3486,IF($B$265=$B$3305,GC3486,IF($B$265=$B$3306,GE3486,IF($B$265=$B$3307,GG3486,IF($B$265=$B$3308,GI3486,IF($B$265=$B$3309,GK3486,IF($B$265=$B$3310,GM3486,IF($B$265=$B$3311,GO3486,IF($B$265=$B$3312,GQ3486,IF($B$265=$B$3313,GS3486,IF($B$265=$B$3314,GU3486,IF($B$265=$B$3315,GW3486,IF($B$265=$B$3316,GY3486,IF($B$265=$B$3317,HA3486,IF($B$265=$B$3318,HC3486,IF($B$265=$B$3319,HE3486,IF($B$265=$B$3320,HG3486,IF($B$265=$B$3321,HI3486,IF($B$265=$B$3322,HK3486,IF($B$265=$B$3323,HM3486,IF($B$265=$B$3324,HO3486,IF($B$265=$B$3325,HQ3486,IF($B$265=$B$3326,HS3486,IF($B$265=$B$3327,HU3486,IF($B$265=$B$3328,HW3486,IF($B$265=$B$3329,HY3486,""))))))))))))))))))))))))))))))))))))))))))))))))))))</f>
        <v/>
      </c>
      <c r="EB3486" s="459" t="s">
        <v>885</v>
      </c>
    </row>
    <row r="3487" spans="1:132" ht="16" hidden="1" x14ac:dyDescent="0.4">
      <c r="A3487" s="813"/>
      <c r="BB3487" s="48"/>
      <c r="BS3487" s="464" t="str">
        <f>IF($B$265=B$3278,BZ3486,IF($B$265=B$3279,CA3486,IF($B$265=B$3280,CB3486,IF($B$265=B$3281,CC3486,IF($B$265=B$3282,CD3486,IF($B$265=B$3283,CE3486,IF($B$265=B$3284,CF3486,IF($B$265=B$3285,CG3486,IF($B$265=B$3286,CH3486,IF($B$265=B$3287,CI3486,IF($B$265=B$3288,CJ3486,IF($B$265=B$3289,CK3486,IF($B$265=B$3290,CL3486,IF($B$265=B$3291,CM3486,IF($B$265=B$3292,CN3486,IF($B$265=B$3293,B2723,IF($B$265=B$3294,CO3486,IF($B$265=B$3295,CP3486,IF($B$265=B$3296,CQ3486,IF($B$265=B$3297,CR3486,IF($B$265=B$3298,CS3486,IF($B$265=B$3299,CT3486,IF(B$265=B$3300,CU3486,IF($B$265=B$3301,CV3486,IF($B$265=B$3302,CW3486,IF($B$265=B$3303,CX3486,IF($B$265=B$3304,CY3486,IF($B$265=B$3305,CZ3486,IF($B$265=B$3306,DA3486,IF($B$265=B$3307,DB3486,IF($B$265=B$3308,DC3486,IF($B$265=B$3309,DD3486,IF($B$265=B$3310,DE3486,IF($B$265=B$3311,DF3486,IF($B$265=B$3312,DG3486,IF($B$265=B$3313,DH3486,IF($B$265=B$3314,DI3486,IF($B$265=B$3315,DJ3486,IF($B$265=B$3316,DK3486,IF($B$265=B$3317,DL3486,IF($B$265=B$3318,DM3486,IF($B$265=B$3319,DN3486,IF($B$265=B$3320,DO3486,IF($B$265=B$3321,DP3486,IF($B$265=B$3322,DQ3486,IF($B$265=B$3323,DR3486,IF($B$265=B$3324,DS3486,IF($B$265=B$3325,DT3486,IF($B$265=B$3326,DU3486,IF($B$265=B$3327,DV3486,IF($B$265=B$3328,DW3486,IF($B$265=B$3329,DX3486,""))))))))))))))))))))))))))))))))))))))))))))))))))))</f>
        <v/>
      </c>
      <c r="BZ3487" s="245" t="s">
        <v>885</v>
      </c>
      <c r="CA3487" s="245" t="s">
        <v>885</v>
      </c>
      <c r="CC3487" s="245" t="s">
        <v>885</v>
      </c>
      <c r="CD3487" s="459" t="s">
        <v>885</v>
      </c>
      <c r="CE3487" s="459" t="s">
        <v>885</v>
      </c>
      <c r="CF3487" s="245" t="s">
        <v>885</v>
      </c>
      <c r="CG3487" s="245" t="s">
        <v>885</v>
      </c>
      <c r="CH3487" s="245" t="s">
        <v>885</v>
      </c>
      <c r="CI3487" s="245" t="s">
        <v>885</v>
      </c>
      <c r="CJ3487" s="459" t="s">
        <v>885</v>
      </c>
      <c r="CK3487" s="459" t="s">
        <v>885</v>
      </c>
      <c r="CL3487" s="459" t="s">
        <v>885</v>
      </c>
      <c r="CM3487" s="459" t="s">
        <v>885</v>
      </c>
      <c r="CN3487" s="459" t="s">
        <v>885</v>
      </c>
      <c r="CO3487" s="459" t="s">
        <v>885</v>
      </c>
      <c r="CP3487" s="459" t="s">
        <v>885</v>
      </c>
      <c r="CQ3487" s="459" t="s">
        <v>885</v>
      </c>
      <c r="CR3487" s="459" t="s">
        <v>885</v>
      </c>
      <c r="CS3487" s="459" t="s">
        <v>885</v>
      </c>
      <c r="CT3487" s="245" t="s">
        <v>885</v>
      </c>
      <c r="CU3487" s="463" t="s">
        <v>885</v>
      </c>
      <c r="CV3487" s="245" t="s">
        <v>885</v>
      </c>
      <c r="CW3487" s="245" t="s">
        <v>885</v>
      </c>
      <c r="CX3487" s="459" t="s">
        <v>885</v>
      </c>
      <c r="CY3487" s="459" t="s">
        <v>885</v>
      </c>
      <c r="CZ3487" s="459" t="s">
        <v>885</v>
      </c>
      <c r="DA3487" s="459" t="s">
        <v>885</v>
      </c>
      <c r="DB3487" s="459" t="s">
        <v>885</v>
      </c>
      <c r="DC3487" s="459" t="s">
        <v>885</v>
      </c>
      <c r="DD3487" s="459" t="s">
        <v>885</v>
      </c>
      <c r="DE3487" s="459" t="s">
        <v>885</v>
      </c>
      <c r="DF3487" s="459" t="s">
        <v>885</v>
      </c>
      <c r="DG3487" s="459" t="s">
        <v>885</v>
      </c>
      <c r="DH3487" s="459" t="s">
        <v>885</v>
      </c>
      <c r="DI3487" s="459" t="s">
        <v>885</v>
      </c>
      <c r="DJ3487" s="459" t="s">
        <v>885</v>
      </c>
      <c r="DK3487" s="459" t="s">
        <v>885</v>
      </c>
      <c r="DL3487" s="459" t="s">
        <v>885</v>
      </c>
      <c r="DM3487" s="459" t="s">
        <v>885</v>
      </c>
      <c r="DN3487" s="459" t="s">
        <v>885</v>
      </c>
      <c r="DO3487" s="459" t="s">
        <v>885</v>
      </c>
      <c r="DP3487" t="s">
        <v>1567</v>
      </c>
      <c r="DQ3487" s="459" t="s">
        <v>885</v>
      </c>
      <c r="DR3487" s="459" t="s">
        <v>885</v>
      </c>
      <c r="DS3487" s="459" t="s">
        <v>885</v>
      </c>
      <c r="DT3487" s="459" t="s">
        <v>885</v>
      </c>
      <c r="DU3487" s="459" t="s">
        <v>885</v>
      </c>
      <c r="DV3487" s="459" t="s">
        <v>885</v>
      </c>
      <c r="DW3487" s="459" t="s">
        <v>885</v>
      </c>
      <c r="DX3487" s="245" t="s">
        <v>885</v>
      </c>
      <c r="DY3487" s="245"/>
      <c r="DZ3487" s="470" t="str">
        <f>IF($B$265=$B$3278,EB3487,IF($B$265=$B$3279,ED3487,IF($B$265=$B$3280,EF3487,IF($B$265=$B$3281,EH3487,IF($B$265=$B$3282,EJ3487,IF($B$265=$B$3283,EL3487,IF($B$265=$B$3284,EN3487,IF($B$265=$B$3285,EP3487,IF($B$265=$B$3286,ER3487,IF($B$265=$B$3287,ET3487,IF($B$265=$B$3288,EV3487,IF($B$265=$B$3289,EX3487,IF($B$265=$B$3290,EZ3487,IF($B$265=$B$3291,FB3487,IF($B$265=$B$3292,FD3487,IF($B$265=$B$3293,BU3487,IF($B$265=$B$3294,FF3487,IF($B$265=$B$3295,FH3487,IF($B$265=$B$3296,FJ3487,IF($B$265=$B$3297,FL3487,IF($B$265=$B$3298,FN3487,IF($B$265=$B$3299,FP3487,IF(BI$265=$B$3300,FR3487,IF($B$265=$B$3301,FT3487,IF($B$265=$B$3302,FV3487,IF($B$265=$B$3303,FX3487,IF($B$265=$B$3304,FZ3487,IF($B$265=$B$3305,GB3487,IF($B$265=$B$3306,GD3487,IF($B$265=$B$3307,GF3487,IF($B$265=$B$3308,GH3487,IF($B$265=$B$3309,GJ3487,IF($B$265=$B$3310,GL3487,IF($B$265=$B$3311,GN3487,IF($B$265=$B$3312,GP3487,IF($B$265=$B$3313,GR3487,IF($B$265=$B$3314,GT3487,IF($B$265=$B$3315,GV3487,IF($B$265=$B$3316,GX3487,IF($B$265=$B$3317,GZ3487,IF($B$265=$B$3318,HB3487,IF($B$265=$B$3319,HD3487,IF($B$265=$B$3320,HF3487,IF($B$265=$B$3321,HH3487,IF($B$265=$B$3322,HJ3487,IF($B$265=$B$3323,HL3487,IF($B$265=$B$3324,HN3487,IF($B$265=$B$3325,HP3487,IF($B$265=$B$3326,HR3487,IF($B$265=$B$3327,HT3487,IF($B$265=$B$3328,HV3487,IF($B$265=$B$3329,HX3487,""))))))))))))))))))))))))))))))))))))))))))))))))))))</f>
        <v/>
      </c>
      <c r="EA3487" s="470" t="str">
        <f>IF($B$265=$B$3278,EC3487,IF($B$265=$B$3279,EE3487,IF($B$265=$B$3280,EG3487,IF($B$265=$B$3281,EI3487,IF($B$265=$B$3282,EK3487,IF($B$265=$B$3283,EM3487,IF($B$265=$B$3284,EO3487,IF($B$265=$B$3285,EQ3487,IF($B$265=$B$3286,ES3487,IF($B$265=$B$3287,EU3487,IF($B$265=$B$3288,EW3487,IF($B$265=$B$3289,EY3487,IF($B$265=$B$3290,FA3487,IF($B$265=$B$3291,FC3487,IF($B$265=$B$3292,FE3487,IF($B$265=$B$3293,BK3487,IF($B$265=$B$3294,FG3487,IF($B$265=$B$3295,FI3487,IF($B$265=$B$3296,FK3487,IF($B$265=$B$3297,FM3487,IF($B$265=$B$3298,FO3487,IF($B$265=$B$3299,FQ3487,IF(BJ$265=$B$3300,FS3487,IF($B$265=$B$3301,FU3487,IF($B$265=$B$3302,FW3487,IF($B$265=$B$3303,FY3487,IF($B$265=$B$3304,GA3487,IF($B$265=$B$3305,GC3487,IF($B$265=$B$3306,GE3487,IF($B$265=$B$3307,GG3487,IF($B$265=$B$3308,GI3487,IF($B$265=$B$3309,GK3487,IF($B$265=$B$3310,GM3487,IF($B$265=$B$3311,GO3487,IF($B$265=$B$3312,GQ3487,IF($B$265=$B$3313,GS3487,IF($B$265=$B$3314,GU3487,IF($B$265=$B$3315,GW3487,IF($B$265=$B$3316,GY3487,IF($B$265=$B$3317,HA3487,IF($B$265=$B$3318,HC3487,IF($B$265=$B$3319,HE3487,IF($B$265=$B$3320,HG3487,IF($B$265=$B$3321,HI3487,IF($B$265=$B$3322,HK3487,IF($B$265=$B$3323,HM3487,IF($B$265=$B$3324,HO3487,IF($B$265=$B$3325,HQ3487,IF($B$265=$B$3326,HS3487,IF($B$265=$B$3327,HU3487,IF($B$265=$B$3328,HW3487,IF($B$265=$B$3329,HY3487,""))))))))))))))))))))))))))))))))))))))))))))))))))))</f>
        <v/>
      </c>
      <c r="EB3487" s="459" t="s">
        <v>885</v>
      </c>
    </row>
    <row r="3488" spans="1:132" ht="16" hidden="1" x14ac:dyDescent="0.4">
      <c r="A3488" s="813"/>
      <c r="BB3488" s="48"/>
      <c r="BS3488" s="464" t="str">
        <f>IF($B$265=B$3278,BZ3487,IF($B$265=B$3279,CA3487,IF($B$265=B$3280,CB3487,IF($B$265=B$3281,CC3487,IF($B$265=B$3282,CD3487,IF($B$265=B$3283,CE3487,IF($B$265=B$3284,CF3487,IF($B$265=B$3285,CG3487,IF($B$265=B$3286,CH3487,IF($B$265=B$3287,CI3487,IF($B$265=B$3288,CJ3487,IF($B$265=B$3289,CK3487,IF($B$265=B$3290,CL3487,IF($B$265=B$3291,CM3487,IF($B$265=B$3292,CN3487,IF($B$265=B$3293,B2724,IF($B$265=B$3294,CO3487,IF($B$265=B$3295,CP3487,IF($B$265=B$3296,CQ3487,IF($B$265=B$3297,CR3487,IF($B$265=B$3298,CS3487,IF($B$265=B$3299,CT3487,IF(B$265=B$3300,CU3487,IF($B$265=B$3301,CV3487,IF($B$265=B$3302,CW3487,IF($B$265=B$3303,CX3487,IF($B$265=B$3304,CY3487,IF($B$265=B$3305,CZ3487,IF($B$265=B$3306,DA3487,IF($B$265=B$3307,DB3487,IF($B$265=B$3308,DC3487,IF($B$265=B$3309,DD3487,IF($B$265=B$3310,DE3487,IF($B$265=B$3311,DF3487,IF($B$265=B$3312,DG3487,IF($B$265=B$3313,DH3487,IF($B$265=B$3314,DI3487,IF($B$265=B$3315,DJ3487,IF($B$265=B$3316,DK3487,IF($B$265=B$3317,DL3487,IF($B$265=B$3318,DM3487,IF($B$265=B$3319,DN3487,IF($B$265=B$3320,DO3487,IF($B$265=B$3321,DP3487,IF($B$265=B$3322,DQ3487,IF($B$265=B$3323,DR3487,IF($B$265=B$3324,DS3487,IF($B$265=B$3325,DT3487,IF($B$265=B$3326,DU3487,IF($B$265=B$3327,DV3487,IF($B$265=B$3328,DW3487,IF($B$265=B$3329,DX3487,""))))))))))))))))))))))))))))))))))))))))))))))))))))</f>
        <v/>
      </c>
      <c r="BZ3488" s="245" t="s">
        <v>885</v>
      </c>
      <c r="CA3488" s="245" t="s">
        <v>885</v>
      </c>
      <c r="CC3488" s="245" t="s">
        <v>885</v>
      </c>
      <c r="CD3488" s="459" t="s">
        <v>885</v>
      </c>
      <c r="CE3488" s="459" t="s">
        <v>885</v>
      </c>
      <c r="CF3488" s="245" t="s">
        <v>885</v>
      </c>
      <c r="CG3488" s="245" t="s">
        <v>885</v>
      </c>
      <c r="CH3488" s="245" t="s">
        <v>885</v>
      </c>
      <c r="CI3488" s="245" t="s">
        <v>885</v>
      </c>
      <c r="CJ3488" s="459" t="s">
        <v>885</v>
      </c>
      <c r="CK3488" s="459" t="s">
        <v>885</v>
      </c>
      <c r="CL3488" s="459" t="s">
        <v>885</v>
      </c>
      <c r="CM3488" s="459" t="s">
        <v>885</v>
      </c>
      <c r="CN3488" s="459" t="s">
        <v>885</v>
      </c>
      <c r="CO3488" s="459" t="s">
        <v>885</v>
      </c>
      <c r="CP3488" s="459" t="s">
        <v>885</v>
      </c>
      <c r="CQ3488" s="459" t="s">
        <v>885</v>
      </c>
      <c r="CR3488" s="459" t="s">
        <v>885</v>
      </c>
      <c r="CS3488" s="459" t="s">
        <v>885</v>
      </c>
      <c r="CT3488" s="245" t="s">
        <v>885</v>
      </c>
      <c r="CU3488" s="463" t="s">
        <v>885</v>
      </c>
      <c r="CV3488" s="245" t="s">
        <v>885</v>
      </c>
      <c r="CW3488" s="245" t="s">
        <v>885</v>
      </c>
      <c r="CX3488" s="459" t="s">
        <v>885</v>
      </c>
      <c r="CY3488" s="459" t="s">
        <v>885</v>
      </c>
      <c r="CZ3488" s="459" t="s">
        <v>885</v>
      </c>
      <c r="DA3488" s="459" t="s">
        <v>885</v>
      </c>
      <c r="DB3488" s="459" t="s">
        <v>885</v>
      </c>
      <c r="DC3488" s="459" t="s">
        <v>885</v>
      </c>
      <c r="DD3488" s="459" t="s">
        <v>885</v>
      </c>
      <c r="DE3488" s="459" t="s">
        <v>885</v>
      </c>
      <c r="DF3488" s="459" t="s">
        <v>885</v>
      </c>
      <c r="DG3488" s="459" t="s">
        <v>885</v>
      </c>
      <c r="DH3488" s="459" t="s">
        <v>885</v>
      </c>
      <c r="DI3488" s="459" t="s">
        <v>885</v>
      </c>
      <c r="DJ3488" s="459" t="s">
        <v>885</v>
      </c>
      <c r="DK3488" s="459" t="s">
        <v>885</v>
      </c>
      <c r="DL3488" s="459" t="s">
        <v>885</v>
      </c>
      <c r="DM3488" s="459" t="s">
        <v>885</v>
      </c>
      <c r="DN3488" s="459" t="s">
        <v>885</v>
      </c>
      <c r="DO3488" s="459" t="s">
        <v>885</v>
      </c>
      <c r="DP3488" t="s">
        <v>2831</v>
      </c>
      <c r="DQ3488" s="459" t="s">
        <v>885</v>
      </c>
      <c r="DR3488" s="459" t="s">
        <v>885</v>
      </c>
      <c r="DS3488" s="459" t="s">
        <v>885</v>
      </c>
      <c r="DT3488" s="459" t="s">
        <v>885</v>
      </c>
      <c r="DU3488" s="459" t="s">
        <v>885</v>
      </c>
      <c r="DV3488" s="459" t="s">
        <v>885</v>
      </c>
      <c r="DW3488" s="459" t="s">
        <v>885</v>
      </c>
      <c r="DX3488" s="245" t="s">
        <v>885</v>
      </c>
      <c r="DY3488" s="245"/>
      <c r="DZ3488" s="470" t="str">
        <f>IF($B$265=$B$3278,EB3488,IF($B$265=$B$3279,ED3488,IF($B$265=$B$3280,EF3488,IF($B$265=$B$3281,EH3488,IF($B$265=$B$3282,EJ3488,IF($B$265=$B$3283,EL3488,IF($B$265=$B$3284,EN3488,IF($B$265=$B$3285,EP3488,IF($B$265=$B$3286,ER3488,IF($B$265=$B$3287,ET3488,IF($B$265=$B$3288,EV3488,IF($B$265=$B$3289,EX3488,IF($B$265=$B$3290,EZ3488,IF($B$265=$B$3291,FB3488,IF($B$265=$B$3292,FD3488,IF($B$265=$B$3293,BU3488,IF($B$265=$B$3294,FF3488,IF($B$265=$B$3295,FH3488,IF($B$265=$B$3296,FJ3488,IF($B$265=$B$3297,FL3488,IF($B$265=$B$3298,FN3488,IF($B$265=$B$3299,FP3488,IF(BI$265=$B$3300,FR3488,IF($B$265=$B$3301,FT3488,IF($B$265=$B$3302,FV3488,IF($B$265=$B$3303,FX3488,IF($B$265=$B$3304,FZ3488,IF($B$265=$B$3305,GB3488,IF($B$265=$B$3306,GD3488,IF($B$265=$B$3307,GF3488,IF($B$265=$B$3308,GH3488,IF($B$265=$B$3309,GJ3488,IF($B$265=$B$3310,GL3488,IF($B$265=$B$3311,GN3488,IF($B$265=$B$3312,GP3488,IF($B$265=$B$3313,GR3488,IF($B$265=$B$3314,GT3488,IF($B$265=$B$3315,GV3488,IF($B$265=$B$3316,GX3488,IF($B$265=$B$3317,GZ3488,IF($B$265=$B$3318,HB3488,IF($B$265=$B$3319,HD3488,IF($B$265=$B$3320,HF3488,IF($B$265=$B$3321,HH3488,IF($B$265=$B$3322,HJ3488,IF($B$265=$B$3323,HL3488,IF($B$265=$B$3324,HN3488,IF($B$265=$B$3325,HP3488,IF($B$265=$B$3326,HR3488,IF($B$265=$B$3327,HT3488,IF($B$265=$B$3328,HV3488,IF($B$265=$B$3329,HX3488,""))))))))))))))))))))))))))))))))))))))))))))))))))))</f>
        <v/>
      </c>
      <c r="EA3488" s="470" t="str">
        <f>IF($B$265=$B$3278,EC3488,IF($B$265=$B$3279,EE3488,IF($B$265=$B$3280,EG3488,IF($B$265=$B$3281,EI3488,IF($B$265=$B$3282,EK3488,IF($B$265=$B$3283,EM3488,IF($B$265=$B$3284,EO3488,IF($B$265=$B$3285,EQ3488,IF($B$265=$B$3286,ES3488,IF($B$265=$B$3287,EU3488,IF($B$265=$B$3288,EW3488,IF($B$265=$B$3289,EY3488,IF($B$265=$B$3290,FA3488,IF($B$265=$B$3291,FC3488,IF($B$265=$B$3292,FE3488,IF($B$265=$B$3293,BK3488,IF($B$265=$B$3294,FG3488,IF($B$265=$B$3295,FI3488,IF($B$265=$B$3296,FK3488,IF($B$265=$B$3297,FM3488,IF($B$265=$B$3298,FO3488,IF($B$265=$B$3299,FQ3488,IF(BJ$265=$B$3300,FS3488,IF($B$265=$B$3301,FU3488,IF($B$265=$B$3302,FW3488,IF($B$265=$B$3303,FY3488,IF($B$265=$B$3304,GA3488,IF($B$265=$B$3305,GC3488,IF($B$265=$B$3306,GE3488,IF($B$265=$B$3307,GG3488,IF($B$265=$B$3308,GI3488,IF($B$265=$B$3309,GK3488,IF($B$265=$B$3310,GM3488,IF($B$265=$B$3311,GO3488,IF($B$265=$B$3312,GQ3488,IF($B$265=$B$3313,GS3488,IF($B$265=$B$3314,GU3488,IF($B$265=$B$3315,GW3488,IF($B$265=$B$3316,GY3488,IF($B$265=$B$3317,HA3488,IF($B$265=$B$3318,HC3488,IF($B$265=$B$3319,HE3488,IF($B$265=$B$3320,HG3488,IF($B$265=$B$3321,HI3488,IF($B$265=$B$3322,HK3488,IF($B$265=$B$3323,HM3488,IF($B$265=$B$3324,HO3488,IF($B$265=$B$3325,HQ3488,IF($B$265=$B$3326,HS3488,IF($B$265=$B$3327,HU3488,IF($B$265=$B$3328,HW3488,IF($B$265=$B$3329,HY3488,""))))))))))))))))))))))))))))))))))))))))))))))))))))</f>
        <v/>
      </c>
      <c r="EB3488" s="459" t="s">
        <v>885</v>
      </c>
    </row>
    <row r="3489" spans="1:132" ht="16" hidden="1" x14ac:dyDescent="0.4">
      <c r="A3489" s="813"/>
      <c r="BB3489" s="48"/>
      <c r="BS3489" s="464" t="str">
        <f>IF($B$265=B$3278,BZ3488,IF($B$265=B$3279,CA3488,IF($B$265=B$3280,CB3488,IF($B$265=B$3281,CC3488,IF($B$265=B$3282,CD3488,IF($B$265=B$3283,CE3488,IF($B$265=B$3284,CF3488,IF($B$265=B$3285,CG3488,IF($B$265=B$3286,CH3488,IF($B$265=B$3287,CI3488,IF($B$265=B$3288,CJ3488,IF($B$265=B$3289,CK3488,IF($B$265=B$3290,CL3488,IF($B$265=B$3291,CM3488,IF($B$265=B$3292,CN3488,IF($B$265=B$3293,B2725,IF($B$265=B$3294,CO3488,IF($B$265=B$3295,CP3488,IF($B$265=B$3296,CQ3488,IF($B$265=B$3297,CR3488,IF($B$265=B$3298,CS3488,IF($B$265=B$3299,CT3488,IF(B$265=B$3300,CU3488,IF($B$265=B$3301,CV3488,IF($B$265=B$3302,CW3488,IF($B$265=B$3303,CX3488,IF($B$265=B$3304,CY3488,IF($B$265=B$3305,CZ3488,IF($B$265=B$3306,DA3488,IF($B$265=B$3307,DB3488,IF($B$265=B$3308,DC3488,IF($B$265=B$3309,DD3488,IF($B$265=B$3310,DE3488,IF($B$265=B$3311,DF3488,IF($B$265=B$3312,DG3488,IF($B$265=B$3313,DH3488,IF($B$265=B$3314,DI3488,IF($B$265=B$3315,DJ3488,IF($B$265=B$3316,DK3488,IF($B$265=B$3317,DL3488,IF($B$265=B$3318,DM3488,IF($B$265=B$3319,DN3488,IF($B$265=B$3320,DO3488,IF($B$265=B$3321,DP3488,IF($B$265=B$3322,DQ3488,IF($B$265=B$3323,DR3488,IF($B$265=B$3324,DS3488,IF($B$265=B$3325,DT3488,IF($B$265=B$3326,DU3488,IF($B$265=B$3327,DV3488,IF($B$265=B$3328,DW3488,IF($B$265=B$3329,DX3488,""))))))))))))))))))))))))))))))))))))))))))))))))))))</f>
        <v/>
      </c>
      <c r="BZ3489" s="245" t="s">
        <v>885</v>
      </c>
      <c r="CA3489" s="245" t="s">
        <v>885</v>
      </c>
      <c r="CC3489" s="245" t="s">
        <v>885</v>
      </c>
      <c r="CD3489" s="459" t="s">
        <v>885</v>
      </c>
      <c r="CE3489" s="459" t="s">
        <v>885</v>
      </c>
      <c r="CF3489" s="245" t="s">
        <v>885</v>
      </c>
      <c r="CG3489" s="245" t="s">
        <v>885</v>
      </c>
      <c r="CH3489" s="245" t="s">
        <v>885</v>
      </c>
      <c r="CI3489" s="245" t="s">
        <v>885</v>
      </c>
      <c r="CJ3489" s="459" t="s">
        <v>885</v>
      </c>
      <c r="CK3489" s="459" t="s">
        <v>885</v>
      </c>
      <c r="CL3489" s="459" t="s">
        <v>885</v>
      </c>
      <c r="CM3489" s="459" t="s">
        <v>885</v>
      </c>
      <c r="CN3489" s="459" t="s">
        <v>885</v>
      </c>
      <c r="CO3489" s="459" t="s">
        <v>885</v>
      </c>
      <c r="CP3489" s="459" t="s">
        <v>885</v>
      </c>
      <c r="CQ3489" s="459" t="s">
        <v>885</v>
      </c>
      <c r="CR3489" s="459" t="s">
        <v>885</v>
      </c>
      <c r="CS3489" s="459" t="s">
        <v>885</v>
      </c>
      <c r="CT3489" s="245" t="s">
        <v>885</v>
      </c>
      <c r="CU3489" s="463" t="s">
        <v>885</v>
      </c>
      <c r="CV3489" s="245" t="s">
        <v>885</v>
      </c>
      <c r="CW3489" s="245" t="s">
        <v>885</v>
      </c>
      <c r="CX3489" s="459" t="s">
        <v>885</v>
      </c>
      <c r="CY3489" s="459" t="s">
        <v>885</v>
      </c>
      <c r="CZ3489" s="459" t="s">
        <v>885</v>
      </c>
      <c r="DA3489" s="459" t="s">
        <v>885</v>
      </c>
      <c r="DB3489" s="459" t="s">
        <v>885</v>
      </c>
      <c r="DC3489" s="459" t="s">
        <v>885</v>
      </c>
      <c r="DD3489" s="459" t="s">
        <v>885</v>
      </c>
      <c r="DE3489" s="459" t="s">
        <v>885</v>
      </c>
      <c r="DF3489" s="459" t="s">
        <v>885</v>
      </c>
      <c r="DG3489" s="459" t="s">
        <v>885</v>
      </c>
      <c r="DH3489" s="459" t="s">
        <v>885</v>
      </c>
      <c r="DI3489" s="459" t="s">
        <v>885</v>
      </c>
      <c r="DJ3489" s="459" t="s">
        <v>885</v>
      </c>
      <c r="DK3489" s="459" t="s">
        <v>885</v>
      </c>
      <c r="DL3489" s="459" t="s">
        <v>885</v>
      </c>
      <c r="DM3489" s="459" t="s">
        <v>885</v>
      </c>
      <c r="DN3489" s="459" t="s">
        <v>885</v>
      </c>
      <c r="DO3489" s="459" t="s">
        <v>885</v>
      </c>
      <c r="DP3489" t="s">
        <v>3042</v>
      </c>
      <c r="DQ3489" s="459" t="s">
        <v>885</v>
      </c>
      <c r="DR3489" s="459" t="s">
        <v>885</v>
      </c>
      <c r="DS3489" s="459" t="s">
        <v>885</v>
      </c>
      <c r="DT3489" s="459" t="s">
        <v>885</v>
      </c>
      <c r="DU3489" s="459" t="s">
        <v>885</v>
      </c>
      <c r="DV3489" s="459" t="s">
        <v>885</v>
      </c>
      <c r="DW3489" s="459" t="s">
        <v>885</v>
      </c>
      <c r="DX3489" s="245" t="s">
        <v>885</v>
      </c>
      <c r="DY3489" s="245"/>
      <c r="DZ3489" s="470" t="str">
        <f>IF($B$265=$B$3278,EB3489,IF($B$265=$B$3279,ED3489,IF($B$265=$B$3280,EF3489,IF($B$265=$B$3281,EH3489,IF($B$265=$B$3282,EJ3489,IF($B$265=$B$3283,EL3489,IF($B$265=$B$3284,EN3489,IF($B$265=$B$3285,EP3489,IF($B$265=$B$3286,ER3489,IF($B$265=$B$3287,ET3489,IF($B$265=$B$3288,EV3489,IF($B$265=$B$3289,EX3489,IF($B$265=$B$3290,EZ3489,IF($B$265=$B$3291,FB3489,IF($B$265=$B$3292,FD3489,IF($B$265=$B$3293,BU3489,IF($B$265=$B$3294,FF3489,IF($B$265=$B$3295,FH3489,IF($B$265=$B$3296,FJ3489,IF($B$265=$B$3297,FL3489,IF($B$265=$B$3298,FN3489,IF($B$265=$B$3299,FP3489,IF(BI$265=$B$3300,FR3489,IF($B$265=$B$3301,FT3489,IF($B$265=$B$3302,FV3489,IF($B$265=$B$3303,FX3489,IF($B$265=$B$3304,FZ3489,IF($B$265=$B$3305,GB3489,IF($B$265=$B$3306,GD3489,IF($B$265=$B$3307,GF3489,IF($B$265=$B$3308,GH3489,IF($B$265=$B$3309,GJ3489,IF($B$265=$B$3310,GL3489,IF($B$265=$B$3311,GN3489,IF($B$265=$B$3312,GP3489,IF($B$265=$B$3313,GR3489,IF($B$265=$B$3314,GT3489,IF($B$265=$B$3315,GV3489,IF($B$265=$B$3316,GX3489,IF($B$265=$B$3317,GZ3489,IF($B$265=$B$3318,HB3489,IF($B$265=$B$3319,HD3489,IF($B$265=$B$3320,HF3489,IF($B$265=$B$3321,HH3489,IF($B$265=$B$3322,HJ3489,IF($B$265=$B$3323,HL3489,IF($B$265=$B$3324,HN3489,IF($B$265=$B$3325,HP3489,IF($B$265=$B$3326,HR3489,IF($B$265=$B$3327,HT3489,IF($B$265=$B$3328,HV3489,IF($B$265=$B$3329,HX3489,""))))))))))))))))))))))))))))))))))))))))))))))))))))</f>
        <v/>
      </c>
      <c r="EA3489" s="470" t="str">
        <f>IF($B$265=$B$3278,EC3489,IF($B$265=$B$3279,EE3489,IF($B$265=$B$3280,EG3489,IF($B$265=$B$3281,EI3489,IF($B$265=$B$3282,EK3489,IF($B$265=$B$3283,EM3489,IF($B$265=$B$3284,EO3489,IF($B$265=$B$3285,EQ3489,IF($B$265=$B$3286,ES3489,IF($B$265=$B$3287,EU3489,IF($B$265=$B$3288,EW3489,IF($B$265=$B$3289,EY3489,IF($B$265=$B$3290,FA3489,IF($B$265=$B$3291,FC3489,IF($B$265=$B$3292,FE3489,IF($B$265=$B$3293,BK3489,IF($B$265=$B$3294,FG3489,IF($B$265=$B$3295,FI3489,IF($B$265=$B$3296,FK3489,IF($B$265=$B$3297,FM3489,IF($B$265=$B$3298,FO3489,IF($B$265=$B$3299,FQ3489,IF(BJ$265=$B$3300,FS3489,IF($B$265=$B$3301,FU3489,IF($B$265=$B$3302,FW3489,IF($B$265=$B$3303,FY3489,IF($B$265=$B$3304,GA3489,IF($B$265=$B$3305,GC3489,IF($B$265=$B$3306,GE3489,IF($B$265=$B$3307,GG3489,IF($B$265=$B$3308,GI3489,IF($B$265=$B$3309,GK3489,IF($B$265=$B$3310,GM3489,IF($B$265=$B$3311,GO3489,IF($B$265=$B$3312,GQ3489,IF($B$265=$B$3313,GS3489,IF($B$265=$B$3314,GU3489,IF($B$265=$B$3315,GW3489,IF($B$265=$B$3316,GY3489,IF($B$265=$B$3317,HA3489,IF($B$265=$B$3318,HC3489,IF($B$265=$B$3319,HE3489,IF($B$265=$B$3320,HG3489,IF($B$265=$B$3321,HI3489,IF($B$265=$B$3322,HK3489,IF($B$265=$B$3323,HM3489,IF($B$265=$B$3324,HO3489,IF($B$265=$B$3325,HQ3489,IF($B$265=$B$3326,HS3489,IF($B$265=$B$3327,HU3489,IF($B$265=$B$3328,HW3489,IF($B$265=$B$3329,HY3489,""))))))))))))))))))))))))))))))))))))))))))))))))))))</f>
        <v/>
      </c>
      <c r="EB3489" s="459" t="s">
        <v>885</v>
      </c>
    </row>
    <row r="3490" spans="1:132" ht="16" hidden="1" x14ac:dyDescent="0.4">
      <c r="A3490" s="813"/>
      <c r="BB3490" s="48"/>
      <c r="BS3490" s="464" t="str">
        <f>IF($B$265=B$3278,BZ3489,IF($B$265=B$3279,CA3489,IF($B$265=B$3280,CB3489,IF($B$265=B$3281,CC3489,IF($B$265=B$3282,CD3489,IF($B$265=B$3283,CE3489,IF($B$265=B$3284,CF3489,IF($B$265=B$3285,CG3489,IF($B$265=B$3286,CH3489,IF($B$265=B$3287,CI3489,IF($B$265=B$3288,CJ3489,IF($B$265=B$3289,CK3489,IF($B$265=B$3290,CL3489,IF($B$265=B$3291,CM3489,IF($B$265=B$3292,CN3489,IF($B$265=B$3293,B2726,IF($B$265=B$3294,CO3489,IF($B$265=B$3295,CP3489,IF($B$265=B$3296,CQ3489,IF($B$265=B$3297,CR3489,IF($B$265=B$3298,CS3489,IF($B$265=B$3299,CT3489,IF(B$265=B$3300,CU3489,IF($B$265=B$3301,CV3489,IF($B$265=B$3302,CW3489,IF($B$265=B$3303,CX3489,IF($B$265=B$3304,CY3489,IF($B$265=B$3305,CZ3489,IF($B$265=B$3306,DA3489,IF($B$265=B$3307,DB3489,IF($B$265=B$3308,DC3489,IF($B$265=B$3309,DD3489,IF($B$265=B$3310,DE3489,IF($B$265=B$3311,DF3489,IF($B$265=B$3312,DG3489,IF($B$265=B$3313,DH3489,IF($B$265=B$3314,DI3489,IF($B$265=B$3315,DJ3489,IF($B$265=B$3316,DK3489,IF($B$265=B$3317,DL3489,IF($B$265=B$3318,DM3489,IF($B$265=B$3319,DN3489,IF($B$265=B$3320,DO3489,IF($B$265=B$3321,DP3489,IF($B$265=B$3322,DQ3489,IF($B$265=B$3323,DR3489,IF($B$265=B$3324,DS3489,IF($B$265=B$3325,DT3489,IF($B$265=B$3326,DU3489,IF($B$265=B$3327,DV3489,IF($B$265=B$3328,DW3489,IF($B$265=B$3329,DX3489,""))))))))))))))))))))))))))))))))))))))))))))))))))))</f>
        <v/>
      </c>
      <c r="BZ3490" s="245" t="s">
        <v>885</v>
      </c>
      <c r="CA3490" s="245" t="s">
        <v>885</v>
      </c>
      <c r="CC3490" s="245" t="s">
        <v>885</v>
      </c>
      <c r="CD3490" s="459" t="s">
        <v>885</v>
      </c>
      <c r="CE3490" s="459" t="s">
        <v>885</v>
      </c>
      <c r="CF3490" s="245" t="s">
        <v>885</v>
      </c>
      <c r="CG3490" s="245" t="s">
        <v>885</v>
      </c>
      <c r="CH3490" s="245" t="s">
        <v>885</v>
      </c>
      <c r="CI3490" s="245" t="s">
        <v>885</v>
      </c>
      <c r="CJ3490" s="459" t="s">
        <v>885</v>
      </c>
      <c r="CK3490" s="459" t="s">
        <v>885</v>
      </c>
      <c r="CL3490" s="459" t="s">
        <v>885</v>
      </c>
      <c r="CM3490" s="459" t="s">
        <v>885</v>
      </c>
      <c r="CN3490" s="459" t="s">
        <v>885</v>
      </c>
      <c r="CO3490" s="459" t="s">
        <v>885</v>
      </c>
      <c r="CP3490" s="459" t="s">
        <v>885</v>
      </c>
      <c r="CQ3490" s="459" t="s">
        <v>885</v>
      </c>
      <c r="CR3490" s="459" t="s">
        <v>885</v>
      </c>
      <c r="CS3490" s="459" t="s">
        <v>885</v>
      </c>
      <c r="CT3490" s="245" t="s">
        <v>885</v>
      </c>
      <c r="CU3490" s="463" t="s">
        <v>885</v>
      </c>
      <c r="CV3490" s="245" t="s">
        <v>885</v>
      </c>
      <c r="CW3490" s="245" t="s">
        <v>885</v>
      </c>
      <c r="CX3490" s="459" t="s">
        <v>885</v>
      </c>
      <c r="CY3490" s="459" t="s">
        <v>885</v>
      </c>
      <c r="CZ3490" s="459" t="s">
        <v>885</v>
      </c>
      <c r="DA3490" s="459" t="s">
        <v>885</v>
      </c>
      <c r="DB3490" s="459" t="s">
        <v>885</v>
      </c>
      <c r="DC3490" s="459" t="s">
        <v>885</v>
      </c>
      <c r="DD3490" s="459" t="s">
        <v>885</v>
      </c>
      <c r="DE3490" s="459" t="s">
        <v>885</v>
      </c>
      <c r="DF3490" s="459" t="s">
        <v>885</v>
      </c>
      <c r="DG3490" s="459" t="s">
        <v>885</v>
      </c>
      <c r="DH3490" s="459" t="s">
        <v>885</v>
      </c>
      <c r="DI3490" s="459" t="s">
        <v>885</v>
      </c>
      <c r="DJ3490" s="459" t="s">
        <v>885</v>
      </c>
      <c r="DK3490" s="459" t="s">
        <v>885</v>
      </c>
      <c r="DL3490" s="459" t="s">
        <v>885</v>
      </c>
      <c r="DM3490" s="459" t="s">
        <v>885</v>
      </c>
      <c r="DN3490" s="459" t="s">
        <v>885</v>
      </c>
      <c r="DO3490" s="459" t="s">
        <v>885</v>
      </c>
      <c r="DP3490" t="s">
        <v>3043</v>
      </c>
      <c r="DQ3490" s="459" t="s">
        <v>885</v>
      </c>
      <c r="DR3490" s="459" t="s">
        <v>885</v>
      </c>
      <c r="DS3490" s="459" t="s">
        <v>885</v>
      </c>
      <c r="DT3490" s="459" t="s">
        <v>885</v>
      </c>
      <c r="DU3490" s="459" t="s">
        <v>885</v>
      </c>
      <c r="DV3490" s="459" t="s">
        <v>885</v>
      </c>
      <c r="DW3490" s="459" t="s">
        <v>885</v>
      </c>
      <c r="DX3490" s="245" t="s">
        <v>885</v>
      </c>
      <c r="DY3490" s="245"/>
      <c r="DZ3490" s="470" t="str">
        <f>IF($B$265=$B$3278,EB3490,IF($B$265=$B$3279,ED3490,IF($B$265=$B$3280,EF3490,IF($B$265=$B$3281,EH3490,IF($B$265=$B$3282,EJ3490,IF($B$265=$B$3283,EL3490,IF($B$265=$B$3284,EN3490,IF($B$265=$B$3285,EP3490,IF($B$265=$B$3286,ER3490,IF($B$265=$B$3287,ET3490,IF($B$265=$B$3288,EV3490,IF($B$265=$B$3289,EX3490,IF($B$265=$B$3290,EZ3490,IF($B$265=$B$3291,FB3490,IF($B$265=$B$3292,FD3490,IF($B$265=$B$3293,BU3490,IF($B$265=$B$3294,FF3490,IF($B$265=$B$3295,FH3490,IF($B$265=$B$3296,FJ3490,IF($B$265=$B$3297,FL3490,IF($B$265=$B$3298,FN3490,IF($B$265=$B$3299,FP3490,IF(BI$265=$B$3300,FR3490,IF($B$265=$B$3301,FT3490,IF($B$265=$B$3302,FV3490,IF($B$265=$B$3303,FX3490,IF($B$265=$B$3304,FZ3490,IF($B$265=$B$3305,GB3490,IF($B$265=$B$3306,GD3490,IF($B$265=$B$3307,GF3490,IF($B$265=$B$3308,GH3490,IF($B$265=$B$3309,GJ3490,IF($B$265=$B$3310,GL3490,IF($B$265=$B$3311,GN3490,IF($B$265=$B$3312,GP3490,IF($B$265=$B$3313,GR3490,IF($B$265=$B$3314,GT3490,IF($B$265=$B$3315,GV3490,IF($B$265=$B$3316,GX3490,IF($B$265=$B$3317,GZ3490,IF($B$265=$B$3318,HB3490,IF($B$265=$B$3319,HD3490,IF($B$265=$B$3320,HF3490,IF($B$265=$B$3321,HH3490,IF($B$265=$B$3322,HJ3490,IF($B$265=$B$3323,HL3490,IF($B$265=$B$3324,HN3490,IF($B$265=$B$3325,HP3490,IF($B$265=$B$3326,HR3490,IF($B$265=$B$3327,HT3490,IF($B$265=$B$3328,HV3490,IF($B$265=$B$3329,HX3490,""))))))))))))))))))))))))))))))))))))))))))))))))))))</f>
        <v/>
      </c>
      <c r="EA3490" s="470" t="str">
        <f>IF($B$265=$B$3278,EC3490,IF($B$265=$B$3279,EE3490,IF($B$265=$B$3280,EG3490,IF($B$265=$B$3281,EI3490,IF($B$265=$B$3282,EK3490,IF($B$265=$B$3283,EM3490,IF($B$265=$B$3284,EO3490,IF($B$265=$B$3285,EQ3490,IF($B$265=$B$3286,ES3490,IF($B$265=$B$3287,EU3490,IF($B$265=$B$3288,EW3490,IF($B$265=$B$3289,EY3490,IF($B$265=$B$3290,FA3490,IF($B$265=$B$3291,FC3490,IF($B$265=$B$3292,FE3490,IF($B$265=$B$3293,BK3490,IF($B$265=$B$3294,FG3490,IF($B$265=$B$3295,FI3490,IF($B$265=$B$3296,FK3490,IF($B$265=$B$3297,FM3490,IF($B$265=$B$3298,FO3490,IF($B$265=$B$3299,FQ3490,IF(BJ$265=$B$3300,FS3490,IF($B$265=$B$3301,FU3490,IF($B$265=$B$3302,FW3490,IF($B$265=$B$3303,FY3490,IF($B$265=$B$3304,GA3490,IF($B$265=$B$3305,GC3490,IF($B$265=$B$3306,GE3490,IF($B$265=$B$3307,GG3490,IF($B$265=$B$3308,GI3490,IF($B$265=$B$3309,GK3490,IF($B$265=$B$3310,GM3490,IF($B$265=$B$3311,GO3490,IF($B$265=$B$3312,GQ3490,IF($B$265=$B$3313,GS3490,IF($B$265=$B$3314,GU3490,IF($B$265=$B$3315,GW3490,IF($B$265=$B$3316,GY3490,IF($B$265=$B$3317,HA3490,IF($B$265=$B$3318,HC3490,IF($B$265=$B$3319,HE3490,IF($B$265=$B$3320,HG3490,IF($B$265=$B$3321,HI3490,IF($B$265=$B$3322,HK3490,IF($B$265=$B$3323,HM3490,IF($B$265=$B$3324,HO3490,IF($B$265=$B$3325,HQ3490,IF($B$265=$B$3326,HS3490,IF($B$265=$B$3327,HU3490,IF($B$265=$B$3328,HW3490,IF($B$265=$B$3329,HY3490,""))))))))))))))))))))))))))))))))))))))))))))))))))))</f>
        <v/>
      </c>
      <c r="EB3490" s="459" t="s">
        <v>885</v>
      </c>
    </row>
    <row r="3491" spans="1:132" ht="16" hidden="1" x14ac:dyDescent="0.4">
      <c r="A3491" s="813"/>
      <c r="BS3491" s="464" t="str">
        <f>IF($B$265=B$3278,BZ3490,IF($B$265=B$3279,CA3490,IF($B$265=B$3280,CB3490,IF($B$265=B$3281,CC3490,IF($B$265=B$3282,CD3490,IF($B$265=B$3283,CE3490,IF($B$265=B$3284,CF3490,IF($B$265=B$3285,CG3490,IF($B$265=B$3286,CH3490,IF($B$265=B$3287,CI3490,IF($B$265=B$3288,CJ3490,IF($B$265=B$3289,CK3490,IF($B$265=B$3290,CL3490,IF($B$265=B$3291,CM3490,IF($B$265=B$3292,CN3490,IF($B$265=B$3293,B2727,IF($B$265=B$3294,CO3490,IF($B$265=B$3295,CP3490,IF($B$265=B$3296,CQ3490,IF($B$265=B$3297,CR3490,IF($B$265=B$3298,CS3490,IF($B$265=B$3299,CT3490,IF(B$265=B$3300,CU3490,IF($B$265=B$3301,CV3490,IF($B$265=B$3302,CW3490,IF($B$265=B$3303,CX3490,IF($B$265=B$3304,CY3490,IF($B$265=B$3305,CZ3490,IF($B$265=B$3306,DA3490,IF($B$265=B$3307,DB3490,IF($B$265=B$3308,DC3490,IF($B$265=B$3309,DD3490,IF($B$265=B$3310,DE3490,IF($B$265=B$3311,DF3490,IF($B$265=B$3312,DG3490,IF($B$265=B$3313,DH3490,IF($B$265=B$3314,DI3490,IF($B$265=B$3315,DJ3490,IF($B$265=B$3316,DK3490,IF($B$265=B$3317,DL3490,IF($B$265=B$3318,DM3490,IF($B$265=B$3319,DN3490,IF($B$265=B$3320,DO3490,IF($B$265=B$3321,DP3490,IF($B$265=B$3322,DQ3490,IF($B$265=B$3323,DR3490,IF($B$265=B$3324,DS3490,IF($B$265=B$3325,DT3490,IF($B$265=B$3326,DU3490,IF($B$265=B$3327,DV3490,IF($B$265=B$3328,DW3490,IF($B$265=B$3329,DX3490,""))))))))))))))))))))))))))))))))))))))))))))))))))))</f>
        <v/>
      </c>
      <c r="BZ3491" s="245" t="s">
        <v>885</v>
      </c>
      <c r="CA3491" s="245" t="s">
        <v>885</v>
      </c>
      <c r="CC3491" s="245" t="s">
        <v>885</v>
      </c>
      <c r="CD3491" s="459" t="s">
        <v>885</v>
      </c>
      <c r="CE3491" s="459" t="s">
        <v>885</v>
      </c>
      <c r="CF3491" s="245" t="s">
        <v>885</v>
      </c>
      <c r="CG3491" s="245" t="s">
        <v>885</v>
      </c>
      <c r="CH3491" s="245" t="s">
        <v>885</v>
      </c>
      <c r="CI3491" s="245" t="s">
        <v>885</v>
      </c>
      <c r="CJ3491" s="459" t="s">
        <v>885</v>
      </c>
      <c r="CK3491" s="459" t="s">
        <v>885</v>
      </c>
      <c r="CL3491" s="459" t="s">
        <v>885</v>
      </c>
      <c r="CM3491" s="459" t="s">
        <v>885</v>
      </c>
      <c r="CN3491" s="459" t="s">
        <v>885</v>
      </c>
      <c r="CO3491" s="459" t="s">
        <v>885</v>
      </c>
      <c r="CP3491" s="459" t="s">
        <v>885</v>
      </c>
      <c r="CQ3491" s="459" t="s">
        <v>885</v>
      </c>
      <c r="CR3491" s="459" t="s">
        <v>885</v>
      </c>
      <c r="CS3491" s="459" t="s">
        <v>885</v>
      </c>
      <c r="CT3491" s="245" t="s">
        <v>885</v>
      </c>
      <c r="CU3491" s="463" t="s">
        <v>885</v>
      </c>
      <c r="CV3491" s="245" t="s">
        <v>885</v>
      </c>
      <c r="CW3491" s="245" t="s">
        <v>885</v>
      </c>
      <c r="CX3491" s="459" t="s">
        <v>885</v>
      </c>
      <c r="CY3491" s="459" t="s">
        <v>885</v>
      </c>
      <c r="CZ3491" s="459" t="s">
        <v>885</v>
      </c>
      <c r="DA3491" s="459" t="s">
        <v>885</v>
      </c>
      <c r="DB3491" s="459" t="s">
        <v>885</v>
      </c>
      <c r="DC3491" s="459" t="s">
        <v>885</v>
      </c>
      <c r="DD3491" s="459" t="s">
        <v>885</v>
      </c>
      <c r="DE3491" s="459" t="s">
        <v>885</v>
      </c>
      <c r="DF3491" s="459" t="s">
        <v>885</v>
      </c>
      <c r="DG3491" s="459" t="s">
        <v>885</v>
      </c>
      <c r="DH3491" s="459" t="s">
        <v>885</v>
      </c>
      <c r="DI3491" s="459" t="s">
        <v>885</v>
      </c>
      <c r="DJ3491" s="459" t="s">
        <v>885</v>
      </c>
      <c r="DK3491" s="459" t="s">
        <v>885</v>
      </c>
      <c r="DL3491" s="459" t="s">
        <v>885</v>
      </c>
      <c r="DM3491" s="459" t="s">
        <v>885</v>
      </c>
      <c r="DN3491" s="459" t="s">
        <v>885</v>
      </c>
      <c r="DO3491" s="459" t="s">
        <v>885</v>
      </c>
      <c r="DP3491" t="s">
        <v>3044</v>
      </c>
      <c r="DQ3491" s="459" t="s">
        <v>885</v>
      </c>
      <c r="DR3491" s="459" t="s">
        <v>885</v>
      </c>
      <c r="DS3491" s="459" t="s">
        <v>885</v>
      </c>
      <c r="DT3491" s="459" t="s">
        <v>885</v>
      </c>
      <c r="DU3491" s="459" t="s">
        <v>885</v>
      </c>
      <c r="DV3491" s="459" t="s">
        <v>885</v>
      </c>
      <c r="DW3491" s="459" t="s">
        <v>885</v>
      </c>
      <c r="DX3491" s="245" t="s">
        <v>885</v>
      </c>
      <c r="DY3491" s="245"/>
      <c r="DZ3491" s="470" t="str">
        <f>IF($B$265=$B$3278,EB3491,IF($B$265=$B$3279,ED3491,IF($B$265=$B$3280,EF3491,IF($B$265=$B$3281,EH3491,IF($B$265=$B$3282,EJ3491,IF($B$265=$B$3283,EL3491,IF($B$265=$B$3284,EN3491,IF($B$265=$B$3285,EP3491,IF($B$265=$B$3286,ER3491,IF($B$265=$B$3287,ET3491,IF($B$265=$B$3288,EV3491,IF($B$265=$B$3289,EX3491,IF($B$265=$B$3290,EZ3491,IF($B$265=$B$3291,FB3491,IF($B$265=$B$3292,FD3491,IF($B$265=$B$3293,BU3491,IF($B$265=$B$3294,FF3491,IF($B$265=$B$3295,FH3491,IF($B$265=$B$3296,FJ3491,IF($B$265=$B$3297,FL3491,IF($B$265=$B$3298,FN3491,IF($B$265=$B$3299,FP3491,IF(BI$265=$B$3300,FR3491,IF($B$265=$B$3301,FT3491,IF($B$265=$B$3302,FV3491,IF($B$265=$B$3303,FX3491,IF($B$265=$B$3304,FZ3491,IF($B$265=$B$3305,GB3491,IF($B$265=$B$3306,GD3491,IF($B$265=$B$3307,GF3491,IF($B$265=$B$3308,GH3491,IF($B$265=$B$3309,GJ3491,IF($B$265=$B$3310,GL3491,IF($B$265=$B$3311,GN3491,IF($B$265=$B$3312,GP3491,IF($B$265=$B$3313,GR3491,IF($B$265=$B$3314,GT3491,IF($B$265=$B$3315,GV3491,IF($B$265=$B$3316,GX3491,IF($B$265=$B$3317,GZ3491,IF($B$265=$B$3318,HB3491,IF($B$265=$B$3319,HD3491,IF($B$265=$B$3320,HF3491,IF($B$265=$B$3321,HH3491,IF($B$265=$B$3322,HJ3491,IF($B$265=$B$3323,HL3491,IF($B$265=$B$3324,HN3491,IF($B$265=$B$3325,HP3491,IF($B$265=$B$3326,HR3491,IF($B$265=$B$3327,HT3491,IF($B$265=$B$3328,HV3491,IF($B$265=$B$3329,HX3491,""))))))))))))))))))))))))))))))))))))))))))))))))))))</f>
        <v/>
      </c>
      <c r="EA3491" s="470" t="str">
        <f>IF($B$265=$B$3278,EC3491,IF($B$265=$B$3279,EE3491,IF($B$265=$B$3280,EG3491,IF($B$265=$B$3281,EI3491,IF($B$265=$B$3282,EK3491,IF($B$265=$B$3283,EM3491,IF($B$265=$B$3284,EO3491,IF($B$265=$B$3285,EQ3491,IF($B$265=$B$3286,ES3491,IF($B$265=$B$3287,EU3491,IF($B$265=$B$3288,EW3491,IF($B$265=$B$3289,EY3491,IF($B$265=$B$3290,FA3491,IF($B$265=$B$3291,FC3491,IF($B$265=$B$3292,FE3491,IF($B$265=$B$3293,BK3491,IF($B$265=$B$3294,FG3491,IF($B$265=$B$3295,FI3491,IF($B$265=$B$3296,FK3491,IF($B$265=$B$3297,FM3491,IF($B$265=$B$3298,FO3491,IF($B$265=$B$3299,FQ3491,IF(BJ$265=$B$3300,FS3491,IF($B$265=$B$3301,FU3491,IF($B$265=$B$3302,FW3491,IF($B$265=$B$3303,FY3491,IF($B$265=$B$3304,GA3491,IF($B$265=$B$3305,GC3491,IF($B$265=$B$3306,GE3491,IF($B$265=$B$3307,GG3491,IF($B$265=$B$3308,GI3491,IF($B$265=$B$3309,GK3491,IF($B$265=$B$3310,GM3491,IF($B$265=$B$3311,GO3491,IF($B$265=$B$3312,GQ3491,IF($B$265=$B$3313,GS3491,IF($B$265=$B$3314,GU3491,IF($B$265=$B$3315,GW3491,IF($B$265=$B$3316,GY3491,IF($B$265=$B$3317,HA3491,IF($B$265=$B$3318,HC3491,IF($B$265=$B$3319,HE3491,IF($B$265=$B$3320,HG3491,IF($B$265=$B$3321,HI3491,IF($B$265=$B$3322,HK3491,IF($B$265=$B$3323,HM3491,IF($B$265=$B$3324,HO3491,IF($B$265=$B$3325,HQ3491,IF($B$265=$B$3326,HS3491,IF($B$265=$B$3327,HU3491,IF($B$265=$B$3328,HW3491,IF($B$265=$B$3329,HY3491,""))))))))))))))))))))))))))))))))))))))))))))))))))))</f>
        <v/>
      </c>
      <c r="EB3491" s="459" t="s">
        <v>885</v>
      </c>
    </row>
    <row r="3492" spans="1:132" ht="16" hidden="1" x14ac:dyDescent="0.4">
      <c r="A3492" s="813"/>
      <c r="BB3492" s="48"/>
      <c r="BS3492" s="464" t="str">
        <f>IF($B$265=B$3278,BZ3491,IF($B$265=B$3279,CA3491,IF($B$265=B$3280,CB3491,IF($B$265=B$3281,CC3491,IF($B$265=B$3282,CD3491,IF($B$265=B$3283,CE3491,IF($B$265=B$3284,CF3491,IF($B$265=B$3285,CG3491,IF($B$265=B$3286,CH3491,IF($B$265=B$3287,CI3491,IF($B$265=B$3288,CJ3491,IF($B$265=B$3289,CK3491,IF($B$265=B$3290,CL3491,IF($B$265=B$3291,CM3491,IF($B$265=B$3292,CN3491,IF($B$265=B$3293,C2728,IF($B$265=B$3294,CO3491,IF($B$265=B$3295,CP3491,IF($B$265=B$3296,CQ3491,IF($B$265=B$3297,CR3491,IF($B$265=B$3298,CS3491,IF($B$265=B$3299,CT3491,IF(B$265=B$3300,CU3491,IF($B$265=B$3301,CV3491,IF($B$265=B$3302,CW3491,IF($B$265=B$3303,CX3491,IF($B$265=B$3304,CY3491,IF($B$265=B$3305,CZ3491,IF($B$265=B$3306,DA3491,IF($B$265=B$3307,DB3491,IF($B$265=B$3308,DC3491,IF($B$265=B$3309,DD3491,IF($B$265=B$3310,DE3491,IF($B$265=B$3311,DF3491,IF($B$265=B$3312,DG3491,IF($B$265=B$3313,DH3491,IF($B$265=B$3314,DI3491,IF($B$265=B$3315,DJ3491,IF($B$265=B$3316,DK3491,IF($B$265=B$3317,DL3491,IF($B$265=B$3318,DM3491,IF($B$265=B$3319,DN3491,IF($B$265=B$3320,DO3491,IF($B$265=B$3321,DP3491,IF($B$265=B$3322,DQ3491,IF($B$265=B$3323,DR3491,IF($B$265=B$3324,DS3491,IF($B$265=B$3325,DT3491,IF($B$265=B$3326,DU3491,IF($B$265=B$3327,DV3491,IF($B$265=B$3328,DW3491,IF($B$265=B$3329,DX3491,""))))))))))))))))))))))))))))))))))))))))))))))))))))</f>
        <v/>
      </c>
      <c r="BZ3492" s="245" t="s">
        <v>885</v>
      </c>
      <c r="CA3492" s="245" t="s">
        <v>885</v>
      </c>
      <c r="CC3492" s="245" t="s">
        <v>885</v>
      </c>
      <c r="CD3492" s="459" t="s">
        <v>885</v>
      </c>
      <c r="CE3492" s="459" t="s">
        <v>885</v>
      </c>
      <c r="CF3492" s="245" t="s">
        <v>885</v>
      </c>
      <c r="CG3492" s="245" t="s">
        <v>885</v>
      </c>
      <c r="CH3492" s="245" t="s">
        <v>885</v>
      </c>
      <c r="CI3492" s="245" t="s">
        <v>885</v>
      </c>
      <c r="CJ3492" s="459" t="s">
        <v>885</v>
      </c>
      <c r="CK3492" s="459" t="s">
        <v>885</v>
      </c>
      <c r="CL3492" s="459" t="s">
        <v>885</v>
      </c>
      <c r="CM3492" s="459" t="s">
        <v>885</v>
      </c>
      <c r="CN3492" s="459" t="s">
        <v>885</v>
      </c>
      <c r="CO3492" s="459" t="s">
        <v>885</v>
      </c>
      <c r="CP3492" s="459" t="s">
        <v>885</v>
      </c>
      <c r="CQ3492" s="459" t="s">
        <v>885</v>
      </c>
      <c r="CR3492" s="459" t="s">
        <v>885</v>
      </c>
      <c r="CS3492" s="459" t="s">
        <v>885</v>
      </c>
      <c r="CT3492" s="245" t="s">
        <v>885</v>
      </c>
      <c r="CU3492" s="463" t="s">
        <v>885</v>
      </c>
      <c r="CV3492" s="245" t="s">
        <v>885</v>
      </c>
      <c r="CW3492" s="245" t="s">
        <v>885</v>
      </c>
      <c r="CX3492" s="459" t="s">
        <v>885</v>
      </c>
      <c r="CY3492" s="459" t="s">
        <v>885</v>
      </c>
      <c r="CZ3492" s="459" t="s">
        <v>885</v>
      </c>
      <c r="DA3492" s="459" t="s">
        <v>885</v>
      </c>
      <c r="DB3492" s="459" t="s">
        <v>885</v>
      </c>
      <c r="DC3492" s="459" t="s">
        <v>885</v>
      </c>
      <c r="DD3492" s="459" t="s">
        <v>885</v>
      </c>
      <c r="DE3492" s="459" t="s">
        <v>885</v>
      </c>
      <c r="DF3492" s="459" t="s">
        <v>885</v>
      </c>
      <c r="DG3492" s="459" t="s">
        <v>885</v>
      </c>
      <c r="DH3492" s="459" t="s">
        <v>885</v>
      </c>
      <c r="DI3492" s="459" t="s">
        <v>885</v>
      </c>
      <c r="DJ3492" s="459" t="s">
        <v>885</v>
      </c>
      <c r="DK3492" s="459" t="s">
        <v>885</v>
      </c>
      <c r="DL3492" s="459" t="s">
        <v>885</v>
      </c>
      <c r="DM3492" s="459" t="s">
        <v>885</v>
      </c>
      <c r="DN3492" s="459" t="s">
        <v>885</v>
      </c>
      <c r="DO3492" s="459" t="s">
        <v>885</v>
      </c>
      <c r="DP3492" t="s">
        <v>3045</v>
      </c>
      <c r="DQ3492" s="459" t="s">
        <v>885</v>
      </c>
      <c r="DR3492" s="459" t="s">
        <v>885</v>
      </c>
      <c r="DS3492" s="459" t="s">
        <v>885</v>
      </c>
      <c r="DT3492" s="459" t="s">
        <v>885</v>
      </c>
      <c r="DU3492" s="459" t="s">
        <v>885</v>
      </c>
      <c r="DV3492" s="459" t="s">
        <v>885</v>
      </c>
      <c r="DW3492" s="459" t="s">
        <v>885</v>
      </c>
      <c r="DX3492" s="245" t="s">
        <v>885</v>
      </c>
      <c r="DY3492" s="245"/>
      <c r="DZ3492" s="470" t="str">
        <f>IF($B$265=$B$3278,EB3492,IF($B$265=$B$3279,ED3492,IF($B$265=$B$3280,EF3492,IF($B$265=$B$3281,EH3492,IF($B$265=$B$3282,EJ3492,IF($B$265=$B$3283,EL3492,IF($B$265=$B$3284,EN3492,IF($B$265=$B$3285,EP3492,IF($B$265=$B$3286,ER3492,IF($B$265=$B$3287,ET3492,IF($B$265=$B$3288,EV3492,IF($B$265=$B$3289,EX3492,IF($B$265=$B$3290,EZ3492,IF($B$265=$B$3291,FB3492,IF($B$265=$B$3292,FD3492,IF($B$265=$B$3293,BU3492,IF($B$265=$B$3294,FF3492,IF($B$265=$B$3295,FH3492,IF($B$265=$B$3296,FJ3492,IF($B$265=$B$3297,FL3492,IF($B$265=$B$3298,FN3492,IF($B$265=$B$3299,FP3492,IF(BI$265=$B$3300,FR3492,IF($B$265=$B$3301,FT3492,IF($B$265=$B$3302,FV3492,IF($B$265=$B$3303,FX3492,IF($B$265=$B$3304,FZ3492,IF($B$265=$B$3305,GB3492,IF($B$265=$B$3306,GD3492,IF($B$265=$B$3307,GF3492,IF($B$265=$B$3308,GH3492,IF($B$265=$B$3309,GJ3492,IF($B$265=$B$3310,GL3492,IF($B$265=$B$3311,GN3492,IF($B$265=$B$3312,GP3492,IF($B$265=$B$3313,GR3492,IF($B$265=$B$3314,GT3492,IF($B$265=$B$3315,GV3492,IF($B$265=$B$3316,GX3492,IF($B$265=$B$3317,GZ3492,IF($B$265=$B$3318,HB3492,IF($B$265=$B$3319,HD3492,IF($B$265=$B$3320,HF3492,IF($B$265=$B$3321,HH3492,IF($B$265=$B$3322,HJ3492,IF($B$265=$B$3323,HL3492,IF($B$265=$B$3324,HN3492,IF($B$265=$B$3325,HP3492,IF($B$265=$B$3326,HR3492,IF($B$265=$B$3327,HT3492,IF($B$265=$B$3328,HV3492,IF($B$265=$B$3329,HX3492,""))))))))))))))))))))))))))))))))))))))))))))))))))))</f>
        <v/>
      </c>
      <c r="EA3492" s="470" t="str">
        <f>IF($B$265=$B$3278,EC3492,IF($B$265=$B$3279,EE3492,IF($B$265=$B$3280,EG3492,IF($B$265=$B$3281,EI3492,IF($B$265=$B$3282,EK3492,IF($B$265=$B$3283,EM3492,IF($B$265=$B$3284,EO3492,IF($B$265=$B$3285,EQ3492,IF($B$265=$B$3286,ES3492,IF($B$265=$B$3287,EU3492,IF($B$265=$B$3288,EW3492,IF($B$265=$B$3289,EY3492,IF($B$265=$B$3290,FA3492,IF($B$265=$B$3291,FC3492,IF($B$265=$B$3292,FE3492,IF($B$265=$B$3293,BK3492,IF($B$265=$B$3294,FG3492,IF($B$265=$B$3295,FI3492,IF($B$265=$B$3296,FK3492,IF($B$265=$B$3297,FM3492,IF($B$265=$B$3298,FO3492,IF($B$265=$B$3299,FQ3492,IF(BJ$265=$B$3300,FS3492,IF($B$265=$B$3301,FU3492,IF($B$265=$B$3302,FW3492,IF($B$265=$B$3303,FY3492,IF($B$265=$B$3304,GA3492,IF($B$265=$B$3305,GC3492,IF($B$265=$B$3306,GE3492,IF($B$265=$B$3307,GG3492,IF($B$265=$B$3308,GI3492,IF($B$265=$B$3309,GK3492,IF($B$265=$B$3310,GM3492,IF($B$265=$B$3311,GO3492,IF($B$265=$B$3312,GQ3492,IF($B$265=$B$3313,GS3492,IF($B$265=$B$3314,GU3492,IF($B$265=$B$3315,GW3492,IF($B$265=$B$3316,GY3492,IF($B$265=$B$3317,HA3492,IF($B$265=$B$3318,HC3492,IF($B$265=$B$3319,HE3492,IF($B$265=$B$3320,HG3492,IF($B$265=$B$3321,HI3492,IF($B$265=$B$3322,HK3492,IF($B$265=$B$3323,HM3492,IF($B$265=$B$3324,HO3492,IF($B$265=$B$3325,HQ3492,IF($B$265=$B$3326,HS3492,IF($B$265=$B$3327,HU3492,IF($B$265=$B$3328,HW3492,IF($B$265=$B$3329,HY3492,""))))))))))))))))))))))))))))))))))))))))))))))))))))</f>
        <v/>
      </c>
      <c r="EB3492" s="459" t="s">
        <v>885</v>
      </c>
    </row>
    <row r="3493" spans="1:132" ht="16" hidden="1" x14ac:dyDescent="0.4">
      <c r="A3493" s="813"/>
      <c r="BB3493" s="48"/>
      <c r="BS3493" s="464" t="str">
        <f>IF($B$265=B$3278,BZ3492,IF($B$265=B$3279,CA3492,IF($B$265=B$3280,CB3492,IF($B$265=B$3281,CC3492,IF($B$265=B$3282,CD3492,IF($B$265=B$3283,CE3492,IF($B$265=B$3284,CF3492,IF($B$265=B$3285,CG3492,IF($B$265=B$3286,CH3492,IF($B$265=B$3287,CI3492,IF($B$265=B$3288,CJ3492,IF($B$265=B$3289,CK3492,IF($B$265=B$3290,CL3492,IF($B$265=B$3291,CM3492,IF($B$265=B$3292,CN3492,IF($B$265=B$3293,C2723,IF($B$265=B$3294,CO3492,IF($B$265=B$3295,CP3492,IF($B$265=B$3296,CQ3492,IF($B$265=B$3297,CR3492,IF($B$265=B$3298,CS3492,IF($B$265=B$3299,CT3492,IF(B$265=B$3300,CU3492,IF($B$265=B$3301,CV3492,IF($B$265=B$3302,CW3492,IF($B$265=B$3303,CX3492,IF($B$265=B$3304,CY3492,IF($B$265=B$3305,CZ3492,IF($B$265=B$3306,DA3492,IF($B$265=B$3307,DB3492,IF($B$265=B$3308,DC3492,IF($B$265=B$3309,DD3492,IF($B$265=B$3310,DE3492,IF($B$265=B$3311,DF3492,IF($B$265=B$3312,DG3492,IF($B$265=B$3313,DH3492,IF($B$265=B$3314,DI3492,IF($B$265=B$3315,DJ3492,IF($B$265=B$3316,DK3492,IF($B$265=B$3317,DL3492,IF($B$265=B$3318,DM3492,IF($B$265=B$3319,DN3492,IF($B$265=B$3320,DO3492,IF($B$265=B$3321,DP3492,IF($B$265=B$3322,DQ3492,IF($B$265=B$3323,DR3492,IF($B$265=B$3324,DS3492,IF($B$265=B$3325,DT3492,IF($B$265=B$3326,DU3492,IF($B$265=B$3327,DV3492,IF($B$265=B$3328,DW3492,IF($B$265=B$3329,DX3492,""))))))))))))))))))))))))))))))))))))))))))))))))))))</f>
        <v/>
      </c>
      <c r="BZ3493" s="245" t="s">
        <v>885</v>
      </c>
      <c r="CA3493" s="245" t="s">
        <v>885</v>
      </c>
      <c r="CC3493" s="245" t="s">
        <v>885</v>
      </c>
      <c r="CD3493" s="459" t="s">
        <v>885</v>
      </c>
      <c r="CE3493" s="459" t="s">
        <v>885</v>
      </c>
      <c r="CF3493" s="245" t="s">
        <v>885</v>
      </c>
      <c r="CG3493" s="245" t="s">
        <v>885</v>
      </c>
      <c r="CH3493" s="245" t="s">
        <v>885</v>
      </c>
      <c r="CI3493" s="245" t="s">
        <v>885</v>
      </c>
      <c r="CJ3493" s="459" t="s">
        <v>885</v>
      </c>
      <c r="CK3493" s="459" t="s">
        <v>885</v>
      </c>
      <c r="CL3493" s="459" t="s">
        <v>885</v>
      </c>
      <c r="CM3493" s="459" t="s">
        <v>885</v>
      </c>
      <c r="CN3493" s="459" t="s">
        <v>885</v>
      </c>
      <c r="CO3493" s="459" t="s">
        <v>885</v>
      </c>
      <c r="CP3493" s="459" t="s">
        <v>885</v>
      </c>
      <c r="CQ3493" s="459" t="s">
        <v>885</v>
      </c>
      <c r="CR3493" s="459" t="s">
        <v>885</v>
      </c>
      <c r="CS3493" s="459" t="s">
        <v>885</v>
      </c>
      <c r="CT3493" s="245" t="s">
        <v>885</v>
      </c>
      <c r="CU3493" s="463" t="s">
        <v>885</v>
      </c>
      <c r="CV3493" s="245" t="s">
        <v>885</v>
      </c>
      <c r="CW3493" s="245" t="s">
        <v>885</v>
      </c>
      <c r="CX3493" s="459" t="s">
        <v>885</v>
      </c>
      <c r="CY3493" s="459" t="s">
        <v>885</v>
      </c>
      <c r="CZ3493" s="459" t="s">
        <v>885</v>
      </c>
      <c r="DA3493" s="459" t="s">
        <v>885</v>
      </c>
      <c r="DB3493" s="459" t="s">
        <v>885</v>
      </c>
      <c r="DC3493" s="459" t="s">
        <v>885</v>
      </c>
      <c r="DD3493" s="459" t="s">
        <v>885</v>
      </c>
      <c r="DE3493" s="459" t="s">
        <v>885</v>
      </c>
      <c r="DF3493" s="459" t="s">
        <v>885</v>
      </c>
      <c r="DG3493" s="459" t="s">
        <v>885</v>
      </c>
      <c r="DH3493" s="459" t="s">
        <v>885</v>
      </c>
      <c r="DI3493" s="459" t="s">
        <v>885</v>
      </c>
      <c r="DJ3493" s="459" t="s">
        <v>885</v>
      </c>
      <c r="DK3493" s="459" t="s">
        <v>885</v>
      </c>
      <c r="DL3493" s="459" t="s">
        <v>885</v>
      </c>
      <c r="DM3493" s="459" t="s">
        <v>885</v>
      </c>
      <c r="DN3493" s="459" t="s">
        <v>885</v>
      </c>
      <c r="DO3493" s="459" t="s">
        <v>885</v>
      </c>
      <c r="DP3493" t="s">
        <v>3046</v>
      </c>
      <c r="DQ3493" s="459" t="s">
        <v>885</v>
      </c>
      <c r="DR3493" s="459" t="s">
        <v>885</v>
      </c>
      <c r="DS3493" s="459" t="s">
        <v>885</v>
      </c>
      <c r="DT3493" s="459" t="s">
        <v>885</v>
      </c>
      <c r="DU3493" s="459" t="s">
        <v>885</v>
      </c>
      <c r="DV3493" s="459" t="s">
        <v>885</v>
      </c>
      <c r="DW3493" s="459" t="s">
        <v>885</v>
      </c>
      <c r="DX3493" s="245" t="s">
        <v>885</v>
      </c>
      <c r="DY3493" s="245"/>
      <c r="DZ3493" s="470" t="str">
        <f>IF($B$265=$B$3278,EB3493,IF($B$265=$B$3279,ED3493,IF($B$265=$B$3280,EF3493,IF($B$265=$B$3281,EH3493,IF($B$265=$B$3282,EJ3493,IF($B$265=$B$3283,EL3493,IF($B$265=$B$3284,EN3493,IF($B$265=$B$3285,EP3493,IF($B$265=$B$3286,ER3493,IF($B$265=$B$3287,ET3493,IF($B$265=$B$3288,EV3493,IF($B$265=$B$3289,EX3493,IF($B$265=$B$3290,EZ3493,IF($B$265=$B$3291,FB3493,IF($B$265=$B$3292,FD3493,IF($B$265=$B$3293,BU3493,IF($B$265=$B$3294,FF3493,IF($B$265=$B$3295,FH3493,IF($B$265=$B$3296,FJ3493,IF($B$265=$B$3297,FL3493,IF($B$265=$B$3298,FN3493,IF($B$265=$B$3299,FP3493,IF(BI$265=$B$3300,FR3493,IF($B$265=$B$3301,FT3493,IF($B$265=$B$3302,FV3493,IF($B$265=$B$3303,FX3493,IF($B$265=$B$3304,FZ3493,IF($B$265=$B$3305,GB3493,IF($B$265=$B$3306,GD3493,IF($B$265=$B$3307,GF3493,IF($B$265=$B$3308,GH3493,IF($B$265=$B$3309,GJ3493,IF($B$265=$B$3310,GL3493,IF($B$265=$B$3311,GN3493,IF($B$265=$B$3312,GP3493,IF($B$265=$B$3313,GR3493,IF($B$265=$B$3314,GT3493,IF($B$265=$B$3315,GV3493,IF($B$265=$B$3316,GX3493,IF($B$265=$B$3317,GZ3493,IF($B$265=$B$3318,HB3493,IF($B$265=$B$3319,HD3493,IF($B$265=$B$3320,HF3493,IF($B$265=$B$3321,HH3493,IF($B$265=$B$3322,HJ3493,IF($B$265=$B$3323,HL3493,IF($B$265=$B$3324,HN3493,IF($B$265=$B$3325,HP3493,IF($B$265=$B$3326,HR3493,IF($B$265=$B$3327,HT3493,IF($B$265=$B$3328,HV3493,IF($B$265=$B$3329,HX3493,""))))))))))))))))))))))))))))))))))))))))))))))))))))</f>
        <v/>
      </c>
      <c r="EA3493" s="470" t="str">
        <f>IF($B$265=$B$3278,EC3493,IF($B$265=$B$3279,EE3493,IF($B$265=$B$3280,EG3493,IF($B$265=$B$3281,EI3493,IF($B$265=$B$3282,EK3493,IF($B$265=$B$3283,EM3493,IF($B$265=$B$3284,EO3493,IF($B$265=$B$3285,EQ3493,IF($B$265=$B$3286,ES3493,IF($B$265=$B$3287,EU3493,IF($B$265=$B$3288,EW3493,IF($B$265=$B$3289,EY3493,IF($B$265=$B$3290,FA3493,IF($B$265=$B$3291,FC3493,IF($B$265=$B$3292,FE3493,IF($B$265=$B$3293,BK3493,IF($B$265=$B$3294,FG3493,IF($B$265=$B$3295,FI3493,IF($B$265=$B$3296,FK3493,IF($B$265=$B$3297,FM3493,IF($B$265=$B$3298,FO3493,IF($B$265=$B$3299,FQ3493,IF(BJ$265=$B$3300,FS3493,IF($B$265=$B$3301,FU3493,IF($B$265=$B$3302,FW3493,IF($B$265=$B$3303,FY3493,IF($B$265=$B$3304,GA3493,IF($B$265=$B$3305,GC3493,IF($B$265=$B$3306,GE3493,IF($B$265=$B$3307,GG3493,IF($B$265=$B$3308,GI3493,IF($B$265=$B$3309,GK3493,IF($B$265=$B$3310,GM3493,IF($B$265=$B$3311,GO3493,IF($B$265=$B$3312,GQ3493,IF($B$265=$B$3313,GS3493,IF($B$265=$B$3314,GU3493,IF($B$265=$B$3315,GW3493,IF($B$265=$B$3316,GY3493,IF($B$265=$B$3317,HA3493,IF($B$265=$B$3318,HC3493,IF($B$265=$B$3319,HE3493,IF($B$265=$B$3320,HG3493,IF($B$265=$B$3321,HI3493,IF($B$265=$B$3322,HK3493,IF($B$265=$B$3323,HM3493,IF($B$265=$B$3324,HO3493,IF($B$265=$B$3325,HQ3493,IF($B$265=$B$3326,HS3493,IF($B$265=$B$3327,HU3493,IF($B$265=$B$3328,HW3493,IF($B$265=$B$3329,HY3493,""))))))))))))))))))))))))))))))))))))))))))))))))))))</f>
        <v/>
      </c>
      <c r="EB3493" s="459" t="s">
        <v>885</v>
      </c>
    </row>
    <row r="3494" spans="1:132" ht="16" hidden="1" x14ac:dyDescent="0.4">
      <c r="A3494" s="813"/>
      <c r="BB3494" s="48"/>
      <c r="BS3494" s="464" t="str">
        <f>IF($B$265=B$3278,BZ3493,IF($B$265=B$3279,CA3493,IF($B$265=B$3280,CB3493,IF($B$265=B$3281,CC3493,IF($B$265=B$3282,CD3493,IF($B$265=B$3283,CE3493,IF($B$265=B$3284,CF3493,IF($B$265=B$3285,CG3493,IF($B$265=B$3286,CH3493,IF($B$265=B$3287,CI3493,IF($B$265=B$3288,CJ3493,IF($B$265=B$3289,CK3493,IF($B$265=B$3290,CL3493,IF($B$265=B$3291,CM3493,IF($B$265=B$3292,CN3493,IF($B$265=B$3293,C2724,IF($B$265=B$3294,CO3493,IF($B$265=B$3295,CP3493,IF($B$265=B$3296,CQ3493,IF($B$265=B$3297,CR3493,IF($B$265=B$3298,CS3493,IF($B$265=B$3299,CT3493,IF(B$265=B$3300,CU3493,IF($B$265=B$3301,CV3493,IF($B$265=B$3302,CW3493,IF($B$265=B$3303,CX3493,IF($B$265=B$3304,CY3493,IF($B$265=B$3305,CZ3493,IF($B$265=B$3306,DA3493,IF($B$265=B$3307,DB3493,IF($B$265=B$3308,DC3493,IF($B$265=B$3309,DD3493,IF($B$265=B$3310,DE3493,IF($B$265=B$3311,DF3493,IF($B$265=B$3312,DG3493,IF($B$265=B$3313,DH3493,IF($B$265=B$3314,DI3493,IF($B$265=B$3315,DJ3493,IF($B$265=B$3316,DK3493,IF($B$265=B$3317,DL3493,IF($B$265=B$3318,DM3493,IF($B$265=B$3319,DN3493,IF($B$265=B$3320,DO3493,IF($B$265=B$3321,DP3493,IF($B$265=B$3322,DQ3493,IF($B$265=B$3323,DR3493,IF($B$265=B$3324,DS3493,IF($B$265=B$3325,DT3493,IF($B$265=B$3326,DU3493,IF($B$265=B$3327,DV3493,IF($B$265=B$3328,DW3493,IF($B$265=B$3329,DX3493,""))))))))))))))))))))))))))))))))))))))))))))))))))))</f>
        <v/>
      </c>
      <c r="BZ3494" s="245" t="s">
        <v>885</v>
      </c>
      <c r="CA3494" s="245" t="s">
        <v>885</v>
      </c>
      <c r="CC3494" s="245" t="s">
        <v>885</v>
      </c>
      <c r="CD3494" s="459" t="s">
        <v>885</v>
      </c>
      <c r="CE3494" s="459" t="s">
        <v>885</v>
      </c>
      <c r="CF3494" s="245" t="s">
        <v>885</v>
      </c>
      <c r="CG3494" s="245" t="s">
        <v>885</v>
      </c>
      <c r="CH3494" s="245" t="s">
        <v>885</v>
      </c>
      <c r="CI3494" s="245" t="s">
        <v>885</v>
      </c>
      <c r="CJ3494" s="459" t="s">
        <v>885</v>
      </c>
      <c r="CK3494" s="459" t="s">
        <v>885</v>
      </c>
      <c r="CL3494" s="459" t="s">
        <v>885</v>
      </c>
      <c r="CM3494" s="459" t="s">
        <v>885</v>
      </c>
      <c r="CN3494" s="459" t="s">
        <v>885</v>
      </c>
      <c r="CO3494" s="459" t="s">
        <v>885</v>
      </c>
      <c r="CP3494" s="459" t="s">
        <v>885</v>
      </c>
      <c r="CQ3494" s="459" t="s">
        <v>885</v>
      </c>
      <c r="CR3494" s="459" t="s">
        <v>885</v>
      </c>
      <c r="CS3494" s="459" t="s">
        <v>885</v>
      </c>
      <c r="CT3494" s="245" t="s">
        <v>885</v>
      </c>
      <c r="CU3494" s="463" t="s">
        <v>885</v>
      </c>
      <c r="CV3494" s="245" t="s">
        <v>885</v>
      </c>
      <c r="CW3494" s="245" t="s">
        <v>885</v>
      </c>
      <c r="CX3494" s="459" t="s">
        <v>885</v>
      </c>
      <c r="CY3494" s="459" t="s">
        <v>885</v>
      </c>
      <c r="CZ3494" s="459" t="s">
        <v>885</v>
      </c>
      <c r="DA3494" s="459" t="s">
        <v>885</v>
      </c>
      <c r="DB3494" s="459" t="s">
        <v>885</v>
      </c>
      <c r="DC3494" s="459" t="s">
        <v>885</v>
      </c>
      <c r="DD3494" s="459" t="s">
        <v>885</v>
      </c>
      <c r="DE3494" s="459" t="s">
        <v>885</v>
      </c>
      <c r="DF3494" s="459" t="s">
        <v>885</v>
      </c>
      <c r="DG3494" s="459" t="s">
        <v>885</v>
      </c>
      <c r="DH3494" s="459" t="s">
        <v>885</v>
      </c>
      <c r="DI3494" s="459" t="s">
        <v>885</v>
      </c>
      <c r="DJ3494" s="459" t="s">
        <v>885</v>
      </c>
      <c r="DK3494" s="459" t="s">
        <v>885</v>
      </c>
      <c r="DL3494" s="459" t="s">
        <v>885</v>
      </c>
      <c r="DM3494" s="459" t="s">
        <v>885</v>
      </c>
      <c r="DN3494" s="459" t="s">
        <v>885</v>
      </c>
      <c r="DO3494" s="459" t="s">
        <v>885</v>
      </c>
      <c r="DP3494" t="s">
        <v>3047</v>
      </c>
      <c r="DQ3494" s="459" t="s">
        <v>885</v>
      </c>
      <c r="DR3494" s="459" t="s">
        <v>885</v>
      </c>
      <c r="DS3494" s="459" t="s">
        <v>885</v>
      </c>
      <c r="DT3494" s="459" t="s">
        <v>885</v>
      </c>
      <c r="DU3494" s="459" t="s">
        <v>885</v>
      </c>
      <c r="DV3494" s="459" t="s">
        <v>885</v>
      </c>
      <c r="DW3494" s="459" t="s">
        <v>885</v>
      </c>
      <c r="DX3494" s="245" t="s">
        <v>885</v>
      </c>
      <c r="DY3494" s="245"/>
      <c r="DZ3494" s="470" t="str">
        <f>IF($B$265=$B$3278,EB3494,IF($B$265=$B$3279,ED3494,IF($B$265=$B$3280,EF3494,IF($B$265=$B$3281,EH3494,IF($B$265=$B$3282,EJ3494,IF($B$265=$B$3283,EL3494,IF($B$265=$B$3284,EN3494,IF($B$265=$B$3285,EP3494,IF($B$265=$B$3286,ER3494,IF($B$265=$B$3287,ET3494,IF($B$265=$B$3288,EV3494,IF($B$265=$B$3289,EX3494,IF($B$265=$B$3290,EZ3494,IF($B$265=$B$3291,FB3494,IF($B$265=$B$3292,FD3494,IF($B$265=$B$3293,BU3494,IF($B$265=$B$3294,FF3494,IF($B$265=$B$3295,FH3494,IF($B$265=$B$3296,FJ3494,IF($B$265=$B$3297,FL3494,IF($B$265=$B$3298,FN3494,IF($B$265=$B$3299,FP3494,IF(BI$265=$B$3300,FR3494,IF($B$265=$B$3301,FT3494,IF($B$265=$B$3302,FV3494,IF($B$265=$B$3303,FX3494,IF($B$265=$B$3304,FZ3494,IF($B$265=$B$3305,GB3494,IF($B$265=$B$3306,GD3494,IF($B$265=$B$3307,GF3494,IF($B$265=$B$3308,GH3494,IF($B$265=$B$3309,GJ3494,IF($B$265=$B$3310,GL3494,IF($B$265=$B$3311,GN3494,IF($B$265=$B$3312,GP3494,IF($B$265=$B$3313,GR3494,IF($B$265=$B$3314,GT3494,IF($B$265=$B$3315,GV3494,IF($B$265=$B$3316,GX3494,IF($B$265=$B$3317,GZ3494,IF($B$265=$B$3318,HB3494,IF($B$265=$B$3319,HD3494,IF($B$265=$B$3320,HF3494,IF($B$265=$B$3321,HH3494,IF($B$265=$B$3322,HJ3494,IF($B$265=$B$3323,HL3494,IF($B$265=$B$3324,HN3494,IF($B$265=$B$3325,HP3494,IF($B$265=$B$3326,HR3494,IF($B$265=$B$3327,HT3494,IF($B$265=$B$3328,HV3494,IF($B$265=$B$3329,HX3494,""))))))))))))))))))))))))))))))))))))))))))))))))))))</f>
        <v/>
      </c>
      <c r="EA3494" s="470" t="str">
        <f>IF($B$265=$B$3278,EC3494,IF($B$265=$B$3279,EE3494,IF($B$265=$B$3280,EG3494,IF($B$265=$B$3281,EI3494,IF($B$265=$B$3282,EK3494,IF($B$265=$B$3283,EM3494,IF($B$265=$B$3284,EO3494,IF($B$265=$B$3285,EQ3494,IF($B$265=$B$3286,ES3494,IF($B$265=$B$3287,EU3494,IF($B$265=$B$3288,EW3494,IF($B$265=$B$3289,EY3494,IF($B$265=$B$3290,FA3494,IF($B$265=$B$3291,FC3494,IF($B$265=$B$3292,FE3494,IF($B$265=$B$3293,BK3494,IF($B$265=$B$3294,FG3494,IF($B$265=$B$3295,FI3494,IF($B$265=$B$3296,FK3494,IF($B$265=$B$3297,FM3494,IF($B$265=$B$3298,FO3494,IF($B$265=$B$3299,FQ3494,IF(BJ$265=$B$3300,FS3494,IF($B$265=$B$3301,FU3494,IF($B$265=$B$3302,FW3494,IF($B$265=$B$3303,FY3494,IF($B$265=$B$3304,GA3494,IF($B$265=$B$3305,GC3494,IF($B$265=$B$3306,GE3494,IF($B$265=$B$3307,GG3494,IF($B$265=$B$3308,GI3494,IF($B$265=$B$3309,GK3494,IF($B$265=$B$3310,GM3494,IF($B$265=$B$3311,GO3494,IF($B$265=$B$3312,GQ3494,IF($B$265=$B$3313,GS3494,IF($B$265=$B$3314,GU3494,IF($B$265=$B$3315,GW3494,IF($B$265=$B$3316,GY3494,IF($B$265=$B$3317,HA3494,IF($B$265=$B$3318,HC3494,IF($B$265=$B$3319,HE3494,IF($B$265=$B$3320,HG3494,IF($B$265=$B$3321,HI3494,IF($B$265=$B$3322,HK3494,IF($B$265=$B$3323,HM3494,IF($B$265=$B$3324,HO3494,IF($B$265=$B$3325,HQ3494,IF($B$265=$B$3326,HS3494,IF($B$265=$B$3327,HU3494,IF($B$265=$B$3328,HW3494,IF($B$265=$B$3329,HY3494,""))))))))))))))))))))))))))))))))))))))))))))))))))))</f>
        <v/>
      </c>
      <c r="EB3494" s="459" t="s">
        <v>885</v>
      </c>
    </row>
    <row r="3495" spans="1:132" ht="16" hidden="1" x14ac:dyDescent="0.4">
      <c r="A3495" s="813"/>
      <c r="BB3495" s="48"/>
      <c r="BS3495" s="464" t="str">
        <f>IF($B$265=B$3278,BZ3494,IF($B$265=B$3279,CA3494,IF($B$265=B$3280,CB3494,IF($B$265=B$3281,CC3494,IF($B$265=B$3282,CD3494,IF($B$265=B$3283,CE3494,IF($B$265=B$3284,CF3494,IF($B$265=B$3285,CG3494,IF($B$265=B$3286,CH3494,IF($B$265=B$3287,CI3494,IF($B$265=B$3288,CJ3494,IF($B$265=B$3289,CK3494,IF($B$265=B$3290,CL3494,IF($B$265=B$3291,CM3494,IF($B$265=B$3292,CN3494,IF($B$265=B$3293,C2725,IF($B$265=B$3294,CO3494,IF($B$265=B$3295,CP3494,IF($B$265=B$3296,CQ3494,IF($B$265=B$3297,CR3494,IF($B$265=B$3298,CS3494,IF($B$265=B$3299,CT3494,IF(B$265=B$3300,CU3494,IF($B$265=B$3301,CV3494,IF($B$265=B$3302,CW3494,IF($B$265=B$3303,CX3494,IF($B$265=B$3304,CY3494,IF($B$265=B$3305,CZ3494,IF($B$265=B$3306,DA3494,IF($B$265=B$3307,DB3494,IF($B$265=B$3308,DC3494,IF($B$265=B$3309,DD3494,IF($B$265=B$3310,DE3494,IF($B$265=B$3311,DF3494,IF($B$265=B$3312,DG3494,IF($B$265=B$3313,DH3494,IF($B$265=B$3314,DI3494,IF($B$265=B$3315,DJ3494,IF($B$265=B$3316,DK3494,IF($B$265=B$3317,DL3494,IF($B$265=B$3318,DM3494,IF($B$265=B$3319,DN3494,IF($B$265=B$3320,DO3494,IF($B$265=B$3321,DP3494,IF($B$265=B$3322,DQ3494,IF($B$265=B$3323,DR3494,IF($B$265=B$3324,DS3494,IF($B$265=B$3325,DT3494,IF($B$265=B$3326,DU3494,IF($B$265=B$3327,DV3494,IF($B$265=B$3328,DW3494,IF($B$265=B$3329,DX3494,""))))))))))))))))))))))))))))))))))))))))))))))))))))</f>
        <v/>
      </c>
      <c r="BZ3495" s="245" t="s">
        <v>885</v>
      </c>
      <c r="CA3495" s="245" t="s">
        <v>885</v>
      </c>
      <c r="CC3495" s="245" t="s">
        <v>885</v>
      </c>
      <c r="CD3495" s="459" t="s">
        <v>885</v>
      </c>
      <c r="CE3495" s="459" t="s">
        <v>885</v>
      </c>
      <c r="CF3495" s="245" t="s">
        <v>885</v>
      </c>
      <c r="CG3495" s="245" t="s">
        <v>885</v>
      </c>
      <c r="CH3495" s="245" t="s">
        <v>885</v>
      </c>
      <c r="CI3495" s="245" t="s">
        <v>885</v>
      </c>
      <c r="CJ3495" s="459" t="s">
        <v>885</v>
      </c>
      <c r="CK3495" s="459" t="s">
        <v>885</v>
      </c>
      <c r="CL3495" s="459" t="s">
        <v>885</v>
      </c>
      <c r="CM3495" s="459" t="s">
        <v>885</v>
      </c>
      <c r="CN3495" s="459" t="s">
        <v>885</v>
      </c>
      <c r="CO3495" s="459" t="s">
        <v>885</v>
      </c>
      <c r="CP3495" s="459" t="s">
        <v>885</v>
      </c>
      <c r="CQ3495" s="459" t="s">
        <v>885</v>
      </c>
      <c r="CR3495" s="459" t="s">
        <v>885</v>
      </c>
      <c r="CS3495" s="459" t="s">
        <v>885</v>
      </c>
      <c r="CT3495" s="245" t="s">
        <v>885</v>
      </c>
      <c r="CU3495" s="463" t="s">
        <v>885</v>
      </c>
      <c r="CV3495" s="245" t="s">
        <v>885</v>
      </c>
      <c r="CW3495" s="245" t="s">
        <v>885</v>
      </c>
      <c r="CX3495" s="459" t="s">
        <v>885</v>
      </c>
      <c r="CY3495" s="459" t="s">
        <v>885</v>
      </c>
      <c r="CZ3495" s="459" t="s">
        <v>885</v>
      </c>
      <c r="DA3495" s="459" t="s">
        <v>885</v>
      </c>
      <c r="DB3495" s="459" t="s">
        <v>885</v>
      </c>
      <c r="DC3495" s="459" t="s">
        <v>885</v>
      </c>
      <c r="DD3495" s="459" t="s">
        <v>885</v>
      </c>
      <c r="DE3495" s="459" t="s">
        <v>885</v>
      </c>
      <c r="DF3495" s="459" t="s">
        <v>885</v>
      </c>
      <c r="DG3495" s="459" t="s">
        <v>885</v>
      </c>
      <c r="DH3495" s="459" t="s">
        <v>885</v>
      </c>
      <c r="DI3495" s="459" t="s">
        <v>885</v>
      </c>
      <c r="DJ3495" s="459" t="s">
        <v>885</v>
      </c>
      <c r="DK3495" s="459" t="s">
        <v>885</v>
      </c>
      <c r="DL3495" s="459" t="s">
        <v>885</v>
      </c>
      <c r="DM3495" s="459" t="s">
        <v>885</v>
      </c>
      <c r="DN3495" s="459" t="s">
        <v>885</v>
      </c>
      <c r="DO3495" s="459" t="s">
        <v>885</v>
      </c>
      <c r="DP3495" t="s">
        <v>3048</v>
      </c>
      <c r="DQ3495" s="459" t="s">
        <v>885</v>
      </c>
      <c r="DR3495" s="459" t="s">
        <v>885</v>
      </c>
      <c r="DS3495" s="459" t="s">
        <v>885</v>
      </c>
      <c r="DT3495" s="459" t="s">
        <v>885</v>
      </c>
      <c r="DU3495" s="459" t="s">
        <v>885</v>
      </c>
      <c r="DV3495" s="459" t="s">
        <v>885</v>
      </c>
      <c r="DW3495" s="459" t="s">
        <v>885</v>
      </c>
      <c r="DX3495" s="245" t="s">
        <v>885</v>
      </c>
      <c r="DY3495" s="245"/>
      <c r="DZ3495" s="470" t="str">
        <f>IF($B$265=$B$3278,EB3495,IF($B$265=$B$3279,ED3495,IF($B$265=$B$3280,EF3495,IF($B$265=$B$3281,EH3495,IF($B$265=$B$3282,EJ3495,IF($B$265=$B$3283,EL3495,IF($B$265=$B$3284,EN3495,IF($B$265=$B$3285,EP3495,IF($B$265=$B$3286,ER3495,IF($B$265=$B$3287,ET3495,IF($B$265=$B$3288,EV3495,IF($B$265=$B$3289,EX3495,IF($B$265=$B$3290,EZ3495,IF($B$265=$B$3291,FB3495,IF($B$265=$B$3292,FD3495,IF($B$265=$B$3293,BU3495,IF($B$265=$B$3294,FF3495,IF($B$265=$B$3295,FH3495,IF($B$265=$B$3296,FJ3495,IF($B$265=$B$3297,FL3495,IF($B$265=$B$3298,FN3495,IF($B$265=$B$3299,FP3495,IF(BI$265=$B$3300,FR3495,IF($B$265=$B$3301,FT3495,IF($B$265=$B$3302,FV3495,IF($B$265=$B$3303,FX3495,IF($B$265=$B$3304,FZ3495,IF($B$265=$B$3305,GB3495,IF($B$265=$B$3306,GD3495,IF($B$265=$B$3307,GF3495,IF($B$265=$B$3308,GH3495,IF($B$265=$B$3309,GJ3495,IF($B$265=$B$3310,GL3495,IF($B$265=$B$3311,GN3495,IF($B$265=$B$3312,GP3495,IF($B$265=$B$3313,GR3495,IF($B$265=$B$3314,GT3495,IF($B$265=$B$3315,GV3495,IF($B$265=$B$3316,GX3495,IF($B$265=$B$3317,GZ3495,IF($B$265=$B$3318,HB3495,IF($B$265=$B$3319,HD3495,IF($B$265=$B$3320,HF3495,IF($B$265=$B$3321,HH3495,IF($B$265=$B$3322,HJ3495,IF($B$265=$B$3323,HL3495,IF($B$265=$B$3324,HN3495,IF($B$265=$B$3325,HP3495,IF($B$265=$B$3326,HR3495,IF($B$265=$B$3327,HT3495,IF($B$265=$B$3328,HV3495,IF($B$265=$B$3329,HX3495,""))))))))))))))))))))))))))))))))))))))))))))))))))))</f>
        <v/>
      </c>
      <c r="EA3495" s="470" t="str">
        <f>IF($B$265=$B$3278,EC3495,IF($B$265=$B$3279,EE3495,IF($B$265=$B$3280,EG3495,IF($B$265=$B$3281,EI3495,IF($B$265=$B$3282,EK3495,IF($B$265=$B$3283,EM3495,IF($B$265=$B$3284,EO3495,IF($B$265=$B$3285,EQ3495,IF($B$265=$B$3286,ES3495,IF($B$265=$B$3287,EU3495,IF($B$265=$B$3288,EW3495,IF($B$265=$B$3289,EY3495,IF($B$265=$B$3290,FA3495,IF($B$265=$B$3291,FC3495,IF($B$265=$B$3292,FE3495,IF($B$265=$B$3293,BK3495,IF($B$265=$B$3294,FG3495,IF($B$265=$B$3295,FI3495,IF($B$265=$B$3296,FK3495,IF($B$265=$B$3297,FM3495,IF($B$265=$B$3298,FO3495,IF($B$265=$B$3299,FQ3495,IF(BJ$265=$B$3300,FS3495,IF($B$265=$B$3301,FU3495,IF($B$265=$B$3302,FW3495,IF($B$265=$B$3303,FY3495,IF($B$265=$B$3304,GA3495,IF($B$265=$B$3305,GC3495,IF($B$265=$B$3306,GE3495,IF($B$265=$B$3307,GG3495,IF($B$265=$B$3308,GI3495,IF($B$265=$B$3309,GK3495,IF($B$265=$B$3310,GM3495,IF($B$265=$B$3311,GO3495,IF($B$265=$B$3312,GQ3495,IF($B$265=$B$3313,GS3495,IF($B$265=$B$3314,GU3495,IF($B$265=$B$3315,GW3495,IF($B$265=$B$3316,GY3495,IF($B$265=$B$3317,HA3495,IF($B$265=$B$3318,HC3495,IF($B$265=$B$3319,HE3495,IF($B$265=$B$3320,HG3495,IF($B$265=$B$3321,HI3495,IF($B$265=$B$3322,HK3495,IF($B$265=$B$3323,HM3495,IF($B$265=$B$3324,HO3495,IF($B$265=$B$3325,HQ3495,IF($B$265=$B$3326,HS3495,IF($B$265=$B$3327,HU3495,IF($B$265=$B$3328,HW3495,IF($B$265=$B$3329,HY3495,""))))))))))))))))))))))))))))))))))))))))))))))))))))</f>
        <v/>
      </c>
      <c r="EB3495" s="459" t="s">
        <v>885</v>
      </c>
    </row>
    <row r="3496" spans="1:132" ht="16" hidden="1" x14ac:dyDescent="0.4">
      <c r="A3496" s="813"/>
      <c r="C3496" s="69"/>
      <c r="BB3496" s="48"/>
      <c r="BS3496" s="464" t="str">
        <f>IF($B$265=B$3278,BZ3495,IF($B$265=B$3279,CA3495,IF($B$265=B$3280,CB3495,IF($B$265=B$3281,CC3495,IF($B$265=B$3282,CD3495,IF($B$265=B$3283,CE3495,IF($B$265=B$3284,CF3495,IF($B$265=B$3285,CG3495,IF($B$265=B$3286,CH3495,IF($B$265=B$3287,CI3495,IF($B$265=B$3288,CJ3495,IF($B$265=B$3289,CK3495,IF($B$265=B$3290,CL3495,IF($B$265=B$3291,CM3495,IF($B$265=B$3292,CN3495,IF($B$265=B$3293,C2726,IF($B$265=B$3294,CO3495,IF($B$265=B$3295,CP3495,IF($B$265=B$3296,CQ3495,IF($B$265=B$3297,CR3495,IF($B$265=B$3298,CS3495,IF($B$265=B$3299,CT3495,IF(B$265=B$3300,CU3495,IF($B$265=B$3301,CV3495,IF($B$265=B$3302,CW3495,IF($B$265=B$3303,CX3495,IF($B$265=B$3304,CY3495,IF($B$265=B$3305,CZ3495,IF($B$265=B$3306,DA3495,IF($B$265=B$3307,DB3495,IF($B$265=B$3308,DC3495,IF($B$265=B$3309,DD3495,IF($B$265=B$3310,DE3495,IF($B$265=B$3311,DF3495,IF($B$265=B$3312,DG3495,IF($B$265=B$3313,DH3495,IF($B$265=B$3314,DI3495,IF($B$265=B$3315,DJ3495,IF($B$265=B$3316,DK3495,IF($B$265=B$3317,DL3495,IF($B$265=B$3318,DM3495,IF($B$265=B$3319,DN3495,IF($B$265=B$3320,DO3495,IF($B$265=B$3321,DP3495,IF($B$265=B$3322,DQ3495,IF($B$265=B$3323,DR3495,IF($B$265=B$3324,DS3495,IF($B$265=B$3325,DT3495,IF($B$265=B$3326,DU3495,IF($B$265=B$3327,DV3495,IF($B$265=B$3328,DW3495,IF($B$265=B$3329,DX3495,""))))))))))))))))))))))))))))))))))))))))))))))))))))</f>
        <v/>
      </c>
      <c r="BZ3496" s="245" t="s">
        <v>885</v>
      </c>
      <c r="CA3496" s="245" t="s">
        <v>885</v>
      </c>
      <c r="CC3496" s="245" t="s">
        <v>885</v>
      </c>
      <c r="CD3496" s="459" t="s">
        <v>885</v>
      </c>
      <c r="CE3496" s="459" t="s">
        <v>885</v>
      </c>
      <c r="CF3496" s="245" t="s">
        <v>885</v>
      </c>
      <c r="CG3496" s="245" t="s">
        <v>885</v>
      </c>
      <c r="CH3496" s="245" t="s">
        <v>885</v>
      </c>
      <c r="CI3496" s="245" t="s">
        <v>885</v>
      </c>
      <c r="CJ3496" s="459" t="s">
        <v>885</v>
      </c>
      <c r="CK3496" s="459" t="s">
        <v>885</v>
      </c>
      <c r="CL3496" s="459" t="s">
        <v>885</v>
      </c>
      <c r="CM3496" s="459" t="s">
        <v>885</v>
      </c>
      <c r="CN3496" s="459" t="s">
        <v>885</v>
      </c>
      <c r="CO3496" s="459" t="s">
        <v>885</v>
      </c>
      <c r="CP3496" s="459" t="s">
        <v>885</v>
      </c>
      <c r="CQ3496" s="459" t="s">
        <v>885</v>
      </c>
      <c r="CR3496" s="459" t="s">
        <v>885</v>
      </c>
      <c r="CS3496" s="459" t="s">
        <v>885</v>
      </c>
      <c r="CT3496" s="245" t="s">
        <v>885</v>
      </c>
      <c r="CU3496" s="463" t="s">
        <v>885</v>
      </c>
      <c r="CV3496" s="245" t="s">
        <v>885</v>
      </c>
      <c r="CW3496" s="245" t="s">
        <v>885</v>
      </c>
      <c r="CX3496" s="459" t="s">
        <v>885</v>
      </c>
      <c r="CY3496" s="459" t="s">
        <v>885</v>
      </c>
      <c r="CZ3496" s="459" t="s">
        <v>885</v>
      </c>
      <c r="DA3496" s="459" t="s">
        <v>885</v>
      </c>
      <c r="DB3496" s="459" t="s">
        <v>885</v>
      </c>
      <c r="DC3496" s="459" t="s">
        <v>885</v>
      </c>
      <c r="DD3496" s="459" t="s">
        <v>885</v>
      </c>
      <c r="DE3496" s="459" t="s">
        <v>885</v>
      </c>
      <c r="DF3496" s="459" t="s">
        <v>885</v>
      </c>
      <c r="DG3496" s="459" t="s">
        <v>885</v>
      </c>
      <c r="DH3496" s="459" t="s">
        <v>885</v>
      </c>
      <c r="DI3496" s="459" t="s">
        <v>885</v>
      </c>
      <c r="DJ3496" s="459" t="s">
        <v>885</v>
      </c>
      <c r="DK3496" s="459" t="s">
        <v>885</v>
      </c>
      <c r="DL3496" s="459" t="s">
        <v>885</v>
      </c>
      <c r="DM3496" s="459" t="s">
        <v>885</v>
      </c>
      <c r="DN3496" s="459" t="s">
        <v>885</v>
      </c>
      <c r="DO3496" s="459" t="s">
        <v>885</v>
      </c>
      <c r="DP3496" t="s">
        <v>3049</v>
      </c>
      <c r="DQ3496" s="459" t="s">
        <v>885</v>
      </c>
      <c r="DR3496" s="459" t="s">
        <v>885</v>
      </c>
      <c r="DS3496" s="459" t="s">
        <v>885</v>
      </c>
      <c r="DT3496" s="459" t="s">
        <v>885</v>
      </c>
      <c r="DU3496" s="459" t="s">
        <v>885</v>
      </c>
      <c r="DV3496" s="459" t="s">
        <v>885</v>
      </c>
      <c r="DW3496" s="459" t="s">
        <v>885</v>
      </c>
      <c r="DX3496" s="245" t="s">
        <v>885</v>
      </c>
      <c r="DY3496" s="245"/>
      <c r="DZ3496" s="470" t="str">
        <f>IF($B$265=$B$3278,EB3496,IF($B$265=$B$3279,ED3496,IF($B$265=$B$3280,EF3496,IF($B$265=$B$3281,EH3496,IF($B$265=$B$3282,EJ3496,IF($B$265=$B$3283,EL3496,IF($B$265=$B$3284,EN3496,IF($B$265=$B$3285,EP3496,IF($B$265=$B$3286,ER3496,IF($B$265=$B$3287,ET3496,IF($B$265=$B$3288,EV3496,IF($B$265=$B$3289,EX3496,IF($B$265=$B$3290,EZ3496,IF($B$265=$B$3291,FB3496,IF($B$265=$B$3292,FD3496,IF($B$265=$B$3293,BU3496,IF($B$265=$B$3294,FF3496,IF($B$265=$B$3295,FH3496,IF($B$265=$B$3296,FJ3496,IF($B$265=$B$3297,FL3496,IF($B$265=$B$3298,FN3496,IF($B$265=$B$3299,FP3496,IF(BI$265=$B$3300,FR3496,IF($B$265=$B$3301,FT3496,IF($B$265=$B$3302,FV3496,IF($B$265=$B$3303,FX3496,IF($B$265=$B$3304,FZ3496,IF($B$265=$B$3305,GB3496,IF($B$265=$B$3306,GD3496,IF($B$265=$B$3307,GF3496,IF($B$265=$B$3308,GH3496,IF($B$265=$B$3309,GJ3496,IF($B$265=$B$3310,GL3496,IF($B$265=$B$3311,GN3496,IF($B$265=$B$3312,GP3496,IF($B$265=$B$3313,GR3496,IF($B$265=$B$3314,GT3496,IF($B$265=$B$3315,GV3496,IF($B$265=$B$3316,GX3496,IF($B$265=$B$3317,GZ3496,IF($B$265=$B$3318,HB3496,IF($B$265=$B$3319,HD3496,IF($B$265=$B$3320,HF3496,IF($B$265=$B$3321,HH3496,IF($B$265=$B$3322,HJ3496,IF($B$265=$B$3323,HL3496,IF($B$265=$B$3324,HN3496,IF($B$265=$B$3325,HP3496,IF($B$265=$B$3326,HR3496,IF($B$265=$B$3327,HT3496,IF($B$265=$B$3328,HV3496,IF($B$265=$B$3329,HX3496,""))))))))))))))))))))))))))))))))))))))))))))))))))))</f>
        <v/>
      </c>
      <c r="EA3496" s="470" t="str">
        <f>IF($B$265=$B$3278,EC3496,IF($B$265=$B$3279,EE3496,IF($B$265=$B$3280,EG3496,IF($B$265=$B$3281,EI3496,IF($B$265=$B$3282,EK3496,IF($B$265=$B$3283,EM3496,IF($B$265=$B$3284,EO3496,IF($B$265=$B$3285,EQ3496,IF($B$265=$B$3286,ES3496,IF($B$265=$B$3287,EU3496,IF($B$265=$B$3288,EW3496,IF($B$265=$B$3289,EY3496,IF($B$265=$B$3290,FA3496,IF($B$265=$B$3291,FC3496,IF($B$265=$B$3292,FE3496,IF($B$265=$B$3293,BK3496,IF($B$265=$B$3294,FG3496,IF($B$265=$B$3295,FI3496,IF($B$265=$B$3296,FK3496,IF($B$265=$B$3297,FM3496,IF($B$265=$B$3298,FO3496,IF($B$265=$B$3299,FQ3496,IF(BJ$265=$B$3300,FS3496,IF($B$265=$B$3301,FU3496,IF($B$265=$B$3302,FW3496,IF($B$265=$B$3303,FY3496,IF($B$265=$B$3304,GA3496,IF($B$265=$B$3305,GC3496,IF($B$265=$B$3306,GE3496,IF($B$265=$B$3307,GG3496,IF($B$265=$B$3308,GI3496,IF($B$265=$B$3309,GK3496,IF($B$265=$B$3310,GM3496,IF($B$265=$B$3311,GO3496,IF($B$265=$B$3312,GQ3496,IF($B$265=$B$3313,GS3496,IF($B$265=$B$3314,GU3496,IF($B$265=$B$3315,GW3496,IF($B$265=$B$3316,GY3496,IF($B$265=$B$3317,HA3496,IF($B$265=$B$3318,HC3496,IF($B$265=$B$3319,HE3496,IF($B$265=$B$3320,HG3496,IF($B$265=$B$3321,HI3496,IF($B$265=$B$3322,HK3496,IF($B$265=$B$3323,HM3496,IF($B$265=$B$3324,HO3496,IF($B$265=$B$3325,HQ3496,IF($B$265=$B$3326,HS3496,IF($B$265=$B$3327,HU3496,IF($B$265=$B$3328,HW3496,IF($B$265=$B$3329,HY3496,""))))))))))))))))))))))))))))))))))))))))))))))))))))</f>
        <v/>
      </c>
      <c r="EB3496" s="459" t="s">
        <v>885</v>
      </c>
    </row>
    <row r="3497" spans="1:132" ht="16" hidden="1" x14ac:dyDescent="0.4">
      <c r="A3497" s="813"/>
      <c r="BS3497" s="464" t="str">
        <f>IF($B$265=B$3278,BZ3496,IF($B$265=B$3279,CA3496,IF($B$265=B$3280,CB3496,IF($B$265=B$3281,CC3496,IF($B$265=B$3282,CD3496,IF($B$265=B$3283,CE3496,IF($B$265=B$3284,CF3496,IF($B$265=B$3285,CG3496,IF($B$265=B$3286,CH3496,IF($B$265=B$3287,CI3496,IF($B$265=B$3288,CJ3496,IF($B$265=B$3289,CK3496,IF($B$265=B$3290,CL3496,IF($B$265=B$3291,CM3496,IF($B$265=B$3292,CN3496,IF($B$265=B$3293,C3496,IF($B$265=B$3294,CO3496,IF($B$265=B$3295,CP3496,IF($B$265=B$3296,CQ3496,IF($B$265=B$3297,CR3496,IF($B$265=B$3298,CS3496,IF($B$265=B$3299,CT3496,IF(B$265=B$3300,CU3496,IF($B$265=B$3301,CV3496,IF($B$265=B$3302,CW3496,IF($B$265=B$3303,CX3496,IF($B$265=B$3304,CY3496,IF($B$265=B$3305,CZ3496,IF($B$265=B$3306,DA3496,IF($B$265=B$3307,DB3496,IF($B$265=B$3308,DC3496,IF($B$265=B$3309,DD3496,IF($B$265=B$3310,DE3496,IF($B$265=B$3311,DF3496,IF($B$265=B$3312,DG3496,IF($B$265=B$3313,DH3496,IF($B$265=B$3314,DI3496,IF($B$265=B$3315,DJ3496,IF($B$265=B$3316,DK3496,IF($B$265=B$3317,DL3496,IF($B$265=B$3318,DM3496,IF($B$265=B$3319,DN3496,IF($B$265=B$3320,DO3496,IF($B$265=B$3321,DP3496,IF($B$265=B$3322,DQ3496,IF($B$265=B$3323,DR3496,IF($B$265=B$3324,DS3496,IF($B$265=B$3325,DT3496,IF($B$265=B$3326,DU3496,IF($B$265=B$3327,DV3496,IF($B$265=B$3328,DW3496,IF($B$265=B$3329,DX3496,""))))))))))))))))))))))))))))))))))))))))))))))))))))</f>
        <v/>
      </c>
      <c r="BZ3497" s="245" t="s">
        <v>885</v>
      </c>
      <c r="CA3497" s="245" t="s">
        <v>885</v>
      </c>
      <c r="CC3497" s="245" t="s">
        <v>885</v>
      </c>
      <c r="CD3497" s="459" t="s">
        <v>885</v>
      </c>
      <c r="CE3497" s="459" t="s">
        <v>885</v>
      </c>
      <c r="CF3497" s="245" t="s">
        <v>885</v>
      </c>
      <c r="CG3497" s="245" t="s">
        <v>885</v>
      </c>
      <c r="CH3497" s="245" t="s">
        <v>885</v>
      </c>
      <c r="CI3497" s="245" t="s">
        <v>885</v>
      </c>
      <c r="CJ3497" s="459" t="s">
        <v>885</v>
      </c>
      <c r="CK3497" s="459" t="s">
        <v>885</v>
      </c>
      <c r="CL3497" s="459" t="s">
        <v>885</v>
      </c>
      <c r="CM3497" s="459" t="s">
        <v>885</v>
      </c>
      <c r="CN3497" s="459" t="s">
        <v>885</v>
      </c>
      <c r="CO3497" s="459" t="s">
        <v>885</v>
      </c>
      <c r="CP3497" s="459" t="s">
        <v>885</v>
      </c>
      <c r="CQ3497" s="459" t="s">
        <v>885</v>
      </c>
      <c r="CR3497" s="459" t="s">
        <v>885</v>
      </c>
      <c r="CS3497" s="459" t="s">
        <v>885</v>
      </c>
      <c r="CT3497" s="245" t="s">
        <v>885</v>
      </c>
      <c r="CU3497" s="463" t="s">
        <v>885</v>
      </c>
      <c r="CV3497" s="245" t="s">
        <v>885</v>
      </c>
      <c r="CW3497" s="245" t="s">
        <v>885</v>
      </c>
      <c r="CX3497" s="459" t="s">
        <v>885</v>
      </c>
      <c r="CY3497" s="459" t="s">
        <v>885</v>
      </c>
      <c r="CZ3497" s="459" t="s">
        <v>885</v>
      </c>
      <c r="DA3497" s="459" t="s">
        <v>885</v>
      </c>
      <c r="DB3497" s="459" t="s">
        <v>885</v>
      </c>
      <c r="DC3497" s="459" t="s">
        <v>885</v>
      </c>
      <c r="DD3497" s="459" t="s">
        <v>885</v>
      </c>
      <c r="DE3497" s="459" t="s">
        <v>885</v>
      </c>
      <c r="DF3497" s="459" t="s">
        <v>885</v>
      </c>
      <c r="DG3497" s="459" t="s">
        <v>885</v>
      </c>
      <c r="DH3497" s="459" t="s">
        <v>885</v>
      </c>
      <c r="DI3497" s="459" t="s">
        <v>885</v>
      </c>
      <c r="DJ3497" s="459" t="s">
        <v>885</v>
      </c>
      <c r="DK3497" s="459" t="s">
        <v>885</v>
      </c>
      <c r="DL3497" s="459" t="s">
        <v>885</v>
      </c>
      <c r="DM3497" s="459" t="s">
        <v>885</v>
      </c>
      <c r="DN3497" s="459" t="s">
        <v>885</v>
      </c>
      <c r="DO3497" s="459" t="s">
        <v>885</v>
      </c>
      <c r="DP3497" t="s">
        <v>2895</v>
      </c>
      <c r="DQ3497" s="459" t="s">
        <v>885</v>
      </c>
      <c r="DR3497" s="459" t="s">
        <v>885</v>
      </c>
      <c r="DS3497" s="459" t="s">
        <v>885</v>
      </c>
      <c r="DT3497" s="459" t="s">
        <v>885</v>
      </c>
      <c r="DU3497" s="459" t="s">
        <v>885</v>
      </c>
      <c r="DV3497" s="459" t="s">
        <v>885</v>
      </c>
      <c r="DW3497" s="459" t="s">
        <v>885</v>
      </c>
      <c r="DX3497" s="245" t="s">
        <v>885</v>
      </c>
      <c r="DY3497" s="245"/>
      <c r="DZ3497" s="470" t="str">
        <f>IF($B$265=$B$3278,EB3497,IF($B$265=$B$3279,ED3497,IF($B$265=$B$3280,EF3497,IF($B$265=$B$3281,EH3497,IF($B$265=$B$3282,EJ3497,IF($B$265=$B$3283,EL3497,IF($B$265=$B$3284,EN3497,IF($B$265=$B$3285,EP3497,IF($B$265=$B$3286,ER3497,IF($B$265=$B$3287,ET3497,IF($B$265=$B$3288,EV3497,IF($B$265=$B$3289,EX3497,IF($B$265=$B$3290,EZ3497,IF($B$265=$B$3291,FB3497,IF($B$265=$B$3292,FD3497,IF($B$265=$B$3293,BU3497,IF($B$265=$B$3294,FF3497,IF($B$265=$B$3295,FH3497,IF($B$265=$B$3296,FJ3497,IF($B$265=$B$3297,FL3497,IF($B$265=$B$3298,FN3497,IF($B$265=$B$3299,FP3497,IF(BI$265=$B$3300,FR3497,IF($B$265=$B$3301,FT3497,IF($B$265=$B$3302,FV3497,IF($B$265=$B$3303,FX3497,IF($B$265=$B$3304,FZ3497,IF($B$265=$B$3305,GB3497,IF($B$265=$B$3306,GD3497,IF($B$265=$B$3307,GF3497,IF($B$265=$B$3308,GH3497,IF($B$265=$B$3309,GJ3497,IF($B$265=$B$3310,GL3497,IF($B$265=$B$3311,GN3497,IF($B$265=$B$3312,GP3497,IF($B$265=$B$3313,GR3497,IF($B$265=$B$3314,GT3497,IF($B$265=$B$3315,GV3497,IF($B$265=$B$3316,GX3497,IF($B$265=$B$3317,GZ3497,IF($B$265=$B$3318,HB3497,IF($B$265=$B$3319,HD3497,IF($B$265=$B$3320,HF3497,IF($B$265=$B$3321,HH3497,IF($B$265=$B$3322,HJ3497,IF($B$265=$B$3323,HL3497,IF($B$265=$B$3324,HN3497,IF($B$265=$B$3325,HP3497,IF($B$265=$B$3326,HR3497,IF($B$265=$B$3327,HT3497,IF($B$265=$B$3328,HV3497,IF($B$265=$B$3329,HX3497,""))))))))))))))))))))))))))))))))))))))))))))))))))))</f>
        <v/>
      </c>
      <c r="EA3497" s="470" t="str">
        <f>IF($B$265=$B$3278,EC3497,IF($B$265=$B$3279,EE3497,IF($B$265=$B$3280,EG3497,IF($B$265=$B$3281,EI3497,IF($B$265=$B$3282,EK3497,IF($B$265=$B$3283,EM3497,IF($B$265=$B$3284,EO3497,IF($B$265=$B$3285,EQ3497,IF($B$265=$B$3286,ES3497,IF($B$265=$B$3287,EU3497,IF($B$265=$B$3288,EW3497,IF($B$265=$B$3289,EY3497,IF($B$265=$B$3290,FA3497,IF($B$265=$B$3291,FC3497,IF($B$265=$B$3292,FE3497,IF($B$265=$B$3293,BK3497,IF($B$265=$B$3294,FG3497,IF($B$265=$B$3295,FI3497,IF($B$265=$B$3296,FK3497,IF($B$265=$B$3297,FM3497,IF($B$265=$B$3298,FO3497,IF($B$265=$B$3299,FQ3497,IF(BJ$265=$B$3300,FS3497,IF($B$265=$B$3301,FU3497,IF($B$265=$B$3302,FW3497,IF($B$265=$B$3303,FY3497,IF($B$265=$B$3304,GA3497,IF($B$265=$B$3305,GC3497,IF($B$265=$B$3306,GE3497,IF($B$265=$B$3307,GG3497,IF($B$265=$B$3308,GI3497,IF($B$265=$B$3309,GK3497,IF($B$265=$B$3310,GM3497,IF($B$265=$B$3311,GO3497,IF($B$265=$B$3312,GQ3497,IF($B$265=$B$3313,GS3497,IF($B$265=$B$3314,GU3497,IF($B$265=$B$3315,GW3497,IF($B$265=$B$3316,GY3497,IF($B$265=$B$3317,HA3497,IF($B$265=$B$3318,HC3497,IF($B$265=$B$3319,HE3497,IF($B$265=$B$3320,HG3497,IF($B$265=$B$3321,HI3497,IF($B$265=$B$3322,HK3497,IF($B$265=$B$3323,HM3497,IF($B$265=$B$3324,HO3497,IF($B$265=$B$3325,HQ3497,IF($B$265=$B$3326,HS3497,IF($B$265=$B$3327,HU3497,IF($B$265=$B$3328,HW3497,IF($B$265=$B$3329,HY3497,""))))))))))))))))))))))))))))))))))))))))))))))))))))</f>
        <v/>
      </c>
      <c r="EB3497" s="459" t="s">
        <v>885</v>
      </c>
    </row>
    <row r="3498" spans="1:132" ht="16" hidden="1" x14ac:dyDescent="0.4">
      <c r="A3498" s="813"/>
      <c r="BB3498" s="48"/>
      <c r="BS3498" s="464" t="str">
        <f>IF($B$265=B$3278,BZ3497,IF($B$265=B$3279,CA3497,IF($B$265=B$3280,CB3497,IF($B$265=B$3281,CC3497,IF($B$265=B$3282,CD3497,IF($B$265=B$3283,CE3497,IF($B$265=B$3284,CF3497,IF($B$265=B$3285,CG3497,IF($B$265=B$3286,CH3497,IF($B$265=B$3287,CI3497,IF($B$265=B$3288,CJ3497,IF($B$265=B$3289,CK3497,IF($B$265=B$3290,CL3497,IF($B$265=B$3291,CM3497,IF($B$265=B$3292,CN3497,IF($B$265=B$3293,C3497,IF($B$265=B$3294,CO3497,IF($B$265=B$3295,CP3497,IF($B$265=B$3296,CQ3497,IF($B$265=B$3297,CR3497,IF($B$265=B$3298,CS3497,IF($B$265=B$3299,CT3497,IF(B$265=B$3300,CU3497,IF($B$265=B$3301,CV3497,IF($B$265=B$3302,CW3497,IF($B$265=B$3303,CX3497,IF($B$265=B$3304,CY3497,IF($B$265=B$3305,CZ3497,IF($B$265=B$3306,DA3497,IF($B$265=B$3307,DB3497,IF($B$265=B$3308,DC3497,IF($B$265=B$3309,DD3497,IF($B$265=B$3310,DE3497,IF($B$265=B$3311,DF3497,IF($B$265=B$3312,DG3497,IF($B$265=B$3313,DH3497,IF($B$265=B$3314,DI3497,IF($B$265=B$3315,DJ3497,IF($B$265=B$3316,DK3497,IF($B$265=B$3317,DL3497,IF($B$265=B$3318,DM3497,IF($B$265=B$3319,DN3497,IF($B$265=B$3320,DO3497,IF($B$265=B$3321,DP3497,IF($B$265=B$3322,DQ3497,IF($B$265=B$3323,DR3497,IF($B$265=B$3324,DS3497,IF($B$265=B$3325,DT3497,IF($B$265=B$3326,DU3497,IF($B$265=B$3327,DV3497,IF($B$265=B$3328,DW3497,IF($B$265=B$3329,DX3497,""))))))))))))))))))))))))))))))))))))))))))))))))))))</f>
        <v/>
      </c>
      <c r="BZ3498" s="245" t="s">
        <v>885</v>
      </c>
      <c r="CA3498" s="245" t="s">
        <v>885</v>
      </c>
      <c r="CC3498" s="245" t="s">
        <v>885</v>
      </c>
      <c r="CD3498" s="459" t="s">
        <v>885</v>
      </c>
      <c r="CE3498" s="459" t="s">
        <v>885</v>
      </c>
      <c r="CF3498" s="245" t="s">
        <v>885</v>
      </c>
      <c r="CG3498" s="245" t="s">
        <v>885</v>
      </c>
      <c r="CH3498" s="245" t="s">
        <v>885</v>
      </c>
      <c r="CI3498" s="245" t="s">
        <v>885</v>
      </c>
      <c r="CJ3498" s="459" t="s">
        <v>885</v>
      </c>
      <c r="CK3498" s="459" t="s">
        <v>885</v>
      </c>
      <c r="CL3498" s="459" t="s">
        <v>885</v>
      </c>
      <c r="CM3498" s="459" t="s">
        <v>885</v>
      </c>
      <c r="CN3498" s="459" t="s">
        <v>885</v>
      </c>
      <c r="CO3498" s="459" t="s">
        <v>885</v>
      </c>
      <c r="CP3498" s="459" t="s">
        <v>885</v>
      </c>
      <c r="CQ3498" s="459" t="s">
        <v>885</v>
      </c>
      <c r="CR3498" s="459" t="s">
        <v>885</v>
      </c>
      <c r="CS3498" s="459" t="s">
        <v>885</v>
      </c>
      <c r="CT3498" s="245" t="s">
        <v>885</v>
      </c>
      <c r="CU3498" s="463" t="s">
        <v>885</v>
      </c>
      <c r="CV3498" s="245" t="s">
        <v>885</v>
      </c>
      <c r="CW3498" s="245" t="s">
        <v>885</v>
      </c>
      <c r="CX3498" s="459" t="s">
        <v>885</v>
      </c>
      <c r="CY3498" s="459" t="s">
        <v>885</v>
      </c>
      <c r="CZ3498" s="459" t="s">
        <v>885</v>
      </c>
      <c r="DA3498" s="459" t="s">
        <v>885</v>
      </c>
      <c r="DB3498" s="459" t="s">
        <v>885</v>
      </c>
      <c r="DC3498" s="459" t="s">
        <v>885</v>
      </c>
      <c r="DD3498" s="459" t="s">
        <v>885</v>
      </c>
      <c r="DE3498" s="459" t="s">
        <v>885</v>
      </c>
      <c r="DF3498" s="459" t="s">
        <v>885</v>
      </c>
      <c r="DG3498" s="459" t="s">
        <v>885</v>
      </c>
      <c r="DH3498" s="459" t="s">
        <v>885</v>
      </c>
      <c r="DI3498" s="459" t="s">
        <v>885</v>
      </c>
      <c r="DJ3498" s="459" t="s">
        <v>885</v>
      </c>
      <c r="DK3498" s="459" t="s">
        <v>885</v>
      </c>
      <c r="DL3498" s="459" t="s">
        <v>885</v>
      </c>
      <c r="DM3498" s="459" t="s">
        <v>885</v>
      </c>
      <c r="DN3498" s="459" t="s">
        <v>885</v>
      </c>
      <c r="DO3498" s="459" t="s">
        <v>885</v>
      </c>
      <c r="DP3498" t="s">
        <v>2154</v>
      </c>
      <c r="DQ3498" s="459" t="s">
        <v>885</v>
      </c>
      <c r="DR3498" s="459" t="s">
        <v>885</v>
      </c>
      <c r="DS3498" s="459" t="s">
        <v>885</v>
      </c>
      <c r="DT3498" s="459" t="s">
        <v>885</v>
      </c>
      <c r="DU3498" s="459" t="s">
        <v>885</v>
      </c>
      <c r="DV3498" s="459" t="s">
        <v>885</v>
      </c>
      <c r="DW3498" s="459" t="s">
        <v>885</v>
      </c>
      <c r="DX3498" s="245" t="s">
        <v>885</v>
      </c>
      <c r="DY3498" s="245"/>
      <c r="DZ3498" s="470" t="str">
        <f>IF($B$265=$B$3278,EB3498,IF($B$265=$B$3279,ED3498,IF($B$265=$B$3280,EF3498,IF($B$265=$B$3281,EH3498,IF($B$265=$B$3282,EJ3498,IF($B$265=$B$3283,EL3498,IF($B$265=$B$3284,EN3498,IF($B$265=$B$3285,EP3498,IF($B$265=$B$3286,ER3498,IF($B$265=$B$3287,ET3498,IF($B$265=$B$3288,EV3498,IF($B$265=$B$3289,EX3498,IF($B$265=$B$3290,EZ3498,IF($B$265=$B$3291,FB3498,IF($B$265=$B$3292,FD3498,IF($B$265=$B$3293,BU3498,IF($B$265=$B$3294,FF3498,IF($B$265=$B$3295,FH3498,IF($B$265=$B$3296,FJ3498,IF($B$265=$B$3297,FL3498,IF($B$265=$B$3298,FN3498,IF($B$265=$B$3299,FP3498,IF(BI$265=$B$3300,FR3498,IF($B$265=$B$3301,FT3498,IF($B$265=$B$3302,FV3498,IF($B$265=$B$3303,FX3498,IF($B$265=$B$3304,FZ3498,IF($B$265=$B$3305,GB3498,IF($B$265=$B$3306,GD3498,IF($B$265=$B$3307,GF3498,IF($B$265=$B$3308,GH3498,IF($B$265=$B$3309,GJ3498,IF($B$265=$B$3310,GL3498,IF($B$265=$B$3311,GN3498,IF($B$265=$B$3312,GP3498,IF($B$265=$B$3313,GR3498,IF($B$265=$B$3314,GT3498,IF($B$265=$B$3315,GV3498,IF($B$265=$B$3316,GX3498,IF($B$265=$B$3317,GZ3498,IF($B$265=$B$3318,HB3498,IF($B$265=$B$3319,HD3498,IF($B$265=$B$3320,HF3498,IF($B$265=$B$3321,HH3498,IF($B$265=$B$3322,HJ3498,IF($B$265=$B$3323,HL3498,IF($B$265=$B$3324,HN3498,IF($B$265=$B$3325,HP3498,IF($B$265=$B$3326,HR3498,IF($B$265=$B$3327,HT3498,IF($B$265=$B$3328,HV3498,IF($B$265=$B$3329,HX3498,""))))))))))))))))))))))))))))))))))))))))))))))))))))</f>
        <v/>
      </c>
      <c r="EA3498" s="470" t="str">
        <f>IF($B$265=$B$3278,EC3498,IF($B$265=$B$3279,EE3498,IF($B$265=$B$3280,EG3498,IF($B$265=$B$3281,EI3498,IF($B$265=$B$3282,EK3498,IF($B$265=$B$3283,EM3498,IF($B$265=$B$3284,EO3498,IF($B$265=$B$3285,EQ3498,IF($B$265=$B$3286,ES3498,IF($B$265=$B$3287,EU3498,IF($B$265=$B$3288,EW3498,IF($B$265=$B$3289,EY3498,IF($B$265=$B$3290,FA3498,IF($B$265=$B$3291,FC3498,IF($B$265=$B$3292,FE3498,IF($B$265=$B$3293,BK3498,IF($B$265=$B$3294,FG3498,IF($B$265=$B$3295,FI3498,IF($B$265=$B$3296,FK3498,IF($B$265=$B$3297,FM3498,IF($B$265=$B$3298,FO3498,IF($B$265=$B$3299,FQ3498,IF(BJ$265=$B$3300,FS3498,IF($B$265=$B$3301,FU3498,IF($B$265=$B$3302,FW3498,IF($B$265=$B$3303,FY3498,IF($B$265=$B$3304,GA3498,IF($B$265=$B$3305,GC3498,IF($B$265=$B$3306,GE3498,IF($B$265=$B$3307,GG3498,IF($B$265=$B$3308,GI3498,IF($B$265=$B$3309,GK3498,IF($B$265=$B$3310,GM3498,IF($B$265=$B$3311,GO3498,IF($B$265=$B$3312,GQ3498,IF($B$265=$B$3313,GS3498,IF($B$265=$B$3314,GU3498,IF($B$265=$B$3315,GW3498,IF($B$265=$B$3316,GY3498,IF($B$265=$B$3317,HA3498,IF($B$265=$B$3318,HC3498,IF($B$265=$B$3319,HE3498,IF($B$265=$B$3320,HG3498,IF($B$265=$B$3321,HI3498,IF($B$265=$B$3322,HK3498,IF($B$265=$B$3323,HM3498,IF($B$265=$B$3324,HO3498,IF($B$265=$B$3325,HQ3498,IF($B$265=$B$3326,HS3498,IF($B$265=$B$3327,HU3498,IF($B$265=$B$3328,HW3498,IF($B$265=$B$3329,HY3498,""))))))))))))))))))))))))))))))))))))))))))))))))))))</f>
        <v/>
      </c>
      <c r="EB3498" s="459" t="s">
        <v>885</v>
      </c>
    </row>
    <row r="3499" spans="1:132" ht="16" hidden="1" x14ac:dyDescent="0.4">
      <c r="A3499" s="813"/>
      <c r="BB3499" s="48"/>
      <c r="BS3499" s="464" t="str">
        <f>IF($B$265=B$3278,BZ3498,IF($B$265=B$3279,CA3498,IF($B$265=B$3280,CB3498,IF($B$265=B$3281,CC3498,IF($B$265=B$3282,CD3498,IF($B$265=B$3283,CE3498,IF($B$265=B$3284,CF3498,IF($B$265=B$3285,CG3498,IF($B$265=B$3286,CH3498,IF($B$265=B$3287,CI3498,IF($B$265=B$3288,CJ3498,IF($B$265=B$3289,CK3498,IF($B$265=B$3290,CL3498,IF($B$265=B$3291,CM3498,IF($B$265=B$3292,CN3498,IF($B$265=B$3293,C2735,IF($B$265=B$3294,CO3498,IF($B$265=B$3295,CP3498,IF($B$265=B$3296,CQ3498,IF($B$265=B$3297,CR3498,IF($B$265=B$3298,CS3498,IF($B$265=B$3299,CT3498,IF(B$265=B$3300,CU3498,IF($B$265=B$3301,CV3498,IF($B$265=B$3302,CW3498,IF($B$265=B$3303,CX3498,IF($B$265=B$3304,CY3498,IF($B$265=B$3305,CZ3498,IF($B$265=B$3306,DA3498,IF($B$265=B$3307,DB3498,IF($B$265=B$3308,DC3498,IF($B$265=B$3309,DD3498,IF($B$265=B$3310,DE3498,IF($B$265=B$3311,DF3498,IF($B$265=B$3312,DG3498,IF($B$265=B$3313,DH3498,IF($B$265=B$3314,DI3498,IF($B$265=B$3315,DJ3498,IF($B$265=B$3316,DK3498,IF($B$265=B$3317,DL3498,IF($B$265=B$3318,DM3498,IF($B$265=B$3319,DN3498,IF($B$265=B$3320,DO3498,IF($B$265=B$3321,DP3498,IF($B$265=B$3322,DQ3498,IF($B$265=B$3323,DR3498,IF($B$265=B$3324,DS3498,IF($B$265=B$3325,DT3498,IF($B$265=B$3326,DU3498,IF($B$265=B$3327,DV3498,IF($B$265=B$3328,DW3498,IF($B$265=B$3329,DX3498,""))))))))))))))))))))))))))))))))))))))))))))))))))))</f>
        <v/>
      </c>
      <c r="BZ3499" s="245" t="s">
        <v>885</v>
      </c>
      <c r="CA3499" s="245" t="s">
        <v>885</v>
      </c>
      <c r="CC3499" s="245" t="s">
        <v>885</v>
      </c>
      <c r="CD3499" s="459" t="s">
        <v>885</v>
      </c>
      <c r="CE3499" s="459" t="s">
        <v>885</v>
      </c>
      <c r="CF3499" s="245" t="s">
        <v>885</v>
      </c>
      <c r="CG3499" s="245" t="s">
        <v>885</v>
      </c>
      <c r="CH3499" s="245" t="s">
        <v>885</v>
      </c>
      <c r="CI3499" s="245" t="s">
        <v>885</v>
      </c>
      <c r="CJ3499" s="459" t="s">
        <v>885</v>
      </c>
      <c r="CK3499" s="459" t="s">
        <v>885</v>
      </c>
      <c r="CL3499" s="459" t="s">
        <v>885</v>
      </c>
      <c r="CM3499" s="459" t="s">
        <v>885</v>
      </c>
      <c r="CN3499" s="459" t="s">
        <v>885</v>
      </c>
      <c r="CO3499" s="459" t="s">
        <v>885</v>
      </c>
      <c r="CP3499" s="459" t="s">
        <v>885</v>
      </c>
      <c r="CQ3499" s="459" t="s">
        <v>885</v>
      </c>
      <c r="CR3499" s="459" t="s">
        <v>885</v>
      </c>
      <c r="CS3499" s="459" t="s">
        <v>885</v>
      </c>
      <c r="CT3499" s="245" t="s">
        <v>885</v>
      </c>
      <c r="CU3499" s="463" t="s">
        <v>885</v>
      </c>
      <c r="CV3499" s="245" t="s">
        <v>885</v>
      </c>
      <c r="CW3499" s="245" t="s">
        <v>885</v>
      </c>
      <c r="CX3499" s="459" t="s">
        <v>885</v>
      </c>
      <c r="CY3499" s="459" t="s">
        <v>885</v>
      </c>
      <c r="CZ3499" s="459" t="s">
        <v>885</v>
      </c>
      <c r="DA3499" s="459" t="s">
        <v>885</v>
      </c>
      <c r="DB3499" s="459" t="s">
        <v>885</v>
      </c>
      <c r="DC3499" s="459" t="s">
        <v>885</v>
      </c>
      <c r="DD3499" s="459" t="s">
        <v>885</v>
      </c>
      <c r="DE3499" s="459" t="s">
        <v>885</v>
      </c>
      <c r="DF3499" s="459" t="s">
        <v>885</v>
      </c>
      <c r="DG3499" s="459" t="s">
        <v>885</v>
      </c>
      <c r="DH3499" s="459" t="s">
        <v>885</v>
      </c>
      <c r="DI3499" s="459" t="s">
        <v>885</v>
      </c>
      <c r="DJ3499" s="459" t="s">
        <v>885</v>
      </c>
      <c r="DK3499" s="459" t="s">
        <v>885</v>
      </c>
      <c r="DL3499" s="459" t="s">
        <v>885</v>
      </c>
      <c r="DM3499" s="459" t="s">
        <v>885</v>
      </c>
      <c r="DN3499" s="459" t="s">
        <v>885</v>
      </c>
      <c r="DO3499" s="459" t="s">
        <v>885</v>
      </c>
      <c r="DP3499" t="s">
        <v>3050</v>
      </c>
      <c r="DQ3499" s="459" t="s">
        <v>885</v>
      </c>
      <c r="DR3499" s="459" t="s">
        <v>885</v>
      </c>
      <c r="DS3499" s="459" t="s">
        <v>885</v>
      </c>
      <c r="DT3499" s="459" t="s">
        <v>885</v>
      </c>
      <c r="DU3499" s="459" t="s">
        <v>885</v>
      </c>
      <c r="DV3499" s="459" t="s">
        <v>885</v>
      </c>
      <c r="DW3499" s="459" t="s">
        <v>885</v>
      </c>
      <c r="DX3499" s="245" t="s">
        <v>885</v>
      </c>
      <c r="DY3499" s="245"/>
      <c r="DZ3499" s="470" t="str">
        <f>IF($B$265=$B$3278,EB3499,IF($B$265=$B$3279,ED3499,IF($B$265=$B$3280,EF3499,IF($B$265=$B$3281,EH3499,IF($B$265=$B$3282,EJ3499,IF($B$265=$B$3283,EL3499,IF($B$265=$B$3284,EN3499,IF($B$265=$B$3285,EP3499,IF($B$265=$B$3286,ER3499,IF($B$265=$B$3287,ET3499,IF($B$265=$B$3288,EV3499,IF($B$265=$B$3289,EX3499,IF($B$265=$B$3290,EZ3499,IF($B$265=$B$3291,FB3499,IF($B$265=$B$3292,FD3499,IF($B$265=$B$3293,BU3499,IF($B$265=$B$3294,FF3499,IF($B$265=$B$3295,FH3499,IF($B$265=$B$3296,FJ3499,IF($B$265=$B$3297,FL3499,IF($B$265=$B$3298,FN3499,IF($B$265=$B$3299,FP3499,IF(BI$265=$B$3300,FR3499,IF($B$265=$B$3301,FT3499,IF($B$265=$B$3302,FV3499,IF($B$265=$B$3303,FX3499,IF($B$265=$B$3304,FZ3499,IF($B$265=$B$3305,GB3499,IF($B$265=$B$3306,GD3499,IF($B$265=$B$3307,GF3499,IF($B$265=$B$3308,GH3499,IF($B$265=$B$3309,GJ3499,IF($B$265=$B$3310,GL3499,IF($B$265=$B$3311,GN3499,IF($B$265=$B$3312,GP3499,IF($B$265=$B$3313,GR3499,IF($B$265=$B$3314,GT3499,IF($B$265=$B$3315,GV3499,IF($B$265=$B$3316,GX3499,IF($B$265=$B$3317,GZ3499,IF($B$265=$B$3318,HB3499,IF($B$265=$B$3319,HD3499,IF($B$265=$B$3320,HF3499,IF($B$265=$B$3321,HH3499,IF($B$265=$B$3322,HJ3499,IF($B$265=$B$3323,HL3499,IF($B$265=$B$3324,HN3499,IF($B$265=$B$3325,HP3499,IF($B$265=$B$3326,HR3499,IF($B$265=$B$3327,HT3499,IF($B$265=$B$3328,HV3499,IF($B$265=$B$3329,HX3499,""))))))))))))))))))))))))))))))))))))))))))))))))))))</f>
        <v/>
      </c>
      <c r="EA3499" s="470" t="str">
        <f>IF($B$265=$B$3278,EC3499,IF($B$265=$B$3279,EE3499,IF($B$265=$B$3280,EG3499,IF($B$265=$B$3281,EI3499,IF($B$265=$B$3282,EK3499,IF($B$265=$B$3283,EM3499,IF($B$265=$B$3284,EO3499,IF($B$265=$B$3285,EQ3499,IF($B$265=$B$3286,ES3499,IF($B$265=$B$3287,EU3499,IF($B$265=$B$3288,EW3499,IF($B$265=$B$3289,EY3499,IF($B$265=$B$3290,FA3499,IF($B$265=$B$3291,FC3499,IF($B$265=$B$3292,FE3499,IF($B$265=$B$3293,BK3499,IF($B$265=$B$3294,FG3499,IF($B$265=$B$3295,FI3499,IF($B$265=$B$3296,FK3499,IF($B$265=$B$3297,FM3499,IF($B$265=$B$3298,FO3499,IF($B$265=$B$3299,FQ3499,IF(BJ$265=$B$3300,FS3499,IF($B$265=$B$3301,FU3499,IF($B$265=$B$3302,FW3499,IF($B$265=$B$3303,FY3499,IF($B$265=$B$3304,GA3499,IF($B$265=$B$3305,GC3499,IF($B$265=$B$3306,GE3499,IF($B$265=$B$3307,GG3499,IF($B$265=$B$3308,GI3499,IF($B$265=$B$3309,GK3499,IF($B$265=$B$3310,GM3499,IF($B$265=$B$3311,GO3499,IF($B$265=$B$3312,GQ3499,IF($B$265=$B$3313,GS3499,IF($B$265=$B$3314,GU3499,IF($B$265=$B$3315,GW3499,IF($B$265=$B$3316,GY3499,IF($B$265=$B$3317,HA3499,IF($B$265=$B$3318,HC3499,IF($B$265=$B$3319,HE3499,IF($B$265=$B$3320,HG3499,IF($B$265=$B$3321,HI3499,IF($B$265=$B$3322,HK3499,IF($B$265=$B$3323,HM3499,IF($B$265=$B$3324,HO3499,IF($B$265=$B$3325,HQ3499,IF($B$265=$B$3326,HS3499,IF($B$265=$B$3327,HU3499,IF($B$265=$B$3328,HW3499,IF($B$265=$B$3329,HY3499,""))))))))))))))))))))))))))))))))))))))))))))))))))))</f>
        <v/>
      </c>
      <c r="EB3499" s="459" t="s">
        <v>885</v>
      </c>
    </row>
    <row r="3500" spans="1:132" ht="16" hidden="1" x14ac:dyDescent="0.4">
      <c r="A3500" s="813"/>
      <c r="BB3500" s="48"/>
      <c r="BS3500" s="464" t="str">
        <f>IF($B$265=B$3278,BZ3499,IF($B$265=B$3279,CA3499,IF($B$265=B$3280,CB3499,IF($B$265=B$3281,CC3499,IF($B$265=B$3282,CD3499,IF($B$265=B$3283,CE3499,IF($B$265=B$3284,CF3499,IF($B$265=B$3285,CG3499,IF($B$265=B$3286,CH3499,IF($B$265=B$3287,CI3499,IF($B$265=B$3288,CJ3499,IF($B$265=B$3289,CK3499,IF($B$265=B$3290,CL3499,IF($B$265=B$3291,CM3499,IF($B$265=B$3292,CN3499,IF($B$265=B$3293,C2730,IF($B$265=B$3294,CO3499,IF($B$265=B$3295,CP3499,IF($B$265=B$3296,CQ3499,IF($B$265=B$3297,CR3499,IF($B$265=B$3298,CS3499,IF($B$265=B$3299,CT3499,IF(B$265=B$3300,CU3499,IF($B$265=B$3301,CV3499,IF($B$265=B$3302,CW3499,IF($B$265=B$3303,CX3499,IF($B$265=B$3304,CY3499,IF($B$265=B$3305,CZ3499,IF($B$265=B$3306,DA3499,IF($B$265=B$3307,DB3499,IF($B$265=B$3308,DC3499,IF($B$265=B$3309,DD3499,IF($B$265=B$3310,DE3499,IF($B$265=B$3311,DF3499,IF($B$265=B$3312,DG3499,IF($B$265=B$3313,DH3499,IF($B$265=B$3314,DI3499,IF($B$265=B$3315,DJ3499,IF($B$265=B$3316,DK3499,IF($B$265=B$3317,DL3499,IF($B$265=B$3318,DM3499,IF($B$265=B$3319,DN3499,IF($B$265=B$3320,DO3499,IF($B$265=B$3321,DP3499,IF($B$265=B$3322,DQ3499,IF($B$265=B$3323,DR3499,IF($B$265=B$3324,DS3499,IF($B$265=B$3325,DT3499,IF($B$265=B$3326,DU3499,IF($B$265=B$3327,DV3499,IF($B$265=B$3328,DW3499,IF($B$265=B$3329,DX3499,""))))))))))))))))))))))))))))))))))))))))))))))))))))</f>
        <v/>
      </c>
      <c r="BZ3500" s="245" t="s">
        <v>885</v>
      </c>
      <c r="CA3500" s="245" t="s">
        <v>885</v>
      </c>
      <c r="CC3500" s="245" t="s">
        <v>885</v>
      </c>
      <c r="CD3500" s="459" t="s">
        <v>885</v>
      </c>
      <c r="CE3500" s="459" t="s">
        <v>885</v>
      </c>
      <c r="CF3500" s="245" t="s">
        <v>885</v>
      </c>
      <c r="CG3500" s="245" t="s">
        <v>885</v>
      </c>
      <c r="CH3500" s="245" t="s">
        <v>885</v>
      </c>
      <c r="CI3500" s="245" t="s">
        <v>885</v>
      </c>
      <c r="CJ3500" s="459" t="s">
        <v>885</v>
      </c>
      <c r="CK3500" s="459" t="s">
        <v>885</v>
      </c>
      <c r="CL3500" s="459" t="s">
        <v>885</v>
      </c>
      <c r="CM3500" s="459" t="s">
        <v>885</v>
      </c>
      <c r="CN3500" s="459" t="s">
        <v>885</v>
      </c>
      <c r="CO3500" s="459" t="s">
        <v>885</v>
      </c>
      <c r="CP3500" s="459" t="s">
        <v>885</v>
      </c>
      <c r="CQ3500" s="459" t="s">
        <v>885</v>
      </c>
      <c r="CR3500" s="459" t="s">
        <v>885</v>
      </c>
      <c r="CS3500" s="459" t="s">
        <v>885</v>
      </c>
      <c r="CT3500" s="245" t="s">
        <v>885</v>
      </c>
      <c r="CU3500" s="463" t="s">
        <v>885</v>
      </c>
      <c r="CV3500" s="245" t="s">
        <v>885</v>
      </c>
      <c r="CW3500" s="245" t="s">
        <v>885</v>
      </c>
      <c r="CX3500" s="459" t="s">
        <v>885</v>
      </c>
      <c r="CY3500" s="459" t="s">
        <v>885</v>
      </c>
      <c r="CZ3500" s="459" t="s">
        <v>885</v>
      </c>
      <c r="DA3500" s="459" t="s">
        <v>885</v>
      </c>
      <c r="DB3500" s="459" t="s">
        <v>885</v>
      </c>
      <c r="DC3500" s="459" t="s">
        <v>885</v>
      </c>
      <c r="DD3500" s="459" t="s">
        <v>885</v>
      </c>
      <c r="DE3500" s="459" t="s">
        <v>885</v>
      </c>
      <c r="DF3500" s="459" t="s">
        <v>885</v>
      </c>
      <c r="DG3500" s="459" t="s">
        <v>885</v>
      </c>
      <c r="DH3500" s="459" t="s">
        <v>885</v>
      </c>
      <c r="DI3500" s="459" t="s">
        <v>885</v>
      </c>
      <c r="DJ3500" s="459" t="s">
        <v>885</v>
      </c>
      <c r="DK3500" s="459" t="s">
        <v>885</v>
      </c>
      <c r="DL3500" s="459" t="s">
        <v>885</v>
      </c>
      <c r="DM3500" s="459" t="s">
        <v>885</v>
      </c>
      <c r="DN3500" s="459" t="s">
        <v>885</v>
      </c>
      <c r="DO3500" s="459" t="s">
        <v>885</v>
      </c>
      <c r="DP3500" t="s">
        <v>3051</v>
      </c>
      <c r="DQ3500" s="459" t="s">
        <v>885</v>
      </c>
      <c r="DR3500" s="459" t="s">
        <v>885</v>
      </c>
      <c r="DS3500" s="459" t="s">
        <v>885</v>
      </c>
      <c r="DT3500" s="459" t="s">
        <v>885</v>
      </c>
      <c r="DU3500" s="459" t="s">
        <v>885</v>
      </c>
      <c r="DV3500" s="459" t="s">
        <v>885</v>
      </c>
      <c r="DW3500" s="459" t="s">
        <v>885</v>
      </c>
      <c r="DX3500" s="245" t="s">
        <v>885</v>
      </c>
      <c r="DY3500" s="245"/>
      <c r="DZ3500" s="470" t="str">
        <f>IF($B$265=$B$3278,EB3500,IF($B$265=$B$3279,ED3500,IF($B$265=$B$3280,EF3500,IF($B$265=$B$3281,EH3500,IF($B$265=$B$3282,EJ3500,IF($B$265=$B$3283,EL3500,IF($B$265=$B$3284,EN3500,IF($B$265=$B$3285,EP3500,IF($B$265=$B$3286,ER3500,IF($B$265=$B$3287,ET3500,IF($B$265=$B$3288,EV3500,IF($B$265=$B$3289,EX3500,IF($B$265=$B$3290,EZ3500,IF($B$265=$B$3291,FB3500,IF($B$265=$B$3292,FD3500,IF($B$265=$B$3293,BU3500,IF($B$265=$B$3294,FF3500,IF($B$265=$B$3295,FH3500,IF($B$265=$B$3296,FJ3500,IF($B$265=$B$3297,FL3500,IF($B$265=$B$3298,FN3500,IF($B$265=$B$3299,FP3500,IF(BI$265=$B$3300,FR3500,IF($B$265=$B$3301,FT3500,IF($B$265=$B$3302,FV3500,IF($B$265=$B$3303,FX3500,IF($B$265=$B$3304,FZ3500,IF($B$265=$B$3305,GB3500,IF($B$265=$B$3306,GD3500,IF($B$265=$B$3307,GF3500,IF($B$265=$B$3308,GH3500,IF($B$265=$B$3309,GJ3500,IF($B$265=$B$3310,GL3500,IF($B$265=$B$3311,GN3500,IF($B$265=$B$3312,GP3500,IF($B$265=$B$3313,GR3500,IF($B$265=$B$3314,GT3500,IF($B$265=$B$3315,GV3500,IF($B$265=$B$3316,GX3500,IF($B$265=$B$3317,GZ3500,IF($B$265=$B$3318,HB3500,IF($B$265=$B$3319,HD3500,IF($B$265=$B$3320,HF3500,IF($B$265=$B$3321,HH3500,IF($B$265=$B$3322,HJ3500,IF($B$265=$B$3323,HL3500,IF($B$265=$B$3324,HN3500,IF($B$265=$B$3325,HP3500,IF($B$265=$B$3326,HR3500,IF($B$265=$B$3327,HT3500,IF($B$265=$B$3328,HV3500,IF($B$265=$B$3329,HX3500,""))))))))))))))))))))))))))))))))))))))))))))))))))))</f>
        <v/>
      </c>
      <c r="EA3500" s="470" t="str">
        <f>IF($B$265=$B$3278,EC3500,IF($B$265=$B$3279,EE3500,IF($B$265=$B$3280,EG3500,IF($B$265=$B$3281,EI3500,IF($B$265=$B$3282,EK3500,IF($B$265=$B$3283,EM3500,IF($B$265=$B$3284,EO3500,IF($B$265=$B$3285,EQ3500,IF($B$265=$B$3286,ES3500,IF($B$265=$B$3287,EU3500,IF($B$265=$B$3288,EW3500,IF($B$265=$B$3289,EY3500,IF($B$265=$B$3290,FA3500,IF($B$265=$B$3291,FC3500,IF($B$265=$B$3292,FE3500,IF($B$265=$B$3293,BK3500,IF($B$265=$B$3294,FG3500,IF($B$265=$B$3295,FI3500,IF($B$265=$B$3296,FK3500,IF($B$265=$B$3297,FM3500,IF($B$265=$B$3298,FO3500,IF($B$265=$B$3299,FQ3500,IF(BJ$265=$B$3300,FS3500,IF($B$265=$B$3301,FU3500,IF($B$265=$B$3302,FW3500,IF($B$265=$B$3303,FY3500,IF($B$265=$B$3304,GA3500,IF($B$265=$B$3305,GC3500,IF($B$265=$B$3306,GE3500,IF($B$265=$B$3307,GG3500,IF($B$265=$B$3308,GI3500,IF($B$265=$B$3309,GK3500,IF($B$265=$B$3310,GM3500,IF($B$265=$B$3311,GO3500,IF($B$265=$B$3312,GQ3500,IF($B$265=$B$3313,GS3500,IF($B$265=$B$3314,GU3500,IF($B$265=$B$3315,GW3500,IF($B$265=$B$3316,GY3500,IF($B$265=$B$3317,HA3500,IF($B$265=$B$3318,HC3500,IF($B$265=$B$3319,HE3500,IF($B$265=$B$3320,HG3500,IF($B$265=$B$3321,HI3500,IF($B$265=$B$3322,HK3500,IF($B$265=$B$3323,HM3500,IF($B$265=$B$3324,HO3500,IF($B$265=$B$3325,HQ3500,IF($B$265=$B$3326,HS3500,IF($B$265=$B$3327,HU3500,IF($B$265=$B$3328,HW3500,IF($B$265=$B$3329,HY3500,""))))))))))))))))))))))))))))))))))))))))))))))))))))</f>
        <v/>
      </c>
      <c r="EB3500" s="459" t="s">
        <v>885</v>
      </c>
    </row>
    <row r="3501" spans="1:132" ht="16" hidden="1" x14ac:dyDescent="0.4">
      <c r="A3501" s="813"/>
      <c r="BB3501" s="48"/>
      <c r="BS3501" s="464" t="str">
        <f>IF($B$265=B$3278,BZ3500,IF($B$265=B$3279,CA3500,IF($B$265=B$3280,CB3500,IF($B$265=B$3281,CC3500,IF($B$265=B$3282,CD3500,IF($B$265=B$3283,CE3500,IF($B$265=B$3284,CF3500,IF($B$265=B$3285,CG3500,IF($B$265=B$3286,CH3500,IF($B$265=B$3287,CI3500,IF($B$265=B$3288,CJ3500,IF($B$265=B$3289,CK3500,IF($B$265=B$3290,CL3500,IF($B$265=B$3291,CM3500,IF($B$265=B$3292,CN3500,IF($B$265=B$3293,C2731,IF($B$265=B$3294,CO3500,IF($B$265=B$3295,CP3500,IF($B$265=B$3296,CQ3500,IF($B$265=B$3297,CR3500,IF($B$265=B$3298,CS3500,IF($B$265=B$3299,CT3500,IF(B$265=B$3300,CU3500,IF($B$265=B$3301,CV3500,IF($B$265=B$3302,CW3500,IF($B$265=B$3303,CX3500,IF($B$265=B$3304,CY3500,IF($B$265=B$3305,CZ3500,IF($B$265=B$3306,DA3500,IF($B$265=B$3307,DB3500,IF($B$265=B$3308,DC3500,IF($B$265=B$3309,DD3500,IF($B$265=B$3310,DE3500,IF($B$265=B$3311,DF3500,IF($B$265=B$3312,DG3500,IF($B$265=B$3313,DH3500,IF($B$265=B$3314,DI3500,IF($B$265=B$3315,DJ3500,IF($B$265=B$3316,DK3500,IF($B$265=B$3317,DL3500,IF($B$265=B$3318,DM3500,IF($B$265=B$3319,DN3500,IF($B$265=B$3320,DO3500,IF($B$265=B$3321,DP3500,IF($B$265=B$3322,DQ3500,IF($B$265=B$3323,DR3500,IF($B$265=B$3324,DS3500,IF($B$265=B$3325,DT3500,IF($B$265=B$3326,DU3500,IF($B$265=B$3327,DV3500,IF($B$265=B$3328,DW3500,IF($B$265=B$3329,DX3500,""))))))))))))))))))))))))))))))))))))))))))))))))))))</f>
        <v/>
      </c>
      <c r="BZ3501" s="245" t="s">
        <v>885</v>
      </c>
      <c r="CA3501" s="245" t="s">
        <v>885</v>
      </c>
      <c r="CC3501" s="245" t="s">
        <v>885</v>
      </c>
      <c r="CD3501" s="459" t="s">
        <v>885</v>
      </c>
      <c r="CE3501" s="459" t="s">
        <v>885</v>
      </c>
      <c r="CF3501" s="245" t="s">
        <v>885</v>
      </c>
      <c r="CG3501" s="245" t="s">
        <v>885</v>
      </c>
      <c r="CH3501" s="245" t="s">
        <v>885</v>
      </c>
      <c r="CI3501" s="245" t="s">
        <v>885</v>
      </c>
      <c r="CJ3501" s="459" t="s">
        <v>885</v>
      </c>
      <c r="CK3501" s="459" t="s">
        <v>885</v>
      </c>
      <c r="CL3501" s="459" t="s">
        <v>885</v>
      </c>
      <c r="CM3501" s="459" t="s">
        <v>885</v>
      </c>
      <c r="CN3501" s="459" t="s">
        <v>885</v>
      </c>
      <c r="CO3501" s="459" t="s">
        <v>885</v>
      </c>
      <c r="CP3501" s="459" t="s">
        <v>885</v>
      </c>
      <c r="CQ3501" s="459" t="s">
        <v>885</v>
      </c>
      <c r="CR3501" s="459" t="s">
        <v>885</v>
      </c>
      <c r="CS3501" s="459" t="s">
        <v>885</v>
      </c>
      <c r="CT3501" s="245" t="s">
        <v>885</v>
      </c>
      <c r="CU3501" s="463" t="s">
        <v>885</v>
      </c>
      <c r="CV3501" s="245" t="s">
        <v>885</v>
      </c>
      <c r="CW3501" s="245" t="s">
        <v>885</v>
      </c>
      <c r="CX3501" s="459" t="s">
        <v>885</v>
      </c>
      <c r="CY3501" s="459" t="s">
        <v>885</v>
      </c>
      <c r="CZ3501" s="459" t="s">
        <v>885</v>
      </c>
      <c r="DA3501" s="459" t="s">
        <v>885</v>
      </c>
      <c r="DB3501" s="459" t="s">
        <v>885</v>
      </c>
      <c r="DC3501" s="459" t="s">
        <v>885</v>
      </c>
      <c r="DD3501" s="459" t="s">
        <v>885</v>
      </c>
      <c r="DE3501" s="459" t="s">
        <v>885</v>
      </c>
      <c r="DF3501" s="459" t="s">
        <v>885</v>
      </c>
      <c r="DG3501" s="459" t="s">
        <v>885</v>
      </c>
      <c r="DH3501" s="459" t="s">
        <v>885</v>
      </c>
      <c r="DI3501" s="459" t="s">
        <v>885</v>
      </c>
      <c r="DJ3501" s="459" t="s">
        <v>885</v>
      </c>
      <c r="DK3501" s="459" t="s">
        <v>885</v>
      </c>
      <c r="DL3501" s="459" t="s">
        <v>885</v>
      </c>
      <c r="DM3501" s="459" t="s">
        <v>885</v>
      </c>
      <c r="DN3501" s="459" t="s">
        <v>885</v>
      </c>
      <c r="DO3501" s="459" t="s">
        <v>885</v>
      </c>
      <c r="DP3501" t="s">
        <v>3052</v>
      </c>
      <c r="DQ3501" s="459" t="s">
        <v>885</v>
      </c>
      <c r="DR3501" s="459" t="s">
        <v>885</v>
      </c>
      <c r="DS3501" s="459" t="s">
        <v>885</v>
      </c>
      <c r="DT3501" s="459" t="s">
        <v>885</v>
      </c>
      <c r="DU3501" s="459" t="s">
        <v>885</v>
      </c>
      <c r="DV3501" s="459" t="s">
        <v>885</v>
      </c>
      <c r="DW3501" s="459" t="s">
        <v>885</v>
      </c>
      <c r="DX3501" s="245" t="s">
        <v>885</v>
      </c>
      <c r="DY3501" s="245"/>
      <c r="DZ3501" s="470" t="str">
        <f>IF($B$265=$B$3278,EB3501,IF($B$265=$B$3279,ED3501,IF($B$265=$B$3280,EF3501,IF($B$265=$B$3281,EH3501,IF($B$265=$B$3282,EJ3501,IF($B$265=$B$3283,EL3501,IF($B$265=$B$3284,EN3501,IF($B$265=$B$3285,EP3501,IF($B$265=$B$3286,ER3501,IF($B$265=$B$3287,ET3501,IF($B$265=$B$3288,EV3501,IF($B$265=$B$3289,EX3501,IF($B$265=$B$3290,EZ3501,IF($B$265=$B$3291,FB3501,IF($B$265=$B$3292,FD3501,IF($B$265=$B$3293,BU3501,IF($B$265=$B$3294,FF3501,IF($B$265=$B$3295,FH3501,IF($B$265=$B$3296,FJ3501,IF($B$265=$B$3297,FL3501,IF($B$265=$B$3298,FN3501,IF($B$265=$B$3299,FP3501,IF(BI$265=$B$3300,FR3501,IF($B$265=$B$3301,FT3501,IF($B$265=$B$3302,FV3501,IF($B$265=$B$3303,FX3501,IF($B$265=$B$3304,FZ3501,IF($B$265=$B$3305,GB3501,IF($B$265=$B$3306,GD3501,IF($B$265=$B$3307,GF3501,IF($B$265=$B$3308,GH3501,IF($B$265=$B$3309,GJ3501,IF($B$265=$B$3310,GL3501,IF($B$265=$B$3311,GN3501,IF($B$265=$B$3312,GP3501,IF($B$265=$B$3313,GR3501,IF($B$265=$B$3314,GT3501,IF($B$265=$B$3315,GV3501,IF($B$265=$B$3316,GX3501,IF($B$265=$B$3317,GZ3501,IF($B$265=$B$3318,HB3501,IF($B$265=$B$3319,HD3501,IF($B$265=$B$3320,HF3501,IF($B$265=$B$3321,HH3501,IF($B$265=$B$3322,HJ3501,IF($B$265=$B$3323,HL3501,IF($B$265=$B$3324,HN3501,IF($B$265=$B$3325,HP3501,IF($B$265=$B$3326,HR3501,IF($B$265=$B$3327,HT3501,IF($B$265=$B$3328,HV3501,IF($B$265=$B$3329,HX3501,""))))))))))))))))))))))))))))))))))))))))))))))))))))</f>
        <v/>
      </c>
      <c r="EA3501" s="470" t="str">
        <f>IF($B$265=$B$3278,EC3501,IF($B$265=$B$3279,EE3501,IF($B$265=$B$3280,EG3501,IF($B$265=$B$3281,EI3501,IF($B$265=$B$3282,EK3501,IF($B$265=$B$3283,EM3501,IF($B$265=$B$3284,EO3501,IF($B$265=$B$3285,EQ3501,IF($B$265=$B$3286,ES3501,IF($B$265=$B$3287,EU3501,IF($B$265=$B$3288,EW3501,IF($B$265=$B$3289,EY3501,IF($B$265=$B$3290,FA3501,IF($B$265=$B$3291,FC3501,IF($B$265=$B$3292,FE3501,IF($B$265=$B$3293,BK3501,IF($B$265=$B$3294,FG3501,IF($B$265=$B$3295,FI3501,IF($B$265=$B$3296,FK3501,IF($B$265=$B$3297,FM3501,IF($B$265=$B$3298,FO3501,IF($B$265=$B$3299,FQ3501,IF(BJ$265=$B$3300,FS3501,IF($B$265=$B$3301,FU3501,IF($B$265=$B$3302,FW3501,IF($B$265=$B$3303,FY3501,IF($B$265=$B$3304,GA3501,IF($B$265=$B$3305,GC3501,IF($B$265=$B$3306,GE3501,IF($B$265=$B$3307,GG3501,IF($B$265=$B$3308,GI3501,IF($B$265=$B$3309,GK3501,IF($B$265=$B$3310,GM3501,IF($B$265=$B$3311,GO3501,IF($B$265=$B$3312,GQ3501,IF($B$265=$B$3313,GS3501,IF($B$265=$B$3314,GU3501,IF($B$265=$B$3315,GW3501,IF($B$265=$B$3316,GY3501,IF($B$265=$B$3317,HA3501,IF($B$265=$B$3318,HC3501,IF($B$265=$B$3319,HE3501,IF($B$265=$B$3320,HG3501,IF($B$265=$B$3321,HI3501,IF($B$265=$B$3322,HK3501,IF($B$265=$B$3323,HM3501,IF($B$265=$B$3324,HO3501,IF($B$265=$B$3325,HQ3501,IF($B$265=$B$3326,HS3501,IF($B$265=$B$3327,HU3501,IF($B$265=$B$3328,HW3501,IF($B$265=$B$3329,HY3501,""))))))))))))))))))))))))))))))))))))))))))))))))))))</f>
        <v/>
      </c>
      <c r="EB3501" s="459" t="s">
        <v>885</v>
      </c>
    </row>
    <row r="3502" spans="1:132" ht="16" hidden="1" x14ac:dyDescent="0.4">
      <c r="A3502" s="813"/>
      <c r="BB3502" s="48"/>
      <c r="BS3502" s="464" t="str">
        <f>IF($B$265=B$3278,BZ3501,IF($B$265=B$3279,CA3501,IF($B$265=B$3280,CB3501,IF($B$265=B$3281,CC3501,IF($B$265=B$3282,CD3501,IF($B$265=B$3283,CE3501,IF($B$265=B$3284,CF3501,IF($B$265=B$3285,CG3501,IF($B$265=B$3286,CH3501,IF($B$265=B$3287,CI3501,IF($B$265=B$3288,CJ3501,IF($B$265=B$3289,CK3501,IF($B$265=B$3290,CL3501,IF($B$265=B$3291,CM3501,IF($B$265=B$3292,CN3501,IF($B$265=B$3293,C2732,IF($B$265=B$3294,CO3501,IF($B$265=B$3295,CP3501,IF($B$265=B$3296,CQ3501,IF($B$265=B$3297,CR3501,IF($B$265=B$3298,CS3501,IF($B$265=B$3299,CT3501,IF(B$265=B$3300,CU3501,IF($B$265=B$3301,CV3501,IF($B$265=B$3302,CW3501,IF($B$265=B$3303,CX3501,IF($B$265=B$3304,CY3501,IF($B$265=B$3305,CZ3501,IF($B$265=B$3306,DA3501,IF($B$265=B$3307,DB3501,IF($B$265=B$3308,DC3501,IF($B$265=B$3309,DD3501,IF($B$265=B$3310,DE3501,IF($B$265=B$3311,DF3501,IF($B$265=B$3312,DG3501,IF($B$265=B$3313,DH3501,IF($B$265=B$3314,DI3501,IF($B$265=B$3315,DJ3501,IF($B$265=B$3316,DK3501,IF($B$265=B$3317,DL3501,IF($B$265=B$3318,DM3501,IF($B$265=B$3319,DN3501,IF($B$265=B$3320,DO3501,IF($B$265=B$3321,DP3501,IF($B$265=B$3322,DQ3501,IF($B$265=B$3323,DR3501,IF($B$265=B$3324,DS3501,IF($B$265=B$3325,DT3501,IF($B$265=B$3326,DU3501,IF($B$265=B$3327,DV3501,IF($B$265=B$3328,DW3501,IF($B$265=B$3329,DX3501,""))))))))))))))))))))))))))))))))))))))))))))))))))))</f>
        <v/>
      </c>
      <c r="BZ3502" s="245" t="s">
        <v>885</v>
      </c>
      <c r="CA3502" s="245" t="s">
        <v>885</v>
      </c>
      <c r="CC3502" s="245" t="s">
        <v>885</v>
      </c>
      <c r="CD3502" s="459" t="s">
        <v>885</v>
      </c>
      <c r="CE3502" s="459" t="s">
        <v>885</v>
      </c>
      <c r="CF3502" s="245" t="s">
        <v>885</v>
      </c>
      <c r="CG3502" s="245" t="s">
        <v>885</v>
      </c>
      <c r="CH3502" s="245" t="s">
        <v>885</v>
      </c>
      <c r="CI3502" s="245" t="s">
        <v>885</v>
      </c>
      <c r="CJ3502" s="459" t="s">
        <v>885</v>
      </c>
      <c r="CK3502" s="459" t="s">
        <v>885</v>
      </c>
      <c r="CL3502" s="459" t="s">
        <v>885</v>
      </c>
      <c r="CM3502" s="459" t="s">
        <v>885</v>
      </c>
      <c r="CN3502" s="459" t="s">
        <v>885</v>
      </c>
      <c r="CO3502" s="459" t="s">
        <v>885</v>
      </c>
      <c r="CP3502" s="459" t="s">
        <v>885</v>
      </c>
      <c r="CQ3502" s="459" t="s">
        <v>885</v>
      </c>
      <c r="CR3502" s="459" t="s">
        <v>885</v>
      </c>
      <c r="CS3502" s="459" t="s">
        <v>885</v>
      </c>
      <c r="CT3502" s="245" t="s">
        <v>885</v>
      </c>
      <c r="CU3502" s="463" t="s">
        <v>885</v>
      </c>
      <c r="CV3502" s="245" t="s">
        <v>885</v>
      </c>
      <c r="CW3502" s="245" t="s">
        <v>885</v>
      </c>
      <c r="CX3502" s="459" t="s">
        <v>885</v>
      </c>
      <c r="CY3502" s="459" t="s">
        <v>885</v>
      </c>
      <c r="CZ3502" s="459" t="s">
        <v>885</v>
      </c>
      <c r="DA3502" s="459" t="s">
        <v>885</v>
      </c>
      <c r="DB3502" s="459" t="s">
        <v>885</v>
      </c>
      <c r="DC3502" s="459" t="s">
        <v>885</v>
      </c>
      <c r="DD3502" s="459" t="s">
        <v>885</v>
      </c>
      <c r="DE3502" s="459" t="s">
        <v>885</v>
      </c>
      <c r="DF3502" s="459" t="s">
        <v>885</v>
      </c>
      <c r="DG3502" s="459" t="s">
        <v>885</v>
      </c>
      <c r="DH3502" s="459" t="s">
        <v>885</v>
      </c>
      <c r="DI3502" s="459" t="s">
        <v>885</v>
      </c>
      <c r="DJ3502" s="459" t="s">
        <v>885</v>
      </c>
      <c r="DK3502" s="459" t="s">
        <v>885</v>
      </c>
      <c r="DL3502" s="459" t="s">
        <v>885</v>
      </c>
      <c r="DM3502" s="459" t="s">
        <v>885</v>
      </c>
      <c r="DN3502" s="459" t="s">
        <v>885</v>
      </c>
      <c r="DO3502" s="459" t="s">
        <v>885</v>
      </c>
      <c r="DP3502" t="s">
        <v>3053</v>
      </c>
      <c r="DQ3502" s="459" t="s">
        <v>885</v>
      </c>
      <c r="DR3502" s="459" t="s">
        <v>885</v>
      </c>
      <c r="DS3502" s="459" t="s">
        <v>885</v>
      </c>
      <c r="DT3502" s="459" t="s">
        <v>885</v>
      </c>
      <c r="DU3502" s="459" t="s">
        <v>885</v>
      </c>
      <c r="DV3502" s="459" t="s">
        <v>885</v>
      </c>
      <c r="DW3502" s="459" t="s">
        <v>885</v>
      </c>
      <c r="DX3502" s="245" t="s">
        <v>885</v>
      </c>
      <c r="DY3502" s="245"/>
      <c r="DZ3502" s="470" t="str">
        <f>IF($B$265=$B$3278,EB3502,IF($B$265=$B$3279,ED3502,IF($B$265=$B$3280,EF3502,IF($B$265=$B$3281,EH3502,IF($B$265=$B$3282,EJ3502,IF($B$265=$B$3283,EL3502,IF($B$265=$B$3284,EN3502,IF($B$265=$B$3285,EP3502,IF($B$265=$B$3286,ER3502,IF($B$265=$B$3287,ET3502,IF($B$265=$B$3288,EV3502,IF($B$265=$B$3289,EX3502,IF($B$265=$B$3290,EZ3502,IF($B$265=$B$3291,FB3502,IF($B$265=$B$3292,FD3502,IF($B$265=$B$3293,BU3502,IF($B$265=$B$3294,FF3502,IF($B$265=$B$3295,FH3502,IF($B$265=$B$3296,FJ3502,IF($B$265=$B$3297,FL3502,IF($B$265=$B$3298,FN3502,IF($B$265=$B$3299,FP3502,IF(BI$265=$B$3300,FR3502,IF($B$265=$B$3301,FT3502,IF($B$265=$B$3302,FV3502,IF($B$265=$B$3303,FX3502,IF($B$265=$B$3304,FZ3502,IF($B$265=$B$3305,GB3502,IF($B$265=$B$3306,GD3502,IF($B$265=$B$3307,GF3502,IF($B$265=$B$3308,GH3502,IF($B$265=$B$3309,GJ3502,IF($B$265=$B$3310,GL3502,IF($B$265=$B$3311,GN3502,IF($B$265=$B$3312,GP3502,IF($B$265=$B$3313,GR3502,IF($B$265=$B$3314,GT3502,IF($B$265=$B$3315,GV3502,IF($B$265=$B$3316,GX3502,IF($B$265=$B$3317,GZ3502,IF($B$265=$B$3318,HB3502,IF($B$265=$B$3319,HD3502,IF($B$265=$B$3320,HF3502,IF($B$265=$B$3321,HH3502,IF($B$265=$B$3322,HJ3502,IF($B$265=$B$3323,HL3502,IF($B$265=$B$3324,HN3502,IF($B$265=$B$3325,HP3502,IF($B$265=$B$3326,HR3502,IF($B$265=$B$3327,HT3502,IF($B$265=$B$3328,HV3502,IF($B$265=$B$3329,HX3502,""))))))))))))))))))))))))))))))))))))))))))))))))))))</f>
        <v/>
      </c>
      <c r="EA3502" s="470" t="str">
        <f>IF($B$265=$B$3278,EC3502,IF($B$265=$B$3279,EE3502,IF($B$265=$B$3280,EG3502,IF($B$265=$B$3281,EI3502,IF($B$265=$B$3282,EK3502,IF($B$265=$B$3283,EM3502,IF($B$265=$B$3284,EO3502,IF($B$265=$B$3285,EQ3502,IF($B$265=$B$3286,ES3502,IF($B$265=$B$3287,EU3502,IF($B$265=$B$3288,EW3502,IF($B$265=$B$3289,EY3502,IF($B$265=$B$3290,FA3502,IF($B$265=$B$3291,FC3502,IF($B$265=$B$3292,FE3502,IF($B$265=$B$3293,BK3502,IF($B$265=$B$3294,FG3502,IF($B$265=$B$3295,FI3502,IF($B$265=$B$3296,FK3502,IF($B$265=$B$3297,FM3502,IF($B$265=$B$3298,FO3502,IF($B$265=$B$3299,FQ3502,IF(BJ$265=$B$3300,FS3502,IF($B$265=$B$3301,FU3502,IF($B$265=$B$3302,FW3502,IF($B$265=$B$3303,FY3502,IF($B$265=$B$3304,GA3502,IF($B$265=$B$3305,GC3502,IF($B$265=$B$3306,GE3502,IF($B$265=$B$3307,GG3502,IF($B$265=$B$3308,GI3502,IF($B$265=$B$3309,GK3502,IF($B$265=$B$3310,GM3502,IF($B$265=$B$3311,GO3502,IF($B$265=$B$3312,GQ3502,IF($B$265=$B$3313,GS3502,IF($B$265=$B$3314,GU3502,IF($B$265=$B$3315,GW3502,IF($B$265=$B$3316,GY3502,IF($B$265=$B$3317,HA3502,IF($B$265=$B$3318,HC3502,IF($B$265=$B$3319,HE3502,IF($B$265=$B$3320,HG3502,IF($B$265=$B$3321,HI3502,IF($B$265=$B$3322,HK3502,IF($B$265=$B$3323,HM3502,IF($B$265=$B$3324,HO3502,IF($B$265=$B$3325,HQ3502,IF($B$265=$B$3326,HS3502,IF($B$265=$B$3327,HU3502,IF($B$265=$B$3328,HW3502,IF($B$265=$B$3329,HY3502,""))))))))))))))))))))))))))))))))))))))))))))))))))))</f>
        <v/>
      </c>
      <c r="EB3502" s="459" t="s">
        <v>885</v>
      </c>
    </row>
    <row r="3503" spans="1:132" ht="16" hidden="1" x14ac:dyDescent="0.4">
      <c r="A3503" s="813"/>
      <c r="BS3503" s="464" t="str">
        <f>IF($B$265=B$3278,BZ3502,IF($B$265=B$3279,CA3502,IF($B$265=B$3280,CB3502,IF($B$265=B$3281,CC3502,IF($B$265=B$3282,CD3502,IF($B$265=B$3283,CE3502,IF($B$265=B$3284,CF3502,IF($B$265=B$3285,CG3502,IF($B$265=B$3286,CH3502,IF($B$265=B$3287,CI3502,IF($B$265=B$3288,CJ3502,IF($B$265=B$3289,CK3502,IF($B$265=B$3290,CL3502,IF($B$265=B$3291,CM3502,IF($B$265=B$3292,CN3502,IF($B$265=B$3293,C2733,IF($B$265=B$3294,CO3502,IF($B$265=B$3295,CP3502,IF($B$265=B$3296,CQ3502,IF($B$265=B$3297,CR3502,IF($B$265=B$3298,CS3502,IF($B$265=B$3299,CT3502,IF(B$265=B$3300,CU3502,IF($B$265=B$3301,CV3502,IF($B$265=B$3302,CW3502,IF($B$265=B$3303,CX3502,IF($B$265=B$3304,CY3502,IF($B$265=B$3305,CZ3502,IF($B$265=B$3306,DA3502,IF($B$265=B$3307,DB3502,IF($B$265=B$3308,DC3502,IF($B$265=B$3309,DD3502,IF($B$265=B$3310,DE3502,IF($B$265=B$3311,DF3502,IF($B$265=B$3312,DG3502,IF($B$265=B$3313,DH3502,IF($B$265=B$3314,DI3502,IF($B$265=B$3315,DJ3502,IF($B$265=B$3316,DK3502,IF($B$265=B$3317,DL3502,IF($B$265=B$3318,DM3502,IF($B$265=B$3319,DN3502,IF($B$265=B$3320,DO3502,IF($B$265=B$3321,DP3502,IF($B$265=B$3322,DQ3502,IF($B$265=B$3323,DR3502,IF($B$265=B$3324,DS3502,IF($B$265=B$3325,DT3502,IF($B$265=B$3326,DU3502,IF($B$265=B$3327,DV3502,IF($B$265=B$3328,DW3502,IF($B$265=B$3329,DX3502,""))))))))))))))))))))))))))))))))))))))))))))))))))))</f>
        <v/>
      </c>
      <c r="BZ3503" s="245" t="s">
        <v>885</v>
      </c>
      <c r="CA3503" s="245" t="s">
        <v>885</v>
      </c>
      <c r="CC3503" s="245" t="s">
        <v>885</v>
      </c>
      <c r="CD3503" s="459" t="s">
        <v>885</v>
      </c>
      <c r="CE3503" s="459" t="s">
        <v>885</v>
      </c>
      <c r="CF3503" s="245" t="s">
        <v>885</v>
      </c>
      <c r="CG3503" s="245" t="s">
        <v>885</v>
      </c>
      <c r="CH3503" s="245" t="s">
        <v>885</v>
      </c>
      <c r="CI3503" s="245" t="s">
        <v>885</v>
      </c>
      <c r="CJ3503" s="459" t="s">
        <v>885</v>
      </c>
      <c r="CK3503" s="459" t="s">
        <v>885</v>
      </c>
      <c r="CL3503" s="459" t="s">
        <v>885</v>
      </c>
      <c r="CM3503" s="459" t="s">
        <v>885</v>
      </c>
      <c r="CN3503" s="459" t="s">
        <v>885</v>
      </c>
      <c r="CO3503" s="459" t="s">
        <v>885</v>
      </c>
      <c r="CP3503" s="459" t="s">
        <v>885</v>
      </c>
      <c r="CQ3503" s="459" t="s">
        <v>885</v>
      </c>
      <c r="CR3503" s="459" t="s">
        <v>885</v>
      </c>
      <c r="CS3503" s="459" t="s">
        <v>885</v>
      </c>
      <c r="CT3503" s="245" t="s">
        <v>885</v>
      </c>
      <c r="CU3503" s="463" t="s">
        <v>885</v>
      </c>
      <c r="CV3503" s="245" t="s">
        <v>885</v>
      </c>
      <c r="CW3503" s="245" t="s">
        <v>885</v>
      </c>
      <c r="CX3503" s="459" t="s">
        <v>885</v>
      </c>
      <c r="CY3503" s="459" t="s">
        <v>885</v>
      </c>
      <c r="CZ3503" s="459" t="s">
        <v>885</v>
      </c>
      <c r="DA3503" s="459" t="s">
        <v>885</v>
      </c>
      <c r="DB3503" s="459" t="s">
        <v>885</v>
      </c>
      <c r="DC3503" s="459" t="s">
        <v>885</v>
      </c>
      <c r="DD3503" s="459" t="s">
        <v>885</v>
      </c>
      <c r="DE3503" s="459" t="s">
        <v>885</v>
      </c>
      <c r="DF3503" s="459" t="s">
        <v>885</v>
      </c>
      <c r="DG3503" s="459" t="s">
        <v>885</v>
      </c>
      <c r="DH3503" s="459" t="s">
        <v>885</v>
      </c>
      <c r="DI3503" s="459" t="s">
        <v>885</v>
      </c>
      <c r="DJ3503" s="459" t="s">
        <v>885</v>
      </c>
      <c r="DK3503" s="459" t="s">
        <v>885</v>
      </c>
      <c r="DL3503" s="459" t="s">
        <v>885</v>
      </c>
      <c r="DM3503" s="459" t="s">
        <v>885</v>
      </c>
      <c r="DN3503" s="459" t="s">
        <v>885</v>
      </c>
      <c r="DO3503" s="459" t="s">
        <v>885</v>
      </c>
      <c r="DP3503" t="s">
        <v>3054</v>
      </c>
      <c r="DQ3503" s="459" t="s">
        <v>885</v>
      </c>
      <c r="DR3503" s="459" t="s">
        <v>885</v>
      </c>
      <c r="DS3503" s="459" t="s">
        <v>885</v>
      </c>
      <c r="DT3503" s="459" t="s">
        <v>885</v>
      </c>
      <c r="DU3503" s="459" t="s">
        <v>885</v>
      </c>
      <c r="DV3503" s="459" t="s">
        <v>885</v>
      </c>
      <c r="DW3503" s="459" t="s">
        <v>885</v>
      </c>
      <c r="DX3503" s="245" t="s">
        <v>885</v>
      </c>
      <c r="DY3503" s="245"/>
      <c r="DZ3503" s="470" t="str">
        <f>IF($B$265=$B$3278,EB3503,IF($B$265=$B$3279,ED3503,IF($B$265=$B$3280,EF3503,IF($B$265=$B$3281,EH3503,IF($B$265=$B$3282,EJ3503,IF($B$265=$B$3283,EL3503,IF($B$265=$B$3284,EN3503,IF($B$265=$B$3285,EP3503,IF($B$265=$B$3286,ER3503,IF($B$265=$B$3287,ET3503,IF($B$265=$B$3288,EV3503,IF($B$265=$B$3289,EX3503,IF($B$265=$B$3290,EZ3503,IF($B$265=$B$3291,FB3503,IF($B$265=$B$3292,FD3503,IF($B$265=$B$3293,BU3503,IF($B$265=$B$3294,FF3503,IF($B$265=$B$3295,FH3503,IF($B$265=$B$3296,FJ3503,IF($B$265=$B$3297,FL3503,IF($B$265=$B$3298,FN3503,IF($B$265=$B$3299,FP3503,IF(BI$265=$B$3300,FR3503,IF($B$265=$B$3301,FT3503,IF($B$265=$B$3302,FV3503,IF($B$265=$B$3303,FX3503,IF($B$265=$B$3304,FZ3503,IF($B$265=$B$3305,GB3503,IF($B$265=$B$3306,GD3503,IF($B$265=$B$3307,GF3503,IF($B$265=$B$3308,GH3503,IF($B$265=$B$3309,GJ3503,IF($B$265=$B$3310,GL3503,IF($B$265=$B$3311,GN3503,IF($B$265=$B$3312,GP3503,IF($B$265=$B$3313,GR3503,IF($B$265=$B$3314,GT3503,IF($B$265=$B$3315,GV3503,IF($B$265=$B$3316,GX3503,IF($B$265=$B$3317,GZ3503,IF($B$265=$B$3318,HB3503,IF($B$265=$B$3319,HD3503,IF($B$265=$B$3320,HF3503,IF($B$265=$B$3321,HH3503,IF($B$265=$B$3322,HJ3503,IF($B$265=$B$3323,HL3503,IF($B$265=$B$3324,HN3503,IF($B$265=$B$3325,HP3503,IF($B$265=$B$3326,HR3503,IF($B$265=$B$3327,HT3503,IF($B$265=$B$3328,HV3503,IF($B$265=$B$3329,HX3503,""))))))))))))))))))))))))))))))))))))))))))))))))))))</f>
        <v/>
      </c>
      <c r="EA3503" s="470" t="str">
        <f>IF($B$265=$B$3278,EC3503,IF($B$265=$B$3279,EE3503,IF($B$265=$B$3280,EG3503,IF($B$265=$B$3281,EI3503,IF($B$265=$B$3282,EK3503,IF($B$265=$B$3283,EM3503,IF($B$265=$B$3284,EO3503,IF($B$265=$B$3285,EQ3503,IF($B$265=$B$3286,ES3503,IF($B$265=$B$3287,EU3503,IF($B$265=$B$3288,EW3503,IF($B$265=$B$3289,EY3503,IF($B$265=$B$3290,FA3503,IF($B$265=$B$3291,FC3503,IF($B$265=$B$3292,FE3503,IF($B$265=$B$3293,BK3503,IF($B$265=$B$3294,FG3503,IF($B$265=$B$3295,FI3503,IF($B$265=$B$3296,FK3503,IF($B$265=$B$3297,FM3503,IF($B$265=$B$3298,FO3503,IF($B$265=$B$3299,FQ3503,IF(BJ$265=$B$3300,FS3503,IF($B$265=$B$3301,FU3503,IF($B$265=$B$3302,FW3503,IF($B$265=$B$3303,FY3503,IF($B$265=$B$3304,GA3503,IF($B$265=$B$3305,GC3503,IF($B$265=$B$3306,GE3503,IF($B$265=$B$3307,GG3503,IF($B$265=$B$3308,GI3503,IF($B$265=$B$3309,GK3503,IF($B$265=$B$3310,GM3503,IF($B$265=$B$3311,GO3503,IF($B$265=$B$3312,GQ3503,IF($B$265=$B$3313,GS3503,IF($B$265=$B$3314,GU3503,IF($B$265=$B$3315,GW3503,IF($B$265=$B$3316,GY3503,IF($B$265=$B$3317,HA3503,IF($B$265=$B$3318,HC3503,IF($B$265=$B$3319,HE3503,IF($B$265=$B$3320,HG3503,IF($B$265=$B$3321,HI3503,IF($B$265=$B$3322,HK3503,IF($B$265=$B$3323,HM3503,IF($B$265=$B$3324,HO3503,IF($B$265=$B$3325,HQ3503,IF($B$265=$B$3326,HS3503,IF($B$265=$B$3327,HU3503,IF($B$265=$B$3328,HW3503,IF($B$265=$B$3329,HY3503,""))))))))))))))))))))))))))))))))))))))))))))))))))))</f>
        <v/>
      </c>
      <c r="EB3503" s="459" t="s">
        <v>885</v>
      </c>
    </row>
    <row r="3504" spans="1:132" ht="16" hidden="1" x14ac:dyDescent="0.4">
      <c r="A3504" s="813"/>
      <c r="BS3504" s="464" t="str">
        <f>IF($B$265=B$3278,BZ3503,IF($B$265=B$3279,CA3503,IF($B$265=B$3280,CB3503,IF($B$265=B$3281,CC3503,IF($B$265=B$3282,CD3503,IF($B$265=B$3283,CE3503,IF($B$265=B$3284,CF3503,IF($B$265=B$3285,CG3503,IF($B$265=B$3286,CH3503,IF($B$265=B$3287,CI3503,IF($B$265=B$3288,CJ3503,IF($B$265=B$3289,CK3503,IF($B$265=B$3290,CL3503,IF($B$265=B$3291,CM3503,IF($B$265=B$3292,CN3503,IF($B$265=B$3293,C2740,IF($B$265=B$3294,CO3503,IF($B$265=B$3295,CP3503,IF($B$265=B$3296,CQ3503,IF($B$265=B$3297,CR3503,IF($B$265=B$3298,CS3503,IF($B$265=B$3299,CT3503,IF(B$265=B$3300,CU3503,IF($B$265=B$3301,CV3503,IF($B$265=B$3302,CW3503,IF($B$265=B$3303,CX3503,IF($B$265=B$3304,CY3503,IF($B$265=B$3305,CZ3503,IF($B$265=B$3306,DA3503,IF($B$265=B$3307,DB3503,IF($B$265=B$3308,DC3503,IF($B$265=B$3309,DD3503,IF($B$265=B$3310,DE3503,IF($B$265=B$3311,DF3503,IF($B$265=B$3312,DG3503,IF($B$265=B$3313,DH3503,IF($B$265=B$3314,DI3503,IF($B$265=B$3315,DJ3503,IF($B$265=B$3316,DK3503,IF($B$265=B$3317,DL3503,IF($B$265=B$3318,DM3503,IF($B$265=B$3319,DN3503,IF($B$265=B$3320,DO3503,IF($B$265=B$3321,DP3503,IF($B$265=B$3322,DQ3503,IF($B$265=B$3323,DR3503,IF($B$265=B$3324,DS3503,IF($B$265=B$3325,DT3503,IF($B$265=B$3326,DU3503,IF($B$265=B$3327,DV3503,IF($B$265=B$3328,DW3503,IF($B$265=B$3329,DX3503,""))))))))))))))))))))))))))))))))))))))))))))))))))))</f>
        <v/>
      </c>
      <c r="BZ3504" s="245" t="s">
        <v>885</v>
      </c>
      <c r="CA3504" s="245" t="s">
        <v>885</v>
      </c>
      <c r="CC3504" s="245" t="s">
        <v>885</v>
      </c>
      <c r="CD3504" s="459" t="s">
        <v>885</v>
      </c>
      <c r="CE3504" s="459" t="s">
        <v>885</v>
      </c>
      <c r="CF3504" s="245" t="s">
        <v>885</v>
      </c>
      <c r="CG3504" s="245" t="s">
        <v>885</v>
      </c>
      <c r="CH3504" s="245" t="s">
        <v>885</v>
      </c>
      <c r="CI3504" s="245" t="s">
        <v>885</v>
      </c>
      <c r="CJ3504" s="459" t="s">
        <v>885</v>
      </c>
      <c r="CK3504" s="459" t="s">
        <v>885</v>
      </c>
      <c r="CL3504" s="459" t="s">
        <v>885</v>
      </c>
      <c r="CM3504" s="459" t="s">
        <v>885</v>
      </c>
      <c r="CN3504" s="459" t="s">
        <v>885</v>
      </c>
      <c r="CO3504" s="459" t="s">
        <v>885</v>
      </c>
      <c r="CP3504" s="459" t="s">
        <v>885</v>
      </c>
      <c r="CQ3504" s="459" t="s">
        <v>885</v>
      </c>
      <c r="CR3504" s="459" t="s">
        <v>885</v>
      </c>
      <c r="CS3504" s="459" t="s">
        <v>885</v>
      </c>
      <c r="CT3504" s="245" t="s">
        <v>885</v>
      </c>
      <c r="CU3504" s="463" t="s">
        <v>885</v>
      </c>
      <c r="CV3504" s="245" t="s">
        <v>885</v>
      </c>
      <c r="CW3504" s="245" t="s">
        <v>885</v>
      </c>
      <c r="CX3504" s="459" t="s">
        <v>885</v>
      </c>
      <c r="CY3504" s="459" t="s">
        <v>885</v>
      </c>
      <c r="CZ3504" s="459" t="s">
        <v>885</v>
      </c>
      <c r="DA3504" s="459" t="s">
        <v>885</v>
      </c>
      <c r="DB3504" s="459" t="s">
        <v>885</v>
      </c>
      <c r="DC3504" s="459" t="s">
        <v>885</v>
      </c>
      <c r="DD3504" s="459" t="s">
        <v>885</v>
      </c>
      <c r="DE3504" s="459" t="s">
        <v>885</v>
      </c>
      <c r="DF3504" s="459" t="s">
        <v>885</v>
      </c>
      <c r="DG3504" s="459" t="s">
        <v>885</v>
      </c>
      <c r="DH3504" s="459" t="s">
        <v>885</v>
      </c>
      <c r="DI3504" s="459" t="s">
        <v>885</v>
      </c>
      <c r="DJ3504" s="459" t="s">
        <v>885</v>
      </c>
      <c r="DK3504" s="459" t="s">
        <v>885</v>
      </c>
      <c r="DL3504" s="459" t="s">
        <v>885</v>
      </c>
      <c r="DM3504" s="459" t="s">
        <v>885</v>
      </c>
      <c r="DN3504" s="459" t="s">
        <v>885</v>
      </c>
      <c r="DO3504" s="459" t="s">
        <v>885</v>
      </c>
      <c r="DP3504" t="s">
        <v>3055</v>
      </c>
      <c r="DQ3504" s="459" t="s">
        <v>885</v>
      </c>
      <c r="DR3504" s="459" t="s">
        <v>885</v>
      </c>
      <c r="DS3504" s="459" t="s">
        <v>885</v>
      </c>
      <c r="DT3504" s="459" t="s">
        <v>885</v>
      </c>
      <c r="DU3504" s="459" t="s">
        <v>885</v>
      </c>
      <c r="DV3504" s="459" t="s">
        <v>885</v>
      </c>
      <c r="DW3504" s="459" t="s">
        <v>885</v>
      </c>
      <c r="DX3504" s="245" t="s">
        <v>885</v>
      </c>
      <c r="DY3504" s="245"/>
      <c r="DZ3504" s="470" t="str">
        <f>IF($B$265=$B$3278,EB3504,IF($B$265=$B$3279,ED3504,IF($B$265=$B$3280,EF3504,IF($B$265=$B$3281,EH3504,IF($B$265=$B$3282,EJ3504,IF($B$265=$B$3283,EL3504,IF($B$265=$B$3284,EN3504,IF($B$265=$B$3285,EP3504,IF($B$265=$B$3286,ER3504,IF($B$265=$B$3287,ET3504,IF($B$265=$B$3288,EV3504,IF($B$265=$B$3289,EX3504,IF($B$265=$B$3290,EZ3504,IF($B$265=$B$3291,FB3504,IF($B$265=$B$3292,FD3504,IF($B$265=$B$3293,BU3504,IF($B$265=$B$3294,FF3504,IF($B$265=$B$3295,FH3504,IF($B$265=$B$3296,FJ3504,IF($B$265=$B$3297,FL3504,IF($B$265=$B$3298,FN3504,IF($B$265=$B$3299,FP3504,IF(BI$265=$B$3300,FR3504,IF($B$265=$B$3301,FT3504,IF($B$265=$B$3302,FV3504,IF($B$265=$B$3303,FX3504,IF($B$265=$B$3304,FZ3504,IF($B$265=$B$3305,GB3504,IF($B$265=$B$3306,GD3504,IF($B$265=$B$3307,GF3504,IF($B$265=$B$3308,GH3504,IF($B$265=$B$3309,GJ3504,IF($B$265=$B$3310,GL3504,IF($B$265=$B$3311,GN3504,IF($B$265=$B$3312,GP3504,IF($B$265=$B$3313,GR3504,IF($B$265=$B$3314,GT3504,IF($B$265=$B$3315,GV3504,IF($B$265=$B$3316,GX3504,IF($B$265=$B$3317,GZ3504,IF($B$265=$B$3318,HB3504,IF($B$265=$B$3319,HD3504,IF($B$265=$B$3320,HF3504,IF($B$265=$B$3321,HH3504,IF($B$265=$B$3322,HJ3504,IF($B$265=$B$3323,HL3504,IF($B$265=$B$3324,HN3504,IF($B$265=$B$3325,HP3504,IF($B$265=$B$3326,HR3504,IF($B$265=$B$3327,HT3504,IF($B$265=$B$3328,HV3504,IF($B$265=$B$3329,HX3504,""))))))))))))))))))))))))))))))))))))))))))))))))))))</f>
        <v/>
      </c>
      <c r="EA3504" s="470" t="str">
        <f>IF($B$265=$B$3278,EC3504,IF($B$265=$B$3279,EE3504,IF($B$265=$B$3280,EG3504,IF($B$265=$B$3281,EI3504,IF($B$265=$B$3282,EK3504,IF($B$265=$B$3283,EM3504,IF($B$265=$B$3284,EO3504,IF($B$265=$B$3285,EQ3504,IF($B$265=$B$3286,ES3504,IF($B$265=$B$3287,EU3504,IF($B$265=$B$3288,EW3504,IF($B$265=$B$3289,EY3504,IF($B$265=$B$3290,FA3504,IF($B$265=$B$3291,FC3504,IF($B$265=$B$3292,FE3504,IF($B$265=$B$3293,BK3504,IF($B$265=$B$3294,FG3504,IF($B$265=$B$3295,FI3504,IF($B$265=$B$3296,FK3504,IF($B$265=$B$3297,FM3504,IF($B$265=$B$3298,FO3504,IF($B$265=$B$3299,FQ3504,IF(BJ$265=$B$3300,FS3504,IF($B$265=$B$3301,FU3504,IF($B$265=$B$3302,FW3504,IF($B$265=$B$3303,FY3504,IF($B$265=$B$3304,GA3504,IF($B$265=$B$3305,GC3504,IF($B$265=$B$3306,GE3504,IF($B$265=$B$3307,GG3504,IF($B$265=$B$3308,GI3504,IF($B$265=$B$3309,GK3504,IF($B$265=$B$3310,GM3504,IF($B$265=$B$3311,GO3504,IF($B$265=$B$3312,GQ3504,IF($B$265=$B$3313,GS3504,IF($B$265=$B$3314,GU3504,IF($B$265=$B$3315,GW3504,IF($B$265=$B$3316,GY3504,IF($B$265=$B$3317,HA3504,IF($B$265=$B$3318,HC3504,IF($B$265=$B$3319,HE3504,IF($B$265=$B$3320,HG3504,IF($B$265=$B$3321,HI3504,IF($B$265=$B$3322,HK3504,IF($B$265=$B$3323,HM3504,IF($B$265=$B$3324,HO3504,IF($B$265=$B$3325,HQ3504,IF($B$265=$B$3326,HS3504,IF($B$265=$B$3327,HU3504,IF($B$265=$B$3328,HW3504,IF($B$265=$B$3329,HY3504,""))))))))))))))))))))))))))))))))))))))))))))))))))))</f>
        <v/>
      </c>
      <c r="EB3504" s="459" t="s">
        <v>885</v>
      </c>
    </row>
    <row r="3505" spans="1:132" ht="16" hidden="1" x14ac:dyDescent="0.4">
      <c r="A3505" s="813"/>
      <c r="BB3505" s="48"/>
      <c r="BS3505" s="464" t="str">
        <f>IF($B$265=B$3278,BZ3504,IF($B$265=B$3279,CA3504,IF($B$265=B$3280,CB3504,IF($B$265=B$3281,CC3504,IF($B$265=B$3282,CD3504,IF($B$265=B$3283,CE3504,IF($B$265=B$3284,CF3504,IF($B$265=B$3285,CG3504,IF($B$265=B$3286,CH3504,IF($B$265=B$3287,CI3504,IF($B$265=B$3288,CJ3504,IF($B$265=B$3289,CK3504,IF($B$265=B$3290,CL3504,IF($B$265=B$3291,CM3504,IF($B$265=B$3292,CN3504,IF($B$265=B$3293,C2741,IF($B$265=B$3294,CO3504,IF($B$265=B$3295,CP3504,IF($B$265=B$3296,CQ3504,IF($B$265=B$3297,CR3504,IF($B$265=B$3298,CS3504,IF($B$265=B$3299,CT3504,IF(B$265=B$3300,CU3504,IF($B$265=B$3301,CV3504,IF($B$265=B$3302,CW3504,IF($B$265=B$3303,CX3504,IF($B$265=B$3304,CY3504,IF($B$265=B$3305,CZ3504,IF($B$265=B$3306,DA3504,IF($B$265=B$3307,DB3504,IF($B$265=B$3308,DC3504,IF($B$265=B$3309,DD3504,IF($B$265=B$3310,DE3504,IF($B$265=B$3311,DF3504,IF($B$265=B$3312,DG3504,IF($B$265=B$3313,DH3504,IF($B$265=B$3314,DI3504,IF($B$265=B$3315,DJ3504,IF($B$265=B$3316,DK3504,IF($B$265=B$3317,DL3504,IF($B$265=B$3318,DM3504,IF($B$265=B$3319,DN3504,IF($B$265=B$3320,DO3504,IF($B$265=B$3321,DP3504,IF($B$265=B$3322,DQ3504,IF($B$265=B$3323,DR3504,IF($B$265=B$3324,DS3504,IF($B$265=B$3325,DT3504,IF($B$265=B$3326,DU3504,IF($B$265=B$3327,DV3504,IF($B$265=B$3328,DW3504,IF($B$265=B$3329,DX3504,""))))))))))))))))))))))))))))))))))))))))))))))))))))</f>
        <v/>
      </c>
      <c r="BZ3505" s="245" t="s">
        <v>885</v>
      </c>
      <c r="CA3505" s="245" t="s">
        <v>885</v>
      </c>
      <c r="CC3505" s="245" t="s">
        <v>885</v>
      </c>
      <c r="CD3505" s="459" t="s">
        <v>885</v>
      </c>
      <c r="CE3505" s="459" t="s">
        <v>885</v>
      </c>
      <c r="CF3505" s="245" t="s">
        <v>885</v>
      </c>
      <c r="CG3505" s="245" t="s">
        <v>885</v>
      </c>
      <c r="CH3505" s="245" t="s">
        <v>885</v>
      </c>
      <c r="CI3505" s="245" t="s">
        <v>885</v>
      </c>
      <c r="CJ3505" s="459" t="s">
        <v>885</v>
      </c>
      <c r="CK3505" s="459" t="s">
        <v>885</v>
      </c>
      <c r="CL3505" s="459" t="s">
        <v>885</v>
      </c>
      <c r="CM3505" s="459" t="s">
        <v>885</v>
      </c>
      <c r="CN3505" s="459" t="s">
        <v>885</v>
      </c>
      <c r="CO3505" s="459" t="s">
        <v>885</v>
      </c>
      <c r="CP3505" s="459" t="s">
        <v>885</v>
      </c>
      <c r="CQ3505" s="459" t="s">
        <v>885</v>
      </c>
      <c r="CR3505" s="459" t="s">
        <v>885</v>
      </c>
      <c r="CS3505" s="459" t="s">
        <v>885</v>
      </c>
      <c r="CT3505" s="245" t="s">
        <v>885</v>
      </c>
      <c r="CU3505" s="463" t="s">
        <v>885</v>
      </c>
      <c r="CV3505" s="245" t="s">
        <v>885</v>
      </c>
      <c r="CW3505" s="245" t="s">
        <v>885</v>
      </c>
      <c r="CX3505" s="459" t="s">
        <v>885</v>
      </c>
      <c r="CY3505" s="459" t="s">
        <v>885</v>
      </c>
      <c r="CZ3505" s="459" t="s">
        <v>885</v>
      </c>
      <c r="DA3505" s="459" t="s">
        <v>885</v>
      </c>
      <c r="DB3505" s="459" t="s">
        <v>885</v>
      </c>
      <c r="DC3505" s="459" t="s">
        <v>885</v>
      </c>
      <c r="DD3505" s="459" t="s">
        <v>885</v>
      </c>
      <c r="DE3505" s="459" t="s">
        <v>885</v>
      </c>
      <c r="DF3505" s="459" t="s">
        <v>885</v>
      </c>
      <c r="DG3505" s="459" t="s">
        <v>885</v>
      </c>
      <c r="DH3505" s="459" t="s">
        <v>885</v>
      </c>
      <c r="DI3505" s="459" t="s">
        <v>885</v>
      </c>
      <c r="DJ3505" s="459" t="s">
        <v>885</v>
      </c>
      <c r="DK3505" s="459" t="s">
        <v>885</v>
      </c>
      <c r="DL3505" s="459" t="s">
        <v>885</v>
      </c>
      <c r="DM3505" s="459" t="s">
        <v>885</v>
      </c>
      <c r="DN3505" s="459" t="s">
        <v>885</v>
      </c>
      <c r="DO3505" s="459" t="s">
        <v>885</v>
      </c>
      <c r="DP3505" t="s">
        <v>3056</v>
      </c>
      <c r="DQ3505" s="459" t="s">
        <v>885</v>
      </c>
      <c r="DR3505" s="459" t="s">
        <v>885</v>
      </c>
      <c r="DS3505" s="459" t="s">
        <v>885</v>
      </c>
      <c r="DT3505" s="459" t="s">
        <v>885</v>
      </c>
      <c r="DU3505" s="459" t="s">
        <v>885</v>
      </c>
      <c r="DV3505" s="459" t="s">
        <v>885</v>
      </c>
      <c r="DW3505" s="459" t="s">
        <v>885</v>
      </c>
      <c r="DX3505" s="245" t="s">
        <v>885</v>
      </c>
      <c r="DY3505" s="245"/>
      <c r="DZ3505" s="470" t="str">
        <f>IF($B$265=$B$3278,EB3505,IF($B$265=$B$3279,ED3505,IF($B$265=$B$3280,EF3505,IF($B$265=$B$3281,EH3505,IF($B$265=$B$3282,EJ3505,IF($B$265=$B$3283,EL3505,IF($B$265=$B$3284,EN3505,IF($B$265=$B$3285,EP3505,IF($B$265=$B$3286,ER3505,IF($B$265=$B$3287,ET3505,IF($B$265=$B$3288,EV3505,IF($B$265=$B$3289,EX3505,IF($B$265=$B$3290,EZ3505,IF($B$265=$B$3291,FB3505,IF($B$265=$B$3292,FD3505,IF($B$265=$B$3293,BU3505,IF($B$265=$B$3294,FF3505,IF($B$265=$B$3295,FH3505,IF($B$265=$B$3296,FJ3505,IF($B$265=$B$3297,FL3505,IF($B$265=$B$3298,FN3505,IF($B$265=$B$3299,FP3505,IF(BI$265=$B$3300,FR3505,IF($B$265=$B$3301,FT3505,IF($B$265=$B$3302,FV3505,IF($B$265=$B$3303,FX3505,IF($B$265=$B$3304,FZ3505,IF($B$265=$B$3305,GB3505,IF($B$265=$B$3306,GD3505,IF($B$265=$B$3307,GF3505,IF($B$265=$B$3308,GH3505,IF($B$265=$B$3309,GJ3505,IF($B$265=$B$3310,GL3505,IF($B$265=$B$3311,GN3505,IF($B$265=$B$3312,GP3505,IF($B$265=$B$3313,GR3505,IF($B$265=$B$3314,GT3505,IF($B$265=$B$3315,GV3505,IF($B$265=$B$3316,GX3505,IF($B$265=$B$3317,GZ3505,IF($B$265=$B$3318,HB3505,IF($B$265=$B$3319,HD3505,IF($B$265=$B$3320,HF3505,IF($B$265=$B$3321,HH3505,IF($B$265=$B$3322,HJ3505,IF($B$265=$B$3323,HL3505,IF($B$265=$B$3324,HN3505,IF($B$265=$B$3325,HP3505,IF($B$265=$B$3326,HR3505,IF($B$265=$B$3327,HT3505,IF($B$265=$B$3328,HV3505,IF($B$265=$B$3329,HX3505,""))))))))))))))))))))))))))))))))))))))))))))))))))))</f>
        <v/>
      </c>
      <c r="EA3505" s="470" t="str">
        <f>IF($B$265=$B$3278,EC3505,IF($B$265=$B$3279,EE3505,IF($B$265=$B$3280,EG3505,IF($B$265=$B$3281,EI3505,IF($B$265=$B$3282,EK3505,IF($B$265=$B$3283,EM3505,IF($B$265=$B$3284,EO3505,IF($B$265=$B$3285,EQ3505,IF($B$265=$B$3286,ES3505,IF($B$265=$B$3287,EU3505,IF($B$265=$B$3288,EW3505,IF($B$265=$B$3289,EY3505,IF($B$265=$B$3290,FA3505,IF($B$265=$B$3291,FC3505,IF($B$265=$B$3292,FE3505,IF($B$265=$B$3293,BK3505,IF($B$265=$B$3294,FG3505,IF($B$265=$B$3295,FI3505,IF($B$265=$B$3296,FK3505,IF($B$265=$B$3297,FM3505,IF($B$265=$B$3298,FO3505,IF($B$265=$B$3299,FQ3505,IF(BJ$265=$B$3300,FS3505,IF($B$265=$B$3301,FU3505,IF($B$265=$B$3302,FW3505,IF($B$265=$B$3303,FY3505,IF($B$265=$B$3304,GA3505,IF($B$265=$B$3305,GC3505,IF($B$265=$B$3306,GE3505,IF($B$265=$B$3307,GG3505,IF($B$265=$B$3308,GI3505,IF($B$265=$B$3309,GK3505,IF($B$265=$B$3310,GM3505,IF($B$265=$B$3311,GO3505,IF($B$265=$B$3312,GQ3505,IF($B$265=$B$3313,GS3505,IF($B$265=$B$3314,GU3505,IF($B$265=$B$3315,GW3505,IF($B$265=$B$3316,GY3505,IF($B$265=$B$3317,HA3505,IF($B$265=$B$3318,HC3505,IF($B$265=$B$3319,HE3505,IF($B$265=$B$3320,HG3505,IF($B$265=$B$3321,HI3505,IF($B$265=$B$3322,HK3505,IF($B$265=$B$3323,HM3505,IF($B$265=$B$3324,HO3505,IF($B$265=$B$3325,HQ3505,IF($B$265=$B$3326,HS3505,IF($B$265=$B$3327,HU3505,IF($B$265=$B$3328,HW3505,IF($B$265=$B$3329,HY3505,""))))))))))))))))))))))))))))))))))))))))))))))))))))</f>
        <v/>
      </c>
      <c r="EB3505" s="459" t="s">
        <v>885</v>
      </c>
    </row>
    <row r="3506" spans="1:132" ht="16" hidden="1" x14ac:dyDescent="0.4">
      <c r="A3506" s="813"/>
      <c r="BB3506" s="48"/>
      <c r="BS3506" s="464" t="str">
        <f>IF($B$265=B$3278,BZ3505,IF($B$265=B$3279,CA3505,IF($B$265=B$3280,CB3505,IF($B$265=B$3281,CC3505,IF($B$265=B$3282,CD3505,IF($B$265=B$3283,CE3505,IF($B$265=B$3284,CF3505,IF($B$265=B$3285,CG3505,IF($B$265=B$3286,CH3505,IF($B$265=B$3287,CI3505,IF($B$265=B$3288,CJ3505,IF($B$265=B$3289,CK3505,IF($B$265=B$3290,CL3505,IF($B$265=B$3291,CM3505,IF($B$265=B$3292,CN3505,IF($B$265=B$3293,D2735,IF($B$265=B$3294,CO3505,IF($B$265=B$3295,CP3505,IF($B$265=B$3296,CQ3505,IF($B$265=B$3297,CR3505,IF($B$265=B$3298,CS3505,IF($B$265=B$3299,CT3505,IF(B$265=B$3300,CU3505,IF($B$265=B$3301,CV3505,IF($B$265=B$3302,CW3505,IF($B$265=B$3303,CX3505,IF($B$265=B$3304,CY3505,IF($B$265=B$3305,CZ3505,IF($B$265=B$3306,DA3505,IF($B$265=B$3307,DB3505,IF($B$265=B$3308,DC3505,IF($B$265=B$3309,DD3505,IF($B$265=B$3310,DE3505,IF($B$265=B$3311,DF3505,IF($B$265=B$3312,DG3505,IF($B$265=B$3313,DH3505,IF($B$265=B$3314,DI3505,IF($B$265=B$3315,DJ3505,IF($B$265=B$3316,DK3505,IF($B$265=B$3317,DL3505,IF($B$265=B$3318,DM3505,IF($B$265=B$3319,DN3505,IF($B$265=B$3320,DO3505,IF($B$265=B$3321,DP3505,IF($B$265=B$3322,DQ3505,IF($B$265=B$3323,DR3505,IF($B$265=B$3324,DS3505,IF($B$265=B$3325,DT3505,IF($B$265=B$3326,DU3505,IF($B$265=B$3327,DV3505,IF($B$265=B$3328,DW3505,IF($B$265=B$3329,DX3505,""))))))))))))))))))))))))))))))))))))))))))))))))))))</f>
        <v/>
      </c>
      <c r="BZ3506" s="245" t="s">
        <v>885</v>
      </c>
      <c r="CA3506" s="245" t="s">
        <v>885</v>
      </c>
      <c r="CC3506" s="245" t="s">
        <v>885</v>
      </c>
      <c r="CD3506" s="459" t="s">
        <v>885</v>
      </c>
      <c r="CE3506" s="459" t="s">
        <v>885</v>
      </c>
      <c r="CF3506" s="245" t="s">
        <v>885</v>
      </c>
      <c r="CG3506" s="245" t="s">
        <v>885</v>
      </c>
      <c r="CH3506" s="245" t="s">
        <v>885</v>
      </c>
      <c r="CI3506" s="245" t="s">
        <v>885</v>
      </c>
      <c r="CJ3506" s="459" t="s">
        <v>885</v>
      </c>
      <c r="CK3506" s="459" t="s">
        <v>885</v>
      </c>
      <c r="CL3506" s="459" t="s">
        <v>885</v>
      </c>
      <c r="CM3506" s="459" t="s">
        <v>885</v>
      </c>
      <c r="CN3506" s="459" t="s">
        <v>885</v>
      </c>
      <c r="CO3506" s="459" t="s">
        <v>885</v>
      </c>
      <c r="CP3506" s="459" t="s">
        <v>885</v>
      </c>
      <c r="CQ3506" s="459" t="s">
        <v>885</v>
      </c>
      <c r="CR3506" s="459" t="s">
        <v>885</v>
      </c>
      <c r="CS3506" s="459" t="s">
        <v>885</v>
      </c>
      <c r="CT3506" s="245" t="s">
        <v>885</v>
      </c>
      <c r="CU3506" s="463" t="s">
        <v>885</v>
      </c>
      <c r="CV3506" s="245" t="s">
        <v>885</v>
      </c>
      <c r="CW3506" s="245" t="s">
        <v>885</v>
      </c>
      <c r="CX3506" s="459" t="s">
        <v>885</v>
      </c>
      <c r="CY3506" s="459" t="s">
        <v>885</v>
      </c>
      <c r="CZ3506" s="459" t="s">
        <v>885</v>
      </c>
      <c r="DA3506" s="459" t="s">
        <v>885</v>
      </c>
      <c r="DB3506" s="459" t="s">
        <v>885</v>
      </c>
      <c r="DC3506" s="459" t="s">
        <v>885</v>
      </c>
      <c r="DD3506" s="459" t="s">
        <v>885</v>
      </c>
      <c r="DE3506" s="459" t="s">
        <v>885</v>
      </c>
      <c r="DF3506" s="459" t="s">
        <v>885</v>
      </c>
      <c r="DG3506" s="459" t="s">
        <v>885</v>
      </c>
      <c r="DH3506" s="459" t="s">
        <v>885</v>
      </c>
      <c r="DI3506" s="459" t="s">
        <v>885</v>
      </c>
      <c r="DJ3506" s="459" t="s">
        <v>885</v>
      </c>
      <c r="DK3506" s="459" t="s">
        <v>885</v>
      </c>
      <c r="DL3506" s="459" t="s">
        <v>885</v>
      </c>
      <c r="DM3506" s="459" t="s">
        <v>885</v>
      </c>
      <c r="DN3506" s="459" t="s">
        <v>885</v>
      </c>
      <c r="DO3506" s="459" t="s">
        <v>885</v>
      </c>
      <c r="DP3506" t="s">
        <v>3057</v>
      </c>
      <c r="DQ3506" s="459" t="s">
        <v>885</v>
      </c>
      <c r="DR3506" s="459" t="s">
        <v>885</v>
      </c>
      <c r="DS3506" s="459" t="s">
        <v>885</v>
      </c>
      <c r="DT3506" s="459" t="s">
        <v>885</v>
      </c>
      <c r="DU3506" s="459" t="s">
        <v>885</v>
      </c>
      <c r="DV3506" s="459" t="s">
        <v>885</v>
      </c>
      <c r="DW3506" s="459" t="s">
        <v>885</v>
      </c>
      <c r="DX3506" s="245" t="s">
        <v>885</v>
      </c>
      <c r="DY3506" s="245"/>
      <c r="DZ3506" s="470" t="str">
        <f>IF($B$265=$B$3278,EB3506,IF($B$265=$B$3279,ED3506,IF($B$265=$B$3280,EF3506,IF($B$265=$B$3281,EH3506,IF($B$265=$B$3282,EJ3506,IF($B$265=$B$3283,EL3506,IF($B$265=$B$3284,EN3506,IF($B$265=$B$3285,EP3506,IF($B$265=$B$3286,ER3506,IF($B$265=$B$3287,ET3506,IF($B$265=$B$3288,EV3506,IF($B$265=$B$3289,EX3506,IF($B$265=$B$3290,EZ3506,IF($B$265=$B$3291,FB3506,IF($B$265=$B$3292,FD3506,IF($B$265=$B$3293,BU3506,IF($B$265=$B$3294,FF3506,IF($B$265=$B$3295,FH3506,IF($B$265=$B$3296,FJ3506,IF($B$265=$B$3297,FL3506,IF($B$265=$B$3298,FN3506,IF($B$265=$B$3299,FP3506,IF(BI$265=$B$3300,FR3506,IF($B$265=$B$3301,FT3506,IF($B$265=$B$3302,FV3506,IF($B$265=$B$3303,FX3506,IF($B$265=$B$3304,FZ3506,IF($B$265=$B$3305,GB3506,IF($B$265=$B$3306,GD3506,IF($B$265=$B$3307,GF3506,IF($B$265=$B$3308,GH3506,IF($B$265=$B$3309,GJ3506,IF($B$265=$B$3310,GL3506,IF($B$265=$B$3311,GN3506,IF($B$265=$B$3312,GP3506,IF($B$265=$B$3313,GR3506,IF($B$265=$B$3314,GT3506,IF($B$265=$B$3315,GV3506,IF($B$265=$B$3316,GX3506,IF($B$265=$B$3317,GZ3506,IF($B$265=$B$3318,HB3506,IF($B$265=$B$3319,HD3506,IF($B$265=$B$3320,HF3506,IF($B$265=$B$3321,HH3506,IF($B$265=$B$3322,HJ3506,IF($B$265=$B$3323,HL3506,IF($B$265=$B$3324,HN3506,IF($B$265=$B$3325,HP3506,IF($B$265=$B$3326,HR3506,IF($B$265=$B$3327,HT3506,IF($B$265=$B$3328,HV3506,IF($B$265=$B$3329,HX3506,""))))))))))))))))))))))))))))))))))))))))))))))))))))</f>
        <v/>
      </c>
      <c r="EA3506" s="470" t="str">
        <f>IF($B$265=$B$3278,EC3506,IF($B$265=$B$3279,EE3506,IF($B$265=$B$3280,EG3506,IF($B$265=$B$3281,EI3506,IF($B$265=$B$3282,EK3506,IF($B$265=$B$3283,EM3506,IF($B$265=$B$3284,EO3506,IF($B$265=$B$3285,EQ3506,IF($B$265=$B$3286,ES3506,IF($B$265=$B$3287,EU3506,IF($B$265=$B$3288,EW3506,IF($B$265=$B$3289,EY3506,IF($B$265=$B$3290,FA3506,IF($B$265=$B$3291,FC3506,IF($B$265=$B$3292,FE3506,IF($B$265=$B$3293,BK3506,IF($B$265=$B$3294,FG3506,IF($B$265=$B$3295,FI3506,IF($B$265=$B$3296,FK3506,IF($B$265=$B$3297,FM3506,IF($B$265=$B$3298,FO3506,IF($B$265=$B$3299,FQ3506,IF(BJ$265=$B$3300,FS3506,IF($B$265=$B$3301,FU3506,IF($B$265=$B$3302,FW3506,IF($B$265=$B$3303,FY3506,IF($B$265=$B$3304,GA3506,IF($B$265=$B$3305,GC3506,IF($B$265=$B$3306,GE3506,IF($B$265=$B$3307,GG3506,IF($B$265=$B$3308,GI3506,IF($B$265=$B$3309,GK3506,IF($B$265=$B$3310,GM3506,IF($B$265=$B$3311,GO3506,IF($B$265=$B$3312,GQ3506,IF($B$265=$B$3313,GS3506,IF($B$265=$B$3314,GU3506,IF($B$265=$B$3315,GW3506,IF($B$265=$B$3316,GY3506,IF($B$265=$B$3317,HA3506,IF($B$265=$B$3318,HC3506,IF($B$265=$B$3319,HE3506,IF($B$265=$B$3320,HG3506,IF($B$265=$B$3321,HI3506,IF($B$265=$B$3322,HK3506,IF($B$265=$B$3323,HM3506,IF($B$265=$B$3324,HO3506,IF($B$265=$B$3325,HQ3506,IF($B$265=$B$3326,HS3506,IF($B$265=$B$3327,HU3506,IF($B$265=$B$3328,HW3506,IF($B$265=$B$3329,HY3506,""))))))))))))))))))))))))))))))))))))))))))))))))))))</f>
        <v/>
      </c>
      <c r="EB3506" s="459" t="s">
        <v>885</v>
      </c>
    </row>
    <row r="3507" spans="1:132" ht="16" hidden="1" x14ac:dyDescent="0.4">
      <c r="A3507" s="813"/>
      <c r="BB3507" s="48"/>
      <c r="BS3507" s="464" t="str">
        <f>IF($B$265=B$3278,BZ3506,IF($B$265=B$3279,CA3506,IF($B$265=B$3280,CB3506,IF($B$265=B$3281,CC3506,IF($B$265=B$3282,CD3506,IF($B$265=B$3283,CE3506,IF($B$265=B$3284,CF3506,IF($B$265=B$3285,CG3506,IF($B$265=B$3286,CH3506,IF($B$265=B$3287,CI3506,IF($B$265=B$3288,CJ3506,IF($B$265=B$3289,CK3506,IF($B$265=B$3290,CL3506,IF($B$265=B$3291,CM3506,IF($B$265=B$3292,CN3506,IF($B$265=B$3293,D2736,IF($B$265=B$3294,CO3506,IF($B$265=B$3295,CP3506,IF($B$265=B$3296,CQ3506,IF($B$265=B$3297,CR3506,IF($B$265=B$3298,CS3506,IF($B$265=B$3299,CT3506,IF(B$265=B$3300,CU3506,IF($B$265=B$3301,CV3506,IF($B$265=B$3302,CW3506,IF($B$265=B$3303,CX3506,IF($B$265=B$3304,CY3506,IF($B$265=B$3305,CZ3506,IF($B$265=B$3306,DA3506,IF($B$265=B$3307,DB3506,IF($B$265=B$3308,DC3506,IF($B$265=B$3309,DD3506,IF($B$265=B$3310,DE3506,IF($B$265=B$3311,DF3506,IF($B$265=B$3312,DG3506,IF($B$265=B$3313,DH3506,IF($B$265=B$3314,DI3506,IF($B$265=B$3315,DJ3506,IF($B$265=B$3316,DK3506,IF($B$265=B$3317,DL3506,IF($B$265=B$3318,DM3506,IF($B$265=B$3319,DN3506,IF($B$265=B$3320,DO3506,IF($B$265=B$3321,DP3506,IF($B$265=B$3322,DQ3506,IF($B$265=B$3323,DR3506,IF($B$265=B$3324,DS3506,IF($B$265=B$3325,DT3506,IF($B$265=B$3326,DU3506,IF($B$265=B$3327,DV3506,IF($B$265=B$3328,DW3506,IF($B$265=B$3329,DX3506,""))))))))))))))))))))))))))))))))))))))))))))))))))))</f>
        <v/>
      </c>
      <c r="BZ3507" s="245" t="s">
        <v>885</v>
      </c>
      <c r="CA3507" s="245" t="s">
        <v>885</v>
      </c>
      <c r="CC3507" s="245" t="s">
        <v>885</v>
      </c>
      <c r="CD3507" s="459" t="s">
        <v>885</v>
      </c>
      <c r="CE3507" s="459" t="s">
        <v>885</v>
      </c>
      <c r="CF3507" s="245" t="s">
        <v>885</v>
      </c>
      <c r="CG3507" s="245" t="s">
        <v>885</v>
      </c>
      <c r="CH3507" s="245" t="s">
        <v>885</v>
      </c>
      <c r="CI3507" s="245" t="s">
        <v>885</v>
      </c>
      <c r="CJ3507" s="459" t="s">
        <v>885</v>
      </c>
      <c r="CK3507" s="459" t="s">
        <v>885</v>
      </c>
      <c r="CL3507" s="459" t="s">
        <v>885</v>
      </c>
      <c r="CM3507" s="459" t="s">
        <v>885</v>
      </c>
      <c r="CN3507" s="459" t="s">
        <v>885</v>
      </c>
      <c r="CO3507" s="459" t="s">
        <v>885</v>
      </c>
      <c r="CP3507" s="459" t="s">
        <v>885</v>
      </c>
      <c r="CQ3507" s="459" t="s">
        <v>885</v>
      </c>
      <c r="CR3507" s="459" t="s">
        <v>885</v>
      </c>
      <c r="CS3507" s="459" t="s">
        <v>885</v>
      </c>
      <c r="CT3507" s="245" t="s">
        <v>885</v>
      </c>
      <c r="CU3507" s="463" t="s">
        <v>885</v>
      </c>
      <c r="CV3507" s="245" t="s">
        <v>885</v>
      </c>
      <c r="CW3507" s="245" t="s">
        <v>885</v>
      </c>
      <c r="CX3507" s="459" t="s">
        <v>885</v>
      </c>
      <c r="CY3507" s="459" t="s">
        <v>885</v>
      </c>
      <c r="CZ3507" s="459" t="s">
        <v>885</v>
      </c>
      <c r="DA3507" s="459" t="s">
        <v>885</v>
      </c>
      <c r="DB3507" s="459" t="s">
        <v>885</v>
      </c>
      <c r="DC3507" s="459" t="s">
        <v>885</v>
      </c>
      <c r="DD3507" s="459" t="s">
        <v>885</v>
      </c>
      <c r="DE3507" s="459" t="s">
        <v>885</v>
      </c>
      <c r="DF3507" s="459" t="s">
        <v>885</v>
      </c>
      <c r="DG3507" s="459" t="s">
        <v>885</v>
      </c>
      <c r="DH3507" s="459" t="s">
        <v>885</v>
      </c>
      <c r="DI3507" s="459" t="s">
        <v>885</v>
      </c>
      <c r="DJ3507" s="459" t="s">
        <v>885</v>
      </c>
      <c r="DK3507" s="459" t="s">
        <v>885</v>
      </c>
      <c r="DL3507" s="459" t="s">
        <v>885</v>
      </c>
      <c r="DM3507" s="459" t="s">
        <v>885</v>
      </c>
      <c r="DN3507" s="459" t="s">
        <v>885</v>
      </c>
      <c r="DO3507" s="459" t="s">
        <v>885</v>
      </c>
      <c r="DP3507" t="s">
        <v>3058</v>
      </c>
      <c r="DQ3507" s="459" t="s">
        <v>885</v>
      </c>
      <c r="DR3507" s="459" t="s">
        <v>885</v>
      </c>
      <c r="DS3507" s="459" t="s">
        <v>885</v>
      </c>
      <c r="DT3507" s="459" t="s">
        <v>885</v>
      </c>
      <c r="DU3507" s="459" t="s">
        <v>885</v>
      </c>
      <c r="DV3507" s="459" t="s">
        <v>885</v>
      </c>
      <c r="DW3507" s="459" t="s">
        <v>885</v>
      </c>
      <c r="DX3507" s="245" t="s">
        <v>885</v>
      </c>
      <c r="DY3507" s="245"/>
      <c r="DZ3507" s="470" t="str">
        <f>IF($B$265=$B$3278,EB3507,IF($B$265=$B$3279,ED3507,IF($B$265=$B$3280,EF3507,IF($B$265=$B$3281,EH3507,IF($B$265=$B$3282,EJ3507,IF($B$265=$B$3283,EL3507,IF($B$265=$B$3284,EN3507,IF($B$265=$B$3285,EP3507,IF($B$265=$B$3286,ER3507,IF($B$265=$B$3287,ET3507,IF($B$265=$B$3288,EV3507,IF($B$265=$B$3289,EX3507,IF($B$265=$B$3290,EZ3507,IF($B$265=$B$3291,FB3507,IF($B$265=$B$3292,FD3507,IF($B$265=$B$3293,BU3507,IF($B$265=$B$3294,FF3507,IF($B$265=$B$3295,FH3507,IF($B$265=$B$3296,FJ3507,IF($B$265=$B$3297,FL3507,IF($B$265=$B$3298,FN3507,IF($B$265=$B$3299,FP3507,IF(BI$265=$B$3300,FR3507,IF($B$265=$B$3301,FT3507,IF($B$265=$B$3302,FV3507,IF($B$265=$B$3303,FX3507,IF($B$265=$B$3304,FZ3507,IF($B$265=$B$3305,GB3507,IF($B$265=$B$3306,GD3507,IF($B$265=$B$3307,GF3507,IF($B$265=$B$3308,GH3507,IF($B$265=$B$3309,GJ3507,IF($B$265=$B$3310,GL3507,IF($B$265=$B$3311,GN3507,IF($B$265=$B$3312,GP3507,IF($B$265=$B$3313,GR3507,IF($B$265=$B$3314,GT3507,IF($B$265=$B$3315,GV3507,IF($B$265=$B$3316,GX3507,IF($B$265=$B$3317,GZ3507,IF($B$265=$B$3318,HB3507,IF($B$265=$B$3319,HD3507,IF($B$265=$B$3320,HF3507,IF($B$265=$B$3321,HH3507,IF($B$265=$B$3322,HJ3507,IF($B$265=$B$3323,HL3507,IF($B$265=$B$3324,HN3507,IF($B$265=$B$3325,HP3507,IF($B$265=$B$3326,HR3507,IF($B$265=$B$3327,HT3507,IF($B$265=$B$3328,HV3507,IF($B$265=$B$3329,HX3507,""))))))))))))))))))))))))))))))))))))))))))))))))))))</f>
        <v/>
      </c>
      <c r="EA3507" s="470" t="str">
        <f>IF($B$265=$B$3278,EC3507,IF($B$265=$B$3279,EE3507,IF($B$265=$B$3280,EG3507,IF($B$265=$B$3281,EI3507,IF($B$265=$B$3282,EK3507,IF($B$265=$B$3283,EM3507,IF($B$265=$B$3284,EO3507,IF($B$265=$B$3285,EQ3507,IF($B$265=$B$3286,ES3507,IF($B$265=$B$3287,EU3507,IF($B$265=$B$3288,EW3507,IF($B$265=$B$3289,EY3507,IF($B$265=$B$3290,FA3507,IF($B$265=$B$3291,FC3507,IF($B$265=$B$3292,FE3507,IF($B$265=$B$3293,BK3507,IF($B$265=$B$3294,FG3507,IF($B$265=$B$3295,FI3507,IF($B$265=$B$3296,FK3507,IF($B$265=$B$3297,FM3507,IF($B$265=$B$3298,FO3507,IF($B$265=$B$3299,FQ3507,IF(BJ$265=$B$3300,FS3507,IF($B$265=$B$3301,FU3507,IF($B$265=$B$3302,FW3507,IF($B$265=$B$3303,FY3507,IF($B$265=$B$3304,GA3507,IF($B$265=$B$3305,GC3507,IF($B$265=$B$3306,GE3507,IF($B$265=$B$3307,GG3507,IF($B$265=$B$3308,GI3507,IF($B$265=$B$3309,GK3507,IF($B$265=$B$3310,GM3507,IF($B$265=$B$3311,GO3507,IF($B$265=$B$3312,GQ3507,IF($B$265=$B$3313,GS3507,IF($B$265=$B$3314,GU3507,IF($B$265=$B$3315,GW3507,IF($B$265=$B$3316,GY3507,IF($B$265=$B$3317,HA3507,IF($B$265=$B$3318,HC3507,IF($B$265=$B$3319,HE3507,IF($B$265=$B$3320,HG3507,IF($B$265=$B$3321,HI3507,IF($B$265=$B$3322,HK3507,IF($B$265=$B$3323,HM3507,IF($B$265=$B$3324,HO3507,IF($B$265=$B$3325,HQ3507,IF($B$265=$B$3326,HS3507,IF($B$265=$B$3327,HU3507,IF($B$265=$B$3328,HW3507,IF($B$265=$B$3329,HY3507,""))))))))))))))))))))))))))))))))))))))))))))))))))))</f>
        <v/>
      </c>
      <c r="EB3507" s="459" t="s">
        <v>885</v>
      </c>
    </row>
    <row r="3508" spans="1:132" ht="16" hidden="1" x14ac:dyDescent="0.4">
      <c r="A3508" s="813"/>
      <c r="BB3508" s="48"/>
      <c r="BS3508" s="464" t="str">
        <f>IF($B$265=B$3278,BZ3507,IF($B$265=B$3279,CA3507,IF($B$265=B$3280,CB3507,IF($B$265=B$3281,CC3507,IF($B$265=B$3282,CD3507,IF($B$265=B$3283,CE3507,IF($B$265=B$3284,CF3507,IF($B$265=B$3285,CG3507,IF($B$265=B$3286,CH3507,IF($B$265=B$3287,CI3507,IF($B$265=B$3288,CJ3507,IF($B$265=B$3289,CK3507,IF($B$265=B$3290,CL3507,IF($B$265=B$3291,CM3507,IF($B$265=B$3292,CN3507,IF($B$265=B$3293,D2737,IF($B$265=B$3294,CO3507,IF($B$265=B$3295,CP3507,IF($B$265=B$3296,CQ3507,IF($B$265=B$3297,CR3507,IF($B$265=B$3298,CS3507,IF($B$265=B$3299,CT3507,IF(B$265=B$3300,CU3507,IF($B$265=B$3301,CV3507,IF($B$265=B$3302,CW3507,IF($B$265=B$3303,CX3507,IF($B$265=B$3304,CY3507,IF($B$265=B$3305,CZ3507,IF($B$265=B$3306,DA3507,IF($B$265=B$3307,DB3507,IF($B$265=B$3308,DC3507,IF($B$265=B$3309,DD3507,IF($B$265=B$3310,DE3507,IF($B$265=B$3311,DF3507,IF($B$265=B$3312,DG3507,IF($B$265=B$3313,DH3507,IF($B$265=B$3314,DI3507,IF($B$265=B$3315,DJ3507,IF($B$265=B$3316,DK3507,IF($B$265=B$3317,DL3507,IF($B$265=B$3318,DM3507,IF($B$265=B$3319,DN3507,IF($B$265=B$3320,DO3507,IF($B$265=B$3321,DP3507,IF($B$265=B$3322,DQ3507,IF($B$265=B$3323,DR3507,IF($B$265=B$3324,DS3507,IF($B$265=B$3325,DT3507,IF($B$265=B$3326,DU3507,IF($B$265=B$3327,DV3507,IF($B$265=B$3328,DW3507,IF($B$265=B$3329,DX3507,""))))))))))))))))))))))))))))))))))))))))))))))))))))</f>
        <v/>
      </c>
      <c r="BZ3508" s="245" t="s">
        <v>885</v>
      </c>
      <c r="CA3508" s="245" t="s">
        <v>885</v>
      </c>
      <c r="CC3508" s="245" t="s">
        <v>885</v>
      </c>
      <c r="CD3508" s="459" t="s">
        <v>885</v>
      </c>
      <c r="CE3508" s="459" t="s">
        <v>885</v>
      </c>
      <c r="CF3508" s="245" t="s">
        <v>885</v>
      </c>
      <c r="CG3508" s="245" t="s">
        <v>885</v>
      </c>
      <c r="CH3508" s="245" t="s">
        <v>885</v>
      </c>
      <c r="CI3508" s="245" t="s">
        <v>885</v>
      </c>
      <c r="CJ3508" s="459" t="s">
        <v>885</v>
      </c>
      <c r="CK3508" s="459" t="s">
        <v>885</v>
      </c>
      <c r="CL3508" s="459" t="s">
        <v>885</v>
      </c>
      <c r="CM3508" s="459" t="s">
        <v>885</v>
      </c>
      <c r="CN3508" s="459" t="s">
        <v>885</v>
      </c>
      <c r="CO3508" s="459" t="s">
        <v>885</v>
      </c>
      <c r="CP3508" s="459" t="s">
        <v>885</v>
      </c>
      <c r="CQ3508" s="459" t="s">
        <v>885</v>
      </c>
      <c r="CR3508" s="459" t="s">
        <v>885</v>
      </c>
      <c r="CS3508" s="459" t="s">
        <v>885</v>
      </c>
      <c r="CT3508" s="245" t="s">
        <v>885</v>
      </c>
      <c r="CU3508" s="463" t="s">
        <v>885</v>
      </c>
      <c r="CV3508" s="245" t="s">
        <v>885</v>
      </c>
      <c r="CW3508" s="245" t="s">
        <v>885</v>
      </c>
      <c r="CX3508" s="459" t="s">
        <v>885</v>
      </c>
      <c r="CY3508" s="459" t="s">
        <v>885</v>
      </c>
      <c r="CZ3508" s="459" t="s">
        <v>885</v>
      </c>
      <c r="DA3508" s="459" t="s">
        <v>885</v>
      </c>
      <c r="DB3508" s="459" t="s">
        <v>885</v>
      </c>
      <c r="DC3508" s="459" t="s">
        <v>885</v>
      </c>
      <c r="DD3508" s="459" t="s">
        <v>885</v>
      </c>
      <c r="DE3508" s="459" t="s">
        <v>885</v>
      </c>
      <c r="DF3508" s="459" t="s">
        <v>885</v>
      </c>
      <c r="DG3508" s="459" t="s">
        <v>885</v>
      </c>
      <c r="DH3508" s="459" t="s">
        <v>885</v>
      </c>
      <c r="DI3508" s="459" t="s">
        <v>885</v>
      </c>
      <c r="DJ3508" s="459" t="s">
        <v>885</v>
      </c>
      <c r="DK3508" s="459" t="s">
        <v>885</v>
      </c>
      <c r="DL3508" s="459" t="s">
        <v>885</v>
      </c>
      <c r="DM3508" s="459" t="s">
        <v>885</v>
      </c>
      <c r="DN3508" s="459" t="s">
        <v>885</v>
      </c>
      <c r="DO3508" s="459" t="s">
        <v>885</v>
      </c>
      <c r="DP3508" t="s">
        <v>3059</v>
      </c>
      <c r="DQ3508" s="459" t="s">
        <v>885</v>
      </c>
      <c r="DR3508" s="459" t="s">
        <v>885</v>
      </c>
      <c r="DS3508" s="459" t="s">
        <v>885</v>
      </c>
      <c r="DT3508" s="459" t="s">
        <v>885</v>
      </c>
      <c r="DU3508" s="459" t="s">
        <v>885</v>
      </c>
      <c r="DV3508" s="459" t="s">
        <v>885</v>
      </c>
      <c r="DW3508" s="459" t="s">
        <v>885</v>
      </c>
      <c r="DX3508" s="245" t="s">
        <v>885</v>
      </c>
      <c r="DY3508" s="245"/>
      <c r="DZ3508" s="470" t="str">
        <f>IF($B$265=$B$3278,EB3508,IF($B$265=$B$3279,ED3508,IF($B$265=$B$3280,EF3508,IF($B$265=$B$3281,EH3508,IF($B$265=$B$3282,EJ3508,IF($B$265=$B$3283,EL3508,IF($B$265=$B$3284,EN3508,IF($B$265=$B$3285,EP3508,IF($B$265=$B$3286,ER3508,IF($B$265=$B$3287,ET3508,IF($B$265=$B$3288,EV3508,IF($B$265=$B$3289,EX3508,IF($B$265=$B$3290,EZ3508,IF($B$265=$B$3291,FB3508,IF($B$265=$B$3292,FD3508,IF($B$265=$B$3293,BU3508,IF($B$265=$B$3294,FF3508,IF($B$265=$B$3295,FH3508,IF($B$265=$B$3296,FJ3508,IF($B$265=$B$3297,FL3508,IF($B$265=$B$3298,FN3508,IF($B$265=$B$3299,FP3508,IF(BI$265=$B$3300,FR3508,IF($B$265=$B$3301,FT3508,IF($B$265=$B$3302,FV3508,IF($B$265=$B$3303,FX3508,IF($B$265=$B$3304,FZ3508,IF($B$265=$B$3305,GB3508,IF($B$265=$B$3306,GD3508,IF($B$265=$B$3307,GF3508,IF($B$265=$B$3308,GH3508,IF($B$265=$B$3309,GJ3508,IF($B$265=$B$3310,GL3508,IF($B$265=$B$3311,GN3508,IF($B$265=$B$3312,GP3508,IF($B$265=$B$3313,GR3508,IF($B$265=$B$3314,GT3508,IF($B$265=$B$3315,GV3508,IF($B$265=$B$3316,GX3508,IF($B$265=$B$3317,GZ3508,IF($B$265=$B$3318,HB3508,IF($B$265=$B$3319,HD3508,IF($B$265=$B$3320,HF3508,IF($B$265=$B$3321,HH3508,IF($B$265=$B$3322,HJ3508,IF($B$265=$B$3323,HL3508,IF($B$265=$B$3324,HN3508,IF($B$265=$B$3325,HP3508,IF($B$265=$B$3326,HR3508,IF($B$265=$B$3327,HT3508,IF($B$265=$B$3328,HV3508,IF($B$265=$B$3329,HX3508,""))))))))))))))))))))))))))))))))))))))))))))))))))))</f>
        <v/>
      </c>
      <c r="EA3508" s="470" t="str">
        <f>IF($B$265=$B$3278,EC3508,IF($B$265=$B$3279,EE3508,IF($B$265=$B$3280,EG3508,IF($B$265=$B$3281,EI3508,IF($B$265=$B$3282,EK3508,IF($B$265=$B$3283,EM3508,IF($B$265=$B$3284,EO3508,IF($B$265=$B$3285,EQ3508,IF($B$265=$B$3286,ES3508,IF($B$265=$B$3287,EU3508,IF($B$265=$B$3288,EW3508,IF($B$265=$B$3289,EY3508,IF($B$265=$B$3290,FA3508,IF($B$265=$B$3291,FC3508,IF($B$265=$B$3292,FE3508,IF($B$265=$B$3293,BK3508,IF($B$265=$B$3294,FG3508,IF($B$265=$B$3295,FI3508,IF($B$265=$B$3296,FK3508,IF($B$265=$B$3297,FM3508,IF($B$265=$B$3298,FO3508,IF($B$265=$B$3299,FQ3508,IF(BJ$265=$B$3300,FS3508,IF($B$265=$B$3301,FU3508,IF($B$265=$B$3302,FW3508,IF($B$265=$B$3303,FY3508,IF($B$265=$B$3304,GA3508,IF($B$265=$B$3305,GC3508,IF($B$265=$B$3306,GE3508,IF($B$265=$B$3307,GG3508,IF($B$265=$B$3308,GI3508,IF($B$265=$B$3309,GK3508,IF($B$265=$B$3310,GM3508,IF($B$265=$B$3311,GO3508,IF($B$265=$B$3312,GQ3508,IF($B$265=$B$3313,GS3508,IF($B$265=$B$3314,GU3508,IF($B$265=$B$3315,GW3508,IF($B$265=$B$3316,GY3508,IF($B$265=$B$3317,HA3508,IF($B$265=$B$3318,HC3508,IF($B$265=$B$3319,HE3508,IF($B$265=$B$3320,HG3508,IF($B$265=$B$3321,HI3508,IF($B$265=$B$3322,HK3508,IF($B$265=$B$3323,HM3508,IF($B$265=$B$3324,HO3508,IF($B$265=$B$3325,HQ3508,IF($B$265=$B$3326,HS3508,IF($B$265=$B$3327,HU3508,IF($B$265=$B$3328,HW3508,IF($B$265=$B$3329,HY3508,""))))))))))))))))))))))))))))))))))))))))))))))))))))</f>
        <v/>
      </c>
      <c r="EB3508" s="459" t="s">
        <v>885</v>
      </c>
    </row>
    <row r="3509" spans="1:132" ht="16" hidden="1" x14ac:dyDescent="0.4">
      <c r="A3509" s="813"/>
      <c r="BB3509" s="48"/>
      <c r="BS3509" s="464" t="str">
        <f>IF($B$265=B$3278,BZ3508,IF($B$265=B$3279,CA3508,IF($B$265=B$3280,CB3508,IF($B$265=B$3281,CC3508,IF($B$265=B$3282,CD3508,IF($B$265=B$3283,CE3508,IF($B$265=B$3284,CF3508,IF($B$265=B$3285,CG3508,IF($B$265=B$3286,CH3508,IF($B$265=B$3287,CI3508,IF($B$265=B$3288,CJ3508,IF($B$265=B$3289,CK3508,IF($B$265=B$3290,CL3508,IF($B$265=B$3291,CM3508,IF($B$265=B$3292,CN3508,IF($B$265=B$3293,D2738,IF($B$265=B$3294,CO3508,IF($B$265=B$3295,CP3508,IF($B$265=B$3296,CQ3508,IF($B$265=B$3297,CR3508,IF($B$265=B$3298,CS3508,IF($B$265=B$3299,CT3508,IF(B$265=B$3300,CU3508,IF($B$265=B$3301,CV3508,IF($B$265=B$3302,CW3508,IF($B$265=B$3303,CX3508,IF($B$265=B$3304,CY3508,IF($B$265=B$3305,CZ3508,IF($B$265=B$3306,DA3508,IF($B$265=B$3307,DB3508,IF($B$265=B$3308,DC3508,IF($B$265=B$3309,DD3508,IF($B$265=B$3310,DE3508,IF($B$265=B$3311,DF3508,IF($B$265=B$3312,DG3508,IF($B$265=B$3313,DH3508,IF($B$265=B$3314,DI3508,IF($B$265=B$3315,DJ3508,IF($B$265=B$3316,DK3508,IF($B$265=B$3317,DL3508,IF($B$265=B$3318,DM3508,IF($B$265=B$3319,DN3508,IF($B$265=B$3320,DO3508,IF($B$265=B$3321,DP3508,IF($B$265=B$3322,DQ3508,IF($B$265=B$3323,DR3508,IF($B$265=B$3324,DS3508,IF($B$265=B$3325,DT3508,IF($B$265=B$3326,DU3508,IF($B$265=B$3327,DV3508,IF($B$265=B$3328,DW3508,IF($B$265=B$3329,DX3508,""))))))))))))))))))))))))))))))))))))))))))))))))))))</f>
        <v/>
      </c>
      <c r="BZ3509" s="245" t="s">
        <v>885</v>
      </c>
      <c r="CA3509" s="245" t="s">
        <v>885</v>
      </c>
      <c r="CC3509" s="245" t="s">
        <v>885</v>
      </c>
      <c r="CD3509" s="459" t="s">
        <v>885</v>
      </c>
      <c r="CE3509" s="459" t="s">
        <v>885</v>
      </c>
      <c r="CF3509" s="245" t="s">
        <v>885</v>
      </c>
      <c r="CG3509" s="245" t="s">
        <v>885</v>
      </c>
      <c r="CH3509" s="245" t="s">
        <v>885</v>
      </c>
      <c r="CI3509" s="245" t="s">
        <v>885</v>
      </c>
      <c r="CJ3509" s="459" t="s">
        <v>885</v>
      </c>
      <c r="CK3509" s="459" t="s">
        <v>885</v>
      </c>
      <c r="CL3509" s="459" t="s">
        <v>885</v>
      </c>
      <c r="CM3509" s="459" t="s">
        <v>885</v>
      </c>
      <c r="CN3509" s="459" t="s">
        <v>885</v>
      </c>
      <c r="CO3509" s="459" t="s">
        <v>885</v>
      </c>
      <c r="CP3509" s="459" t="s">
        <v>885</v>
      </c>
      <c r="CQ3509" s="459" t="s">
        <v>885</v>
      </c>
      <c r="CR3509" s="459" t="s">
        <v>885</v>
      </c>
      <c r="CS3509" s="459" t="s">
        <v>885</v>
      </c>
      <c r="CT3509" s="245" t="s">
        <v>885</v>
      </c>
      <c r="CU3509" s="463" t="s">
        <v>885</v>
      </c>
      <c r="CV3509" s="245" t="s">
        <v>885</v>
      </c>
      <c r="CW3509" s="245" t="s">
        <v>885</v>
      </c>
      <c r="CX3509" s="459" t="s">
        <v>885</v>
      </c>
      <c r="CY3509" s="459" t="s">
        <v>885</v>
      </c>
      <c r="CZ3509" s="459" t="s">
        <v>885</v>
      </c>
      <c r="DA3509" s="459" t="s">
        <v>885</v>
      </c>
      <c r="DB3509" s="459" t="s">
        <v>885</v>
      </c>
      <c r="DC3509" s="459" t="s">
        <v>885</v>
      </c>
      <c r="DD3509" s="459" t="s">
        <v>885</v>
      </c>
      <c r="DE3509" s="459" t="s">
        <v>885</v>
      </c>
      <c r="DF3509" s="459" t="s">
        <v>885</v>
      </c>
      <c r="DG3509" s="459" t="s">
        <v>885</v>
      </c>
      <c r="DH3509" s="459" t="s">
        <v>885</v>
      </c>
      <c r="DI3509" s="459" t="s">
        <v>885</v>
      </c>
      <c r="DJ3509" s="459" t="s">
        <v>885</v>
      </c>
      <c r="DK3509" s="459" t="s">
        <v>885</v>
      </c>
      <c r="DL3509" s="459" t="s">
        <v>885</v>
      </c>
      <c r="DM3509" s="459" t="s">
        <v>885</v>
      </c>
      <c r="DN3509" s="459" t="s">
        <v>885</v>
      </c>
      <c r="DO3509" s="459" t="s">
        <v>885</v>
      </c>
      <c r="DP3509" t="s">
        <v>3060</v>
      </c>
      <c r="DQ3509" s="459" t="s">
        <v>885</v>
      </c>
      <c r="DR3509" s="459" t="s">
        <v>885</v>
      </c>
      <c r="DS3509" s="459" t="s">
        <v>885</v>
      </c>
      <c r="DT3509" s="459" t="s">
        <v>885</v>
      </c>
      <c r="DU3509" s="459" t="s">
        <v>885</v>
      </c>
      <c r="DV3509" s="459" t="s">
        <v>885</v>
      </c>
      <c r="DW3509" s="459" t="s">
        <v>885</v>
      </c>
      <c r="DX3509" s="245" t="s">
        <v>885</v>
      </c>
      <c r="DY3509" s="245"/>
      <c r="DZ3509" s="470" t="str">
        <f>IF($B$265=$B$3278,EB3509,IF($B$265=$B$3279,ED3509,IF($B$265=$B$3280,EF3509,IF($B$265=$B$3281,EH3509,IF($B$265=$B$3282,EJ3509,IF($B$265=$B$3283,EL3509,IF($B$265=$B$3284,EN3509,IF($B$265=$B$3285,EP3509,IF($B$265=$B$3286,ER3509,IF($B$265=$B$3287,ET3509,IF($B$265=$B$3288,EV3509,IF($B$265=$B$3289,EX3509,IF($B$265=$B$3290,EZ3509,IF($B$265=$B$3291,FB3509,IF($B$265=$B$3292,FD3509,IF($B$265=$B$3293,BU3509,IF($B$265=$B$3294,FF3509,IF($B$265=$B$3295,FH3509,IF($B$265=$B$3296,FJ3509,IF($B$265=$B$3297,FL3509,IF($B$265=$B$3298,FN3509,IF($B$265=$B$3299,FP3509,IF(BI$265=$B$3300,FR3509,IF($B$265=$B$3301,FT3509,IF($B$265=$B$3302,FV3509,IF($B$265=$B$3303,FX3509,IF($B$265=$B$3304,FZ3509,IF($B$265=$B$3305,GB3509,IF($B$265=$B$3306,GD3509,IF($B$265=$B$3307,GF3509,IF($B$265=$B$3308,GH3509,IF($B$265=$B$3309,GJ3509,IF($B$265=$B$3310,GL3509,IF($B$265=$B$3311,GN3509,IF($B$265=$B$3312,GP3509,IF($B$265=$B$3313,GR3509,IF($B$265=$B$3314,GT3509,IF($B$265=$B$3315,GV3509,IF($B$265=$B$3316,GX3509,IF($B$265=$B$3317,GZ3509,IF($B$265=$B$3318,HB3509,IF($B$265=$B$3319,HD3509,IF($B$265=$B$3320,HF3509,IF($B$265=$B$3321,HH3509,IF($B$265=$B$3322,HJ3509,IF($B$265=$B$3323,HL3509,IF($B$265=$B$3324,HN3509,IF($B$265=$B$3325,HP3509,IF($B$265=$B$3326,HR3509,IF($B$265=$B$3327,HT3509,IF($B$265=$B$3328,HV3509,IF($B$265=$B$3329,HX3509,""))))))))))))))))))))))))))))))))))))))))))))))))))))</f>
        <v/>
      </c>
      <c r="EA3509" s="470" t="str">
        <f>IF($B$265=$B$3278,EC3509,IF($B$265=$B$3279,EE3509,IF($B$265=$B$3280,EG3509,IF($B$265=$B$3281,EI3509,IF($B$265=$B$3282,EK3509,IF($B$265=$B$3283,EM3509,IF($B$265=$B$3284,EO3509,IF($B$265=$B$3285,EQ3509,IF($B$265=$B$3286,ES3509,IF($B$265=$B$3287,EU3509,IF($B$265=$B$3288,EW3509,IF($B$265=$B$3289,EY3509,IF($B$265=$B$3290,FA3509,IF($B$265=$B$3291,FC3509,IF($B$265=$B$3292,FE3509,IF($B$265=$B$3293,BK3509,IF($B$265=$B$3294,FG3509,IF($B$265=$B$3295,FI3509,IF($B$265=$B$3296,FK3509,IF($B$265=$B$3297,FM3509,IF($B$265=$B$3298,FO3509,IF($B$265=$B$3299,FQ3509,IF(BJ$265=$B$3300,FS3509,IF($B$265=$B$3301,FU3509,IF($B$265=$B$3302,FW3509,IF($B$265=$B$3303,FY3509,IF($B$265=$B$3304,GA3509,IF($B$265=$B$3305,GC3509,IF($B$265=$B$3306,GE3509,IF($B$265=$B$3307,GG3509,IF($B$265=$B$3308,GI3509,IF($B$265=$B$3309,GK3509,IF($B$265=$B$3310,GM3509,IF($B$265=$B$3311,GO3509,IF($B$265=$B$3312,GQ3509,IF($B$265=$B$3313,GS3509,IF($B$265=$B$3314,GU3509,IF($B$265=$B$3315,GW3509,IF($B$265=$B$3316,GY3509,IF($B$265=$B$3317,HA3509,IF($B$265=$B$3318,HC3509,IF($B$265=$B$3319,HE3509,IF($B$265=$B$3320,HG3509,IF($B$265=$B$3321,HI3509,IF($B$265=$B$3322,HK3509,IF($B$265=$B$3323,HM3509,IF($B$265=$B$3324,HO3509,IF($B$265=$B$3325,HQ3509,IF($B$265=$B$3326,HS3509,IF($B$265=$B$3327,HU3509,IF($B$265=$B$3328,HW3509,IF($B$265=$B$3329,HY3509,""))))))))))))))))))))))))))))))))))))))))))))))))))))</f>
        <v/>
      </c>
      <c r="EB3509" s="459" t="s">
        <v>885</v>
      </c>
    </row>
    <row r="3510" spans="1:132" ht="16" hidden="1" x14ac:dyDescent="0.4">
      <c r="A3510" s="813"/>
      <c r="BB3510" s="48"/>
      <c r="BS3510" s="464" t="str">
        <f>IF($B$265=B$3278,BZ3509,IF($B$265=B$3279,CA3509,IF($B$265=B$3280,CB3509,IF($B$265=B$3281,CC3509,IF($B$265=B$3282,CD3509,IF($B$265=B$3283,CE3509,IF($B$265=B$3284,CF3509,IF($B$265=B$3285,CG3509,IF($B$265=B$3286,CH3509,IF($B$265=B$3287,CI3509,IF($B$265=B$3288,CJ3509,IF($B$265=B$3289,CK3509,IF($B$265=B$3290,CL3509,IF($B$265=B$3291,CM3509,IF($B$265=B$3292,CN3509,IF($B$265=B$3293,D2739,IF($B$265=B$3294,CO3509,IF($B$265=B$3295,CP3509,IF($B$265=B$3296,CQ3509,IF($B$265=B$3297,CR3509,IF($B$265=B$3298,CS3509,IF($B$265=B$3299,CT3509,IF(B$265=B$3300,CU3509,IF($B$265=B$3301,CV3509,IF($B$265=B$3302,CW3509,IF($B$265=B$3303,CX3509,IF($B$265=B$3304,CY3509,IF($B$265=B$3305,CZ3509,IF($B$265=B$3306,DA3509,IF($B$265=B$3307,DB3509,IF($B$265=B$3308,DC3509,IF($B$265=B$3309,DD3509,IF($B$265=B$3310,DE3509,IF($B$265=B$3311,DF3509,IF($B$265=B$3312,DG3509,IF($B$265=B$3313,DH3509,IF($B$265=B$3314,DI3509,IF($B$265=B$3315,DJ3509,IF($B$265=B$3316,DK3509,IF($B$265=B$3317,DL3509,IF($B$265=B$3318,DM3509,IF($B$265=B$3319,DN3509,IF($B$265=B$3320,DO3509,IF($B$265=B$3321,DP3509,IF($B$265=B$3322,DQ3509,IF($B$265=B$3323,DR3509,IF($B$265=B$3324,DS3509,IF($B$265=B$3325,DT3509,IF($B$265=B$3326,DU3509,IF($B$265=B$3327,DV3509,IF($B$265=B$3328,DW3509,IF($B$265=B$3329,DX3509,""))))))))))))))))))))))))))))))))))))))))))))))))))))</f>
        <v/>
      </c>
      <c r="BZ3510" s="245" t="s">
        <v>885</v>
      </c>
      <c r="CA3510" s="245" t="s">
        <v>885</v>
      </c>
      <c r="CC3510" s="245" t="s">
        <v>885</v>
      </c>
      <c r="CD3510" s="459" t="s">
        <v>885</v>
      </c>
      <c r="CE3510" s="459" t="s">
        <v>885</v>
      </c>
      <c r="CF3510" s="245" t="s">
        <v>885</v>
      </c>
      <c r="CG3510" s="245" t="s">
        <v>885</v>
      </c>
      <c r="CH3510" s="245" t="s">
        <v>885</v>
      </c>
      <c r="CI3510" s="245" t="s">
        <v>885</v>
      </c>
      <c r="CJ3510" s="459" t="s">
        <v>885</v>
      </c>
      <c r="CK3510" s="459" t="s">
        <v>885</v>
      </c>
      <c r="CL3510" s="459" t="s">
        <v>885</v>
      </c>
      <c r="CM3510" s="459" t="s">
        <v>885</v>
      </c>
      <c r="CN3510" s="459" t="s">
        <v>885</v>
      </c>
      <c r="CO3510" s="459" t="s">
        <v>885</v>
      </c>
      <c r="CP3510" s="459" t="s">
        <v>885</v>
      </c>
      <c r="CQ3510" s="459" t="s">
        <v>885</v>
      </c>
      <c r="CR3510" s="459" t="s">
        <v>885</v>
      </c>
      <c r="CS3510" s="459" t="s">
        <v>885</v>
      </c>
      <c r="CT3510" s="245" t="s">
        <v>885</v>
      </c>
      <c r="CU3510" s="463" t="s">
        <v>885</v>
      </c>
      <c r="CV3510" s="245" t="s">
        <v>885</v>
      </c>
      <c r="CW3510" s="245" t="s">
        <v>885</v>
      </c>
      <c r="CX3510" s="459" t="s">
        <v>885</v>
      </c>
      <c r="CY3510" s="459" t="s">
        <v>885</v>
      </c>
      <c r="CZ3510" s="459" t="s">
        <v>885</v>
      </c>
      <c r="DA3510" s="459" t="s">
        <v>885</v>
      </c>
      <c r="DB3510" s="459" t="s">
        <v>885</v>
      </c>
      <c r="DC3510" s="459" t="s">
        <v>885</v>
      </c>
      <c r="DD3510" s="459" t="s">
        <v>885</v>
      </c>
      <c r="DE3510" s="459" t="s">
        <v>885</v>
      </c>
      <c r="DF3510" s="459" t="s">
        <v>885</v>
      </c>
      <c r="DG3510" s="459" t="s">
        <v>885</v>
      </c>
      <c r="DH3510" s="459" t="s">
        <v>885</v>
      </c>
      <c r="DI3510" s="459" t="s">
        <v>885</v>
      </c>
      <c r="DJ3510" s="459" t="s">
        <v>885</v>
      </c>
      <c r="DK3510" s="459" t="s">
        <v>885</v>
      </c>
      <c r="DL3510" s="459" t="s">
        <v>885</v>
      </c>
      <c r="DM3510" s="459" t="s">
        <v>885</v>
      </c>
      <c r="DN3510" s="459" t="s">
        <v>885</v>
      </c>
      <c r="DO3510" s="459" t="s">
        <v>885</v>
      </c>
      <c r="DP3510" t="s">
        <v>1489</v>
      </c>
      <c r="DQ3510" s="459" t="s">
        <v>885</v>
      </c>
      <c r="DR3510" s="459" t="s">
        <v>885</v>
      </c>
      <c r="DS3510" s="459" t="s">
        <v>885</v>
      </c>
      <c r="DT3510" s="459" t="s">
        <v>885</v>
      </c>
      <c r="DU3510" s="459" t="s">
        <v>885</v>
      </c>
      <c r="DV3510" s="459" t="s">
        <v>885</v>
      </c>
      <c r="DW3510" s="459" t="s">
        <v>885</v>
      </c>
      <c r="DX3510" s="245" t="s">
        <v>885</v>
      </c>
      <c r="DY3510" s="245"/>
      <c r="DZ3510" s="470" t="str">
        <f>IF($B$265=$B$3278,EB3510,IF($B$265=$B$3279,ED3510,IF($B$265=$B$3280,EF3510,IF($B$265=$B$3281,EH3510,IF($B$265=$B$3282,EJ3510,IF($B$265=$B$3283,EL3510,IF($B$265=$B$3284,EN3510,IF($B$265=$B$3285,EP3510,IF($B$265=$B$3286,ER3510,IF($B$265=$B$3287,ET3510,IF($B$265=$B$3288,EV3510,IF($B$265=$B$3289,EX3510,IF($B$265=$B$3290,EZ3510,IF($B$265=$B$3291,FB3510,IF($B$265=$B$3292,FD3510,IF($B$265=$B$3293,BU3510,IF($B$265=$B$3294,FF3510,IF($B$265=$B$3295,FH3510,IF($B$265=$B$3296,FJ3510,IF($B$265=$B$3297,FL3510,IF($B$265=$B$3298,FN3510,IF($B$265=$B$3299,FP3510,IF(BI$265=$B$3300,FR3510,IF($B$265=$B$3301,FT3510,IF($B$265=$B$3302,FV3510,IF($B$265=$B$3303,FX3510,IF($B$265=$B$3304,FZ3510,IF($B$265=$B$3305,GB3510,IF($B$265=$B$3306,GD3510,IF($B$265=$B$3307,GF3510,IF($B$265=$B$3308,GH3510,IF($B$265=$B$3309,GJ3510,IF($B$265=$B$3310,GL3510,IF($B$265=$B$3311,GN3510,IF($B$265=$B$3312,GP3510,IF($B$265=$B$3313,GR3510,IF($B$265=$B$3314,GT3510,IF($B$265=$B$3315,GV3510,IF($B$265=$B$3316,GX3510,IF($B$265=$B$3317,GZ3510,IF($B$265=$B$3318,HB3510,IF($B$265=$B$3319,HD3510,IF($B$265=$B$3320,HF3510,IF($B$265=$B$3321,HH3510,IF($B$265=$B$3322,HJ3510,IF($B$265=$B$3323,HL3510,IF($B$265=$B$3324,HN3510,IF($B$265=$B$3325,HP3510,IF($B$265=$B$3326,HR3510,IF($B$265=$B$3327,HT3510,IF($B$265=$B$3328,HV3510,IF($B$265=$B$3329,HX3510,""))))))))))))))))))))))))))))))))))))))))))))))))))))</f>
        <v/>
      </c>
      <c r="EA3510" s="470" t="str">
        <f>IF($B$265=$B$3278,EC3510,IF($B$265=$B$3279,EE3510,IF($B$265=$B$3280,EG3510,IF($B$265=$B$3281,EI3510,IF($B$265=$B$3282,EK3510,IF($B$265=$B$3283,EM3510,IF($B$265=$B$3284,EO3510,IF($B$265=$B$3285,EQ3510,IF($B$265=$B$3286,ES3510,IF($B$265=$B$3287,EU3510,IF($B$265=$B$3288,EW3510,IF($B$265=$B$3289,EY3510,IF($B$265=$B$3290,FA3510,IF($B$265=$B$3291,FC3510,IF($B$265=$B$3292,FE3510,IF($B$265=$B$3293,BK3510,IF($B$265=$B$3294,FG3510,IF($B$265=$B$3295,FI3510,IF($B$265=$B$3296,FK3510,IF($B$265=$B$3297,FM3510,IF($B$265=$B$3298,FO3510,IF($B$265=$B$3299,FQ3510,IF(BJ$265=$B$3300,FS3510,IF($B$265=$B$3301,FU3510,IF($B$265=$B$3302,FW3510,IF($B$265=$B$3303,FY3510,IF($B$265=$B$3304,GA3510,IF($B$265=$B$3305,GC3510,IF($B$265=$B$3306,GE3510,IF($B$265=$B$3307,GG3510,IF($B$265=$B$3308,GI3510,IF($B$265=$B$3309,GK3510,IF($B$265=$B$3310,GM3510,IF($B$265=$B$3311,GO3510,IF($B$265=$B$3312,GQ3510,IF($B$265=$B$3313,GS3510,IF($B$265=$B$3314,GU3510,IF($B$265=$B$3315,GW3510,IF($B$265=$B$3316,GY3510,IF($B$265=$B$3317,HA3510,IF($B$265=$B$3318,HC3510,IF($B$265=$B$3319,HE3510,IF($B$265=$B$3320,HG3510,IF($B$265=$B$3321,HI3510,IF($B$265=$B$3322,HK3510,IF($B$265=$B$3323,HM3510,IF($B$265=$B$3324,HO3510,IF($B$265=$B$3325,HQ3510,IF($B$265=$B$3326,HS3510,IF($B$265=$B$3327,HU3510,IF($B$265=$B$3328,HW3510,IF($B$265=$B$3329,HY3510,""))))))))))))))))))))))))))))))))))))))))))))))))))))</f>
        <v/>
      </c>
      <c r="EB3510" s="459" t="s">
        <v>885</v>
      </c>
    </row>
    <row r="3511" spans="1:132" ht="16" hidden="1" x14ac:dyDescent="0.4">
      <c r="A3511" s="813"/>
      <c r="BS3511" s="464" t="str">
        <f>IF($B$265=B$3278,BZ3510,IF($B$265=B$3279,CA3510,IF($B$265=B$3280,CB3510,IF($B$265=B$3281,CC3510,IF($B$265=B$3282,CD3510,IF($B$265=B$3283,CE3510,IF($B$265=B$3284,CF3510,IF($B$265=B$3285,CG3510,IF($B$265=B$3286,CH3510,IF($B$265=B$3287,CI3510,IF($B$265=B$3288,CJ3510,IF($B$265=B$3289,CK3510,IF($B$265=B$3290,CL3510,IF($B$265=B$3291,CM3510,IF($B$265=B$3292,CN3510,IF($B$265=B$3293,D2740,IF($B$265=B$3294,CO3510,IF($B$265=B$3295,CP3510,IF($B$265=B$3296,CQ3510,IF($B$265=B$3297,CR3510,IF($B$265=B$3298,CS3510,IF($B$265=B$3299,CT3510,IF(B$265=B$3300,CU3510,IF($B$265=B$3301,CV3510,IF($B$265=B$3302,CW3510,IF($B$265=B$3303,CX3510,IF($B$265=B$3304,CY3510,IF($B$265=B$3305,CZ3510,IF($B$265=B$3306,DA3510,IF($B$265=B$3307,DB3510,IF($B$265=B$3308,DC3510,IF($B$265=B$3309,DD3510,IF($B$265=B$3310,DE3510,IF($B$265=B$3311,DF3510,IF($B$265=B$3312,DG3510,IF($B$265=B$3313,DH3510,IF($B$265=B$3314,DI3510,IF($B$265=B$3315,DJ3510,IF($B$265=B$3316,DK3510,IF($B$265=B$3317,DL3510,IF($B$265=B$3318,DM3510,IF($B$265=B$3319,DN3510,IF($B$265=B$3320,DO3510,IF($B$265=B$3321,DP3510,IF($B$265=B$3322,DQ3510,IF($B$265=B$3323,DR3510,IF($B$265=B$3324,DS3510,IF($B$265=B$3325,DT3510,IF($B$265=B$3326,DU3510,IF($B$265=B$3327,DV3510,IF($B$265=B$3328,DW3510,IF($B$265=B$3329,DX3510,""))))))))))))))))))))))))))))))))))))))))))))))))))))</f>
        <v/>
      </c>
      <c r="BZ3511" s="245" t="s">
        <v>885</v>
      </c>
      <c r="CA3511" s="245" t="s">
        <v>885</v>
      </c>
      <c r="CC3511" s="245" t="s">
        <v>885</v>
      </c>
      <c r="CD3511" s="459" t="s">
        <v>885</v>
      </c>
      <c r="CE3511" s="459" t="s">
        <v>885</v>
      </c>
      <c r="CF3511" s="245" t="s">
        <v>885</v>
      </c>
      <c r="CG3511" s="245" t="s">
        <v>885</v>
      </c>
      <c r="CH3511" s="245" t="s">
        <v>885</v>
      </c>
      <c r="CI3511" s="245" t="s">
        <v>885</v>
      </c>
      <c r="CJ3511" s="459" t="s">
        <v>885</v>
      </c>
      <c r="CK3511" s="459" t="s">
        <v>885</v>
      </c>
      <c r="CL3511" s="459" t="s">
        <v>885</v>
      </c>
      <c r="CM3511" s="459" t="s">
        <v>885</v>
      </c>
      <c r="CN3511" s="459" t="s">
        <v>885</v>
      </c>
      <c r="CO3511" s="459" t="s">
        <v>885</v>
      </c>
      <c r="CP3511" s="459" t="s">
        <v>885</v>
      </c>
      <c r="CQ3511" s="459" t="s">
        <v>885</v>
      </c>
      <c r="CR3511" s="459" t="s">
        <v>885</v>
      </c>
      <c r="CS3511" s="459" t="s">
        <v>885</v>
      </c>
      <c r="CT3511" s="245" t="s">
        <v>885</v>
      </c>
      <c r="CU3511" s="463" t="s">
        <v>885</v>
      </c>
      <c r="CV3511" s="245" t="s">
        <v>885</v>
      </c>
      <c r="CW3511" s="245" t="s">
        <v>885</v>
      </c>
      <c r="CX3511" s="459" t="s">
        <v>885</v>
      </c>
      <c r="CY3511" s="459" t="s">
        <v>885</v>
      </c>
      <c r="CZ3511" s="459" t="s">
        <v>885</v>
      </c>
      <c r="DA3511" s="459" t="s">
        <v>885</v>
      </c>
      <c r="DB3511" s="459" t="s">
        <v>885</v>
      </c>
      <c r="DC3511" s="459" t="s">
        <v>885</v>
      </c>
      <c r="DD3511" s="459" t="s">
        <v>885</v>
      </c>
      <c r="DE3511" s="459" t="s">
        <v>885</v>
      </c>
      <c r="DF3511" s="459" t="s">
        <v>885</v>
      </c>
      <c r="DG3511" s="459" t="s">
        <v>885</v>
      </c>
      <c r="DH3511" s="459" t="s">
        <v>885</v>
      </c>
      <c r="DI3511" s="459" t="s">
        <v>885</v>
      </c>
      <c r="DJ3511" s="459" t="s">
        <v>885</v>
      </c>
      <c r="DK3511" s="459" t="s">
        <v>885</v>
      </c>
      <c r="DL3511" s="459" t="s">
        <v>885</v>
      </c>
      <c r="DM3511" s="459" t="s">
        <v>885</v>
      </c>
      <c r="DN3511" s="459" t="s">
        <v>885</v>
      </c>
      <c r="DO3511" s="459" t="s">
        <v>885</v>
      </c>
      <c r="DP3511" t="s">
        <v>2094</v>
      </c>
      <c r="DQ3511" s="459" t="s">
        <v>885</v>
      </c>
      <c r="DR3511" s="459" t="s">
        <v>885</v>
      </c>
      <c r="DS3511" s="459" t="s">
        <v>885</v>
      </c>
      <c r="DT3511" s="459" t="s">
        <v>885</v>
      </c>
      <c r="DU3511" s="459" t="s">
        <v>885</v>
      </c>
      <c r="DV3511" s="459" t="s">
        <v>885</v>
      </c>
      <c r="DW3511" s="459" t="s">
        <v>885</v>
      </c>
      <c r="DX3511" s="245" t="s">
        <v>885</v>
      </c>
      <c r="DY3511" s="245"/>
      <c r="DZ3511" s="470" t="str">
        <f>IF($B$265=$B$3278,EB3511,IF($B$265=$B$3279,ED3511,IF($B$265=$B$3280,EF3511,IF($B$265=$B$3281,EH3511,IF($B$265=$B$3282,EJ3511,IF($B$265=$B$3283,EL3511,IF($B$265=$B$3284,EN3511,IF($B$265=$B$3285,EP3511,IF($B$265=$B$3286,ER3511,IF($B$265=$B$3287,ET3511,IF($B$265=$B$3288,EV3511,IF($B$265=$B$3289,EX3511,IF($B$265=$B$3290,EZ3511,IF($B$265=$B$3291,FB3511,IF($B$265=$B$3292,FD3511,IF($B$265=$B$3293,BU3511,IF($B$265=$B$3294,FF3511,IF($B$265=$B$3295,FH3511,IF($B$265=$B$3296,FJ3511,IF($B$265=$B$3297,FL3511,IF($B$265=$B$3298,FN3511,IF($B$265=$B$3299,FP3511,IF(BI$265=$B$3300,FR3511,IF($B$265=$B$3301,FT3511,IF($B$265=$B$3302,FV3511,IF($B$265=$B$3303,FX3511,IF($B$265=$B$3304,FZ3511,IF($B$265=$B$3305,GB3511,IF($B$265=$B$3306,GD3511,IF($B$265=$B$3307,GF3511,IF($B$265=$B$3308,GH3511,IF($B$265=$B$3309,GJ3511,IF($B$265=$B$3310,GL3511,IF($B$265=$B$3311,GN3511,IF($B$265=$B$3312,GP3511,IF($B$265=$B$3313,GR3511,IF($B$265=$B$3314,GT3511,IF($B$265=$B$3315,GV3511,IF($B$265=$B$3316,GX3511,IF($B$265=$B$3317,GZ3511,IF($B$265=$B$3318,HB3511,IF($B$265=$B$3319,HD3511,IF($B$265=$B$3320,HF3511,IF($B$265=$B$3321,HH3511,IF($B$265=$B$3322,HJ3511,IF($B$265=$B$3323,HL3511,IF($B$265=$B$3324,HN3511,IF($B$265=$B$3325,HP3511,IF($B$265=$B$3326,HR3511,IF($B$265=$B$3327,HT3511,IF($B$265=$B$3328,HV3511,IF($B$265=$B$3329,HX3511,""))))))))))))))))))))))))))))))))))))))))))))))))))))</f>
        <v/>
      </c>
      <c r="EA3511" s="470" t="str">
        <f>IF($B$265=$B$3278,EC3511,IF($B$265=$B$3279,EE3511,IF($B$265=$B$3280,EG3511,IF($B$265=$B$3281,EI3511,IF($B$265=$B$3282,EK3511,IF($B$265=$B$3283,EM3511,IF($B$265=$B$3284,EO3511,IF($B$265=$B$3285,EQ3511,IF($B$265=$B$3286,ES3511,IF($B$265=$B$3287,EU3511,IF($B$265=$B$3288,EW3511,IF($B$265=$B$3289,EY3511,IF($B$265=$B$3290,FA3511,IF($B$265=$B$3291,FC3511,IF($B$265=$B$3292,FE3511,IF($B$265=$B$3293,BK3511,IF($B$265=$B$3294,FG3511,IF($B$265=$B$3295,FI3511,IF($B$265=$B$3296,FK3511,IF($B$265=$B$3297,FM3511,IF($B$265=$B$3298,FO3511,IF($B$265=$B$3299,FQ3511,IF(BJ$265=$B$3300,FS3511,IF($B$265=$B$3301,FU3511,IF($B$265=$B$3302,FW3511,IF($B$265=$B$3303,FY3511,IF($B$265=$B$3304,GA3511,IF($B$265=$B$3305,GC3511,IF($B$265=$B$3306,GE3511,IF($B$265=$B$3307,GG3511,IF($B$265=$B$3308,GI3511,IF($B$265=$B$3309,GK3511,IF($B$265=$B$3310,GM3511,IF($B$265=$B$3311,GO3511,IF($B$265=$B$3312,GQ3511,IF($B$265=$B$3313,GS3511,IF($B$265=$B$3314,GU3511,IF($B$265=$B$3315,GW3511,IF($B$265=$B$3316,GY3511,IF($B$265=$B$3317,HA3511,IF($B$265=$B$3318,HC3511,IF($B$265=$B$3319,HE3511,IF($B$265=$B$3320,HG3511,IF($B$265=$B$3321,HI3511,IF($B$265=$B$3322,HK3511,IF($B$265=$B$3323,HM3511,IF($B$265=$B$3324,HO3511,IF($B$265=$B$3325,HQ3511,IF($B$265=$B$3326,HS3511,IF($B$265=$B$3327,HU3511,IF($B$265=$B$3328,HW3511,IF($B$265=$B$3329,HY3511,""))))))))))))))))))))))))))))))))))))))))))))))))))))</f>
        <v/>
      </c>
      <c r="EB3511" s="459" t="s">
        <v>885</v>
      </c>
    </row>
    <row r="3512" spans="1:132" ht="16" hidden="1" x14ac:dyDescent="0.4">
      <c r="A3512" s="813"/>
      <c r="BS3512" s="464" t="str">
        <f>IF($B$265=B$3278,BZ3511,IF($B$265=B$3279,CA3511,IF($B$265=B$3280,CB3511,IF($B$265=B$3281,CC3511,IF($B$265=B$3282,CD3511,IF($B$265=B$3283,CE3511,IF($B$265=B$3284,CF3511,IF($B$265=B$3285,CG3511,IF($B$265=B$3286,CH3511,IF($B$265=B$3287,CI3511,IF($B$265=B$3288,CJ3511,IF($B$265=B$3289,CK3511,IF($B$265=B$3290,CL3511,IF($B$265=B$3291,CM3511,IF($B$265=B$3292,CN3511,IF($B$265=B$3293,C3511,IF($B$265=B$3294,CO3511,IF($B$265=B$3295,CP3511,IF($B$265=B$3296,CQ3511,IF($B$265=B$3297,CR3511,IF($B$265=B$3298,CS3511,IF($B$265=B$3299,CT3511,IF(B$265=B$3300,CU3511,IF($B$265=B$3301,CV3511,IF($B$265=B$3302,CW3511,IF($B$265=B$3303,CX3511,IF($B$265=B$3304,CY3511,IF($B$265=B$3305,CZ3511,IF($B$265=B$3306,DA3511,IF($B$265=B$3307,DB3511,IF($B$265=B$3308,DC3511,IF($B$265=B$3309,DD3511,IF($B$265=B$3310,DE3511,IF($B$265=B$3311,DF3511,IF($B$265=B$3312,DG3511,IF($B$265=B$3313,DH3511,IF($B$265=B$3314,DI3511,IF($B$265=B$3315,DJ3511,IF($B$265=B$3316,DK3511,IF($B$265=B$3317,DL3511,IF($B$265=B$3318,DM3511,IF($B$265=B$3319,DN3511,IF($B$265=B$3320,DO3511,IF($B$265=B$3321,DP3511,IF($B$265=B$3322,DQ3511,IF($B$265=B$3323,DR3511,IF($B$265=B$3324,DS3511,IF($B$265=B$3325,DT3511,IF($B$265=B$3326,DU3511,IF($B$265=B$3327,DV3511,IF($B$265=B$3328,DW3511,IF($B$265=B$3329,DX3511,""))))))))))))))))))))))))))))))))))))))))))))))))))))</f>
        <v/>
      </c>
      <c r="BZ3512" s="245" t="s">
        <v>885</v>
      </c>
      <c r="CA3512" s="245" t="s">
        <v>885</v>
      </c>
      <c r="CC3512" s="245" t="s">
        <v>885</v>
      </c>
      <c r="CD3512" s="459" t="s">
        <v>885</v>
      </c>
      <c r="CE3512" s="459" t="s">
        <v>885</v>
      </c>
      <c r="CF3512" s="245" t="s">
        <v>885</v>
      </c>
      <c r="CG3512" s="245" t="s">
        <v>885</v>
      </c>
      <c r="CH3512" s="245" t="s">
        <v>885</v>
      </c>
      <c r="CI3512" s="245" t="s">
        <v>885</v>
      </c>
      <c r="CJ3512" s="459" t="s">
        <v>885</v>
      </c>
      <c r="CK3512" s="459" t="s">
        <v>885</v>
      </c>
      <c r="CL3512" s="459" t="s">
        <v>885</v>
      </c>
      <c r="CM3512" s="459" t="s">
        <v>885</v>
      </c>
      <c r="CN3512" s="459" t="s">
        <v>885</v>
      </c>
      <c r="CO3512" s="459" t="s">
        <v>885</v>
      </c>
      <c r="CP3512" s="459" t="s">
        <v>885</v>
      </c>
      <c r="CQ3512" s="459" t="s">
        <v>885</v>
      </c>
      <c r="CR3512" s="459" t="s">
        <v>885</v>
      </c>
      <c r="CS3512" s="459" t="s">
        <v>885</v>
      </c>
      <c r="CT3512" s="245" t="s">
        <v>885</v>
      </c>
      <c r="CU3512" s="463" t="s">
        <v>885</v>
      </c>
      <c r="CV3512" s="245" t="s">
        <v>885</v>
      </c>
      <c r="CW3512" s="245" t="s">
        <v>885</v>
      </c>
      <c r="CX3512" s="459" t="s">
        <v>885</v>
      </c>
      <c r="CY3512" s="459" t="s">
        <v>885</v>
      </c>
      <c r="CZ3512" s="459" t="s">
        <v>885</v>
      </c>
      <c r="DA3512" s="459" t="s">
        <v>885</v>
      </c>
      <c r="DB3512" s="459" t="s">
        <v>885</v>
      </c>
      <c r="DC3512" s="459" t="s">
        <v>885</v>
      </c>
      <c r="DD3512" s="459" t="s">
        <v>885</v>
      </c>
      <c r="DE3512" s="459" t="s">
        <v>885</v>
      </c>
      <c r="DF3512" s="459" t="s">
        <v>885</v>
      </c>
      <c r="DG3512" s="459" t="s">
        <v>885</v>
      </c>
      <c r="DH3512" s="459" t="s">
        <v>885</v>
      </c>
      <c r="DI3512" s="459" t="s">
        <v>885</v>
      </c>
      <c r="DJ3512" s="459" t="s">
        <v>885</v>
      </c>
      <c r="DK3512" s="459" t="s">
        <v>885</v>
      </c>
      <c r="DL3512" s="459" t="s">
        <v>885</v>
      </c>
      <c r="DM3512" s="459" t="s">
        <v>885</v>
      </c>
      <c r="DN3512" s="459" t="s">
        <v>885</v>
      </c>
      <c r="DO3512" s="459" t="s">
        <v>885</v>
      </c>
      <c r="DP3512" t="s">
        <v>2095</v>
      </c>
      <c r="DQ3512" s="459" t="s">
        <v>885</v>
      </c>
      <c r="DR3512" s="459" t="s">
        <v>885</v>
      </c>
      <c r="DS3512" s="459" t="s">
        <v>885</v>
      </c>
      <c r="DT3512" s="459" t="s">
        <v>885</v>
      </c>
      <c r="DU3512" s="459" t="s">
        <v>885</v>
      </c>
      <c r="DV3512" s="459" t="s">
        <v>885</v>
      </c>
      <c r="DW3512" s="459" t="s">
        <v>885</v>
      </c>
      <c r="DX3512" s="245" t="s">
        <v>885</v>
      </c>
      <c r="DY3512" s="245"/>
      <c r="DZ3512" s="470" t="str">
        <f>IF($B$265=$B$3278,EB3512,IF($B$265=$B$3279,ED3512,IF($B$265=$B$3280,EF3512,IF($B$265=$B$3281,EH3512,IF($B$265=$B$3282,EJ3512,IF($B$265=$B$3283,EL3512,IF($B$265=$B$3284,EN3512,IF($B$265=$B$3285,EP3512,IF($B$265=$B$3286,ER3512,IF($B$265=$B$3287,ET3512,IF($B$265=$B$3288,EV3512,IF($B$265=$B$3289,EX3512,IF($B$265=$B$3290,EZ3512,IF($B$265=$B$3291,FB3512,IF($B$265=$B$3292,FD3512,IF($B$265=$B$3293,BU3512,IF($B$265=$B$3294,FF3512,IF($B$265=$B$3295,FH3512,IF($B$265=$B$3296,FJ3512,IF($B$265=$B$3297,FL3512,IF($B$265=$B$3298,FN3512,IF($B$265=$B$3299,FP3512,IF(BI$265=$B$3300,FR3512,IF($B$265=$B$3301,FT3512,IF($B$265=$B$3302,FV3512,IF($B$265=$B$3303,FX3512,IF($B$265=$B$3304,FZ3512,IF($B$265=$B$3305,GB3512,IF($B$265=$B$3306,GD3512,IF($B$265=$B$3307,GF3512,IF($B$265=$B$3308,GH3512,IF($B$265=$B$3309,GJ3512,IF($B$265=$B$3310,GL3512,IF($B$265=$B$3311,GN3512,IF($B$265=$B$3312,GP3512,IF($B$265=$B$3313,GR3512,IF($B$265=$B$3314,GT3512,IF($B$265=$B$3315,GV3512,IF($B$265=$B$3316,GX3512,IF($B$265=$B$3317,GZ3512,IF($B$265=$B$3318,HB3512,IF($B$265=$B$3319,HD3512,IF($B$265=$B$3320,HF3512,IF($B$265=$B$3321,HH3512,IF($B$265=$B$3322,HJ3512,IF($B$265=$B$3323,HL3512,IF($B$265=$B$3324,HN3512,IF($B$265=$B$3325,HP3512,IF($B$265=$B$3326,HR3512,IF($B$265=$B$3327,HT3512,IF($B$265=$B$3328,HV3512,IF($B$265=$B$3329,HX3512,""))))))))))))))))))))))))))))))))))))))))))))))))))))</f>
        <v/>
      </c>
      <c r="EA3512" s="470" t="str">
        <f>IF($B$265=$B$3278,EC3512,IF($B$265=$B$3279,EE3512,IF($B$265=$B$3280,EG3512,IF($B$265=$B$3281,EI3512,IF($B$265=$B$3282,EK3512,IF($B$265=$B$3283,EM3512,IF($B$265=$B$3284,EO3512,IF($B$265=$B$3285,EQ3512,IF($B$265=$B$3286,ES3512,IF($B$265=$B$3287,EU3512,IF($B$265=$B$3288,EW3512,IF($B$265=$B$3289,EY3512,IF($B$265=$B$3290,FA3512,IF($B$265=$B$3291,FC3512,IF($B$265=$B$3292,FE3512,IF($B$265=$B$3293,BK3512,IF($B$265=$B$3294,FG3512,IF($B$265=$B$3295,FI3512,IF($B$265=$B$3296,FK3512,IF($B$265=$B$3297,FM3512,IF($B$265=$B$3298,FO3512,IF($B$265=$B$3299,FQ3512,IF(BJ$265=$B$3300,FS3512,IF($B$265=$B$3301,FU3512,IF($B$265=$B$3302,FW3512,IF($B$265=$B$3303,FY3512,IF($B$265=$B$3304,GA3512,IF($B$265=$B$3305,GC3512,IF($B$265=$B$3306,GE3512,IF($B$265=$B$3307,GG3512,IF($B$265=$B$3308,GI3512,IF($B$265=$B$3309,GK3512,IF($B$265=$B$3310,GM3512,IF($B$265=$B$3311,GO3512,IF($B$265=$B$3312,GQ3512,IF($B$265=$B$3313,GS3512,IF($B$265=$B$3314,GU3512,IF($B$265=$B$3315,GW3512,IF($B$265=$B$3316,GY3512,IF($B$265=$B$3317,HA3512,IF($B$265=$B$3318,HC3512,IF($B$265=$B$3319,HE3512,IF($B$265=$B$3320,HG3512,IF($B$265=$B$3321,HI3512,IF($B$265=$B$3322,HK3512,IF($B$265=$B$3323,HM3512,IF($B$265=$B$3324,HO3512,IF($B$265=$B$3325,HQ3512,IF($B$265=$B$3326,HS3512,IF($B$265=$B$3327,HU3512,IF($B$265=$B$3328,HW3512,IF($B$265=$B$3329,HY3512,""))))))))))))))))))))))))))))))))))))))))))))))))))))</f>
        <v/>
      </c>
      <c r="EB3512" s="459" t="s">
        <v>885</v>
      </c>
    </row>
    <row r="3513" spans="1:132" ht="16" hidden="1" x14ac:dyDescent="0.4">
      <c r="A3513" s="813"/>
      <c r="BB3513" s="48"/>
      <c r="BS3513" s="464" t="str">
        <f>IF($B$265=B$3278,BZ3512,IF($B$265=B$3279,CA3512,IF($B$265=B$3280,CB3512,IF($B$265=B$3281,CC3512,IF($B$265=B$3282,CD3512,IF($B$265=B$3283,CE3512,IF($B$265=B$3284,CF3512,IF($B$265=B$3285,CG3512,IF($B$265=B$3286,CH3512,IF($B$265=B$3287,CI3512,IF($B$265=B$3288,CJ3512,IF($B$265=B$3289,CK3512,IF($B$265=B$3290,CL3512,IF($B$265=B$3291,CM3512,IF($B$265=B$3292,CN3512,IF($B$265=B$3293,C3512,IF($B$265=B$3294,CO3512,IF($B$265=B$3295,CP3512,IF($B$265=B$3296,CQ3512,IF($B$265=B$3297,CR3512,IF($B$265=B$3298,CS3512,IF($B$265=B$3299,CT3512,IF(B$265=B$3300,CU3512,IF($B$265=B$3301,CV3512,IF($B$265=B$3302,CW3512,IF($B$265=B$3303,CX3512,IF($B$265=B$3304,CY3512,IF($B$265=B$3305,CZ3512,IF($B$265=B$3306,DA3512,IF($B$265=B$3307,DB3512,IF($B$265=B$3308,DC3512,IF($B$265=B$3309,DD3512,IF($B$265=B$3310,DE3512,IF($B$265=B$3311,DF3512,IF($B$265=B$3312,DG3512,IF($B$265=B$3313,DH3512,IF($B$265=B$3314,DI3512,IF($B$265=B$3315,DJ3512,IF($B$265=B$3316,DK3512,IF($B$265=B$3317,DL3512,IF($B$265=B$3318,DM3512,IF($B$265=B$3319,DN3512,IF($B$265=B$3320,DO3512,IF($B$265=B$3321,DP3512,IF($B$265=B$3322,DQ3512,IF($B$265=B$3323,DR3512,IF($B$265=B$3324,DS3512,IF($B$265=B$3325,DT3512,IF($B$265=B$3326,DU3512,IF($B$265=B$3327,DV3512,IF($B$265=B$3328,DW3512,IF($B$265=B$3329,DX3512,""))))))))))))))))))))))))))))))))))))))))))))))))))))</f>
        <v/>
      </c>
      <c r="BZ3513" s="245" t="s">
        <v>885</v>
      </c>
      <c r="CA3513" s="245" t="s">
        <v>885</v>
      </c>
      <c r="CC3513" s="245" t="s">
        <v>885</v>
      </c>
      <c r="CD3513" s="459" t="s">
        <v>885</v>
      </c>
      <c r="CE3513" s="459" t="s">
        <v>885</v>
      </c>
      <c r="CF3513" s="245" t="s">
        <v>885</v>
      </c>
      <c r="CG3513" s="245" t="s">
        <v>885</v>
      </c>
      <c r="CH3513" s="245" t="s">
        <v>885</v>
      </c>
      <c r="CI3513" s="245" t="s">
        <v>885</v>
      </c>
      <c r="CJ3513" s="459" t="s">
        <v>885</v>
      </c>
      <c r="CK3513" s="459" t="s">
        <v>885</v>
      </c>
      <c r="CL3513" s="459" t="s">
        <v>885</v>
      </c>
      <c r="CM3513" s="459" t="s">
        <v>885</v>
      </c>
      <c r="CN3513" s="459" t="s">
        <v>885</v>
      </c>
      <c r="CO3513" s="459" t="s">
        <v>885</v>
      </c>
      <c r="CP3513" s="459" t="s">
        <v>885</v>
      </c>
      <c r="CQ3513" s="459" t="s">
        <v>885</v>
      </c>
      <c r="CR3513" s="459" t="s">
        <v>885</v>
      </c>
      <c r="CS3513" s="459" t="s">
        <v>885</v>
      </c>
      <c r="CT3513" s="245" t="s">
        <v>885</v>
      </c>
      <c r="CU3513" s="463" t="s">
        <v>885</v>
      </c>
      <c r="CV3513" s="245" t="s">
        <v>885</v>
      </c>
      <c r="CW3513" s="245" t="s">
        <v>885</v>
      </c>
      <c r="CX3513" s="459" t="s">
        <v>885</v>
      </c>
      <c r="CY3513" s="459" t="s">
        <v>885</v>
      </c>
      <c r="CZ3513" s="459" t="s">
        <v>885</v>
      </c>
      <c r="DA3513" s="459" t="s">
        <v>885</v>
      </c>
      <c r="DB3513" s="459" t="s">
        <v>885</v>
      </c>
      <c r="DC3513" s="459" t="s">
        <v>885</v>
      </c>
      <c r="DD3513" s="459" t="s">
        <v>885</v>
      </c>
      <c r="DE3513" s="459" t="s">
        <v>885</v>
      </c>
      <c r="DF3513" s="459" t="s">
        <v>885</v>
      </c>
      <c r="DG3513" s="459" t="s">
        <v>885</v>
      </c>
      <c r="DH3513" s="459" t="s">
        <v>885</v>
      </c>
      <c r="DI3513" s="459" t="s">
        <v>885</v>
      </c>
      <c r="DJ3513" s="459" t="s">
        <v>885</v>
      </c>
      <c r="DK3513" s="459" t="s">
        <v>885</v>
      </c>
      <c r="DL3513" s="459" t="s">
        <v>885</v>
      </c>
      <c r="DM3513" s="459" t="s">
        <v>885</v>
      </c>
      <c r="DN3513" s="459" t="s">
        <v>885</v>
      </c>
      <c r="DO3513" s="459" t="s">
        <v>885</v>
      </c>
      <c r="DP3513" t="s">
        <v>3061</v>
      </c>
      <c r="DQ3513" s="459" t="s">
        <v>885</v>
      </c>
      <c r="DR3513" s="459" t="s">
        <v>885</v>
      </c>
      <c r="DS3513" s="459" t="s">
        <v>885</v>
      </c>
      <c r="DT3513" s="459" t="s">
        <v>885</v>
      </c>
      <c r="DU3513" s="459" t="s">
        <v>885</v>
      </c>
      <c r="DV3513" s="459" t="s">
        <v>885</v>
      </c>
      <c r="DW3513" s="459" t="s">
        <v>885</v>
      </c>
      <c r="DX3513" s="245" t="s">
        <v>885</v>
      </c>
      <c r="DY3513" s="245"/>
      <c r="DZ3513" s="470" t="str">
        <f>IF($B$265=$B$3278,EB3513,IF($B$265=$B$3279,ED3513,IF($B$265=$B$3280,EF3513,IF($B$265=$B$3281,EH3513,IF($B$265=$B$3282,EJ3513,IF($B$265=$B$3283,EL3513,IF($B$265=$B$3284,EN3513,IF($B$265=$B$3285,EP3513,IF($B$265=$B$3286,ER3513,IF($B$265=$B$3287,ET3513,IF($B$265=$B$3288,EV3513,IF($B$265=$B$3289,EX3513,IF($B$265=$B$3290,EZ3513,IF($B$265=$B$3291,FB3513,IF($B$265=$B$3292,FD3513,IF($B$265=$B$3293,BU3513,IF($B$265=$B$3294,FF3513,IF($B$265=$B$3295,FH3513,IF($B$265=$B$3296,FJ3513,IF($B$265=$B$3297,FL3513,IF($B$265=$B$3298,FN3513,IF($B$265=$B$3299,FP3513,IF(BI$265=$B$3300,FR3513,IF($B$265=$B$3301,FT3513,IF($B$265=$B$3302,FV3513,IF($B$265=$B$3303,FX3513,IF($B$265=$B$3304,FZ3513,IF($B$265=$B$3305,GB3513,IF($B$265=$B$3306,GD3513,IF($B$265=$B$3307,GF3513,IF($B$265=$B$3308,GH3513,IF($B$265=$B$3309,GJ3513,IF($B$265=$B$3310,GL3513,IF($B$265=$B$3311,GN3513,IF($B$265=$B$3312,GP3513,IF($B$265=$B$3313,GR3513,IF($B$265=$B$3314,GT3513,IF($B$265=$B$3315,GV3513,IF($B$265=$B$3316,GX3513,IF($B$265=$B$3317,GZ3513,IF($B$265=$B$3318,HB3513,IF($B$265=$B$3319,HD3513,IF($B$265=$B$3320,HF3513,IF($B$265=$B$3321,HH3513,IF($B$265=$B$3322,HJ3513,IF($B$265=$B$3323,HL3513,IF($B$265=$B$3324,HN3513,IF($B$265=$B$3325,HP3513,IF($B$265=$B$3326,HR3513,IF($B$265=$B$3327,HT3513,IF($B$265=$B$3328,HV3513,IF($B$265=$B$3329,HX3513,""))))))))))))))))))))))))))))))))))))))))))))))))))))</f>
        <v/>
      </c>
      <c r="EA3513" s="470" t="str">
        <f>IF($B$265=$B$3278,EC3513,IF($B$265=$B$3279,EE3513,IF($B$265=$B$3280,EG3513,IF($B$265=$B$3281,EI3513,IF($B$265=$B$3282,EK3513,IF($B$265=$B$3283,EM3513,IF($B$265=$B$3284,EO3513,IF($B$265=$B$3285,EQ3513,IF($B$265=$B$3286,ES3513,IF($B$265=$B$3287,EU3513,IF($B$265=$B$3288,EW3513,IF($B$265=$B$3289,EY3513,IF($B$265=$B$3290,FA3513,IF($B$265=$B$3291,FC3513,IF($B$265=$B$3292,FE3513,IF($B$265=$B$3293,BK3513,IF($B$265=$B$3294,FG3513,IF($B$265=$B$3295,FI3513,IF($B$265=$B$3296,FK3513,IF($B$265=$B$3297,FM3513,IF($B$265=$B$3298,FO3513,IF($B$265=$B$3299,FQ3513,IF(BJ$265=$B$3300,FS3513,IF($B$265=$B$3301,FU3513,IF($B$265=$B$3302,FW3513,IF($B$265=$B$3303,FY3513,IF($B$265=$B$3304,GA3513,IF($B$265=$B$3305,GC3513,IF($B$265=$B$3306,GE3513,IF($B$265=$B$3307,GG3513,IF($B$265=$B$3308,GI3513,IF($B$265=$B$3309,GK3513,IF($B$265=$B$3310,GM3513,IF($B$265=$B$3311,GO3513,IF($B$265=$B$3312,GQ3513,IF($B$265=$B$3313,GS3513,IF($B$265=$B$3314,GU3513,IF($B$265=$B$3315,GW3513,IF($B$265=$B$3316,GY3513,IF($B$265=$B$3317,HA3513,IF($B$265=$B$3318,HC3513,IF($B$265=$B$3319,HE3513,IF($B$265=$B$3320,HG3513,IF($B$265=$B$3321,HI3513,IF($B$265=$B$3322,HK3513,IF($B$265=$B$3323,HM3513,IF($B$265=$B$3324,HO3513,IF($B$265=$B$3325,HQ3513,IF($B$265=$B$3326,HS3513,IF($B$265=$B$3327,HU3513,IF($B$265=$B$3328,HW3513,IF($B$265=$B$3329,HY3513,""))))))))))))))))))))))))))))))))))))))))))))))))))))</f>
        <v/>
      </c>
      <c r="EB3513" s="459" t="s">
        <v>885</v>
      </c>
    </row>
    <row r="3514" spans="1:132" ht="16" hidden="1" x14ac:dyDescent="0.4">
      <c r="A3514" s="813"/>
      <c r="BB3514" s="48"/>
      <c r="BS3514" s="464" t="str">
        <f>IF($B$265=B$3278,BZ3513,IF($B$265=B$3279,CA3513,IF($B$265=B$3280,CB3513,IF($B$265=B$3281,CC3513,IF($B$265=B$3282,CD3513,IF($B$265=B$3283,CE3513,IF($B$265=B$3284,CF3513,IF($B$265=B$3285,CG3513,IF($B$265=B$3286,CH3513,IF($B$265=B$3287,CI3513,IF($B$265=B$3288,CJ3513,IF($B$265=B$3289,CK3513,IF($B$265=B$3290,CL3513,IF($B$265=B$3291,CM3513,IF($B$265=B$3292,CN3513,IF($B$265=B$3293,C3513,IF($B$265=B$3294,CO3513,IF($B$265=B$3295,CP3513,IF($B$265=B$3296,CQ3513,IF($B$265=B$3297,CR3513,IF($B$265=B$3298,CS3513,IF($B$265=B$3299,CT3513,IF(B$265=B$3300,CU3513,IF($B$265=B$3301,CV3513,IF($B$265=B$3302,CW3513,IF($B$265=B$3303,CX3513,IF($B$265=B$3304,CY3513,IF($B$265=B$3305,CZ3513,IF($B$265=B$3306,DA3513,IF($B$265=B$3307,DB3513,IF($B$265=B$3308,DC3513,IF($B$265=B$3309,DD3513,IF($B$265=B$3310,DE3513,IF($B$265=B$3311,DF3513,IF($B$265=B$3312,DG3513,IF($B$265=B$3313,DH3513,IF($B$265=B$3314,DI3513,IF($B$265=B$3315,DJ3513,IF($B$265=B$3316,DK3513,IF($B$265=B$3317,DL3513,IF($B$265=B$3318,DM3513,IF($B$265=B$3319,DN3513,IF($B$265=B$3320,DO3513,IF($B$265=B$3321,DP3513,IF($B$265=B$3322,DQ3513,IF($B$265=B$3323,DR3513,IF($B$265=B$3324,DS3513,IF($B$265=B$3325,DT3513,IF($B$265=B$3326,DU3513,IF($B$265=B$3327,DV3513,IF($B$265=B$3328,DW3513,IF($B$265=B$3329,DX3513,""))))))))))))))))))))))))))))))))))))))))))))))))))))</f>
        <v/>
      </c>
      <c r="BZ3514" s="245" t="s">
        <v>885</v>
      </c>
      <c r="CA3514" s="245" t="s">
        <v>885</v>
      </c>
      <c r="CC3514" s="245" t="s">
        <v>885</v>
      </c>
      <c r="CD3514" s="459" t="s">
        <v>885</v>
      </c>
      <c r="CE3514" s="459" t="s">
        <v>885</v>
      </c>
      <c r="CF3514" s="245" t="s">
        <v>885</v>
      </c>
      <c r="CG3514" s="245" t="s">
        <v>885</v>
      </c>
      <c r="CH3514" s="245" t="s">
        <v>885</v>
      </c>
      <c r="CI3514" s="245" t="s">
        <v>885</v>
      </c>
      <c r="CJ3514" s="459" t="s">
        <v>885</v>
      </c>
      <c r="CK3514" s="459" t="s">
        <v>885</v>
      </c>
      <c r="CL3514" s="459" t="s">
        <v>885</v>
      </c>
      <c r="CM3514" s="459" t="s">
        <v>885</v>
      </c>
      <c r="CN3514" s="459" t="s">
        <v>885</v>
      </c>
      <c r="CO3514" s="459" t="s">
        <v>885</v>
      </c>
      <c r="CP3514" s="459" t="s">
        <v>885</v>
      </c>
      <c r="CQ3514" s="459" t="s">
        <v>885</v>
      </c>
      <c r="CR3514" s="459" t="s">
        <v>885</v>
      </c>
      <c r="CS3514" s="459" t="s">
        <v>885</v>
      </c>
      <c r="CT3514" s="245" t="s">
        <v>885</v>
      </c>
      <c r="CU3514" s="463" t="s">
        <v>885</v>
      </c>
      <c r="CV3514" s="245" t="s">
        <v>885</v>
      </c>
      <c r="CW3514" s="245" t="s">
        <v>885</v>
      </c>
      <c r="CX3514" s="459" t="s">
        <v>885</v>
      </c>
      <c r="CY3514" s="459" t="s">
        <v>885</v>
      </c>
      <c r="CZ3514" s="459" t="s">
        <v>885</v>
      </c>
      <c r="DA3514" s="459" t="s">
        <v>885</v>
      </c>
      <c r="DB3514" s="459" t="s">
        <v>885</v>
      </c>
      <c r="DC3514" s="459" t="s">
        <v>885</v>
      </c>
      <c r="DD3514" s="459" t="s">
        <v>885</v>
      </c>
      <c r="DE3514" s="459" t="s">
        <v>885</v>
      </c>
      <c r="DF3514" s="459" t="s">
        <v>885</v>
      </c>
      <c r="DG3514" s="459" t="s">
        <v>885</v>
      </c>
      <c r="DH3514" s="459" t="s">
        <v>885</v>
      </c>
      <c r="DI3514" s="459" t="s">
        <v>885</v>
      </c>
      <c r="DJ3514" s="459" t="s">
        <v>885</v>
      </c>
      <c r="DK3514" s="459" t="s">
        <v>885</v>
      </c>
      <c r="DL3514" s="459" t="s">
        <v>885</v>
      </c>
      <c r="DM3514" s="459" t="s">
        <v>885</v>
      </c>
      <c r="DN3514" s="459" t="s">
        <v>885</v>
      </c>
      <c r="DO3514" s="459" t="s">
        <v>885</v>
      </c>
      <c r="DP3514" t="s">
        <v>3062</v>
      </c>
      <c r="DQ3514" s="459" t="s">
        <v>885</v>
      </c>
      <c r="DR3514" s="459" t="s">
        <v>885</v>
      </c>
      <c r="DS3514" s="459" t="s">
        <v>885</v>
      </c>
      <c r="DT3514" s="459" t="s">
        <v>885</v>
      </c>
      <c r="DU3514" s="459" t="s">
        <v>885</v>
      </c>
      <c r="DV3514" s="459" t="s">
        <v>885</v>
      </c>
      <c r="DW3514" s="459" t="s">
        <v>885</v>
      </c>
      <c r="DX3514" s="245" t="s">
        <v>885</v>
      </c>
      <c r="DY3514" s="245"/>
      <c r="DZ3514" s="470" t="str">
        <f>IF($B$265=$B$3278,EB3514,IF($B$265=$B$3279,ED3514,IF($B$265=$B$3280,EF3514,IF($B$265=$B$3281,EH3514,IF($B$265=$B$3282,EJ3514,IF($B$265=$B$3283,EL3514,IF($B$265=$B$3284,EN3514,IF($B$265=$B$3285,EP3514,IF($B$265=$B$3286,ER3514,IF($B$265=$B$3287,ET3514,IF($B$265=$B$3288,EV3514,IF($B$265=$B$3289,EX3514,IF($B$265=$B$3290,EZ3514,IF($B$265=$B$3291,FB3514,IF($B$265=$B$3292,FD3514,IF($B$265=$B$3293,BU3514,IF($B$265=$B$3294,FF3514,IF($B$265=$B$3295,FH3514,IF($B$265=$B$3296,FJ3514,IF($B$265=$B$3297,FL3514,IF($B$265=$B$3298,FN3514,IF($B$265=$B$3299,FP3514,IF(BI$265=$B$3300,FR3514,IF($B$265=$B$3301,FT3514,IF($B$265=$B$3302,FV3514,IF($B$265=$B$3303,FX3514,IF($B$265=$B$3304,FZ3514,IF($B$265=$B$3305,GB3514,IF($B$265=$B$3306,GD3514,IF($B$265=$B$3307,GF3514,IF($B$265=$B$3308,GH3514,IF($B$265=$B$3309,GJ3514,IF($B$265=$B$3310,GL3514,IF($B$265=$B$3311,GN3514,IF($B$265=$B$3312,GP3514,IF($B$265=$B$3313,GR3514,IF($B$265=$B$3314,GT3514,IF($B$265=$B$3315,GV3514,IF($B$265=$B$3316,GX3514,IF($B$265=$B$3317,GZ3514,IF($B$265=$B$3318,HB3514,IF($B$265=$B$3319,HD3514,IF($B$265=$B$3320,HF3514,IF($B$265=$B$3321,HH3514,IF($B$265=$B$3322,HJ3514,IF($B$265=$B$3323,HL3514,IF($B$265=$B$3324,HN3514,IF($B$265=$B$3325,HP3514,IF($B$265=$B$3326,HR3514,IF($B$265=$B$3327,HT3514,IF($B$265=$B$3328,HV3514,IF($B$265=$B$3329,HX3514,""))))))))))))))))))))))))))))))))))))))))))))))))))))</f>
        <v/>
      </c>
      <c r="EA3514" s="470" t="str">
        <f>IF($B$265=$B$3278,EC3514,IF($B$265=$B$3279,EE3514,IF($B$265=$B$3280,EG3514,IF($B$265=$B$3281,EI3514,IF($B$265=$B$3282,EK3514,IF($B$265=$B$3283,EM3514,IF($B$265=$B$3284,EO3514,IF($B$265=$B$3285,EQ3514,IF($B$265=$B$3286,ES3514,IF($B$265=$B$3287,EU3514,IF($B$265=$B$3288,EW3514,IF($B$265=$B$3289,EY3514,IF($B$265=$B$3290,FA3514,IF($B$265=$B$3291,FC3514,IF($B$265=$B$3292,FE3514,IF($B$265=$B$3293,BK3514,IF($B$265=$B$3294,FG3514,IF($B$265=$B$3295,FI3514,IF($B$265=$B$3296,FK3514,IF($B$265=$B$3297,FM3514,IF($B$265=$B$3298,FO3514,IF($B$265=$B$3299,FQ3514,IF(BJ$265=$B$3300,FS3514,IF($B$265=$B$3301,FU3514,IF($B$265=$B$3302,FW3514,IF($B$265=$B$3303,FY3514,IF($B$265=$B$3304,GA3514,IF($B$265=$B$3305,GC3514,IF($B$265=$B$3306,GE3514,IF($B$265=$B$3307,GG3514,IF($B$265=$B$3308,GI3514,IF($B$265=$B$3309,GK3514,IF($B$265=$B$3310,GM3514,IF($B$265=$B$3311,GO3514,IF($B$265=$B$3312,GQ3514,IF($B$265=$B$3313,GS3514,IF($B$265=$B$3314,GU3514,IF($B$265=$B$3315,GW3514,IF($B$265=$B$3316,GY3514,IF($B$265=$B$3317,HA3514,IF($B$265=$B$3318,HC3514,IF($B$265=$B$3319,HE3514,IF($B$265=$B$3320,HG3514,IF($B$265=$B$3321,HI3514,IF($B$265=$B$3322,HK3514,IF($B$265=$B$3323,HM3514,IF($B$265=$B$3324,HO3514,IF($B$265=$B$3325,HQ3514,IF($B$265=$B$3326,HS3514,IF($B$265=$B$3327,HU3514,IF($B$265=$B$3328,HW3514,IF($B$265=$B$3329,HY3514,""))))))))))))))))))))))))))))))))))))))))))))))))))))</f>
        <v/>
      </c>
      <c r="EB3514" s="459" t="s">
        <v>885</v>
      </c>
    </row>
    <row r="3515" spans="1:132" ht="16" hidden="1" x14ac:dyDescent="0.4">
      <c r="A3515" s="813"/>
      <c r="BB3515" s="48"/>
      <c r="BS3515" s="464" t="str">
        <f>IF($B$265=B$3278,BZ3514,IF($B$265=B$3279,CA3514,IF($B$265=B$3280,CB3514,IF($B$265=B$3281,CC3514,IF($B$265=B$3282,CD3514,IF($B$265=B$3283,CE3514,IF($B$265=B$3284,CF3514,IF($B$265=B$3285,CG3514,IF($B$265=B$3286,CH3514,IF($B$265=B$3287,CI3514,IF($B$265=B$3288,CJ3514,IF($B$265=B$3289,CK3514,IF($B$265=B$3290,CL3514,IF($B$265=B$3291,CM3514,IF($B$265=B$3292,CN3514,IF($B$265=B$3293,C3514,IF($B$265=B$3294,CO3514,IF($B$265=B$3295,CP3514,IF($B$265=B$3296,CQ3514,IF($B$265=B$3297,CR3514,IF($B$265=B$3298,CS3514,IF($B$265=B$3299,CT3514,IF(B$265=B$3300,CU3514,IF($B$265=B$3301,CV3514,IF($B$265=B$3302,CW3514,IF($B$265=B$3303,CX3514,IF($B$265=B$3304,CY3514,IF($B$265=B$3305,CZ3514,IF($B$265=B$3306,DA3514,IF($B$265=B$3307,DB3514,IF($B$265=B$3308,DC3514,IF($B$265=B$3309,DD3514,IF($B$265=B$3310,DE3514,IF($B$265=B$3311,DF3514,IF($B$265=B$3312,DG3514,IF($B$265=B$3313,DH3514,IF($B$265=B$3314,DI3514,IF($B$265=B$3315,DJ3514,IF($B$265=B$3316,DK3514,IF($B$265=B$3317,DL3514,IF($B$265=B$3318,DM3514,IF($B$265=B$3319,DN3514,IF($B$265=B$3320,DO3514,IF($B$265=B$3321,DP3514,IF($B$265=B$3322,DQ3514,IF($B$265=B$3323,DR3514,IF($B$265=B$3324,DS3514,IF($B$265=B$3325,DT3514,IF($B$265=B$3326,DU3514,IF($B$265=B$3327,DV3514,IF($B$265=B$3328,DW3514,IF($B$265=B$3329,DX3514,""))))))))))))))))))))))))))))))))))))))))))))))))))))</f>
        <v/>
      </c>
      <c r="BZ3515" s="245" t="s">
        <v>885</v>
      </c>
      <c r="CA3515" s="245" t="s">
        <v>885</v>
      </c>
      <c r="CC3515" s="245" t="s">
        <v>885</v>
      </c>
      <c r="CD3515" s="459" t="s">
        <v>885</v>
      </c>
      <c r="CE3515" s="459" t="s">
        <v>885</v>
      </c>
      <c r="CF3515" s="245" t="s">
        <v>885</v>
      </c>
      <c r="CG3515" s="245" t="s">
        <v>885</v>
      </c>
      <c r="CH3515" s="245" t="s">
        <v>885</v>
      </c>
      <c r="CI3515" s="245" t="s">
        <v>885</v>
      </c>
      <c r="CJ3515" s="459" t="s">
        <v>885</v>
      </c>
      <c r="CK3515" s="459" t="s">
        <v>885</v>
      </c>
      <c r="CL3515" s="459" t="s">
        <v>885</v>
      </c>
      <c r="CM3515" s="459" t="s">
        <v>885</v>
      </c>
      <c r="CN3515" s="459" t="s">
        <v>885</v>
      </c>
      <c r="CO3515" s="459" t="s">
        <v>885</v>
      </c>
      <c r="CP3515" s="459" t="s">
        <v>885</v>
      </c>
      <c r="CQ3515" s="459" t="s">
        <v>885</v>
      </c>
      <c r="CR3515" s="459" t="s">
        <v>885</v>
      </c>
      <c r="CS3515" s="459" t="s">
        <v>885</v>
      </c>
      <c r="CT3515" s="245" t="s">
        <v>885</v>
      </c>
      <c r="CU3515" s="463" t="s">
        <v>885</v>
      </c>
      <c r="CV3515" s="245" t="s">
        <v>885</v>
      </c>
      <c r="CW3515" s="245" t="s">
        <v>885</v>
      </c>
      <c r="CX3515" s="459" t="s">
        <v>885</v>
      </c>
      <c r="CY3515" s="459" t="s">
        <v>885</v>
      </c>
      <c r="CZ3515" s="459" t="s">
        <v>885</v>
      </c>
      <c r="DA3515" s="459" t="s">
        <v>885</v>
      </c>
      <c r="DB3515" s="459" t="s">
        <v>885</v>
      </c>
      <c r="DC3515" s="459" t="s">
        <v>885</v>
      </c>
      <c r="DD3515" s="459" t="s">
        <v>885</v>
      </c>
      <c r="DE3515" s="459" t="s">
        <v>885</v>
      </c>
      <c r="DF3515" s="459" t="s">
        <v>885</v>
      </c>
      <c r="DG3515" s="459" t="s">
        <v>885</v>
      </c>
      <c r="DH3515" s="459" t="s">
        <v>885</v>
      </c>
      <c r="DI3515" s="459" t="s">
        <v>885</v>
      </c>
      <c r="DJ3515" s="459" t="s">
        <v>885</v>
      </c>
      <c r="DK3515" s="459" t="s">
        <v>885</v>
      </c>
      <c r="DL3515" s="459" t="s">
        <v>885</v>
      </c>
      <c r="DM3515" s="459" t="s">
        <v>885</v>
      </c>
      <c r="DN3515" s="459" t="s">
        <v>885</v>
      </c>
      <c r="DO3515" s="459" t="s">
        <v>885</v>
      </c>
      <c r="DP3515" t="s">
        <v>1837</v>
      </c>
      <c r="DQ3515" s="459" t="s">
        <v>885</v>
      </c>
      <c r="DR3515" s="459" t="s">
        <v>885</v>
      </c>
      <c r="DS3515" s="459" t="s">
        <v>885</v>
      </c>
      <c r="DT3515" s="459" t="s">
        <v>885</v>
      </c>
      <c r="DU3515" s="459" t="s">
        <v>885</v>
      </c>
      <c r="DV3515" s="459" t="s">
        <v>885</v>
      </c>
      <c r="DW3515" s="459" t="s">
        <v>885</v>
      </c>
      <c r="DX3515" s="245" t="s">
        <v>885</v>
      </c>
      <c r="DY3515" s="245"/>
      <c r="DZ3515" s="470" t="str">
        <f>IF($B$265=$B$3278,EB3515,IF($B$265=$B$3279,ED3515,IF($B$265=$B$3280,EF3515,IF($B$265=$B$3281,EH3515,IF($B$265=$B$3282,EJ3515,IF($B$265=$B$3283,EL3515,IF($B$265=$B$3284,EN3515,IF($B$265=$B$3285,EP3515,IF($B$265=$B$3286,ER3515,IF($B$265=$B$3287,ET3515,IF($B$265=$B$3288,EV3515,IF($B$265=$B$3289,EX3515,IF($B$265=$B$3290,EZ3515,IF($B$265=$B$3291,FB3515,IF($B$265=$B$3292,FD3515,IF($B$265=$B$3293,BU3515,IF($B$265=$B$3294,FF3515,IF($B$265=$B$3295,FH3515,IF($B$265=$B$3296,FJ3515,IF($B$265=$B$3297,FL3515,IF($B$265=$B$3298,FN3515,IF($B$265=$B$3299,FP3515,IF(BI$265=$B$3300,FR3515,IF($B$265=$B$3301,FT3515,IF($B$265=$B$3302,FV3515,IF($B$265=$B$3303,FX3515,IF($B$265=$B$3304,FZ3515,IF($B$265=$B$3305,GB3515,IF($B$265=$B$3306,GD3515,IF($B$265=$B$3307,GF3515,IF($B$265=$B$3308,GH3515,IF($B$265=$B$3309,GJ3515,IF($B$265=$B$3310,GL3515,IF($B$265=$B$3311,GN3515,IF($B$265=$B$3312,GP3515,IF($B$265=$B$3313,GR3515,IF($B$265=$B$3314,GT3515,IF($B$265=$B$3315,GV3515,IF($B$265=$B$3316,GX3515,IF($B$265=$B$3317,GZ3515,IF($B$265=$B$3318,HB3515,IF($B$265=$B$3319,HD3515,IF($B$265=$B$3320,HF3515,IF($B$265=$B$3321,HH3515,IF($B$265=$B$3322,HJ3515,IF($B$265=$B$3323,HL3515,IF($B$265=$B$3324,HN3515,IF($B$265=$B$3325,HP3515,IF($B$265=$B$3326,HR3515,IF($B$265=$B$3327,HT3515,IF($B$265=$B$3328,HV3515,IF($B$265=$B$3329,HX3515,""))))))))))))))))))))))))))))))))))))))))))))))))))))</f>
        <v/>
      </c>
      <c r="EA3515" s="470" t="str">
        <f>IF($B$265=$B$3278,EC3515,IF($B$265=$B$3279,EE3515,IF($B$265=$B$3280,EG3515,IF($B$265=$B$3281,EI3515,IF($B$265=$B$3282,EK3515,IF($B$265=$B$3283,EM3515,IF($B$265=$B$3284,EO3515,IF($B$265=$B$3285,EQ3515,IF($B$265=$B$3286,ES3515,IF($B$265=$B$3287,EU3515,IF($B$265=$B$3288,EW3515,IF($B$265=$B$3289,EY3515,IF($B$265=$B$3290,FA3515,IF($B$265=$B$3291,FC3515,IF($B$265=$B$3292,FE3515,IF($B$265=$B$3293,BK3515,IF($B$265=$B$3294,FG3515,IF($B$265=$B$3295,FI3515,IF($B$265=$B$3296,FK3515,IF($B$265=$B$3297,FM3515,IF($B$265=$B$3298,FO3515,IF($B$265=$B$3299,FQ3515,IF(BJ$265=$B$3300,FS3515,IF($B$265=$B$3301,FU3515,IF($B$265=$B$3302,FW3515,IF($B$265=$B$3303,FY3515,IF($B$265=$B$3304,GA3515,IF($B$265=$B$3305,GC3515,IF($B$265=$B$3306,GE3515,IF($B$265=$B$3307,GG3515,IF($B$265=$B$3308,GI3515,IF($B$265=$B$3309,GK3515,IF($B$265=$B$3310,GM3515,IF($B$265=$B$3311,GO3515,IF($B$265=$B$3312,GQ3515,IF($B$265=$B$3313,GS3515,IF($B$265=$B$3314,GU3515,IF($B$265=$B$3315,GW3515,IF($B$265=$B$3316,GY3515,IF($B$265=$B$3317,HA3515,IF($B$265=$B$3318,HC3515,IF($B$265=$B$3319,HE3515,IF($B$265=$B$3320,HG3515,IF($B$265=$B$3321,HI3515,IF($B$265=$B$3322,HK3515,IF($B$265=$B$3323,HM3515,IF($B$265=$B$3324,HO3515,IF($B$265=$B$3325,HQ3515,IF($B$265=$B$3326,HS3515,IF($B$265=$B$3327,HU3515,IF($B$265=$B$3328,HW3515,IF($B$265=$B$3329,HY3515,""))))))))))))))))))))))))))))))))))))))))))))))))))))</f>
        <v/>
      </c>
      <c r="EB3515" s="459" t="s">
        <v>885</v>
      </c>
    </row>
    <row r="3516" spans="1:132" ht="16" hidden="1" x14ac:dyDescent="0.4">
      <c r="A3516" s="813"/>
      <c r="BB3516" s="48"/>
      <c r="BS3516" s="464" t="str">
        <f>IF($B$265=B$3278,BZ3515,IF($B$265=B$3279,CA3515,IF($B$265=B$3280,CB3515,IF($B$265=B$3281,CC3515,IF($B$265=B$3282,CD3515,IF($B$265=B$3283,CE3515,IF($B$265=B$3284,CF3515,IF($B$265=B$3285,CG3515,IF($B$265=B$3286,CH3515,IF($B$265=B$3287,CI3515,IF($B$265=B$3288,CJ3515,IF($B$265=B$3289,CK3515,IF($B$265=B$3290,CL3515,IF($B$265=B$3291,CM3515,IF($B$265=B$3292,CN3515,IF($B$265=B$3293,C2875,IF($B$265=B$3294,CO3515,IF($B$265=B$3295,CP3515,IF($B$265=B$3296,CQ3515,IF($B$265=B$3297,CR3515,IF($B$265=B$3298,CS3515,IF($B$265=B$3299,CT3515,IF(B$265=B$3300,CU3515,IF($B$265=B$3301,CV3515,IF($B$265=B$3302,CW3515,IF($B$265=B$3303,CX3515,IF($B$265=B$3304,CY3515,IF($B$265=B$3305,CZ3515,IF($B$265=B$3306,DA3515,IF($B$265=B$3307,DB3515,IF($B$265=B$3308,DC3515,IF($B$265=B$3309,DD3515,IF($B$265=B$3310,DE3515,IF($B$265=B$3311,DF3515,IF($B$265=B$3312,DG3515,IF($B$265=B$3313,DH3515,IF($B$265=B$3314,DI3515,IF($B$265=B$3315,DJ3515,IF($B$265=B$3316,DK3515,IF($B$265=B$3317,DL3515,IF($B$265=B$3318,DM3515,IF($B$265=B$3319,DN3515,IF($B$265=B$3320,DO3515,IF($B$265=B$3321,DP3515,IF($B$265=B$3322,DQ3515,IF($B$265=B$3323,DR3515,IF($B$265=B$3324,DS3515,IF($B$265=B$3325,DT3515,IF($B$265=B$3326,DU3515,IF($B$265=B$3327,DV3515,IF($B$265=B$3328,DW3515,IF($B$265=B$3329,DX3515,""))))))))))))))))))))))))))))))))))))))))))))))))))))</f>
        <v/>
      </c>
      <c r="BZ3516" s="245" t="s">
        <v>885</v>
      </c>
      <c r="CA3516" s="245" t="s">
        <v>885</v>
      </c>
      <c r="CC3516" s="245" t="s">
        <v>885</v>
      </c>
      <c r="CD3516" s="459" t="s">
        <v>885</v>
      </c>
      <c r="CE3516" s="459" t="s">
        <v>885</v>
      </c>
      <c r="CF3516" s="245" t="s">
        <v>885</v>
      </c>
      <c r="CG3516" s="245" t="s">
        <v>885</v>
      </c>
      <c r="CH3516" s="245" t="s">
        <v>885</v>
      </c>
      <c r="CI3516" s="245" t="s">
        <v>885</v>
      </c>
      <c r="CJ3516" s="459" t="s">
        <v>885</v>
      </c>
      <c r="CK3516" s="459" t="s">
        <v>885</v>
      </c>
      <c r="CL3516" s="459" t="s">
        <v>885</v>
      </c>
      <c r="CM3516" s="459" t="s">
        <v>885</v>
      </c>
      <c r="CN3516" s="459" t="s">
        <v>885</v>
      </c>
      <c r="CO3516" s="459" t="s">
        <v>885</v>
      </c>
      <c r="CP3516" s="459" t="s">
        <v>885</v>
      </c>
      <c r="CQ3516" s="459" t="s">
        <v>885</v>
      </c>
      <c r="CR3516" s="459" t="s">
        <v>885</v>
      </c>
      <c r="CS3516" s="459" t="s">
        <v>885</v>
      </c>
      <c r="CT3516" s="245" t="s">
        <v>885</v>
      </c>
      <c r="CU3516" s="463" t="s">
        <v>885</v>
      </c>
      <c r="CV3516" s="245" t="s">
        <v>885</v>
      </c>
      <c r="CW3516" s="245" t="s">
        <v>885</v>
      </c>
      <c r="CX3516" s="459" t="s">
        <v>885</v>
      </c>
      <c r="CY3516" s="459" t="s">
        <v>885</v>
      </c>
      <c r="CZ3516" s="459" t="s">
        <v>885</v>
      </c>
      <c r="DA3516" s="459" t="s">
        <v>885</v>
      </c>
      <c r="DB3516" s="459" t="s">
        <v>885</v>
      </c>
      <c r="DC3516" s="459" t="s">
        <v>885</v>
      </c>
      <c r="DD3516" s="459" t="s">
        <v>885</v>
      </c>
      <c r="DE3516" s="459" t="s">
        <v>885</v>
      </c>
      <c r="DF3516" s="459" t="s">
        <v>885</v>
      </c>
      <c r="DG3516" s="459" t="s">
        <v>885</v>
      </c>
      <c r="DH3516" s="459" t="s">
        <v>885</v>
      </c>
      <c r="DI3516" s="459" t="s">
        <v>885</v>
      </c>
      <c r="DJ3516" s="459" t="s">
        <v>885</v>
      </c>
      <c r="DK3516" s="459" t="s">
        <v>885</v>
      </c>
      <c r="DL3516" s="459" t="s">
        <v>885</v>
      </c>
      <c r="DM3516" s="459" t="s">
        <v>885</v>
      </c>
      <c r="DN3516" s="459" t="s">
        <v>885</v>
      </c>
      <c r="DO3516" s="459" t="s">
        <v>885</v>
      </c>
      <c r="DP3516" t="s">
        <v>3063</v>
      </c>
      <c r="DQ3516" s="459" t="s">
        <v>885</v>
      </c>
      <c r="DR3516" s="459" t="s">
        <v>885</v>
      </c>
      <c r="DS3516" s="459" t="s">
        <v>885</v>
      </c>
      <c r="DT3516" s="459" t="s">
        <v>885</v>
      </c>
      <c r="DU3516" s="459" t="s">
        <v>885</v>
      </c>
      <c r="DV3516" s="459" t="s">
        <v>885</v>
      </c>
      <c r="DW3516" s="459" t="s">
        <v>885</v>
      </c>
      <c r="DX3516" s="245" t="s">
        <v>885</v>
      </c>
      <c r="DY3516" s="245"/>
      <c r="DZ3516" s="470" t="str">
        <f>IF($B$265=$B$3278,EB3516,IF($B$265=$B$3279,ED3516,IF($B$265=$B$3280,EF3516,IF($B$265=$B$3281,EH3516,IF($B$265=$B$3282,EJ3516,IF($B$265=$B$3283,EL3516,IF($B$265=$B$3284,EN3516,IF($B$265=$B$3285,EP3516,IF($B$265=$B$3286,ER3516,IF($B$265=$B$3287,ET3516,IF($B$265=$B$3288,EV3516,IF($B$265=$B$3289,EX3516,IF($B$265=$B$3290,EZ3516,IF($B$265=$B$3291,FB3516,IF($B$265=$B$3292,FD3516,IF($B$265=$B$3293,BU3516,IF($B$265=$B$3294,FF3516,IF($B$265=$B$3295,FH3516,IF($B$265=$B$3296,FJ3516,IF($B$265=$B$3297,FL3516,IF($B$265=$B$3298,FN3516,IF($B$265=$B$3299,FP3516,IF(BI$265=$B$3300,FR3516,IF($B$265=$B$3301,FT3516,IF($B$265=$B$3302,FV3516,IF($B$265=$B$3303,FX3516,IF($B$265=$B$3304,FZ3516,IF($B$265=$B$3305,GB3516,IF($B$265=$B$3306,GD3516,IF($B$265=$B$3307,GF3516,IF($B$265=$B$3308,GH3516,IF($B$265=$B$3309,GJ3516,IF($B$265=$B$3310,GL3516,IF($B$265=$B$3311,GN3516,IF($B$265=$B$3312,GP3516,IF($B$265=$B$3313,GR3516,IF($B$265=$B$3314,GT3516,IF($B$265=$B$3315,GV3516,IF($B$265=$B$3316,GX3516,IF($B$265=$B$3317,GZ3516,IF($B$265=$B$3318,HB3516,IF($B$265=$B$3319,HD3516,IF($B$265=$B$3320,HF3516,IF($B$265=$B$3321,HH3516,IF($B$265=$B$3322,HJ3516,IF($B$265=$B$3323,HL3516,IF($B$265=$B$3324,HN3516,IF($B$265=$B$3325,HP3516,IF($B$265=$B$3326,HR3516,IF($B$265=$B$3327,HT3516,IF($B$265=$B$3328,HV3516,IF($B$265=$B$3329,HX3516,""))))))))))))))))))))))))))))))))))))))))))))))))))))</f>
        <v/>
      </c>
      <c r="EA3516" s="470" t="str">
        <f>IF($B$265=$B$3278,EC3516,IF($B$265=$B$3279,EE3516,IF($B$265=$B$3280,EG3516,IF($B$265=$B$3281,EI3516,IF($B$265=$B$3282,EK3516,IF($B$265=$B$3283,EM3516,IF($B$265=$B$3284,EO3516,IF($B$265=$B$3285,EQ3516,IF($B$265=$B$3286,ES3516,IF($B$265=$B$3287,EU3516,IF($B$265=$B$3288,EW3516,IF($B$265=$B$3289,EY3516,IF($B$265=$B$3290,FA3516,IF($B$265=$B$3291,FC3516,IF($B$265=$B$3292,FE3516,IF($B$265=$B$3293,BK3516,IF($B$265=$B$3294,FG3516,IF($B$265=$B$3295,FI3516,IF($B$265=$B$3296,FK3516,IF($B$265=$B$3297,FM3516,IF($B$265=$B$3298,FO3516,IF($B$265=$B$3299,FQ3516,IF(BJ$265=$B$3300,FS3516,IF($B$265=$B$3301,FU3516,IF($B$265=$B$3302,FW3516,IF($B$265=$B$3303,FY3516,IF($B$265=$B$3304,GA3516,IF($B$265=$B$3305,GC3516,IF($B$265=$B$3306,GE3516,IF($B$265=$B$3307,GG3516,IF($B$265=$B$3308,GI3516,IF($B$265=$B$3309,GK3516,IF($B$265=$B$3310,GM3516,IF($B$265=$B$3311,GO3516,IF($B$265=$B$3312,GQ3516,IF($B$265=$B$3313,GS3516,IF($B$265=$B$3314,GU3516,IF($B$265=$B$3315,GW3516,IF($B$265=$B$3316,GY3516,IF($B$265=$B$3317,HA3516,IF($B$265=$B$3318,HC3516,IF($B$265=$B$3319,HE3516,IF($B$265=$B$3320,HG3516,IF($B$265=$B$3321,HI3516,IF($B$265=$B$3322,HK3516,IF($B$265=$B$3323,HM3516,IF($B$265=$B$3324,HO3516,IF($B$265=$B$3325,HQ3516,IF($B$265=$B$3326,HS3516,IF($B$265=$B$3327,HU3516,IF($B$265=$B$3328,HW3516,IF($B$265=$B$3329,HY3516,""))))))))))))))))))))))))))))))))))))))))))))))))))))</f>
        <v/>
      </c>
      <c r="EB3516" s="459" t="s">
        <v>885</v>
      </c>
    </row>
    <row r="3517" spans="1:132" ht="16" hidden="1" x14ac:dyDescent="0.4">
      <c r="A3517" s="813"/>
      <c r="BB3517" s="48"/>
      <c r="BS3517" s="464" t="str">
        <f>IF($B$265=B$3278,BZ3516,IF($B$265=B$3279,CA3516,IF($B$265=B$3280,CB3516,IF($B$265=B$3281,CC3516,IF($B$265=B$3282,CD3516,IF($B$265=B$3283,CE3516,IF($B$265=B$3284,CF3516,IF($B$265=B$3285,CG3516,IF($B$265=B$3286,CH3516,IF($B$265=B$3287,CI3516,IF($B$265=B$3288,CJ3516,IF($B$265=B$3289,CK3516,IF($B$265=B$3290,CL3516,IF($B$265=B$3291,CM3516,IF($B$265=B$3292,CN3516,IF($B$265=B$3293,C2876,IF($B$265=B$3294,CO3516,IF($B$265=B$3295,CP3516,IF($B$265=B$3296,CQ3516,IF($B$265=B$3297,CR3516,IF($B$265=B$3298,CS3516,IF($B$265=B$3299,CT3516,IF(B$265=B$3300,CU3516,IF($B$265=B$3301,CV3516,IF($B$265=B$3302,CW3516,IF($B$265=B$3303,CX3516,IF($B$265=B$3304,CY3516,IF($B$265=B$3305,CZ3516,IF($B$265=B$3306,DA3516,IF($B$265=B$3307,DB3516,IF($B$265=B$3308,DC3516,IF($B$265=B$3309,DD3516,IF($B$265=B$3310,DE3516,IF($B$265=B$3311,DF3516,IF($B$265=B$3312,DG3516,IF($B$265=B$3313,DH3516,IF($B$265=B$3314,DI3516,IF($B$265=B$3315,DJ3516,IF($B$265=B$3316,DK3516,IF($B$265=B$3317,DL3516,IF($B$265=B$3318,DM3516,IF($B$265=B$3319,DN3516,IF($B$265=B$3320,DO3516,IF($B$265=B$3321,DP3516,IF($B$265=B$3322,DQ3516,IF($B$265=B$3323,DR3516,IF($B$265=B$3324,DS3516,IF($B$265=B$3325,DT3516,IF($B$265=B$3326,DU3516,IF($B$265=B$3327,DV3516,IF($B$265=B$3328,DW3516,IF($B$265=B$3329,DX3516,""))))))))))))))))))))))))))))))))))))))))))))))))))))</f>
        <v/>
      </c>
      <c r="BZ3517" s="245" t="s">
        <v>885</v>
      </c>
      <c r="CA3517" s="245" t="s">
        <v>885</v>
      </c>
      <c r="CC3517" s="245" t="s">
        <v>885</v>
      </c>
      <c r="CD3517" s="459" t="s">
        <v>885</v>
      </c>
      <c r="CE3517" s="459" t="s">
        <v>885</v>
      </c>
      <c r="CF3517" s="245" t="s">
        <v>885</v>
      </c>
      <c r="CG3517" s="245" t="s">
        <v>885</v>
      </c>
      <c r="CH3517" s="245" t="s">
        <v>885</v>
      </c>
      <c r="CI3517" s="245" t="s">
        <v>885</v>
      </c>
      <c r="CJ3517" s="459" t="s">
        <v>885</v>
      </c>
      <c r="CK3517" s="459" t="s">
        <v>885</v>
      </c>
      <c r="CL3517" s="459" t="s">
        <v>885</v>
      </c>
      <c r="CM3517" s="459" t="s">
        <v>885</v>
      </c>
      <c r="CN3517" s="459" t="s">
        <v>885</v>
      </c>
      <c r="CO3517" s="459" t="s">
        <v>885</v>
      </c>
      <c r="CP3517" s="459" t="s">
        <v>885</v>
      </c>
      <c r="CQ3517" s="459" t="s">
        <v>885</v>
      </c>
      <c r="CR3517" s="459" t="s">
        <v>885</v>
      </c>
      <c r="CS3517" s="459" t="s">
        <v>885</v>
      </c>
      <c r="CT3517" s="245" t="s">
        <v>885</v>
      </c>
      <c r="CU3517" s="463" t="s">
        <v>885</v>
      </c>
      <c r="CV3517" s="245" t="s">
        <v>885</v>
      </c>
      <c r="CW3517" s="245" t="s">
        <v>885</v>
      </c>
      <c r="CX3517" s="459" t="s">
        <v>885</v>
      </c>
      <c r="CY3517" s="459" t="s">
        <v>885</v>
      </c>
      <c r="CZ3517" s="459" t="s">
        <v>885</v>
      </c>
      <c r="DA3517" s="459" t="s">
        <v>885</v>
      </c>
      <c r="DB3517" s="459" t="s">
        <v>885</v>
      </c>
      <c r="DC3517" s="459" t="s">
        <v>885</v>
      </c>
      <c r="DD3517" s="459" t="s">
        <v>885</v>
      </c>
      <c r="DE3517" s="459" t="s">
        <v>885</v>
      </c>
      <c r="DF3517" s="459" t="s">
        <v>885</v>
      </c>
      <c r="DG3517" s="459" t="s">
        <v>885</v>
      </c>
      <c r="DH3517" s="459" t="s">
        <v>885</v>
      </c>
      <c r="DI3517" s="459" t="s">
        <v>885</v>
      </c>
      <c r="DJ3517" s="459" t="s">
        <v>885</v>
      </c>
      <c r="DK3517" s="459" t="s">
        <v>885</v>
      </c>
      <c r="DL3517" s="459" t="s">
        <v>885</v>
      </c>
      <c r="DM3517" s="459" t="s">
        <v>885</v>
      </c>
      <c r="DN3517" s="459" t="s">
        <v>885</v>
      </c>
      <c r="DO3517" s="459" t="s">
        <v>885</v>
      </c>
      <c r="DP3517" t="s">
        <v>3064</v>
      </c>
      <c r="DQ3517" s="459" t="s">
        <v>885</v>
      </c>
      <c r="DR3517" s="459" t="s">
        <v>885</v>
      </c>
      <c r="DS3517" s="459" t="s">
        <v>885</v>
      </c>
      <c r="DT3517" s="459" t="s">
        <v>885</v>
      </c>
      <c r="DU3517" s="459" t="s">
        <v>885</v>
      </c>
      <c r="DV3517" s="459" t="s">
        <v>885</v>
      </c>
      <c r="DW3517" s="459" t="s">
        <v>885</v>
      </c>
      <c r="DX3517" s="245" t="s">
        <v>885</v>
      </c>
      <c r="DY3517" s="245"/>
      <c r="DZ3517" s="470" t="str">
        <f>IF($B$265=$B$3278,EB3517,IF($B$265=$B$3279,ED3517,IF($B$265=$B$3280,EF3517,IF($B$265=$B$3281,EH3517,IF($B$265=$B$3282,EJ3517,IF($B$265=$B$3283,EL3517,IF($B$265=$B$3284,EN3517,IF($B$265=$B$3285,EP3517,IF($B$265=$B$3286,ER3517,IF($B$265=$B$3287,ET3517,IF($B$265=$B$3288,EV3517,IF($B$265=$B$3289,EX3517,IF($B$265=$B$3290,EZ3517,IF($B$265=$B$3291,FB3517,IF($B$265=$B$3292,FD3517,IF($B$265=$B$3293,BU3517,IF($B$265=$B$3294,FF3517,IF($B$265=$B$3295,FH3517,IF($B$265=$B$3296,FJ3517,IF($B$265=$B$3297,FL3517,IF($B$265=$B$3298,FN3517,IF($B$265=$B$3299,FP3517,IF(BI$265=$B$3300,FR3517,IF($B$265=$B$3301,FT3517,IF($B$265=$B$3302,FV3517,IF($B$265=$B$3303,FX3517,IF($B$265=$B$3304,FZ3517,IF($B$265=$B$3305,GB3517,IF($B$265=$B$3306,GD3517,IF($B$265=$B$3307,GF3517,IF($B$265=$B$3308,GH3517,IF($B$265=$B$3309,GJ3517,IF($B$265=$B$3310,GL3517,IF($B$265=$B$3311,GN3517,IF($B$265=$B$3312,GP3517,IF($B$265=$B$3313,GR3517,IF($B$265=$B$3314,GT3517,IF($B$265=$B$3315,GV3517,IF($B$265=$B$3316,GX3517,IF($B$265=$B$3317,GZ3517,IF($B$265=$B$3318,HB3517,IF($B$265=$B$3319,HD3517,IF($B$265=$B$3320,HF3517,IF($B$265=$B$3321,HH3517,IF($B$265=$B$3322,HJ3517,IF($B$265=$B$3323,HL3517,IF($B$265=$B$3324,HN3517,IF($B$265=$B$3325,HP3517,IF($B$265=$B$3326,HR3517,IF($B$265=$B$3327,HT3517,IF($B$265=$B$3328,HV3517,IF($B$265=$B$3329,HX3517,""))))))))))))))))))))))))))))))))))))))))))))))))))))</f>
        <v/>
      </c>
      <c r="EA3517" s="470" t="str">
        <f>IF($B$265=$B$3278,EC3517,IF($B$265=$B$3279,EE3517,IF($B$265=$B$3280,EG3517,IF($B$265=$B$3281,EI3517,IF($B$265=$B$3282,EK3517,IF($B$265=$B$3283,EM3517,IF($B$265=$B$3284,EO3517,IF($B$265=$B$3285,EQ3517,IF($B$265=$B$3286,ES3517,IF($B$265=$B$3287,EU3517,IF($B$265=$B$3288,EW3517,IF($B$265=$B$3289,EY3517,IF($B$265=$B$3290,FA3517,IF($B$265=$B$3291,FC3517,IF($B$265=$B$3292,FE3517,IF($B$265=$B$3293,BK3517,IF($B$265=$B$3294,FG3517,IF($B$265=$B$3295,FI3517,IF($B$265=$B$3296,FK3517,IF($B$265=$B$3297,FM3517,IF($B$265=$B$3298,FO3517,IF($B$265=$B$3299,FQ3517,IF(BJ$265=$B$3300,FS3517,IF($B$265=$B$3301,FU3517,IF($B$265=$B$3302,FW3517,IF($B$265=$B$3303,FY3517,IF($B$265=$B$3304,GA3517,IF($B$265=$B$3305,GC3517,IF($B$265=$B$3306,GE3517,IF($B$265=$B$3307,GG3517,IF($B$265=$B$3308,GI3517,IF($B$265=$B$3309,GK3517,IF($B$265=$B$3310,GM3517,IF($B$265=$B$3311,GO3517,IF($B$265=$B$3312,GQ3517,IF($B$265=$B$3313,GS3517,IF($B$265=$B$3314,GU3517,IF($B$265=$B$3315,GW3517,IF($B$265=$B$3316,GY3517,IF($B$265=$B$3317,HA3517,IF($B$265=$B$3318,HC3517,IF($B$265=$B$3319,HE3517,IF($B$265=$B$3320,HG3517,IF($B$265=$B$3321,HI3517,IF($B$265=$B$3322,HK3517,IF($B$265=$B$3323,HM3517,IF($B$265=$B$3324,HO3517,IF($B$265=$B$3325,HQ3517,IF($B$265=$B$3326,HS3517,IF($B$265=$B$3327,HU3517,IF($B$265=$B$3328,HW3517,IF($B$265=$B$3329,HY3517,""))))))))))))))))))))))))))))))))))))))))))))))))))))</f>
        <v/>
      </c>
      <c r="EB3517" s="459" t="s">
        <v>885</v>
      </c>
    </row>
    <row r="3518" spans="1:132" ht="16" hidden="1" x14ac:dyDescent="0.4">
      <c r="A3518" s="813"/>
      <c r="BB3518" s="48"/>
      <c r="BS3518" s="464" t="str">
        <f>IF($B$265=B$3278,BZ3517,IF($B$265=B$3279,CA3517,IF($B$265=B$3280,CB3517,IF($B$265=B$3281,CC3517,IF($B$265=B$3282,CD3517,IF($B$265=B$3283,CE3517,IF($B$265=B$3284,CF3517,IF($B$265=B$3285,CG3517,IF($B$265=B$3286,CH3517,IF($B$265=B$3287,CI3517,IF($B$265=B$3288,CJ3517,IF($B$265=B$3289,CK3517,IF($B$265=B$3290,CL3517,IF($B$265=B$3291,CM3517,IF($B$265=B$3292,CN3517,IF($B$265=B$3293,C2877,IF($B$265=B$3294,CO3517,IF($B$265=B$3295,CP3517,IF($B$265=B$3296,CQ3517,IF($B$265=B$3297,CR3517,IF($B$265=B$3298,CS3517,IF($B$265=B$3299,CT3517,IF(B$265=B$3300,CU3517,IF($B$265=B$3301,CV3517,IF($B$265=B$3302,CW3517,IF($B$265=B$3303,CX3517,IF($B$265=B$3304,CY3517,IF($B$265=B$3305,CZ3517,IF($B$265=B$3306,DA3517,IF($B$265=B$3307,DB3517,IF($B$265=B$3308,DC3517,IF($B$265=B$3309,DD3517,IF($B$265=B$3310,DE3517,IF($B$265=B$3311,DF3517,IF($B$265=B$3312,DG3517,IF($B$265=B$3313,DH3517,IF($B$265=B$3314,DI3517,IF($B$265=B$3315,DJ3517,IF($B$265=B$3316,DK3517,IF($B$265=B$3317,DL3517,IF($B$265=B$3318,DM3517,IF($B$265=B$3319,DN3517,IF($B$265=B$3320,DO3517,IF($B$265=B$3321,DP3517,IF($B$265=B$3322,DQ3517,IF($B$265=B$3323,DR3517,IF($B$265=B$3324,DS3517,IF($B$265=B$3325,DT3517,IF($B$265=B$3326,DU3517,IF($B$265=B$3327,DV3517,IF($B$265=B$3328,DW3517,IF($B$265=B$3329,DX3517,""))))))))))))))))))))))))))))))))))))))))))))))))))))</f>
        <v/>
      </c>
      <c r="BZ3518" s="245" t="s">
        <v>885</v>
      </c>
      <c r="CA3518" s="245" t="s">
        <v>885</v>
      </c>
      <c r="CC3518" s="245" t="s">
        <v>885</v>
      </c>
      <c r="CD3518" s="459" t="s">
        <v>885</v>
      </c>
      <c r="CE3518" s="459" t="s">
        <v>885</v>
      </c>
      <c r="CF3518" s="245" t="s">
        <v>885</v>
      </c>
      <c r="CG3518" s="245" t="s">
        <v>885</v>
      </c>
      <c r="CH3518" s="245" t="s">
        <v>885</v>
      </c>
      <c r="CI3518" s="245" t="s">
        <v>885</v>
      </c>
      <c r="CJ3518" s="459" t="s">
        <v>885</v>
      </c>
      <c r="CK3518" s="459" t="s">
        <v>885</v>
      </c>
      <c r="CL3518" s="459" t="s">
        <v>885</v>
      </c>
      <c r="CM3518" s="459" t="s">
        <v>885</v>
      </c>
      <c r="CN3518" s="459" t="s">
        <v>885</v>
      </c>
      <c r="CO3518" s="459" t="s">
        <v>885</v>
      </c>
      <c r="CP3518" s="459" t="s">
        <v>885</v>
      </c>
      <c r="CQ3518" s="459" t="s">
        <v>885</v>
      </c>
      <c r="CR3518" s="459" t="s">
        <v>885</v>
      </c>
      <c r="CS3518" s="459" t="s">
        <v>885</v>
      </c>
      <c r="CT3518" s="245" t="s">
        <v>885</v>
      </c>
      <c r="CU3518" s="463" t="s">
        <v>885</v>
      </c>
      <c r="CV3518" s="245" t="s">
        <v>885</v>
      </c>
      <c r="CW3518" s="245" t="s">
        <v>885</v>
      </c>
      <c r="CX3518" s="459" t="s">
        <v>885</v>
      </c>
      <c r="CY3518" s="459" t="s">
        <v>885</v>
      </c>
      <c r="CZ3518" s="459" t="s">
        <v>885</v>
      </c>
      <c r="DA3518" s="459" t="s">
        <v>885</v>
      </c>
      <c r="DB3518" s="459" t="s">
        <v>885</v>
      </c>
      <c r="DC3518" s="459" t="s">
        <v>885</v>
      </c>
      <c r="DD3518" s="459" t="s">
        <v>885</v>
      </c>
      <c r="DE3518" s="459" t="s">
        <v>885</v>
      </c>
      <c r="DF3518" s="459" t="s">
        <v>885</v>
      </c>
      <c r="DG3518" s="459" t="s">
        <v>885</v>
      </c>
      <c r="DH3518" s="459" t="s">
        <v>885</v>
      </c>
      <c r="DI3518" s="459" t="s">
        <v>885</v>
      </c>
      <c r="DJ3518" s="459" t="s">
        <v>885</v>
      </c>
      <c r="DK3518" s="459" t="s">
        <v>885</v>
      </c>
      <c r="DL3518" s="459" t="s">
        <v>885</v>
      </c>
      <c r="DM3518" s="459" t="s">
        <v>885</v>
      </c>
      <c r="DN3518" s="459" t="s">
        <v>885</v>
      </c>
      <c r="DO3518" s="459" t="s">
        <v>885</v>
      </c>
      <c r="DP3518" t="s">
        <v>3065</v>
      </c>
      <c r="DQ3518" s="459" t="s">
        <v>885</v>
      </c>
      <c r="DR3518" s="459" t="s">
        <v>885</v>
      </c>
      <c r="DS3518" s="459" t="s">
        <v>885</v>
      </c>
      <c r="DT3518" s="459" t="s">
        <v>885</v>
      </c>
      <c r="DU3518" s="459" t="s">
        <v>885</v>
      </c>
      <c r="DV3518" s="459" t="s">
        <v>885</v>
      </c>
      <c r="DW3518" s="459" t="s">
        <v>885</v>
      </c>
      <c r="DX3518" s="245" t="s">
        <v>885</v>
      </c>
      <c r="DY3518" s="245"/>
      <c r="DZ3518" s="470" t="str">
        <f>IF($B$265=$B$3278,EB3518,IF($B$265=$B$3279,ED3518,IF($B$265=$B$3280,EF3518,IF($B$265=$B$3281,EH3518,IF($B$265=$B$3282,EJ3518,IF($B$265=$B$3283,EL3518,IF($B$265=$B$3284,EN3518,IF($B$265=$B$3285,EP3518,IF($B$265=$B$3286,ER3518,IF($B$265=$B$3287,ET3518,IF($B$265=$B$3288,EV3518,IF($B$265=$B$3289,EX3518,IF($B$265=$B$3290,EZ3518,IF($B$265=$B$3291,FB3518,IF($B$265=$B$3292,FD3518,IF($B$265=$B$3293,BU3518,IF($B$265=$B$3294,FF3518,IF($B$265=$B$3295,FH3518,IF($B$265=$B$3296,FJ3518,IF($B$265=$B$3297,FL3518,IF($B$265=$B$3298,FN3518,IF($B$265=$B$3299,FP3518,IF(BI$265=$B$3300,FR3518,IF($B$265=$B$3301,FT3518,IF($B$265=$B$3302,FV3518,IF($B$265=$B$3303,FX3518,IF($B$265=$B$3304,FZ3518,IF($B$265=$B$3305,GB3518,IF($B$265=$B$3306,GD3518,IF($B$265=$B$3307,GF3518,IF($B$265=$B$3308,GH3518,IF($B$265=$B$3309,GJ3518,IF($B$265=$B$3310,GL3518,IF($B$265=$B$3311,GN3518,IF($B$265=$B$3312,GP3518,IF($B$265=$B$3313,GR3518,IF($B$265=$B$3314,GT3518,IF($B$265=$B$3315,GV3518,IF($B$265=$B$3316,GX3518,IF($B$265=$B$3317,GZ3518,IF($B$265=$B$3318,HB3518,IF($B$265=$B$3319,HD3518,IF($B$265=$B$3320,HF3518,IF($B$265=$B$3321,HH3518,IF($B$265=$B$3322,HJ3518,IF($B$265=$B$3323,HL3518,IF($B$265=$B$3324,HN3518,IF($B$265=$B$3325,HP3518,IF($B$265=$B$3326,HR3518,IF($B$265=$B$3327,HT3518,IF($B$265=$B$3328,HV3518,IF($B$265=$B$3329,HX3518,""))))))))))))))))))))))))))))))))))))))))))))))))))))</f>
        <v/>
      </c>
      <c r="EA3518" s="470" t="str">
        <f>IF($B$265=$B$3278,EC3518,IF($B$265=$B$3279,EE3518,IF($B$265=$B$3280,EG3518,IF($B$265=$B$3281,EI3518,IF($B$265=$B$3282,EK3518,IF($B$265=$B$3283,EM3518,IF($B$265=$B$3284,EO3518,IF($B$265=$B$3285,EQ3518,IF($B$265=$B$3286,ES3518,IF($B$265=$B$3287,EU3518,IF($B$265=$B$3288,EW3518,IF($B$265=$B$3289,EY3518,IF($B$265=$B$3290,FA3518,IF($B$265=$B$3291,FC3518,IF($B$265=$B$3292,FE3518,IF($B$265=$B$3293,BK3518,IF($B$265=$B$3294,FG3518,IF($B$265=$B$3295,FI3518,IF($B$265=$B$3296,FK3518,IF($B$265=$B$3297,FM3518,IF($B$265=$B$3298,FO3518,IF($B$265=$B$3299,FQ3518,IF(BJ$265=$B$3300,FS3518,IF($B$265=$B$3301,FU3518,IF($B$265=$B$3302,FW3518,IF($B$265=$B$3303,FY3518,IF($B$265=$B$3304,GA3518,IF($B$265=$B$3305,GC3518,IF($B$265=$B$3306,GE3518,IF($B$265=$B$3307,GG3518,IF($B$265=$B$3308,GI3518,IF($B$265=$B$3309,GK3518,IF($B$265=$B$3310,GM3518,IF($B$265=$B$3311,GO3518,IF($B$265=$B$3312,GQ3518,IF($B$265=$B$3313,GS3518,IF($B$265=$B$3314,GU3518,IF($B$265=$B$3315,GW3518,IF($B$265=$B$3316,GY3518,IF($B$265=$B$3317,HA3518,IF($B$265=$B$3318,HC3518,IF($B$265=$B$3319,HE3518,IF($B$265=$B$3320,HG3518,IF($B$265=$B$3321,HI3518,IF($B$265=$B$3322,HK3518,IF($B$265=$B$3323,HM3518,IF($B$265=$B$3324,HO3518,IF($B$265=$B$3325,HQ3518,IF($B$265=$B$3326,HS3518,IF($B$265=$B$3327,HU3518,IF($B$265=$B$3328,HW3518,IF($B$265=$B$3329,HY3518,""))))))))))))))))))))))))))))))))))))))))))))))))))))</f>
        <v/>
      </c>
      <c r="EB3518" s="459" t="s">
        <v>885</v>
      </c>
    </row>
    <row r="3519" spans="1:132" ht="16" hidden="1" x14ac:dyDescent="0.4">
      <c r="A3519" s="813"/>
      <c r="BB3519" s="48"/>
      <c r="BS3519" s="464" t="str">
        <f>IF($B$265=B$3278,BZ3518,IF($B$265=B$3279,CA3518,IF($B$265=B$3280,CB3518,IF($B$265=B$3281,CC3518,IF($B$265=B$3282,CD3518,IF($B$265=B$3283,CE3518,IF($B$265=B$3284,CF3518,IF($B$265=B$3285,CG3518,IF($B$265=B$3286,CH3518,IF($B$265=B$3287,CI3518,IF($B$265=B$3288,CJ3518,IF($B$265=B$3289,CK3518,IF($B$265=B$3290,CL3518,IF($B$265=B$3291,CM3518,IF($B$265=B$3292,CN3518,IF($B$265=B$3293,C2878,IF($B$265=B$3294,CO3518,IF($B$265=B$3295,CP3518,IF($B$265=B$3296,CQ3518,IF($B$265=B$3297,CR3518,IF($B$265=B$3298,CS3518,IF($B$265=B$3299,CT3518,IF(B$265=B$3300,CU3518,IF($B$265=B$3301,CV3518,IF($B$265=B$3302,CW3518,IF($B$265=B$3303,CX3518,IF($B$265=B$3304,CY3518,IF($B$265=B$3305,CZ3518,IF($B$265=B$3306,DA3518,IF($B$265=B$3307,DB3518,IF($B$265=B$3308,DC3518,IF($B$265=B$3309,DD3518,IF($B$265=B$3310,DE3518,IF($B$265=B$3311,DF3518,IF($B$265=B$3312,DG3518,IF($B$265=B$3313,DH3518,IF($B$265=B$3314,DI3518,IF($B$265=B$3315,DJ3518,IF($B$265=B$3316,DK3518,IF($B$265=B$3317,DL3518,IF($B$265=B$3318,DM3518,IF($B$265=B$3319,DN3518,IF($B$265=B$3320,DO3518,IF($B$265=B$3321,DP3518,IF($B$265=B$3322,DQ3518,IF($B$265=B$3323,DR3518,IF($B$265=B$3324,DS3518,IF($B$265=B$3325,DT3518,IF($B$265=B$3326,DU3518,IF($B$265=B$3327,DV3518,IF($B$265=B$3328,DW3518,IF($B$265=B$3329,DX3518,""))))))))))))))))))))))))))))))))))))))))))))))))))))</f>
        <v/>
      </c>
      <c r="BZ3519" s="245" t="s">
        <v>885</v>
      </c>
      <c r="CA3519" s="245" t="s">
        <v>885</v>
      </c>
      <c r="CC3519" s="245" t="s">
        <v>885</v>
      </c>
      <c r="CD3519" s="459" t="s">
        <v>885</v>
      </c>
      <c r="CE3519" s="459" t="s">
        <v>885</v>
      </c>
      <c r="CF3519" s="245" t="s">
        <v>885</v>
      </c>
      <c r="CG3519" s="245" t="s">
        <v>885</v>
      </c>
      <c r="CH3519" s="245" t="s">
        <v>885</v>
      </c>
      <c r="CI3519" s="245" t="s">
        <v>885</v>
      </c>
      <c r="CJ3519" s="459" t="s">
        <v>885</v>
      </c>
      <c r="CK3519" s="459" t="s">
        <v>885</v>
      </c>
      <c r="CL3519" s="459" t="s">
        <v>885</v>
      </c>
      <c r="CM3519" s="459" t="s">
        <v>885</v>
      </c>
      <c r="CN3519" s="459" t="s">
        <v>885</v>
      </c>
      <c r="CO3519" s="459" t="s">
        <v>885</v>
      </c>
      <c r="CP3519" s="459" t="s">
        <v>885</v>
      </c>
      <c r="CQ3519" s="459" t="s">
        <v>885</v>
      </c>
      <c r="CR3519" s="459" t="s">
        <v>885</v>
      </c>
      <c r="CS3519" s="459" t="s">
        <v>885</v>
      </c>
      <c r="CT3519" s="245" t="s">
        <v>885</v>
      </c>
      <c r="CU3519" s="463" t="s">
        <v>885</v>
      </c>
      <c r="CV3519" s="245" t="s">
        <v>885</v>
      </c>
      <c r="CW3519" s="245" t="s">
        <v>885</v>
      </c>
      <c r="CX3519" s="459" t="s">
        <v>885</v>
      </c>
      <c r="CY3519" s="459" t="s">
        <v>885</v>
      </c>
      <c r="CZ3519" s="459" t="s">
        <v>885</v>
      </c>
      <c r="DA3519" s="459" t="s">
        <v>885</v>
      </c>
      <c r="DB3519" s="459" t="s">
        <v>885</v>
      </c>
      <c r="DC3519" s="459" t="s">
        <v>885</v>
      </c>
      <c r="DD3519" s="459" t="s">
        <v>885</v>
      </c>
      <c r="DE3519" s="459" t="s">
        <v>885</v>
      </c>
      <c r="DF3519" s="459" t="s">
        <v>885</v>
      </c>
      <c r="DG3519" s="459" t="s">
        <v>885</v>
      </c>
      <c r="DH3519" s="459" t="s">
        <v>885</v>
      </c>
      <c r="DI3519" s="459" t="s">
        <v>885</v>
      </c>
      <c r="DJ3519" s="459" t="s">
        <v>885</v>
      </c>
      <c r="DK3519" s="459" t="s">
        <v>885</v>
      </c>
      <c r="DL3519" s="459" t="s">
        <v>885</v>
      </c>
      <c r="DM3519" s="459" t="s">
        <v>885</v>
      </c>
      <c r="DN3519" s="459" t="s">
        <v>885</v>
      </c>
      <c r="DO3519" s="459" t="s">
        <v>885</v>
      </c>
      <c r="DP3519" t="s">
        <v>3066</v>
      </c>
      <c r="DQ3519" s="459" t="s">
        <v>885</v>
      </c>
      <c r="DR3519" s="459" t="s">
        <v>885</v>
      </c>
      <c r="DS3519" s="459" t="s">
        <v>885</v>
      </c>
      <c r="DT3519" s="459" t="s">
        <v>885</v>
      </c>
      <c r="DU3519" s="459" t="s">
        <v>885</v>
      </c>
      <c r="DV3519" s="459" t="s">
        <v>885</v>
      </c>
      <c r="DW3519" s="459" t="s">
        <v>885</v>
      </c>
      <c r="DX3519" s="245" t="s">
        <v>885</v>
      </c>
      <c r="DY3519" s="245"/>
      <c r="DZ3519" s="470" t="str">
        <f>IF($B$265=$B$3278,EB3519,IF($B$265=$B$3279,ED3519,IF($B$265=$B$3280,EF3519,IF($B$265=$B$3281,EH3519,IF($B$265=$B$3282,EJ3519,IF($B$265=$B$3283,EL3519,IF($B$265=$B$3284,EN3519,IF($B$265=$B$3285,EP3519,IF($B$265=$B$3286,ER3519,IF($B$265=$B$3287,ET3519,IF($B$265=$B$3288,EV3519,IF($B$265=$B$3289,EX3519,IF($B$265=$B$3290,EZ3519,IF($B$265=$B$3291,FB3519,IF($B$265=$B$3292,FD3519,IF($B$265=$B$3293,BU3519,IF($B$265=$B$3294,FF3519,IF($B$265=$B$3295,FH3519,IF($B$265=$B$3296,FJ3519,IF($B$265=$B$3297,FL3519,IF($B$265=$B$3298,FN3519,IF($B$265=$B$3299,FP3519,IF(BI$265=$B$3300,FR3519,IF($B$265=$B$3301,FT3519,IF($B$265=$B$3302,FV3519,IF($B$265=$B$3303,FX3519,IF($B$265=$B$3304,FZ3519,IF($B$265=$B$3305,GB3519,IF($B$265=$B$3306,GD3519,IF($B$265=$B$3307,GF3519,IF($B$265=$B$3308,GH3519,IF($B$265=$B$3309,GJ3519,IF($B$265=$B$3310,GL3519,IF($B$265=$B$3311,GN3519,IF($B$265=$B$3312,GP3519,IF($B$265=$B$3313,GR3519,IF($B$265=$B$3314,GT3519,IF($B$265=$B$3315,GV3519,IF($B$265=$B$3316,GX3519,IF($B$265=$B$3317,GZ3519,IF($B$265=$B$3318,HB3519,IF($B$265=$B$3319,HD3519,IF($B$265=$B$3320,HF3519,IF($B$265=$B$3321,HH3519,IF($B$265=$B$3322,HJ3519,IF($B$265=$B$3323,HL3519,IF($B$265=$B$3324,HN3519,IF($B$265=$B$3325,HP3519,IF($B$265=$B$3326,HR3519,IF($B$265=$B$3327,HT3519,IF($B$265=$B$3328,HV3519,IF($B$265=$B$3329,HX3519,""))))))))))))))))))))))))))))))))))))))))))))))))))))</f>
        <v/>
      </c>
      <c r="EA3519" s="470" t="str">
        <f>IF($B$265=$B$3278,EC3519,IF($B$265=$B$3279,EE3519,IF($B$265=$B$3280,EG3519,IF($B$265=$B$3281,EI3519,IF($B$265=$B$3282,EK3519,IF($B$265=$B$3283,EM3519,IF($B$265=$B$3284,EO3519,IF($B$265=$B$3285,EQ3519,IF($B$265=$B$3286,ES3519,IF($B$265=$B$3287,EU3519,IF($B$265=$B$3288,EW3519,IF($B$265=$B$3289,EY3519,IF($B$265=$B$3290,FA3519,IF($B$265=$B$3291,FC3519,IF($B$265=$B$3292,FE3519,IF($B$265=$B$3293,BK3519,IF($B$265=$B$3294,FG3519,IF($B$265=$B$3295,FI3519,IF($B$265=$B$3296,FK3519,IF($B$265=$B$3297,FM3519,IF($B$265=$B$3298,FO3519,IF($B$265=$B$3299,FQ3519,IF(BJ$265=$B$3300,FS3519,IF($B$265=$B$3301,FU3519,IF($B$265=$B$3302,FW3519,IF($B$265=$B$3303,FY3519,IF($B$265=$B$3304,GA3519,IF($B$265=$B$3305,GC3519,IF($B$265=$B$3306,GE3519,IF($B$265=$B$3307,GG3519,IF($B$265=$B$3308,GI3519,IF($B$265=$B$3309,GK3519,IF($B$265=$B$3310,GM3519,IF($B$265=$B$3311,GO3519,IF($B$265=$B$3312,GQ3519,IF($B$265=$B$3313,GS3519,IF($B$265=$B$3314,GU3519,IF($B$265=$B$3315,GW3519,IF($B$265=$B$3316,GY3519,IF($B$265=$B$3317,HA3519,IF($B$265=$B$3318,HC3519,IF($B$265=$B$3319,HE3519,IF($B$265=$B$3320,HG3519,IF($B$265=$B$3321,HI3519,IF($B$265=$B$3322,HK3519,IF($B$265=$B$3323,HM3519,IF($B$265=$B$3324,HO3519,IF($B$265=$B$3325,HQ3519,IF($B$265=$B$3326,HS3519,IF($B$265=$B$3327,HU3519,IF($B$265=$B$3328,HW3519,IF($B$265=$B$3329,HY3519,""))))))))))))))))))))))))))))))))))))))))))))))))))))</f>
        <v/>
      </c>
      <c r="EB3519" s="459" t="s">
        <v>885</v>
      </c>
    </row>
    <row r="3520" spans="1:132" ht="16" hidden="1" x14ac:dyDescent="0.4">
      <c r="A3520" s="813"/>
      <c r="BB3520" s="48"/>
      <c r="BS3520" s="464" t="str">
        <f>IF($B$265=B$3278,BZ3519,IF($B$265=B$3279,CA3519,IF($B$265=B$3280,CB3519,IF($B$265=B$3281,CC3519,IF($B$265=B$3282,CD3519,IF($B$265=B$3283,CE3519,IF($B$265=B$3284,CF3519,IF($B$265=B$3285,CG3519,IF($B$265=B$3286,CH3519,IF($B$265=B$3287,CI3519,IF($B$265=B$3288,CJ3519,IF($B$265=B$3289,CK3519,IF($B$265=B$3290,CL3519,IF($B$265=B$3291,CM3519,IF($B$265=B$3292,CN3519,IF($B$265=B$3293,C2879,IF($B$265=B$3294,CO3519,IF($B$265=B$3295,CP3519,IF($B$265=B$3296,CQ3519,IF($B$265=B$3297,CR3519,IF($B$265=B$3298,CS3519,IF($B$265=B$3299,CT3519,IF(B$265=B$3300,CU3519,IF($B$265=B$3301,CV3519,IF($B$265=B$3302,CW3519,IF($B$265=B$3303,CX3519,IF($B$265=B$3304,CY3519,IF($B$265=B$3305,CZ3519,IF($B$265=B$3306,DA3519,IF($B$265=B$3307,DB3519,IF($B$265=B$3308,DC3519,IF($B$265=B$3309,DD3519,IF($B$265=B$3310,DE3519,IF($B$265=B$3311,DF3519,IF($B$265=B$3312,DG3519,IF($B$265=B$3313,DH3519,IF($B$265=B$3314,DI3519,IF($B$265=B$3315,DJ3519,IF($B$265=B$3316,DK3519,IF($B$265=B$3317,DL3519,IF($B$265=B$3318,DM3519,IF($B$265=B$3319,DN3519,IF($B$265=B$3320,DO3519,IF($B$265=B$3321,DP3519,IF($B$265=B$3322,DQ3519,IF($B$265=B$3323,DR3519,IF($B$265=B$3324,DS3519,IF($B$265=B$3325,DT3519,IF($B$265=B$3326,DU3519,IF($B$265=B$3327,DV3519,IF($B$265=B$3328,DW3519,IF($B$265=B$3329,DX3519,""))))))))))))))))))))))))))))))))))))))))))))))))))))</f>
        <v/>
      </c>
      <c r="BZ3520" s="245" t="s">
        <v>885</v>
      </c>
      <c r="CA3520" s="245" t="s">
        <v>885</v>
      </c>
      <c r="CC3520" s="245" t="s">
        <v>885</v>
      </c>
      <c r="CD3520" s="459" t="s">
        <v>885</v>
      </c>
      <c r="CE3520" s="459" t="s">
        <v>885</v>
      </c>
      <c r="CF3520" s="245" t="s">
        <v>885</v>
      </c>
      <c r="CG3520" s="245" t="s">
        <v>885</v>
      </c>
      <c r="CH3520" s="245" t="s">
        <v>885</v>
      </c>
      <c r="CI3520" s="245" t="s">
        <v>885</v>
      </c>
      <c r="CJ3520" s="459" t="s">
        <v>885</v>
      </c>
      <c r="CK3520" s="459" t="s">
        <v>885</v>
      </c>
      <c r="CL3520" s="459" t="s">
        <v>885</v>
      </c>
      <c r="CM3520" s="459" t="s">
        <v>885</v>
      </c>
      <c r="CN3520" s="459" t="s">
        <v>885</v>
      </c>
      <c r="CO3520" s="459" t="s">
        <v>885</v>
      </c>
      <c r="CP3520" s="459" t="s">
        <v>885</v>
      </c>
      <c r="CQ3520" s="459" t="s">
        <v>885</v>
      </c>
      <c r="CR3520" s="459" t="s">
        <v>885</v>
      </c>
      <c r="CS3520" s="459" t="s">
        <v>885</v>
      </c>
      <c r="CT3520" s="245" t="s">
        <v>885</v>
      </c>
      <c r="CU3520" s="463" t="s">
        <v>885</v>
      </c>
      <c r="CV3520" s="245" t="s">
        <v>885</v>
      </c>
      <c r="CW3520" s="245" t="s">
        <v>885</v>
      </c>
      <c r="CX3520" s="459" t="s">
        <v>885</v>
      </c>
      <c r="CY3520" s="459" t="s">
        <v>885</v>
      </c>
      <c r="CZ3520" s="459" t="s">
        <v>885</v>
      </c>
      <c r="DA3520" s="459" t="s">
        <v>885</v>
      </c>
      <c r="DB3520" s="459" t="s">
        <v>885</v>
      </c>
      <c r="DC3520" s="459" t="s">
        <v>885</v>
      </c>
      <c r="DD3520" s="459" t="s">
        <v>885</v>
      </c>
      <c r="DE3520" s="459" t="s">
        <v>885</v>
      </c>
      <c r="DF3520" s="459" t="s">
        <v>885</v>
      </c>
      <c r="DG3520" s="459" t="s">
        <v>885</v>
      </c>
      <c r="DH3520" s="459" t="s">
        <v>885</v>
      </c>
      <c r="DI3520" s="459" t="s">
        <v>885</v>
      </c>
      <c r="DJ3520" s="459" t="s">
        <v>885</v>
      </c>
      <c r="DK3520" s="459" t="s">
        <v>885</v>
      </c>
      <c r="DL3520" s="459" t="s">
        <v>885</v>
      </c>
      <c r="DM3520" s="459" t="s">
        <v>885</v>
      </c>
      <c r="DN3520" s="459" t="s">
        <v>885</v>
      </c>
      <c r="DO3520" s="459" t="s">
        <v>885</v>
      </c>
      <c r="DP3520" t="s">
        <v>3067</v>
      </c>
      <c r="DQ3520" s="459" t="s">
        <v>885</v>
      </c>
      <c r="DR3520" s="459" t="s">
        <v>885</v>
      </c>
      <c r="DS3520" s="459" t="s">
        <v>885</v>
      </c>
      <c r="DT3520" s="459" t="s">
        <v>885</v>
      </c>
      <c r="DU3520" s="459" t="s">
        <v>885</v>
      </c>
      <c r="DV3520" s="459" t="s">
        <v>885</v>
      </c>
      <c r="DW3520" s="459" t="s">
        <v>885</v>
      </c>
      <c r="DX3520" s="245" t="s">
        <v>885</v>
      </c>
      <c r="DY3520" s="245"/>
      <c r="DZ3520" s="470" t="str">
        <f>IF($B$265=$B$3278,EB3520,IF($B$265=$B$3279,ED3520,IF($B$265=$B$3280,EF3520,IF($B$265=$B$3281,EH3520,IF($B$265=$B$3282,EJ3520,IF($B$265=$B$3283,EL3520,IF($B$265=$B$3284,EN3520,IF($B$265=$B$3285,EP3520,IF($B$265=$B$3286,ER3520,IF($B$265=$B$3287,ET3520,IF($B$265=$B$3288,EV3520,IF($B$265=$B$3289,EX3520,IF($B$265=$B$3290,EZ3520,IF($B$265=$B$3291,FB3520,IF($B$265=$B$3292,FD3520,IF($B$265=$B$3293,BU3520,IF($B$265=$B$3294,FF3520,IF($B$265=$B$3295,FH3520,IF($B$265=$B$3296,FJ3520,IF($B$265=$B$3297,FL3520,IF($B$265=$B$3298,FN3520,IF($B$265=$B$3299,FP3520,IF(BI$265=$B$3300,FR3520,IF($B$265=$B$3301,FT3520,IF($B$265=$B$3302,FV3520,IF($B$265=$B$3303,FX3520,IF($B$265=$B$3304,FZ3520,IF($B$265=$B$3305,GB3520,IF($B$265=$B$3306,GD3520,IF($B$265=$B$3307,GF3520,IF($B$265=$B$3308,GH3520,IF($B$265=$B$3309,GJ3520,IF($B$265=$B$3310,GL3520,IF($B$265=$B$3311,GN3520,IF($B$265=$B$3312,GP3520,IF($B$265=$B$3313,GR3520,IF($B$265=$B$3314,GT3520,IF($B$265=$B$3315,GV3520,IF($B$265=$B$3316,GX3520,IF($B$265=$B$3317,GZ3520,IF($B$265=$B$3318,HB3520,IF($B$265=$B$3319,HD3520,IF($B$265=$B$3320,HF3520,IF($B$265=$B$3321,HH3520,IF($B$265=$B$3322,HJ3520,IF($B$265=$B$3323,HL3520,IF($B$265=$B$3324,HN3520,IF($B$265=$B$3325,HP3520,IF($B$265=$B$3326,HR3520,IF($B$265=$B$3327,HT3520,IF($B$265=$B$3328,HV3520,IF($B$265=$B$3329,HX3520,""))))))))))))))))))))))))))))))))))))))))))))))))))))</f>
        <v/>
      </c>
      <c r="EA3520" s="470" t="str">
        <f>IF($B$265=$B$3278,EC3520,IF($B$265=$B$3279,EE3520,IF($B$265=$B$3280,EG3520,IF($B$265=$B$3281,EI3520,IF($B$265=$B$3282,EK3520,IF($B$265=$B$3283,EM3520,IF($B$265=$B$3284,EO3520,IF($B$265=$B$3285,EQ3520,IF($B$265=$B$3286,ES3520,IF($B$265=$B$3287,EU3520,IF($B$265=$B$3288,EW3520,IF($B$265=$B$3289,EY3520,IF($B$265=$B$3290,FA3520,IF($B$265=$B$3291,FC3520,IF($B$265=$B$3292,FE3520,IF($B$265=$B$3293,BK3520,IF($B$265=$B$3294,FG3520,IF($B$265=$B$3295,FI3520,IF($B$265=$B$3296,FK3520,IF($B$265=$B$3297,FM3520,IF($B$265=$B$3298,FO3520,IF($B$265=$B$3299,FQ3520,IF(BJ$265=$B$3300,FS3520,IF($B$265=$B$3301,FU3520,IF($B$265=$B$3302,FW3520,IF($B$265=$B$3303,FY3520,IF($B$265=$B$3304,GA3520,IF($B$265=$B$3305,GC3520,IF($B$265=$B$3306,GE3520,IF($B$265=$B$3307,GG3520,IF($B$265=$B$3308,GI3520,IF($B$265=$B$3309,GK3520,IF($B$265=$B$3310,GM3520,IF($B$265=$B$3311,GO3520,IF($B$265=$B$3312,GQ3520,IF($B$265=$B$3313,GS3520,IF($B$265=$B$3314,GU3520,IF($B$265=$B$3315,GW3520,IF($B$265=$B$3316,GY3520,IF($B$265=$B$3317,HA3520,IF($B$265=$B$3318,HC3520,IF($B$265=$B$3319,HE3520,IF($B$265=$B$3320,HG3520,IF($B$265=$B$3321,HI3520,IF($B$265=$B$3322,HK3520,IF($B$265=$B$3323,HM3520,IF($B$265=$B$3324,HO3520,IF($B$265=$B$3325,HQ3520,IF($B$265=$B$3326,HS3520,IF($B$265=$B$3327,HU3520,IF($B$265=$B$3328,HW3520,IF($B$265=$B$3329,HY3520,""))))))))))))))))))))))))))))))))))))))))))))))))))))</f>
        <v/>
      </c>
      <c r="EB3520" s="459" t="s">
        <v>885</v>
      </c>
    </row>
    <row r="3521" spans="1:132" ht="16" hidden="1" x14ac:dyDescent="0.4">
      <c r="A3521" s="813"/>
      <c r="BS3521" s="464" t="str">
        <f>IF($B$265=B$3278,BZ3520,IF($B$265=B$3279,CA3520,IF($B$265=B$3280,CB3520,IF($B$265=B$3281,CC3520,IF($B$265=B$3282,CD3520,IF($B$265=B$3283,CE3520,IF($B$265=B$3284,CF3520,IF($B$265=B$3285,CG3520,IF($B$265=B$3286,CH3520,IF($B$265=B$3287,CI3520,IF($B$265=B$3288,CJ3520,IF($B$265=B$3289,CK3520,IF($B$265=B$3290,CL3520,IF($B$265=B$3291,CM3520,IF($B$265=B$3292,CN3520,IF($B$265=B$3293,C2880,IF($B$265=B$3294,CO3520,IF($B$265=B$3295,CP3520,IF($B$265=B$3296,CQ3520,IF($B$265=B$3297,CR3520,IF($B$265=B$3298,CS3520,IF($B$265=B$3299,CT3520,IF(B$265=B$3300,CU3520,IF($B$265=B$3301,CV3520,IF($B$265=B$3302,CW3520,IF($B$265=B$3303,CX3520,IF($B$265=B$3304,CY3520,IF($B$265=B$3305,CZ3520,IF($B$265=B$3306,DA3520,IF($B$265=B$3307,DB3520,IF($B$265=B$3308,DC3520,IF($B$265=B$3309,DD3520,IF($B$265=B$3310,DE3520,IF($B$265=B$3311,DF3520,IF($B$265=B$3312,DG3520,IF($B$265=B$3313,DH3520,IF($B$265=B$3314,DI3520,IF($B$265=B$3315,DJ3520,IF($B$265=B$3316,DK3520,IF($B$265=B$3317,DL3520,IF($B$265=B$3318,DM3520,IF($B$265=B$3319,DN3520,IF($B$265=B$3320,DO3520,IF($B$265=B$3321,DP3520,IF($B$265=B$3322,DQ3520,IF($B$265=B$3323,DR3520,IF($B$265=B$3324,DS3520,IF($B$265=B$3325,DT3520,IF($B$265=B$3326,DU3520,IF($B$265=B$3327,DV3520,IF($B$265=B$3328,DW3520,IF($B$265=B$3329,DX3520,""))))))))))))))))))))))))))))))))))))))))))))))))))))</f>
        <v/>
      </c>
      <c r="BZ3521" s="245" t="s">
        <v>885</v>
      </c>
      <c r="CA3521" s="245" t="s">
        <v>885</v>
      </c>
      <c r="CC3521" s="245" t="s">
        <v>885</v>
      </c>
      <c r="CD3521" s="459" t="s">
        <v>885</v>
      </c>
      <c r="CE3521" s="459" t="s">
        <v>885</v>
      </c>
      <c r="CF3521" s="245" t="s">
        <v>885</v>
      </c>
      <c r="CG3521" s="245" t="s">
        <v>885</v>
      </c>
      <c r="CH3521" s="245" t="s">
        <v>885</v>
      </c>
      <c r="CI3521" s="245" t="s">
        <v>885</v>
      </c>
      <c r="CJ3521" s="459" t="s">
        <v>885</v>
      </c>
      <c r="CK3521" s="459" t="s">
        <v>885</v>
      </c>
      <c r="CL3521" s="459" t="s">
        <v>885</v>
      </c>
      <c r="CM3521" s="459" t="s">
        <v>885</v>
      </c>
      <c r="CN3521" s="459" t="s">
        <v>885</v>
      </c>
      <c r="CO3521" s="459" t="s">
        <v>885</v>
      </c>
      <c r="CP3521" s="459" t="s">
        <v>885</v>
      </c>
      <c r="CQ3521" s="459" t="s">
        <v>885</v>
      </c>
      <c r="CR3521" s="459" t="s">
        <v>885</v>
      </c>
      <c r="CS3521" s="459" t="s">
        <v>885</v>
      </c>
      <c r="CT3521" s="245" t="s">
        <v>885</v>
      </c>
      <c r="CU3521" s="463" t="s">
        <v>885</v>
      </c>
      <c r="CV3521" s="245" t="s">
        <v>885</v>
      </c>
      <c r="CW3521" s="245" t="s">
        <v>885</v>
      </c>
      <c r="CX3521" s="459" t="s">
        <v>885</v>
      </c>
      <c r="CY3521" s="459" t="s">
        <v>885</v>
      </c>
      <c r="CZ3521" s="459" t="s">
        <v>885</v>
      </c>
      <c r="DA3521" s="459" t="s">
        <v>885</v>
      </c>
      <c r="DB3521" s="459" t="s">
        <v>885</v>
      </c>
      <c r="DC3521" s="459" t="s">
        <v>885</v>
      </c>
      <c r="DD3521" s="459" t="s">
        <v>885</v>
      </c>
      <c r="DE3521" s="459" t="s">
        <v>885</v>
      </c>
      <c r="DF3521" s="459" t="s">
        <v>885</v>
      </c>
      <c r="DG3521" s="459" t="s">
        <v>885</v>
      </c>
      <c r="DH3521" s="459" t="s">
        <v>885</v>
      </c>
      <c r="DI3521" s="459" t="s">
        <v>885</v>
      </c>
      <c r="DJ3521" s="459" t="s">
        <v>885</v>
      </c>
      <c r="DK3521" s="459" t="s">
        <v>885</v>
      </c>
      <c r="DL3521" s="459" t="s">
        <v>885</v>
      </c>
      <c r="DM3521" s="459" t="s">
        <v>885</v>
      </c>
      <c r="DN3521" s="459" t="s">
        <v>885</v>
      </c>
      <c r="DO3521" s="459" t="s">
        <v>885</v>
      </c>
      <c r="DP3521" t="s">
        <v>1750</v>
      </c>
      <c r="DQ3521" s="459" t="s">
        <v>885</v>
      </c>
      <c r="DR3521" s="459" t="s">
        <v>885</v>
      </c>
      <c r="DS3521" s="459" t="s">
        <v>885</v>
      </c>
      <c r="DT3521" s="459" t="s">
        <v>885</v>
      </c>
      <c r="DU3521" s="459" t="s">
        <v>885</v>
      </c>
      <c r="DV3521" s="459" t="s">
        <v>885</v>
      </c>
      <c r="DW3521" s="459" t="s">
        <v>885</v>
      </c>
      <c r="DX3521" s="245" t="s">
        <v>885</v>
      </c>
      <c r="DY3521" s="245"/>
      <c r="DZ3521" s="470" t="str">
        <f>IF($B$265=$B$3278,EB3521,IF($B$265=$B$3279,ED3521,IF($B$265=$B$3280,EF3521,IF($B$265=$B$3281,EH3521,IF($B$265=$B$3282,EJ3521,IF($B$265=$B$3283,EL3521,IF($B$265=$B$3284,EN3521,IF($B$265=$B$3285,EP3521,IF($B$265=$B$3286,ER3521,IF($B$265=$B$3287,ET3521,IF($B$265=$B$3288,EV3521,IF($B$265=$B$3289,EX3521,IF($B$265=$B$3290,EZ3521,IF($B$265=$B$3291,FB3521,IF($B$265=$B$3292,FD3521,IF($B$265=$B$3293,BU3521,IF($B$265=$B$3294,FF3521,IF($B$265=$B$3295,FH3521,IF($B$265=$B$3296,FJ3521,IF($B$265=$B$3297,FL3521,IF($B$265=$B$3298,FN3521,IF($B$265=$B$3299,FP3521,IF(BI$265=$B$3300,FR3521,IF($B$265=$B$3301,FT3521,IF($B$265=$B$3302,FV3521,IF($B$265=$B$3303,FX3521,IF($B$265=$B$3304,FZ3521,IF($B$265=$B$3305,GB3521,IF($B$265=$B$3306,GD3521,IF($B$265=$B$3307,GF3521,IF($B$265=$B$3308,GH3521,IF($B$265=$B$3309,GJ3521,IF($B$265=$B$3310,GL3521,IF($B$265=$B$3311,GN3521,IF($B$265=$B$3312,GP3521,IF($B$265=$B$3313,GR3521,IF($B$265=$B$3314,GT3521,IF($B$265=$B$3315,GV3521,IF($B$265=$B$3316,GX3521,IF($B$265=$B$3317,GZ3521,IF($B$265=$B$3318,HB3521,IF($B$265=$B$3319,HD3521,IF($B$265=$B$3320,HF3521,IF($B$265=$B$3321,HH3521,IF($B$265=$B$3322,HJ3521,IF($B$265=$B$3323,HL3521,IF($B$265=$B$3324,HN3521,IF($B$265=$B$3325,HP3521,IF($B$265=$B$3326,HR3521,IF($B$265=$B$3327,HT3521,IF($B$265=$B$3328,HV3521,IF($B$265=$B$3329,HX3521,""))))))))))))))))))))))))))))))))))))))))))))))))))))</f>
        <v/>
      </c>
      <c r="EA3521" s="470" t="str">
        <f>IF($B$265=$B$3278,EC3521,IF($B$265=$B$3279,EE3521,IF($B$265=$B$3280,EG3521,IF($B$265=$B$3281,EI3521,IF($B$265=$B$3282,EK3521,IF($B$265=$B$3283,EM3521,IF($B$265=$B$3284,EO3521,IF($B$265=$B$3285,EQ3521,IF($B$265=$B$3286,ES3521,IF($B$265=$B$3287,EU3521,IF($B$265=$B$3288,EW3521,IF($B$265=$B$3289,EY3521,IF($B$265=$B$3290,FA3521,IF($B$265=$B$3291,FC3521,IF($B$265=$B$3292,FE3521,IF($B$265=$B$3293,BK3521,IF($B$265=$B$3294,FG3521,IF($B$265=$B$3295,FI3521,IF($B$265=$B$3296,FK3521,IF($B$265=$B$3297,FM3521,IF($B$265=$B$3298,FO3521,IF($B$265=$B$3299,FQ3521,IF(BJ$265=$B$3300,FS3521,IF($B$265=$B$3301,FU3521,IF($B$265=$B$3302,FW3521,IF($B$265=$B$3303,FY3521,IF($B$265=$B$3304,GA3521,IF($B$265=$B$3305,GC3521,IF($B$265=$B$3306,GE3521,IF($B$265=$B$3307,GG3521,IF($B$265=$B$3308,GI3521,IF($B$265=$B$3309,GK3521,IF($B$265=$B$3310,GM3521,IF($B$265=$B$3311,GO3521,IF($B$265=$B$3312,GQ3521,IF($B$265=$B$3313,GS3521,IF($B$265=$B$3314,GU3521,IF($B$265=$B$3315,GW3521,IF($B$265=$B$3316,GY3521,IF($B$265=$B$3317,HA3521,IF($B$265=$B$3318,HC3521,IF($B$265=$B$3319,HE3521,IF($B$265=$B$3320,HG3521,IF($B$265=$B$3321,HI3521,IF($B$265=$B$3322,HK3521,IF($B$265=$B$3323,HM3521,IF($B$265=$B$3324,HO3521,IF($B$265=$B$3325,HQ3521,IF($B$265=$B$3326,HS3521,IF($B$265=$B$3327,HU3521,IF($B$265=$B$3328,HW3521,IF($B$265=$B$3329,HY3521,""))))))))))))))))))))))))))))))))))))))))))))))))))))</f>
        <v/>
      </c>
      <c r="EB3521" s="459" t="s">
        <v>885</v>
      </c>
    </row>
    <row r="3522" spans="1:132" ht="16" hidden="1" x14ac:dyDescent="0.4">
      <c r="A3522" s="813"/>
      <c r="BB3522" s="48"/>
      <c r="BS3522" s="464" t="str">
        <f>IF($B$265=B$3278,BZ3521,IF($B$265=B$3279,CA3521,IF($B$265=B$3280,CB3521,IF($B$265=B$3281,CC3521,IF($B$265=B$3282,CD3521,IF($B$265=B$3283,CE3521,IF($B$265=B$3284,CF3521,IF($B$265=B$3285,CG3521,IF($B$265=B$3286,CH3521,IF($B$265=B$3287,CI3521,IF($B$265=B$3288,CJ3521,IF($B$265=B$3289,CK3521,IF($B$265=B$3290,CL3521,IF($B$265=B$3291,CM3521,IF($B$265=B$3292,CN3521,IF($B$265=B$3293,C3521,IF($B$265=B$3294,CO3521,IF($B$265=B$3295,CP3521,IF($B$265=B$3296,CQ3521,IF($B$265=B$3297,CR3521,IF($B$265=B$3298,CS3521,IF($B$265=B$3299,CT3521,IF(B$265=B$3300,CU3521,IF($B$265=B$3301,CV3521,IF($B$265=B$3302,CW3521,IF($B$265=B$3303,CX3521,IF($B$265=B$3304,CY3521,IF($B$265=B$3305,CZ3521,IF($B$265=B$3306,DA3521,IF($B$265=B$3307,DB3521,IF($B$265=B$3308,DC3521,IF($B$265=B$3309,DD3521,IF($B$265=B$3310,DE3521,IF($B$265=B$3311,DF3521,IF($B$265=B$3312,DG3521,IF($B$265=B$3313,DH3521,IF($B$265=B$3314,DI3521,IF($B$265=B$3315,DJ3521,IF($B$265=B$3316,DK3521,IF($B$265=B$3317,DL3521,IF($B$265=B$3318,DM3521,IF($B$265=B$3319,DN3521,IF($B$265=B$3320,DO3521,IF($B$265=B$3321,DP3521,IF($B$265=B$3322,DQ3521,IF($B$265=B$3323,DR3521,IF($B$265=B$3324,DS3521,IF($B$265=B$3325,DT3521,IF($B$265=B$3326,DU3521,IF($B$265=B$3327,DV3521,IF($B$265=B$3328,DW3521,IF($B$265=B$3329,DX3521,""))))))))))))))))))))))))))))))))))))))))))))))))))))</f>
        <v/>
      </c>
      <c r="BZ3522" s="245" t="s">
        <v>885</v>
      </c>
      <c r="CA3522" s="245" t="s">
        <v>885</v>
      </c>
      <c r="CC3522" s="245" t="s">
        <v>885</v>
      </c>
      <c r="CD3522" s="459" t="s">
        <v>885</v>
      </c>
      <c r="CE3522" s="459" t="s">
        <v>885</v>
      </c>
      <c r="CF3522" s="245" t="s">
        <v>885</v>
      </c>
      <c r="CG3522" s="245" t="s">
        <v>885</v>
      </c>
      <c r="CH3522" s="245" t="s">
        <v>885</v>
      </c>
      <c r="CI3522" s="245" t="s">
        <v>885</v>
      </c>
      <c r="CJ3522" s="459" t="s">
        <v>885</v>
      </c>
      <c r="CK3522" s="459" t="s">
        <v>885</v>
      </c>
      <c r="CL3522" s="459" t="s">
        <v>885</v>
      </c>
      <c r="CM3522" s="459" t="s">
        <v>885</v>
      </c>
      <c r="CN3522" s="459" t="s">
        <v>885</v>
      </c>
      <c r="CO3522" s="459" t="s">
        <v>885</v>
      </c>
      <c r="CP3522" s="459" t="s">
        <v>885</v>
      </c>
      <c r="CQ3522" s="459" t="s">
        <v>885</v>
      </c>
      <c r="CR3522" s="459" t="s">
        <v>885</v>
      </c>
      <c r="CS3522" s="459" t="s">
        <v>885</v>
      </c>
      <c r="CT3522" s="245" t="s">
        <v>885</v>
      </c>
      <c r="CU3522" s="463" t="s">
        <v>885</v>
      </c>
      <c r="CV3522" s="245" t="s">
        <v>885</v>
      </c>
      <c r="CW3522" s="245" t="s">
        <v>885</v>
      </c>
      <c r="CX3522" s="459" t="s">
        <v>885</v>
      </c>
      <c r="CY3522" s="459" t="s">
        <v>885</v>
      </c>
      <c r="CZ3522" s="459" t="s">
        <v>885</v>
      </c>
      <c r="DA3522" s="459" t="s">
        <v>885</v>
      </c>
      <c r="DB3522" s="459" t="s">
        <v>885</v>
      </c>
      <c r="DC3522" s="459" t="s">
        <v>885</v>
      </c>
      <c r="DD3522" s="459" t="s">
        <v>885</v>
      </c>
      <c r="DE3522" s="459" t="s">
        <v>885</v>
      </c>
      <c r="DF3522" s="459" t="s">
        <v>885</v>
      </c>
      <c r="DG3522" s="459" t="s">
        <v>885</v>
      </c>
      <c r="DH3522" s="459" t="s">
        <v>885</v>
      </c>
      <c r="DI3522" s="459" t="s">
        <v>885</v>
      </c>
      <c r="DJ3522" s="459" t="s">
        <v>885</v>
      </c>
      <c r="DK3522" s="459" t="s">
        <v>885</v>
      </c>
      <c r="DL3522" s="459" t="s">
        <v>885</v>
      </c>
      <c r="DM3522" s="459" t="s">
        <v>885</v>
      </c>
      <c r="DN3522" s="459" t="s">
        <v>885</v>
      </c>
      <c r="DO3522" s="459" t="s">
        <v>885</v>
      </c>
      <c r="DP3522" t="s">
        <v>1843</v>
      </c>
      <c r="DQ3522" s="459" t="s">
        <v>885</v>
      </c>
      <c r="DR3522" s="459" t="s">
        <v>885</v>
      </c>
      <c r="DS3522" s="459" t="s">
        <v>885</v>
      </c>
      <c r="DT3522" s="459" t="s">
        <v>885</v>
      </c>
      <c r="DU3522" s="459" t="s">
        <v>885</v>
      </c>
      <c r="DV3522" s="459" t="s">
        <v>885</v>
      </c>
      <c r="DW3522" s="459" t="s">
        <v>885</v>
      </c>
      <c r="DX3522" s="245" t="s">
        <v>885</v>
      </c>
      <c r="DY3522" s="245"/>
      <c r="DZ3522" s="470" t="str">
        <f>IF($B$265=$B$3278,EB3522,IF($B$265=$B$3279,ED3522,IF($B$265=$B$3280,EF3522,IF($B$265=$B$3281,EH3522,IF($B$265=$B$3282,EJ3522,IF($B$265=$B$3283,EL3522,IF($B$265=$B$3284,EN3522,IF($B$265=$B$3285,EP3522,IF($B$265=$B$3286,ER3522,IF($B$265=$B$3287,ET3522,IF($B$265=$B$3288,EV3522,IF($B$265=$B$3289,EX3522,IF($B$265=$B$3290,EZ3522,IF($B$265=$B$3291,FB3522,IF($B$265=$B$3292,FD3522,IF($B$265=$B$3293,BU3522,IF($B$265=$B$3294,FF3522,IF($B$265=$B$3295,FH3522,IF($B$265=$B$3296,FJ3522,IF($B$265=$B$3297,FL3522,IF($B$265=$B$3298,FN3522,IF($B$265=$B$3299,FP3522,IF(BI$265=$B$3300,FR3522,IF($B$265=$B$3301,FT3522,IF($B$265=$B$3302,FV3522,IF($B$265=$B$3303,FX3522,IF($B$265=$B$3304,FZ3522,IF($B$265=$B$3305,GB3522,IF($B$265=$B$3306,GD3522,IF($B$265=$B$3307,GF3522,IF($B$265=$B$3308,GH3522,IF($B$265=$B$3309,GJ3522,IF($B$265=$B$3310,GL3522,IF($B$265=$B$3311,GN3522,IF($B$265=$B$3312,GP3522,IF($B$265=$B$3313,GR3522,IF($B$265=$B$3314,GT3522,IF($B$265=$B$3315,GV3522,IF($B$265=$B$3316,GX3522,IF($B$265=$B$3317,GZ3522,IF($B$265=$B$3318,HB3522,IF($B$265=$B$3319,HD3522,IF($B$265=$B$3320,HF3522,IF($B$265=$B$3321,HH3522,IF($B$265=$B$3322,HJ3522,IF($B$265=$B$3323,HL3522,IF($B$265=$B$3324,HN3522,IF($B$265=$B$3325,HP3522,IF($B$265=$B$3326,HR3522,IF($B$265=$B$3327,HT3522,IF($B$265=$B$3328,HV3522,IF($B$265=$B$3329,HX3522,""))))))))))))))))))))))))))))))))))))))))))))))))))))</f>
        <v/>
      </c>
      <c r="EA3522" s="470" t="str">
        <f>IF($B$265=$B$3278,EC3522,IF($B$265=$B$3279,EE3522,IF($B$265=$B$3280,EG3522,IF($B$265=$B$3281,EI3522,IF($B$265=$B$3282,EK3522,IF($B$265=$B$3283,EM3522,IF($B$265=$B$3284,EO3522,IF($B$265=$B$3285,EQ3522,IF($B$265=$B$3286,ES3522,IF($B$265=$B$3287,EU3522,IF($B$265=$B$3288,EW3522,IF($B$265=$B$3289,EY3522,IF($B$265=$B$3290,FA3522,IF($B$265=$B$3291,FC3522,IF($B$265=$B$3292,FE3522,IF($B$265=$B$3293,BK3522,IF($B$265=$B$3294,FG3522,IF($B$265=$B$3295,FI3522,IF($B$265=$B$3296,FK3522,IF($B$265=$B$3297,FM3522,IF($B$265=$B$3298,FO3522,IF($B$265=$B$3299,FQ3522,IF(BJ$265=$B$3300,FS3522,IF($B$265=$B$3301,FU3522,IF($B$265=$B$3302,FW3522,IF($B$265=$B$3303,FY3522,IF($B$265=$B$3304,GA3522,IF($B$265=$B$3305,GC3522,IF($B$265=$B$3306,GE3522,IF($B$265=$B$3307,GG3522,IF($B$265=$B$3308,GI3522,IF($B$265=$B$3309,GK3522,IF($B$265=$B$3310,GM3522,IF($B$265=$B$3311,GO3522,IF($B$265=$B$3312,GQ3522,IF($B$265=$B$3313,GS3522,IF($B$265=$B$3314,GU3522,IF($B$265=$B$3315,GW3522,IF($B$265=$B$3316,GY3522,IF($B$265=$B$3317,HA3522,IF($B$265=$B$3318,HC3522,IF($B$265=$B$3319,HE3522,IF($B$265=$B$3320,HG3522,IF($B$265=$B$3321,HI3522,IF($B$265=$B$3322,HK3522,IF($B$265=$B$3323,HM3522,IF($B$265=$B$3324,HO3522,IF($B$265=$B$3325,HQ3522,IF($B$265=$B$3326,HS3522,IF($B$265=$B$3327,HU3522,IF($B$265=$B$3328,HW3522,IF($B$265=$B$3329,HY3522,""))))))))))))))))))))))))))))))))))))))))))))))))))))</f>
        <v/>
      </c>
      <c r="EB3522" s="459" t="s">
        <v>885</v>
      </c>
    </row>
    <row r="3523" spans="1:132" ht="16" hidden="1" x14ac:dyDescent="0.4">
      <c r="A3523" s="813"/>
      <c r="BB3523" s="48"/>
      <c r="BS3523" s="464" t="str">
        <f>IF($B$265=B$3278,BZ3522,IF($B$265=B$3279,CA3522,IF($B$265=B$3280,CB3522,IF($B$265=B$3281,CC3522,IF($B$265=B$3282,CD3522,IF($B$265=B$3283,CE3522,IF($B$265=B$3284,CF3522,IF($B$265=B$3285,CG3522,IF($B$265=B$3286,CH3522,IF($B$265=B$3287,CI3522,IF($B$265=B$3288,CJ3522,IF($B$265=B$3289,CK3522,IF($B$265=B$3290,CL3522,IF($B$265=B$3291,CM3522,IF($B$265=B$3292,CN3522,IF($B$265=B$3293,C3522,IF($B$265=B$3294,CO3522,IF($B$265=B$3295,CP3522,IF($B$265=B$3296,CQ3522,IF($B$265=B$3297,CR3522,IF($B$265=B$3298,CS3522,IF($B$265=B$3299,CT3522,IF(B$265=B$3300,CU3522,IF($B$265=B$3301,CV3522,IF($B$265=B$3302,CW3522,IF($B$265=B$3303,CX3522,IF($B$265=B$3304,CY3522,IF($B$265=B$3305,CZ3522,IF($B$265=B$3306,DA3522,IF($B$265=B$3307,DB3522,IF($B$265=B$3308,DC3522,IF($B$265=B$3309,DD3522,IF($B$265=B$3310,DE3522,IF($B$265=B$3311,DF3522,IF($B$265=B$3312,DG3522,IF($B$265=B$3313,DH3522,IF($B$265=B$3314,DI3522,IF($B$265=B$3315,DJ3522,IF($B$265=B$3316,DK3522,IF($B$265=B$3317,DL3522,IF($B$265=B$3318,DM3522,IF($B$265=B$3319,DN3522,IF($B$265=B$3320,DO3522,IF($B$265=B$3321,DP3522,IF($B$265=B$3322,DQ3522,IF($B$265=B$3323,DR3522,IF($B$265=B$3324,DS3522,IF($B$265=B$3325,DT3522,IF($B$265=B$3326,DU3522,IF($B$265=B$3327,DV3522,IF($B$265=B$3328,DW3522,IF($B$265=B$3329,DX3522,""))))))))))))))))))))))))))))))))))))))))))))))))))))</f>
        <v/>
      </c>
      <c r="BZ3523" s="245" t="s">
        <v>885</v>
      </c>
      <c r="CA3523" s="245" t="s">
        <v>885</v>
      </c>
      <c r="CC3523" s="245" t="s">
        <v>885</v>
      </c>
      <c r="CD3523" s="459" t="s">
        <v>885</v>
      </c>
      <c r="CE3523" s="459" t="s">
        <v>885</v>
      </c>
      <c r="CF3523" s="245" t="s">
        <v>885</v>
      </c>
      <c r="CG3523" s="245" t="s">
        <v>885</v>
      </c>
      <c r="CH3523" s="245" t="s">
        <v>885</v>
      </c>
      <c r="CI3523" s="245" t="s">
        <v>885</v>
      </c>
      <c r="CJ3523" s="459" t="s">
        <v>885</v>
      </c>
      <c r="CK3523" s="459" t="s">
        <v>885</v>
      </c>
      <c r="CL3523" s="459" t="s">
        <v>885</v>
      </c>
      <c r="CM3523" s="459" t="s">
        <v>885</v>
      </c>
      <c r="CN3523" s="459" t="s">
        <v>885</v>
      </c>
      <c r="CO3523" s="459" t="s">
        <v>885</v>
      </c>
      <c r="CP3523" s="459" t="s">
        <v>885</v>
      </c>
      <c r="CQ3523" s="459" t="s">
        <v>885</v>
      </c>
      <c r="CR3523" s="459" t="s">
        <v>885</v>
      </c>
      <c r="CS3523" s="459" t="s">
        <v>885</v>
      </c>
      <c r="CT3523" s="245" t="s">
        <v>885</v>
      </c>
      <c r="CU3523" s="463" t="s">
        <v>885</v>
      </c>
      <c r="CV3523" s="245" t="s">
        <v>885</v>
      </c>
      <c r="CW3523" s="245" t="s">
        <v>885</v>
      </c>
      <c r="CX3523" s="459" t="s">
        <v>885</v>
      </c>
      <c r="CY3523" s="459" t="s">
        <v>885</v>
      </c>
      <c r="CZ3523" s="459" t="s">
        <v>885</v>
      </c>
      <c r="DA3523" s="459" t="s">
        <v>885</v>
      </c>
      <c r="DB3523" s="459" t="s">
        <v>885</v>
      </c>
      <c r="DC3523" s="459" t="s">
        <v>885</v>
      </c>
      <c r="DD3523" s="459" t="s">
        <v>885</v>
      </c>
      <c r="DE3523" s="459" t="s">
        <v>885</v>
      </c>
      <c r="DF3523" s="459" t="s">
        <v>885</v>
      </c>
      <c r="DG3523" s="459" t="s">
        <v>885</v>
      </c>
      <c r="DH3523" s="459" t="s">
        <v>885</v>
      </c>
      <c r="DI3523" s="459" t="s">
        <v>885</v>
      </c>
      <c r="DJ3523" s="459" t="s">
        <v>885</v>
      </c>
      <c r="DK3523" s="459" t="s">
        <v>885</v>
      </c>
      <c r="DL3523" s="459" t="s">
        <v>885</v>
      </c>
      <c r="DM3523" s="459" t="s">
        <v>885</v>
      </c>
      <c r="DN3523" s="459" t="s">
        <v>885</v>
      </c>
      <c r="DO3523" s="459" t="s">
        <v>885</v>
      </c>
      <c r="DP3523" t="s">
        <v>3068</v>
      </c>
      <c r="DQ3523" s="459" t="s">
        <v>885</v>
      </c>
      <c r="DR3523" s="459" t="s">
        <v>885</v>
      </c>
      <c r="DS3523" s="459" t="s">
        <v>885</v>
      </c>
      <c r="DT3523" s="459" t="s">
        <v>885</v>
      </c>
      <c r="DU3523" s="459" t="s">
        <v>885</v>
      </c>
      <c r="DV3523" s="459" t="s">
        <v>885</v>
      </c>
      <c r="DW3523" s="459" t="s">
        <v>885</v>
      </c>
      <c r="DX3523" s="245" t="s">
        <v>885</v>
      </c>
      <c r="DY3523" s="245"/>
      <c r="DZ3523" s="470" t="str">
        <f>IF($B$265=$B$3278,EB3523,IF($B$265=$B$3279,ED3523,IF($B$265=$B$3280,EF3523,IF($B$265=$B$3281,EH3523,IF($B$265=$B$3282,EJ3523,IF($B$265=$B$3283,EL3523,IF($B$265=$B$3284,EN3523,IF($B$265=$B$3285,EP3523,IF($B$265=$B$3286,ER3523,IF($B$265=$B$3287,ET3523,IF($B$265=$B$3288,EV3523,IF($B$265=$B$3289,EX3523,IF($B$265=$B$3290,EZ3523,IF($B$265=$B$3291,FB3523,IF($B$265=$B$3292,FD3523,IF($B$265=$B$3293,BU3523,IF($B$265=$B$3294,FF3523,IF($B$265=$B$3295,FH3523,IF($B$265=$B$3296,FJ3523,IF($B$265=$B$3297,FL3523,IF($B$265=$B$3298,FN3523,IF($B$265=$B$3299,FP3523,IF(BI$265=$B$3300,FR3523,IF($B$265=$B$3301,FT3523,IF($B$265=$B$3302,FV3523,IF($B$265=$B$3303,FX3523,IF($B$265=$B$3304,FZ3523,IF($B$265=$B$3305,GB3523,IF($B$265=$B$3306,GD3523,IF($B$265=$B$3307,GF3523,IF($B$265=$B$3308,GH3523,IF($B$265=$B$3309,GJ3523,IF($B$265=$B$3310,GL3523,IF($B$265=$B$3311,GN3523,IF($B$265=$B$3312,GP3523,IF($B$265=$B$3313,GR3523,IF($B$265=$B$3314,GT3523,IF($B$265=$B$3315,GV3523,IF($B$265=$B$3316,GX3523,IF($B$265=$B$3317,GZ3523,IF($B$265=$B$3318,HB3523,IF($B$265=$B$3319,HD3523,IF($B$265=$B$3320,HF3523,IF($B$265=$B$3321,HH3523,IF($B$265=$B$3322,HJ3523,IF($B$265=$B$3323,HL3523,IF($B$265=$B$3324,HN3523,IF($B$265=$B$3325,HP3523,IF($B$265=$B$3326,HR3523,IF($B$265=$B$3327,HT3523,IF($B$265=$B$3328,HV3523,IF($B$265=$B$3329,HX3523,""))))))))))))))))))))))))))))))))))))))))))))))))))))</f>
        <v/>
      </c>
      <c r="EA3523" s="470" t="str">
        <f>IF($B$265=$B$3278,EC3523,IF($B$265=$B$3279,EE3523,IF($B$265=$B$3280,EG3523,IF($B$265=$B$3281,EI3523,IF($B$265=$B$3282,EK3523,IF($B$265=$B$3283,EM3523,IF($B$265=$B$3284,EO3523,IF($B$265=$B$3285,EQ3523,IF($B$265=$B$3286,ES3523,IF($B$265=$B$3287,EU3523,IF($B$265=$B$3288,EW3523,IF($B$265=$B$3289,EY3523,IF($B$265=$B$3290,FA3523,IF($B$265=$B$3291,FC3523,IF($B$265=$B$3292,FE3523,IF($B$265=$B$3293,BK3523,IF($B$265=$B$3294,FG3523,IF($B$265=$B$3295,FI3523,IF($B$265=$B$3296,FK3523,IF($B$265=$B$3297,FM3523,IF($B$265=$B$3298,FO3523,IF($B$265=$B$3299,FQ3523,IF(BJ$265=$B$3300,FS3523,IF($B$265=$B$3301,FU3523,IF($B$265=$B$3302,FW3523,IF($B$265=$B$3303,FY3523,IF($B$265=$B$3304,GA3523,IF($B$265=$B$3305,GC3523,IF($B$265=$B$3306,GE3523,IF($B$265=$B$3307,GG3523,IF($B$265=$B$3308,GI3523,IF($B$265=$B$3309,GK3523,IF($B$265=$B$3310,GM3523,IF($B$265=$B$3311,GO3523,IF($B$265=$B$3312,GQ3523,IF($B$265=$B$3313,GS3523,IF($B$265=$B$3314,GU3523,IF($B$265=$B$3315,GW3523,IF($B$265=$B$3316,GY3523,IF($B$265=$B$3317,HA3523,IF($B$265=$B$3318,HC3523,IF($B$265=$B$3319,HE3523,IF($B$265=$B$3320,HG3523,IF($B$265=$B$3321,HI3523,IF($B$265=$B$3322,HK3523,IF($B$265=$B$3323,HM3523,IF($B$265=$B$3324,HO3523,IF($B$265=$B$3325,HQ3523,IF($B$265=$B$3326,HS3523,IF($B$265=$B$3327,HU3523,IF($B$265=$B$3328,HW3523,IF($B$265=$B$3329,HY3523,""))))))))))))))))))))))))))))))))))))))))))))))))))))</f>
        <v/>
      </c>
      <c r="EB3523" s="459" t="s">
        <v>885</v>
      </c>
    </row>
    <row r="3524" spans="1:132" ht="16" hidden="1" x14ac:dyDescent="0.4">
      <c r="A3524" s="813"/>
      <c r="BB3524" s="48"/>
      <c r="BS3524" s="464" t="str">
        <f>IF($B$265=B$3278,BZ3523,IF($B$265=B$3279,CA3523,IF($B$265=B$3280,CB3523,IF($B$265=B$3281,CC3523,IF($B$265=B$3282,CD3523,IF($B$265=B$3283,CE3523,IF($B$265=B$3284,CF3523,IF($B$265=B$3285,CG3523,IF($B$265=B$3286,CH3523,IF($B$265=B$3287,CI3523,IF($B$265=B$3288,CJ3523,IF($B$265=B$3289,CK3523,IF($B$265=B$3290,CL3523,IF($B$265=B$3291,CM3523,IF($B$265=B$3292,CN3523,IF($B$265=B$3293,D2875,IF($B$265=B$3294,CO3523,IF($B$265=B$3295,CP3523,IF($B$265=B$3296,CQ3523,IF($B$265=B$3297,CR3523,IF($B$265=B$3298,CS3523,IF($B$265=B$3299,CT3523,IF(B$265=B$3300,CU3523,IF($B$265=B$3301,CV3523,IF($B$265=B$3302,CW3523,IF($B$265=B$3303,CX3523,IF($B$265=B$3304,CY3523,IF($B$265=B$3305,CZ3523,IF($B$265=B$3306,DA3523,IF($B$265=B$3307,DB3523,IF($B$265=B$3308,DC3523,IF($B$265=B$3309,DD3523,IF($B$265=B$3310,DE3523,IF($B$265=B$3311,DF3523,IF($B$265=B$3312,DG3523,IF($B$265=B$3313,DH3523,IF($B$265=B$3314,DI3523,IF($B$265=B$3315,DJ3523,IF($B$265=B$3316,DK3523,IF($B$265=B$3317,DL3523,IF($B$265=B$3318,DM3523,IF($B$265=B$3319,DN3523,IF($B$265=B$3320,DO3523,IF($B$265=B$3321,DP3523,IF($B$265=B$3322,DQ3523,IF($B$265=B$3323,DR3523,IF($B$265=B$3324,DS3523,IF($B$265=B$3325,DT3523,IF($B$265=B$3326,DU3523,IF($B$265=B$3327,DV3523,IF($B$265=B$3328,DW3523,IF($B$265=B$3329,DX3523,""))))))))))))))))))))))))))))))))))))))))))))))))))))</f>
        <v/>
      </c>
      <c r="BZ3524" s="245" t="s">
        <v>885</v>
      </c>
      <c r="CA3524" s="245" t="s">
        <v>885</v>
      </c>
      <c r="CC3524" s="245" t="s">
        <v>885</v>
      </c>
      <c r="CD3524" s="459" t="s">
        <v>885</v>
      </c>
      <c r="CE3524" s="459" t="s">
        <v>885</v>
      </c>
      <c r="CF3524" s="245" t="s">
        <v>885</v>
      </c>
      <c r="CG3524" s="245" t="s">
        <v>885</v>
      </c>
      <c r="CH3524" s="245" t="s">
        <v>885</v>
      </c>
      <c r="CI3524" s="245" t="s">
        <v>885</v>
      </c>
      <c r="CJ3524" s="459" t="s">
        <v>885</v>
      </c>
      <c r="CK3524" s="459" t="s">
        <v>885</v>
      </c>
      <c r="CL3524" s="459" t="s">
        <v>885</v>
      </c>
      <c r="CM3524" s="459" t="s">
        <v>885</v>
      </c>
      <c r="CN3524" s="459" t="s">
        <v>885</v>
      </c>
      <c r="CO3524" s="459" t="s">
        <v>885</v>
      </c>
      <c r="CP3524" s="459" t="s">
        <v>885</v>
      </c>
      <c r="CQ3524" s="459" t="s">
        <v>885</v>
      </c>
      <c r="CR3524" s="459" t="s">
        <v>885</v>
      </c>
      <c r="CS3524" s="459" t="s">
        <v>885</v>
      </c>
      <c r="CT3524" s="245" t="s">
        <v>885</v>
      </c>
      <c r="CU3524" s="463" t="s">
        <v>885</v>
      </c>
      <c r="CV3524" s="245" t="s">
        <v>885</v>
      </c>
      <c r="CW3524" s="245" t="s">
        <v>885</v>
      </c>
      <c r="CX3524" s="459" t="s">
        <v>885</v>
      </c>
      <c r="CY3524" s="459" t="s">
        <v>885</v>
      </c>
      <c r="CZ3524" s="459" t="s">
        <v>885</v>
      </c>
      <c r="DA3524" s="459" t="s">
        <v>885</v>
      </c>
      <c r="DB3524" s="459" t="s">
        <v>885</v>
      </c>
      <c r="DC3524" s="459" t="s">
        <v>885</v>
      </c>
      <c r="DD3524" s="459" t="s">
        <v>885</v>
      </c>
      <c r="DE3524" s="459" t="s">
        <v>885</v>
      </c>
      <c r="DF3524" s="459" t="s">
        <v>885</v>
      </c>
      <c r="DG3524" s="459" t="s">
        <v>885</v>
      </c>
      <c r="DH3524" s="459" t="s">
        <v>885</v>
      </c>
      <c r="DI3524" s="459" t="s">
        <v>885</v>
      </c>
      <c r="DJ3524" s="459" t="s">
        <v>885</v>
      </c>
      <c r="DK3524" s="459" t="s">
        <v>885</v>
      </c>
      <c r="DL3524" s="459" t="s">
        <v>885</v>
      </c>
      <c r="DM3524" s="459" t="s">
        <v>885</v>
      </c>
      <c r="DN3524" s="459" t="s">
        <v>885</v>
      </c>
      <c r="DO3524" s="459" t="s">
        <v>885</v>
      </c>
      <c r="DP3524" t="s">
        <v>3069</v>
      </c>
      <c r="DQ3524" s="459" t="s">
        <v>885</v>
      </c>
      <c r="DR3524" s="459" t="s">
        <v>885</v>
      </c>
      <c r="DS3524" s="459" t="s">
        <v>885</v>
      </c>
      <c r="DT3524" s="459" t="s">
        <v>885</v>
      </c>
      <c r="DU3524" s="459" t="s">
        <v>885</v>
      </c>
      <c r="DV3524" s="459" t="s">
        <v>885</v>
      </c>
      <c r="DW3524" s="459" t="s">
        <v>885</v>
      </c>
      <c r="DX3524" s="245" t="s">
        <v>885</v>
      </c>
      <c r="DY3524" s="245"/>
      <c r="DZ3524" s="470" t="str">
        <f>IF($B$265=$B$3278,EB3524,IF($B$265=$B$3279,ED3524,IF($B$265=$B$3280,EF3524,IF($B$265=$B$3281,EH3524,IF($B$265=$B$3282,EJ3524,IF($B$265=$B$3283,EL3524,IF($B$265=$B$3284,EN3524,IF($B$265=$B$3285,EP3524,IF($B$265=$B$3286,ER3524,IF($B$265=$B$3287,ET3524,IF($B$265=$B$3288,EV3524,IF($B$265=$B$3289,EX3524,IF($B$265=$B$3290,EZ3524,IF($B$265=$B$3291,FB3524,IF($B$265=$B$3292,FD3524,IF($B$265=$B$3293,BU3524,IF($B$265=$B$3294,FF3524,IF($B$265=$B$3295,FH3524,IF($B$265=$B$3296,FJ3524,IF($B$265=$B$3297,FL3524,IF($B$265=$B$3298,FN3524,IF($B$265=$B$3299,FP3524,IF(BI$265=$B$3300,FR3524,IF($B$265=$B$3301,FT3524,IF($B$265=$B$3302,FV3524,IF($B$265=$B$3303,FX3524,IF($B$265=$B$3304,FZ3524,IF($B$265=$B$3305,GB3524,IF($B$265=$B$3306,GD3524,IF($B$265=$B$3307,GF3524,IF($B$265=$B$3308,GH3524,IF($B$265=$B$3309,GJ3524,IF($B$265=$B$3310,GL3524,IF($B$265=$B$3311,GN3524,IF($B$265=$B$3312,GP3524,IF($B$265=$B$3313,GR3524,IF($B$265=$B$3314,GT3524,IF($B$265=$B$3315,GV3524,IF($B$265=$B$3316,GX3524,IF($B$265=$B$3317,GZ3524,IF($B$265=$B$3318,HB3524,IF($B$265=$B$3319,HD3524,IF($B$265=$B$3320,HF3524,IF($B$265=$B$3321,HH3524,IF($B$265=$B$3322,HJ3524,IF($B$265=$B$3323,HL3524,IF($B$265=$B$3324,HN3524,IF($B$265=$B$3325,HP3524,IF($B$265=$B$3326,HR3524,IF($B$265=$B$3327,HT3524,IF($B$265=$B$3328,HV3524,IF($B$265=$B$3329,HX3524,""))))))))))))))))))))))))))))))))))))))))))))))))))))</f>
        <v/>
      </c>
      <c r="EA3524" s="470" t="str">
        <f>IF($B$265=$B$3278,EC3524,IF($B$265=$B$3279,EE3524,IF($B$265=$B$3280,EG3524,IF($B$265=$B$3281,EI3524,IF($B$265=$B$3282,EK3524,IF($B$265=$B$3283,EM3524,IF($B$265=$B$3284,EO3524,IF($B$265=$B$3285,EQ3524,IF($B$265=$B$3286,ES3524,IF($B$265=$B$3287,EU3524,IF($B$265=$B$3288,EW3524,IF($B$265=$B$3289,EY3524,IF($B$265=$B$3290,FA3524,IF($B$265=$B$3291,FC3524,IF($B$265=$B$3292,FE3524,IF($B$265=$B$3293,BK3524,IF($B$265=$B$3294,FG3524,IF($B$265=$B$3295,FI3524,IF($B$265=$B$3296,FK3524,IF($B$265=$B$3297,FM3524,IF($B$265=$B$3298,FO3524,IF($B$265=$B$3299,FQ3524,IF(BJ$265=$B$3300,FS3524,IF($B$265=$B$3301,FU3524,IF($B$265=$B$3302,FW3524,IF($B$265=$B$3303,FY3524,IF($B$265=$B$3304,GA3524,IF($B$265=$B$3305,GC3524,IF($B$265=$B$3306,GE3524,IF($B$265=$B$3307,GG3524,IF($B$265=$B$3308,GI3524,IF($B$265=$B$3309,GK3524,IF($B$265=$B$3310,GM3524,IF($B$265=$B$3311,GO3524,IF($B$265=$B$3312,GQ3524,IF($B$265=$B$3313,GS3524,IF($B$265=$B$3314,GU3524,IF($B$265=$B$3315,GW3524,IF($B$265=$B$3316,GY3524,IF($B$265=$B$3317,HA3524,IF($B$265=$B$3318,HC3524,IF($B$265=$B$3319,HE3524,IF($B$265=$B$3320,HG3524,IF($B$265=$B$3321,HI3524,IF($B$265=$B$3322,HK3524,IF($B$265=$B$3323,HM3524,IF($B$265=$B$3324,HO3524,IF($B$265=$B$3325,HQ3524,IF($B$265=$B$3326,HS3524,IF($B$265=$B$3327,HU3524,IF($B$265=$B$3328,HW3524,IF($B$265=$B$3329,HY3524,""))))))))))))))))))))))))))))))))))))))))))))))))))))</f>
        <v/>
      </c>
      <c r="EB3524" s="459" t="s">
        <v>885</v>
      </c>
    </row>
    <row r="3525" spans="1:132" ht="16" hidden="1" x14ac:dyDescent="0.4">
      <c r="A3525" s="813"/>
      <c r="BB3525" s="48"/>
      <c r="BS3525" s="464" t="str">
        <f>IF($B$265=B$3278,BZ3524,IF($B$265=B$3279,CA3524,IF($B$265=B$3280,CB3524,IF($B$265=B$3281,CC3524,IF($B$265=B$3282,CD3524,IF($B$265=B$3283,CE3524,IF($B$265=B$3284,CF3524,IF($B$265=B$3285,CG3524,IF($B$265=B$3286,CH3524,IF($B$265=B$3287,CI3524,IF($B$265=B$3288,CJ3524,IF($B$265=B$3289,CK3524,IF($B$265=B$3290,CL3524,IF($B$265=B$3291,CM3524,IF($B$265=B$3292,CN3524,IF($B$265=B$3293,D2876,IF($B$265=B$3294,CO3524,IF($B$265=B$3295,CP3524,IF($B$265=B$3296,CQ3524,IF($B$265=B$3297,CR3524,IF($B$265=B$3298,CS3524,IF($B$265=B$3299,CT3524,IF(B$265=B$3300,CU3524,IF($B$265=B$3301,CV3524,IF($B$265=B$3302,CW3524,IF($B$265=B$3303,CX3524,IF($B$265=B$3304,CY3524,IF($B$265=B$3305,CZ3524,IF($B$265=B$3306,DA3524,IF($B$265=B$3307,DB3524,IF($B$265=B$3308,DC3524,IF($B$265=B$3309,DD3524,IF($B$265=B$3310,DE3524,IF($B$265=B$3311,DF3524,IF($B$265=B$3312,DG3524,IF($B$265=B$3313,DH3524,IF($B$265=B$3314,DI3524,IF($B$265=B$3315,DJ3524,IF($B$265=B$3316,DK3524,IF($B$265=B$3317,DL3524,IF($B$265=B$3318,DM3524,IF($B$265=B$3319,DN3524,IF($B$265=B$3320,DO3524,IF($B$265=B$3321,DP3524,IF($B$265=B$3322,DQ3524,IF($B$265=B$3323,DR3524,IF($B$265=B$3324,DS3524,IF($B$265=B$3325,DT3524,IF($B$265=B$3326,DU3524,IF($B$265=B$3327,DV3524,IF($B$265=B$3328,DW3524,IF($B$265=B$3329,DX3524,""))))))))))))))))))))))))))))))))))))))))))))))))))))</f>
        <v/>
      </c>
      <c r="BZ3525" s="245" t="s">
        <v>885</v>
      </c>
      <c r="CA3525" s="245" t="s">
        <v>885</v>
      </c>
      <c r="CC3525" s="245" t="s">
        <v>885</v>
      </c>
      <c r="CD3525" s="459" t="s">
        <v>885</v>
      </c>
      <c r="CE3525" s="459" t="s">
        <v>885</v>
      </c>
      <c r="CF3525" s="245" t="s">
        <v>885</v>
      </c>
      <c r="CG3525" s="245" t="s">
        <v>885</v>
      </c>
      <c r="CH3525" s="245" t="s">
        <v>885</v>
      </c>
      <c r="CI3525" s="245" t="s">
        <v>885</v>
      </c>
      <c r="CJ3525" s="459" t="s">
        <v>885</v>
      </c>
      <c r="CK3525" s="459" t="s">
        <v>885</v>
      </c>
      <c r="CL3525" s="459" t="s">
        <v>885</v>
      </c>
      <c r="CM3525" s="459" t="s">
        <v>885</v>
      </c>
      <c r="CN3525" s="459" t="s">
        <v>885</v>
      </c>
      <c r="CO3525" s="459" t="s">
        <v>885</v>
      </c>
      <c r="CP3525" s="459" t="s">
        <v>885</v>
      </c>
      <c r="CQ3525" s="459" t="s">
        <v>885</v>
      </c>
      <c r="CR3525" s="459" t="s">
        <v>885</v>
      </c>
      <c r="CS3525" s="459" t="s">
        <v>885</v>
      </c>
      <c r="CT3525" s="245" t="s">
        <v>885</v>
      </c>
      <c r="CU3525" s="463" t="s">
        <v>885</v>
      </c>
      <c r="CV3525" s="245" t="s">
        <v>885</v>
      </c>
      <c r="CW3525" s="245" t="s">
        <v>885</v>
      </c>
      <c r="CX3525" s="459" t="s">
        <v>885</v>
      </c>
      <c r="CY3525" s="459" t="s">
        <v>885</v>
      </c>
      <c r="CZ3525" s="459" t="s">
        <v>885</v>
      </c>
      <c r="DA3525" s="459" t="s">
        <v>885</v>
      </c>
      <c r="DB3525" s="459" t="s">
        <v>885</v>
      </c>
      <c r="DC3525" s="459" t="s">
        <v>885</v>
      </c>
      <c r="DD3525" s="459" t="s">
        <v>885</v>
      </c>
      <c r="DE3525" s="459" t="s">
        <v>885</v>
      </c>
      <c r="DF3525" s="459" t="s">
        <v>885</v>
      </c>
      <c r="DG3525" s="459" t="s">
        <v>885</v>
      </c>
      <c r="DH3525" s="459" t="s">
        <v>885</v>
      </c>
      <c r="DI3525" s="459" t="s">
        <v>885</v>
      </c>
      <c r="DJ3525" s="459" t="s">
        <v>885</v>
      </c>
      <c r="DK3525" s="459" t="s">
        <v>885</v>
      </c>
      <c r="DL3525" s="459" t="s">
        <v>885</v>
      </c>
      <c r="DM3525" s="459" t="s">
        <v>885</v>
      </c>
      <c r="DN3525" s="459" t="s">
        <v>885</v>
      </c>
      <c r="DO3525" s="459" t="s">
        <v>885</v>
      </c>
      <c r="DP3525" t="s">
        <v>3070</v>
      </c>
      <c r="DQ3525" s="459" t="s">
        <v>885</v>
      </c>
      <c r="DR3525" s="459" t="s">
        <v>885</v>
      </c>
      <c r="DS3525" s="459" t="s">
        <v>885</v>
      </c>
      <c r="DT3525" s="459" t="s">
        <v>885</v>
      </c>
      <c r="DU3525" s="459" t="s">
        <v>885</v>
      </c>
      <c r="DV3525" s="459" t="s">
        <v>885</v>
      </c>
      <c r="DW3525" s="459" t="s">
        <v>885</v>
      </c>
      <c r="DX3525" s="245" t="s">
        <v>885</v>
      </c>
      <c r="DY3525" s="245"/>
      <c r="DZ3525" s="470" t="str">
        <f>IF($B$265=$B$3278,EB3525,IF($B$265=$B$3279,ED3525,IF($B$265=$B$3280,EF3525,IF($B$265=$B$3281,EH3525,IF($B$265=$B$3282,EJ3525,IF($B$265=$B$3283,EL3525,IF($B$265=$B$3284,EN3525,IF($B$265=$B$3285,EP3525,IF($B$265=$B$3286,ER3525,IF($B$265=$B$3287,ET3525,IF($B$265=$B$3288,EV3525,IF($B$265=$B$3289,EX3525,IF($B$265=$B$3290,EZ3525,IF($B$265=$B$3291,FB3525,IF($B$265=$B$3292,FD3525,IF($B$265=$B$3293,BU3525,IF($B$265=$B$3294,FF3525,IF($B$265=$B$3295,FH3525,IF($B$265=$B$3296,FJ3525,IF($B$265=$B$3297,FL3525,IF($B$265=$B$3298,FN3525,IF($B$265=$B$3299,FP3525,IF(BI$265=$B$3300,FR3525,IF($B$265=$B$3301,FT3525,IF($B$265=$B$3302,FV3525,IF($B$265=$B$3303,FX3525,IF($B$265=$B$3304,FZ3525,IF($B$265=$B$3305,GB3525,IF($B$265=$B$3306,GD3525,IF($B$265=$B$3307,GF3525,IF($B$265=$B$3308,GH3525,IF($B$265=$B$3309,GJ3525,IF($B$265=$B$3310,GL3525,IF($B$265=$B$3311,GN3525,IF($B$265=$B$3312,GP3525,IF($B$265=$B$3313,GR3525,IF($B$265=$B$3314,GT3525,IF($B$265=$B$3315,GV3525,IF($B$265=$B$3316,GX3525,IF($B$265=$B$3317,GZ3525,IF($B$265=$B$3318,HB3525,IF($B$265=$B$3319,HD3525,IF($B$265=$B$3320,HF3525,IF($B$265=$B$3321,HH3525,IF($B$265=$B$3322,HJ3525,IF($B$265=$B$3323,HL3525,IF($B$265=$B$3324,HN3525,IF($B$265=$B$3325,HP3525,IF($B$265=$B$3326,HR3525,IF($B$265=$B$3327,HT3525,IF($B$265=$B$3328,HV3525,IF($B$265=$B$3329,HX3525,""))))))))))))))))))))))))))))))))))))))))))))))))))))</f>
        <v/>
      </c>
      <c r="EA3525" s="470" t="str">
        <f>IF($B$265=$B$3278,EC3525,IF($B$265=$B$3279,EE3525,IF($B$265=$B$3280,EG3525,IF($B$265=$B$3281,EI3525,IF($B$265=$B$3282,EK3525,IF($B$265=$B$3283,EM3525,IF($B$265=$B$3284,EO3525,IF($B$265=$B$3285,EQ3525,IF($B$265=$B$3286,ES3525,IF($B$265=$B$3287,EU3525,IF($B$265=$B$3288,EW3525,IF($B$265=$B$3289,EY3525,IF($B$265=$B$3290,FA3525,IF($B$265=$B$3291,FC3525,IF($B$265=$B$3292,FE3525,IF($B$265=$B$3293,BK3525,IF($B$265=$B$3294,FG3525,IF($B$265=$B$3295,FI3525,IF($B$265=$B$3296,FK3525,IF($B$265=$B$3297,FM3525,IF($B$265=$B$3298,FO3525,IF($B$265=$B$3299,FQ3525,IF(BJ$265=$B$3300,FS3525,IF($B$265=$B$3301,FU3525,IF($B$265=$B$3302,FW3525,IF($B$265=$B$3303,FY3525,IF($B$265=$B$3304,GA3525,IF($B$265=$B$3305,GC3525,IF($B$265=$B$3306,GE3525,IF($B$265=$B$3307,GG3525,IF($B$265=$B$3308,GI3525,IF($B$265=$B$3309,GK3525,IF($B$265=$B$3310,GM3525,IF($B$265=$B$3311,GO3525,IF($B$265=$B$3312,GQ3525,IF($B$265=$B$3313,GS3525,IF($B$265=$B$3314,GU3525,IF($B$265=$B$3315,GW3525,IF($B$265=$B$3316,GY3525,IF($B$265=$B$3317,HA3525,IF($B$265=$B$3318,HC3525,IF($B$265=$B$3319,HE3525,IF($B$265=$B$3320,HG3525,IF($B$265=$B$3321,HI3525,IF($B$265=$B$3322,HK3525,IF($B$265=$B$3323,HM3525,IF($B$265=$B$3324,HO3525,IF($B$265=$B$3325,HQ3525,IF($B$265=$B$3326,HS3525,IF($B$265=$B$3327,HU3525,IF($B$265=$B$3328,HW3525,IF($B$265=$B$3329,HY3525,""))))))))))))))))))))))))))))))))))))))))))))))))))))</f>
        <v/>
      </c>
      <c r="EB3525" s="459" t="s">
        <v>885</v>
      </c>
    </row>
    <row r="3526" spans="1:132" ht="16" hidden="1" x14ac:dyDescent="0.4">
      <c r="A3526" s="813"/>
      <c r="BB3526" s="48"/>
      <c r="BS3526" s="464" t="str">
        <f>IF($B$265=B$3278,BZ3525,IF($B$265=B$3279,CA3525,IF($B$265=B$3280,CB3525,IF($B$265=B$3281,CC3525,IF($B$265=B$3282,CD3525,IF($B$265=B$3283,CE3525,IF($B$265=B$3284,CF3525,IF($B$265=B$3285,CG3525,IF($B$265=B$3286,CH3525,IF($B$265=B$3287,CI3525,IF($B$265=B$3288,CJ3525,IF($B$265=B$3289,CK3525,IF($B$265=B$3290,CL3525,IF($B$265=B$3291,CM3525,IF($B$265=B$3292,CN3525,IF($B$265=B$3293,D2877,IF($B$265=B$3294,CO3525,IF($B$265=B$3295,CP3525,IF($B$265=B$3296,CQ3525,IF($B$265=B$3297,CR3525,IF($B$265=B$3298,CS3525,IF($B$265=B$3299,CT3525,IF(B$265=B$3300,CU3525,IF($B$265=B$3301,CV3525,IF($B$265=B$3302,CW3525,IF($B$265=B$3303,CX3525,IF($B$265=B$3304,CY3525,IF($B$265=B$3305,CZ3525,IF($B$265=B$3306,DA3525,IF($B$265=B$3307,DB3525,IF($B$265=B$3308,DC3525,IF($B$265=B$3309,DD3525,IF($B$265=B$3310,DE3525,IF($B$265=B$3311,DF3525,IF($B$265=B$3312,DG3525,IF($B$265=B$3313,DH3525,IF($B$265=B$3314,DI3525,IF($B$265=B$3315,DJ3525,IF($B$265=B$3316,DK3525,IF($B$265=B$3317,DL3525,IF($B$265=B$3318,DM3525,IF($B$265=B$3319,DN3525,IF($B$265=B$3320,DO3525,IF($B$265=B$3321,DP3525,IF($B$265=B$3322,DQ3525,IF($B$265=B$3323,DR3525,IF($B$265=B$3324,DS3525,IF($B$265=B$3325,DT3525,IF($B$265=B$3326,DU3525,IF($B$265=B$3327,DV3525,IF($B$265=B$3328,DW3525,IF($B$265=B$3329,DX3525,""))))))))))))))))))))))))))))))))))))))))))))))))))))</f>
        <v/>
      </c>
      <c r="BZ3526" s="245" t="s">
        <v>885</v>
      </c>
      <c r="CA3526" s="245" t="s">
        <v>885</v>
      </c>
      <c r="CC3526" s="245" t="s">
        <v>885</v>
      </c>
      <c r="CD3526" s="459" t="s">
        <v>885</v>
      </c>
      <c r="CE3526" s="459" t="s">
        <v>885</v>
      </c>
      <c r="CF3526" s="245" t="s">
        <v>885</v>
      </c>
      <c r="CG3526" s="245" t="s">
        <v>885</v>
      </c>
      <c r="CH3526" s="245" t="s">
        <v>885</v>
      </c>
      <c r="CI3526" s="245" t="s">
        <v>885</v>
      </c>
      <c r="CJ3526" s="459" t="s">
        <v>885</v>
      </c>
      <c r="CK3526" s="459" t="s">
        <v>885</v>
      </c>
      <c r="CL3526" s="459" t="s">
        <v>885</v>
      </c>
      <c r="CM3526" s="459" t="s">
        <v>885</v>
      </c>
      <c r="CN3526" s="459" t="s">
        <v>885</v>
      </c>
      <c r="CO3526" s="459" t="s">
        <v>885</v>
      </c>
      <c r="CP3526" s="459" t="s">
        <v>885</v>
      </c>
      <c r="CQ3526" s="459" t="s">
        <v>885</v>
      </c>
      <c r="CR3526" s="459" t="s">
        <v>885</v>
      </c>
      <c r="CS3526" s="459" t="s">
        <v>885</v>
      </c>
      <c r="CT3526" s="245" t="s">
        <v>885</v>
      </c>
      <c r="CU3526" s="463" t="s">
        <v>885</v>
      </c>
      <c r="CV3526" s="245" t="s">
        <v>885</v>
      </c>
      <c r="CW3526" s="245" t="s">
        <v>885</v>
      </c>
      <c r="CX3526" s="459" t="s">
        <v>885</v>
      </c>
      <c r="CY3526" s="459" t="s">
        <v>885</v>
      </c>
      <c r="CZ3526" s="459" t="s">
        <v>885</v>
      </c>
      <c r="DA3526" s="459" t="s">
        <v>885</v>
      </c>
      <c r="DB3526" s="459" t="s">
        <v>885</v>
      </c>
      <c r="DC3526" s="459" t="s">
        <v>885</v>
      </c>
      <c r="DD3526" s="459" t="s">
        <v>885</v>
      </c>
      <c r="DE3526" s="459" t="s">
        <v>885</v>
      </c>
      <c r="DF3526" s="459" t="s">
        <v>885</v>
      </c>
      <c r="DG3526" s="459" t="s">
        <v>885</v>
      </c>
      <c r="DH3526" s="459" t="s">
        <v>885</v>
      </c>
      <c r="DI3526" s="459" t="s">
        <v>885</v>
      </c>
      <c r="DJ3526" s="459" t="s">
        <v>885</v>
      </c>
      <c r="DK3526" s="459" t="s">
        <v>885</v>
      </c>
      <c r="DL3526" s="459" t="s">
        <v>885</v>
      </c>
      <c r="DM3526" s="459" t="s">
        <v>885</v>
      </c>
      <c r="DN3526" s="459" t="s">
        <v>885</v>
      </c>
      <c r="DO3526" s="459" t="s">
        <v>885</v>
      </c>
      <c r="DP3526" t="s">
        <v>3071</v>
      </c>
      <c r="DQ3526" s="459" t="s">
        <v>885</v>
      </c>
      <c r="DR3526" s="459" t="s">
        <v>885</v>
      </c>
      <c r="DS3526" s="459" t="s">
        <v>885</v>
      </c>
      <c r="DT3526" s="459" t="s">
        <v>885</v>
      </c>
      <c r="DU3526" s="459" t="s">
        <v>885</v>
      </c>
      <c r="DV3526" s="459" t="s">
        <v>885</v>
      </c>
      <c r="DW3526" s="459" t="s">
        <v>885</v>
      </c>
      <c r="DX3526" s="245" t="s">
        <v>885</v>
      </c>
      <c r="DY3526" s="245"/>
      <c r="DZ3526" s="470" t="str">
        <f>IF($B$265=$B$3278,EB3526,IF($B$265=$B$3279,ED3526,IF($B$265=$B$3280,EF3526,IF($B$265=$B$3281,EH3526,IF($B$265=$B$3282,EJ3526,IF($B$265=$B$3283,EL3526,IF($B$265=$B$3284,EN3526,IF($B$265=$B$3285,EP3526,IF($B$265=$B$3286,ER3526,IF($B$265=$B$3287,ET3526,IF($B$265=$B$3288,EV3526,IF($B$265=$B$3289,EX3526,IF($B$265=$B$3290,EZ3526,IF($B$265=$B$3291,FB3526,IF($B$265=$B$3292,FD3526,IF($B$265=$B$3293,BU3526,IF($B$265=$B$3294,FF3526,IF($B$265=$B$3295,FH3526,IF($B$265=$B$3296,FJ3526,IF($B$265=$B$3297,FL3526,IF($B$265=$B$3298,FN3526,IF($B$265=$B$3299,FP3526,IF(BI$265=$B$3300,FR3526,IF($B$265=$B$3301,FT3526,IF($B$265=$B$3302,FV3526,IF($B$265=$B$3303,FX3526,IF($B$265=$B$3304,FZ3526,IF($B$265=$B$3305,GB3526,IF($B$265=$B$3306,GD3526,IF($B$265=$B$3307,GF3526,IF($B$265=$B$3308,GH3526,IF($B$265=$B$3309,GJ3526,IF($B$265=$B$3310,GL3526,IF($B$265=$B$3311,GN3526,IF($B$265=$B$3312,GP3526,IF($B$265=$B$3313,GR3526,IF($B$265=$B$3314,GT3526,IF($B$265=$B$3315,GV3526,IF($B$265=$B$3316,GX3526,IF($B$265=$B$3317,GZ3526,IF($B$265=$B$3318,HB3526,IF($B$265=$B$3319,HD3526,IF($B$265=$B$3320,HF3526,IF($B$265=$B$3321,HH3526,IF($B$265=$B$3322,HJ3526,IF($B$265=$B$3323,HL3526,IF($B$265=$B$3324,HN3526,IF($B$265=$B$3325,HP3526,IF($B$265=$B$3326,HR3526,IF($B$265=$B$3327,HT3526,IF($B$265=$B$3328,HV3526,IF($B$265=$B$3329,HX3526,""))))))))))))))))))))))))))))))))))))))))))))))))))))</f>
        <v/>
      </c>
      <c r="EA3526" s="470" t="str">
        <f>IF($B$265=$B$3278,EC3526,IF($B$265=$B$3279,EE3526,IF($B$265=$B$3280,EG3526,IF($B$265=$B$3281,EI3526,IF($B$265=$B$3282,EK3526,IF($B$265=$B$3283,EM3526,IF($B$265=$B$3284,EO3526,IF($B$265=$B$3285,EQ3526,IF($B$265=$B$3286,ES3526,IF($B$265=$B$3287,EU3526,IF($B$265=$B$3288,EW3526,IF($B$265=$B$3289,EY3526,IF($B$265=$B$3290,FA3526,IF($B$265=$B$3291,FC3526,IF($B$265=$B$3292,FE3526,IF($B$265=$B$3293,BK3526,IF($B$265=$B$3294,FG3526,IF($B$265=$B$3295,FI3526,IF($B$265=$B$3296,FK3526,IF($B$265=$B$3297,FM3526,IF($B$265=$B$3298,FO3526,IF($B$265=$B$3299,FQ3526,IF(BJ$265=$B$3300,FS3526,IF($B$265=$B$3301,FU3526,IF($B$265=$B$3302,FW3526,IF($B$265=$B$3303,FY3526,IF($B$265=$B$3304,GA3526,IF($B$265=$B$3305,GC3526,IF($B$265=$B$3306,GE3526,IF($B$265=$B$3307,GG3526,IF($B$265=$B$3308,GI3526,IF($B$265=$B$3309,GK3526,IF($B$265=$B$3310,GM3526,IF($B$265=$B$3311,GO3526,IF($B$265=$B$3312,GQ3526,IF($B$265=$B$3313,GS3526,IF($B$265=$B$3314,GU3526,IF($B$265=$B$3315,GW3526,IF($B$265=$B$3316,GY3526,IF($B$265=$B$3317,HA3526,IF($B$265=$B$3318,HC3526,IF($B$265=$B$3319,HE3526,IF($B$265=$B$3320,HG3526,IF($B$265=$B$3321,HI3526,IF($B$265=$B$3322,HK3526,IF($B$265=$B$3323,HM3526,IF($B$265=$B$3324,HO3526,IF($B$265=$B$3325,HQ3526,IF($B$265=$B$3326,HS3526,IF($B$265=$B$3327,HU3526,IF($B$265=$B$3328,HW3526,IF($B$265=$B$3329,HY3526,""))))))))))))))))))))))))))))))))))))))))))))))))))))</f>
        <v/>
      </c>
      <c r="EB3526" s="459" t="s">
        <v>885</v>
      </c>
    </row>
    <row r="3527" spans="1:132" ht="16" hidden="1" x14ac:dyDescent="0.4">
      <c r="A3527" s="813"/>
      <c r="BB3527" s="48"/>
      <c r="BS3527" s="464" t="str">
        <f>IF($B$265=B$3278,BZ3526,IF($B$265=B$3279,CA3526,IF($B$265=B$3280,CB3526,IF($B$265=B$3281,CC3526,IF($B$265=B$3282,CD3526,IF($B$265=B$3283,CE3526,IF($B$265=B$3284,CF3526,IF($B$265=B$3285,CG3526,IF($B$265=B$3286,CH3526,IF($B$265=B$3287,CI3526,IF($B$265=B$3288,CJ3526,IF($B$265=B$3289,CK3526,IF($B$265=B$3290,CL3526,IF($B$265=B$3291,CM3526,IF($B$265=B$3292,CN3526,IF($B$265=B$3293,D2878,IF($B$265=B$3294,CO3526,IF($B$265=B$3295,CP3526,IF($B$265=B$3296,CQ3526,IF($B$265=B$3297,CR3526,IF($B$265=B$3298,CS3526,IF($B$265=B$3299,CT3526,IF(B$265=B$3300,CU3526,IF($B$265=B$3301,CV3526,IF($B$265=B$3302,CW3526,IF($B$265=B$3303,CX3526,IF($B$265=B$3304,CY3526,IF($B$265=B$3305,CZ3526,IF($B$265=B$3306,DA3526,IF($B$265=B$3307,DB3526,IF($B$265=B$3308,DC3526,IF($B$265=B$3309,DD3526,IF($B$265=B$3310,DE3526,IF($B$265=B$3311,DF3526,IF($B$265=B$3312,DG3526,IF($B$265=B$3313,DH3526,IF($B$265=B$3314,DI3526,IF($B$265=B$3315,DJ3526,IF($B$265=B$3316,DK3526,IF($B$265=B$3317,DL3526,IF($B$265=B$3318,DM3526,IF($B$265=B$3319,DN3526,IF($B$265=B$3320,DO3526,IF($B$265=B$3321,DP3526,IF($B$265=B$3322,DQ3526,IF($B$265=B$3323,DR3526,IF($B$265=B$3324,DS3526,IF($B$265=B$3325,DT3526,IF($B$265=B$3326,DU3526,IF($B$265=B$3327,DV3526,IF($B$265=B$3328,DW3526,IF($B$265=B$3329,DX3526,""))))))))))))))))))))))))))))))))))))))))))))))))))))</f>
        <v/>
      </c>
      <c r="BZ3527" s="245" t="s">
        <v>885</v>
      </c>
      <c r="CA3527" s="245" t="s">
        <v>885</v>
      </c>
      <c r="CC3527" s="245" t="s">
        <v>885</v>
      </c>
      <c r="CD3527" s="459" t="s">
        <v>885</v>
      </c>
      <c r="CE3527" s="459" t="s">
        <v>885</v>
      </c>
      <c r="CF3527" s="245" t="s">
        <v>885</v>
      </c>
      <c r="CG3527" s="245" t="s">
        <v>885</v>
      </c>
      <c r="CH3527" s="245" t="s">
        <v>885</v>
      </c>
      <c r="CI3527" s="245" t="s">
        <v>885</v>
      </c>
      <c r="CJ3527" s="459" t="s">
        <v>885</v>
      </c>
      <c r="CK3527" s="459" t="s">
        <v>885</v>
      </c>
      <c r="CL3527" s="459" t="s">
        <v>885</v>
      </c>
      <c r="CM3527" s="459" t="s">
        <v>885</v>
      </c>
      <c r="CN3527" s="459" t="s">
        <v>885</v>
      </c>
      <c r="CO3527" s="459" t="s">
        <v>885</v>
      </c>
      <c r="CP3527" s="459" t="s">
        <v>885</v>
      </c>
      <c r="CQ3527" s="459" t="s">
        <v>885</v>
      </c>
      <c r="CR3527" s="459" t="s">
        <v>885</v>
      </c>
      <c r="CS3527" s="459" t="s">
        <v>885</v>
      </c>
      <c r="CT3527" s="245" t="s">
        <v>885</v>
      </c>
      <c r="CU3527" s="463" t="s">
        <v>885</v>
      </c>
      <c r="CV3527" s="245" t="s">
        <v>885</v>
      </c>
      <c r="CW3527" s="245" t="s">
        <v>885</v>
      </c>
      <c r="CX3527" s="459" t="s">
        <v>885</v>
      </c>
      <c r="CY3527" s="459" t="s">
        <v>885</v>
      </c>
      <c r="CZ3527" s="459" t="s">
        <v>885</v>
      </c>
      <c r="DA3527" s="459" t="s">
        <v>885</v>
      </c>
      <c r="DB3527" s="459" t="s">
        <v>885</v>
      </c>
      <c r="DC3527" s="459" t="s">
        <v>885</v>
      </c>
      <c r="DD3527" s="459" t="s">
        <v>885</v>
      </c>
      <c r="DE3527" s="459" t="s">
        <v>885</v>
      </c>
      <c r="DF3527" s="459" t="s">
        <v>885</v>
      </c>
      <c r="DG3527" s="459" t="s">
        <v>885</v>
      </c>
      <c r="DH3527" s="459" t="s">
        <v>885</v>
      </c>
      <c r="DI3527" s="459" t="s">
        <v>885</v>
      </c>
      <c r="DJ3527" s="459" t="s">
        <v>885</v>
      </c>
      <c r="DK3527" s="459" t="s">
        <v>885</v>
      </c>
      <c r="DL3527" s="459" t="s">
        <v>885</v>
      </c>
      <c r="DM3527" s="459" t="s">
        <v>885</v>
      </c>
      <c r="DN3527" s="459" t="s">
        <v>885</v>
      </c>
      <c r="DO3527" s="459" t="s">
        <v>885</v>
      </c>
      <c r="DP3527" t="s">
        <v>3072</v>
      </c>
      <c r="DQ3527" s="459" t="s">
        <v>885</v>
      </c>
      <c r="DR3527" s="459" t="s">
        <v>885</v>
      </c>
      <c r="DS3527" s="459" t="s">
        <v>885</v>
      </c>
      <c r="DT3527" s="459" t="s">
        <v>885</v>
      </c>
      <c r="DU3527" s="459" t="s">
        <v>885</v>
      </c>
      <c r="DV3527" s="459" t="s">
        <v>885</v>
      </c>
      <c r="DW3527" s="459" t="s">
        <v>885</v>
      </c>
      <c r="DX3527" s="245" t="s">
        <v>885</v>
      </c>
      <c r="DY3527" s="245"/>
      <c r="DZ3527" s="470" t="str">
        <f>IF($B$265=$B$3278,EB3527,IF($B$265=$B$3279,ED3527,IF($B$265=$B$3280,EF3527,IF($B$265=$B$3281,EH3527,IF($B$265=$B$3282,EJ3527,IF($B$265=$B$3283,EL3527,IF($B$265=$B$3284,EN3527,IF($B$265=$B$3285,EP3527,IF($B$265=$B$3286,ER3527,IF($B$265=$B$3287,ET3527,IF($B$265=$B$3288,EV3527,IF($B$265=$B$3289,EX3527,IF($B$265=$B$3290,EZ3527,IF($B$265=$B$3291,FB3527,IF($B$265=$B$3292,FD3527,IF($B$265=$B$3293,BU3527,IF($B$265=$B$3294,FF3527,IF($B$265=$B$3295,FH3527,IF($B$265=$B$3296,FJ3527,IF($B$265=$B$3297,FL3527,IF($B$265=$B$3298,FN3527,IF($B$265=$B$3299,FP3527,IF(BI$265=$B$3300,FR3527,IF($B$265=$B$3301,FT3527,IF($B$265=$B$3302,FV3527,IF($B$265=$B$3303,FX3527,IF($B$265=$B$3304,FZ3527,IF($B$265=$B$3305,GB3527,IF($B$265=$B$3306,GD3527,IF($B$265=$B$3307,GF3527,IF($B$265=$B$3308,GH3527,IF($B$265=$B$3309,GJ3527,IF($B$265=$B$3310,GL3527,IF($B$265=$B$3311,GN3527,IF($B$265=$B$3312,GP3527,IF($B$265=$B$3313,GR3527,IF($B$265=$B$3314,GT3527,IF($B$265=$B$3315,GV3527,IF($B$265=$B$3316,GX3527,IF($B$265=$B$3317,GZ3527,IF($B$265=$B$3318,HB3527,IF($B$265=$B$3319,HD3527,IF($B$265=$B$3320,HF3527,IF($B$265=$B$3321,HH3527,IF($B$265=$B$3322,HJ3527,IF($B$265=$B$3323,HL3527,IF($B$265=$B$3324,HN3527,IF($B$265=$B$3325,HP3527,IF($B$265=$B$3326,HR3527,IF($B$265=$B$3327,HT3527,IF($B$265=$B$3328,HV3527,IF($B$265=$B$3329,HX3527,""))))))))))))))))))))))))))))))))))))))))))))))))))))</f>
        <v/>
      </c>
      <c r="EA3527" s="470" t="str">
        <f>IF($B$265=$B$3278,EC3527,IF($B$265=$B$3279,EE3527,IF($B$265=$B$3280,EG3527,IF($B$265=$B$3281,EI3527,IF($B$265=$B$3282,EK3527,IF($B$265=$B$3283,EM3527,IF($B$265=$B$3284,EO3527,IF($B$265=$B$3285,EQ3527,IF($B$265=$B$3286,ES3527,IF($B$265=$B$3287,EU3527,IF($B$265=$B$3288,EW3527,IF($B$265=$B$3289,EY3527,IF($B$265=$B$3290,FA3527,IF($B$265=$B$3291,FC3527,IF($B$265=$B$3292,FE3527,IF($B$265=$B$3293,BK3527,IF($B$265=$B$3294,FG3527,IF($B$265=$B$3295,FI3527,IF($B$265=$B$3296,FK3527,IF($B$265=$B$3297,FM3527,IF($B$265=$B$3298,FO3527,IF($B$265=$B$3299,FQ3527,IF(BJ$265=$B$3300,FS3527,IF($B$265=$B$3301,FU3527,IF($B$265=$B$3302,FW3527,IF($B$265=$B$3303,FY3527,IF($B$265=$B$3304,GA3527,IF($B$265=$B$3305,GC3527,IF($B$265=$B$3306,GE3527,IF($B$265=$B$3307,GG3527,IF($B$265=$B$3308,GI3527,IF($B$265=$B$3309,GK3527,IF($B$265=$B$3310,GM3527,IF($B$265=$B$3311,GO3527,IF($B$265=$B$3312,GQ3527,IF($B$265=$B$3313,GS3527,IF($B$265=$B$3314,GU3527,IF($B$265=$B$3315,GW3527,IF($B$265=$B$3316,GY3527,IF($B$265=$B$3317,HA3527,IF($B$265=$B$3318,HC3527,IF($B$265=$B$3319,HE3527,IF($B$265=$B$3320,HG3527,IF($B$265=$B$3321,HI3527,IF($B$265=$B$3322,HK3527,IF($B$265=$B$3323,HM3527,IF($B$265=$B$3324,HO3527,IF($B$265=$B$3325,HQ3527,IF($B$265=$B$3326,HS3527,IF($B$265=$B$3327,HU3527,IF($B$265=$B$3328,HW3527,IF($B$265=$B$3329,HY3527,""))))))))))))))))))))))))))))))))))))))))))))))))))))</f>
        <v/>
      </c>
      <c r="EB3527" s="459" t="s">
        <v>885</v>
      </c>
    </row>
    <row r="3528" spans="1:132" ht="16" hidden="1" x14ac:dyDescent="0.4">
      <c r="A3528" s="813"/>
      <c r="BB3528" s="48"/>
      <c r="BS3528" s="464" t="str">
        <f>IF($B$265=B$3278,BZ3527,IF($B$265=B$3279,CA3527,IF($B$265=B$3280,CB3527,IF($B$265=B$3281,CC3527,IF($B$265=B$3282,CD3527,IF($B$265=B$3283,CE3527,IF($B$265=B$3284,CF3527,IF($B$265=B$3285,CG3527,IF($B$265=B$3286,CH3527,IF($B$265=B$3287,CI3527,IF($B$265=B$3288,CJ3527,IF($B$265=B$3289,CK3527,IF($B$265=B$3290,CL3527,IF($B$265=B$3291,CM3527,IF($B$265=B$3292,CN3527,IF($B$265=B$3293,D2879,IF($B$265=B$3294,CO3527,IF($B$265=B$3295,CP3527,IF($B$265=B$3296,CQ3527,IF($B$265=B$3297,CR3527,IF($B$265=B$3298,CS3527,IF($B$265=B$3299,CT3527,IF(B$265=B$3300,CU3527,IF($B$265=B$3301,CV3527,IF($B$265=B$3302,CW3527,IF($B$265=B$3303,CX3527,IF($B$265=B$3304,CY3527,IF($B$265=B$3305,CZ3527,IF($B$265=B$3306,DA3527,IF($B$265=B$3307,DB3527,IF($B$265=B$3308,DC3527,IF($B$265=B$3309,DD3527,IF($B$265=B$3310,DE3527,IF($B$265=B$3311,DF3527,IF($B$265=B$3312,DG3527,IF($B$265=B$3313,DH3527,IF($B$265=B$3314,DI3527,IF($B$265=B$3315,DJ3527,IF($B$265=B$3316,DK3527,IF($B$265=B$3317,DL3527,IF($B$265=B$3318,DM3527,IF($B$265=B$3319,DN3527,IF($B$265=B$3320,DO3527,IF($B$265=B$3321,DP3527,IF($B$265=B$3322,DQ3527,IF($B$265=B$3323,DR3527,IF($B$265=B$3324,DS3527,IF($B$265=B$3325,DT3527,IF($B$265=B$3326,DU3527,IF($B$265=B$3327,DV3527,IF($B$265=B$3328,DW3527,IF($B$265=B$3329,DX3527,""))))))))))))))))))))))))))))))))))))))))))))))))))))</f>
        <v/>
      </c>
      <c r="BZ3528" s="245" t="s">
        <v>885</v>
      </c>
      <c r="CA3528" s="245" t="s">
        <v>885</v>
      </c>
      <c r="CC3528" s="245" t="s">
        <v>885</v>
      </c>
      <c r="CD3528" s="459" t="s">
        <v>885</v>
      </c>
      <c r="CE3528" s="459" t="s">
        <v>885</v>
      </c>
      <c r="CF3528" s="245" t="s">
        <v>885</v>
      </c>
      <c r="CG3528" s="245" t="s">
        <v>885</v>
      </c>
      <c r="CH3528" s="245" t="s">
        <v>885</v>
      </c>
      <c r="CI3528" s="245" t="s">
        <v>885</v>
      </c>
      <c r="CJ3528" s="459" t="s">
        <v>885</v>
      </c>
      <c r="CK3528" s="459" t="s">
        <v>885</v>
      </c>
      <c r="CL3528" s="459" t="s">
        <v>885</v>
      </c>
      <c r="CM3528" s="459" t="s">
        <v>885</v>
      </c>
      <c r="CN3528" s="459" t="s">
        <v>885</v>
      </c>
      <c r="CO3528" s="459" t="s">
        <v>885</v>
      </c>
      <c r="CP3528" s="459" t="s">
        <v>885</v>
      </c>
      <c r="CQ3528" s="459" t="s">
        <v>885</v>
      </c>
      <c r="CR3528" s="459" t="s">
        <v>885</v>
      </c>
      <c r="CS3528" s="459" t="s">
        <v>885</v>
      </c>
      <c r="CT3528" s="245" t="s">
        <v>885</v>
      </c>
      <c r="CU3528" s="463" t="s">
        <v>885</v>
      </c>
      <c r="CV3528" s="245" t="s">
        <v>885</v>
      </c>
      <c r="CW3528" s="245" t="s">
        <v>885</v>
      </c>
      <c r="CX3528" s="459" t="s">
        <v>885</v>
      </c>
      <c r="CY3528" s="459" t="s">
        <v>885</v>
      </c>
      <c r="CZ3528" s="459" t="s">
        <v>885</v>
      </c>
      <c r="DA3528" s="459" t="s">
        <v>885</v>
      </c>
      <c r="DB3528" s="459" t="s">
        <v>885</v>
      </c>
      <c r="DC3528" s="459" t="s">
        <v>885</v>
      </c>
      <c r="DD3528" s="459" t="s">
        <v>885</v>
      </c>
      <c r="DE3528" s="459" t="s">
        <v>885</v>
      </c>
      <c r="DF3528" s="459" t="s">
        <v>885</v>
      </c>
      <c r="DG3528" s="459" t="s">
        <v>885</v>
      </c>
      <c r="DH3528" s="459" t="s">
        <v>885</v>
      </c>
      <c r="DI3528" s="459" t="s">
        <v>885</v>
      </c>
      <c r="DJ3528" s="459" t="s">
        <v>885</v>
      </c>
      <c r="DK3528" s="459" t="s">
        <v>885</v>
      </c>
      <c r="DL3528" s="459" t="s">
        <v>885</v>
      </c>
      <c r="DM3528" s="459" t="s">
        <v>885</v>
      </c>
      <c r="DN3528" s="459" t="s">
        <v>885</v>
      </c>
      <c r="DO3528" s="459" t="s">
        <v>885</v>
      </c>
      <c r="DP3528" t="s">
        <v>1634</v>
      </c>
      <c r="DQ3528" s="459" t="s">
        <v>885</v>
      </c>
      <c r="DR3528" s="459" t="s">
        <v>885</v>
      </c>
      <c r="DS3528" s="459" t="s">
        <v>885</v>
      </c>
      <c r="DT3528" s="459" t="s">
        <v>885</v>
      </c>
      <c r="DU3528" s="459" t="s">
        <v>885</v>
      </c>
      <c r="DV3528" s="459" t="s">
        <v>885</v>
      </c>
      <c r="DW3528" s="459" t="s">
        <v>885</v>
      </c>
      <c r="DX3528" s="245" t="s">
        <v>885</v>
      </c>
      <c r="DY3528" s="245"/>
      <c r="DZ3528" s="470" t="str">
        <f>IF($B$265=$B$3278,EB3528,IF($B$265=$B$3279,ED3528,IF($B$265=$B$3280,EF3528,IF($B$265=$B$3281,EH3528,IF($B$265=$B$3282,EJ3528,IF($B$265=$B$3283,EL3528,IF($B$265=$B$3284,EN3528,IF($B$265=$B$3285,EP3528,IF($B$265=$B$3286,ER3528,IF($B$265=$B$3287,ET3528,IF($B$265=$B$3288,EV3528,IF($B$265=$B$3289,EX3528,IF($B$265=$B$3290,EZ3528,IF($B$265=$B$3291,FB3528,IF($B$265=$B$3292,FD3528,IF($B$265=$B$3293,BU3528,IF($B$265=$B$3294,FF3528,IF($B$265=$B$3295,FH3528,IF($B$265=$B$3296,FJ3528,IF($B$265=$B$3297,FL3528,IF($B$265=$B$3298,FN3528,IF($B$265=$B$3299,FP3528,IF(BI$265=$B$3300,FR3528,IF($B$265=$B$3301,FT3528,IF($B$265=$B$3302,FV3528,IF($B$265=$B$3303,FX3528,IF($B$265=$B$3304,FZ3528,IF($B$265=$B$3305,GB3528,IF($B$265=$B$3306,GD3528,IF($B$265=$B$3307,GF3528,IF($B$265=$B$3308,GH3528,IF($B$265=$B$3309,GJ3528,IF($B$265=$B$3310,GL3528,IF($B$265=$B$3311,GN3528,IF($B$265=$B$3312,GP3528,IF($B$265=$B$3313,GR3528,IF($B$265=$B$3314,GT3528,IF($B$265=$B$3315,GV3528,IF($B$265=$B$3316,GX3528,IF($B$265=$B$3317,GZ3528,IF($B$265=$B$3318,HB3528,IF($B$265=$B$3319,HD3528,IF($B$265=$B$3320,HF3528,IF($B$265=$B$3321,HH3528,IF($B$265=$B$3322,HJ3528,IF($B$265=$B$3323,HL3528,IF($B$265=$B$3324,HN3528,IF($B$265=$B$3325,HP3528,IF($B$265=$B$3326,HR3528,IF($B$265=$B$3327,HT3528,IF($B$265=$B$3328,HV3528,IF($B$265=$B$3329,HX3528,""))))))))))))))))))))))))))))))))))))))))))))))))))))</f>
        <v/>
      </c>
      <c r="EA3528" s="470" t="str">
        <f>IF($B$265=$B$3278,EC3528,IF($B$265=$B$3279,EE3528,IF($B$265=$B$3280,EG3528,IF($B$265=$B$3281,EI3528,IF($B$265=$B$3282,EK3528,IF($B$265=$B$3283,EM3528,IF($B$265=$B$3284,EO3528,IF($B$265=$B$3285,EQ3528,IF($B$265=$B$3286,ES3528,IF($B$265=$B$3287,EU3528,IF($B$265=$B$3288,EW3528,IF($B$265=$B$3289,EY3528,IF($B$265=$B$3290,FA3528,IF($B$265=$B$3291,FC3528,IF($B$265=$B$3292,FE3528,IF($B$265=$B$3293,BK3528,IF($B$265=$B$3294,FG3528,IF($B$265=$B$3295,FI3528,IF($B$265=$B$3296,FK3528,IF($B$265=$B$3297,FM3528,IF($B$265=$B$3298,FO3528,IF($B$265=$B$3299,FQ3528,IF(BJ$265=$B$3300,FS3528,IF($B$265=$B$3301,FU3528,IF($B$265=$B$3302,FW3528,IF($B$265=$B$3303,FY3528,IF($B$265=$B$3304,GA3528,IF($B$265=$B$3305,GC3528,IF($B$265=$B$3306,GE3528,IF($B$265=$B$3307,GG3528,IF($B$265=$B$3308,GI3528,IF($B$265=$B$3309,GK3528,IF($B$265=$B$3310,GM3528,IF($B$265=$B$3311,GO3528,IF($B$265=$B$3312,GQ3528,IF($B$265=$B$3313,GS3528,IF($B$265=$B$3314,GU3528,IF($B$265=$B$3315,GW3528,IF($B$265=$B$3316,GY3528,IF($B$265=$B$3317,HA3528,IF($B$265=$B$3318,HC3528,IF($B$265=$B$3319,HE3528,IF($B$265=$B$3320,HG3528,IF($B$265=$B$3321,HI3528,IF($B$265=$B$3322,HK3528,IF($B$265=$B$3323,HM3528,IF($B$265=$B$3324,HO3528,IF($B$265=$B$3325,HQ3528,IF($B$265=$B$3326,HS3528,IF($B$265=$B$3327,HU3528,IF($B$265=$B$3328,HW3528,IF($B$265=$B$3329,HY3528,""))))))))))))))))))))))))))))))))))))))))))))))))))))</f>
        <v/>
      </c>
      <c r="EB3528" s="459" t="s">
        <v>885</v>
      </c>
    </row>
    <row r="3529" spans="1:132" ht="16" hidden="1" x14ac:dyDescent="0.4">
      <c r="A3529" s="813"/>
      <c r="BS3529" s="464" t="str">
        <f>IF($B$265=B$3278,BZ3528,IF($B$265=B$3279,CA3528,IF($B$265=B$3280,CB3528,IF($B$265=B$3281,CC3528,IF($B$265=B$3282,CD3528,IF($B$265=B$3283,CE3528,IF($B$265=B$3284,CF3528,IF($B$265=B$3285,CG3528,IF($B$265=B$3286,CH3528,IF($B$265=B$3287,CI3528,IF($B$265=B$3288,CJ3528,IF($B$265=B$3289,CK3528,IF($B$265=B$3290,CL3528,IF($B$265=B$3291,CM3528,IF($B$265=B$3292,CN3528,IF($B$265=B$3293,D2880,IF($B$265=B$3294,CO3528,IF($B$265=B$3295,CP3528,IF($B$265=B$3296,CQ3528,IF($B$265=B$3297,CR3528,IF($B$265=B$3298,CS3528,IF($B$265=B$3299,CT3528,IF(B$265=B$3300,CU3528,IF($B$265=B$3301,CV3528,IF($B$265=B$3302,CW3528,IF($B$265=B$3303,CX3528,IF($B$265=B$3304,CY3528,IF($B$265=B$3305,CZ3528,IF($B$265=B$3306,DA3528,IF($B$265=B$3307,DB3528,IF($B$265=B$3308,DC3528,IF($B$265=B$3309,DD3528,IF($B$265=B$3310,DE3528,IF($B$265=B$3311,DF3528,IF($B$265=B$3312,DG3528,IF($B$265=B$3313,DH3528,IF($B$265=B$3314,DI3528,IF($B$265=B$3315,DJ3528,IF($B$265=B$3316,DK3528,IF($B$265=B$3317,DL3528,IF($B$265=B$3318,DM3528,IF($B$265=B$3319,DN3528,IF($B$265=B$3320,DO3528,IF($B$265=B$3321,DP3528,IF($B$265=B$3322,DQ3528,IF($B$265=B$3323,DR3528,IF($B$265=B$3324,DS3528,IF($B$265=B$3325,DT3528,IF($B$265=B$3326,DU3528,IF($B$265=B$3327,DV3528,IF($B$265=B$3328,DW3528,IF($B$265=B$3329,DX3528,""))))))))))))))))))))))))))))))))))))))))))))))))))))</f>
        <v/>
      </c>
      <c r="BZ3529" s="245" t="s">
        <v>885</v>
      </c>
      <c r="CA3529" s="245" t="s">
        <v>885</v>
      </c>
      <c r="CC3529" s="245" t="s">
        <v>885</v>
      </c>
      <c r="CD3529" s="459" t="s">
        <v>885</v>
      </c>
      <c r="CE3529" s="459" t="s">
        <v>885</v>
      </c>
      <c r="CF3529" s="245" t="s">
        <v>885</v>
      </c>
      <c r="CG3529" s="245" t="s">
        <v>885</v>
      </c>
      <c r="CH3529" s="245" t="s">
        <v>885</v>
      </c>
      <c r="CI3529" s="245" t="s">
        <v>885</v>
      </c>
      <c r="CJ3529" s="459" t="s">
        <v>885</v>
      </c>
      <c r="CK3529" s="459" t="s">
        <v>885</v>
      </c>
      <c r="CL3529" s="459" t="s">
        <v>885</v>
      </c>
      <c r="CM3529" s="459" t="s">
        <v>885</v>
      </c>
      <c r="CN3529" s="459" t="s">
        <v>885</v>
      </c>
      <c r="CO3529" s="459" t="s">
        <v>885</v>
      </c>
      <c r="CP3529" s="459" t="s">
        <v>885</v>
      </c>
      <c r="CQ3529" s="459" t="s">
        <v>885</v>
      </c>
      <c r="CR3529" s="459" t="s">
        <v>885</v>
      </c>
      <c r="CS3529" s="459" t="s">
        <v>885</v>
      </c>
      <c r="CT3529" s="245" t="s">
        <v>885</v>
      </c>
      <c r="CU3529" s="463" t="s">
        <v>885</v>
      </c>
      <c r="CV3529" s="245" t="s">
        <v>885</v>
      </c>
      <c r="CW3529" s="245" t="s">
        <v>885</v>
      </c>
      <c r="CX3529" s="459" t="s">
        <v>885</v>
      </c>
      <c r="CY3529" s="459" t="s">
        <v>885</v>
      </c>
      <c r="CZ3529" s="459" t="s">
        <v>885</v>
      </c>
      <c r="DA3529" s="459" t="s">
        <v>885</v>
      </c>
      <c r="DB3529" s="459" t="s">
        <v>885</v>
      </c>
      <c r="DC3529" s="459" t="s">
        <v>885</v>
      </c>
      <c r="DD3529" s="459" t="s">
        <v>885</v>
      </c>
      <c r="DE3529" s="459" t="s">
        <v>885</v>
      </c>
      <c r="DF3529" s="459" t="s">
        <v>885</v>
      </c>
      <c r="DG3529" s="459" t="s">
        <v>885</v>
      </c>
      <c r="DH3529" s="459" t="s">
        <v>885</v>
      </c>
      <c r="DI3529" s="459" t="s">
        <v>885</v>
      </c>
      <c r="DJ3529" s="459" t="s">
        <v>885</v>
      </c>
      <c r="DK3529" s="459" t="s">
        <v>885</v>
      </c>
      <c r="DL3529" s="459" t="s">
        <v>885</v>
      </c>
      <c r="DM3529" s="459" t="s">
        <v>885</v>
      </c>
      <c r="DN3529" s="459" t="s">
        <v>885</v>
      </c>
      <c r="DO3529" s="459" t="s">
        <v>885</v>
      </c>
      <c r="DP3529" t="s">
        <v>3073</v>
      </c>
      <c r="DQ3529" s="459" t="s">
        <v>885</v>
      </c>
      <c r="DR3529" s="459" t="s">
        <v>885</v>
      </c>
      <c r="DS3529" s="459" t="s">
        <v>885</v>
      </c>
      <c r="DT3529" s="459" t="s">
        <v>885</v>
      </c>
      <c r="DU3529" s="459" t="s">
        <v>885</v>
      </c>
      <c r="DV3529" s="459" t="s">
        <v>885</v>
      </c>
      <c r="DW3529" s="459" t="s">
        <v>885</v>
      </c>
      <c r="DX3529" s="245" t="s">
        <v>885</v>
      </c>
      <c r="DY3529" s="245"/>
      <c r="DZ3529" s="470" t="str">
        <f>IF($B$265=$B$3278,EB3529,IF($B$265=$B$3279,ED3529,IF($B$265=$B$3280,EF3529,IF($B$265=$B$3281,EH3529,IF($B$265=$B$3282,EJ3529,IF($B$265=$B$3283,EL3529,IF($B$265=$B$3284,EN3529,IF($B$265=$B$3285,EP3529,IF($B$265=$B$3286,ER3529,IF($B$265=$B$3287,ET3529,IF($B$265=$B$3288,EV3529,IF($B$265=$B$3289,EX3529,IF($B$265=$B$3290,EZ3529,IF($B$265=$B$3291,FB3529,IF($B$265=$B$3292,FD3529,IF($B$265=$B$3293,BU3529,IF($B$265=$B$3294,FF3529,IF($B$265=$B$3295,FH3529,IF($B$265=$B$3296,FJ3529,IF($B$265=$B$3297,FL3529,IF($B$265=$B$3298,FN3529,IF($B$265=$B$3299,FP3529,IF(BI$265=$B$3300,FR3529,IF($B$265=$B$3301,FT3529,IF($B$265=$B$3302,FV3529,IF($B$265=$B$3303,FX3529,IF($B$265=$B$3304,FZ3529,IF($B$265=$B$3305,GB3529,IF($B$265=$B$3306,GD3529,IF($B$265=$B$3307,GF3529,IF($B$265=$B$3308,GH3529,IF($B$265=$B$3309,GJ3529,IF($B$265=$B$3310,GL3529,IF($B$265=$B$3311,GN3529,IF($B$265=$B$3312,GP3529,IF($B$265=$B$3313,GR3529,IF($B$265=$B$3314,GT3529,IF($B$265=$B$3315,GV3529,IF($B$265=$B$3316,GX3529,IF($B$265=$B$3317,GZ3529,IF($B$265=$B$3318,HB3529,IF($B$265=$B$3319,HD3529,IF($B$265=$B$3320,HF3529,IF($B$265=$B$3321,HH3529,IF($B$265=$B$3322,HJ3529,IF($B$265=$B$3323,HL3529,IF($B$265=$B$3324,HN3529,IF($B$265=$B$3325,HP3529,IF($B$265=$B$3326,HR3529,IF($B$265=$B$3327,HT3529,IF($B$265=$B$3328,HV3529,IF($B$265=$B$3329,HX3529,""))))))))))))))))))))))))))))))))))))))))))))))))))))</f>
        <v/>
      </c>
      <c r="EA3529" s="470" t="str">
        <f>IF($B$265=$B$3278,EC3529,IF($B$265=$B$3279,EE3529,IF($B$265=$B$3280,EG3529,IF($B$265=$B$3281,EI3529,IF($B$265=$B$3282,EK3529,IF($B$265=$B$3283,EM3529,IF($B$265=$B$3284,EO3529,IF($B$265=$B$3285,EQ3529,IF($B$265=$B$3286,ES3529,IF($B$265=$B$3287,EU3529,IF($B$265=$B$3288,EW3529,IF($B$265=$B$3289,EY3529,IF($B$265=$B$3290,FA3529,IF($B$265=$B$3291,FC3529,IF($B$265=$B$3292,FE3529,IF($B$265=$B$3293,BK3529,IF($B$265=$B$3294,FG3529,IF($B$265=$B$3295,FI3529,IF($B$265=$B$3296,FK3529,IF($B$265=$B$3297,FM3529,IF($B$265=$B$3298,FO3529,IF($B$265=$B$3299,FQ3529,IF(BJ$265=$B$3300,FS3529,IF($B$265=$B$3301,FU3529,IF($B$265=$B$3302,FW3529,IF($B$265=$B$3303,FY3529,IF($B$265=$B$3304,GA3529,IF($B$265=$B$3305,GC3529,IF($B$265=$B$3306,GE3529,IF($B$265=$B$3307,GG3529,IF($B$265=$B$3308,GI3529,IF($B$265=$B$3309,GK3529,IF($B$265=$B$3310,GM3529,IF($B$265=$B$3311,GO3529,IF($B$265=$B$3312,GQ3529,IF($B$265=$B$3313,GS3529,IF($B$265=$B$3314,GU3529,IF($B$265=$B$3315,GW3529,IF($B$265=$B$3316,GY3529,IF($B$265=$B$3317,HA3529,IF($B$265=$B$3318,HC3529,IF($B$265=$B$3319,HE3529,IF($B$265=$B$3320,HG3529,IF($B$265=$B$3321,HI3529,IF($B$265=$B$3322,HK3529,IF($B$265=$B$3323,HM3529,IF($B$265=$B$3324,HO3529,IF($B$265=$B$3325,HQ3529,IF($B$265=$B$3326,HS3529,IF($B$265=$B$3327,HU3529,IF($B$265=$B$3328,HW3529,IF($B$265=$B$3329,HY3529,""))))))))))))))))))))))))))))))))))))))))))))))))))))</f>
        <v/>
      </c>
      <c r="EB3529" s="459" t="s">
        <v>885</v>
      </c>
    </row>
    <row r="3530" spans="1:132" ht="16" hidden="1" x14ac:dyDescent="0.4">
      <c r="A3530" s="813"/>
      <c r="BS3530" s="464" t="str">
        <f>IF($B$265=B$3278,BZ3529,IF($B$265=B$3279,CA3529,IF($B$265=B$3280,CB3529,IF($B$265=B$3281,CC3529,IF($B$265=B$3282,CD3529,IF($B$265=B$3283,CE3529,IF($B$265=B$3284,CF3529,IF($B$265=B$3285,CG3529,IF($B$265=B$3286,CH3529,IF($B$265=B$3287,CI3529,IF($B$265=B$3288,CJ3529,IF($B$265=B$3289,CK3529,IF($B$265=B$3290,CL3529,IF($B$265=B$3291,CM3529,IF($B$265=B$3292,CN3529,IF($B$265=B$3293,C3529,IF($B$265=B$3294,CO3529,IF($B$265=B$3295,CP3529,IF($B$265=B$3296,CQ3529,IF($B$265=B$3297,CR3529,IF($B$265=B$3298,CS3529,IF($B$265=B$3299,CT3529,IF(B$265=B$3300,CU3529,IF($B$265=B$3301,CV3529,IF($B$265=B$3302,CW3529,IF($B$265=B$3303,CX3529,IF($B$265=B$3304,CY3529,IF($B$265=B$3305,CZ3529,IF($B$265=B$3306,DA3529,IF($B$265=B$3307,DB3529,IF($B$265=B$3308,DC3529,IF($B$265=B$3309,DD3529,IF($B$265=B$3310,DE3529,IF($B$265=B$3311,DF3529,IF($B$265=B$3312,DG3529,IF($B$265=B$3313,DH3529,IF($B$265=B$3314,DI3529,IF($B$265=B$3315,DJ3529,IF($B$265=B$3316,DK3529,IF($B$265=B$3317,DL3529,IF($B$265=B$3318,DM3529,IF($B$265=B$3319,DN3529,IF($B$265=B$3320,DO3529,IF($B$265=B$3321,DP3529,IF($B$265=B$3322,DQ3529,IF($B$265=B$3323,DR3529,IF($B$265=B$3324,DS3529,IF($B$265=B$3325,DT3529,IF($B$265=B$3326,DU3529,IF($B$265=B$3327,DV3529,IF($B$265=B$3328,DW3529,IF($B$265=B$3329,DX3529,""))))))))))))))))))))))))))))))))))))))))))))))))))))</f>
        <v/>
      </c>
      <c r="BZ3530" s="245" t="s">
        <v>885</v>
      </c>
      <c r="CA3530" s="245" t="s">
        <v>885</v>
      </c>
      <c r="CC3530" s="245" t="s">
        <v>885</v>
      </c>
      <c r="CD3530" s="459" t="s">
        <v>885</v>
      </c>
      <c r="CE3530" s="459" t="s">
        <v>885</v>
      </c>
      <c r="CF3530" s="245" t="s">
        <v>885</v>
      </c>
      <c r="CG3530" s="245" t="s">
        <v>885</v>
      </c>
      <c r="CH3530" s="245" t="s">
        <v>885</v>
      </c>
      <c r="CI3530" s="245" t="s">
        <v>885</v>
      </c>
      <c r="CJ3530" s="459" t="s">
        <v>885</v>
      </c>
      <c r="CK3530" s="459" t="s">
        <v>885</v>
      </c>
      <c r="CL3530" s="459" t="s">
        <v>885</v>
      </c>
      <c r="CM3530" s="459" t="s">
        <v>885</v>
      </c>
      <c r="CN3530" s="459" t="s">
        <v>885</v>
      </c>
      <c r="CO3530" s="459" t="s">
        <v>885</v>
      </c>
      <c r="CP3530" s="459" t="s">
        <v>885</v>
      </c>
      <c r="CQ3530" s="459" t="s">
        <v>885</v>
      </c>
      <c r="CR3530" s="459" t="s">
        <v>885</v>
      </c>
      <c r="CS3530" s="459" t="s">
        <v>885</v>
      </c>
      <c r="CT3530" s="245" t="s">
        <v>885</v>
      </c>
      <c r="CU3530" s="463" t="s">
        <v>885</v>
      </c>
      <c r="CV3530" s="245" t="s">
        <v>885</v>
      </c>
      <c r="CW3530" s="245" t="s">
        <v>885</v>
      </c>
      <c r="CX3530" s="459" t="s">
        <v>885</v>
      </c>
      <c r="CY3530" s="459" t="s">
        <v>885</v>
      </c>
      <c r="CZ3530" s="459" t="s">
        <v>885</v>
      </c>
      <c r="DA3530" s="459" t="s">
        <v>885</v>
      </c>
      <c r="DB3530" s="459" t="s">
        <v>885</v>
      </c>
      <c r="DC3530" s="459" t="s">
        <v>885</v>
      </c>
      <c r="DD3530" s="459" t="s">
        <v>885</v>
      </c>
      <c r="DE3530" s="459" t="s">
        <v>885</v>
      </c>
      <c r="DF3530" s="459" t="s">
        <v>885</v>
      </c>
      <c r="DG3530" s="459" t="s">
        <v>885</v>
      </c>
      <c r="DH3530" s="459" t="s">
        <v>885</v>
      </c>
      <c r="DI3530" s="459" t="s">
        <v>885</v>
      </c>
      <c r="DJ3530" s="459" t="s">
        <v>885</v>
      </c>
      <c r="DK3530" s="459" t="s">
        <v>885</v>
      </c>
      <c r="DL3530" s="459" t="s">
        <v>885</v>
      </c>
      <c r="DM3530" s="459" t="s">
        <v>885</v>
      </c>
      <c r="DN3530" s="459" t="s">
        <v>885</v>
      </c>
      <c r="DO3530" s="459" t="s">
        <v>885</v>
      </c>
      <c r="DP3530" t="s">
        <v>3074</v>
      </c>
      <c r="DQ3530" s="459" t="s">
        <v>885</v>
      </c>
      <c r="DR3530" s="459" t="s">
        <v>885</v>
      </c>
      <c r="DS3530" s="459" t="s">
        <v>885</v>
      </c>
      <c r="DT3530" s="459" t="s">
        <v>885</v>
      </c>
      <c r="DU3530" s="459" t="s">
        <v>885</v>
      </c>
      <c r="DV3530" s="459" t="s">
        <v>885</v>
      </c>
      <c r="DW3530" s="459" t="s">
        <v>885</v>
      </c>
      <c r="DX3530" s="245" t="s">
        <v>885</v>
      </c>
      <c r="DY3530" s="245"/>
      <c r="DZ3530" s="470" t="str">
        <f>IF($B$265=$B$3278,EB3530,IF($B$265=$B$3279,ED3530,IF($B$265=$B$3280,EF3530,IF($B$265=$B$3281,EH3530,IF($B$265=$B$3282,EJ3530,IF($B$265=$B$3283,EL3530,IF($B$265=$B$3284,EN3530,IF($B$265=$B$3285,EP3530,IF($B$265=$B$3286,ER3530,IF($B$265=$B$3287,ET3530,IF($B$265=$B$3288,EV3530,IF($B$265=$B$3289,EX3530,IF($B$265=$B$3290,EZ3530,IF($B$265=$B$3291,FB3530,IF($B$265=$B$3292,FD3530,IF($B$265=$B$3293,BU3530,IF($B$265=$B$3294,FF3530,IF($B$265=$B$3295,FH3530,IF($B$265=$B$3296,FJ3530,IF($B$265=$B$3297,FL3530,IF($B$265=$B$3298,FN3530,IF($B$265=$B$3299,FP3530,IF(BI$265=$B$3300,FR3530,IF($B$265=$B$3301,FT3530,IF($B$265=$B$3302,FV3530,IF($B$265=$B$3303,FX3530,IF($B$265=$B$3304,FZ3530,IF($B$265=$B$3305,GB3530,IF($B$265=$B$3306,GD3530,IF($B$265=$B$3307,GF3530,IF($B$265=$B$3308,GH3530,IF($B$265=$B$3309,GJ3530,IF($B$265=$B$3310,GL3530,IF($B$265=$B$3311,GN3530,IF($B$265=$B$3312,GP3530,IF($B$265=$B$3313,GR3530,IF($B$265=$B$3314,GT3530,IF($B$265=$B$3315,GV3530,IF($B$265=$B$3316,GX3530,IF($B$265=$B$3317,GZ3530,IF($B$265=$B$3318,HB3530,IF($B$265=$B$3319,HD3530,IF($B$265=$B$3320,HF3530,IF($B$265=$B$3321,HH3530,IF($B$265=$B$3322,HJ3530,IF($B$265=$B$3323,HL3530,IF($B$265=$B$3324,HN3530,IF($B$265=$B$3325,HP3530,IF($B$265=$B$3326,HR3530,IF($B$265=$B$3327,HT3530,IF($B$265=$B$3328,HV3530,IF($B$265=$B$3329,HX3530,""))))))))))))))))))))))))))))))))))))))))))))))))))))</f>
        <v/>
      </c>
      <c r="EA3530" s="470" t="str">
        <f>IF($B$265=$B$3278,EC3530,IF($B$265=$B$3279,EE3530,IF($B$265=$B$3280,EG3530,IF($B$265=$B$3281,EI3530,IF($B$265=$B$3282,EK3530,IF($B$265=$B$3283,EM3530,IF($B$265=$B$3284,EO3530,IF($B$265=$B$3285,EQ3530,IF($B$265=$B$3286,ES3530,IF($B$265=$B$3287,EU3530,IF($B$265=$B$3288,EW3530,IF($B$265=$B$3289,EY3530,IF($B$265=$B$3290,FA3530,IF($B$265=$B$3291,FC3530,IF($B$265=$B$3292,FE3530,IF($B$265=$B$3293,BK3530,IF($B$265=$B$3294,FG3530,IF($B$265=$B$3295,FI3530,IF($B$265=$B$3296,FK3530,IF($B$265=$B$3297,FM3530,IF($B$265=$B$3298,FO3530,IF($B$265=$B$3299,FQ3530,IF(BJ$265=$B$3300,FS3530,IF($B$265=$B$3301,FU3530,IF($B$265=$B$3302,FW3530,IF($B$265=$B$3303,FY3530,IF($B$265=$B$3304,GA3530,IF($B$265=$B$3305,GC3530,IF($B$265=$B$3306,GE3530,IF($B$265=$B$3307,GG3530,IF($B$265=$B$3308,GI3530,IF($B$265=$B$3309,GK3530,IF($B$265=$B$3310,GM3530,IF($B$265=$B$3311,GO3530,IF($B$265=$B$3312,GQ3530,IF($B$265=$B$3313,GS3530,IF($B$265=$B$3314,GU3530,IF($B$265=$B$3315,GW3530,IF($B$265=$B$3316,GY3530,IF($B$265=$B$3317,HA3530,IF($B$265=$B$3318,HC3530,IF($B$265=$B$3319,HE3530,IF($B$265=$B$3320,HG3530,IF($B$265=$B$3321,HI3530,IF($B$265=$B$3322,HK3530,IF($B$265=$B$3323,HM3530,IF($B$265=$B$3324,HO3530,IF($B$265=$B$3325,HQ3530,IF($B$265=$B$3326,HS3530,IF($B$265=$B$3327,HU3530,IF($B$265=$B$3328,HW3530,IF($B$265=$B$3329,HY3530,""))))))))))))))))))))))))))))))))))))))))))))))))))))</f>
        <v/>
      </c>
      <c r="EB3530" s="459" t="s">
        <v>885</v>
      </c>
    </row>
    <row r="3531" spans="1:132" ht="16" hidden="1" x14ac:dyDescent="0.4">
      <c r="A3531" s="813"/>
      <c r="BS3531" s="464" t="str">
        <f>IF($B$265=B$3278,BZ3530,IF($B$265=B$3279,CA3530,IF($B$265=B$3280,CB3530,IF($B$265=B$3281,CC3530,IF($B$265=B$3282,CD3530,IF($B$265=B$3283,CE3530,IF($B$265=B$3284,CF3530,IF($B$265=B$3285,CG3530,IF($B$265=B$3286,CH3530,IF($B$265=B$3287,CI3530,IF($B$265=B$3288,CJ3530,IF($B$265=B$3289,CK3530,IF($B$265=B$3290,CL3530,IF($B$265=B$3291,CM3530,IF($B$265=B$3292,CN3530,IF($B$265=B$3293,C3530,IF($B$265=B$3294,CO3530,IF($B$265=B$3295,CP3530,IF($B$265=B$3296,CQ3530,IF($B$265=B$3297,CR3530,IF($B$265=B$3298,CS3530,IF($B$265=B$3299,CT3530,IF(B$265=B$3300,CU3530,IF($B$265=B$3301,CV3530,IF($B$265=B$3302,CW3530,IF($B$265=B$3303,CX3530,IF($B$265=B$3304,CY3530,IF($B$265=B$3305,CZ3530,IF($B$265=B$3306,DA3530,IF($B$265=B$3307,DB3530,IF($B$265=B$3308,DC3530,IF($B$265=B$3309,DD3530,IF($B$265=B$3310,DE3530,IF($B$265=B$3311,DF3530,IF($B$265=B$3312,DG3530,IF($B$265=B$3313,DH3530,IF($B$265=B$3314,DI3530,IF($B$265=B$3315,DJ3530,IF($B$265=B$3316,DK3530,IF($B$265=B$3317,DL3530,IF($B$265=B$3318,DM3530,IF($B$265=B$3319,DN3530,IF($B$265=B$3320,DO3530,IF($B$265=B$3321,DP3530,IF($B$265=B$3322,DQ3530,IF($B$265=B$3323,DR3530,IF($B$265=B$3324,DS3530,IF($B$265=B$3325,DT3530,IF($B$265=B$3326,DU3530,IF($B$265=B$3327,DV3530,IF($B$265=B$3328,DW3530,IF($B$265=B$3329,DX3530,""))))))))))))))))))))))))))))))))))))))))))))))))))))</f>
        <v/>
      </c>
      <c r="BZ3531" s="245" t="s">
        <v>885</v>
      </c>
      <c r="CA3531" s="245" t="s">
        <v>885</v>
      </c>
      <c r="CC3531" s="245" t="s">
        <v>885</v>
      </c>
      <c r="CD3531" s="459" t="s">
        <v>885</v>
      </c>
      <c r="CE3531" s="459" t="s">
        <v>885</v>
      </c>
      <c r="CF3531" s="245" t="s">
        <v>885</v>
      </c>
      <c r="CG3531" s="245" t="s">
        <v>885</v>
      </c>
      <c r="CH3531" s="245" t="s">
        <v>885</v>
      </c>
      <c r="CI3531" s="245" t="s">
        <v>885</v>
      </c>
      <c r="CJ3531" s="459" t="s">
        <v>885</v>
      </c>
      <c r="CK3531" s="459" t="s">
        <v>885</v>
      </c>
      <c r="CL3531" s="459" t="s">
        <v>885</v>
      </c>
      <c r="CM3531" s="459" t="s">
        <v>885</v>
      </c>
      <c r="CN3531" s="459" t="s">
        <v>885</v>
      </c>
      <c r="CO3531" s="459" t="s">
        <v>885</v>
      </c>
      <c r="CP3531" s="459" t="s">
        <v>885</v>
      </c>
      <c r="CQ3531" s="459" t="s">
        <v>885</v>
      </c>
      <c r="CR3531" s="459" t="s">
        <v>885</v>
      </c>
      <c r="CS3531" s="459" t="s">
        <v>885</v>
      </c>
      <c r="CT3531" s="245" t="s">
        <v>885</v>
      </c>
      <c r="CU3531" s="463" t="s">
        <v>885</v>
      </c>
      <c r="CV3531" s="245" t="s">
        <v>885</v>
      </c>
      <c r="CW3531" s="245" t="s">
        <v>885</v>
      </c>
      <c r="CX3531" s="459" t="s">
        <v>885</v>
      </c>
      <c r="CY3531" s="459" t="s">
        <v>885</v>
      </c>
      <c r="CZ3531" s="459" t="s">
        <v>885</v>
      </c>
      <c r="DA3531" s="459" t="s">
        <v>885</v>
      </c>
      <c r="DB3531" s="459" t="s">
        <v>885</v>
      </c>
      <c r="DC3531" s="459" t="s">
        <v>885</v>
      </c>
      <c r="DD3531" s="459" t="s">
        <v>885</v>
      </c>
      <c r="DE3531" s="459" t="s">
        <v>885</v>
      </c>
      <c r="DF3531" s="459" t="s">
        <v>885</v>
      </c>
      <c r="DG3531" s="459" t="s">
        <v>885</v>
      </c>
      <c r="DH3531" s="459" t="s">
        <v>885</v>
      </c>
      <c r="DI3531" s="459" t="s">
        <v>885</v>
      </c>
      <c r="DJ3531" s="459" t="s">
        <v>885</v>
      </c>
      <c r="DK3531" s="459" t="s">
        <v>885</v>
      </c>
      <c r="DL3531" s="459" t="s">
        <v>885</v>
      </c>
      <c r="DM3531" s="459" t="s">
        <v>885</v>
      </c>
      <c r="DN3531" s="459" t="s">
        <v>885</v>
      </c>
      <c r="DO3531" s="459" t="s">
        <v>885</v>
      </c>
      <c r="DP3531" t="s">
        <v>3075</v>
      </c>
      <c r="DQ3531" s="459" t="s">
        <v>885</v>
      </c>
      <c r="DR3531" s="459" t="s">
        <v>885</v>
      </c>
      <c r="DS3531" s="459" t="s">
        <v>885</v>
      </c>
      <c r="DT3531" s="459" t="s">
        <v>885</v>
      </c>
      <c r="DU3531" s="459" t="s">
        <v>885</v>
      </c>
      <c r="DV3531" s="459" t="s">
        <v>885</v>
      </c>
      <c r="DW3531" s="459" t="s">
        <v>885</v>
      </c>
      <c r="DX3531" s="245" t="s">
        <v>885</v>
      </c>
      <c r="DY3531" s="245"/>
      <c r="DZ3531" s="470" t="str">
        <f>IF($B$265=$B$3278,EB3531,IF($B$265=$B$3279,ED3531,IF($B$265=$B$3280,EF3531,IF($B$265=$B$3281,EH3531,IF($B$265=$B$3282,EJ3531,IF($B$265=$B$3283,EL3531,IF($B$265=$B$3284,EN3531,IF($B$265=$B$3285,EP3531,IF($B$265=$B$3286,ER3531,IF($B$265=$B$3287,ET3531,IF($B$265=$B$3288,EV3531,IF($B$265=$B$3289,EX3531,IF($B$265=$B$3290,EZ3531,IF($B$265=$B$3291,FB3531,IF($B$265=$B$3292,FD3531,IF($B$265=$B$3293,BU3531,IF($B$265=$B$3294,FF3531,IF($B$265=$B$3295,FH3531,IF($B$265=$B$3296,FJ3531,IF($B$265=$B$3297,FL3531,IF($B$265=$B$3298,FN3531,IF($B$265=$B$3299,FP3531,IF(BI$265=$B$3300,FR3531,IF($B$265=$B$3301,FT3531,IF($B$265=$B$3302,FV3531,IF($B$265=$B$3303,FX3531,IF($B$265=$B$3304,FZ3531,IF($B$265=$B$3305,GB3531,IF($B$265=$B$3306,GD3531,IF($B$265=$B$3307,GF3531,IF($B$265=$B$3308,GH3531,IF($B$265=$B$3309,GJ3531,IF($B$265=$B$3310,GL3531,IF($B$265=$B$3311,GN3531,IF($B$265=$B$3312,GP3531,IF($B$265=$B$3313,GR3531,IF($B$265=$B$3314,GT3531,IF($B$265=$B$3315,GV3531,IF($B$265=$B$3316,GX3531,IF($B$265=$B$3317,GZ3531,IF($B$265=$B$3318,HB3531,IF($B$265=$B$3319,HD3531,IF($B$265=$B$3320,HF3531,IF($B$265=$B$3321,HH3531,IF($B$265=$B$3322,HJ3531,IF($B$265=$B$3323,HL3531,IF($B$265=$B$3324,HN3531,IF($B$265=$B$3325,HP3531,IF($B$265=$B$3326,HR3531,IF($B$265=$B$3327,HT3531,IF($B$265=$B$3328,HV3531,IF($B$265=$B$3329,HX3531,""))))))))))))))))))))))))))))))))))))))))))))))))))))</f>
        <v/>
      </c>
      <c r="EA3531" s="470" t="str">
        <f>IF($B$265=$B$3278,EC3531,IF($B$265=$B$3279,EE3531,IF($B$265=$B$3280,EG3531,IF($B$265=$B$3281,EI3531,IF($B$265=$B$3282,EK3531,IF($B$265=$B$3283,EM3531,IF($B$265=$B$3284,EO3531,IF($B$265=$B$3285,EQ3531,IF($B$265=$B$3286,ES3531,IF($B$265=$B$3287,EU3531,IF($B$265=$B$3288,EW3531,IF($B$265=$B$3289,EY3531,IF($B$265=$B$3290,FA3531,IF($B$265=$B$3291,FC3531,IF($B$265=$B$3292,FE3531,IF($B$265=$B$3293,BK3531,IF($B$265=$B$3294,FG3531,IF($B$265=$B$3295,FI3531,IF($B$265=$B$3296,FK3531,IF($B$265=$B$3297,FM3531,IF($B$265=$B$3298,FO3531,IF($B$265=$B$3299,FQ3531,IF(BJ$265=$B$3300,FS3531,IF($B$265=$B$3301,FU3531,IF($B$265=$B$3302,FW3531,IF($B$265=$B$3303,FY3531,IF($B$265=$B$3304,GA3531,IF($B$265=$B$3305,GC3531,IF($B$265=$B$3306,GE3531,IF($B$265=$B$3307,GG3531,IF($B$265=$B$3308,GI3531,IF($B$265=$B$3309,GK3531,IF($B$265=$B$3310,GM3531,IF($B$265=$B$3311,GO3531,IF($B$265=$B$3312,GQ3531,IF($B$265=$B$3313,GS3531,IF($B$265=$B$3314,GU3531,IF($B$265=$B$3315,GW3531,IF($B$265=$B$3316,GY3531,IF($B$265=$B$3317,HA3531,IF($B$265=$B$3318,HC3531,IF($B$265=$B$3319,HE3531,IF($B$265=$B$3320,HG3531,IF($B$265=$B$3321,HI3531,IF($B$265=$B$3322,HK3531,IF($B$265=$B$3323,HM3531,IF($B$265=$B$3324,HO3531,IF($B$265=$B$3325,HQ3531,IF($B$265=$B$3326,HS3531,IF($B$265=$B$3327,HU3531,IF($B$265=$B$3328,HW3531,IF($B$265=$B$3329,HY3531,""))))))))))))))))))))))))))))))))))))))))))))))))))))</f>
        <v/>
      </c>
      <c r="EB3531" s="459" t="s">
        <v>885</v>
      </c>
    </row>
    <row r="3532" spans="1:132" ht="16" hidden="1" x14ac:dyDescent="0.4">
      <c r="A3532" s="813"/>
      <c r="BS3532" s="464" t="str">
        <f>IF($B$265=B$3278,BZ3531,IF($B$265=B$3279,CA3531,IF($B$265=B$3280,CB3531,IF($B$265=B$3281,CC3531,IF($B$265=B$3282,CD3531,IF($B$265=B$3283,CE3531,IF($B$265=B$3284,CF3531,IF($B$265=B$3285,CG3531,IF($B$265=B$3286,CH3531,IF($B$265=B$3287,CI3531,IF($B$265=B$3288,CJ3531,IF($B$265=B$3289,CK3531,IF($B$265=B$3290,CL3531,IF($B$265=B$3291,CM3531,IF($B$265=B$3292,CN3531,IF($B$265=B$3293,C3531,IF($B$265=B$3294,CO3531,IF($B$265=B$3295,CP3531,IF($B$265=B$3296,CQ3531,IF($B$265=B$3297,CR3531,IF($B$265=B$3298,CS3531,IF($B$265=B$3299,CT3531,IF(B$265=B$3300,CU3531,IF($B$265=B$3301,CV3531,IF($B$265=B$3302,CW3531,IF($B$265=B$3303,CX3531,IF($B$265=B$3304,CY3531,IF($B$265=B$3305,CZ3531,IF($B$265=B$3306,DA3531,IF($B$265=B$3307,DB3531,IF($B$265=B$3308,DC3531,IF($B$265=B$3309,DD3531,IF($B$265=B$3310,DE3531,IF($B$265=B$3311,DF3531,IF($B$265=B$3312,DG3531,IF($B$265=B$3313,DH3531,IF($B$265=B$3314,DI3531,IF($B$265=B$3315,DJ3531,IF($B$265=B$3316,DK3531,IF($B$265=B$3317,DL3531,IF($B$265=B$3318,DM3531,IF($B$265=B$3319,DN3531,IF($B$265=B$3320,DO3531,IF($B$265=B$3321,DP3531,IF($B$265=B$3322,DQ3531,IF($B$265=B$3323,DR3531,IF($B$265=B$3324,DS3531,IF($B$265=B$3325,DT3531,IF($B$265=B$3326,DU3531,IF($B$265=B$3327,DV3531,IF($B$265=B$3328,DW3531,IF($B$265=B$3329,DX3531,""))))))))))))))))))))))))))))))))))))))))))))))))))))</f>
        <v/>
      </c>
      <c r="BZ3532" s="245" t="s">
        <v>885</v>
      </c>
      <c r="CA3532" s="245" t="s">
        <v>885</v>
      </c>
      <c r="CC3532" s="245" t="s">
        <v>885</v>
      </c>
      <c r="CD3532" s="459" t="s">
        <v>885</v>
      </c>
      <c r="CE3532" s="459" t="s">
        <v>885</v>
      </c>
      <c r="CF3532" s="245" t="s">
        <v>885</v>
      </c>
      <c r="CG3532" s="245" t="s">
        <v>885</v>
      </c>
      <c r="CH3532" s="245" t="s">
        <v>885</v>
      </c>
      <c r="CI3532" s="245" t="s">
        <v>885</v>
      </c>
      <c r="CJ3532" s="459" t="s">
        <v>885</v>
      </c>
      <c r="CK3532" s="459" t="s">
        <v>885</v>
      </c>
      <c r="CL3532" s="459" t="s">
        <v>885</v>
      </c>
      <c r="CM3532" s="459" t="s">
        <v>885</v>
      </c>
      <c r="CN3532" s="459" t="s">
        <v>885</v>
      </c>
      <c r="CO3532" s="459" t="s">
        <v>885</v>
      </c>
      <c r="CP3532" s="459" t="s">
        <v>885</v>
      </c>
      <c r="CQ3532" s="459" t="s">
        <v>885</v>
      </c>
      <c r="CR3532" s="459" t="s">
        <v>885</v>
      </c>
      <c r="CS3532" s="459" t="s">
        <v>885</v>
      </c>
      <c r="CT3532" s="245" t="s">
        <v>885</v>
      </c>
      <c r="CU3532" s="463" t="s">
        <v>885</v>
      </c>
      <c r="CV3532" s="245" t="s">
        <v>885</v>
      </c>
      <c r="CW3532" s="245" t="s">
        <v>885</v>
      </c>
      <c r="CX3532" s="459" t="s">
        <v>885</v>
      </c>
      <c r="CY3532" s="459" t="s">
        <v>885</v>
      </c>
      <c r="CZ3532" s="459" t="s">
        <v>885</v>
      </c>
      <c r="DA3532" s="459" t="s">
        <v>885</v>
      </c>
      <c r="DB3532" s="459" t="s">
        <v>885</v>
      </c>
      <c r="DC3532" s="459" t="s">
        <v>885</v>
      </c>
      <c r="DD3532" s="459" t="s">
        <v>885</v>
      </c>
      <c r="DE3532" s="459" t="s">
        <v>885</v>
      </c>
      <c r="DF3532" s="459" t="s">
        <v>885</v>
      </c>
      <c r="DG3532" s="459" t="s">
        <v>885</v>
      </c>
      <c r="DH3532" s="459" t="s">
        <v>885</v>
      </c>
      <c r="DI3532" s="459" t="s">
        <v>885</v>
      </c>
      <c r="DJ3532" s="459" t="s">
        <v>885</v>
      </c>
      <c r="DK3532" s="459" t="s">
        <v>885</v>
      </c>
      <c r="DL3532" s="459" t="s">
        <v>885</v>
      </c>
      <c r="DM3532" s="459" t="s">
        <v>885</v>
      </c>
      <c r="DN3532" s="459" t="s">
        <v>885</v>
      </c>
      <c r="DO3532" s="459" t="s">
        <v>885</v>
      </c>
      <c r="DP3532" t="s">
        <v>3076</v>
      </c>
      <c r="DQ3532" s="459" t="s">
        <v>885</v>
      </c>
      <c r="DR3532" s="459" t="s">
        <v>885</v>
      </c>
      <c r="DS3532" s="459" t="s">
        <v>885</v>
      </c>
      <c r="DT3532" s="459" t="s">
        <v>885</v>
      </c>
      <c r="DU3532" s="459" t="s">
        <v>885</v>
      </c>
      <c r="DV3532" s="459" t="s">
        <v>885</v>
      </c>
      <c r="DW3532" s="459" t="s">
        <v>885</v>
      </c>
      <c r="DX3532" s="245" t="s">
        <v>885</v>
      </c>
      <c r="DY3532" s="245"/>
      <c r="DZ3532" s="470" t="str">
        <f>IF($B$265=$B$3278,EB3532,IF($B$265=$B$3279,ED3532,IF($B$265=$B$3280,EF3532,IF($B$265=$B$3281,EH3532,IF($B$265=$B$3282,EJ3532,IF($B$265=$B$3283,EL3532,IF($B$265=$B$3284,EN3532,IF($B$265=$B$3285,EP3532,IF($B$265=$B$3286,ER3532,IF($B$265=$B$3287,ET3532,IF($B$265=$B$3288,EV3532,IF($B$265=$B$3289,EX3532,IF($B$265=$B$3290,EZ3532,IF($B$265=$B$3291,FB3532,IF($B$265=$B$3292,FD3532,IF($B$265=$B$3293,BU3532,IF($B$265=$B$3294,FF3532,IF($B$265=$B$3295,FH3532,IF($B$265=$B$3296,FJ3532,IF($B$265=$B$3297,FL3532,IF($B$265=$B$3298,FN3532,IF($B$265=$B$3299,FP3532,IF(BI$265=$B$3300,FR3532,IF($B$265=$B$3301,FT3532,IF($B$265=$B$3302,FV3532,IF($B$265=$B$3303,FX3532,IF($B$265=$B$3304,FZ3532,IF($B$265=$B$3305,GB3532,IF($B$265=$B$3306,GD3532,IF($B$265=$B$3307,GF3532,IF($B$265=$B$3308,GH3532,IF($B$265=$B$3309,GJ3532,IF($B$265=$B$3310,GL3532,IF($B$265=$B$3311,GN3532,IF($B$265=$B$3312,GP3532,IF($B$265=$B$3313,GR3532,IF($B$265=$B$3314,GT3532,IF($B$265=$B$3315,GV3532,IF($B$265=$B$3316,GX3532,IF($B$265=$B$3317,GZ3532,IF($B$265=$B$3318,HB3532,IF($B$265=$B$3319,HD3532,IF($B$265=$B$3320,HF3532,IF($B$265=$B$3321,HH3532,IF($B$265=$B$3322,HJ3532,IF($B$265=$B$3323,HL3532,IF($B$265=$B$3324,HN3532,IF($B$265=$B$3325,HP3532,IF($B$265=$B$3326,HR3532,IF($B$265=$B$3327,HT3532,IF($B$265=$B$3328,HV3532,IF($B$265=$B$3329,HX3532,""))))))))))))))))))))))))))))))))))))))))))))))))))))</f>
        <v/>
      </c>
      <c r="EA3532" s="470" t="str">
        <f>IF($B$265=$B$3278,EC3532,IF($B$265=$B$3279,EE3532,IF($B$265=$B$3280,EG3532,IF($B$265=$B$3281,EI3532,IF($B$265=$B$3282,EK3532,IF($B$265=$B$3283,EM3532,IF($B$265=$B$3284,EO3532,IF($B$265=$B$3285,EQ3532,IF($B$265=$B$3286,ES3532,IF($B$265=$B$3287,EU3532,IF($B$265=$B$3288,EW3532,IF($B$265=$B$3289,EY3532,IF($B$265=$B$3290,FA3532,IF($B$265=$B$3291,FC3532,IF($B$265=$B$3292,FE3532,IF($B$265=$B$3293,BK3532,IF($B$265=$B$3294,FG3532,IF($B$265=$B$3295,FI3532,IF($B$265=$B$3296,FK3532,IF($B$265=$B$3297,FM3532,IF($B$265=$B$3298,FO3532,IF($B$265=$B$3299,FQ3532,IF(BJ$265=$B$3300,FS3532,IF($B$265=$B$3301,FU3532,IF($B$265=$B$3302,FW3532,IF($B$265=$B$3303,FY3532,IF($B$265=$B$3304,GA3532,IF($B$265=$B$3305,GC3532,IF($B$265=$B$3306,GE3532,IF($B$265=$B$3307,GG3532,IF($B$265=$B$3308,GI3532,IF($B$265=$B$3309,GK3532,IF($B$265=$B$3310,GM3532,IF($B$265=$B$3311,GO3532,IF($B$265=$B$3312,GQ3532,IF($B$265=$B$3313,GS3532,IF($B$265=$B$3314,GU3532,IF($B$265=$B$3315,GW3532,IF($B$265=$B$3316,GY3532,IF($B$265=$B$3317,HA3532,IF($B$265=$B$3318,HC3532,IF($B$265=$B$3319,HE3532,IF($B$265=$B$3320,HG3532,IF($B$265=$B$3321,HI3532,IF($B$265=$B$3322,HK3532,IF($B$265=$B$3323,HM3532,IF($B$265=$B$3324,HO3532,IF($B$265=$B$3325,HQ3532,IF($B$265=$B$3326,HS3532,IF($B$265=$B$3327,HU3532,IF($B$265=$B$3328,HW3532,IF($B$265=$B$3329,HY3532,""))))))))))))))))))))))))))))))))))))))))))))))))))))</f>
        <v/>
      </c>
      <c r="EB3532" s="459" t="s">
        <v>885</v>
      </c>
    </row>
    <row r="3533" spans="1:132" ht="16" hidden="1" x14ac:dyDescent="0.4">
      <c r="A3533" s="813"/>
      <c r="BS3533" s="464" t="str">
        <f>IF($B$265=B$3278,BZ3532,IF($B$265=B$3279,CA3532,IF($B$265=B$3280,CB3532,IF($B$265=B$3281,CC3532,IF($B$265=B$3282,CD3532,IF($B$265=B$3283,CE3532,IF($B$265=B$3284,CF3532,IF($B$265=B$3285,CG3532,IF($B$265=B$3286,CH3532,IF($B$265=B$3287,CI3532,IF($B$265=B$3288,CJ3532,IF($B$265=B$3289,CK3532,IF($B$265=B$3290,CL3532,IF($B$265=B$3291,CM3532,IF($B$265=B$3292,CN3532,IF($B$265=B$3293,#REF!,IF($B$265=B$3294,CO3532,IF($B$265=B$3295,CP3532,IF($B$265=B$3296,CQ3532,IF($B$265=B$3297,CR3532,IF($B$265=B$3298,CS3532,IF($B$265=B$3299,CT3532,IF(B$265=B$3300,CU3532,IF($B$265=B$3301,CV3532,IF($B$265=B$3302,CW3532,IF($B$265=B$3303,CX3532,IF($B$265=B$3304,CY3532,IF($B$265=B$3305,CZ3532,IF($B$265=B$3306,DA3532,IF($B$265=B$3307,DB3532,IF($B$265=B$3308,DC3532,IF($B$265=B$3309,DD3532,IF($B$265=B$3310,DE3532,IF($B$265=B$3311,DF3532,IF($B$265=B$3312,DG3532,IF($B$265=B$3313,DH3532,IF($B$265=B$3314,DI3532,IF($B$265=B$3315,DJ3532,IF($B$265=B$3316,DK3532,IF($B$265=B$3317,DL3532,IF($B$265=B$3318,DM3532,IF($B$265=B$3319,DN3532,IF($B$265=B$3320,DO3532,IF($B$265=B$3321,DP3532,IF($B$265=B$3322,DQ3532,IF($B$265=B$3323,DR3532,IF($B$265=B$3324,DS3532,IF($B$265=B$3325,DT3532,IF($B$265=B$3326,DU3532,IF($B$265=B$3327,DV3532,IF($B$265=B$3328,DW3532,IF($B$265=B$3329,DX3532,""))))))))))))))))))))))))))))))))))))))))))))))))))))</f>
        <v/>
      </c>
      <c r="BZ3533" s="245" t="s">
        <v>885</v>
      </c>
      <c r="CA3533" s="245" t="s">
        <v>885</v>
      </c>
      <c r="CC3533" s="245" t="s">
        <v>885</v>
      </c>
      <c r="CD3533" s="459" t="s">
        <v>885</v>
      </c>
      <c r="CE3533" s="459" t="s">
        <v>885</v>
      </c>
      <c r="CF3533" s="245" t="s">
        <v>885</v>
      </c>
      <c r="CG3533" s="245" t="s">
        <v>885</v>
      </c>
      <c r="CH3533" s="245" t="s">
        <v>885</v>
      </c>
      <c r="CI3533" s="245" t="s">
        <v>885</v>
      </c>
      <c r="CJ3533" s="459" t="s">
        <v>885</v>
      </c>
      <c r="CK3533" s="459" t="s">
        <v>885</v>
      </c>
      <c r="CL3533" s="459" t="s">
        <v>885</v>
      </c>
      <c r="CM3533" s="459" t="s">
        <v>885</v>
      </c>
      <c r="CN3533" s="459" t="s">
        <v>885</v>
      </c>
      <c r="CO3533" s="459" t="s">
        <v>885</v>
      </c>
      <c r="CP3533" s="459" t="s">
        <v>885</v>
      </c>
      <c r="CQ3533" s="459" t="s">
        <v>885</v>
      </c>
      <c r="CR3533" s="459" t="s">
        <v>885</v>
      </c>
      <c r="CS3533" s="459" t="s">
        <v>885</v>
      </c>
      <c r="CT3533" s="245" t="s">
        <v>885</v>
      </c>
      <c r="CU3533" s="463" t="s">
        <v>885</v>
      </c>
      <c r="CV3533" s="245" t="s">
        <v>885</v>
      </c>
      <c r="CW3533" s="245" t="s">
        <v>885</v>
      </c>
      <c r="CX3533" s="459" t="s">
        <v>885</v>
      </c>
      <c r="CY3533" s="459" t="s">
        <v>885</v>
      </c>
      <c r="CZ3533" s="459" t="s">
        <v>885</v>
      </c>
      <c r="DA3533" s="459" t="s">
        <v>885</v>
      </c>
      <c r="DB3533" s="459" t="s">
        <v>885</v>
      </c>
      <c r="DC3533" s="459" t="s">
        <v>885</v>
      </c>
      <c r="DD3533" s="459" t="s">
        <v>885</v>
      </c>
      <c r="DE3533" s="459" t="s">
        <v>885</v>
      </c>
      <c r="DF3533" s="459" t="s">
        <v>885</v>
      </c>
      <c r="DG3533" s="459" t="s">
        <v>885</v>
      </c>
      <c r="DH3533" s="459" t="s">
        <v>885</v>
      </c>
      <c r="DI3533" s="459" t="s">
        <v>885</v>
      </c>
      <c r="DJ3533" s="459" t="s">
        <v>885</v>
      </c>
      <c r="DK3533" s="459" t="s">
        <v>885</v>
      </c>
      <c r="DL3533" s="459" t="s">
        <v>885</v>
      </c>
      <c r="DM3533" s="459" t="s">
        <v>885</v>
      </c>
      <c r="DN3533" s="459" t="s">
        <v>885</v>
      </c>
      <c r="DO3533" s="459" t="s">
        <v>885</v>
      </c>
      <c r="DP3533" t="s">
        <v>3077</v>
      </c>
      <c r="DQ3533" s="459" t="s">
        <v>885</v>
      </c>
      <c r="DR3533" s="459" t="s">
        <v>885</v>
      </c>
      <c r="DS3533" s="459" t="s">
        <v>885</v>
      </c>
      <c r="DT3533" s="459" t="s">
        <v>885</v>
      </c>
      <c r="DU3533" s="459" t="s">
        <v>885</v>
      </c>
      <c r="DV3533" s="459" t="s">
        <v>885</v>
      </c>
      <c r="DW3533" s="459" t="s">
        <v>885</v>
      </c>
      <c r="DX3533" s="245" t="s">
        <v>885</v>
      </c>
      <c r="DY3533" s="245"/>
      <c r="DZ3533" s="470" t="str">
        <f>IF($B$265=$B$3278,EB3533,IF($B$265=$B$3279,ED3533,IF($B$265=$B$3280,EF3533,IF($B$265=$B$3281,EH3533,IF($B$265=$B$3282,EJ3533,IF($B$265=$B$3283,EL3533,IF($B$265=$B$3284,EN3533,IF($B$265=$B$3285,EP3533,IF($B$265=$B$3286,ER3533,IF($B$265=$B$3287,ET3533,IF($B$265=$B$3288,EV3533,IF($B$265=$B$3289,EX3533,IF($B$265=$B$3290,EZ3533,IF($B$265=$B$3291,FB3533,IF($B$265=$B$3292,FD3533,IF($B$265=$B$3293,BU3533,IF($B$265=$B$3294,FF3533,IF($B$265=$B$3295,FH3533,IF($B$265=$B$3296,FJ3533,IF($B$265=$B$3297,FL3533,IF($B$265=$B$3298,FN3533,IF($B$265=$B$3299,FP3533,IF(BI$265=$B$3300,FR3533,IF($B$265=$B$3301,FT3533,IF($B$265=$B$3302,FV3533,IF($B$265=$B$3303,FX3533,IF($B$265=$B$3304,FZ3533,IF($B$265=$B$3305,GB3533,IF($B$265=$B$3306,GD3533,IF($B$265=$B$3307,GF3533,IF($B$265=$B$3308,GH3533,IF($B$265=$B$3309,GJ3533,IF($B$265=$B$3310,GL3533,IF($B$265=$B$3311,GN3533,IF($B$265=$B$3312,GP3533,IF($B$265=$B$3313,GR3533,IF($B$265=$B$3314,GT3533,IF($B$265=$B$3315,GV3533,IF($B$265=$B$3316,GX3533,IF($B$265=$B$3317,GZ3533,IF($B$265=$B$3318,HB3533,IF($B$265=$B$3319,HD3533,IF($B$265=$B$3320,HF3533,IF($B$265=$B$3321,HH3533,IF($B$265=$B$3322,HJ3533,IF($B$265=$B$3323,HL3533,IF($B$265=$B$3324,HN3533,IF($B$265=$B$3325,HP3533,IF($B$265=$B$3326,HR3533,IF($B$265=$B$3327,HT3533,IF($B$265=$B$3328,HV3533,IF($B$265=$B$3329,HX3533,""))))))))))))))))))))))))))))))))))))))))))))))))))))</f>
        <v/>
      </c>
      <c r="EA3533" s="470" t="str">
        <f>IF($B$265=$B$3278,EC3533,IF($B$265=$B$3279,EE3533,IF($B$265=$B$3280,EG3533,IF($B$265=$B$3281,EI3533,IF($B$265=$B$3282,EK3533,IF($B$265=$B$3283,EM3533,IF($B$265=$B$3284,EO3533,IF($B$265=$B$3285,EQ3533,IF($B$265=$B$3286,ES3533,IF($B$265=$B$3287,EU3533,IF($B$265=$B$3288,EW3533,IF($B$265=$B$3289,EY3533,IF($B$265=$B$3290,FA3533,IF($B$265=$B$3291,FC3533,IF($B$265=$B$3292,FE3533,IF($B$265=$B$3293,BK3533,IF($B$265=$B$3294,FG3533,IF($B$265=$B$3295,FI3533,IF($B$265=$B$3296,FK3533,IF($B$265=$B$3297,FM3533,IF($B$265=$B$3298,FO3533,IF($B$265=$B$3299,FQ3533,IF(BJ$265=$B$3300,FS3533,IF($B$265=$B$3301,FU3533,IF($B$265=$B$3302,FW3533,IF($B$265=$B$3303,FY3533,IF($B$265=$B$3304,GA3533,IF($B$265=$B$3305,GC3533,IF($B$265=$B$3306,GE3533,IF($B$265=$B$3307,GG3533,IF($B$265=$B$3308,GI3533,IF($B$265=$B$3309,GK3533,IF($B$265=$B$3310,GM3533,IF($B$265=$B$3311,GO3533,IF($B$265=$B$3312,GQ3533,IF($B$265=$B$3313,GS3533,IF($B$265=$B$3314,GU3533,IF($B$265=$B$3315,GW3533,IF($B$265=$B$3316,GY3533,IF($B$265=$B$3317,HA3533,IF($B$265=$B$3318,HC3533,IF($B$265=$B$3319,HE3533,IF($B$265=$B$3320,HG3533,IF($B$265=$B$3321,HI3533,IF($B$265=$B$3322,HK3533,IF($B$265=$B$3323,HM3533,IF($B$265=$B$3324,HO3533,IF($B$265=$B$3325,HQ3533,IF($B$265=$B$3326,HS3533,IF($B$265=$B$3327,HU3533,IF($B$265=$B$3328,HW3533,IF($B$265=$B$3329,HY3533,""))))))))))))))))))))))))))))))))))))))))))))))))))))</f>
        <v/>
      </c>
      <c r="EB3533" s="459" t="s">
        <v>885</v>
      </c>
    </row>
    <row r="3534" spans="1:132" ht="16" hidden="1" x14ac:dyDescent="0.4">
      <c r="A3534" s="813"/>
      <c r="BS3534" s="464" t="str">
        <f>IF($B$265=B$3278,BZ3533,IF($B$265=B$3279,CA3533,IF($B$265=B$3280,CB3533,IF($B$265=B$3281,CC3533,IF($B$265=B$3282,CD3533,IF($B$265=B$3283,CE3533,IF($B$265=B$3284,CF3533,IF($B$265=B$3285,CG3533,IF($B$265=B$3286,CH3533,IF($B$265=B$3287,CI3533,IF($B$265=B$3288,CJ3533,IF($B$265=B$3289,CK3533,IF($B$265=B$3290,CL3533,IF($B$265=B$3291,CM3533,IF($B$265=B$3292,CN3533,IF($B$265=B$3293,#REF!,IF($B$265=B$3294,CO3533,IF($B$265=B$3295,CP3533,IF($B$265=B$3296,CQ3533,IF($B$265=B$3297,CR3533,IF($B$265=B$3298,CS3533,IF($B$265=B$3299,CT3533,IF(B$265=B$3300,CU3533,IF($B$265=B$3301,CV3533,IF($B$265=B$3302,CW3533,IF($B$265=B$3303,CX3533,IF($B$265=B$3304,CY3533,IF($B$265=B$3305,CZ3533,IF($B$265=B$3306,DA3533,IF($B$265=B$3307,DB3533,IF($B$265=B$3308,DC3533,IF($B$265=B$3309,DD3533,IF($B$265=B$3310,DE3533,IF($B$265=B$3311,DF3533,IF($B$265=B$3312,DG3533,IF($B$265=B$3313,DH3533,IF($B$265=B$3314,DI3533,IF($B$265=B$3315,DJ3533,IF($B$265=B$3316,DK3533,IF($B$265=B$3317,DL3533,IF($B$265=B$3318,DM3533,IF($B$265=B$3319,DN3533,IF($B$265=B$3320,DO3533,IF($B$265=B$3321,DP3533,IF($B$265=B$3322,DQ3533,IF($B$265=B$3323,DR3533,IF($B$265=B$3324,DS3533,IF($B$265=B$3325,DT3533,IF($B$265=B$3326,DU3533,IF($B$265=B$3327,DV3533,IF($B$265=B$3328,DW3533,IF($B$265=B$3329,DX3533,""))))))))))))))))))))))))))))))))))))))))))))))))))))</f>
        <v/>
      </c>
      <c r="BZ3534" s="245" t="s">
        <v>885</v>
      </c>
      <c r="CA3534" s="245" t="s">
        <v>885</v>
      </c>
      <c r="CC3534" s="245" t="s">
        <v>885</v>
      </c>
      <c r="CD3534" s="459" t="s">
        <v>885</v>
      </c>
      <c r="CE3534" s="459" t="s">
        <v>885</v>
      </c>
      <c r="CF3534" s="245" t="s">
        <v>885</v>
      </c>
      <c r="CG3534" s="245" t="s">
        <v>885</v>
      </c>
      <c r="CH3534" s="245" t="s">
        <v>885</v>
      </c>
      <c r="CI3534" s="245" t="s">
        <v>885</v>
      </c>
      <c r="CJ3534" s="459" t="s">
        <v>885</v>
      </c>
      <c r="CK3534" s="459" t="s">
        <v>885</v>
      </c>
      <c r="CL3534" s="459" t="s">
        <v>885</v>
      </c>
      <c r="CM3534" s="459" t="s">
        <v>885</v>
      </c>
      <c r="CN3534" s="459" t="s">
        <v>885</v>
      </c>
      <c r="CO3534" s="459" t="s">
        <v>885</v>
      </c>
      <c r="CP3534" s="459" t="s">
        <v>885</v>
      </c>
      <c r="CQ3534" s="459" t="s">
        <v>885</v>
      </c>
      <c r="CR3534" s="459" t="s">
        <v>885</v>
      </c>
      <c r="CS3534" s="459" t="s">
        <v>885</v>
      </c>
      <c r="CT3534" s="245" t="s">
        <v>885</v>
      </c>
      <c r="CU3534" s="463" t="s">
        <v>885</v>
      </c>
      <c r="CV3534" s="245" t="s">
        <v>885</v>
      </c>
      <c r="CW3534" s="245" t="s">
        <v>885</v>
      </c>
      <c r="CX3534" s="459" t="s">
        <v>885</v>
      </c>
      <c r="CY3534" s="459" t="s">
        <v>885</v>
      </c>
      <c r="CZ3534" s="459" t="s">
        <v>885</v>
      </c>
      <c r="DA3534" s="459" t="s">
        <v>885</v>
      </c>
      <c r="DB3534" s="459" t="s">
        <v>885</v>
      </c>
      <c r="DC3534" s="459" t="s">
        <v>885</v>
      </c>
      <c r="DD3534" s="459" t="s">
        <v>885</v>
      </c>
      <c r="DE3534" s="459" t="s">
        <v>885</v>
      </c>
      <c r="DF3534" s="459" t="s">
        <v>885</v>
      </c>
      <c r="DG3534" s="459" t="s">
        <v>885</v>
      </c>
      <c r="DH3534" s="459" t="s">
        <v>885</v>
      </c>
      <c r="DI3534" s="459" t="s">
        <v>885</v>
      </c>
      <c r="DJ3534" s="459" t="s">
        <v>885</v>
      </c>
      <c r="DK3534" s="459" t="s">
        <v>885</v>
      </c>
      <c r="DL3534" s="459" t="s">
        <v>885</v>
      </c>
      <c r="DM3534" s="459" t="s">
        <v>885</v>
      </c>
      <c r="DN3534" s="459" t="s">
        <v>885</v>
      </c>
      <c r="DO3534" s="459" t="s">
        <v>885</v>
      </c>
      <c r="DP3534" t="s">
        <v>3078</v>
      </c>
      <c r="DQ3534" s="459" t="s">
        <v>885</v>
      </c>
      <c r="DR3534" s="459" t="s">
        <v>885</v>
      </c>
      <c r="DS3534" s="459" t="s">
        <v>885</v>
      </c>
      <c r="DT3534" s="459" t="s">
        <v>885</v>
      </c>
      <c r="DU3534" s="459" t="s">
        <v>885</v>
      </c>
      <c r="DV3534" s="459" t="s">
        <v>885</v>
      </c>
      <c r="DW3534" s="459" t="s">
        <v>885</v>
      </c>
      <c r="DX3534" s="245" t="s">
        <v>885</v>
      </c>
      <c r="DY3534" s="245"/>
      <c r="DZ3534" s="470" t="str">
        <f>IF($B$265=$B$3278,EB3534,IF($B$265=$B$3279,ED3534,IF($B$265=$B$3280,EF3534,IF($B$265=$B$3281,EH3534,IF($B$265=$B$3282,EJ3534,IF($B$265=$B$3283,EL3534,IF($B$265=$B$3284,EN3534,IF($B$265=$B$3285,EP3534,IF($B$265=$B$3286,ER3534,IF($B$265=$B$3287,ET3534,IF($B$265=$B$3288,EV3534,IF($B$265=$B$3289,EX3534,IF($B$265=$B$3290,EZ3534,IF($B$265=$B$3291,FB3534,IF($B$265=$B$3292,FD3534,IF($B$265=$B$3293,BU3534,IF($B$265=$B$3294,FF3534,IF($B$265=$B$3295,FH3534,IF($B$265=$B$3296,FJ3534,IF($B$265=$B$3297,FL3534,IF($B$265=$B$3298,FN3534,IF($B$265=$B$3299,FP3534,IF(BI$265=$B$3300,FR3534,IF($B$265=$B$3301,FT3534,IF($B$265=$B$3302,FV3534,IF($B$265=$B$3303,FX3534,IF($B$265=$B$3304,FZ3534,IF($B$265=$B$3305,GB3534,IF($B$265=$B$3306,GD3534,IF($B$265=$B$3307,GF3534,IF($B$265=$B$3308,GH3534,IF($B$265=$B$3309,GJ3534,IF($B$265=$B$3310,GL3534,IF($B$265=$B$3311,GN3534,IF($B$265=$B$3312,GP3534,IF($B$265=$B$3313,GR3534,IF($B$265=$B$3314,GT3534,IF($B$265=$B$3315,GV3534,IF($B$265=$B$3316,GX3534,IF($B$265=$B$3317,GZ3534,IF($B$265=$B$3318,HB3534,IF($B$265=$B$3319,HD3534,IF($B$265=$B$3320,HF3534,IF($B$265=$B$3321,HH3534,IF($B$265=$B$3322,HJ3534,IF($B$265=$B$3323,HL3534,IF($B$265=$B$3324,HN3534,IF($B$265=$B$3325,HP3534,IF($B$265=$B$3326,HR3534,IF($B$265=$B$3327,HT3534,IF($B$265=$B$3328,HV3534,IF($B$265=$B$3329,HX3534,""))))))))))))))))))))))))))))))))))))))))))))))))))))</f>
        <v/>
      </c>
      <c r="EA3534" s="470" t="str">
        <f>IF($B$265=$B$3278,EC3534,IF($B$265=$B$3279,EE3534,IF($B$265=$B$3280,EG3534,IF($B$265=$B$3281,EI3534,IF($B$265=$B$3282,EK3534,IF($B$265=$B$3283,EM3534,IF($B$265=$B$3284,EO3534,IF($B$265=$B$3285,EQ3534,IF($B$265=$B$3286,ES3534,IF($B$265=$B$3287,EU3534,IF($B$265=$B$3288,EW3534,IF($B$265=$B$3289,EY3534,IF($B$265=$B$3290,FA3534,IF($B$265=$B$3291,FC3534,IF($B$265=$B$3292,FE3534,IF($B$265=$B$3293,BK3534,IF($B$265=$B$3294,FG3534,IF($B$265=$B$3295,FI3534,IF($B$265=$B$3296,FK3534,IF($B$265=$B$3297,FM3534,IF($B$265=$B$3298,FO3534,IF($B$265=$B$3299,FQ3534,IF(BJ$265=$B$3300,FS3534,IF($B$265=$B$3301,FU3534,IF($B$265=$B$3302,FW3534,IF($B$265=$B$3303,FY3534,IF($B$265=$B$3304,GA3534,IF($B$265=$B$3305,GC3534,IF($B$265=$B$3306,GE3534,IF($B$265=$B$3307,GG3534,IF($B$265=$B$3308,GI3534,IF($B$265=$B$3309,GK3534,IF($B$265=$B$3310,GM3534,IF($B$265=$B$3311,GO3534,IF($B$265=$B$3312,GQ3534,IF($B$265=$B$3313,GS3534,IF($B$265=$B$3314,GU3534,IF($B$265=$B$3315,GW3534,IF($B$265=$B$3316,GY3534,IF($B$265=$B$3317,HA3534,IF($B$265=$B$3318,HC3534,IF($B$265=$B$3319,HE3534,IF($B$265=$B$3320,HG3534,IF($B$265=$B$3321,HI3534,IF($B$265=$B$3322,HK3534,IF($B$265=$B$3323,HM3534,IF($B$265=$B$3324,HO3534,IF($B$265=$B$3325,HQ3534,IF($B$265=$B$3326,HS3534,IF($B$265=$B$3327,HU3534,IF($B$265=$B$3328,HW3534,IF($B$265=$B$3329,HY3534,""))))))))))))))))))))))))))))))))))))))))))))))))))))</f>
        <v/>
      </c>
      <c r="EB3534" s="459" t="s">
        <v>885</v>
      </c>
    </row>
    <row r="3535" spans="1:132" ht="16" hidden="1" x14ac:dyDescent="0.4">
      <c r="A3535" s="813"/>
      <c r="BS3535" s="464" t="str">
        <f>IF($B$265=B$3278,BZ3534,IF($B$265=B$3279,CA3534,IF($B$265=B$3280,CB3534,IF($B$265=B$3281,CC3534,IF($B$265=B$3282,CD3534,IF($B$265=B$3283,CE3534,IF($B$265=B$3284,CF3534,IF($B$265=B$3285,CG3534,IF($B$265=B$3286,CH3534,IF($B$265=B$3287,CI3534,IF($B$265=B$3288,CJ3534,IF($B$265=B$3289,CK3534,IF($B$265=B$3290,CL3534,IF($B$265=B$3291,CM3534,IF($B$265=B$3292,CN3534,IF($B$265=B$3293,#REF!,IF($B$265=B$3294,CO3534,IF($B$265=B$3295,CP3534,IF($B$265=B$3296,CQ3534,IF($B$265=B$3297,CR3534,IF($B$265=B$3298,CS3534,IF($B$265=B$3299,CT3534,IF(B$265=B$3300,CU3534,IF($B$265=B$3301,CV3534,IF($B$265=B$3302,CW3534,IF($B$265=B$3303,CX3534,IF($B$265=B$3304,CY3534,IF($B$265=B$3305,CZ3534,IF($B$265=B$3306,DA3534,IF($B$265=B$3307,DB3534,IF($B$265=B$3308,DC3534,IF($B$265=B$3309,DD3534,IF($B$265=B$3310,DE3534,IF($B$265=B$3311,DF3534,IF($B$265=B$3312,DG3534,IF($B$265=B$3313,DH3534,IF($B$265=B$3314,DI3534,IF($B$265=B$3315,DJ3534,IF($B$265=B$3316,DK3534,IF($B$265=B$3317,DL3534,IF($B$265=B$3318,DM3534,IF($B$265=B$3319,DN3534,IF($B$265=B$3320,DO3534,IF($B$265=B$3321,DP3534,IF($B$265=B$3322,DQ3534,IF($B$265=B$3323,DR3534,IF($B$265=B$3324,DS3534,IF($B$265=B$3325,DT3534,IF($B$265=B$3326,DU3534,IF($B$265=B$3327,DV3534,IF($B$265=B$3328,DW3534,IF($B$265=B$3329,DX3534,""))))))))))))))))))))))))))))))))))))))))))))))))))))</f>
        <v/>
      </c>
      <c r="BZ3535" s="245" t="s">
        <v>885</v>
      </c>
      <c r="CA3535" s="245" t="s">
        <v>885</v>
      </c>
      <c r="CC3535" s="245" t="s">
        <v>885</v>
      </c>
      <c r="CD3535" s="459" t="s">
        <v>885</v>
      </c>
      <c r="CE3535" s="459" t="s">
        <v>885</v>
      </c>
      <c r="CF3535" s="245" t="s">
        <v>885</v>
      </c>
      <c r="CG3535" s="245" t="s">
        <v>885</v>
      </c>
      <c r="CH3535" s="245" t="s">
        <v>885</v>
      </c>
      <c r="CI3535" s="245" t="s">
        <v>885</v>
      </c>
      <c r="CJ3535" s="459" t="s">
        <v>885</v>
      </c>
      <c r="CK3535" s="459" t="s">
        <v>885</v>
      </c>
      <c r="CL3535" s="459" t="s">
        <v>885</v>
      </c>
      <c r="CM3535" s="459" t="s">
        <v>885</v>
      </c>
      <c r="CN3535" s="459" t="s">
        <v>885</v>
      </c>
      <c r="CO3535" s="459" t="s">
        <v>885</v>
      </c>
      <c r="CP3535" s="459" t="s">
        <v>885</v>
      </c>
      <c r="CQ3535" s="459" t="s">
        <v>885</v>
      </c>
      <c r="CR3535" s="459" t="s">
        <v>885</v>
      </c>
      <c r="CS3535" s="459" t="s">
        <v>885</v>
      </c>
      <c r="CT3535" s="245" t="s">
        <v>885</v>
      </c>
      <c r="CU3535" s="463" t="s">
        <v>885</v>
      </c>
      <c r="CV3535" s="245" t="s">
        <v>885</v>
      </c>
      <c r="CW3535" s="245" t="s">
        <v>885</v>
      </c>
      <c r="CX3535" s="459" t="s">
        <v>885</v>
      </c>
      <c r="CY3535" s="459" t="s">
        <v>885</v>
      </c>
      <c r="CZ3535" s="459" t="s">
        <v>885</v>
      </c>
      <c r="DA3535" s="459" t="s">
        <v>885</v>
      </c>
      <c r="DB3535" s="459" t="s">
        <v>885</v>
      </c>
      <c r="DC3535" s="459" t="s">
        <v>885</v>
      </c>
      <c r="DD3535" s="459" t="s">
        <v>885</v>
      </c>
      <c r="DE3535" s="459" t="s">
        <v>885</v>
      </c>
      <c r="DF3535" s="459" t="s">
        <v>885</v>
      </c>
      <c r="DG3535" s="459" t="s">
        <v>885</v>
      </c>
      <c r="DH3535" s="459" t="s">
        <v>885</v>
      </c>
      <c r="DI3535" s="459" t="s">
        <v>885</v>
      </c>
      <c r="DJ3535" s="459" t="s">
        <v>885</v>
      </c>
      <c r="DK3535" s="459" t="s">
        <v>885</v>
      </c>
      <c r="DL3535" s="459" t="s">
        <v>885</v>
      </c>
      <c r="DM3535" s="459" t="s">
        <v>885</v>
      </c>
      <c r="DN3535" s="459" t="s">
        <v>885</v>
      </c>
      <c r="DO3535" s="459" t="s">
        <v>885</v>
      </c>
      <c r="DP3535" t="s">
        <v>3079</v>
      </c>
      <c r="DQ3535" s="459" t="s">
        <v>885</v>
      </c>
      <c r="DR3535" s="459" t="s">
        <v>885</v>
      </c>
      <c r="DS3535" s="459" t="s">
        <v>885</v>
      </c>
      <c r="DT3535" s="459" t="s">
        <v>885</v>
      </c>
      <c r="DU3535" s="459" t="s">
        <v>885</v>
      </c>
      <c r="DV3535" s="459" t="s">
        <v>885</v>
      </c>
      <c r="DW3535" s="459" t="s">
        <v>885</v>
      </c>
      <c r="DX3535" s="245" t="s">
        <v>885</v>
      </c>
      <c r="DY3535" s="245"/>
      <c r="DZ3535" s="470" t="str">
        <f>IF($B$265=$B$3278,EB3535,IF($B$265=$B$3279,ED3535,IF($B$265=$B$3280,EF3535,IF($B$265=$B$3281,EH3535,IF($B$265=$B$3282,EJ3535,IF($B$265=$B$3283,EL3535,IF($B$265=$B$3284,EN3535,IF($B$265=$B$3285,EP3535,IF($B$265=$B$3286,ER3535,IF($B$265=$B$3287,ET3535,IF($B$265=$B$3288,EV3535,IF($B$265=$B$3289,EX3535,IF($B$265=$B$3290,EZ3535,IF($B$265=$B$3291,FB3535,IF($B$265=$B$3292,FD3535,IF($B$265=$B$3293,BU3535,IF($B$265=$B$3294,FF3535,IF($B$265=$B$3295,FH3535,IF($B$265=$B$3296,FJ3535,IF($B$265=$B$3297,FL3535,IF($B$265=$B$3298,FN3535,IF($B$265=$B$3299,FP3535,IF(BI$265=$B$3300,FR3535,IF($B$265=$B$3301,FT3535,IF($B$265=$B$3302,FV3535,IF($B$265=$B$3303,FX3535,IF($B$265=$B$3304,FZ3535,IF($B$265=$B$3305,GB3535,IF($B$265=$B$3306,GD3535,IF($B$265=$B$3307,GF3535,IF($B$265=$B$3308,GH3535,IF($B$265=$B$3309,GJ3535,IF($B$265=$B$3310,GL3535,IF($B$265=$B$3311,GN3535,IF($B$265=$B$3312,GP3535,IF($B$265=$B$3313,GR3535,IF($B$265=$B$3314,GT3535,IF($B$265=$B$3315,GV3535,IF($B$265=$B$3316,GX3535,IF($B$265=$B$3317,GZ3535,IF($B$265=$B$3318,HB3535,IF($B$265=$B$3319,HD3535,IF($B$265=$B$3320,HF3535,IF($B$265=$B$3321,HH3535,IF($B$265=$B$3322,HJ3535,IF($B$265=$B$3323,HL3535,IF($B$265=$B$3324,HN3535,IF($B$265=$B$3325,HP3535,IF($B$265=$B$3326,HR3535,IF($B$265=$B$3327,HT3535,IF($B$265=$B$3328,HV3535,IF($B$265=$B$3329,HX3535,""))))))))))))))))))))))))))))))))))))))))))))))))))))</f>
        <v/>
      </c>
      <c r="EA3535" s="470" t="str">
        <f>IF($B$265=$B$3278,EC3535,IF($B$265=$B$3279,EE3535,IF($B$265=$B$3280,EG3535,IF($B$265=$B$3281,EI3535,IF($B$265=$B$3282,EK3535,IF($B$265=$B$3283,EM3535,IF($B$265=$B$3284,EO3535,IF($B$265=$B$3285,EQ3535,IF($B$265=$B$3286,ES3535,IF($B$265=$B$3287,EU3535,IF($B$265=$B$3288,EW3535,IF($B$265=$B$3289,EY3535,IF($B$265=$B$3290,FA3535,IF($B$265=$B$3291,FC3535,IF($B$265=$B$3292,FE3535,IF($B$265=$B$3293,BK3535,IF($B$265=$B$3294,FG3535,IF($B$265=$B$3295,FI3535,IF($B$265=$B$3296,FK3535,IF($B$265=$B$3297,FM3535,IF($B$265=$B$3298,FO3535,IF($B$265=$B$3299,FQ3535,IF(BJ$265=$B$3300,FS3535,IF($B$265=$B$3301,FU3535,IF($B$265=$B$3302,FW3535,IF($B$265=$B$3303,FY3535,IF($B$265=$B$3304,GA3535,IF($B$265=$B$3305,GC3535,IF($B$265=$B$3306,GE3535,IF($B$265=$B$3307,GG3535,IF($B$265=$B$3308,GI3535,IF($B$265=$B$3309,GK3535,IF($B$265=$B$3310,GM3535,IF($B$265=$B$3311,GO3535,IF($B$265=$B$3312,GQ3535,IF($B$265=$B$3313,GS3535,IF($B$265=$B$3314,GU3535,IF($B$265=$B$3315,GW3535,IF($B$265=$B$3316,GY3535,IF($B$265=$B$3317,HA3535,IF($B$265=$B$3318,HC3535,IF($B$265=$B$3319,HE3535,IF($B$265=$B$3320,HG3535,IF($B$265=$B$3321,HI3535,IF($B$265=$B$3322,HK3535,IF($B$265=$B$3323,HM3535,IF($B$265=$B$3324,HO3535,IF($B$265=$B$3325,HQ3535,IF($B$265=$B$3326,HS3535,IF($B$265=$B$3327,HU3535,IF($B$265=$B$3328,HW3535,IF($B$265=$B$3329,HY3535,""))))))))))))))))))))))))))))))))))))))))))))))))))))</f>
        <v/>
      </c>
      <c r="EB3535" s="459" t="s">
        <v>885</v>
      </c>
    </row>
    <row r="3536" spans="1:132" ht="16" hidden="1" x14ac:dyDescent="0.4">
      <c r="A3536" s="813"/>
      <c r="BS3536" s="464" t="str">
        <f>IF($B$265=B$3278,BZ3535,IF($B$265=B$3279,CA3535,IF($B$265=B$3280,CB3535,IF($B$265=B$3281,CC3535,IF($B$265=B$3282,CD3535,IF($B$265=B$3283,CE3535,IF($B$265=B$3284,CF3535,IF($B$265=B$3285,CG3535,IF($B$265=B$3286,CH3535,IF($B$265=B$3287,CI3535,IF($B$265=B$3288,CJ3535,IF($B$265=B$3289,CK3535,IF($B$265=B$3290,CL3535,IF($B$265=B$3291,CM3535,IF($B$265=B$3292,CN3535,IF($B$265=B$3293,#REF!,IF($B$265=B$3294,CO3535,IF($B$265=B$3295,CP3535,IF($B$265=B$3296,CQ3535,IF($B$265=B$3297,CR3535,IF($B$265=B$3298,CS3535,IF($B$265=B$3299,CT3535,IF(B$265=B$3300,CU3535,IF($B$265=B$3301,CV3535,IF($B$265=B$3302,CW3535,IF($B$265=B$3303,CX3535,IF($B$265=B$3304,CY3535,IF($B$265=B$3305,CZ3535,IF($B$265=B$3306,DA3535,IF($B$265=B$3307,DB3535,IF($B$265=B$3308,DC3535,IF($B$265=B$3309,DD3535,IF($B$265=B$3310,DE3535,IF($B$265=B$3311,DF3535,IF($B$265=B$3312,DG3535,IF($B$265=B$3313,DH3535,IF($B$265=B$3314,DI3535,IF($B$265=B$3315,DJ3535,IF($B$265=B$3316,DK3535,IF($B$265=B$3317,DL3535,IF($B$265=B$3318,DM3535,IF($B$265=B$3319,DN3535,IF($B$265=B$3320,DO3535,IF($B$265=B$3321,DP3535,IF($B$265=B$3322,DQ3535,IF($B$265=B$3323,DR3535,IF($B$265=B$3324,DS3535,IF($B$265=B$3325,DT3535,IF($B$265=B$3326,DU3535,IF($B$265=B$3327,DV3535,IF($B$265=B$3328,DW3535,IF($B$265=B$3329,DX3535,""))))))))))))))))))))))))))))))))))))))))))))))))))))</f>
        <v/>
      </c>
      <c r="BZ3536" s="245" t="s">
        <v>885</v>
      </c>
      <c r="CA3536" s="245" t="s">
        <v>885</v>
      </c>
      <c r="CC3536" s="245" t="s">
        <v>885</v>
      </c>
      <c r="CD3536" s="459" t="s">
        <v>885</v>
      </c>
      <c r="CE3536" s="459" t="s">
        <v>885</v>
      </c>
      <c r="CF3536" s="245" t="s">
        <v>885</v>
      </c>
      <c r="CG3536" s="245" t="s">
        <v>885</v>
      </c>
      <c r="CH3536" s="245" t="s">
        <v>885</v>
      </c>
      <c r="CI3536" s="245" t="s">
        <v>885</v>
      </c>
      <c r="CJ3536" s="459" t="s">
        <v>885</v>
      </c>
      <c r="CK3536" s="459" t="s">
        <v>885</v>
      </c>
      <c r="CL3536" s="459" t="s">
        <v>885</v>
      </c>
      <c r="CM3536" s="459" t="s">
        <v>885</v>
      </c>
      <c r="CN3536" s="459" t="s">
        <v>885</v>
      </c>
      <c r="CO3536" s="459" t="s">
        <v>885</v>
      </c>
      <c r="CP3536" s="459" t="s">
        <v>885</v>
      </c>
      <c r="CQ3536" s="459" t="s">
        <v>885</v>
      </c>
      <c r="CR3536" s="459" t="s">
        <v>885</v>
      </c>
      <c r="CS3536" s="459" t="s">
        <v>885</v>
      </c>
      <c r="CT3536" s="245" t="s">
        <v>885</v>
      </c>
      <c r="CU3536" s="463" t="s">
        <v>885</v>
      </c>
      <c r="CV3536" s="245" t="s">
        <v>885</v>
      </c>
      <c r="CW3536" s="245" t="s">
        <v>885</v>
      </c>
      <c r="CX3536" s="459" t="s">
        <v>885</v>
      </c>
      <c r="CY3536" s="459" t="s">
        <v>885</v>
      </c>
      <c r="CZ3536" s="459" t="s">
        <v>885</v>
      </c>
      <c r="DA3536" s="459" t="s">
        <v>885</v>
      </c>
      <c r="DB3536" s="459" t="s">
        <v>885</v>
      </c>
      <c r="DC3536" s="459" t="s">
        <v>885</v>
      </c>
      <c r="DD3536" s="459" t="s">
        <v>885</v>
      </c>
      <c r="DE3536" s="459" t="s">
        <v>885</v>
      </c>
      <c r="DF3536" s="459" t="s">
        <v>885</v>
      </c>
      <c r="DG3536" s="459" t="s">
        <v>885</v>
      </c>
      <c r="DH3536" s="459" t="s">
        <v>885</v>
      </c>
      <c r="DI3536" s="459" t="s">
        <v>885</v>
      </c>
      <c r="DJ3536" s="459" t="s">
        <v>885</v>
      </c>
      <c r="DK3536" s="459" t="s">
        <v>885</v>
      </c>
      <c r="DL3536" s="459" t="s">
        <v>885</v>
      </c>
      <c r="DM3536" s="459" t="s">
        <v>885</v>
      </c>
      <c r="DN3536" s="459" t="s">
        <v>885</v>
      </c>
      <c r="DO3536" s="459" t="s">
        <v>885</v>
      </c>
      <c r="DP3536" t="s">
        <v>1494</v>
      </c>
      <c r="DQ3536" s="459" t="s">
        <v>885</v>
      </c>
      <c r="DR3536" s="459" t="s">
        <v>885</v>
      </c>
      <c r="DS3536" s="459" t="s">
        <v>885</v>
      </c>
      <c r="DT3536" s="459" t="s">
        <v>885</v>
      </c>
      <c r="DU3536" s="459" t="s">
        <v>885</v>
      </c>
      <c r="DV3536" s="459" t="s">
        <v>885</v>
      </c>
      <c r="DW3536" s="459" t="s">
        <v>885</v>
      </c>
      <c r="DX3536" s="245" t="s">
        <v>885</v>
      </c>
      <c r="DY3536" s="245"/>
      <c r="DZ3536" s="470" t="str">
        <f>IF($B$265=$B$3278,EB3536,IF($B$265=$B$3279,ED3536,IF($B$265=$B$3280,EF3536,IF($B$265=$B$3281,EH3536,IF($B$265=$B$3282,EJ3536,IF($B$265=$B$3283,EL3536,IF($B$265=$B$3284,EN3536,IF($B$265=$B$3285,EP3536,IF($B$265=$B$3286,ER3536,IF($B$265=$B$3287,ET3536,IF($B$265=$B$3288,EV3536,IF($B$265=$B$3289,EX3536,IF($B$265=$B$3290,EZ3536,IF($B$265=$B$3291,FB3536,IF($B$265=$B$3292,FD3536,IF($B$265=$B$3293,BU3536,IF($B$265=$B$3294,FF3536,IF($B$265=$B$3295,FH3536,IF($B$265=$B$3296,FJ3536,IF($B$265=$B$3297,FL3536,IF($B$265=$B$3298,FN3536,IF($B$265=$B$3299,FP3536,IF(BI$265=$B$3300,FR3536,IF($B$265=$B$3301,FT3536,IF($B$265=$B$3302,FV3536,IF($B$265=$B$3303,FX3536,IF($B$265=$B$3304,FZ3536,IF($B$265=$B$3305,GB3536,IF($B$265=$B$3306,GD3536,IF($B$265=$B$3307,GF3536,IF($B$265=$B$3308,GH3536,IF($B$265=$B$3309,GJ3536,IF($B$265=$B$3310,GL3536,IF($B$265=$B$3311,GN3536,IF($B$265=$B$3312,GP3536,IF($B$265=$B$3313,GR3536,IF($B$265=$B$3314,GT3536,IF($B$265=$B$3315,GV3536,IF($B$265=$B$3316,GX3536,IF($B$265=$B$3317,GZ3536,IF($B$265=$B$3318,HB3536,IF($B$265=$B$3319,HD3536,IF($B$265=$B$3320,HF3536,IF($B$265=$B$3321,HH3536,IF($B$265=$B$3322,HJ3536,IF($B$265=$B$3323,HL3536,IF($B$265=$B$3324,HN3536,IF($B$265=$B$3325,HP3536,IF($B$265=$B$3326,HR3536,IF($B$265=$B$3327,HT3536,IF($B$265=$B$3328,HV3536,IF($B$265=$B$3329,HX3536,""))))))))))))))))))))))))))))))))))))))))))))))))))))</f>
        <v/>
      </c>
      <c r="EA3536" s="470" t="str">
        <f>IF($B$265=$B$3278,EC3536,IF($B$265=$B$3279,EE3536,IF($B$265=$B$3280,EG3536,IF($B$265=$B$3281,EI3536,IF($B$265=$B$3282,EK3536,IF($B$265=$B$3283,EM3536,IF($B$265=$B$3284,EO3536,IF($B$265=$B$3285,EQ3536,IF($B$265=$B$3286,ES3536,IF($B$265=$B$3287,EU3536,IF($B$265=$B$3288,EW3536,IF($B$265=$B$3289,EY3536,IF($B$265=$B$3290,FA3536,IF($B$265=$B$3291,FC3536,IF($B$265=$B$3292,FE3536,IF($B$265=$B$3293,BK3536,IF($B$265=$B$3294,FG3536,IF($B$265=$B$3295,FI3536,IF($B$265=$B$3296,FK3536,IF($B$265=$B$3297,FM3536,IF($B$265=$B$3298,FO3536,IF($B$265=$B$3299,FQ3536,IF(BJ$265=$B$3300,FS3536,IF($B$265=$B$3301,FU3536,IF($B$265=$B$3302,FW3536,IF($B$265=$B$3303,FY3536,IF($B$265=$B$3304,GA3536,IF($B$265=$B$3305,GC3536,IF($B$265=$B$3306,GE3536,IF($B$265=$B$3307,GG3536,IF($B$265=$B$3308,GI3536,IF($B$265=$B$3309,GK3536,IF($B$265=$B$3310,GM3536,IF($B$265=$B$3311,GO3536,IF($B$265=$B$3312,GQ3536,IF($B$265=$B$3313,GS3536,IF($B$265=$B$3314,GU3536,IF($B$265=$B$3315,GW3536,IF($B$265=$B$3316,GY3536,IF($B$265=$B$3317,HA3536,IF($B$265=$B$3318,HC3536,IF($B$265=$B$3319,HE3536,IF($B$265=$B$3320,HG3536,IF($B$265=$B$3321,HI3536,IF($B$265=$B$3322,HK3536,IF($B$265=$B$3323,HM3536,IF($B$265=$B$3324,HO3536,IF($B$265=$B$3325,HQ3536,IF($B$265=$B$3326,HS3536,IF($B$265=$B$3327,HU3536,IF($B$265=$B$3328,HW3536,IF($B$265=$B$3329,HY3536,""))))))))))))))))))))))))))))))))))))))))))))))))))))</f>
        <v/>
      </c>
      <c r="EB3536" s="459" t="s">
        <v>885</v>
      </c>
    </row>
    <row r="3537" spans="1:132" ht="16" hidden="1" x14ac:dyDescent="0.4">
      <c r="A3537" s="813"/>
      <c r="BS3537" s="464" t="str">
        <f>IF($B$265=B$3278,BZ3536,IF($B$265=B$3279,CA3536,IF($B$265=B$3280,CB3536,IF($B$265=B$3281,CC3536,IF($B$265=B$3282,CD3536,IF($B$265=B$3283,CE3536,IF($B$265=B$3284,CF3536,IF($B$265=B$3285,CG3536,IF($B$265=B$3286,CH3536,IF($B$265=B$3287,CI3536,IF($B$265=B$3288,CJ3536,IF($B$265=B$3289,CK3536,IF($B$265=B$3290,CL3536,IF($B$265=B$3291,CM3536,IF($B$265=B$3292,CN3536,IF($B$265=B$3293,#REF!,IF($B$265=B$3294,CO3536,IF($B$265=B$3295,CP3536,IF($B$265=B$3296,CQ3536,IF($B$265=B$3297,CR3536,IF($B$265=B$3298,CS3536,IF($B$265=B$3299,CT3536,IF(B$265=B$3300,CU3536,IF($B$265=B$3301,CV3536,IF($B$265=B$3302,CW3536,IF($B$265=B$3303,CX3536,IF($B$265=B$3304,CY3536,IF($B$265=B$3305,CZ3536,IF($B$265=B$3306,DA3536,IF($B$265=B$3307,DB3536,IF($B$265=B$3308,DC3536,IF($B$265=B$3309,DD3536,IF($B$265=B$3310,DE3536,IF($B$265=B$3311,DF3536,IF($B$265=B$3312,DG3536,IF($B$265=B$3313,DH3536,IF($B$265=B$3314,DI3536,IF($B$265=B$3315,DJ3536,IF($B$265=B$3316,DK3536,IF($B$265=B$3317,DL3536,IF($B$265=B$3318,DM3536,IF($B$265=B$3319,DN3536,IF($B$265=B$3320,DO3536,IF($B$265=B$3321,DP3536,IF($B$265=B$3322,DQ3536,IF($B$265=B$3323,DR3536,IF($B$265=B$3324,DS3536,IF($B$265=B$3325,DT3536,IF($B$265=B$3326,DU3536,IF($B$265=B$3327,DV3536,IF($B$265=B$3328,DW3536,IF($B$265=B$3329,DX3536,""))))))))))))))))))))))))))))))))))))))))))))))))))))</f>
        <v/>
      </c>
      <c r="BZ3537" s="245" t="s">
        <v>885</v>
      </c>
      <c r="CA3537" s="245" t="s">
        <v>885</v>
      </c>
      <c r="CC3537" s="245" t="s">
        <v>885</v>
      </c>
      <c r="CD3537" s="459" t="s">
        <v>885</v>
      </c>
      <c r="CE3537" s="459" t="s">
        <v>885</v>
      </c>
      <c r="CF3537" s="245" t="s">
        <v>885</v>
      </c>
      <c r="CG3537" s="245" t="s">
        <v>885</v>
      </c>
      <c r="CH3537" s="245" t="s">
        <v>885</v>
      </c>
      <c r="CI3537" s="245" t="s">
        <v>885</v>
      </c>
      <c r="CJ3537" s="459" t="s">
        <v>885</v>
      </c>
      <c r="CK3537" s="459" t="s">
        <v>885</v>
      </c>
      <c r="CL3537" s="459" t="s">
        <v>885</v>
      </c>
      <c r="CM3537" s="459" t="s">
        <v>885</v>
      </c>
      <c r="CN3537" s="459" t="s">
        <v>885</v>
      </c>
      <c r="CO3537" s="459" t="s">
        <v>885</v>
      </c>
      <c r="CP3537" s="459" t="s">
        <v>885</v>
      </c>
      <c r="CQ3537" s="459" t="s">
        <v>885</v>
      </c>
      <c r="CR3537" s="459" t="s">
        <v>885</v>
      </c>
      <c r="CS3537" s="459" t="s">
        <v>885</v>
      </c>
      <c r="CT3537" s="245" t="s">
        <v>885</v>
      </c>
      <c r="CU3537" s="463" t="s">
        <v>885</v>
      </c>
      <c r="CV3537" s="245" t="s">
        <v>885</v>
      </c>
      <c r="CW3537" s="245" t="s">
        <v>885</v>
      </c>
      <c r="CX3537" s="459" t="s">
        <v>885</v>
      </c>
      <c r="CY3537" s="459" t="s">
        <v>885</v>
      </c>
      <c r="CZ3537" s="459" t="s">
        <v>885</v>
      </c>
      <c r="DA3537" s="459" t="s">
        <v>885</v>
      </c>
      <c r="DB3537" s="459" t="s">
        <v>885</v>
      </c>
      <c r="DC3537" s="459" t="s">
        <v>885</v>
      </c>
      <c r="DD3537" s="459" t="s">
        <v>885</v>
      </c>
      <c r="DE3537" s="459" t="s">
        <v>885</v>
      </c>
      <c r="DF3537" s="459" t="s">
        <v>885</v>
      </c>
      <c r="DG3537" s="459" t="s">
        <v>885</v>
      </c>
      <c r="DH3537" s="459" t="s">
        <v>885</v>
      </c>
      <c r="DI3537" s="459" t="s">
        <v>885</v>
      </c>
      <c r="DJ3537" s="459" t="s">
        <v>885</v>
      </c>
      <c r="DK3537" s="459" t="s">
        <v>885</v>
      </c>
      <c r="DL3537" s="459" t="s">
        <v>885</v>
      </c>
      <c r="DM3537" s="459" t="s">
        <v>885</v>
      </c>
      <c r="DN3537" s="459" t="s">
        <v>885</v>
      </c>
      <c r="DO3537" s="459" t="s">
        <v>885</v>
      </c>
      <c r="DP3537" t="s">
        <v>3080</v>
      </c>
      <c r="DQ3537" s="459" t="s">
        <v>885</v>
      </c>
      <c r="DR3537" s="459" t="s">
        <v>885</v>
      </c>
      <c r="DS3537" s="459" t="s">
        <v>885</v>
      </c>
      <c r="DT3537" s="459" t="s">
        <v>885</v>
      </c>
      <c r="DU3537" s="459" t="s">
        <v>885</v>
      </c>
      <c r="DV3537" s="459" t="s">
        <v>885</v>
      </c>
      <c r="DW3537" s="459" t="s">
        <v>885</v>
      </c>
      <c r="DX3537" s="245" t="s">
        <v>885</v>
      </c>
      <c r="DY3537" s="245"/>
      <c r="DZ3537" s="470" t="str">
        <f>IF($B$265=$B$3278,EB3537,IF($B$265=$B$3279,ED3537,IF($B$265=$B$3280,EF3537,IF($B$265=$B$3281,EH3537,IF($B$265=$B$3282,EJ3537,IF($B$265=$B$3283,EL3537,IF($B$265=$B$3284,EN3537,IF($B$265=$B$3285,EP3537,IF($B$265=$B$3286,ER3537,IF($B$265=$B$3287,ET3537,IF($B$265=$B$3288,EV3537,IF($B$265=$B$3289,EX3537,IF($B$265=$B$3290,EZ3537,IF($B$265=$B$3291,FB3537,IF($B$265=$B$3292,FD3537,IF($B$265=$B$3293,BU3537,IF($B$265=$B$3294,FF3537,IF($B$265=$B$3295,FH3537,IF($B$265=$B$3296,FJ3537,IF($B$265=$B$3297,FL3537,IF($B$265=$B$3298,FN3537,IF($B$265=$B$3299,FP3537,IF(BI$265=$B$3300,FR3537,IF($B$265=$B$3301,FT3537,IF($B$265=$B$3302,FV3537,IF($B$265=$B$3303,FX3537,IF($B$265=$B$3304,FZ3537,IF($B$265=$B$3305,GB3537,IF($B$265=$B$3306,GD3537,IF($B$265=$B$3307,GF3537,IF($B$265=$B$3308,GH3537,IF($B$265=$B$3309,GJ3537,IF($B$265=$B$3310,GL3537,IF($B$265=$B$3311,GN3537,IF($B$265=$B$3312,GP3537,IF($B$265=$B$3313,GR3537,IF($B$265=$B$3314,GT3537,IF($B$265=$B$3315,GV3537,IF($B$265=$B$3316,GX3537,IF($B$265=$B$3317,GZ3537,IF($B$265=$B$3318,HB3537,IF($B$265=$B$3319,HD3537,IF($B$265=$B$3320,HF3537,IF($B$265=$B$3321,HH3537,IF($B$265=$B$3322,HJ3537,IF($B$265=$B$3323,HL3537,IF($B$265=$B$3324,HN3537,IF($B$265=$B$3325,HP3537,IF($B$265=$B$3326,HR3537,IF($B$265=$B$3327,HT3537,IF($B$265=$B$3328,HV3537,IF($B$265=$B$3329,HX3537,""))))))))))))))))))))))))))))))))))))))))))))))))))))</f>
        <v/>
      </c>
      <c r="EA3537" s="470" t="str">
        <f>IF($B$265=$B$3278,EC3537,IF($B$265=$B$3279,EE3537,IF($B$265=$B$3280,EG3537,IF($B$265=$B$3281,EI3537,IF($B$265=$B$3282,EK3537,IF($B$265=$B$3283,EM3537,IF($B$265=$B$3284,EO3537,IF($B$265=$B$3285,EQ3537,IF($B$265=$B$3286,ES3537,IF($B$265=$B$3287,EU3537,IF($B$265=$B$3288,EW3537,IF($B$265=$B$3289,EY3537,IF($B$265=$B$3290,FA3537,IF($B$265=$B$3291,FC3537,IF($B$265=$B$3292,FE3537,IF($B$265=$B$3293,BK3537,IF($B$265=$B$3294,FG3537,IF($B$265=$B$3295,FI3537,IF($B$265=$B$3296,FK3537,IF($B$265=$B$3297,FM3537,IF($B$265=$B$3298,FO3537,IF($B$265=$B$3299,FQ3537,IF(BJ$265=$B$3300,FS3537,IF($B$265=$B$3301,FU3537,IF($B$265=$B$3302,FW3537,IF($B$265=$B$3303,FY3537,IF($B$265=$B$3304,GA3537,IF($B$265=$B$3305,GC3537,IF($B$265=$B$3306,GE3537,IF($B$265=$B$3307,GG3537,IF($B$265=$B$3308,GI3537,IF($B$265=$B$3309,GK3537,IF($B$265=$B$3310,GM3537,IF($B$265=$B$3311,GO3537,IF($B$265=$B$3312,GQ3537,IF($B$265=$B$3313,GS3537,IF($B$265=$B$3314,GU3537,IF($B$265=$B$3315,GW3537,IF($B$265=$B$3316,GY3537,IF($B$265=$B$3317,HA3537,IF($B$265=$B$3318,HC3537,IF($B$265=$B$3319,HE3537,IF($B$265=$B$3320,HG3537,IF($B$265=$B$3321,HI3537,IF($B$265=$B$3322,HK3537,IF($B$265=$B$3323,HM3537,IF($B$265=$B$3324,HO3537,IF($B$265=$B$3325,HQ3537,IF($B$265=$B$3326,HS3537,IF($B$265=$B$3327,HU3537,IF($B$265=$B$3328,HW3537,IF($B$265=$B$3329,HY3537,""))))))))))))))))))))))))))))))))))))))))))))))))))))</f>
        <v/>
      </c>
      <c r="EB3537" s="459" t="s">
        <v>885</v>
      </c>
    </row>
    <row r="3538" spans="1:132" ht="16" hidden="1" x14ac:dyDescent="0.4">
      <c r="A3538" s="813"/>
      <c r="BS3538" s="464" t="str">
        <f>IF($B$265=B$3278,BZ3537,IF($B$265=B$3279,CA3537,IF($B$265=B$3280,CB3537,IF($B$265=B$3281,CC3537,IF($B$265=B$3282,CD3537,IF($B$265=B$3283,CE3537,IF($B$265=B$3284,CF3537,IF($B$265=B$3285,CG3537,IF($B$265=B$3286,CH3537,IF($B$265=B$3287,CI3537,IF($B$265=B$3288,CJ3537,IF($B$265=B$3289,CK3537,IF($B$265=B$3290,CL3537,IF($B$265=B$3291,CM3537,IF($B$265=B$3292,CN3537,IF($B$265=B$3293,#REF!,IF($B$265=B$3294,CO3537,IF($B$265=B$3295,CP3537,IF($B$265=B$3296,CQ3537,IF($B$265=B$3297,CR3537,IF($B$265=B$3298,CS3537,IF($B$265=B$3299,CT3537,IF(B$265=B$3300,CU3537,IF($B$265=B$3301,CV3537,IF($B$265=B$3302,CW3537,IF($B$265=B$3303,CX3537,IF($B$265=B$3304,CY3537,IF($B$265=B$3305,CZ3537,IF($B$265=B$3306,DA3537,IF($B$265=B$3307,DB3537,IF($B$265=B$3308,DC3537,IF($B$265=B$3309,DD3537,IF($B$265=B$3310,DE3537,IF($B$265=B$3311,DF3537,IF($B$265=B$3312,DG3537,IF($B$265=B$3313,DH3537,IF($B$265=B$3314,DI3537,IF($B$265=B$3315,DJ3537,IF($B$265=B$3316,DK3537,IF($B$265=B$3317,DL3537,IF($B$265=B$3318,DM3537,IF($B$265=B$3319,DN3537,IF($B$265=B$3320,DO3537,IF($B$265=B$3321,DP3537,IF($B$265=B$3322,DQ3537,IF($B$265=B$3323,DR3537,IF($B$265=B$3324,DS3537,IF($B$265=B$3325,DT3537,IF($B$265=B$3326,DU3537,IF($B$265=B$3327,DV3537,IF($B$265=B$3328,DW3537,IF($B$265=B$3329,DX3537,""))))))))))))))))))))))))))))))))))))))))))))))))))))</f>
        <v/>
      </c>
      <c r="BZ3538" s="245" t="s">
        <v>885</v>
      </c>
      <c r="CA3538" s="245" t="s">
        <v>885</v>
      </c>
      <c r="CC3538" s="245" t="s">
        <v>885</v>
      </c>
      <c r="CD3538" s="459" t="s">
        <v>885</v>
      </c>
      <c r="CE3538" s="459" t="s">
        <v>885</v>
      </c>
      <c r="CF3538" s="245" t="s">
        <v>885</v>
      </c>
      <c r="CG3538" s="245" t="s">
        <v>885</v>
      </c>
      <c r="CH3538" s="245" t="s">
        <v>885</v>
      </c>
      <c r="CI3538" s="245" t="s">
        <v>885</v>
      </c>
      <c r="CJ3538" s="459" t="s">
        <v>885</v>
      </c>
      <c r="CK3538" s="459" t="s">
        <v>885</v>
      </c>
      <c r="CL3538" s="459" t="s">
        <v>885</v>
      </c>
      <c r="CM3538" s="459" t="s">
        <v>885</v>
      </c>
      <c r="CN3538" s="459" t="s">
        <v>885</v>
      </c>
      <c r="CO3538" s="459" t="s">
        <v>885</v>
      </c>
      <c r="CP3538" s="459" t="s">
        <v>885</v>
      </c>
      <c r="CQ3538" s="459" t="s">
        <v>885</v>
      </c>
      <c r="CR3538" s="459" t="s">
        <v>885</v>
      </c>
      <c r="CS3538" s="459" t="s">
        <v>885</v>
      </c>
      <c r="CT3538" s="245" t="s">
        <v>885</v>
      </c>
      <c r="CU3538" s="463" t="s">
        <v>885</v>
      </c>
      <c r="CV3538" s="245" t="s">
        <v>885</v>
      </c>
      <c r="CW3538" s="245" t="s">
        <v>885</v>
      </c>
      <c r="CX3538" s="459" t="s">
        <v>885</v>
      </c>
      <c r="CY3538" s="459" t="s">
        <v>885</v>
      </c>
      <c r="CZ3538" s="459" t="s">
        <v>885</v>
      </c>
      <c r="DA3538" s="459" t="s">
        <v>885</v>
      </c>
      <c r="DB3538" s="459" t="s">
        <v>885</v>
      </c>
      <c r="DC3538" s="459" t="s">
        <v>885</v>
      </c>
      <c r="DD3538" s="459" t="s">
        <v>885</v>
      </c>
      <c r="DE3538" s="459" t="s">
        <v>885</v>
      </c>
      <c r="DF3538" s="459" t="s">
        <v>885</v>
      </c>
      <c r="DG3538" s="459" t="s">
        <v>885</v>
      </c>
      <c r="DH3538" s="459" t="s">
        <v>885</v>
      </c>
      <c r="DI3538" s="459" t="s">
        <v>885</v>
      </c>
      <c r="DJ3538" s="459" t="s">
        <v>885</v>
      </c>
      <c r="DK3538" s="459" t="s">
        <v>885</v>
      </c>
      <c r="DL3538" s="459" t="s">
        <v>885</v>
      </c>
      <c r="DM3538" s="459" t="s">
        <v>885</v>
      </c>
      <c r="DN3538" s="459" t="s">
        <v>885</v>
      </c>
      <c r="DO3538" s="459" t="s">
        <v>885</v>
      </c>
      <c r="DP3538" t="s">
        <v>2709</v>
      </c>
      <c r="DQ3538" s="459" t="s">
        <v>885</v>
      </c>
      <c r="DR3538" s="459" t="s">
        <v>885</v>
      </c>
      <c r="DS3538" s="459" t="s">
        <v>885</v>
      </c>
      <c r="DT3538" s="459" t="s">
        <v>885</v>
      </c>
      <c r="DU3538" s="459" t="s">
        <v>885</v>
      </c>
      <c r="DV3538" s="459" t="s">
        <v>885</v>
      </c>
      <c r="DW3538" s="459" t="s">
        <v>885</v>
      </c>
      <c r="DX3538" s="245" t="s">
        <v>885</v>
      </c>
      <c r="DY3538" s="245"/>
      <c r="DZ3538" s="470" t="str">
        <f>IF($B$265=$B$3278,EB3538,IF($B$265=$B$3279,ED3538,IF($B$265=$B$3280,EF3538,IF($B$265=$B$3281,EH3538,IF($B$265=$B$3282,EJ3538,IF($B$265=$B$3283,EL3538,IF($B$265=$B$3284,EN3538,IF($B$265=$B$3285,EP3538,IF($B$265=$B$3286,ER3538,IF($B$265=$B$3287,ET3538,IF($B$265=$B$3288,EV3538,IF($B$265=$B$3289,EX3538,IF($B$265=$B$3290,EZ3538,IF($B$265=$B$3291,FB3538,IF($B$265=$B$3292,FD3538,IF($B$265=$B$3293,BU3538,IF($B$265=$B$3294,FF3538,IF($B$265=$B$3295,FH3538,IF($B$265=$B$3296,FJ3538,IF($B$265=$B$3297,FL3538,IF($B$265=$B$3298,FN3538,IF($B$265=$B$3299,FP3538,IF(BI$265=$B$3300,FR3538,IF($B$265=$B$3301,FT3538,IF($B$265=$B$3302,FV3538,IF($B$265=$B$3303,FX3538,IF($B$265=$B$3304,FZ3538,IF($B$265=$B$3305,GB3538,IF($B$265=$B$3306,GD3538,IF($B$265=$B$3307,GF3538,IF($B$265=$B$3308,GH3538,IF($B$265=$B$3309,GJ3538,IF($B$265=$B$3310,GL3538,IF($B$265=$B$3311,GN3538,IF($B$265=$B$3312,GP3538,IF($B$265=$B$3313,GR3538,IF($B$265=$B$3314,GT3538,IF($B$265=$B$3315,GV3538,IF($B$265=$B$3316,GX3538,IF($B$265=$B$3317,GZ3538,IF($B$265=$B$3318,HB3538,IF($B$265=$B$3319,HD3538,IF($B$265=$B$3320,HF3538,IF($B$265=$B$3321,HH3538,IF($B$265=$B$3322,HJ3538,IF($B$265=$B$3323,HL3538,IF($B$265=$B$3324,HN3538,IF($B$265=$B$3325,HP3538,IF($B$265=$B$3326,HR3538,IF($B$265=$B$3327,HT3538,IF($B$265=$B$3328,HV3538,IF($B$265=$B$3329,HX3538,""))))))))))))))))))))))))))))))))))))))))))))))))))))</f>
        <v/>
      </c>
      <c r="EA3538" s="470" t="str">
        <f>IF($B$265=$B$3278,EC3538,IF($B$265=$B$3279,EE3538,IF($B$265=$B$3280,EG3538,IF($B$265=$B$3281,EI3538,IF($B$265=$B$3282,EK3538,IF($B$265=$B$3283,EM3538,IF($B$265=$B$3284,EO3538,IF($B$265=$B$3285,EQ3538,IF($B$265=$B$3286,ES3538,IF($B$265=$B$3287,EU3538,IF($B$265=$B$3288,EW3538,IF($B$265=$B$3289,EY3538,IF($B$265=$B$3290,FA3538,IF($B$265=$B$3291,FC3538,IF($B$265=$B$3292,FE3538,IF($B$265=$B$3293,BK3538,IF($B$265=$B$3294,FG3538,IF($B$265=$B$3295,FI3538,IF($B$265=$B$3296,FK3538,IF($B$265=$B$3297,FM3538,IF($B$265=$B$3298,FO3538,IF($B$265=$B$3299,FQ3538,IF(BJ$265=$B$3300,FS3538,IF($B$265=$B$3301,FU3538,IF($B$265=$B$3302,FW3538,IF($B$265=$B$3303,FY3538,IF($B$265=$B$3304,GA3538,IF($B$265=$B$3305,GC3538,IF($B$265=$B$3306,GE3538,IF($B$265=$B$3307,GG3538,IF($B$265=$B$3308,GI3538,IF($B$265=$B$3309,GK3538,IF($B$265=$B$3310,GM3538,IF($B$265=$B$3311,GO3538,IF($B$265=$B$3312,GQ3538,IF($B$265=$B$3313,GS3538,IF($B$265=$B$3314,GU3538,IF($B$265=$B$3315,GW3538,IF($B$265=$B$3316,GY3538,IF($B$265=$B$3317,HA3538,IF($B$265=$B$3318,HC3538,IF($B$265=$B$3319,HE3538,IF($B$265=$B$3320,HG3538,IF($B$265=$B$3321,HI3538,IF($B$265=$B$3322,HK3538,IF($B$265=$B$3323,HM3538,IF($B$265=$B$3324,HO3538,IF($B$265=$B$3325,HQ3538,IF($B$265=$B$3326,HS3538,IF($B$265=$B$3327,HU3538,IF($B$265=$B$3328,HW3538,IF($B$265=$B$3329,HY3538,""))))))))))))))))))))))))))))))))))))))))))))))))))))</f>
        <v/>
      </c>
      <c r="EB3538" s="459" t="s">
        <v>885</v>
      </c>
    </row>
    <row r="3539" spans="1:132" ht="16" hidden="1" x14ac:dyDescent="0.4">
      <c r="A3539" s="813"/>
      <c r="BS3539" s="464" t="str">
        <f>IF($B$265=B$3278,BZ3538,IF($B$265=B$3279,CA3538,IF($B$265=B$3280,CB3538,IF($B$265=B$3281,CC3538,IF($B$265=B$3282,CD3538,IF($B$265=B$3283,CE3538,IF($B$265=B$3284,CF3538,IF($B$265=B$3285,CG3538,IF($B$265=B$3286,CH3538,IF($B$265=B$3287,CI3538,IF($B$265=B$3288,CJ3538,IF($B$265=B$3289,CK3538,IF($B$265=B$3290,CL3538,IF($B$265=B$3291,CM3538,IF($B$265=B$3292,CN3538,IF($B$265=B$3293,C2971,IF($B$265=B$3294,CO3538,IF($B$265=B$3295,CP3538,IF($B$265=B$3296,CQ3538,IF($B$265=B$3297,CR3538,IF($B$265=B$3298,CS3538,IF($B$265=B$3299,CT3538,IF(B$265=B$3300,CU3538,IF($B$265=B$3301,CV3538,IF($B$265=B$3302,CW3538,IF($B$265=B$3303,CX3538,IF($B$265=B$3304,CY3538,IF($B$265=B$3305,CZ3538,IF($B$265=B$3306,DA3538,IF($B$265=B$3307,DB3538,IF($B$265=B$3308,DC3538,IF($B$265=B$3309,DD3538,IF($B$265=B$3310,DE3538,IF($B$265=B$3311,DF3538,IF($B$265=B$3312,DG3538,IF($B$265=B$3313,DH3538,IF($B$265=B$3314,DI3538,IF($B$265=B$3315,DJ3538,IF($B$265=B$3316,DK3538,IF($B$265=B$3317,DL3538,IF($B$265=B$3318,DM3538,IF($B$265=B$3319,DN3538,IF($B$265=B$3320,DO3538,IF($B$265=B$3321,DP3538,IF($B$265=B$3322,DQ3538,IF($B$265=B$3323,DR3538,IF($B$265=B$3324,DS3538,IF($B$265=B$3325,DT3538,IF($B$265=B$3326,DU3538,IF($B$265=B$3327,DV3538,IF($B$265=B$3328,DW3538,IF($B$265=B$3329,DX3538,""))))))))))))))))))))))))))))))))))))))))))))))))))))</f>
        <v/>
      </c>
      <c r="BZ3539" s="245" t="s">
        <v>885</v>
      </c>
      <c r="CA3539" s="245" t="s">
        <v>885</v>
      </c>
      <c r="CC3539" s="245" t="s">
        <v>885</v>
      </c>
      <c r="CD3539" s="459" t="s">
        <v>885</v>
      </c>
      <c r="CE3539" s="459" t="s">
        <v>885</v>
      </c>
      <c r="CF3539" s="245" t="s">
        <v>885</v>
      </c>
      <c r="CG3539" s="245" t="s">
        <v>885</v>
      </c>
      <c r="CH3539" s="245" t="s">
        <v>885</v>
      </c>
      <c r="CI3539" s="245" t="s">
        <v>885</v>
      </c>
      <c r="CJ3539" s="459" t="s">
        <v>885</v>
      </c>
      <c r="CK3539" s="459" t="s">
        <v>885</v>
      </c>
      <c r="CL3539" s="459" t="s">
        <v>885</v>
      </c>
      <c r="CM3539" s="459" t="s">
        <v>885</v>
      </c>
      <c r="CN3539" s="459" t="s">
        <v>885</v>
      </c>
      <c r="CO3539" s="459" t="s">
        <v>885</v>
      </c>
      <c r="CP3539" s="459" t="s">
        <v>885</v>
      </c>
      <c r="CQ3539" s="459" t="s">
        <v>885</v>
      </c>
      <c r="CR3539" s="459" t="s">
        <v>885</v>
      </c>
      <c r="CS3539" s="459" t="s">
        <v>885</v>
      </c>
      <c r="CT3539" s="245" t="s">
        <v>885</v>
      </c>
      <c r="CU3539" s="463" t="s">
        <v>885</v>
      </c>
      <c r="CV3539" s="245" t="s">
        <v>885</v>
      </c>
      <c r="CW3539" s="245" t="s">
        <v>885</v>
      </c>
      <c r="CX3539" s="459" t="s">
        <v>885</v>
      </c>
      <c r="CY3539" s="459" t="s">
        <v>885</v>
      </c>
      <c r="CZ3539" s="459" t="s">
        <v>885</v>
      </c>
      <c r="DA3539" s="459" t="s">
        <v>885</v>
      </c>
      <c r="DB3539" s="459" t="s">
        <v>885</v>
      </c>
      <c r="DC3539" s="459" t="s">
        <v>885</v>
      </c>
      <c r="DD3539" s="459" t="s">
        <v>885</v>
      </c>
      <c r="DE3539" s="459" t="s">
        <v>885</v>
      </c>
      <c r="DF3539" s="459" t="s">
        <v>885</v>
      </c>
      <c r="DG3539" s="459" t="s">
        <v>885</v>
      </c>
      <c r="DH3539" s="459" t="s">
        <v>885</v>
      </c>
      <c r="DI3539" s="459" t="s">
        <v>885</v>
      </c>
      <c r="DJ3539" s="459" t="s">
        <v>885</v>
      </c>
      <c r="DK3539" s="459" t="s">
        <v>885</v>
      </c>
      <c r="DL3539" s="459" t="s">
        <v>885</v>
      </c>
      <c r="DM3539" s="459" t="s">
        <v>885</v>
      </c>
      <c r="DN3539" s="459" t="s">
        <v>885</v>
      </c>
      <c r="DO3539" s="459" t="s">
        <v>885</v>
      </c>
      <c r="DP3539" t="s">
        <v>1495</v>
      </c>
      <c r="DQ3539" s="459" t="s">
        <v>885</v>
      </c>
      <c r="DR3539" s="459" t="s">
        <v>885</v>
      </c>
      <c r="DS3539" s="459" t="s">
        <v>885</v>
      </c>
      <c r="DT3539" s="459" t="s">
        <v>885</v>
      </c>
      <c r="DU3539" s="459" t="s">
        <v>885</v>
      </c>
      <c r="DV3539" s="459" t="s">
        <v>885</v>
      </c>
      <c r="DW3539" s="459" t="s">
        <v>885</v>
      </c>
      <c r="DX3539" s="245" t="s">
        <v>885</v>
      </c>
      <c r="DY3539" s="245"/>
      <c r="DZ3539" s="470" t="str">
        <f>IF($B$265=$B$3278,EB3539,IF($B$265=$B$3279,ED3539,IF($B$265=$B$3280,EF3539,IF($B$265=$B$3281,EH3539,IF($B$265=$B$3282,EJ3539,IF($B$265=$B$3283,EL3539,IF($B$265=$B$3284,EN3539,IF($B$265=$B$3285,EP3539,IF($B$265=$B$3286,ER3539,IF($B$265=$B$3287,ET3539,IF($B$265=$B$3288,EV3539,IF($B$265=$B$3289,EX3539,IF($B$265=$B$3290,EZ3539,IF($B$265=$B$3291,FB3539,IF($B$265=$B$3292,FD3539,IF($B$265=$B$3293,BU3539,IF($B$265=$B$3294,FF3539,IF($B$265=$B$3295,FH3539,IF($B$265=$B$3296,FJ3539,IF($B$265=$B$3297,FL3539,IF($B$265=$B$3298,FN3539,IF($B$265=$B$3299,FP3539,IF(BI$265=$B$3300,FR3539,IF($B$265=$B$3301,FT3539,IF($B$265=$B$3302,FV3539,IF($B$265=$B$3303,FX3539,IF($B$265=$B$3304,FZ3539,IF($B$265=$B$3305,GB3539,IF($B$265=$B$3306,GD3539,IF($B$265=$B$3307,GF3539,IF($B$265=$B$3308,GH3539,IF($B$265=$B$3309,GJ3539,IF($B$265=$B$3310,GL3539,IF($B$265=$B$3311,GN3539,IF($B$265=$B$3312,GP3539,IF($B$265=$B$3313,GR3539,IF($B$265=$B$3314,GT3539,IF($B$265=$B$3315,GV3539,IF($B$265=$B$3316,GX3539,IF($B$265=$B$3317,GZ3539,IF($B$265=$B$3318,HB3539,IF($B$265=$B$3319,HD3539,IF($B$265=$B$3320,HF3539,IF($B$265=$B$3321,HH3539,IF($B$265=$B$3322,HJ3539,IF($B$265=$B$3323,HL3539,IF($B$265=$B$3324,HN3539,IF($B$265=$B$3325,HP3539,IF($B$265=$B$3326,HR3539,IF($B$265=$B$3327,HT3539,IF($B$265=$B$3328,HV3539,IF($B$265=$B$3329,HX3539,""))))))))))))))))))))))))))))))))))))))))))))))))))))</f>
        <v/>
      </c>
      <c r="EA3539" s="470" t="str">
        <f>IF($B$265=$B$3278,EC3539,IF($B$265=$B$3279,EE3539,IF($B$265=$B$3280,EG3539,IF($B$265=$B$3281,EI3539,IF($B$265=$B$3282,EK3539,IF($B$265=$B$3283,EM3539,IF($B$265=$B$3284,EO3539,IF($B$265=$B$3285,EQ3539,IF($B$265=$B$3286,ES3539,IF($B$265=$B$3287,EU3539,IF($B$265=$B$3288,EW3539,IF($B$265=$B$3289,EY3539,IF($B$265=$B$3290,FA3539,IF($B$265=$B$3291,FC3539,IF($B$265=$B$3292,FE3539,IF($B$265=$B$3293,BK3539,IF($B$265=$B$3294,FG3539,IF($B$265=$B$3295,FI3539,IF($B$265=$B$3296,FK3539,IF($B$265=$B$3297,FM3539,IF($B$265=$B$3298,FO3539,IF($B$265=$B$3299,FQ3539,IF(BJ$265=$B$3300,FS3539,IF($B$265=$B$3301,FU3539,IF($B$265=$B$3302,FW3539,IF($B$265=$B$3303,FY3539,IF($B$265=$B$3304,GA3539,IF($B$265=$B$3305,GC3539,IF($B$265=$B$3306,GE3539,IF($B$265=$B$3307,GG3539,IF($B$265=$B$3308,GI3539,IF($B$265=$B$3309,GK3539,IF($B$265=$B$3310,GM3539,IF($B$265=$B$3311,GO3539,IF($B$265=$B$3312,GQ3539,IF($B$265=$B$3313,GS3539,IF($B$265=$B$3314,GU3539,IF($B$265=$B$3315,GW3539,IF($B$265=$B$3316,GY3539,IF($B$265=$B$3317,HA3539,IF($B$265=$B$3318,HC3539,IF($B$265=$B$3319,HE3539,IF($B$265=$B$3320,HG3539,IF($B$265=$B$3321,HI3539,IF($B$265=$B$3322,HK3539,IF($B$265=$B$3323,HM3539,IF($B$265=$B$3324,HO3539,IF($B$265=$B$3325,HQ3539,IF($B$265=$B$3326,HS3539,IF($B$265=$B$3327,HU3539,IF($B$265=$B$3328,HW3539,IF($B$265=$B$3329,HY3539,""))))))))))))))))))))))))))))))))))))))))))))))))))))</f>
        <v/>
      </c>
      <c r="EB3539" s="459" t="s">
        <v>885</v>
      </c>
    </row>
    <row r="3540" spans="1:132" ht="16" hidden="1" x14ac:dyDescent="0.4">
      <c r="A3540" s="813"/>
      <c r="BS3540" s="464" t="str">
        <f>IF($B$265=B$3278,BZ3539,IF($B$265=B$3279,CA3539,IF($B$265=B$3280,CB3539,IF($B$265=B$3281,CC3539,IF($B$265=B$3282,CD3539,IF($B$265=B$3283,CE3539,IF($B$265=B$3284,CF3539,IF($B$265=B$3285,CG3539,IF($B$265=B$3286,CH3539,IF($B$265=B$3287,CI3539,IF($B$265=B$3288,CJ3539,IF($B$265=B$3289,CK3539,IF($B$265=B$3290,CL3539,IF($B$265=B$3291,CM3539,IF($B$265=B$3292,CN3539,IF($B$265=B$3293,C2972,IF($B$265=B$3294,CO3539,IF($B$265=B$3295,CP3539,IF($B$265=B$3296,CQ3539,IF($B$265=B$3297,CR3539,IF($B$265=B$3298,CS3539,IF($B$265=B$3299,CT3539,IF(B$265=B$3300,CU3539,IF($B$265=B$3301,CV3539,IF($B$265=B$3302,CW3539,IF($B$265=B$3303,CX3539,IF($B$265=B$3304,CY3539,IF($B$265=B$3305,CZ3539,IF($B$265=B$3306,DA3539,IF($B$265=B$3307,DB3539,IF($B$265=B$3308,DC3539,IF($B$265=B$3309,DD3539,IF($B$265=B$3310,DE3539,IF($B$265=B$3311,DF3539,IF($B$265=B$3312,DG3539,IF($B$265=B$3313,DH3539,IF($B$265=B$3314,DI3539,IF($B$265=B$3315,DJ3539,IF($B$265=B$3316,DK3539,IF($B$265=B$3317,DL3539,IF($B$265=B$3318,DM3539,IF($B$265=B$3319,DN3539,IF($B$265=B$3320,DO3539,IF($B$265=B$3321,DP3539,IF($B$265=B$3322,DQ3539,IF($B$265=B$3323,DR3539,IF($B$265=B$3324,DS3539,IF($B$265=B$3325,DT3539,IF($B$265=B$3326,DU3539,IF($B$265=B$3327,DV3539,IF($B$265=B$3328,DW3539,IF($B$265=B$3329,DX3539,""))))))))))))))))))))))))))))))))))))))))))))))))))))</f>
        <v/>
      </c>
      <c r="BZ3540" s="245" t="s">
        <v>885</v>
      </c>
      <c r="CA3540" s="245" t="s">
        <v>885</v>
      </c>
      <c r="CC3540" s="245" t="s">
        <v>885</v>
      </c>
      <c r="CD3540" s="459" t="s">
        <v>885</v>
      </c>
      <c r="CE3540" s="459" t="s">
        <v>885</v>
      </c>
      <c r="CF3540" s="245" t="s">
        <v>885</v>
      </c>
      <c r="CG3540" s="245" t="s">
        <v>885</v>
      </c>
      <c r="CH3540" s="245" t="s">
        <v>885</v>
      </c>
      <c r="CI3540" s="245" t="s">
        <v>885</v>
      </c>
      <c r="CJ3540" s="459" t="s">
        <v>885</v>
      </c>
      <c r="CK3540" s="459" t="s">
        <v>885</v>
      </c>
      <c r="CL3540" s="459" t="s">
        <v>885</v>
      </c>
      <c r="CM3540" s="459" t="s">
        <v>885</v>
      </c>
      <c r="CN3540" s="459" t="s">
        <v>885</v>
      </c>
      <c r="CO3540" s="459" t="s">
        <v>885</v>
      </c>
      <c r="CP3540" s="459" t="s">
        <v>885</v>
      </c>
      <c r="CQ3540" s="459" t="s">
        <v>885</v>
      </c>
      <c r="CR3540" s="459" t="s">
        <v>885</v>
      </c>
      <c r="CS3540" s="459" t="s">
        <v>885</v>
      </c>
      <c r="CT3540" s="245" t="s">
        <v>885</v>
      </c>
      <c r="CU3540" s="463" t="s">
        <v>885</v>
      </c>
      <c r="CV3540" s="245" t="s">
        <v>885</v>
      </c>
      <c r="CW3540" s="245" t="s">
        <v>885</v>
      </c>
      <c r="CX3540" s="459" t="s">
        <v>885</v>
      </c>
      <c r="CY3540" s="459" t="s">
        <v>885</v>
      </c>
      <c r="CZ3540" s="459" t="s">
        <v>885</v>
      </c>
      <c r="DA3540" s="459" t="s">
        <v>885</v>
      </c>
      <c r="DB3540" s="459" t="s">
        <v>885</v>
      </c>
      <c r="DC3540" s="459" t="s">
        <v>885</v>
      </c>
      <c r="DD3540" s="459" t="s">
        <v>885</v>
      </c>
      <c r="DE3540" s="459" t="s">
        <v>885</v>
      </c>
      <c r="DF3540" s="459" t="s">
        <v>885</v>
      </c>
      <c r="DG3540" s="459" t="s">
        <v>885</v>
      </c>
      <c r="DH3540" s="459" t="s">
        <v>885</v>
      </c>
      <c r="DI3540" s="459" t="s">
        <v>885</v>
      </c>
      <c r="DJ3540" s="459" t="s">
        <v>885</v>
      </c>
      <c r="DK3540" s="459" t="s">
        <v>885</v>
      </c>
      <c r="DL3540" s="459" t="s">
        <v>885</v>
      </c>
      <c r="DM3540" s="459" t="s">
        <v>885</v>
      </c>
      <c r="DN3540" s="459" t="s">
        <v>885</v>
      </c>
      <c r="DO3540" s="459" t="s">
        <v>885</v>
      </c>
      <c r="DP3540" t="s">
        <v>3081</v>
      </c>
      <c r="DQ3540" s="459" t="s">
        <v>885</v>
      </c>
      <c r="DR3540" s="459" t="s">
        <v>885</v>
      </c>
      <c r="DS3540" s="459" t="s">
        <v>885</v>
      </c>
      <c r="DT3540" s="459" t="s">
        <v>885</v>
      </c>
      <c r="DU3540" s="459" t="s">
        <v>885</v>
      </c>
      <c r="DV3540" s="459" t="s">
        <v>885</v>
      </c>
      <c r="DW3540" s="459" t="s">
        <v>885</v>
      </c>
      <c r="DX3540" s="245" t="s">
        <v>885</v>
      </c>
      <c r="DY3540" s="245"/>
      <c r="DZ3540" s="470" t="str">
        <f>IF($B$265=$B$3278,EB3540,IF($B$265=$B$3279,ED3540,IF($B$265=$B$3280,EF3540,IF($B$265=$B$3281,EH3540,IF($B$265=$B$3282,EJ3540,IF($B$265=$B$3283,EL3540,IF($B$265=$B$3284,EN3540,IF($B$265=$B$3285,EP3540,IF($B$265=$B$3286,ER3540,IF($B$265=$B$3287,ET3540,IF($B$265=$B$3288,EV3540,IF($B$265=$B$3289,EX3540,IF($B$265=$B$3290,EZ3540,IF($B$265=$B$3291,FB3540,IF($B$265=$B$3292,FD3540,IF($B$265=$B$3293,BU3540,IF($B$265=$B$3294,FF3540,IF($B$265=$B$3295,FH3540,IF($B$265=$B$3296,FJ3540,IF($B$265=$B$3297,FL3540,IF($B$265=$B$3298,FN3540,IF($B$265=$B$3299,FP3540,IF(BI$265=$B$3300,FR3540,IF($B$265=$B$3301,FT3540,IF($B$265=$B$3302,FV3540,IF($B$265=$B$3303,FX3540,IF($B$265=$B$3304,FZ3540,IF($B$265=$B$3305,GB3540,IF($B$265=$B$3306,GD3540,IF($B$265=$B$3307,GF3540,IF($B$265=$B$3308,GH3540,IF($B$265=$B$3309,GJ3540,IF($B$265=$B$3310,GL3540,IF($B$265=$B$3311,GN3540,IF($B$265=$B$3312,GP3540,IF($B$265=$B$3313,GR3540,IF($B$265=$B$3314,GT3540,IF($B$265=$B$3315,GV3540,IF($B$265=$B$3316,GX3540,IF($B$265=$B$3317,GZ3540,IF($B$265=$B$3318,HB3540,IF($B$265=$B$3319,HD3540,IF($B$265=$B$3320,HF3540,IF($B$265=$B$3321,HH3540,IF($B$265=$B$3322,HJ3540,IF($B$265=$B$3323,HL3540,IF($B$265=$B$3324,HN3540,IF($B$265=$B$3325,HP3540,IF($B$265=$B$3326,HR3540,IF($B$265=$B$3327,HT3540,IF($B$265=$B$3328,HV3540,IF($B$265=$B$3329,HX3540,""))))))))))))))))))))))))))))))))))))))))))))))))))))</f>
        <v/>
      </c>
      <c r="EA3540" s="470" t="str">
        <f>IF($B$265=$B$3278,EC3540,IF($B$265=$B$3279,EE3540,IF($B$265=$B$3280,EG3540,IF($B$265=$B$3281,EI3540,IF($B$265=$B$3282,EK3540,IF($B$265=$B$3283,EM3540,IF($B$265=$B$3284,EO3540,IF($B$265=$B$3285,EQ3540,IF($B$265=$B$3286,ES3540,IF($B$265=$B$3287,EU3540,IF($B$265=$B$3288,EW3540,IF($B$265=$B$3289,EY3540,IF($B$265=$B$3290,FA3540,IF($B$265=$B$3291,FC3540,IF($B$265=$B$3292,FE3540,IF($B$265=$B$3293,BK3540,IF($B$265=$B$3294,FG3540,IF($B$265=$B$3295,FI3540,IF($B$265=$B$3296,FK3540,IF($B$265=$B$3297,FM3540,IF($B$265=$B$3298,FO3540,IF($B$265=$B$3299,FQ3540,IF(BJ$265=$B$3300,FS3540,IF($B$265=$B$3301,FU3540,IF($B$265=$B$3302,FW3540,IF($B$265=$B$3303,FY3540,IF($B$265=$B$3304,GA3540,IF($B$265=$B$3305,GC3540,IF($B$265=$B$3306,GE3540,IF($B$265=$B$3307,GG3540,IF($B$265=$B$3308,GI3540,IF($B$265=$B$3309,GK3540,IF($B$265=$B$3310,GM3540,IF($B$265=$B$3311,GO3540,IF($B$265=$B$3312,GQ3540,IF($B$265=$B$3313,GS3540,IF($B$265=$B$3314,GU3540,IF($B$265=$B$3315,GW3540,IF($B$265=$B$3316,GY3540,IF($B$265=$B$3317,HA3540,IF($B$265=$B$3318,HC3540,IF($B$265=$B$3319,HE3540,IF($B$265=$B$3320,HG3540,IF($B$265=$B$3321,HI3540,IF($B$265=$B$3322,HK3540,IF($B$265=$B$3323,HM3540,IF($B$265=$B$3324,HO3540,IF($B$265=$B$3325,HQ3540,IF($B$265=$B$3326,HS3540,IF($B$265=$B$3327,HU3540,IF($B$265=$B$3328,HW3540,IF($B$265=$B$3329,HY3540,""))))))))))))))))))))))))))))))))))))))))))))))))))))</f>
        <v/>
      </c>
      <c r="EB3540" s="459" t="s">
        <v>885</v>
      </c>
    </row>
    <row r="3541" spans="1:132" ht="16" hidden="1" x14ac:dyDescent="0.4">
      <c r="A3541" s="813"/>
      <c r="BS3541" s="464" t="str">
        <f>IF($B$265=B$3278,BZ3540,IF($B$265=B$3279,CA3540,IF($B$265=B$3280,CB3540,IF($B$265=B$3281,CC3540,IF($B$265=B$3282,CD3540,IF($B$265=B$3283,CE3540,IF($B$265=B$3284,CF3540,IF($B$265=B$3285,CG3540,IF($B$265=B$3286,CH3540,IF($B$265=B$3287,CI3540,IF($B$265=B$3288,CJ3540,IF($B$265=B$3289,CK3540,IF($B$265=B$3290,CL3540,IF($B$265=B$3291,CM3540,IF($B$265=B$3292,CN3540,IF($B$265=B$3293,C2973,IF($B$265=B$3294,CO3540,IF($B$265=B$3295,CP3540,IF($B$265=B$3296,CQ3540,IF($B$265=B$3297,CR3540,IF($B$265=B$3298,CS3540,IF($B$265=B$3299,CT3540,IF(B$265=B$3300,CU3540,IF($B$265=B$3301,CV3540,IF($B$265=B$3302,CW3540,IF($B$265=B$3303,CX3540,IF($B$265=B$3304,CY3540,IF($B$265=B$3305,CZ3540,IF($B$265=B$3306,DA3540,IF($B$265=B$3307,DB3540,IF($B$265=B$3308,DC3540,IF($B$265=B$3309,DD3540,IF($B$265=B$3310,DE3540,IF($B$265=B$3311,DF3540,IF($B$265=B$3312,DG3540,IF($B$265=B$3313,DH3540,IF($B$265=B$3314,DI3540,IF($B$265=B$3315,DJ3540,IF($B$265=B$3316,DK3540,IF($B$265=B$3317,DL3540,IF($B$265=B$3318,DM3540,IF($B$265=B$3319,DN3540,IF($B$265=B$3320,DO3540,IF($B$265=B$3321,DP3540,IF($B$265=B$3322,DQ3540,IF($B$265=B$3323,DR3540,IF($B$265=B$3324,DS3540,IF($B$265=B$3325,DT3540,IF($B$265=B$3326,DU3540,IF($B$265=B$3327,DV3540,IF($B$265=B$3328,DW3540,IF($B$265=B$3329,DX3540,""))))))))))))))))))))))))))))))))))))))))))))))))))))</f>
        <v/>
      </c>
      <c r="BZ3541" s="245" t="s">
        <v>885</v>
      </c>
      <c r="CA3541" s="245" t="s">
        <v>885</v>
      </c>
      <c r="CC3541" s="245" t="s">
        <v>885</v>
      </c>
      <c r="CD3541" s="459" t="s">
        <v>885</v>
      </c>
      <c r="CE3541" s="459" t="s">
        <v>885</v>
      </c>
      <c r="CF3541" s="245" t="s">
        <v>885</v>
      </c>
      <c r="CG3541" s="245" t="s">
        <v>885</v>
      </c>
      <c r="CH3541" s="245" t="s">
        <v>885</v>
      </c>
      <c r="CI3541" s="245" t="s">
        <v>885</v>
      </c>
      <c r="CJ3541" s="459" t="s">
        <v>885</v>
      </c>
      <c r="CK3541" s="459" t="s">
        <v>885</v>
      </c>
      <c r="CL3541" s="459" t="s">
        <v>885</v>
      </c>
      <c r="CM3541" s="459" t="s">
        <v>885</v>
      </c>
      <c r="CN3541" s="459" t="s">
        <v>885</v>
      </c>
      <c r="CO3541" s="459" t="s">
        <v>885</v>
      </c>
      <c r="CP3541" s="459" t="s">
        <v>885</v>
      </c>
      <c r="CQ3541" s="459" t="s">
        <v>885</v>
      </c>
      <c r="CR3541" s="459" t="s">
        <v>885</v>
      </c>
      <c r="CS3541" s="459" t="s">
        <v>885</v>
      </c>
      <c r="CT3541" s="245" t="s">
        <v>885</v>
      </c>
      <c r="CU3541" s="463" t="s">
        <v>885</v>
      </c>
      <c r="CV3541" s="245" t="s">
        <v>885</v>
      </c>
      <c r="CW3541" s="245" t="s">
        <v>885</v>
      </c>
      <c r="CX3541" s="459" t="s">
        <v>885</v>
      </c>
      <c r="CY3541" s="459" t="s">
        <v>885</v>
      </c>
      <c r="CZ3541" s="459" t="s">
        <v>885</v>
      </c>
      <c r="DA3541" s="459" t="s">
        <v>885</v>
      </c>
      <c r="DB3541" s="459" t="s">
        <v>885</v>
      </c>
      <c r="DC3541" s="459" t="s">
        <v>885</v>
      </c>
      <c r="DD3541" s="459" t="s">
        <v>885</v>
      </c>
      <c r="DE3541" s="459" t="s">
        <v>885</v>
      </c>
      <c r="DF3541" s="459" t="s">
        <v>885</v>
      </c>
      <c r="DG3541" s="459" t="s">
        <v>885</v>
      </c>
      <c r="DH3541" s="459" t="s">
        <v>885</v>
      </c>
      <c r="DI3541" s="459" t="s">
        <v>885</v>
      </c>
      <c r="DJ3541" s="459" t="s">
        <v>885</v>
      </c>
      <c r="DK3541" s="459" t="s">
        <v>885</v>
      </c>
      <c r="DL3541" s="459" t="s">
        <v>885</v>
      </c>
      <c r="DM3541" s="459" t="s">
        <v>885</v>
      </c>
      <c r="DN3541" s="459" t="s">
        <v>885</v>
      </c>
      <c r="DO3541" s="459" t="s">
        <v>885</v>
      </c>
      <c r="DP3541" t="s">
        <v>3082</v>
      </c>
      <c r="DQ3541" s="459" t="s">
        <v>885</v>
      </c>
      <c r="DR3541" s="459" t="s">
        <v>885</v>
      </c>
      <c r="DS3541" s="459" t="s">
        <v>885</v>
      </c>
      <c r="DT3541" s="459" t="s">
        <v>885</v>
      </c>
      <c r="DU3541" s="459" t="s">
        <v>885</v>
      </c>
      <c r="DV3541" s="459" t="s">
        <v>885</v>
      </c>
      <c r="DW3541" s="459" t="s">
        <v>885</v>
      </c>
      <c r="DX3541" s="245" t="s">
        <v>885</v>
      </c>
      <c r="DY3541" s="245"/>
      <c r="DZ3541" s="470" t="str">
        <f>IF($B$265=$B$3278,EB3541,IF($B$265=$B$3279,ED3541,IF($B$265=$B$3280,EF3541,IF($B$265=$B$3281,EH3541,IF($B$265=$B$3282,EJ3541,IF($B$265=$B$3283,EL3541,IF($B$265=$B$3284,EN3541,IF($B$265=$B$3285,EP3541,IF($B$265=$B$3286,ER3541,IF($B$265=$B$3287,ET3541,IF($B$265=$B$3288,EV3541,IF($B$265=$B$3289,EX3541,IF($B$265=$B$3290,EZ3541,IF($B$265=$B$3291,FB3541,IF($B$265=$B$3292,FD3541,IF($B$265=$B$3293,BU3541,IF($B$265=$B$3294,FF3541,IF($B$265=$B$3295,FH3541,IF($B$265=$B$3296,FJ3541,IF($B$265=$B$3297,FL3541,IF($B$265=$B$3298,FN3541,IF($B$265=$B$3299,FP3541,IF(BI$265=$B$3300,FR3541,IF($B$265=$B$3301,FT3541,IF($B$265=$B$3302,FV3541,IF($B$265=$B$3303,FX3541,IF($B$265=$B$3304,FZ3541,IF($B$265=$B$3305,GB3541,IF($B$265=$B$3306,GD3541,IF($B$265=$B$3307,GF3541,IF($B$265=$B$3308,GH3541,IF($B$265=$B$3309,GJ3541,IF($B$265=$B$3310,GL3541,IF($B$265=$B$3311,GN3541,IF($B$265=$B$3312,GP3541,IF($B$265=$B$3313,GR3541,IF($B$265=$B$3314,GT3541,IF($B$265=$B$3315,GV3541,IF($B$265=$B$3316,GX3541,IF($B$265=$B$3317,GZ3541,IF($B$265=$B$3318,HB3541,IF($B$265=$B$3319,HD3541,IF($B$265=$B$3320,HF3541,IF($B$265=$B$3321,HH3541,IF($B$265=$B$3322,HJ3541,IF($B$265=$B$3323,HL3541,IF($B$265=$B$3324,HN3541,IF($B$265=$B$3325,HP3541,IF($B$265=$B$3326,HR3541,IF($B$265=$B$3327,HT3541,IF($B$265=$B$3328,HV3541,IF($B$265=$B$3329,HX3541,""))))))))))))))))))))))))))))))))))))))))))))))))))))</f>
        <v/>
      </c>
      <c r="EA3541" s="470" t="str">
        <f>IF($B$265=$B$3278,EC3541,IF($B$265=$B$3279,EE3541,IF($B$265=$B$3280,EG3541,IF($B$265=$B$3281,EI3541,IF($B$265=$B$3282,EK3541,IF($B$265=$B$3283,EM3541,IF($B$265=$B$3284,EO3541,IF($B$265=$B$3285,EQ3541,IF($B$265=$B$3286,ES3541,IF($B$265=$B$3287,EU3541,IF($B$265=$B$3288,EW3541,IF($B$265=$B$3289,EY3541,IF($B$265=$B$3290,FA3541,IF($B$265=$B$3291,FC3541,IF($B$265=$B$3292,FE3541,IF($B$265=$B$3293,BK3541,IF($B$265=$B$3294,FG3541,IF($B$265=$B$3295,FI3541,IF($B$265=$B$3296,FK3541,IF($B$265=$B$3297,FM3541,IF($B$265=$B$3298,FO3541,IF($B$265=$B$3299,FQ3541,IF(BJ$265=$B$3300,FS3541,IF($B$265=$B$3301,FU3541,IF($B$265=$B$3302,FW3541,IF($B$265=$B$3303,FY3541,IF($B$265=$B$3304,GA3541,IF($B$265=$B$3305,GC3541,IF($B$265=$B$3306,GE3541,IF($B$265=$B$3307,GG3541,IF($B$265=$B$3308,GI3541,IF($B$265=$B$3309,GK3541,IF($B$265=$B$3310,GM3541,IF($B$265=$B$3311,GO3541,IF($B$265=$B$3312,GQ3541,IF($B$265=$B$3313,GS3541,IF($B$265=$B$3314,GU3541,IF($B$265=$B$3315,GW3541,IF($B$265=$B$3316,GY3541,IF($B$265=$B$3317,HA3541,IF($B$265=$B$3318,HC3541,IF($B$265=$B$3319,HE3541,IF($B$265=$B$3320,HG3541,IF($B$265=$B$3321,HI3541,IF($B$265=$B$3322,HK3541,IF($B$265=$B$3323,HM3541,IF($B$265=$B$3324,HO3541,IF($B$265=$B$3325,HQ3541,IF($B$265=$B$3326,HS3541,IF($B$265=$B$3327,HU3541,IF($B$265=$B$3328,HW3541,IF($B$265=$B$3329,HY3541,""))))))))))))))))))))))))))))))))))))))))))))))))))))</f>
        <v/>
      </c>
      <c r="EB3541" s="459" t="s">
        <v>885</v>
      </c>
    </row>
    <row r="3542" spans="1:132" ht="16" hidden="1" x14ac:dyDescent="0.4">
      <c r="A3542" s="813"/>
      <c r="BS3542" s="464" t="str">
        <f>IF($B$265=B$3278,BZ3541,IF($B$265=B$3279,CA3541,IF($B$265=B$3280,CB3541,IF($B$265=B$3281,CC3541,IF($B$265=B$3282,CD3541,IF($B$265=B$3283,CE3541,IF($B$265=B$3284,CF3541,IF($B$265=B$3285,CG3541,IF($B$265=B$3286,CH3541,IF($B$265=B$3287,CI3541,IF($B$265=B$3288,CJ3541,IF($B$265=B$3289,CK3541,IF($B$265=B$3290,CL3541,IF($B$265=B$3291,CM3541,IF($B$265=B$3292,CN3541,IF($B$265=B$3293,C2974,IF($B$265=B$3294,CO3541,IF($B$265=B$3295,CP3541,IF($B$265=B$3296,CQ3541,IF($B$265=B$3297,CR3541,IF($B$265=B$3298,CS3541,IF($B$265=B$3299,CT3541,IF(B$265=B$3300,CU3541,IF($B$265=B$3301,CV3541,IF($B$265=B$3302,CW3541,IF($B$265=B$3303,CX3541,IF($B$265=B$3304,CY3541,IF($B$265=B$3305,CZ3541,IF($B$265=B$3306,DA3541,IF($B$265=B$3307,DB3541,IF($B$265=B$3308,DC3541,IF($B$265=B$3309,DD3541,IF($B$265=B$3310,DE3541,IF($B$265=B$3311,DF3541,IF($B$265=B$3312,DG3541,IF($B$265=B$3313,DH3541,IF($B$265=B$3314,DI3541,IF($B$265=B$3315,DJ3541,IF($B$265=B$3316,DK3541,IF($B$265=B$3317,DL3541,IF($B$265=B$3318,DM3541,IF($B$265=B$3319,DN3541,IF($B$265=B$3320,DO3541,IF($B$265=B$3321,DP3541,IF($B$265=B$3322,DQ3541,IF($B$265=B$3323,DR3541,IF($B$265=B$3324,DS3541,IF($B$265=B$3325,DT3541,IF($B$265=B$3326,DU3541,IF($B$265=B$3327,DV3541,IF($B$265=B$3328,DW3541,IF($B$265=B$3329,DX3541,""))))))))))))))))))))))))))))))))))))))))))))))))))))</f>
        <v/>
      </c>
      <c r="BZ3542" s="245" t="s">
        <v>885</v>
      </c>
      <c r="CA3542" s="245" t="s">
        <v>885</v>
      </c>
      <c r="CC3542" s="245" t="s">
        <v>885</v>
      </c>
      <c r="CD3542" s="459" t="s">
        <v>885</v>
      </c>
      <c r="CE3542" s="459" t="s">
        <v>885</v>
      </c>
      <c r="CF3542" s="245" t="s">
        <v>885</v>
      </c>
      <c r="CG3542" s="245" t="s">
        <v>885</v>
      </c>
      <c r="CH3542" s="245" t="s">
        <v>885</v>
      </c>
      <c r="CI3542" s="245" t="s">
        <v>885</v>
      </c>
      <c r="CJ3542" s="459" t="s">
        <v>885</v>
      </c>
      <c r="CK3542" s="459" t="s">
        <v>885</v>
      </c>
      <c r="CL3542" s="459" t="s">
        <v>885</v>
      </c>
      <c r="CM3542" s="459" t="s">
        <v>885</v>
      </c>
      <c r="CN3542" s="459" t="s">
        <v>885</v>
      </c>
      <c r="CO3542" s="459" t="s">
        <v>885</v>
      </c>
      <c r="CP3542" s="459" t="s">
        <v>885</v>
      </c>
      <c r="CQ3542" s="459" t="s">
        <v>885</v>
      </c>
      <c r="CR3542" s="459" t="s">
        <v>885</v>
      </c>
      <c r="CS3542" s="459" t="s">
        <v>885</v>
      </c>
      <c r="CT3542" s="245" t="s">
        <v>885</v>
      </c>
      <c r="CU3542" s="463" t="s">
        <v>885</v>
      </c>
      <c r="CV3542" s="245" t="s">
        <v>885</v>
      </c>
      <c r="CW3542" s="245" t="s">
        <v>885</v>
      </c>
      <c r="CX3542" s="459" t="s">
        <v>885</v>
      </c>
      <c r="CY3542" s="459" t="s">
        <v>885</v>
      </c>
      <c r="CZ3542" s="459" t="s">
        <v>885</v>
      </c>
      <c r="DA3542" s="459" t="s">
        <v>885</v>
      </c>
      <c r="DB3542" s="459" t="s">
        <v>885</v>
      </c>
      <c r="DC3542" s="459" t="s">
        <v>885</v>
      </c>
      <c r="DD3542" s="459" t="s">
        <v>885</v>
      </c>
      <c r="DE3542" s="459" t="s">
        <v>885</v>
      </c>
      <c r="DF3542" s="459" t="s">
        <v>885</v>
      </c>
      <c r="DG3542" s="459" t="s">
        <v>885</v>
      </c>
      <c r="DH3542" s="459" t="s">
        <v>885</v>
      </c>
      <c r="DI3542" s="459" t="s">
        <v>885</v>
      </c>
      <c r="DJ3542" s="459" t="s">
        <v>885</v>
      </c>
      <c r="DK3542" s="459" t="s">
        <v>885</v>
      </c>
      <c r="DL3542" s="459" t="s">
        <v>885</v>
      </c>
      <c r="DM3542" s="459" t="s">
        <v>885</v>
      </c>
      <c r="DN3542" s="459" t="s">
        <v>885</v>
      </c>
      <c r="DO3542" s="459" t="s">
        <v>885</v>
      </c>
      <c r="DP3542" t="s">
        <v>1857</v>
      </c>
      <c r="DQ3542" s="459" t="s">
        <v>885</v>
      </c>
      <c r="DR3542" s="459" t="s">
        <v>885</v>
      </c>
      <c r="DS3542" s="459" t="s">
        <v>885</v>
      </c>
      <c r="DT3542" s="459" t="s">
        <v>885</v>
      </c>
      <c r="DU3542" s="459" t="s">
        <v>885</v>
      </c>
      <c r="DV3542" s="459" t="s">
        <v>885</v>
      </c>
      <c r="DW3542" s="459" t="s">
        <v>885</v>
      </c>
      <c r="DX3542" s="245" t="s">
        <v>885</v>
      </c>
      <c r="DY3542" s="245"/>
      <c r="DZ3542" s="470" t="str">
        <f>IF($B$265=$B$3278,EB3542,IF($B$265=$B$3279,ED3542,IF($B$265=$B$3280,EF3542,IF($B$265=$B$3281,EH3542,IF($B$265=$B$3282,EJ3542,IF($B$265=$B$3283,EL3542,IF($B$265=$B$3284,EN3542,IF($B$265=$B$3285,EP3542,IF($B$265=$B$3286,ER3542,IF($B$265=$B$3287,ET3542,IF($B$265=$B$3288,EV3542,IF($B$265=$B$3289,EX3542,IF($B$265=$B$3290,EZ3542,IF($B$265=$B$3291,FB3542,IF($B$265=$B$3292,FD3542,IF($B$265=$B$3293,BU3542,IF($B$265=$B$3294,FF3542,IF($B$265=$B$3295,FH3542,IF($B$265=$B$3296,FJ3542,IF($B$265=$B$3297,FL3542,IF($B$265=$B$3298,FN3542,IF($B$265=$B$3299,FP3542,IF(BI$265=$B$3300,FR3542,IF($B$265=$B$3301,FT3542,IF($B$265=$B$3302,FV3542,IF($B$265=$B$3303,FX3542,IF($B$265=$B$3304,FZ3542,IF($B$265=$B$3305,GB3542,IF($B$265=$B$3306,GD3542,IF($B$265=$B$3307,GF3542,IF($B$265=$B$3308,GH3542,IF($B$265=$B$3309,GJ3542,IF($B$265=$B$3310,GL3542,IF($B$265=$B$3311,GN3542,IF($B$265=$B$3312,GP3542,IF($B$265=$B$3313,GR3542,IF($B$265=$B$3314,GT3542,IF($B$265=$B$3315,GV3542,IF($B$265=$B$3316,GX3542,IF($B$265=$B$3317,GZ3542,IF($B$265=$B$3318,HB3542,IF($B$265=$B$3319,HD3542,IF($B$265=$B$3320,HF3542,IF($B$265=$B$3321,HH3542,IF($B$265=$B$3322,HJ3542,IF($B$265=$B$3323,HL3542,IF($B$265=$B$3324,HN3542,IF($B$265=$B$3325,HP3542,IF($B$265=$B$3326,HR3542,IF($B$265=$B$3327,HT3542,IF($B$265=$B$3328,HV3542,IF($B$265=$B$3329,HX3542,""))))))))))))))))))))))))))))))))))))))))))))))))))))</f>
        <v/>
      </c>
      <c r="EA3542" s="470" t="str">
        <f>IF($B$265=$B$3278,EC3542,IF($B$265=$B$3279,EE3542,IF($B$265=$B$3280,EG3542,IF($B$265=$B$3281,EI3542,IF($B$265=$B$3282,EK3542,IF($B$265=$B$3283,EM3542,IF($B$265=$B$3284,EO3542,IF($B$265=$B$3285,EQ3542,IF($B$265=$B$3286,ES3542,IF($B$265=$B$3287,EU3542,IF($B$265=$B$3288,EW3542,IF($B$265=$B$3289,EY3542,IF($B$265=$B$3290,FA3542,IF($B$265=$B$3291,FC3542,IF($B$265=$B$3292,FE3542,IF($B$265=$B$3293,BK3542,IF($B$265=$B$3294,FG3542,IF($B$265=$B$3295,FI3542,IF($B$265=$B$3296,FK3542,IF($B$265=$B$3297,FM3542,IF($B$265=$B$3298,FO3542,IF($B$265=$B$3299,FQ3542,IF(BJ$265=$B$3300,FS3542,IF($B$265=$B$3301,FU3542,IF($B$265=$B$3302,FW3542,IF($B$265=$B$3303,FY3542,IF($B$265=$B$3304,GA3542,IF($B$265=$B$3305,GC3542,IF($B$265=$B$3306,GE3542,IF($B$265=$B$3307,GG3542,IF($B$265=$B$3308,GI3542,IF($B$265=$B$3309,GK3542,IF($B$265=$B$3310,GM3542,IF($B$265=$B$3311,GO3542,IF($B$265=$B$3312,GQ3542,IF($B$265=$B$3313,GS3542,IF($B$265=$B$3314,GU3542,IF($B$265=$B$3315,GW3542,IF($B$265=$B$3316,GY3542,IF($B$265=$B$3317,HA3542,IF($B$265=$B$3318,HC3542,IF($B$265=$B$3319,HE3542,IF($B$265=$B$3320,HG3542,IF($B$265=$B$3321,HI3542,IF($B$265=$B$3322,HK3542,IF($B$265=$B$3323,HM3542,IF($B$265=$B$3324,HO3542,IF($B$265=$B$3325,HQ3542,IF($B$265=$B$3326,HS3542,IF($B$265=$B$3327,HU3542,IF($B$265=$B$3328,HW3542,IF($B$265=$B$3329,HY3542,""))))))))))))))))))))))))))))))))))))))))))))))))))))</f>
        <v/>
      </c>
      <c r="EB3542" s="459" t="s">
        <v>885</v>
      </c>
    </row>
    <row r="3543" spans="1:132" ht="16" hidden="1" x14ac:dyDescent="0.4">
      <c r="A3543" s="813"/>
      <c r="BS3543" s="464" t="str">
        <f>IF($B$265=B$3278,BZ3542,IF($B$265=B$3279,CA3542,IF($B$265=B$3280,CB3542,IF($B$265=B$3281,CC3542,IF($B$265=B$3282,CD3542,IF($B$265=B$3283,CE3542,IF($B$265=B$3284,CF3542,IF($B$265=B$3285,CG3542,IF($B$265=B$3286,CH3542,IF($B$265=B$3287,CI3542,IF($B$265=B$3288,CJ3542,IF($B$265=B$3289,CK3542,IF($B$265=B$3290,CL3542,IF($B$265=B$3291,CM3542,IF($B$265=B$3292,CN3542,IF($B$265=B$3293,C3542,IF($B$265=B$3294,CO3542,IF($B$265=B$3295,CP3542,IF($B$265=B$3296,CQ3542,IF($B$265=B$3297,CR3542,IF($B$265=B$3298,CS3542,IF($B$265=B$3299,CT3542,IF(B$265=B$3300,CU3542,IF($B$265=B$3301,CV3542,IF($B$265=B$3302,CW3542,IF($B$265=B$3303,CX3542,IF($B$265=B$3304,CY3542,IF($B$265=B$3305,CZ3542,IF($B$265=B$3306,DA3542,IF($B$265=B$3307,DB3542,IF($B$265=B$3308,DC3542,IF($B$265=B$3309,DD3542,IF($B$265=B$3310,DE3542,IF($B$265=B$3311,DF3542,IF($B$265=B$3312,DG3542,IF($B$265=B$3313,DH3542,IF($B$265=B$3314,DI3542,IF($B$265=B$3315,DJ3542,IF($B$265=B$3316,DK3542,IF($B$265=B$3317,DL3542,IF($B$265=B$3318,DM3542,IF($B$265=B$3319,DN3542,IF($B$265=B$3320,DO3542,IF($B$265=B$3321,DP3542,IF($B$265=B$3322,DQ3542,IF($B$265=B$3323,DR3542,IF($B$265=B$3324,DS3542,IF($B$265=B$3325,DT3542,IF($B$265=B$3326,DU3542,IF($B$265=B$3327,DV3542,IF($B$265=B$3328,DW3542,IF($B$265=B$3329,DX3542,""))))))))))))))))))))))))))))))))))))))))))))))))))))</f>
        <v/>
      </c>
      <c r="BZ3543" s="245" t="s">
        <v>885</v>
      </c>
      <c r="CA3543" s="245" t="s">
        <v>885</v>
      </c>
      <c r="CC3543" s="245" t="s">
        <v>885</v>
      </c>
      <c r="CD3543" s="459" t="s">
        <v>885</v>
      </c>
      <c r="CE3543" s="459" t="s">
        <v>885</v>
      </c>
      <c r="CF3543" s="245" t="s">
        <v>885</v>
      </c>
      <c r="CG3543" s="245" t="s">
        <v>885</v>
      </c>
      <c r="CH3543" s="245" t="s">
        <v>885</v>
      </c>
      <c r="CI3543" s="245" t="s">
        <v>885</v>
      </c>
      <c r="CJ3543" s="459" t="s">
        <v>885</v>
      </c>
      <c r="CK3543" s="459" t="s">
        <v>885</v>
      </c>
      <c r="CL3543" s="459" t="s">
        <v>885</v>
      </c>
      <c r="CM3543" s="459" t="s">
        <v>885</v>
      </c>
      <c r="CN3543" s="459" t="s">
        <v>885</v>
      </c>
      <c r="CO3543" s="459" t="s">
        <v>885</v>
      </c>
      <c r="CP3543" s="459" t="s">
        <v>885</v>
      </c>
      <c r="CQ3543" s="459" t="s">
        <v>885</v>
      </c>
      <c r="CR3543" s="459" t="s">
        <v>885</v>
      </c>
      <c r="CS3543" s="459" t="s">
        <v>885</v>
      </c>
      <c r="CT3543" s="245" t="s">
        <v>885</v>
      </c>
      <c r="CU3543" s="463" t="s">
        <v>885</v>
      </c>
      <c r="CV3543" s="245" t="s">
        <v>885</v>
      </c>
      <c r="CW3543" s="245" t="s">
        <v>885</v>
      </c>
      <c r="CX3543" s="459" t="s">
        <v>885</v>
      </c>
      <c r="CY3543" s="459" t="s">
        <v>885</v>
      </c>
      <c r="CZ3543" s="459" t="s">
        <v>885</v>
      </c>
      <c r="DA3543" s="459" t="s">
        <v>885</v>
      </c>
      <c r="DB3543" s="459" t="s">
        <v>885</v>
      </c>
      <c r="DC3543" s="459" t="s">
        <v>885</v>
      </c>
      <c r="DD3543" s="459" t="s">
        <v>885</v>
      </c>
      <c r="DE3543" s="459" t="s">
        <v>885</v>
      </c>
      <c r="DF3543" s="459" t="s">
        <v>885</v>
      </c>
      <c r="DG3543" s="459" t="s">
        <v>885</v>
      </c>
      <c r="DH3543" s="459" t="s">
        <v>885</v>
      </c>
      <c r="DI3543" s="459" t="s">
        <v>885</v>
      </c>
      <c r="DJ3543" s="459" t="s">
        <v>885</v>
      </c>
      <c r="DK3543" s="459" t="s">
        <v>885</v>
      </c>
      <c r="DL3543" s="459" t="s">
        <v>885</v>
      </c>
      <c r="DM3543" s="459" t="s">
        <v>885</v>
      </c>
      <c r="DN3543" s="459" t="s">
        <v>885</v>
      </c>
      <c r="DO3543" s="459" t="s">
        <v>885</v>
      </c>
      <c r="DP3543" t="s">
        <v>2103</v>
      </c>
      <c r="DQ3543" s="459" t="s">
        <v>885</v>
      </c>
      <c r="DR3543" s="459" t="s">
        <v>885</v>
      </c>
      <c r="DS3543" s="459" t="s">
        <v>885</v>
      </c>
      <c r="DT3543" s="459" t="s">
        <v>885</v>
      </c>
      <c r="DU3543" s="459" t="s">
        <v>885</v>
      </c>
      <c r="DV3543" s="459" t="s">
        <v>885</v>
      </c>
      <c r="DW3543" s="459" t="s">
        <v>885</v>
      </c>
      <c r="DX3543" s="245" t="s">
        <v>885</v>
      </c>
      <c r="DY3543" s="245"/>
      <c r="DZ3543" s="470" t="str">
        <f>IF($B$265=$B$3278,EB3543,IF($B$265=$B$3279,ED3543,IF($B$265=$B$3280,EF3543,IF($B$265=$B$3281,EH3543,IF($B$265=$B$3282,EJ3543,IF($B$265=$B$3283,EL3543,IF($B$265=$B$3284,EN3543,IF($B$265=$B$3285,EP3543,IF($B$265=$B$3286,ER3543,IF($B$265=$B$3287,ET3543,IF($B$265=$B$3288,EV3543,IF($B$265=$B$3289,EX3543,IF($B$265=$B$3290,EZ3543,IF($B$265=$B$3291,FB3543,IF($B$265=$B$3292,FD3543,IF($B$265=$B$3293,BU3543,IF($B$265=$B$3294,FF3543,IF($B$265=$B$3295,FH3543,IF($B$265=$B$3296,FJ3543,IF($B$265=$B$3297,FL3543,IF($B$265=$B$3298,FN3543,IF($B$265=$B$3299,FP3543,IF(BI$265=$B$3300,FR3543,IF($B$265=$B$3301,FT3543,IF($B$265=$B$3302,FV3543,IF($B$265=$B$3303,FX3543,IF($B$265=$B$3304,FZ3543,IF($B$265=$B$3305,GB3543,IF($B$265=$B$3306,GD3543,IF($B$265=$B$3307,GF3543,IF($B$265=$B$3308,GH3543,IF($B$265=$B$3309,GJ3543,IF($B$265=$B$3310,GL3543,IF($B$265=$B$3311,GN3543,IF($B$265=$B$3312,GP3543,IF($B$265=$B$3313,GR3543,IF($B$265=$B$3314,GT3543,IF($B$265=$B$3315,GV3543,IF($B$265=$B$3316,GX3543,IF($B$265=$B$3317,GZ3543,IF($B$265=$B$3318,HB3543,IF($B$265=$B$3319,HD3543,IF($B$265=$B$3320,HF3543,IF($B$265=$B$3321,HH3543,IF($B$265=$B$3322,HJ3543,IF($B$265=$B$3323,HL3543,IF($B$265=$B$3324,HN3543,IF($B$265=$B$3325,HP3543,IF($B$265=$B$3326,HR3543,IF($B$265=$B$3327,HT3543,IF($B$265=$B$3328,HV3543,IF($B$265=$B$3329,HX3543,""))))))))))))))))))))))))))))))))))))))))))))))))))))</f>
        <v/>
      </c>
      <c r="EA3543" s="470" t="str">
        <f>IF($B$265=$B$3278,EC3543,IF($B$265=$B$3279,EE3543,IF($B$265=$B$3280,EG3543,IF($B$265=$B$3281,EI3543,IF($B$265=$B$3282,EK3543,IF($B$265=$B$3283,EM3543,IF($B$265=$B$3284,EO3543,IF($B$265=$B$3285,EQ3543,IF($B$265=$B$3286,ES3543,IF($B$265=$B$3287,EU3543,IF($B$265=$B$3288,EW3543,IF($B$265=$B$3289,EY3543,IF($B$265=$B$3290,FA3543,IF($B$265=$B$3291,FC3543,IF($B$265=$B$3292,FE3543,IF($B$265=$B$3293,BK3543,IF($B$265=$B$3294,FG3543,IF($B$265=$B$3295,FI3543,IF($B$265=$B$3296,FK3543,IF($B$265=$B$3297,FM3543,IF($B$265=$B$3298,FO3543,IF($B$265=$B$3299,FQ3543,IF(BJ$265=$B$3300,FS3543,IF($B$265=$B$3301,FU3543,IF($B$265=$B$3302,FW3543,IF($B$265=$B$3303,FY3543,IF($B$265=$B$3304,GA3543,IF($B$265=$B$3305,GC3543,IF($B$265=$B$3306,GE3543,IF($B$265=$B$3307,GG3543,IF($B$265=$B$3308,GI3543,IF($B$265=$B$3309,GK3543,IF($B$265=$B$3310,GM3543,IF($B$265=$B$3311,GO3543,IF($B$265=$B$3312,GQ3543,IF($B$265=$B$3313,GS3543,IF($B$265=$B$3314,GU3543,IF($B$265=$B$3315,GW3543,IF($B$265=$B$3316,GY3543,IF($B$265=$B$3317,HA3543,IF($B$265=$B$3318,HC3543,IF($B$265=$B$3319,HE3543,IF($B$265=$B$3320,HG3543,IF($B$265=$B$3321,HI3543,IF($B$265=$B$3322,HK3543,IF($B$265=$B$3323,HM3543,IF($B$265=$B$3324,HO3543,IF($B$265=$B$3325,HQ3543,IF($B$265=$B$3326,HS3543,IF($B$265=$B$3327,HU3543,IF($B$265=$B$3328,HW3543,IF($B$265=$B$3329,HY3543,""))))))))))))))))))))))))))))))))))))))))))))))))))))</f>
        <v/>
      </c>
      <c r="EB3543" s="459" t="s">
        <v>885</v>
      </c>
    </row>
    <row r="3544" spans="1:132" ht="16" hidden="1" x14ac:dyDescent="0.4">
      <c r="A3544" s="813"/>
      <c r="BS3544" s="464" t="str">
        <f>IF($B$265=B$3278,BZ3543,IF($B$265=B$3279,CA3543,IF($B$265=B$3280,CB3543,IF($B$265=B$3281,CC3543,IF($B$265=B$3282,CD3543,IF($B$265=B$3283,CE3543,IF($B$265=B$3284,CF3543,IF($B$265=B$3285,CG3543,IF($B$265=B$3286,CH3543,IF($B$265=B$3287,CI3543,IF($B$265=B$3288,CJ3543,IF($B$265=B$3289,CK3543,IF($B$265=B$3290,CL3543,IF($B$265=B$3291,CM3543,IF($B$265=B$3292,CN3543,IF($B$265=B$3293,C3543,IF($B$265=B$3294,CO3543,IF($B$265=B$3295,CP3543,IF($B$265=B$3296,CQ3543,IF($B$265=B$3297,CR3543,IF($B$265=B$3298,CS3543,IF($B$265=B$3299,CT3543,IF(B$265=B$3300,CU3543,IF($B$265=B$3301,CV3543,IF($B$265=B$3302,CW3543,IF($B$265=B$3303,CX3543,IF($B$265=B$3304,CY3543,IF($B$265=B$3305,CZ3543,IF($B$265=B$3306,DA3543,IF($B$265=B$3307,DB3543,IF($B$265=B$3308,DC3543,IF($B$265=B$3309,DD3543,IF($B$265=B$3310,DE3543,IF($B$265=B$3311,DF3543,IF($B$265=B$3312,DG3543,IF($B$265=B$3313,DH3543,IF($B$265=B$3314,DI3543,IF($B$265=B$3315,DJ3543,IF($B$265=B$3316,DK3543,IF($B$265=B$3317,DL3543,IF($B$265=B$3318,DM3543,IF($B$265=B$3319,DN3543,IF($B$265=B$3320,DO3543,IF($B$265=B$3321,DP3543,IF($B$265=B$3322,DQ3543,IF($B$265=B$3323,DR3543,IF($B$265=B$3324,DS3543,IF($B$265=B$3325,DT3543,IF($B$265=B$3326,DU3543,IF($B$265=B$3327,DV3543,IF($B$265=B$3328,DW3543,IF($B$265=B$3329,DX3543,""))))))))))))))))))))))))))))))))))))))))))))))))))))</f>
        <v/>
      </c>
      <c r="BZ3544" s="245" t="s">
        <v>885</v>
      </c>
      <c r="CA3544" s="245" t="s">
        <v>885</v>
      </c>
      <c r="CC3544" s="245" t="s">
        <v>885</v>
      </c>
      <c r="CD3544" s="459" t="s">
        <v>885</v>
      </c>
      <c r="CE3544" s="459" t="s">
        <v>885</v>
      </c>
      <c r="CF3544" s="245" t="s">
        <v>885</v>
      </c>
      <c r="CG3544" s="245" t="s">
        <v>885</v>
      </c>
      <c r="CH3544" s="245" t="s">
        <v>885</v>
      </c>
      <c r="CI3544" s="245" t="s">
        <v>885</v>
      </c>
      <c r="CJ3544" s="459" t="s">
        <v>885</v>
      </c>
      <c r="CK3544" s="459" t="s">
        <v>885</v>
      </c>
      <c r="CL3544" s="459" t="s">
        <v>885</v>
      </c>
      <c r="CM3544" s="459" t="s">
        <v>885</v>
      </c>
      <c r="CN3544" s="459" t="s">
        <v>885</v>
      </c>
      <c r="CO3544" s="459" t="s">
        <v>885</v>
      </c>
      <c r="CP3544" s="459" t="s">
        <v>885</v>
      </c>
      <c r="CQ3544" s="459" t="s">
        <v>885</v>
      </c>
      <c r="CR3544" s="459" t="s">
        <v>885</v>
      </c>
      <c r="CS3544" s="459" t="s">
        <v>885</v>
      </c>
      <c r="CT3544" s="245" t="s">
        <v>885</v>
      </c>
      <c r="CU3544" s="463" t="s">
        <v>885</v>
      </c>
      <c r="CV3544" s="245" t="s">
        <v>885</v>
      </c>
      <c r="CW3544" s="245" t="s">
        <v>885</v>
      </c>
      <c r="CX3544" s="459" t="s">
        <v>885</v>
      </c>
      <c r="CY3544" s="459" t="s">
        <v>885</v>
      </c>
      <c r="CZ3544" s="459" t="s">
        <v>885</v>
      </c>
      <c r="DA3544" s="459" t="s">
        <v>885</v>
      </c>
      <c r="DB3544" s="459" t="s">
        <v>885</v>
      </c>
      <c r="DC3544" s="459" t="s">
        <v>885</v>
      </c>
      <c r="DD3544" s="459" t="s">
        <v>885</v>
      </c>
      <c r="DE3544" s="459" t="s">
        <v>885</v>
      </c>
      <c r="DF3544" s="459" t="s">
        <v>885</v>
      </c>
      <c r="DG3544" s="459" t="s">
        <v>885</v>
      </c>
      <c r="DH3544" s="459" t="s">
        <v>885</v>
      </c>
      <c r="DI3544" s="459" t="s">
        <v>885</v>
      </c>
      <c r="DJ3544" s="459" t="s">
        <v>885</v>
      </c>
      <c r="DK3544" s="459" t="s">
        <v>885</v>
      </c>
      <c r="DL3544" s="459" t="s">
        <v>885</v>
      </c>
      <c r="DM3544" s="459" t="s">
        <v>885</v>
      </c>
      <c r="DN3544" s="459" t="s">
        <v>885</v>
      </c>
      <c r="DO3544" s="459" t="s">
        <v>885</v>
      </c>
      <c r="DP3544" t="s">
        <v>3083</v>
      </c>
      <c r="DQ3544" s="459" t="s">
        <v>885</v>
      </c>
      <c r="DR3544" s="459" t="s">
        <v>885</v>
      </c>
      <c r="DS3544" s="459" t="s">
        <v>885</v>
      </c>
      <c r="DT3544" s="459" t="s">
        <v>885</v>
      </c>
      <c r="DU3544" s="459" t="s">
        <v>885</v>
      </c>
      <c r="DV3544" s="459" t="s">
        <v>885</v>
      </c>
      <c r="DW3544" s="459" t="s">
        <v>885</v>
      </c>
      <c r="DX3544" s="245" t="s">
        <v>885</v>
      </c>
      <c r="DY3544" s="245"/>
      <c r="DZ3544" s="470" t="str">
        <f>IF($B$265=$B$3278,EB3544,IF($B$265=$B$3279,ED3544,IF($B$265=$B$3280,EF3544,IF($B$265=$B$3281,EH3544,IF($B$265=$B$3282,EJ3544,IF($B$265=$B$3283,EL3544,IF($B$265=$B$3284,EN3544,IF($B$265=$B$3285,EP3544,IF($B$265=$B$3286,ER3544,IF($B$265=$B$3287,ET3544,IF($B$265=$B$3288,EV3544,IF($B$265=$B$3289,EX3544,IF($B$265=$B$3290,EZ3544,IF($B$265=$B$3291,FB3544,IF($B$265=$B$3292,FD3544,IF($B$265=$B$3293,BU3544,IF($B$265=$B$3294,FF3544,IF($B$265=$B$3295,FH3544,IF($B$265=$B$3296,FJ3544,IF($B$265=$B$3297,FL3544,IF($B$265=$B$3298,FN3544,IF($B$265=$B$3299,FP3544,IF(BI$265=$B$3300,FR3544,IF($B$265=$B$3301,FT3544,IF($B$265=$B$3302,FV3544,IF($B$265=$B$3303,FX3544,IF($B$265=$B$3304,FZ3544,IF($B$265=$B$3305,GB3544,IF($B$265=$B$3306,GD3544,IF($B$265=$B$3307,GF3544,IF($B$265=$B$3308,GH3544,IF($B$265=$B$3309,GJ3544,IF($B$265=$B$3310,GL3544,IF($B$265=$B$3311,GN3544,IF($B$265=$B$3312,GP3544,IF($B$265=$B$3313,GR3544,IF($B$265=$B$3314,GT3544,IF($B$265=$B$3315,GV3544,IF($B$265=$B$3316,GX3544,IF($B$265=$B$3317,GZ3544,IF($B$265=$B$3318,HB3544,IF($B$265=$B$3319,HD3544,IF($B$265=$B$3320,HF3544,IF($B$265=$B$3321,HH3544,IF($B$265=$B$3322,HJ3544,IF($B$265=$B$3323,HL3544,IF($B$265=$B$3324,HN3544,IF($B$265=$B$3325,HP3544,IF($B$265=$B$3326,HR3544,IF($B$265=$B$3327,HT3544,IF($B$265=$B$3328,HV3544,IF($B$265=$B$3329,HX3544,""))))))))))))))))))))))))))))))))))))))))))))))))))))</f>
        <v/>
      </c>
      <c r="EA3544" s="470" t="str">
        <f>IF($B$265=$B$3278,EC3544,IF($B$265=$B$3279,EE3544,IF($B$265=$B$3280,EG3544,IF($B$265=$B$3281,EI3544,IF($B$265=$B$3282,EK3544,IF($B$265=$B$3283,EM3544,IF($B$265=$B$3284,EO3544,IF($B$265=$B$3285,EQ3544,IF($B$265=$B$3286,ES3544,IF($B$265=$B$3287,EU3544,IF($B$265=$B$3288,EW3544,IF($B$265=$B$3289,EY3544,IF($B$265=$B$3290,FA3544,IF($B$265=$B$3291,FC3544,IF($B$265=$B$3292,FE3544,IF($B$265=$B$3293,BK3544,IF($B$265=$B$3294,FG3544,IF($B$265=$B$3295,FI3544,IF($B$265=$B$3296,FK3544,IF($B$265=$B$3297,FM3544,IF($B$265=$B$3298,FO3544,IF($B$265=$B$3299,FQ3544,IF(BJ$265=$B$3300,FS3544,IF($B$265=$B$3301,FU3544,IF($B$265=$B$3302,FW3544,IF($B$265=$B$3303,FY3544,IF($B$265=$B$3304,GA3544,IF($B$265=$B$3305,GC3544,IF($B$265=$B$3306,GE3544,IF($B$265=$B$3307,GG3544,IF($B$265=$B$3308,GI3544,IF($B$265=$B$3309,GK3544,IF($B$265=$B$3310,GM3544,IF($B$265=$B$3311,GO3544,IF($B$265=$B$3312,GQ3544,IF($B$265=$B$3313,GS3544,IF($B$265=$B$3314,GU3544,IF($B$265=$B$3315,GW3544,IF($B$265=$B$3316,GY3544,IF($B$265=$B$3317,HA3544,IF($B$265=$B$3318,HC3544,IF($B$265=$B$3319,HE3544,IF($B$265=$B$3320,HG3544,IF($B$265=$B$3321,HI3544,IF($B$265=$B$3322,HK3544,IF($B$265=$B$3323,HM3544,IF($B$265=$B$3324,HO3544,IF($B$265=$B$3325,HQ3544,IF($B$265=$B$3326,HS3544,IF($B$265=$B$3327,HU3544,IF($B$265=$B$3328,HW3544,IF($B$265=$B$3329,HY3544,""))))))))))))))))))))))))))))))))))))))))))))))))))))</f>
        <v/>
      </c>
      <c r="EB3544" s="459" t="s">
        <v>885</v>
      </c>
    </row>
    <row r="3545" spans="1:132" ht="16" hidden="1" x14ac:dyDescent="0.4">
      <c r="A3545" s="813"/>
      <c r="BS3545" s="464" t="str">
        <f>IF($B$265=B$3278,BZ3544,IF($B$265=B$3279,CA3544,IF($B$265=B$3280,CB3544,IF($B$265=B$3281,CC3544,IF($B$265=B$3282,CD3544,IF($B$265=B$3283,CE3544,IF($B$265=B$3284,CF3544,IF($B$265=B$3285,CG3544,IF($B$265=B$3286,CH3544,IF($B$265=B$3287,CI3544,IF($B$265=B$3288,CJ3544,IF($B$265=B$3289,CK3544,IF($B$265=B$3290,CL3544,IF($B$265=B$3291,CM3544,IF($B$265=B$3292,CN3544,IF($B$265=B$3293,C3544,IF($B$265=B$3294,CO3544,IF($B$265=B$3295,CP3544,IF($B$265=B$3296,CQ3544,IF($B$265=B$3297,CR3544,IF($B$265=B$3298,CS3544,IF($B$265=B$3299,CT3544,IF(B$265=B$3300,CU3544,IF($B$265=B$3301,CV3544,IF($B$265=B$3302,CW3544,IF($B$265=B$3303,CX3544,IF($B$265=B$3304,CY3544,IF($B$265=B$3305,CZ3544,IF($B$265=B$3306,DA3544,IF($B$265=B$3307,DB3544,IF($B$265=B$3308,DC3544,IF($B$265=B$3309,DD3544,IF($B$265=B$3310,DE3544,IF($B$265=B$3311,DF3544,IF($B$265=B$3312,DG3544,IF($B$265=B$3313,DH3544,IF($B$265=B$3314,DI3544,IF($B$265=B$3315,DJ3544,IF($B$265=B$3316,DK3544,IF($B$265=B$3317,DL3544,IF($B$265=B$3318,DM3544,IF($B$265=B$3319,DN3544,IF($B$265=B$3320,DO3544,IF($B$265=B$3321,DP3544,IF($B$265=B$3322,DQ3544,IF($B$265=B$3323,DR3544,IF($B$265=B$3324,DS3544,IF($B$265=B$3325,DT3544,IF($B$265=B$3326,DU3544,IF($B$265=B$3327,DV3544,IF($B$265=B$3328,DW3544,IF($B$265=B$3329,DX3544,""))))))))))))))))))))))))))))))))))))))))))))))))))))</f>
        <v/>
      </c>
      <c r="BZ3545" s="245" t="s">
        <v>885</v>
      </c>
      <c r="CA3545" s="245" t="s">
        <v>885</v>
      </c>
      <c r="CC3545" s="245" t="s">
        <v>885</v>
      </c>
      <c r="CD3545" s="459" t="s">
        <v>885</v>
      </c>
      <c r="CE3545" s="459" t="s">
        <v>885</v>
      </c>
      <c r="CF3545" s="245" t="s">
        <v>885</v>
      </c>
      <c r="CG3545" s="245" t="s">
        <v>885</v>
      </c>
      <c r="CH3545" s="245" t="s">
        <v>885</v>
      </c>
      <c r="CI3545" s="245" t="s">
        <v>885</v>
      </c>
      <c r="CJ3545" s="459" t="s">
        <v>885</v>
      </c>
      <c r="CK3545" s="459" t="s">
        <v>885</v>
      </c>
      <c r="CL3545" s="459" t="s">
        <v>885</v>
      </c>
      <c r="CM3545" s="459" t="s">
        <v>885</v>
      </c>
      <c r="CN3545" s="459" t="s">
        <v>885</v>
      </c>
      <c r="CO3545" s="459" t="s">
        <v>885</v>
      </c>
      <c r="CP3545" s="459" t="s">
        <v>885</v>
      </c>
      <c r="CQ3545" s="459" t="s">
        <v>885</v>
      </c>
      <c r="CR3545" s="459" t="s">
        <v>885</v>
      </c>
      <c r="CS3545" s="459" t="s">
        <v>885</v>
      </c>
      <c r="CT3545" s="245" t="s">
        <v>885</v>
      </c>
      <c r="CU3545" s="463" t="s">
        <v>885</v>
      </c>
      <c r="CV3545" s="245" t="s">
        <v>885</v>
      </c>
      <c r="CW3545" s="245" t="s">
        <v>885</v>
      </c>
      <c r="CX3545" s="459" t="s">
        <v>885</v>
      </c>
      <c r="CY3545" s="459" t="s">
        <v>885</v>
      </c>
      <c r="CZ3545" s="459" t="s">
        <v>885</v>
      </c>
      <c r="DA3545" s="459" t="s">
        <v>885</v>
      </c>
      <c r="DB3545" s="459" t="s">
        <v>885</v>
      </c>
      <c r="DC3545" s="459" t="s">
        <v>885</v>
      </c>
      <c r="DD3545" s="459" t="s">
        <v>885</v>
      </c>
      <c r="DE3545" s="459" t="s">
        <v>885</v>
      </c>
      <c r="DF3545" s="459" t="s">
        <v>885</v>
      </c>
      <c r="DG3545" s="459" t="s">
        <v>885</v>
      </c>
      <c r="DH3545" s="459" t="s">
        <v>885</v>
      </c>
      <c r="DI3545" s="459" t="s">
        <v>885</v>
      </c>
      <c r="DJ3545" s="459" t="s">
        <v>885</v>
      </c>
      <c r="DK3545" s="459" t="s">
        <v>885</v>
      </c>
      <c r="DL3545" s="459" t="s">
        <v>885</v>
      </c>
      <c r="DM3545" s="459" t="s">
        <v>885</v>
      </c>
      <c r="DN3545" s="459" t="s">
        <v>885</v>
      </c>
      <c r="DO3545" s="459" t="s">
        <v>885</v>
      </c>
      <c r="DP3545" t="s">
        <v>3084</v>
      </c>
      <c r="DQ3545" s="459" t="s">
        <v>885</v>
      </c>
      <c r="DR3545" s="459" t="s">
        <v>885</v>
      </c>
      <c r="DS3545" s="459" t="s">
        <v>885</v>
      </c>
      <c r="DT3545" s="459" t="s">
        <v>885</v>
      </c>
      <c r="DU3545" s="459" t="s">
        <v>885</v>
      </c>
      <c r="DV3545" s="459" t="s">
        <v>885</v>
      </c>
      <c r="DW3545" s="459" t="s">
        <v>885</v>
      </c>
      <c r="DX3545" s="245" t="s">
        <v>885</v>
      </c>
      <c r="DY3545" s="245"/>
      <c r="DZ3545" s="470" t="str">
        <f>IF($B$265=$B$3278,EB3545,IF($B$265=$B$3279,ED3545,IF($B$265=$B$3280,EF3545,IF($B$265=$B$3281,EH3545,IF($B$265=$B$3282,EJ3545,IF($B$265=$B$3283,EL3545,IF($B$265=$B$3284,EN3545,IF($B$265=$B$3285,EP3545,IF($B$265=$B$3286,ER3545,IF($B$265=$B$3287,ET3545,IF($B$265=$B$3288,EV3545,IF($B$265=$B$3289,EX3545,IF($B$265=$B$3290,EZ3545,IF($B$265=$B$3291,FB3545,IF($B$265=$B$3292,FD3545,IF($B$265=$B$3293,BU3545,IF($B$265=$B$3294,FF3545,IF($B$265=$B$3295,FH3545,IF($B$265=$B$3296,FJ3545,IF($B$265=$B$3297,FL3545,IF($B$265=$B$3298,FN3545,IF($B$265=$B$3299,FP3545,IF(BI$265=$B$3300,FR3545,IF($B$265=$B$3301,FT3545,IF($B$265=$B$3302,FV3545,IF($B$265=$B$3303,FX3545,IF($B$265=$B$3304,FZ3545,IF($B$265=$B$3305,GB3545,IF($B$265=$B$3306,GD3545,IF($B$265=$B$3307,GF3545,IF($B$265=$B$3308,GH3545,IF($B$265=$B$3309,GJ3545,IF($B$265=$B$3310,GL3545,IF($B$265=$B$3311,GN3545,IF($B$265=$B$3312,GP3545,IF($B$265=$B$3313,GR3545,IF($B$265=$B$3314,GT3545,IF($B$265=$B$3315,GV3545,IF($B$265=$B$3316,GX3545,IF($B$265=$B$3317,GZ3545,IF($B$265=$B$3318,HB3545,IF($B$265=$B$3319,HD3545,IF($B$265=$B$3320,HF3545,IF($B$265=$B$3321,HH3545,IF($B$265=$B$3322,HJ3545,IF($B$265=$B$3323,HL3545,IF($B$265=$B$3324,HN3545,IF($B$265=$B$3325,HP3545,IF($B$265=$B$3326,HR3545,IF($B$265=$B$3327,HT3545,IF($B$265=$B$3328,HV3545,IF($B$265=$B$3329,HX3545,""))))))))))))))))))))))))))))))))))))))))))))))))))))</f>
        <v/>
      </c>
      <c r="EA3545" s="470" t="str">
        <f>IF($B$265=$B$3278,EC3545,IF($B$265=$B$3279,EE3545,IF($B$265=$B$3280,EG3545,IF($B$265=$B$3281,EI3545,IF($B$265=$B$3282,EK3545,IF($B$265=$B$3283,EM3545,IF($B$265=$B$3284,EO3545,IF($B$265=$B$3285,EQ3545,IF($B$265=$B$3286,ES3545,IF($B$265=$B$3287,EU3545,IF($B$265=$B$3288,EW3545,IF($B$265=$B$3289,EY3545,IF($B$265=$B$3290,FA3545,IF($B$265=$B$3291,FC3545,IF($B$265=$B$3292,FE3545,IF($B$265=$B$3293,BK3545,IF($B$265=$B$3294,FG3545,IF($B$265=$B$3295,FI3545,IF($B$265=$B$3296,FK3545,IF($B$265=$B$3297,FM3545,IF($B$265=$B$3298,FO3545,IF($B$265=$B$3299,FQ3545,IF(BJ$265=$B$3300,FS3545,IF($B$265=$B$3301,FU3545,IF($B$265=$B$3302,FW3545,IF($B$265=$B$3303,FY3545,IF($B$265=$B$3304,GA3545,IF($B$265=$B$3305,GC3545,IF($B$265=$B$3306,GE3545,IF($B$265=$B$3307,GG3545,IF($B$265=$B$3308,GI3545,IF($B$265=$B$3309,GK3545,IF($B$265=$B$3310,GM3545,IF($B$265=$B$3311,GO3545,IF($B$265=$B$3312,GQ3545,IF($B$265=$B$3313,GS3545,IF($B$265=$B$3314,GU3545,IF($B$265=$B$3315,GW3545,IF($B$265=$B$3316,GY3545,IF($B$265=$B$3317,HA3545,IF($B$265=$B$3318,HC3545,IF($B$265=$B$3319,HE3545,IF($B$265=$B$3320,HG3545,IF($B$265=$B$3321,HI3545,IF($B$265=$B$3322,HK3545,IF($B$265=$B$3323,HM3545,IF($B$265=$B$3324,HO3545,IF($B$265=$B$3325,HQ3545,IF($B$265=$B$3326,HS3545,IF($B$265=$B$3327,HU3545,IF($B$265=$B$3328,HW3545,IF($B$265=$B$3329,HY3545,""))))))))))))))))))))))))))))))))))))))))))))))))))))</f>
        <v/>
      </c>
      <c r="EB3545" s="459" t="s">
        <v>885</v>
      </c>
    </row>
    <row r="3546" spans="1:132" ht="16" hidden="1" x14ac:dyDescent="0.4">
      <c r="A3546" s="813"/>
      <c r="BS3546" s="464" t="str">
        <f>IF($B$265=B$3278,BZ3545,IF($B$265=B$3279,CA3545,IF($B$265=B$3280,CB3545,IF($B$265=B$3281,CC3545,IF($B$265=B$3282,CD3545,IF($B$265=B$3283,CE3545,IF($B$265=B$3284,CF3545,IF($B$265=B$3285,CG3545,IF($B$265=B$3286,CH3545,IF($B$265=B$3287,CI3545,IF($B$265=B$3288,CJ3545,IF($B$265=B$3289,CK3545,IF($B$265=B$3290,CL3545,IF($B$265=B$3291,CM3545,IF($B$265=B$3292,CN3545,IF($B$265=B$3293,C3545,IF($B$265=B$3294,CO3545,IF($B$265=B$3295,CP3545,IF($B$265=B$3296,CQ3545,IF($B$265=B$3297,CR3545,IF($B$265=B$3298,CS3545,IF($B$265=B$3299,CT3545,IF(B$265=B$3300,CU3545,IF($B$265=B$3301,CV3545,IF($B$265=B$3302,CW3545,IF($B$265=B$3303,CX3545,IF($B$265=B$3304,CY3545,IF($B$265=B$3305,CZ3545,IF($B$265=B$3306,DA3545,IF($B$265=B$3307,DB3545,IF($B$265=B$3308,DC3545,IF($B$265=B$3309,DD3545,IF($B$265=B$3310,DE3545,IF($B$265=B$3311,DF3545,IF($B$265=B$3312,DG3545,IF($B$265=B$3313,DH3545,IF($B$265=B$3314,DI3545,IF($B$265=B$3315,DJ3545,IF($B$265=B$3316,DK3545,IF($B$265=B$3317,DL3545,IF($B$265=B$3318,DM3545,IF($B$265=B$3319,DN3545,IF($B$265=B$3320,DO3545,IF($B$265=B$3321,DP3545,IF($B$265=B$3322,DQ3545,IF($B$265=B$3323,DR3545,IF($B$265=B$3324,DS3545,IF($B$265=B$3325,DT3545,IF($B$265=B$3326,DU3545,IF($B$265=B$3327,DV3545,IF($B$265=B$3328,DW3545,IF($B$265=B$3329,DX3545,""))))))))))))))))))))))))))))))))))))))))))))))))))))</f>
        <v/>
      </c>
      <c r="BZ3546" s="245" t="s">
        <v>885</v>
      </c>
      <c r="CA3546" s="245" t="s">
        <v>885</v>
      </c>
      <c r="CC3546" s="245" t="s">
        <v>885</v>
      </c>
      <c r="CD3546" s="459" t="s">
        <v>885</v>
      </c>
      <c r="CE3546" s="459" t="s">
        <v>885</v>
      </c>
      <c r="CF3546" s="245" t="s">
        <v>885</v>
      </c>
      <c r="CG3546" s="245" t="s">
        <v>885</v>
      </c>
      <c r="CH3546" s="245" t="s">
        <v>885</v>
      </c>
      <c r="CI3546" s="245" t="s">
        <v>885</v>
      </c>
      <c r="CJ3546" s="459" t="s">
        <v>885</v>
      </c>
      <c r="CK3546" s="459" t="s">
        <v>885</v>
      </c>
      <c r="CL3546" s="459" t="s">
        <v>885</v>
      </c>
      <c r="CM3546" s="459" t="s">
        <v>885</v>
      </c>
      <c r="CN3546" s="459" t="s">
        <v>885</v>
      </c>
      <c r="CO3546" s="459" t="s">
        <v>885</v>
      </c>
      <c r="CP3546" s="459" t="s">
        <v>885</v>
      </c>
      <c r="CQ3546" s="459" t="s">
        <v>885</v>
      </c>
      <c r="CR3546" s="459" t="s">
        <v>885</v>
      </c>
      <c r="CS3546" s="459" t="s">
        <v>885</v>
      </c>
      <c r="CT3546" s="245" t="s">
        <v>885</v>
      </c>
      <c r="CU3546" s="463" t="s">
        <v>885</v>
      </c>
      <c r="CV3546" s="245" t="s">
        <v>885</v>
      </c>
      <c r="CW3546" s="245" t="s">
        <v>885</v>
      </c>
      <c r="CX3546" s="459" t="s">
        <v>885</v>
      </c>
      <c r="CY3546" s="459" t="s">
        <v>885</v>
      </c>
      <c r="CZ3546" s="459" t="s">
        <v>885</v>
      </c>
      <c r="DA3546" s="459" t="s">
        <v>885</v>
      </c>
      <c r="DB3546" s="459" t="s">
        <v>885</v>
      </c>
      <c r="DC3546" s="459" t="s">
        <v>885</v>
      </c>
      <c r="DD3546" s="459" t="s">
        <v>885</v>
      </c>
      <c r="DE3546" s="459" t="s">
        <v>885</v>
      </c>
      <c r="DF3546" s="459" t="s">
        <v>885</v>
      </c>
      <c r="DG3546" s="459" t="s">
        <v>885</v>
      </c>
      <c r="DH3546" s="459" t="s">
        <v>885</v>
      </c>
      <c r="DI3546" s="459" t="s">
        <v>885</v>
      </c>
      <c r="DJ3546" s="459" t="s">
        <v>885</v>
      </c>
      <c r="DK3546" s="459" t="s">
        <v>885</v>
      </c>
      <c r="DL3546" s="459" t="s">
        <v>885</v>
      </c>
      <c r="DM3546" s="459" t="s">
        <v>885</v>
      </c>
      <c r="DN3546" s="459" t="s">
        <v>885</v>
      </c>
      <c r="DO3546" s="459" t="s">
        <v>885</v>
      </c>
      <c r="DP3546" t="s">
        <v>1951</v>
      </c>
      <c r="DQ3546" s="459" t="s">
        <v>885</v>
      </c>
      <c r="DR3546" s="459" t="s">
        <v>885</v>
      </c>
      <c r="DS3546" s="459" t="s">
        <v>885</v>
      </c>
      <c r="DT3546" s="459" t="s">
        <v>885</v>
      </c>
      <c r="DU3546" s="459" t="s">
        <v>885</v>
      </c>
      <c r="DV3546" s="459" t="s">
        <v>885</v>
      </c>
      <c r="DW3546" s="459" t="s">
        <v>885</v>
      </c>
      <c r="DX3546" s="245" t="s">
        <v>885</v>
      </c>
      <c r="DY3546" s="245"/>
      <c r="DZ3546" s="470" t="str">
        <f>IF($B$265=$B$3278,EB3546,IF($B$265=$B$3279,ED3546,IF($B$265=$B$3280,EF3546,IF($B$265=$B$3281,EH3546,IF($B$265=$B$3282,EJ3546,IF($B$265=$B$3283,EL3546,IF($B$265=$B$3284,EN3546,IF($B$265=$B$3285,EP3546,IF($B$265=$B$3286,ER3546,IF($B$265=$B$3287,ET3546,IF($B$265=$B$3288,EV3546,IF($B$265=$B$3289,EX3546,IF($B$265=$B$3290,EZ3546,IF($B$265=$B$3291,FB3546,IF($B$265=$B$3292,FD3546,IF($B$265=$B$3293,BU3546,IF($B$265=$B$3294,FF3546,IF($B$265=$B$3295,FH3546,IF($B$265=$B$3296,FJ3546,IF($B$265=$B$3297,FL3546,IF($B$265=$B$3298,FN3546,IF($B$265=$B$3299,FP3546,IF(BI$265=$B$3300,FR3546,IF($B$265=$B$3301,FT3546,IF($B$265=$B$3302,FV3546,IF($B$265=$B$3303,FX3546,IF($B$265=$B$3304,FZ3546,IF($B$265=$B$3305,GB3546,IF($B$265=$B$3306,GD3546,IF($B$265=$B$3307,GF3546,IF($B$265=$B$3308,GH3546,IF($B$265=$B$3309,GJ3546,IF($B$265=$B$3310,GL3546,IF($B$265=$B$3311,GN3546,IF($B$265=$B$3312,GP3546,IF($B$265=$B$3313,GR3546,IF($B$265=$B$3314,GT3546,IF($B$265=$B$3315,GV3546,IF($B$265=$B$3316,GX3546,IF($B$265=$B$3317,GZ3546,IF($B$265=$B$3318,HB3546,IF($B$265=$B$3319,HD3546,IF($B$265=$B$3320,HF3546,IF($B$265=$B$3321,HH3546,IF($B$265=$B$3322,HJ3546,IF($B$265=$B$3323,HL3546,IF($B$265=$B$3324,HN3546,IF($B$265=$B$3325,HP3546,IF($B$265=$B$3326,HR3546,IF($B$265=$B$3327,HT3546,IF($B$265=$B$3328,HV3546,IF($B$265=$B$3329,HX3546,""))))))))))))))))))))))))))))))))))))))))))))))))))))</f>
        <v/>
      </c>
      <c r="EA3546" s="470" t="str">
        <f>IF($B$265=$B$3278,EC3546,IF($B$265=$B$3279,EE3546,IF($B$265=$B$3280,EG3546,IF($B$265=$B$3281,EI3546,IF($B$265=$B$3282,EK3546,IF($B$265=$B$3283,EM3546,IF($B$265=$B$3284,EO3546,IF($B$265=$B$3285,EQ3546,IF($B$265=$B$3286,ES3546,IF($B$265=$B$3287,EU3546,IF($B$265=$B$3288,EW3546,IF($B$265=$B$3289,EY3546,IF($B$265=$B$3290,FA3546,IF($B$265=$B$3291,FC3546,IF($B$265=$B$3292,FE3546,IF($B$265=$B$3293,BK3546,IF($B$265=$B$3294,FG3546,IF($B$265=$B$3295,FI3546,IF($B$265=$B$3296,FK3546,IF($B$265=$B$3297,FM3546,IF($B$265=$B$3298,FO3546,IF($B$265=$B$3299,FQ3546,IF(BJ$265=$B$3300,FS3546,IF($B$265=$B$3301,FU3546,IF($B$265=$B$3302,FW3546,IF($B$265=$B$3303,FY3546,IF($B$265=$B$3304,GA3546,IF($B$265=$B$3305,GC3546,IF($B$265=$B$3306,GE3546,IF($B$265=$B$3307,GG3546,IF($B$265=$B$3308,GI3546,IF($B$265=$B$3309,GK3546,IF($B$265=$B$3310,GM3546,IF($B$265=$B$3311,GO3546,IF($B$265=$B$3312,GQ3546,IF($B$265=$B$3313,GS3546,IF($B$265=$B$3314,GU3546,IF($B$265=$B$3315,GW3546,IF($B$265=$B$3316,GY3546,IF($B$265=$B$3317,HA3546,IF($B$265=$B$3318,HC3546,IF($B$265=$B$3319,HE3546,IF($B$265=$B$3320,HG3546,IF($B$265=$B$3321,HI3546,IF($B$265=$B$3322,HK3546,IF($B$265=$B$3323,HM3546,IF($B$265=$B$3324,HO3546,IF($B$265=$B$3325,HQ3546,IF($B$265=$B$3326,HS3546,IF($B$265=$B$3327,HU3546,IF($B$265=$B$3328,HW3546,IF($B$265=$B$3329,HY3546,""))))))))))))))))))))))))))))))))))))))))))))))))))))</f>
        <v/>
      </c>
      <c r="EB3546" s="459" t="s">
        <v>885</v>
      </c>
    </row>
    <row r="3547" spans="1:132" ht="16" hidden="1" x14ac:dyDescent="0.4">
      <c r="A3547" s="813"/>
      <c r="BS3547" s="464" t="str">
        <f>IF($B$265=B$3278,BZ3546,IF($B$265=B$3279,CA3546,IF($B$265=B$3280,CB3546,IF($B$265=B$3281,CC3546,IF($B$265=B$3282,CD3546,IF($B$265=B$3283,CE3546,IF($B$265=B$3284,CF3546,IF($B$265=B$3285,CG3546,IF($B$265=B$3286,CH3546,IF($B$265=B$3287,CI3546,IF($B$265=B$3288,CJ3546,IF($B$265=B$3289,CK3546,IF($B$265=B$3290,CL3546,IF($B$265=B$3291,CM3546,IF($B$265=B$3292,CN3546,IF($B$265=B$3293,C3546,IF($B$265=B$3294,CO3546,IF($B$265=B$3295,CP3546,IF($B$265=B$3296,CQ3546,IF($B$265=B$3297,CR3546,IF($B$265=B$3298,CS3546,IF($B$265=B$3299,CT3546,IF(B$265=B$3300,CU3546,IF($B$265=B$3301,CV3546,IF($B$265=B$3302,CW3546,IF($B$265=B$3303,CX3546,IF($B$265=B$3304,CY3546,IF($B$265=B$3305,CZ3546,IF($B$265=B$3306,DA3546,IF($B$265=B$3307,DB3546,IF($B$265=B$3308,DC3546,IF($B$265=B$3309,DD3546,IF($B$265=B$3310,DE3546,IF($B$265=B$3311,DF3546,IF($B$265=B$3312,DG3546,IF($B$265=B$3313,DH3546,IF($B$265=B$3314,DI3546,IF($B$265=B$3315,DJ3546,IF($B$265=B$3316,DK3546,IF($B$265=B$3317,DL3546,IF($B$265=B$3318,DM3546,IF($B$265=B$3319,DN3546,IF($B$265=B$3320,DO3546,IF($B$265=B$3321,DP3546,IF($B$265=B$3322,DQ3546,IF($B$265=B$3323,DR3546,IF($B$265=B$3324,DS3546,IF($B$265=B$3325,DT3546,IF($B$265=B$3326,DU3546,IF($B$265=B$3327,DV3546,IF($B$265=B$3328,DW3546,IF($B$265=B$3329,DX3546,""))))))))))))))))))))))))))))))))))))))))))))))))))))</f>
        <v/>
      </c>
      <c r="BZ3547" s="245" t="s">
        <v>885</v>
      </c>
      <c r="CA3547" s="245" t="s">
        <v>885</v>
      </c>
      <c r="CC3547" s="245" t="s">
        <v>885</v>
      </c>
      <c r="CD3547" s="459" t="s">
        <v>885</v>
      </c>
      <c r="CE3547" s="459" t="s">
        <v>885</v>
      </c>
      <c r="CF3547" s="245" t="s">
        <v>885</v>
      </c>
      <c r="CG3547" s="245" t="s">
        <v>885</v>
      </c>
      <c r="CH3547" s="245" t="s">
        <v>885</v>
      </c>
      <c r="CI3547" s="245" t="s">
        <v>885</v>
      </c>
      <c r="CJ3547" s="459" t="s">
        <v>885</v>
      </c>
      <c r="CK3547" s="459" t="s">
        <v>885</v>
      </c>
      <c r="CL3547" s="459" t="s">
        <v>885</v>
      </c>
      <c r="CM3547" s="459" t="s">
        <v>885</v>
      </c>
      <c r="CN3547" s="459" t="s">
        <v>885</v>
      </c>
      <c r="CO3547" s="459" t="s">
        <v>885</v>
      </c>
      <c r="CP3547" s="459" t="s">
        <v>885</v>
      </c>
      <c r="CQ3547" s="459" t="s">
        <v>885</v>
      </c>
      <c r="CR3547" s="459" t="s">
        <v>885</v>
      </c>
      <c r="CS3547" s="459" t="s">
        <v>885</v>
      </c>
      <c r="CT3547" s="245" t="s">
        <v>885</v>
      </c>
      <c r="CU3547" s="463" t="s">
        <v>885</v>
      </c>
      <c r="CV3547" s="245" t="s">
        <v>885</v>
      </c>
      <c r="CW3547" s="245" t="s">
        <v>885</v>
      </c>
      <c r="CX3547" s="459" t="s">
        <v>885</v>
      </c>
      <c r="CY3547" s="459" t="s">
        <v>885</v>
      </c>
      <c r="CZ3547" s="459" t="s">
        <v>885</v>
      </c>
      <c r="DA3547" s="459" t="s">
        <v>885</v>
      </c>
      <c r="DB3547" s="459" t="s">
        <v>885</v>
      </c>
      <c r="DC3547" s="459" t="s">
        <v>885</v>
      </c>
      <c r="DD3547" s="459" t="s">
        <v>885</v>
      </c>
      <c r="DE3547" s="459" t="s">
        <v>885</v>
      </c>
      <c r="DF3547" s="459" t="s">
        <v>885</v>
      </c>
      <c r="DG3547" s="459" t="s">
        <v>885</v>
      </c>
      <c r="DH3547" s="459" t="s">
        <v>885</v>
      </c>
      <c r="DI3547" s="459" t="s">
        <v>885</v>
      </c>
      <c r="DJ3547" s="459" t="s">
        <v>885</v>
      </c>
      <c r="DK3547" s="459" t="s">
        <v>885</v>
      </c>
      <c r="DL3547" s="459" t="s">
        <v>885</v>
      </c>
      <c r="DM3547" s="459" t="s">
        <v>885</v>
      </c>
      <c r="DN3547" s="459" t="s">
        <v>885</v>
      </c>
      <c r="DO3547" s="459" t="s">
        <v>885</v>
      </c>
      <c r="DP3547" t="s">
        <v>2104</v>
      </c>
      <c r="DQ3547" s="459" t="s">
        <v>885</v>
      </c>
      <c r="DR3547" s="459" t="s">
        <v>885</v>
      </c>
      <c r="DS3547" s="459" t="s">
        <v>885</v>
      </c>
      <c r="DT3547" s="459" t="s">
        <v>885</v>
      </c>
      <c r="DU3547" s="459" t="s">
        <v>885</v>
      </c>
      <c r="DV3547" s="459" t="s">
        <v>885</v>
      </c>
      <c r="DW3547" s="459" t="s">
        <v>885</v>
      </c>
      <c r="DX3547" s="245" t="s">
        <v>885</v>
      </c>
      <c r="DY3547" s="245"/>
      <c r="DZ3547" s="470" t="str">
        <f>IF($B$265=$B$3278,EB3547,IF($B$265=$B$3279,ED3547,IF($B$265=$B$3280,EF3547,IF($B$265=$B$3281,EH3547,IF($B$265=$B$3282,EJ3547,IF($B$265=$B$3283,EL3547,IF($B$265=$B$3284,EN3547,IF($B$265=$B$3285,EP3547,IF($B$265=$B$3286,ER3547,IF($B$265=$B$3287,ET3547,IF($B$265=$B$3288,EV3547,IF($B$265=$B$3289,EX3547,IF($B$265=$B$3290,EZ3547,IF($B$265=$B$3291,FB3547,IF($B$265=$B$3292,FD3547,IF($B$265=$B$3293,BU3547,IF($B$265=$B$3294,FF3547,IF($B$265=$B$3295,FH3547,IF($B$265=$B$3296,FJ3547,IF($B$265=$B$3297,FL3547,IF($B$265=$B$3298,FN3547,IF($B$265=$B$3299,FP3547,IF(BI$265=$B$3300,FR3547,IF($B$265=$B$3301,FT3547,IF($B$265=$B$3302,FV3547,IF($B$265=$B$3303,FX3547,IF($B$265=$B$3304,FZ3547,IF($B$265=$B$3305,GB3547,IF($B$265=$B$3306,GD3547,IF($B$265=$B$3307,GF3547,IF($B$265=$B$3308,GH3547,IF($B$265=$B$3309,GJ3547,IF($B$265=$B$3310,GL3547,IF($B$265=$B$3311,GN3547,IF($B$265=$B$3312,GP3547,IF($B$265=$B$3313,GR3547,IF($B$265=$B$3314,GT3547,IF($B$265=$B$3315,GV3547,IF($B$265=$B$3316,GX3547,IF($B$265=$B$3317,GZ3547,IF($B$265=$B$3318,HB3547,IF($B$265=$B$3319,HD3547,IF($B$265=$B$3320,HF3547,IF($B$265=$B$3321,HH3547,IF($B$265=$B$3322,HJ3547,IF($B$265=$B$3323,HL3547,IF($B$265=$B$3324,HN3547,IF($B$265=$B$3325,HP3547,IF($B$265=$B$3326,HR3547,IF($B$265=$B$3327,HT3547,IF($B$265=$B$3328,HV3547,IF($B$265=$B$3329,HX3547,""))))))))))))))))))))))))))))))))))))))))))))))))))))</f>
        <v/>
      </c>
      <c r="EA3547" s="470" t="str">
        <f>IF($B$265=$B$3278,EC3547,IF($B$265=$B$3279,EE3547,IF($B$265=$B$3280,EG3547,IF($B$265=$B$3281,EI3547,IF($B$265=$B$3282,EK3547,IF($B$265=$B$3283,EM3547,IF($B$265=$B$3284,EO3547,IF($B$265=$B$3285,EQ3547,IF($B$265=$B$3286,ES3547,IF($B$265=$B$3287,EU3547,IF($B$265=$B$3288,EW3547,IF($B$265=$B$3289,EY3547,IF($B$265=$B$3290,FA3547,IF($B$265=$B$3291,FC3547,IF($B$265=$B$3292,FE3547,IF($B$265=$B$3293,BK3547,IF($B$265=$B$3294,FG3547,IF($B$265=$B$3295,FI3547,IF($B$265=$B$3296,FK3547,IF($B$265=$B$3297,FM3547,IF($B$265=$B$3298,FO3547,IF($B$265=$B$3299,FQ3547,IF(BJ$265=$B$3300,FS3547,IF($B$265=$B$3301,FU3547,IF($B$265=$B$3302,FW3547,IF($B$265=$B$3303,FY3547,IF($B$265=$B$3304,GA3547,IF($B$265=$B$3305,GC3547,IF($B$265=$B$3306,GE3547,IF($B$265=$B$3307,GG3547,IF($B$265=$B$3308,GI3547,IF($B$265=$B$3309,GK3547,IF($B$265=$B$3310,GM3547,IF($B$265=$B$3311,GO3547,IF($B$265=$B$3312,GQ3547,IF($B$265=$B$3313,GS3547,IF($B$265=$B$3314,GU3547,IF($B$265=$B$3315,GW3547,IF($B$265=$B$3316,GY3547,IF($B$265=$B$3317,HA3547,IF($B$265=$B$3318,HC3547,IF($B$265=$B$3319,HE3547,IF($B$265=$B$3320,HG3547,IF($B$265=$B$3321,HI3547,IF($B$265=$B$3322,HK3547,IF($B$265=$B$3323,HM3547,IF($B$265=$B$3324,HO3547,IF($B$265=$B$3325,HQ3547,IF($B$265=$B$3326,HS3547,IF($B$265=$B$3327,HU3547,IF($B$265=$B$3328,HW3547,IF($B$265=$B$3329,HY3547,""))))))))))))))))))))))))))))))))))))))))))))))))))))</f>
        <v/>
      </c>
      <c r="EB3547" s="459" t="s">
        <v>885</v>
      </c>
    </row>
    <row r="3548" spans="1:132" ht="16" hidden="1" x14ac:dyDescent="0.4">
      <c r="A3548" s="813"/>
      <c r="BB3548" s="48"/>
      <c r="BS3548" s="464" t="str">
        <f>IF($B$265=B$3278,BZ3547,IF($B$265=B$3279,CA3547,IF($B$265=B$3280,CB3547,IF($B$265=B$3281,CC3547,IF($B$265=B$3282,CD3547,IF($B$265=B$3283,CE3547,IF($B$265=B$3284,CF3547,IF($B$265=B$3285,CG3547,IF($B$265=B$3286,CH3547,IF($B$265=B$3287,CI3547,IF($B$265=B$3288,CJ3547,IF($B$265=B$3289,CK3547,IF($B$265=B$3290,CL3547,IF($B$265=B$3291,CM3547,IF($B$265=B$3292,CN3547,IF($B$265=B$3293,C3547,IF($B$265=B$3294,CO3547,IF($B$265=B$3295,CP3547,IF($B$265=B$3296,CQ3547,IF($B$265=B$3297,CR3547,IF($B$265=B$3298,CS3547,IF($B$265=B$3299,CT3547,IF(B$265=B$3300,CU3547,IF($B$265=B$3301,CV3547,IF($B$265=B$3302,CW3547,IF($B$265=B$3303,CX3547,IF($B$265=B$3304,CY3547,IF($B$265=B$3305,CZ3547,IF($B$265=B$3306,DA3547,IF($B$265=B$3307,DB3547,IF($B$265=B$3308,DC3547,IF($B$265=B$3309,DD3547,IF($B$265=B$3310,DE3547,IF($B$265=B$3311,DF3547,IF($B$265=B$3312,DG3547,IF($B$265=B$3313,DH3547,IF($B$265=B$3314,DI3547,IF($B$265=B$3315,DJ3547,IF($B$265=B$3316,DK3547,IF($B$265=B$3317,DL3547,IF($B$265=B$3318,DM3547,IF($B$265=B$3319,DN3547,IF($B$265=B$3320,DO3547,IF($B$265=B$3321,DP3547,IF($B$265=B$3322,DQ3547,IF($B$265=B$3323,DR3547,IF($B$265=B$3324,DS3547,IF($B$265=B$3325,DT3547,IF($B$265=B$3326,DU3547,IF($B$265=B$3327,DV3547,IF($B$265=B$3328,DW3547,IF($B$265=B$3329,DX3547,""))))))))))))))))))))))))))))))))))))))))))))))))))))</f>
        <v/>
      </c>
      <c r="BZ3548" s="245" t="s">
        <v>885</v>
      </c>
      <c r="CA3548" s="245" t="s">
        <v>885</v>
      </c>
      <c r="CC3548" s="245" t="s">
        <v>885</v>
      </c>
      <c r="CD3548" s="459" t="s">
        <v>885</v>
      </c>
      <c r="CE3548" s="459" t="s">
        <v>885</v>
      </c>
      <c r="CF3548" s="245" t="s">
        <v>885</v>
      </c>
      <c r="CG3548" s="245" t="s">
        <v>885</v>
      </c>
      <c r="CH3548" s="245" t="s">
        <v>885</v>
      </c>
      <c r="CI3548" s="245" t="s">
        <v>885</v>
      </c>
      <c r="CJ3548" s="459" t="s">
        <v>885</v>
      </c>
      <c r="CK3548" s="459" t="s">
        <v>885</v>
      </c>
      <c r="CL3548" s="459" t="s">
        <v>885</v>
      </c>
      <c r="CM3548" s="459" t="s">
        <v>885</v>
      </c>
      <c r="CN3548" s="459" t="s">
        <v>885</v>
      </c>
      <c r="CO3548" s="459" t="s">
        <v>885</v>
      </c>
      <c r="CP3548" s="459" t="s">
        <v>885</v>
      </c>
      <c r="CQ3548" s="459" t="s">
        <v>885</v>
      </c>
      <c r="CR3548" s="459" t="s">
        <v>885</v>
      </c>
      <c r="CS3548" s="459" t="s">
        <v>885</v>
      </c>
      <c r="CT3548" s="245" t="s">
        <v>885</v>
      </c>
      <c r="CU3548" s="463" t="s">
        <v>885</v>
      </c>
      <c r="CV3548" s="245" t="s">
        <v>885</v>
      </c>
      <c r="CW3548" s="245" t="s">
        <v>885</v>
      </c>
      <c r="CX3548" s="459" t="s">
        <v>885</v>
      </c>
      <c r="CY3548" s="459" t="s">
        <v>885</v>
      </c>
      <c r="CZ3548" s="459" t="s">
        <v>885</v>
      </c>
      <c r="DA3548" s="459" t="s">
        <v>885</v>
      </c>
      <c r="DB3548" s="459" t="s">
        <v>885</v>
      </c>
      <c r="DC3548" s="459" t="s">
        <v>885</v>
      </c>
      <c r="DD3548" s="459" t="s">
        <v>885</v>
      </c>
      <c r="DE3548" s="459" t="s">
        <v>885</v>
      </c>
      <c r="DF3548" s="459" t="s">
        <v>885</v>
      </c>
      <c r="DG3548" s="459" t="s">
        <v>885</v>
      </c>
      <c r="DH3548" s="459" t="s">
        <v>885</v>
      </c>
      <c r="DI3548" s="459" t="s">
        <v>885</v>
      </c>
      <c r="DJ3548" s="459" t="s">
        <v>885</v>
      </c>
      <c r="DK3548" s="459" t="s">
        <v>885</v>
      </c>
      <c r="DL3548" s="459" t="s">
        <v>885</v>
      </c>
      <c r="DM3548" s="459" t="s">
        <v>885</v>
      </c>
      <c r="DN3548" s="459" t="s">
        <v>885</v>
      </c>
      <c r="DO3548" s="459" t="s">
        <v>885</v>
      </c>
      <c r="DP3548" t="s">
        <v>3085</v>
      </c>
      <c r="DQ3548" s="459" t="s">
        <v>885</v>
      </c>
      <c r="DR3548" s="459" t="s">
        <v>885</v>
      </c>
      <c r="DS3548" s="459" t="s">
        <v>885</v>
      </c>
      <c r="DT3548" s="459" t="s">
        <v>885</v>
      </c>
      <c r="DU3548" s="459" t="s">
        <v>885</v>
      </c>
      <c r="DV3548" s="459" t="s">
        <v>885</v>
      </c>
      <c r="DW3548" s="459" t="s">
        <v>885</v>
      </c>
      <c r="DX3548" s="245" t="s">
        <v>885</v>
      </c>
      <c r="DY3548" s="245"/>
      <c r="DZ3548" s="470" t="str">
        <f>IF($B$265=$B$3278,EB3548,IF($B$265=$B$3279,ED3548,IF($B$265=$B$3280,EF3548,IF($B$265=$B$3281,EH3548,IF($B$265=$B$3282,EJ3548,IF($B$265=$B$3283,EL3548,IF($B$265=$B$3284,EN3548,IF($B$265=$B$3285,EP3548,IF($B$265=$B$3286,ER3548,IF($B$265=$B$3287,ET3548,IF($B$265=$B$3288,EV3548,IF($B$265=$B$3289,EX3548,IF($B$265=$B$3290,EZ3548,IF($B$265=$B$3291,FB3548,IF($B$265=$B$3292,FD3548,IF($B$265=$B$3293,BU3548,IF($B$265=$B$3294,FF3548,IF($B$265=$B$3295,FH3548,IF($B$265=$B$3296,FJ3548,IF($B$265=$B$3297,FL3548,IF($B$265=$B$3298,FN3548,IF($B$265=$B$3299,FP3548,IF(BI$265=$B$3300,FR3548,IF($B$265=$B$3301,FT3548,IF($B$265=$B$3302,FV3548,IF($B$265=$B$3303,FX3548,IF($B$265=$B$3304,FZ3548,IF($B$265=$B$3305,GB3548,IF($B$265=$B$3306,GD3548,IF($B$265=$B$3307,GF3548,IF($B$265=$B$3308,GH3548,IF($B$265=$B$3309,GJ3548,IF($B$265=$B$3310,GL3548,IF($B$265=$B$3311,GN3548,IF($B$265=$B$3312,GP3548,IF($B$265=$B$3313,GR3548,IF($B$265=$B$3314,GT3548,IF($B$265=$B$3315,GV3548,IF($B$265=$B$3316,GX3548,IF($B$265=$B$3317,GZ3548,IF($B$265=$B$3318,HB3548,IF($B$265=$B$3319,HD3548,IF($B$265=$B$3320,HF3548,IF($B$265=$B$3321,HH3548,IF($B$265=$B$3322,HJ3548,IF($B$265=$B$3323,HL3548,IF($B$265=$B$3324,HN3548,IF($B$265=$B$3325,HP3548,IF($B$265=$B$3326,HR3548,IF($B$265=$B$3327,HT3548,IF($B$265=$B$3328,HV3548,IF($B$265=$B$3329,HX3548,""))))))))))))))))))))))))))))))))))))))))))))))))))))</f>
        <v/>
      </c>
      <c r="EA3548" s="470" t="str">
        <f>IF($B$265=$B$3278,EC3548,IF($B$265=$B$3279,EE3548,IF($B$265=$B$3280,EG3548,IF($B$265=$B$3281,EI3548,IF($B$265=$B$3282,EK3548,IF($B$265=$B$3283,EM3548,IF($B$265=$B$3284,EO3548,IF($B$265=$B$3285,EQ3548,IF($B$265=$B$3286,ES3548,IF($B$265=$B$3287,EU3548,IF($B$265=$B$3288,EW3548,IF($B$265=$B$3289,EY3548,IF($B$265=$B$3290,FA3548,IF($B$265=$B$3291,FC3548,IF($B$265=$B$3292,FE3548,IF($B$265=$B$3293,BK3548,IF($B$265=$B$3294,FG3548,IF($B$265=$B$3295,FI3548,IF($B$265=$B$3296,FK3548,IF($B$265=$B$3297,FM3548,IF($B$265=$B$3298,FO3548,IF($B$265=$B$3299,FQ3548,IF(BJ$265=$B$3300,FS3548,IF($B$265=$B$3301,FU3548,IF($B$265=$B$3302,FW3548,IF($B$265=$B$3303,FY3548,IF($B$265=$B$3304,GA3548,IF($B$265=$B$3305,GC3548,IF($B$265=$B$3306,GE3548,IF($B$265=$B$3307,GG3548,IF($B$265=$B$3308,GI3548,IF($B$265=$B$3309,GK3548,IF($B$265=$B$3310,GM3548,IF($B$265=$B$3311,GO3548,IF($B$265=$B$3312,GQ3548,IF($B$265=$B$3313,GS3548,IF($B$265=$B$3314,GU3548,IF($B$265=$B$3315,GW3548,IF($B$265=$B$3316,GY3548,IF($B$265=$B$3317,HA3548,IF($B$265=$B$3318,HC3548,IF($B$265=$B$3319,HE3548,IF($B$265=$B$3320,HG3548,IF($B$265=$B$3321,HI3548,IF($B$265=$B$3322,HK3548,IF($B$265=$B$3323,HM3548,IF($B$265=$B$3324,HO3548,IF($B$265=$B$3325,HQ3548,IF($B$265=$B$3326,HS3548,IF($B$265=$B$3327,HU3548,IF($B$265=$B$3328,HW3548,IF($B$265=$B$3329,HY3548,""))))))))))))))))))))))))))))))))))))))))))))))))))))</f>
        <v/>
      </c>
      <c r="EB3548" s="459" t="s">
        <v>885</v>
      </c>
    </row>
    <row r="3549" spans="1:132" ht="16" hidden="1" x14ac:dyDescent="0.4">
      <c r="A3549" s="813"/>
      <c r="BB3549" s="48"/>
      <c r="BS3549" s="464" t="str">
        <f>IF($B$265=B$3278,BZ3548,IF($B$265=B$3279,CA3548,IF($B$265=B$3280,CB3548,IF($B$265=B$3281,CC3548,IF($B$265=B$3282,CD3548,IF($B$265=B$3283,CE3548,IF($B$265=B$3284,CF3548,IF($B$265=B$3285,CG3548,IF($B$265=B$3286,CH3548,IF($B$265=B$3287,CI3548,IF($B$265=B$3288,CJ3548,IF($B$265=B$3289,CK3548,IF($B$265=B$3290,CL3548,IF($B$265=B$3291,CM3548,IF($B$265=B$3292,CN3548,IF($B$265=B$3293,D2965,IF($B$265=B$3294,CO3548,IF($B$265=B$3295,CP3548,IF($B$265=B$3296,CQ3548,IF($B$265=B$3297,CR3548,IF($B$265=B$3298,CS3548,IF($B$265=B$3299,CT3548,IF(B$265=B$3300,CU3548,IF($B$265=B$3301,CV3548,IF($B$265=B$3302,CW3548,IF($B$265=B$3303,CX3548,IF($B$265=B$3304,CY3548,IF($B$265=B$3305,CZ3548,IF($B$265=B$3306,DA3548,IF($B$265=B$3307,DB3548,IF($B$265=B$3308,DC3548,IF($B$265=B$3309,DD3548,IF($B$265=B$3310,DE3548,IF($B$265=B$3311,DF3548,IF($B$265=B$3312,DG3548,IF($B$265=B$3313,DH3548,IF($B$265=B$3314,DI3548,IF($B$265=B$3315,DJ3548,IF($B$265=B$3316,DK3548,IF($B$265=B$3317,DL3548,IF($B$265=B$3318,DM3548,IF($B$265=B$3319,DN3548,IF($B$265=B$3320,DO3548,IF($B$265=B$3321,DP3548,IF($B$265=B$3322,DQ3548,IF($B$265=B$3323,DR3548,IF($B$265=B$3324,DS3548,IF($B$265=B$3325,DT3548,IF($B$265=B$3326,DU3548,IF($B$265=B$3327,DV3548,IF($B$265=B$3328,DW3548,IF($B$265=B$3329,DX3548,""))))))))))))))))))))))))))))))))))))))))))))))))))))</f>
        <v/>
      </c>
      <c r="BZ3549" s="245" t="s">
        <v>885</v>
      </c>
      <c r="CA3549" s="245" t="s">
        <v>885</v>
      </c>
      <c r="CC3549" s="245" t="s">
        <v>885</v>
      </c>
      <c r="CD3549" s="459" t="s">
        <v>885</v>
      </c>
      <c r="CE3549" s="459" t="s">
        <v>885</v>
      </c>
      <c r="CF3549" s="245" t="s">
        <v>885</v>
      </c>
      <c r="CG3549" s="245" t="s">
        <v>885</v>
      </c>
      <c r="CH3549" s="245" t="s">
        <v>885</v>
      </c>
      <c r="CI3549" s="245" t="s">
        <v>885</v>
      </c>
      <c r="CJ3549" s="459" t="s">
        <v>885</v>
      </c>
      <c r="CK3549" s="459" t="s">
        <v>885</v>
      </c>
      <c r="CL3549" s="459" t="s">
        <v>885</v>
      </c>
      <c r="CM3549" s="459" t="s">
        <v>885</v>
      </c>
      <c r="CN3549" s="459" t="s">
        <v>885</v>
      </c>
      <c r="CO3549" s="459" t="s">
        <v>885</v>
      </c>
      <c r="CP3549" s="459" t="s">
        <v>885</v>
      </c>
      <c r="CQ3549" s="459" t="s">
        <v>885</v>
      </c>
      <c r="CR3549" s="459" t="s">
        <v>885</v>
      </c>
      <c r="CS3549" s="459" t="s">
        <v>885</v>
      </c>
      <c r="CT3549" s="245" t="s">
        <v>885</v>
      </c>
      <c r="CU3549" s="463" t="s">
        <v>885</v>
      </c>
      <c r="CV3549" s="245" t="s">
        <v>885</v>
      </c>
      <c r="CW3549" s="245" t="s">
        <v>885</v>
      </c>
      <c r="CX3549" s="459" t="s">
        <v>885</v>
      </c>
      <c r="CY3549" s="459" t="s">
        <v>885</v>
      </c>
      <c r="CZ3549" s="459" t="s">
        <v>885</v>
      </c>
      <c r="DA3549" s="459" t="s">
        <v>885</v>
      </c>
      <c r="DB3549" s="459" t="s">
        <v>885</v>
      </c>
      <c r="DC3549" s="459" t="s">
        <v>885</v>
      </c>
      <c r="DD3549" s="459" t="s">
        <v>885</v>
      </c>
      <c r="DE3549" s="459" t="s">
        <v>885</v>
      </c>
      <c r="DF3549" s="459" t="s">
        <v>885</v>
      </c>
      <c r="DG3549" s="459" t="s">
        <v>885</v>
      </c>
      <c r="DH3549" s="459" t="s">
        <v>885</v>
      </c>
      <c r="DI3549" s="459" t="s">
        <v>885</v>
      </c>
      <c r="DJ3549" s="459" t="s">
        <v>885</v>
      </c>
      <c r="DK3549" s="459" t="s">
        <v>885</v>
      </c>
      <c r="DL3549" s="459" t="s">
        <v>885</v>
      </c>
      <c r="DM3549" s="459" t="s">
        <v>885</v>
      </c>
      <c r="DN3549" s="459" t="s">
        <v>885</v>
      </c>
      <c r="DO3549" s="459" t="s">
        <v>885</v>
      </c>
      <c r="DP3549" t="s">
        <v>3086</v>
      </c>
      <c r="DQ3549" s="459" t="s">
        <v>885</v>
      </c>
      <c r="DR3549" s="459" t="s">
        <v>885</v>
      </c>
      <c r="DS3549" s="459" t="s">
        <v>885</v>
      </c>
      <c r="DT3549" s="459" t="s">
        <v>885</v>
      </c>
      <c r="DU3549" s="459" t="s">
        <v>885</v>
      </c>
      <c r="DV3549" s="459" t="s">
        <v>885</v>
      </c>
      <c r="DW3549" s="459" t="s">
        <v>885</v>
      </c>
      <c r="DX3549" s="245" t="s">
        <v>885</v>
      </c>
      <c r="DY3549" s="245"/>
      <c r="DZ3549" s="470" t="str">
        <f>IF($B$265=$B$3278,EB3549,IF($B$265=$B$3279,ED3549,IF($B$265=$B$3280,EF3549,IF($B$265=$B$3281,EH3549,IF($B$265=$B$3282,EJ3549,IF($B$265=$B$3283,EL3549,IF($B$265=$B$3284,EN3549,IF($B$265=$B$3285,EP3549,IF($B$265=$B$3286,ER3549,IF($B$265=$B$3287,ET3549,IF($B$265=$B$3288,EV3549,IF($B$265=$B$3289,EX3549,IF($B$265=$B$3290,EZ3549,IF($B$265=$B$3291,FB3549,IF($B$265=$B$3292,FD3549,IF($B$265=$B$3293,BU3549,IF($B$265=$B$3294,FF3549,IF($B$265=$B$3295,FH3549,IF($B$265=$B$3296,FJ3549,IF($B$265=$B$3297,FL3549,IF($B$265=$B$3298,FN3549,IF($B$265=$B$3299,FP3549,IF(BI$265=$B$3300,FR3549,IF($B$265=$B$3301,FT3549,IF($B$265=$B$3302,FV3549,IF($B$265=$B$3303,FX3549,IF($B$265=$B$3304,FZ3549,IF($B$265=$B$3305,GB3549,IF($B$265=$B$3306,GD3549,IF($B$265=$B$3307,GF3549,IF($B$265=$B$3308,GH3549,IF($B$265=$B$3309,GJ3549,IF($B$265=$B$3310,GL3549,IF($B$265=$B$3311,GN3549,IF($B$265=$B$3312,GP3549,IF($B$265=$B$3313,GR3549,IF($B$265=$B$3314,GT3549,IF($B$265=$B$3315,GV3549,IF($B$265=$B$3316,GX3549,IF($B$265=$B$3317,GZ3549,IF($B$265=$B$3318,HB3549,IF($B$265=$B$3319,HD3549,IF($B$265=$B$3320,HF3549,IF($B$265=$B$3321,HH3549,IF($B$265=$B$3322,HJ3549,IF($B$265=$B$3323,HL3549,IF($B$265=$B$3324,HN3549,IF($B$265=$B$3325,HP3549,IF($B$265=$B$3326,HR3549,IF($B$265=$B$3327,HT3549,IF($B$265=$B$3328,HV3549,IF($B$265=$B$3329,HX3549,""))))))))))))))))))))))))))))))))))))))))))))))))))))</f>
        <v/>
      </c>
      <c r="EA3549" s="470" t="str">
        <f>IF($B$265=$B$3278,EC3549,IF($B$265=$B$3279,EE3549,IF($B$265=$B$3280,EG3549,IF($B$265=$B$3281,EI3549,IF($B$265=$B$3282,EK3549,IF($B$265=$B$3283,EM3549,IF($B$265=$B$3284,EO3549,IF($B$265=$B$3285,EQ3549,IF($B$265=$B$3286,ES3549,IF($B$265=$B$3287,EU3549,IF($B$265=$B$3288,EW3549,IF($B$265=$B$3289,EY3549,IF($B$265=$B$3290,FA3549,IF($B$265=$B$3291,FC3549,IF($B$265=$B$3292,FE3549,IF($B$265=$B$3293,BK3549,IF($B$265=$B$3294,FG3549,IF($B$265=$B$3295,FI3549,IF($B$265=$B$3296,FK3549,IF($B$265=$B$3297,FM3549,IF($B$265=$B$3298,FO3549,IF($B$265=$B$3299,FQ3549,IF(BJ$265=$B$3300,FS3549,IF($B$265=$B$3301,FU3549,IF($B$265=$B$3302,FW3549,IF($B$265=$B$3303,FY3549,IF($B$265=$B$3304,GA3549,IF($B$265=$B$3305,GC3549,IF($B$265=$B$3306,GE3549,IF($B$265=$B$3307,GG3549,IF($B$265=$B$3308,GI3549,IF($B$265=$B$3309,GK3549,IF($B$265=$B$3310,GM3549,IF($B$265=$B$3311,GO3549,IF($B$265=$B$3312,GQ3549,IF($B$265=$B$3313,GS3549,IF($B$265=$B$3314,GU3549,IF($B$265=$B$3315,GW3549,IF($B$265=$B$3316,GY3549,IF($B$265=$B$3317,HA3549,IF($B$265=$B$3318,HC3549,IF($B$265=$B$3319,HE3549,IF($B$265=$B$3320,HG3549,IF($B$265=$B$3321,HI3549,IF($B$265=$B$3322,HK3549,IF($B$265=$B$3323,HM3549,IF($B$265=$B$3324,HO3549,IF($B$265=$B$3325,HQ3549,IF($B$265=$B$3326,HS3549,IF($B$265=$B$3327,HU3549,IF($B$265=$B$3328,HW3549,IF($B$265=$B$3329,HY3549,""))))))))))))))))))))))))))))))))))))))))))))))))))))</f>
        <v/>
      </c>
      <c r="EB3549" s="459" t="s">
        <v>885</v>
      </c>
    </row>
    <row r="3550" spans="1:132" ht="16" hidden="1" x14ac:dyDescent="0.4">
      <c r="A3550" s="813"/>
      <c r="BB3550" s="48"/>
      <c r="BS3550" s="464" t="str">
        <f>IF($B$265=B$3278,BZ3549,IF($B$265=B$3279,CA3549,IF($B$265=B$3280,CB3549,IF($B$265=B$3281,CC3549,IF($B$265=B$3282,CD3549,IF($B$265=B$3283,CE3549,IF($B$265=B$3284,CF3549,IF($B$265=B$3285,CG3549,IF($B$265=B$3286,CH3549,IF($B$265=B$3287,CI3549,IF($B$265=B$3288,CJ3549,IF($B$265=B$3289,CK3549,IF($B$265=B$3290,CL3549,IF($B$265=B$3291,CM3549,IF($B$265=B$3292,CN3549,IF($B$265=B$3293,D2966,IF($B$265=B$3294,CO3549,IF($B$265=B$3295,CP3549,IF($B$265=B$3296,CQ3549,IF($B$265=B$3297,CR3549,IF($B$265=B$3298,CS3549,IF($B$265=B$3299,CT3549,IF(B$265=B$3300,CU3549,IF($B$265=B$3301,CV3549,IF($B$265=B$3302,CW3549,IF($B$265=B$3303,CX3549,IF($B$265=B$3304,CY3549,IF($B$265=B$3305,CZ3549,IF($B$265=B$3306,DA3549,IF($B$265=B$3307,DB3549,IF($B$265=B$3308,DC3549,IF($B$265=B$3309,DD3549,IF($B$265=B$3310,DE3549,IF($B$265=B$3311,DF3549,IF($B$265=B$3312,DG3549,IF($B$265=B$3313,DH3549,IF($B$265=B$3314,DI3549,IF($B$265=B$3315,DJ3549,IF($B$265=B$3316,DK3549,IF($B$265=B$3317,DL3549,IF($B$265=B$3318,DM3549,IF($B$265=B$3319,DN3549,IF($B$265=B$3320,DO3549,IF($B$265=B$3321,DP3549,IF($B$265=B$3322,DQ3549,IF($B$265=B$3323,DR3549,IF($B$265=B$3324,DS3549,IF($B$265=B$3325,DT3549,IF($B$265=B$3326,DU3549,IF($B$265=B$3327,DV3549,IF($B$265=B$3328,DW3549,IF($B$265=B$3329,DX3549,""))))))))))))))))))))))))))))))))))))))))))))))))))))</f>
        <v/>
      </c>
      <c r="BZ3550" s="245" t="s">
        <v>885</v>
      </c>
      <c r="CA3550" s="245" t="s">
        <v>885</v>
      </c>
      <c r="CC3550" s="245" t="s">
        <v>885</v>
      </c>
      <c r="CD3550" s="459" t="s">
        <v>885</v>
      </c>
      <c r="CE3550" s="459" t="s">
        <v>885</v>
      </c>
      <c r="CF3550" s="245" t="s">
        <v>885</v>
      </c>
      <c r="CG3550" s="245" t="s">
        <v>885</v>
      </c>
      <c r="CH3550" s="245" t="s">
        <v>885</v>
      </c>
      <c r="CI3550" s="245" t="s">
        <v>885</v>
      </c>
      <c r="CJ3550" s="459" t="s">
        <v>885</v>
      </c>
      <c r="CK3550" s="459" t="s">
        <v>885</v>
      </c>
      <c r="CL3550" s="459" t="s">
        <v>885</v>
      </c>
      <c r="CM3550" s="459" t="s">
        <v>885</v>
      </c>
      <c r="CN3550" s="459" t="s">
        <v>885</v>
      </c>
      <c r="CO3550" s="459" t="s">
        <v>885</v>
      </c>
      <c r="CP3550" s="459" t="s">
        <v>885</v>
      </c>
      <c r="CQ3550" s="459" t="s">
        <v>885</v>
      </c>
      <c r="CR3550" s="459" t="s">
        <v>885</v>
      </c>
      <c r="CS3550" s="459" t="s">
        <v>885</v>
      </c>
      <c r="CT3550" s="245" t="s">
        <v>885</v>
      </c>
      <c r="CU3550" s="463" t="s">
        <v>885</v>
      </c>
      <c r="CV3550" s="245" t="s">
        <v>885</v>
      </c>
      <c r="CW3550" s="245" t="s">
        <v>885</v>
      </c>
      <c r="CX3550" s="459" t="s">
        <v>885</v>
      </c>
      <c r="CY3550" s="459" t="s">
        <v>885</v>
      </c>
      <c r="CZ3550" s="459" t="s">
        <v>885</v>
      </c>
      <c r="DA3550" s="459" t="s">
        <v>885</v>
      </c>
      <c r="DB3550" s="459" t="s">
        <v>885</v>
      </c>
      <c r="DC3550" s="459" t="s">
        <v>885</v>
      </c>
      <c r="DD3550" s="459" t="s">
        <v>885</v>
      </c>
      <c r="DE3550" s="459" t="s">
        <v>885</v>
      </c>
      <c r="DF3550" s="459" t="s">
        <v>885</v>
      </c>
      <c r="DG3550" s="459" t="s">
        <v>885</v>
      </c>
      <c r="DH3550" s="459" t="s">
        <v>885</v>
      </c>
      <c r="DI3550" s="459" t="s">
        <v>885</v>
      </c>
      <c r="DJ3550" s="459" t="s">
        <v>885</v>
      </c>
      <c r="DK3550" s="459" t="s">
        <v>885</v>
      </c>
      <c r="DL3550" s="459" t="s">
        <v>885</v>
      </c>
      <c r="DM3550" s="459" t="s">
        <v>885</v>
      </c>
      <c r="DN3550" s="459" t="s">
        <v>885</v>
      </c>
      <c r="DO3550" s="459" t="s">
        <v>885</v>
      </c>
      <c r="DP3550" t="s">
        <v>2744</v>
      </c>
      <c r="DQ3550" s="459" t="s">
        <v>885</v>
      </c>
      <c r="DR3550" s="459" t="s">
        <v>885</v>
      </c>
      <c r="DS3550" s="459" t="s">
        <v>885</v>
      </c>
      <c r="DT3550" s="459" t="s">
        <v>885</v>
      </c>
      <c r="DU3550" s="459" t="s">
        <v>885</v>
      </c>
      <c r="DV3550" s="459" t="s">
        <v>885</v>
      </c>
      <c r="DW3550" s="459" t="s">
        <v>885</v>
      </c>
      <c r="DX3550" s="245" t="s">
        <v>885</v>
      </c>
      <c r="DY3550" s="245"/>
      <c r="DZ3550" s="470" t="str">
        <f>IF($B$265=$B$3278,EB3550,IF($B$265=$B$3279,ED3550,IF($B$265=$B$3280,EF3550,IF($B$265=$B$3281,EH3550,IF($B$265=$B$3282,EJ3550,IF($B$265=$B$3283,EL3550,IF($B$265=$B$3284,EN3550,IF($B$265=$B$3285,EP3550,IF($B$265=$B$3286,ER3550,IF($B$265=$B$3287,ET3550,IF($B$265=$B$3288,EV3550,IF($B$265=$B$3289,EX3550,IF($B$265=$B$3290,EZ3550,IF($B$265=$B$3291,FB3550,IF($B$265=$B$3292,FD3550,IF($B$265=$B$3293,BU3550,IF($B$265=$B$3294,FF3550,IF($B$265=$B$3295,FH3550,IF($B$265=$B$3296,FJ3550,IF($B$265=$B$3297,FL3550,IF($B$265=$B$3298,FN3550,IF($B$265=$B$3299,FP3550,IF(BI$265=$B$3300,FR3550,IF($B$265=$B$3301,FT3550,IF($B$265=$B$3302,FV3550,IF($B$265=$B$3303,FX3550,IF($B$265=$B$3304,FZ3550,IF($B$265=$B$3305,GB3550,IF($B$265=$B$3306,GD3550,IF($B$265=$B$3307,GF3550,IF($B$265=$B$3308,GH3550,IF($B$265=$B$3309,GJ3550,IF($B$265=$B$3310,GL3550,IF($B$265=$B$3311,GN3550,IF($B$265=$B$3312,GP3550,IF($B$265=$B$3313,GR3550,IF($B$265=$B$3314,GT3550,IF($B$265=$B$3315,GV3550,IF($B$265=$B$3316,GX3550,IF($B$265=$B$3317,GZ3550,IF($B$265=$B$3318,HB3550,IF($B$265=$B$3319,HD3550,IF($B$265=$B$3320,HF3550,IF($B$265=$B$3321,HH3550,IF($B$265=$B$3322,HJ3550,IF($B$265=$B$3323,HL3550,IF($B$265=$B$3324,HN3550,IF($B$265=$B$3325,HP3550,IF($B$265=$B$3326,HR3550,IF($B$265=$B$3327,HT3550,IF($B$265=$B$3328,HV3550,IF($B$265=$B$3329,HX3550,""))))))))))))))))))))))))))))))))))))))))))))))))))))</f>
        <v/>
      </c>
      <c r="EA3550" s="470" t="str">
        <f>IF($B$265=$B$3278,EC3550,IF($B$265=$B$3279,EE3550,IF($B$265=$B$3280,EG3550,IF($B$265=$B$3281,EI3550,IF($B$265=$B$3282,EK3550,IF($B$265=$B$3283,EM3550,IF($B$265=$B$3284,EO3550,IF($B$265=$B$3285,EQ3550,IF($B$265=$B$3286,ES3550,IF($B$265=$B$3287,EU3550,IF($B$265=$B$3288,EW3550,IF($B$265=$B$3289,EY3550,IF($B$265=$B$3290,FA3550,IF($B$265=$B$3291,FC3550,IF($B$265=$B$3292,FE3550,IF($B$265=$B$3293,BK3550,IF($B$265=$B$3294,FG3550,IF($B$265=$B$3295,FI3550,IF($B$265=$B$3296,FK3550,IF($B$265=$B$3297,FM3550,IF($B$265=$B$3298,FO3550,IF($B$265=$B$3299,FQ3550,IF(BJ$265=$B$3300,FS3550,IF($B$265=$B$3301,FU3550,IF($B$265=$B$3302,FW3550,IF($B$265=$B$3303,FY3550,IF($B$265=$B$3304,GA3550,IF($B$265=$B$3305,GC3550,IF($B$265=$B$3306,GE3550,IF($B$265=$B$3307,GG3550,IF($B$265=$B$3308,GI3550,IF($B$265=$B$3309,GK3550,IF($B$265=$B$3310,GM3550,IF($B$265=$B$3311,GO3550,IF($B$265=$B$3312,GQ3550,IF($B$265=$B$3313,GS3550,IF($B$265=$B$3314,GU3550,IF($B$265=$B$3315,GW3550,IF($B$265=$B$3316,GY3550,IF($B$265=$B$3317,HA3550,IF($B$265=$B$3318,HC3550,IF($B$265=$B$3319,HE3550,IF($B$265=$B$3320,HG3550,IF($B$265=$B$3321,HI3550,IF($B$265=$B$3322,HK3550,IF($B$265=$B$3323,HM3550,IF($B$265=$B$3324,HO3550,IF($B$265=$B$3325,HQ3550,IF($B$265=$B$3326,HS3550,IF($B$265=$B$3327,HU3550,IF($B$265=$B$3328,HW3550,IF($B$265=$B$3329,HY3550,""))))))))))))))))))))))))))))))))))))))))))))))))))))</f>
        <v/>
      </c>
      <c r="EB3550" s="459" t="s">
        <v>885</v>
      </c>
    </row>
    <row r="3551" spans="1:132" ht="16" hidden="1" x14ac:dyDescent="0.4">
      <c r="A3551" s="813"/>
      <c r="BB3551" s="48"/>
      <c r="BS3551" s="464" t="str">
        <f>IF($B$265=B$3278,BZ3550,IF($B$265=B$3279,CA3550,IF($B$265=B$3280,CB3550,IF($B$265=B$3281,CC3550,IF($B$265=B$3282,CD3550,IF($B$265=B$3283,CE3550,IF($B$265=B$3284,CF3550,IF($B$265=B$3285,CG3550,IF($B$265=B$3286,CH3550,IF($B$265=B$3287,CI3550,IF($B$265=B$3288,CJ3550,IF($B$265=B$3289,CK3550,IF($B$265=B$3290,CL3550,IF($B$265=B$3291,CM3550,IF($B$265=B$3292,CN3550,IF($B$265=B$3293,D2967,IF($B$265=B$3294,CO3550,IF($B$265=B$3295,CP3550,IF($B$265=B$3296,CQ3550,IF($B$265=B$3297,CR3550,IF($B$265=B$3298,CS3550,IF($B$265=B$3299,CT3550,IF(B$265=B$3300,CU3550,IF($B$265=B$3301,CV3550,IF($B$265=B$3302,CW3550,IF($B$265=B$3303,CX3550,IF($B$265=B$3304,CY3550,IF($B$265=B$3305,CZ3550,IF($B$265=B$3306,DA3550,IF($B$265=B$3307,DB3550,IF($B$265=B$3308,DC3550,IF($B$265=B$3309,DD3550,IF($B$265=B$3310,DE3550,IF($B$265=B$3311,DF3550,IF($B$265=B$3312,DG3550,IF($B$265=B$3313,DH3550,IF($B$265=B$3314,DI3550,IF($B$265=B$3315,DJ3550,IF($B$265=B$3316,DK3550,IF($B$265=B$3317,DL3550,IF($B$265=B$3318,DM3550,IF($B$265=B$3319,DN3550,IF($B$265=B$3320,DO3550,IF($B$265=B$3321,DP3550,IF($B$265=B$3322,DQ3550,IF($B$265=B$3323,DR3550,IF($B$265=B$3324,DS3550,IF($B$265=B$3325,DT3550,IF($B$265=B$3326,DU3550,IF($B$265=B$3327,DV3550,IF($B$265=B$3328,DW3550,IF($B$265=B$3329,DX3550,""))))))))))))))))))))))))))))))))))))))))))))))))))))</f>
        <v/>
      </c>
      <c r="BZ3551" s="245" t="s">
        <v>885</v>
      </c>
      <c r="CA3551" s="245" t="s">
        <v>885</v>
      </c>
      <c r="CC3551" s="245" t="s">
        <v>885</v>
      </c>
      <c r="CD3551" s="459" t="s">
        <v>885</v>
      </c>
      <c r="CE3551" s="459" t="s">
        <v>885</v>
      </c>
      <c r="CF3551" s="245" t="s">
        <v>885</v>
      </c>
      <c r="CG3551" s="245" t="s">
        <v>885</v>
      </c>
      <c r="CH3551" s="245" t="s">
        <v>885</v>
      </c>
      <c r="CI3551" s="245" t="s">
        <v>885</v>
      </c>
      <c r="CJ3551" s="459" t="s">
        <v>885</v>
      </c>
      <c r="CK3551" s="459" t="s">
        <v>885</v>
      </c>
      <c r="CL3551" s="459" t="s">
        <v>885</v>
      </c>
      <c r="CM3551" s="459" t="s">
        <v>885</v>
      </c>
      <c r="CN3551" s="459" t="s">
        <v>885</v>
      </c>
      <c r="CO3551" s="459" t="s">
        <v>885</v>
      </c>
      <c r="CP3551" s="459" t="s">
        <v>885</v>
      </c>
      <c r="CQ3551" s="459" t="s">
        <v>885</v>
      </c>
      <c r="CR3551" s="459" t="s">
        <v>885</v>
      </c>
      <c r="CS3551" s="459" t="s">
        <v>885</v>
      </c>
      <c r="CT3551" s="245" t="s">
        <v>885</v>
      </c>
      <c r="CU3551" s="463" t="s">
        <v>885</v>
      </c>
      <c r="CV3551" s="245" t="s">
        <v>885</v>
      </c>
      <c r="CW3551" s="245" t="s">
        <v>885</v>
      </c>
      <c r="CX3551" s="459" t="s">
        <v>885</v>
      </c>
      <c r="CY3551" s="459" t="s">
        <v>885</v>
      </c>
      <c r="CZ3551" s="459" t="s">
        <v>885</v>
      </c>
      <c r="DA3551" s="459" t="s">
        <v>885</v>
      </c>
      <c r="DB3551" s="459" t="s">
        <v>885</v>
      </c>
      <c r="DC3551" s="459" t="s">
        <v>885</v>
      </c>
      <c r="DD3551" s="459" t="s">
        <v>885</v>
      </c>
      <c r="DE3551" s="459" t="s">
        <v>885</v>
      </c>
      <c r="DF3551" s="459" t="s">
        <v>885</v>
      </c>
      <c r="DG3551" s="459" t="s">
        <v>885</v>
      </c>
      <c r="DH3551" s="459" t="s">
        <v>885</v>
      </c>
      <c r="DI3551" s="459" t="s">
        <v>885</v>
      </c>
      <c r="DJ3551" s="459" t="s">
        <v>885</v>
      </c>
      <c r="DK3551" s="459" t="s">
        <v>885</v>
      </c>
      <c r="DL3551" s="459" t="s">
        <v>885</v>
      </c>
      <c r="DM3551" s="459" t="s">
        <v>885</v>
      </c>
      <c r="DN3551" s="459" t="s">
        <v>885</v>
      </c>
      <c r="DO3551" s="459" t="s">
        <v>885</v>
      </c>
      <c r="DP3551" t="s">
        <v>3087</v>
      </c>
      <c r="DQ3551" s="459" t="s">
        <v>885</v>
      </c>
      <c r="DR3551" s="459" t="s">
        <v>885</v>
      </c>
      <c r="DS3551" s="459" t="s">
        <v>885</v>
      </c>
      <c r="DT3551" s="459" t="s">
        <v>885</v>
      </c>
      <c r="DU3551" s="459" t="s">
        <v>885</v>
      </c>
      <c r="DV3551" s="459" t="s">
        <v>885</v>
      </c>
      <c r="DW3551" s="459" t="s">
        <v>885</v>
      </c>
      <c r="DX3551" s="245" t="s">
        <v>885</v>
      </c>
      <c r="DY3551" s="245"/>
      <c r="DZ3551" s="470" t="str">
        <f>IF($B$265=$B$3278,EB3551,IF($B$265=$B$3279,ED3551,IF($B$265=$B$3280,EF3551,IF($B$265=$B$3281,EH3551,IF($B$265=$B$3282,EJ3551,IF($B$265=$B$3283,EL3551,IF($B$265=$B$3284,EN3551,IF($B$265=$B$3285,EP3551,IF($B$265=$B$3286,ER3551,IF($B$265=$B$3287,ET3551,IF($B$265=$B$3288,EV3551,IF($B$265=$B$3289,EX3551,IF($B$265=$B$3290,EZ3551,IF($B$265=$B$3291,FB3551,IF($B$265=$B$3292,FD3551,IF($B$265=$B$3293,BU3551,IF($B$265=$B$3294,FF3551,IF($B$265=$B$3295,FH3551,IF($B$265=$B$3296,FJ3551,IF($B$265=$B$3297,FL3551,IF($B$265=$B$3298,FN3551,IF($B$265=$B$3299,FP3551,IF(BI$265=$B$3300,FR3551,IF($B$265=$B$3301,FT3551,IF($B$265=$B$3302,FV3551,IF($B$265=$B$3303,FX3551,IF($B$265=$B$3304,FZ3551,IF($B$265=$B$3305,GB3551,IF($B$265=$B$3306,GD3551,IF($B$265=$B$3307,GF3551,IF($B$265=$B$3308,GH3551,IF($B$265=$B$3309,GJ3551,IF($B$265=$B$3310,GL3551,IF($B$265=$B$3311,GN3551,IF($B$265=$B$3312,GP3551,IF($B$265=$B$3313,GR3551,IF($B$265=$B$3314,GT3551,IF($B$265=$B$3315,GV3551,IF($B$265=$B$3316,GX3551,IF($B$265=$B$3317,GZ3551,IF($B$265=$B$3318,HB3551,IF($B$265=$B$3319,HD3551,IF($B$265=$B$3320,HF3551,IF($B$265=$B$3321,HH3551,IF($B$265=$B$3322,HJ3551,IF($B$265=$B$3323,HL3551,IF($B$265=$B$3324,HN3551,IF($B$265=$B$3325,HP3551,IF($B$265=$B$3326,HR3551,IF($B$265=$B$3327,HT3551,IF($B$265=$B$3328,HV3551,IF($B$265=$B$3329,HX3551,""))))))))))))))))))))))))))))))))))))))))))))))))))))</f>
        <v/>
      </c>
      <c r="EA3551" s="470" t="str">
        <f>IF($B$265=$B$3278,EC3551,IF($B$265=$B$3279,EE3551,IF($B$265=$B$3280,EG3551,IF($B$265=$B$3281,EI3551,IF($B$265=$B$3282,EK3551,IF($B$265=$B$3283,EM3551,IF($B$265=$B$3284,EO3551,IF($B$265=$B$3285,EQ3551,IF($B$265=$B$3286,ES3551,IF($B$265=$B$3287,EU3551,IF($B$265=$B$3288,EW3551,IF($B$265=$B$3289,EY3551,IF($B$265=$B$3290,FA3551,IF($B$265=$B$3291,FC3551,IF($B$265=$B$3292,FE3551,IF($B$265=$B$3293,BK3551,IF($B$265=$B$3294,FG3551,IF($B$265=$B$3295,FI3551,IF($B$265=$B$3296,FK3551,IF($B$265=$B$3297,FM3551,IF($B$265=$B$3298,FO3551,IF($B$265=$B$3299,FQ3551,IF(BJ$265=$B$3300,FS3551,IF($B$265=$B$3301,FU3551,IF($B$265=$B$3302,FW3551,IF($B$265=$B$3303,FY3551,IF($B$265=$B$3304,GA3551,IF($B$265=$B$3305,GC3551,IF($B$265=$B$3306,GE3551,IF($B$265=$B$3307,GG3551,IF($B$265=$B$3308,GI3551,IF($B$265=$B$3309,GK3551,IF($B$265=$B$3310,GM3551,IF($B$265=$B$3311,GO3551,IF($B$265=$B$3312,GQ3551,IF($B$265=$B$3313,GS3551,IF($B$265=$B$3314,GU3551,IF($B$265=$B$3315,GW3551,IF($B$265=$B$3316,GY3551,IF($B$265=$B$3317,HA3551,IF($B$265=$B$3318,HC3551,IF($B$265=$B$3319,HE3551,IF($B$265=$B$3320,HG3551,IF($B$265=$B$3321,HI3551,IF($B$265=$B$3322,HK3551,IF($B$265=$B$3323,HM3551,IF($B$265=$B$3324,HO3551,IF($B$265=$B$3325,HQ3551,IF($B$265=$B$3326,HS3551,IF($B$265=$B$3327,HU3551,IF($B$265=$B$3328,HW3551,IF($B$265=$B$3329,HY3551,""))))))))))))))))))))))))))))))))))))))))))))))))))))</f>
        <v/>
      </c>
      <c r="EB3551" s="459" t="s">
        <v>885</v>
      </c>
    </row>
    <row r="3552" spans="1:132" ht="16" hidden="1" x14ac:dyDescent="0.4">
      <c r="A3552" s="813"/>
      <c r="BB3552" s="48"/>
      <c r="BS3552" s="464" t="str">
        <f>IF($B$265=B$3278,BZ3551,IF($B$265=B$3279,CA3551,IF($B$265=B$3280,CB3551,IF($B$265=B$3281,CC3551,IF($B$265=B$3282,CD3551,IF($B$265=B$3283,CE3551,IF($B$265=B$3284,CF3551,IF($B$265=B$3285,CG3551,IF($B$265=B$3286,CH3551,IF($B$265=B$3287,CI3551,IF($B$265=B$3288,CJ3551,IF($B$265=B$3289,CK3551,IF($B$265=B$3290,CL3551,IF($B$265=B$3291,CM3551,IF($B$265=B$3292,CN3551,IF($B$265=B$3293,D2968,IF($B$265=B$3294,CO3551,IF($B$265=B$3295,CP3551,IF($B$265=B$3296,CQ3551,IF($B$265=B$3297,CR3551,IF($B$265=B$3298,CS3551,IF($B$265=B$3299,CT3551,IF(B$265=B$3300,CU3551,IF($B$265=B$3301,CV3551,IF($B$265=B$3302,CW3551,IF($B$265=B$3303,CX3551,IF($B$265=B$3304,CY3551,IF($B$265=B$3305,CZ3551,IF($B$265=B$3306,DA3551,IF($B$265=B$3307,DB3551,IF($B$265=B$3308,DC3551,IF($B$265=B$3309,DD3551,IF($B$265=B$3310,DE3551,IF($B$265=B$3311,DF3551,IF($B$265=B$3312,DG3551,IF($B$265=B$3313,DH3551,IF($B$265=B$3314,DI3551,IF($B$265=B$3315,DJ3551,IF($B$265=B$3316,DK3551,IF($B$265=B$3317,DL3551,IF($B$265=B$3318,DM3551,IF($B$265=B$3319,DN3551,IF($B$265=B$3320,DO3551,IF($B$265=B$3321,DP3551,IF($B$265=B$3322,DQ3551,IF($B$265=B$3323,DR3551,IF($B$265=B$3324,DS3551,IF($B$265=B$3325,DT3551,IF($B$265=B$3326,DU3551,IF($B$265=B$3327,DV3551,IF($B$265=B$3328,DW3551,IF($B$265=B$3329,DX3551,""))))))))))))))))))))))))))))))))))))))))))))))))))))</f>
        <v/>
      </c>
      <c r="BZ3552" s="245" t="s">
        <v>885</v>
      </c>
      <c r="CA3552" s="245" t="s">
        <v>885</v>
      </c>
      <c r="CC3552" s="245" t="s">
        <v>885</v>
      </c>
      <c r="CD3552" s="459" t="s">
        <v>885</v>
      </c>
      <c r="CE3552" s="459" t="s">
        <v>885</v>
      </c>
      <c r="CF3552" s="245" t="s">
        <v>885</v>
      </c>
      <c r="CG3552" s="245" t="s">
        <v>885</v>
      </c>
      <c r="CH3552" s="245" t="s">
        <v>885</v>
      </c>
      <c r="CI3552" s="245" t="s">
        <v>885</v>
      </c>
      <c r="CJ3552" s="459" t="s">
        <v>885</v>
      </c>
      <c r="CK3552" s="459" t="s">
        <v>885</v>
      </c>
      <c r="CL3552" s="459" t="s">
        <v>885</v>
      </c>
      <c r="CM3552" s="459" t="s">
        <v>885</v>
      </c>
      <c r="CN3552" s="459" t="s">
        <v>885</v>
      </c>
      <c r="CO3552" s="459" t="s">
        <v>885</v>
      </c>
      <c r="CP3552" s="459" t="s">
        <v>885</v>
      </c>
      <c r="CQ3552" s="459" t="s">
        <v>885</v>
      </c>
      <c r="CR3552" s="459" t="s">
        <v>885</v>
      </c>
      <c r="CS3552" s="459" t="s">
        <v>885</v>
      </c>
      <c r="CT3552" s="245" t="s">
        <v>885</v>
      </c>
      <c r="CU3552" s="463" t="s">
        <v>885</v>
      </c>
      <c r="CV3552" s="245" t="s">
        <v>885</v>
      </c>
      <c r="CW3552" s="245" t="s">
        <v>885</v>
      </c>
      <c r="CX3552" s="459" t="s">
        <v>885</v>
      </c>
      <c r="CY3552" s="459" t="s">
        <v>885</v>
      </c>
      <c r="CZ3552" s="459" t="s">
        <v>885</v>
      </c>
      <c r="DA3552" s="459" t="s">
        <v>885</v>
      </c>
      <c r="DB3552" s="459" t="s">
        <v>885</v>
      </c>
      <c r="DC3552" s="459" t="s">
        <v>885</v>
      </c>
      <c r="DD3552" s="459" t="s">
        <v>885</v>
      </c>
      <c r="DE3552" s="459" t="s">
        <v>885</v>
      </c>
      <c r="DF3552" s="459" t="s">
        <v>885</v>
      </c>
      <c r="DG3552" s="459" t="s">
        <v>885</v>
      </c>
      <c r="DH3552" s="459" t="s">
        <v>885</v>
      </c>
      <c r="DI3552" s="459" t="s">
        <v>885</v>
      </c>
      <c r="DJ3552" s="459" t="s">
        <v>885</v>
      </c>
      <c r="DK3552" s="459" t="s">
        <v>885</v>
      </c>
      <c r="DL3552" s="459" t="s">
        <v>885</v>
      </c>
      <c r="DM3552" s="459" t="s">
        <v>885</v>
      </c>
      <c r="DN3552" s="459" t="s">
        <v>885</v>
      </c>
      <c r="DO3552" s="459" t="s">
        <v>885</v>
      </c>
      <c r="DP3552" t="s">
        <v>3088</v>
      </c>
      <c r="DQ3552" s="459" t="s">
        <v>885</v>
      </c>
      <c r="DR3552" s="459" t="s">
        <v>885</v>
      </c>
      <c r="DS3552" s="459" t="s">
        <v>885</v>
      </c>
      <c r="DT3552" s="459" t="s">
        <v>885</v>
      </c>
      <c r="DU3552" s="459" t="s">
        <v>885</v>
      </c>
      <c r="DV3552" s="459" t="s">
        <v>885</v>
      </c>
      <c r="DW3552" s="459" t="s">
        <v>885</v>
      </c>
      <c r="DX3552" s="459" t="s">
        <v>885</v>
      </c>
      <c r="DY3552" s="459"/>
      <c r="DZ3552" s="470" t="str">
        <f>IF($B$265=$B$3278,EB3552,IF($B$265=$B$3279,ED3552,IF($B$265=$B$3280,EF3552,IF($B$265=$B$3281,EH3552,IF($B$265=$B$3282,EJ3552,IF($B$265=$B$3283,EL3552,IF($B$265=$B$3284,EN3552,IF($B$265=$B$3285,EP3552,IF($B$265=$B$3286,ER3552,IF($B$265=$B$3287,ET3552,IF($B$265=$B$3288,EV3552,IF($B$265=$B$3289,EX3552,IF($B$265=$B$3290,EZ3552,IF($B$265=$B$3291,FB3552,IF($B$265=$B$3292,FD3552,IF($B$265=$B$3293,BU3552,IF($B$265=$B$3294,FF3552,IF($B$265=$B$3295,FH3552,IF($B$265=$B$3296,FJ3552,IF($B$265=$B$3297,FL3552,IF($B$265=$B$3298,FN3552,IF($B$265=$B$3299,FP3552,IF(BI$265=$B$3300,FR3552,IF($B$265=$B$3301,FT3552,IF($B$265=$B$3302,FV3552,IF($B$265=$B$3303,FX3552,IF($B$265=$B$3304,FZ3552,IF($B$265=$B$3305,GB3552,IF($B$265=$B$3306,GD3552,IF($B$265=$B$3307,GF3552,IF($B$265=$B$3308,GH3552,IF($B$265=$B$3309,GJ3552,IF($B$265=$B$3310,GL3552,IF($B$265=$B$3311,GN3552,IF($B$265=$B$3312,GP3552,IF($B$265=$B$3313,GR3552,IF($B$265=$B$3314,GT3552,IF($B$265=$B$3315,GV3552,IF($B$265=$B$3316,GX3552,IF($B$265=$B$3317,GZ3552,IF($B$265=$B$3318,HB3552,IF($B$265=$B$3319,HD3552,IF($B$265=$B$3320,HF3552,IF($B$265=$B$3321,HH3552,IF($B$265=$B$3322,HJ3552,IF($B$265=$B$3323,HL3552,IF($B$265=$B$3324,HN3552,IF($B$265=$B$3325,HP3552,IF($B$265=$B$3326,HR3552,IF($B$265=$B$3327,HT3552,IF($B$265=$B$3328,HV3552,IF($B$265=$B$3329,HX3552,""))))))))))))))))))))))))))))))))))))))))))))))))))))</f>
        <v/>
      </c>
      <c r="EA3552" s="470" t="str">
        <f>IF($B$265=$B$3278,EC3552,IF($B$265=$B$3279,EE3552,IF($B$265=$B$3280,EG3552,IF($B$265=$B$3281,EI3552,IF($B$265=$B$3282,EK3552,IF($B$265=$B$3283,EM3552,IF($B$265=$B$3284,EO3552,IF($B$265=$B$3285,EQ3552,IF($B$265=$B$3286,ES3552,IF($B$265=$B$3287,EU3552,IF($B$265=$B$3288,EW3552,IF($B$265=$B$3289,EY3552,IF($B$265=$B$3290,FA3552,IF($B$265=$B$3291,FC3552,IF($B$265=$B$3292,FE3552,IF($B$265=$B$3293,BK3552,IF($B$265=$B$3294,FG3552,IF($B$265=$B$3295,FI3552,IF($B$265=$B$3296,FK3552,IF($B$265=$B$3297,FM3552,IF($B$265=$B$3298,FO3552,IF($B$265=$B$3299,FQ3552,IF(BJ$265=$B$3300,FS3552,IF($B$265=$B$3301,FU3552,IF($B$265=$B$3302,FW3552,IF($B$265=$B$3303,FY3552,IF($B$265=$B$3304,GA3552,IF($B$265=$B$3305,GC3552,IF($B$265=$B$3306,GE3552,IF($B$265=$B$3307,GG3552,IF($B$265=$B$3308,GI3552,IF($B$265=$B$3309,GK3552,IF($B$265=$B$3310,GM3552,IF($B$265=$B$3311,GO3552,IF($B$265=$B$3312,GQ3552,IF($B$265=$B$3313,GS3552,IF($B$265=$B$3314,GU3552,IF($B$265=$B$3315,GW3552,IF($B$265=$B$3316,GY3552,IF($B$265=$B$3317,HA3552,IF($B$265=$B$3318,HC3552,IF($B$265=$B$3319,HE3552,IF($B$265=$B$3320,HG3552,IF($B$265=$B$3321,HI3552,IF($B$265=$B$3322,HK3552,IF($B$265=$B$3323,HM3552,IF($B$265=$B$3324,HO3552,IF($B$265=$B$3325,HQ3552,IF($B$265=$B$3326,HS3552,IF($B$265=$B$3327,HU3552,IF($B$265=$B$3328,HW3552,IF($B$265=$B$3329,HY3552,""))))))))))))))))))))))))))))))))))))))))))))))))))))</f>
        <v/>
      </c>
      <c r="EB3552" s="459" t="s">
        <v>885</v>
      </c>
    </row>
    <row r="3553" spans="1:233" ht="16" hidden="1" x14ac:dyDescent="0.4">
      <c r="A3553" s="813"/>
      <c r="BS3553" s="464" t="str">
        <f>IF($B$265=B$3278,BZ3552,IF($B$265=B$3279,CA3552,IF($B$265=B$3280,CB3552,IF($B$265=B$3281,CC3552,IF($B$265=B$3282,CD3552,IF($B$265=B$3283,CE3552,IF($B$265=B$3284,CF3552,IF($B$265=B$3285,CG3552,IF($B$265=B$3286,CH3552,IF($B$265=B$3287,CI3552,IF($B$265=B$3288,CJ3552,IF($B$265=B$3289,CK3552,IF($B$265=B$3290,CL3552,IF($B$265=B$3291,CM3552,IF($B$265=B$3292,CN3552,IF($B$265=B$3293,D2969,IF($B$265=B$3294,CO3552,IF($B$265=B$3295,CP3552,IF($B$265=B$3296,CQ3552,IF($B$265=B$3297,CR3552,IF($B$265=B$3298,CS3552,IF($B$265=B$3299,CT3552,IF(B$265=B$3300,CU3552,IF($B$265=B$3301,CV3552,IF($B$265=B$3302,CW3552,IF($B$265=B$3303,CX3552,IF($B$265=B$3304,CY3552,IF($B$265=B$3305,CZ3552,IF($B$265=B$3306,DA3552,IF($B$265=B$3307,DB3552,IF($B$265=B$3308,DC3552,IF($B$265=B$3309,DD3552,IF($B$265=B$3310,DE3552,IF($B$265=B$3311,DF3552,IF($B$265=B$3312,DG3552,IF($B$265=B$3313,DH3552,IF($B$265=B$3314,DI3552,IF($B$265=B$3315,DJ3552,IF($B$265=B$3316,DK3552,IF($B$265=B$3317,DL3552,IF($B$265=B$3318,DM3552,IF($B$265=B$3319,DN3552,IF($B$265=B$3320,DO3552,IF($B$265=B$3321,DP3552,IF($B$265=B$3322,DQ3552,IF($B$265=B$3323,DR3552,IF($B$265=B$3324,DS3552,IF($B$265=B$3325,DT3552,IF($B$265=B$3326,DU3552,IF($B$265=B$3327,DV3552,IF($B$265=B$3328,DW3552,IF($B$265=B$3329,DX3552,""))))))))))))))))))))))))))))))))))))))))))))))))))))</f>
        <v/>
      </c>
      <c r="BZ3553" s="245" t="s">
        <v>885</v>
      </c>
      <c r="CA3553" s="245" t="s">
        <v>885</v>
      </c>
      <c r="CC3553" s="245" t="s">
        <v>885</v>
      </c>
      <c r="CD3553" s="459" t="s">
        <v>885</v>
      </c>
      <c r="CE3553" s="459" t="s">
        <v>885</v>
      </c>
      <c r="CF3553" s="245" t="s">
        <v>885</v>
      </c>
      <c r="CG3553" s="245" t="s">
        <v>885</v>
      </c>
      <c r="CH3553" s="245" t="s">
        <v>885</v>
      </c>
      <c r="CI3553" s="245" t="s">
        <v>885</v>
      </c>
      <c r="CJ3553" s="459" t="s">
        <v>885</v>
      </c>
      <c r="CK3553" s="459" t="s">
        <v>885</v>
      </c>
      <c r="CL3553" s="459" t="s">
        <v>885</v>
      </c>
      <c r="CM3553" s="459" t="s">
        <v>885</v>
      </c>
      <c r="CN3553" s="459" t="s">
        <v>885</v>
      </c>
      <c r="CO3553" s="459" t="s">
        <v>885</v>
      </c>
      <c r="CP3553" s="459" t="s">
        <v>885</v>
      </c>
      <c r="CQ3553" s="459" t="s">
        <v>885</v>
      </c>
      <c r="CR3553" s="459" t="s">
        <v>885</v>
      </c>
      <c r="CS3553" s="459" t="s">
        <v>885</v>
      </c>
      <c r="CT3553" s="245" t="s">
        <v>885</v>
      </c>
      <c r="CU3553" s="463" t="s">
        <v>885</v>
      </c>
      <c r="CV3553" s="245" t="s">
        <v>885</v>
      </c>
      <c r="CW3553" s="245" t="s">
        <v>885</v>
      </c>
      <c r="CX3553" s="459" t="s">
        <v>885</v>
      </c>
      <c r="CY3553" s="459" t="s">
        <v>885</v>
      </c>
      <c r="CZ3553" s="459" t="s">
        <v>885</v>
      </c>
      <c r="DA3553" s="459" t="s">
        <v>885</v>
      </c>
      <c r="DB3553" s="459" t="s">
        <v>885</v>
      </c>
      <c r="DC3553" s="459" t="s">
        <v>885</v>
      </c>
      <c r="DD3553" s="459" t="s">
        <v>885</v>
      </c>
      <c r="DE3553" s="459" t="s">
        <v>885</v>
      </c>
      <c r="DF3553" s="459" t="s">
        <v>885</v>
      </c>
      <c r="DG3553" s="459" t="s">
        <v>885</v>
      </c>
      <c r="DH3553" s="459" t="s">
        <v>885</v>
      </c>
      <c r="DI3553" s="459" t="s">
        <v>885</v>
      </c>
      <c r="DJ3553" s="459" t="s">
        <v>885</v>
      </c>
      <c r="DK3553" s="459" t="s">
        <v>885</v>
      </c>
      <c r="DL3553" s="459" t="s">
        <v>885</v>
      </c>
      <c r="DM3553" s="459" t="s">
        <v>885</v>
      </c>
      <c r="DN3553" s="459" t="s">
        <v>885</v>
      </c>
      <c r="DO3553" s="459" t="s">
        <v>885</v>
      </c>
      <c r="DP3553" t="s">
        <v>3089</v>
      </c>
      <c r="DQ3553" s="459" t="s">
        <v>885</v>
      </c>
      <c r="DR3553" s="459" t="s">
        <v>885</v>
      </c>
      <c r="DS3553" s="459" t="s">
        <v>885</v>
      </c>
      <c r="DT3553" s="459" t="s">
        <v>885</v>
      </c>
      <c r="DU3553" s="459" t="s">
        <v>885</v>
      </c>
      <c r="DV3553" s="459" t="s">
        <v>885</v>
      </c>
      <c r="DW3553" s="459" t="s">
        <v>885</v>
      </c>
      <c r="DX3553" s="459" t="s">
        <v>885</v>
      </c>
      <c r="DY3553" s="459"/>
      <c r="DZ3553" s="470" t="str">
        <f>IF($B$265=$B$3278,EB3553,IF($B$265=$B$3279,ED3553,IF($B$265=$B$3280,EF3553,IF($B$265=$B$3281,EH3553,IF($B$265=$B$3282,EJ3553,IF($B$265=$B$3283,EL3553,IF($B$265=$B$3284,EN3553,IF($B$265=$B$3285,EP3553,IF($B$265=$B$3286,ER3553,IF($B$265=$B$3287,ET3553,IF($B$265=$B$3288,EV3553,IF($B$265=$B$3289,EX3553,IF($B$265=$B$3290,EZ3553,IF($B$265=$B$3291,FB3553,IF($B$265=$B$3292,FD3553,IF($B$265=$B$3293,BU3553,IF($B$265=$B$3294,FF3553,IF($B$265=$B$3295,FH3553,IF($B$265=$B$3296,FJ3553,IF($B$265=$B$3297,FL3553,IF($B$265=$B$3298,FN3553,IF($B$265=$B$3299,FP3553,IF(BI$265=$B$3300,FR3553,IF($B$265=$B$3301,FT3553,IF($B$265=$B$3302,FV3553,IF($B$265=$B$3303,FX3553,IF($B$265=$B$3304,FZ3553,IF($B$265=$B$3305,GB3553,IF($B$265=$B$3306,GD3553,IF($B$265=$B$3307,GF3553,IF($B$265=$B$3308,GH3553,IF($B$265=$B$3309,GJ3553,IF($B$265=$B$3310,GL3553,IF($B$265=$B$3311,GN3553,IF($B$265=$B$3312,GP3553,IF($B$265=$B$3313,GR3553,IF($B$265=$B$3314,GT3553,IF($B$265=$B$3315,GV3553,IF($B$265=$B$3316,GX3553,IF($B$265=$B$3317,GZ3553,IF($B$265=$B$3318,HB3553,IF($B$265=$B$3319,HD3553,IF($B$265=$B$3320,HF3553,IF($B$265=$B$3321,HH3553,IF($B$265=$B$3322,HJ3553,IF($B$265=$B$3323,HL3553,IF($B$265=$B$3324,HN3553,IF($B$265=$B$3325,HP3553,IF($B$265=$B$3326,HR3553,IF($B$265=$B$3327,HT3553,IF($B$265=$B$3328,HV3553,IF($B$265=$B$3329,HX3553,""))))))))))))))))))))))))))))))))))))))))))))))))))))</f>
        <v/>
      </c>
      <c r="EA3553" s="470" t="str">
        <f>IF($B$265=$B$3278,EC3553,IF($B$265=$B$3279,EE3553,IF($B$265=$B$3280,EG3553,IF($B$265=$B$3281,EI3553,IF($B$265=$B$3282,EK3553,IF($B$265=$B$3283,EM3553,IF($B$265=$B$3284,EO3553,IF($B$265=$B$3285,EQ3553,IF($B$265=$B$3286,ES3553,IF($B$265=$B$3287,EU3553,IF($B$265=$B$3288,EW3553,IF($B$265=$B$3289,EY3553,IF($B$265=$B$3290,FA3553,IF($B$265=$B$3291,FC3553,IF($B$265=$B$3292,FE3553,IF($B$265=$B$3293,BK3553,IF($B$265=$B$3294,FG3553,IF($B$265=$B$3295,FI3553,IF($B$265=$B$3296,FK3553,IF($B$265=$B$3297,FM3553,IF($B$265=$B$3298,FO3553,IF($B$265=$B$3299,FQ3553,IF(BJ$265=$B$3300,FS3553,IF($B$265=$B$3301,FU3553,IF($B$265=$B$3302,FW3553,IF($B$265=$B$3303,FY3553,IF($B$265=$B$3304,GA3553,IF($B$265=$B$3305,GC3553,IF($B$265=$B$3306,GE3553,IF($B$265=$B$3307,GG3553,IF($B$265=$B$3308,GI3553,IF($B$265=$B$3309,GK3553,IF($B$265=$B$3310,GM3553,IF($B$265=$B$3311,GO3553,IF($B$265=$B$3312,GQ3553,IF($B$265=$B$3313,GS3553,IF($B$265=$B$3314,GU3553,IF($B$265=$B$3315,GW3553,IF($B$265=$B$3316,GY3553,IF($B$265=$B$3317,HA3553,IF($B$265=$B$3318,HC3553,IF($B$265=$B$3319,HE3553,IF($B$265=$B$3320,HG3553,IF($B$265=$B$3321,HI3553,IF($B$265=$B$3322,HK3553,IF($B$265=$B$3323,HM3553,IF($B$265=$B$3324,HO3553,IF($B$265=$B$3325,HQ3553,IF($B$265=$B$3326,HS3553,IF($B$265=$B$3327,HU3553,IF($B$265=$B$3328,HW3553,IF($B$265=$B$3329,HY3553,""))))))))))))))))))))))))))))))))))))))))))))))))))))</f>
        <v/>
      </c>
      <c r="EB3553" s="459" t="s">
        <v>885</v>
      </c>
    </row>
    <row r="3554" spans="1:233" ht="15" hidden="1" thickBot="1" x14ac:dyDescent="0.4">
      <c r="A3554" s="813"/>
      <c r="BS3554" s="464" t="str">
        <f>IF($B$265=B$3278,BZ3553,IF($B$265=B$3279,CA3553,IF($B$265=B$3280,CB3553,IF($B$265=B$3281,CC3553,IF($B$265=B$3282,CD3553,IF($B$265=B$3283,CE3553,IF($B$265=B$3284,CF3553,IF($B$265=B$3285,CG3553,IF($B$265=B$3286,CH3553,IF($B$265=B$3287,CI3553,IF($B$265=B$3288,CJ3553,IF($B$265=B$3289,CK3553,IF($B$265=B$3290,CL3553,IF($B$265=B$3291,CM3553,IF($B$265=B$3292,CN3553,IF($B$265=B$3293,C3553,IF($B$265=B$3294,CO3553,IF($B$265=B$3295,CP3553,IF($B$265=B$3296,CQ3553,IF($B$265=B$3297,CR3553,IF($B$265=B$3298,CS3553,IF($B$265=B$3299,CT3553,IF(B$265=B$3300,CU3553,IF($B$265=B$3301,CV3553,IF($B$265=B$3302,CW3553,IF($B$265=B$3303,CX3553,IF($B$265=B$3304,CY3553,IF($B$265=B$3305,CZ3553,IF($B$265=B$3306,DA3553,IF($B$265=B$3307,DB3553,IF($B$265=B$3308,DC3553,IF($B$265=B$3309,DD3553,IF($B$265=B$3310,DE3553,IF($B$265=B$3311,DF3553,IF($B$265=B$3312,DG3553,IF($B$265=B$3313,DH3553,IF($B$265=B$3314,DI3553,IF($B$265=B$3315,DJ3553,IF($B$265=B$3316,DK3553,IF($B$265=B$3317,DL3553,IF($B$265=B$3318,DM3553,IF($B$265=B$3319,DN3553,IF($B$265=B$3320,DO3553,IF($B$265=B$3321,DP3553,IF($B$265=B$3322,DQ3553,IF($B$265=B$3323,DR3553,IF($B$265=B$3324,DS3553,IF($B$265=B$3325,DT3553,IF($B$265=B$3326,DU3553,IF($B$265=B$3327,DV3553,IF($B$265=B$3328,DW3553,IF($B$265=B$3329,DX3553,""))))))))))))))))))))))))))))))))))))))))))))))))))))</f>
        <v/>
      </c>
      <c r="BT3554" s="458"/>
      <c r="BU3554" s="458"/>
      <c r="BV3554" s="458"/>
      <c r="BW3554" s="458"/>
      <c r="BX3554" s="458"/>
      <c r="BY3554" s="458"/>
      <c r="BZ3554" s="460" t="s">
        <v>885</v>
      </c>
      <c r="CA3554" s="460" t="s">
        <v>885</v>
      </c>
      <c r="CB3554" s="458"/>
      <c r="CC3554" s="460" t="s">
        <v>885</v>
      </c>
      <c r="CD3554" s="461" t="s">
        <v>885</v>
      </c>
      <c r="CE3554" s="461" t="s">
        <v>885</v>
      </c>
      <c r="CF3554" s="460" t="s">
        <v>885</v>
      </c>
      <c r="CG3554" s="460" t="s">
        <v>885</v>
      </c>
      <c r="CH3554" s="460" t="s">
        <v>885</v>
      </c>
      <c r="CI3554" s="460" t="s">
        <v>885</v>
      </c>
      <c r="CJ3554" s="461" t="s">
        <v>885</v>
      </c>
      <c r="CK3554" s="461" t="s">
        <v>885</v>
      </c>
      <c r="CL3554" s="461" t="s">
        <v>885</v>
      </c>
      <c r="CM3554" s="461" t="s">
        <v>885</v>
      </c>
      <c r="CN3554" s="460" t="s">
        <v>885</v>
      </c>
      <c r="CO3554" s="460" t="s">
        <v>885</v>
      </c>
      <c r="CP3554" s="460" t="s">
        <v>885</v>
      </c>
      <c r="CQ3554" s="460" t="s">
        <v>885</v>
      </c>
      <c r="CR3554" s="460" t="s">
        <v>885</v>
      </c>
      <c r="CS3554" s="460" t="s">
        <v>885</v>
      </c>
      <c r="CT3554" s="460" t="s">
        <v>885</v>
      </c>
      <c r="CU3554" s="460" t="s">
        <v>885</v>
      </c>
      <c r="CV3554" s="460" t="s">
        <v>885</v>
      </c>
      <c r="CW3554" s="460" t="s">
        <v>885</v>
      </c>
      <c r="CX3554" s="460" t="s">
        <v>885</v>
      </c>
      <c r="CY3554" s="460" t="s">
        <v>885</v>
      </c>
      <c r="CZ3554" s="460" t="s">
        <v>885</v>
      </c>
      <c r="DA3554" s="460" t="s">
        <v>885</v>
      </c>
      <c r="DB3554" s="460" t="s">
        <v>885</v>
      </c>
      <c r="DC3554" s="460" t="s">
        <v>885</v>
      </c>
      <c r="DD3554" s="460" t="s">
        <v>885</v>
      </c>
      <c r="DE3554" s="460" t="s">
        <v>885</v>
      </c>
      <c r="DF3554" s="460" t="s">
        <v>885</v>
      </c>
      <c r="DG3554" s="460" t="s">
        <v>885</v>
      </c>
      <c r="DH3554" s="460" t="s">
        <v>885</v>
      </c>
      <c r="DI3554" s="460" t="s">
        <v>885</v>
      </c>
      <c r="DJ3554" s="460" t="s">
        <v>885</v>
      </c>
      <c r="DK3554" s="460" t="s">
        <v>885</v>
      </c>
      <c r="DL3554" s="460" t="s">
        <v>885</v>
      </c>
      <c r="DM3554" s="460" t="s">
        <v>885</v>
      </c>
      <c r="DN3554" s="460" t="s">
        <v>885</v>
      </c>
      <c r="DO3554" s="460" t="s">
        <v>885</v>
      </c>
      <c r="DP3554" s="462" t="s">
        <v>3090</v>
      </c>
      <c r="DQ3554" s="460" t="s">
        <v>885</v>
      </c>
      <c r="DR3554" s="460" t="s">
        <v>885</v>
      </c>
      <c r="DS3554" s="460" t="s">
        <v>885</v>
      </c>
      <c r="DT3554" s="460" t="s">
        <v>885</v>
      </c>
      <c r="DU3554" s="460" t="s">
        <v>885</v>
      </c>
      <c r="DV3554" s="460" t="s">
        <v>885</v>
      </c>
      <c r="DW3554" s="460" t="s">
        <v>885</v>
      </c>
      <c r="DX3554" s="460" t="s">
        <v>885</v>
      </c>
      <c r="DY3554" s="245"/>
      <c r="DZ3554" s="472" t="str">
        <f>IF($B$265=$B$3278,EB3554,IF($B$265=$B$3279,ED3554,IF($B$265=$B$3280,EF3554,IF($B$265=$B$3281,EH3554,IF($B$265=$B$3282,EJ3554,IF($B$265=$B$3283,EL3554,IF($B$265=$B$3284,EN3554,IF($B$265=$B$3285,EP3554,IF($B$265=$B$3286,ER3554,IF($B$265=$B$3287,ET3554,IF($B$265=$B$3288,EV3554,IF($B$265=$B$3289,EX3554,IF($B$265=$B$3290,EZ3554,IF($B$265=$B$3291,FB3554,IF($B$265=$B$3292,FD3554,IF($B$265=$B$3293,BU3554,IF($B$265=$B$3294,FF3554,IF($B$265=$B$3295,FH3554,IF($B$265=$B$3296,FJ3554,IF($B$265=$B$3297,FL3554,IF($B$265=$B$3298,FN3554,IF($B$265=$B$3299,FP3554,IF(BI$265=$B$3300,FR3554,IF($B$265=$B$3301,FT3554,IF($B$265=$B$3302,FV3554,IF($B$265=$B$3303,FX3554,IF($B$265=$B$3304,FZ3554,IF($B$265=$B$3305,GB3554,IF($B$265=$B$3306,GD3554,IF($B$265=$B$3307,GF3554,IF($B$265=$B$3308,GH3554,IF($B$265=$B$3309,GJ3554,IF($B$265=$B$3310,GL3554,IF($B$265=$B$3311,GN3554,IF($B$265=$B$3312,GP3554,IF($B$265=$B$3313,GR3554,IF($B$265=$B$3314,GT3554,IF($B$265=$B$3315,GV3554,IF($B$265=$B$3316,GX3554,IF($B$265=$B$3317,GZ3554,IF($B$265=$B$3318,HB3554,IF($B$265=$B$3319,HD3554,IF($B$265=$B$3320,HF3554,IF($B$265=$B$3321,HH3554,IF($B$265=$B$3322,HJ3554,IF($B$265=$B$3323,HL3554,IF($B$265=$B$3324,HN3554,IF($B$265=$B$3325,HP3554,IF($B$265=$B$3326,HR3554,IF($B$265=$B$3327,HT3554,IF($B$265=$B$3328,HV3554,IF($B$265=$B$3329,HX3554,""))))))))))))))))))))))))))))))))))))))))))))))))))))</f>
        <v/>
      </c>
      <c r="EA3554" s="472" t="str">
        <f>IF($B$265=$B$3278,EC3554,IF($B$265=$B$3279,EE3554,IF($B$265=$B$3280,EG3554,IF($B$265=$B$3281,EI3554,IF($B$265=$B$3282,EK3554,IF($B$265=$B$3283,EM3554,IF($B$265=$B$3284,EO3554,IF($B$265=$B$3285,EQ3554,IF($B$265=$B$3286,ES3554,IF($B$265=$B$3287,EU3554,IF($B$265=$B$3288,EW3554,IF($B$265=$B$3289,EY3554,IF($B$265=$B$3290,FA3554,IF($B$265=$B$3291,FC3554,IF($B$265=$B$3292,FE3554,IF($B$265=$B$3293,BK3554,IF($B$265=$B$3294,FG3554,IF($B$265=$B$3295,FI3554,IF($B$265=$B$3296,FK3554,IF($B$265=$B$3297,FM3554,IF($B$265=$B$3298,FO3554,IF($B$265=$B$3299,FQ3554,IF(BJ$265=$B$3300,FS3554,IF($B$265=$B$3301,FU3554,IF($B$265=$B$3302,FW3554,IF($B$265=$B$3303,FY3554,IF($B$265=$B$3304,GA3554,IF($B$265=$B$3305,GC3554,IF($B$265=$B$3306,GE3554,IF($B$265=$B$3307,GG3554,IF($B$265=$B$3308,GI3554,IF($B$265=$B$3309,GK3554,IF($B$265=$B$3310,GM3554,IF($B$265=$B$3311,GO3554,IF($B$265=$B$3312,GQ3554,IF($B$265=$B$3313,GS3554,IF($B$265=$B$3314,GU3554,IF($B$265=$B$3315,GW3554,IF($B$265=$B$3316,GY3554,IF($B$265=$B$3317,HA3554,IF($B$265=$B$3318,HC3554,IF($B$265=$B$3319,HE3554,IF($B$265=$B$3320,HG3554,IF($B$265=$B$3321,HI3554,IF($B$265=$B$3322,HK3554,IF($B$265=$B$3323,HM3554,IF($B$265=$B$3324,HO3554,IF($B$265=$B$3325,HQ3554,IF($B$265=$B$3326,HS3554,IF($B$265=$B$3327,HU3554,IF($B$265=$B$3328,HW3554,IF($B$265=$B$3329,HY3554,""))))))))))))))))))))))))))))))))))))))))))))))))))))</f>
        <v/>
      </c>
      <c r="EB3554" s="460" t="s">
        <v>885</v>
      </c>
      <c r="EC3554" s="460" t="s">
        <v>885</v>
      </c>
      <c r="ED3554" s="460" t="s">
        <v>885</v>
      </c>
      <c r="EE3554" s="460" t="s">
        <v>885</v>
      </c>
      <c r="EF3554" s="460" t="s">
        <v>885</v>
      </c>
      <c r="EG3554" s="460" t="s">
        <v>885</v>
      </c>
      <c r="EH3554" s="460" t="s">
        <v>885</v>
      </c>
      <c r="EI3554" s="460" t="s">
        <v>885</v>
      </c>
      <c r="EJ3554" s="460" t="s">
        <v>885</v>
      </c>
      <c r="EK3554" s="460" t="s">
        <v>885</v>
      </c>
      <c r="EL3554" s="460" t="s">
        <v>885</v>
      </c>
      <c r="EM3554" s="460" t="s">
        <v>885</v>
      </c>
      <c r="EN3554" s="460" t="s">
        <v>885</v>
      </c>
      <c r="EO3554" s="460" t="s">
        <v>885</v>
      </c>
      <c r="EP3554" s="460" t="s">
        <v>885</v>
      </c>
      <c r="EQ3554" s="460" t="s">
        <v>885</v>
      </c>
      <c r="ER3554" s="460" t="s">
        <v>885</v>
      </c>
      <c r="ES3554" s="460" t="s">
        <v>885</v>
      </c>
      <c r="ET3554" s="460" t="s">
        <v>885</v>
      </c>
      <c r="EU3554" s="460" t="s">
        <v>885</v>
      </c>
      <c r="EV3554" s="460" t="s">
        <v>885</v>
      </c>
      <c r="EW3554" s="460" t="s">
        <v>885</v>
      </c>
      <c r="EX3554" s="460" t="s">
        <v>885</v>
      </c>
      <c r="EY3554" s="460" t="s">
        <v>885</v>
      </c>
      <c r="EZ3554" s="460" t="s">
        <v>885</v>
      </c>
      <c r="FA3554" s="460" t="s">
        <v>885</v>
      </c>
      <c r="FB3554" s="460" t="s">
        <v>885</v>
      </c>
      <c r="FC3554" s="460" t="s">
        <v>885</v>
      </c>
      <c r="FD3554" s="460" t="s">
        <v>885</v>
      </c>
      <c r="FE3554" s="460" t="s">
        <v>885</v>
      </c>
      <c r="FF3554" s="460" t="s">
        <v>885</v>
      </c>
      <c r="FG3554" s="460" t="s">
        <v>885</v>
      </c>
      <c r="FH3554" s="460" t="s">
        <v>885</v>
      </c>
      <c r="FI3554" s="460" t="s">
        <v>885</v>
      </c>
      <c r="FJ3554" s="460" t="s">
        <v>885</v>
      </c>
      <c r="FK3554" s="460" t="s">
        <v>885</v>
      </c>
      <c r="FL3554" s="460" t="s">
        <v>885</v>
      </c>
      <c r="FM3554" s="460" t="s">
        <v>885</v>
      </c>
      <c r="FN3554" s="460" t="s">
        <v>885</v>
      </c>
      <c r="FO3554" s="460" t="s">
        <v>885</v>
      </c>
      <c r="FP3554" s="460" t="s">
        <v>885</v>
      </c>
      <c r="FQ3554" s="460" t="s">
        <v>885</v>
      </c>
      <c r="FR3554" s="460" t="s">
        <v>885</v>
      </c>
      <c r="FS3554" s="460" t="s">
        <v>885</v>
      </c>
      <c r="FT3554" s="460" t="s">
        <v>885</v>
      </c>
      <c r="FU3554" s="460" t="s">
        <v>885</v>
      </c>
      <c r="FV3554" s="460" t="s">
        <v>885</v>
      </c>
      <c r="FW3554" s="460" t="s">
        <v>885</v>
      </c>
      <c r="FX3554" s="460" t="s">
        <v>885</v>
      </c>
      <c r="FY3554" s="460" t="s">
        <v>885</v>
      </c>
      <c r="FZ3554" s="460" t="s">
        <v>885</v>
      </c>
      <c r="GA3554" s="460" t="s">
        <v>885</v>
      </c>
      <c r="GB3554" s="460" t="s">
        <v>885</v>
      </c>
      <c r="GC3554" s="460" t="s">
        <v>885</v>
      </c>
      <c r="GD3554" s="460" t="s">
        <v>885</v>
      </c>
      <c r="GE3554" s="460" t="s">
        <v>885</v>
      </c>
      <c r="GF3554" s="460" t="s">
        <v>885</v>
      </c>
      <c r="GG3554" s="460" t="s">
        <v>885</v>
      </c>
      <c r="GH3554" s="460" t="s">
        <v>885</v>
      </c>
      <c r="GI3554" s="460"/>
      <c r="GJ3554" s="460" t="s">
        <v>885</v>
      </c>
      <c r="GK3554" s="460"/>
      <c r="GL3554" s="460" t="s">
        <v>885</v>
      </c>
      <c r="GM3554" s="460"/>
      <c r="GN3554" s="460" t="s">
        <v>885</v>
      </c>
      <c r="GO3554" s="460"/>
      <c r="GP3554" s="460" t="s">
        <v>885</v>
      </c>
      <c r="GQ3554" s="460"/>
      <c r="GR3554" s="460" t="s">
        <v>885</v>
      </c>
      <c r="GS3554" s="460"/>
      <c r="GT3554" s="460" t="s">
        <v>885</v>
      </c>
      <c r="GU3554" s="460"/>
      <c r="GV3554" s="460" t="s">
        <v>885</v>
      </c>
      <c r="GW3554" s="460"/>
      <c r="GX3554" s="460" t="s">
        <v>885</v>
      </c>
      <c r="GY3554" s="460"/>
      <c r="GZ3554" s="460" t="s">
        <v>885</v>
      </c>
      <c r="HA3554" s="460"/>
      <c r="HB3554" s="460" t="s">
        <v>885</v>
      </c>
      <c r="HC3554" s="460"/>
      <c r="HD3554" s="460" t="s">
        <v>885</v>
      </c>
      <c r="HE3554" s="460"/>
      <c r="HF3554" s="460" t="s">
        <v>885</v>
      </c>
      <c r="HG3554" s="460"/>
      <c r="HH3554" s="460" t="s">
        <v>885</v>
      </c>
      <c r="HI3554" s="460"/>
      <c r="HJ3554" s="460" t="s">
        <v>885</v>
      </c>
      <c r="HK3554" s="460"/>
      <c r="HL3554" s="460" t="s">
        <v>885</v>
      </c>
      <c r="HM3554" s="460"/>
      <c r="HN3554" s="460" t="s">
        <v>885</v>
      </c>
      <c r="HO3554" s="460"/>
      <c r="HP3554" s="460" t="s">
        <v>885</v>
      </c>
      <c r="HQ3554" s="460"/>
      <c r="HR3554" s="460" t="s">
        <v>885</v>
      </c>
      <c r="HS3554" s="460"/>
      <c r="HT3554" s="460" t="s">
        <v>885</v>
      </c>
      <c r="HU3554" s="460"/>
      <c r="HV3554" s="460" t="s">
        <v>885</v>
      </c>
      <c r="HW3554" s="460"/>
      <c r="HX3554" s="460" t="s">
        <v>885</v>
      </c>
      <c r="HY3554" s="460" t="s">
        <v>885</v>
      </c>
    </row>
    <row r="3555" spans="1:233" ht="15" hidden="1" thickTop="1" thickBot="1" x14ac:dyDescent="0.35">
      <c r="A3555" s="813"/>
      <c r="BS3555" s="465" t="str">
        <f>IF($B$265=B$3278,BZ3554,IF($B$265=B$3279,CA3554,IF($B$265=B$3280,CB3554,IF($B$265=B$3281,CC3554,IF($B$265=B$3282,CD3554,IF($B$265=B$3283,CE3554,IF($B$265=B$3284,CF3554,IF($B$265=B$3285,CG3554,IF($B$265=B$3286,CH3554,IF($B$265=B$3287,CI3554,IF($B$265=B$3288,CJ3554,IF($B$265=B$3289,CK3554,IF($B$265=B$3290,CL3554,IF($B$265=B$3291,CM3554,IF($B$265=B$3292,CN3554,IF($B$265=B$3293,C3554,IF($B$265=B$3294,CO3554,IF($B$265=B$3295,CP3554,IF($B$265=B$3296,CQ3554,IF($B$265=B$3297,CR3554,IF($B$265=B$3298,CS3554,IF($B$265=B$3299,CT3554,IF(B$265=B$3300,CU3554,IF($B$265=B$3301,CV3554,IF($B$265=B$3302,CW3554,IF($B$265=B$3303,CX3554,IF($B$265=B$3304,CY3554,IF($B$265=B$3305,CZ3554,IF($B$265=B$3306,DA3554,IF($B$265=B$3307,DB3554,IF($B$265=B$3308,DC3554,IF($B$265=B$3309,DD3554,IF($B$265=B$3310,DE3554,IF($B$265=B$3311,DF3554,IF($B$265=B$3312,DG3554,IF($B$265=B$3313,DH3554,IF($B$265=B$3314,DI3554,IF($B$265=B$3315,DJ3554,IF($B$265=B$3316,DK3554,IF($B$265=B$3317,DL3554,IF($B$265=B$3318,DM3554,IF($B$265=B$3319,DN3554,IF($B$265=B$3320,DO3554,IF($B$265=B$3321,DP3554,IF($B$265=B$3322,DQ3554,IF($B$265=B$3323,DR3554,IF($B$265=B$3324,DS3554,IF($B$265=B$3325,DT3554,IF($B$265=B$3326,DU3554,IF($B$265=B$3327,DV3554,IF($B$265=B$3328,DW3554,IF($B$265=B$3329,DX3554,""))))))))))))))))))))))))))))))))))))))))))))))))))))</f>
        <v/>
      </c>
      <c r="DP3555" s="457"/>
    </row>
    <row r="3556" spans="1:233" ht="14.5" hidden="1" thickTop="1" x14ac:dyDescent="0.3">
      <c r="A3556" s="813"/>
      <c r="BB3556" s="48"/>
    </row>
    <row r="3557" spans="1:233" hidden="1" x14ac:dyDescent="0.3">
      <c r="A3557" s="813"/>
      <c r="BB3557" s="48"/>
    </row>
    <row r="3558" spans="1:233" hidden="1" x14ac:dyDescent="0.3">
      <c r="A3558" s="813"/>
      <c r="BB3558" s="48"/>
    </row>
    <row r="3559" spans="1:233" hidden="1" x14ac:dyDescent="0.3">
      <c r="A3559" s="813"/>
      <c r="BB3559" s="48"/>
    </row>
    <row r="3560" spans="1:233" hidden="1" x14ac:dyDescent="0.3">
      <c r="A3560" s="813"/>
    </row>
    <row r="3561" spans="1:233" hidden="1" x14ac:dyDescent="0.3">
      <c r="A3561" s="813"/>
    </row>
    <row r="3562" spans="1:233" hidden="1" x14ac:dyDescent="0.3">
      <c r="A3562" s="813"/>
    </row>
    <row r="3563" spans="1:233" hidden="1" x14ac:dyDescent="0.3">
      <c r="A3563" s="813"/>
    </row>
    <row r="3564" spans="1:233" hidden="1" x14ac:dyDescent="0.3">
      <c r="A3564" s="813"/>
    </row>
    <row r="3565" spans="1:233" hidden="1" x14ac:dyDescent="0.3">
      <c r="A3565" s="813"/>
    </row>
    <row r="3566" spans="1:233" hidden="1" x14ac:dyDescent="0.3">
      <c r="A3566" s="813"/>
      <c r="BB3566" s="48"/>
    </row>
    <row r="3567" spans="1:233" hidden="1" x14ac:dyDescent="0.3">
      <c r="A3567" s="813"/>
      <c r="BB3567" s="48"/>
    </row>
    <row r="3568" spans="1:233" hidden="1" x14ac:dyDescent="0.3">
      <c r="A3568" s="813"/>
      <c r="BB3568" s="48"/>
    </row>
    <row r="3569" spans="1:104" hidden="1" x14ac:dyDescent="0.3">
      <c r="A3569" s="813"/>
      <c r="BB3569" s="48"/>
    </row>
    <row r="3570" spans="1:104" s="4" customFormat="1" hidden="1" x14ac:dyDescent="0.3">
      <c r="A3570" s="813"/>
      <c r="B3570" s="48"/>
      <c r="C3570" s="48"/>
      <c r="D3570" s="48"/>
      <c r="E3570" s="48"/>
      <c r="F3570" s="48"/>
      <c r="AA3570" s="48"/>
      <c r="AB3570" s="48"/>
      <c r="AC3570" s="48"/>
      <c r="AD3570" s="48"/>
      <c r="AE3570" s="48"/>
      <c r="AF3570" s="48"/>
      <c r="AG3570" s="48"/>
      <c r="AH3570" s="48"/>
      <c r="AI3570" s="48"/>
      <c r="AJ3570" s="48"/>
      <c r="AK3570" s="48"/>
      <c r="AL3570" s="48"/>
      <c r="AM3570" s="48"/>
      <c r="AN3570" s="48"/>
      <c r="AO3570" s="48"/>
      <c r="AP3570" s="48"/>
      <c r="AQ3570" s="48"/>
      <c r="AR3570" s="48"/>
      <c r="AS3570" s="48"/>
      <c r="AT3570" s="48"/>
      <c r="AU3570" s="48"/>
      <c r="AV3570" s="48"/>
      <c r="AW3570" s="48"/>
      <c r="AX3570" s="48"/>
      <c r="AY3570" s="48"/>
      <c r="AZ3570" s="48"/>
      <c r="BA3570" s="48"/>
      <c r="BB3570" s="14"/>
      <c r="BC3570" s="48"/>
      <c r="BD3570" s="48"/>
      <c r="BE3570" s="48"/>
      <c r="BF3570" s="48"/>
      <c r="BG3570" s="48"/>
      <c r="BH3570" s="48"/>
      <c r="BI3570" s="48"/>
      <c r="BJ3570" s="48"/>
      <c r="BK3570" s="48"/>
      <c r="BL3570" s="48"/>
      <c r="BM3570" s="48"/>
      <c r="BN3570" s="48"/>
      <c r="BO3570" s="48"/>
      <c r="BP3570" s="48"/>
      <c r="BQ3570" s="48"/>
      <c r="BR3570" s="48"/>
      <c r="BS3570" s="48"/>
      <c r="BT3570" s="48"/>
      <c r="BU3570" s="48"/>
      <c r="BV3570" s="48"/>
      <c r="BW3570" s="48"/>
      <c r="BX3570" s="48"/>
      <c r="BY3570" s="48"/>
      <c r="BZ3570" s="48"/>
      <c r="CA3570" s="48"/>
      <c r="CB3570" s="48"/>
      <c r="CC3570" s="48"/>
      <c r="CD3570" s="48"/>
      <c r="CE3570" s="48"/>
      <c r="CF3570" s="48"/>
      <c r="CG3570" s="48"/>
      <c r="CH3570" s="48"/>
      <c r="CI3570" s="48"/>
      <c r="CJ3570" s="48"/>
      <c r="CK3570" s="48"/>
      <c r="CL3570" s="48"/>
      <c r="CM3570" s="48"/>
      <c r="CN3570" s="48"/>
      <c r="CO3570" s="48"/>
      <c r="CP3570" s="48"/>
      <c r="CQ3570" s="48"/>
      <c r="CR3570" s="48"/>
      <c r="CS3570" s="48"/>
      <c r="CT3570" s="48"/>
      <c r="CU3570" s="48"/>
      <c r="CV3570" s="48"/>
      <c r="CW3570" s="48"/>
      <c r="CX3570" s="48"/>
      <c r="CY3570" s="48"/>
      <c r="CZ3570" s="48"/>
    </row>
    <row r="3571" spans="1:104" s="4" customFormat="1" hidden="1" x14ac:dyDescent="0.3">
      <c r="A3571" s="813"/>
      <c r="B3571" s="48"/>
      <c r="C3571" s="48"/>
      <c r="D3571" s="48"/>
      <c r="E3571" s="48"/>
      <c r="F3571" s="48"/>
      <c r="AA3571" s="48"/>
      <c r="AB3571" s="48"/>
      <c r="AC3571" s="48"/>
      <c r="AD3571" s="48"/>
      <c r="AE3571" s="48"/>
      <c r="AF3571" s="48"/>
      <c r="AG3571" s="48"/>
      <c r="AH3571" s="48"/>
      <c r="AI3571" s="48"/>
      <c r="AJ3571" s="48"/>
      <c r="AK3571" s="48"/>
      <c r="AL3571" s="48"/>
      <c r="AM3571" s="48"/>
      <c r="AN3571" s="48"/>
      <c r="AO3571" s="48"/>
      <c r="AP3571" s="48"/>
      <c r="AQ3571" s="48"/>
      <c r="AR3571" s="48"/>
      <c r="AS3571" s="48"/>
      <c r="AT3571" s="48"/>
      <c r="AU3571" s="48"/>
      <c r="AV3571" s="48"/>
      <c r="AW3571" s="48"/>
      <c r="AX3571" s="48"/>
      <c r="AY3571" s="48"/>
      <c r="AZ3571" s="48"/>
      <c r="BA3571" s="48"/>
      <c r="BB3571" s="14"/>
      <c r="BC3571" s="48"/>
      <c r="BD3571" s="48"/>
      <c r="BE3571" s="48"/>
      <c r="BF3571" s="48"/>
      <c r="BG3571" s="48"/>
      <c r="BH3571" s="48"/>
      <c r="BI3571" s="48"/>
      <c r="BJ3571" s="48"/>
      <c r="BK3571" s="48"/>
      <c r="BL3571" s="48"/>
      <c r="BM3571" s="48"/>
      <c r="BN3571" s="48"/>
      <c r="BO3571" s="48"/>
      <c r="BP3571" s="48"/>
      <c r="BQ3571" s="48"/>
      <c r="BR3571" s="48"/>
      <c r="BS3571" s="48"/>
      <c r="BT3571" s="48"/>
      <c r="BU3571" s="48"/>
      <c r="BV3571" s="48"/>
      <c r="BW3571" s="48"/>
      <c r="BX3571" s="48"/>
      <c r="BY3571" s="48"/>
      <c r="BZ3571" s="48"/>
      <c r="CA3571" s="48"/>
      <c r="CB3571" s="48"/>
      <c r="CC3571" s="48"/>
      <c r="CD3571" s="48"/>
      <c r="CE3571" s="48"/>
      <c r="CF3571" s="48"/>
      <c r="CG3571" s="48"/>
      <c r="CH3571" s="48"/>
      <c r="CI3571" s="48"/>
      <c r="CJ3571" s="48"/>
      <c r="CK3571" s="48"/>
      <c r="CL3571" s="48"/>
      <c r="CM3571" s="48"/>
      <c r="CN3571" s="48"/>
      <c r="CO3571" s="48"/>
      <c r="CP3571" s="48"/>
      <c r="CQ3571" s="48"/>
      <c r="CR3571" s="48"/>
      <c r="CS3571" s="48"/>
      <c r="CT3571" s="48"/>
      <c r="CU3571" s="48"/>
      <c r="CV3571" s="48"/>
      <c r="CW3571" s="48"/>
      <c r="CX3571" s="48"/>
      <c r="CY3571" s="48"/>
      <c r="CZ3571" s="48"/>
    </row>
    <row r="3572" spans="1:104" s="4" customFormat="1" hidden="1" x14ac:dyDescent="0.3">
      <c r="A3572" s="813"/>
      <c r="B3572" s="48"/>
      <c r="C3572" s="48"/>
      <c r="D3572" s="48"/>
      <c r="E3572" s="48"/>
      <c r="F3572" s="48"/>
      <c r="AA3572" s="48"/>
      <c r="AB3572" s="48"/>
      <c r="AC3572" s="48"/>
      <c r="AD3572" s="48"/>
      <c r="AE3572" s="48"/>
      <c r="AF3572" s="48"/>
      <c r="AG3572" s="48"/>
      <c r="AH3572" s="48"/>
      <c r="AI3572" s="48"/>
      <c r="AJ3572" s="48"/>
      <c r="AK3572" s="48"/>
      <c r="AL3572" s="48"/>
      <c r="AM3572" s="48"/>
      <c r="AN3572" s="48"/>
      <c r="AO3572" s="48"/>
      <c r="AP3572" s="48"/>
      <c r="AQ3572" s="48"/>
      <c r="AR3572" s="48"/>
      <c r="AS3572" s="48"/>
      <c r="AT3572" s="48"/>
      <c r="AU3572" s="48"/>
      <c r="AV3572" s="48"/>
      <c r="AW3572" s="48"/>
      <c r="AX3572" s="48"/>
      <c r="AY3572" s="48"/>
      <c r="AZ3572" s="48"/>
      <c r="BA3572" s="48"/>
      <c r="BB3572" s="14"/>
      <c r="BC3572" s="48"/>
      <c r="BD3572" s="48"/>
      <c r="BE3572" s="48"/>
      <c r="BF3572" s="48"/>
      <c r="BG3572" s="48"/>
      <c r="BH3572" s="48"/>
      <c r="BI3572" s="48"/>
      <c r="BJ3572" s="48"/>
      <c r="BK3572" s="48"/>
      <c r="BL3572" s="48"/>
      <c r="BM3572" s="48"/>
      <c r="BN3572" s="48"/>
      <c r="BO3572" s="48"/>
      <c r="BP3572" s="48"/>
      <c r="BQ3572" s="48"/>
      <c r="BR3572" s="48"/>
      <c r="BS3572" s="48"/>
      <c r="BT3572" s="48"/>
      <c r="BU3572" s="48"/>
      <c r="BV3572" s="48"/>
      <c r="BW3572" s="48"/>
      <c r="BX3572" s="48"/>
      <c r="BY3572" s="48"/>
      <c r="BZ3572" s="48"/>
      <c r="CA3572" s="48"/>
      <c r="CB3572" s="48"/>
      <c r="CC3572" s="48"/>
      <c r="CD3572" s="48"/>
      <c r="CE3572" s="48"/>
      <c r="CF3572" s="48"/>
      <c r="CG3572" s="48"/>
      <c r="CH3572" s="48"/>
      <c r="CI3572" s="48"/>
      <c r="CJ3572" s="48"/>
      <c r="CK3572" s="48"/>
      <c r="CL3572" s="48"/>
      <c r="CM3572" s="48"/>
      <c r="CN3572" s="48"/>
      <c r="CO3572" s="48"/>
      <c r="CP3572" s="48"/>
      <c r="CQ3572" s="48"/>
      <c r="CR3572" s="48"/>
      <c r="CS3572" s="48"/>
      <c r="CT3572" s="48"/>
      <c r="CU3572" s="48"/>
      <c r="CV3572" s="48"/>
      <c r="CW3572" s="48"/>
      <c r="CX3572" s="48"/>
      <c r="CY3572" s="48"/>
      <c r="CZ3572" s="48"/>
    </row>
    <row r="3573" spans="1:104" s="4" customFormat="1" hidden="1" x14ac:dyDescent="0.3">
      <c r="A3573" s="362"/>
      <c r="B3573" s="362"/>
      <c r="C3573" s="362"/>
      <c r="D3573" s="362"/>
      <c r="E3573" s="362"/>
      <c r="F3573" s="362"/>
      <c r="AA3573" s="48"/>
      <c r="AB3573" s="48"/>
      <c r="AC3573" s="48"/>
      <c r="AD3573" s="48"/>
      <c r="AE3573" s="48"/>
      <c r="AF3573" s="48"/>
      <c r="AG3573" s="48"/>
      <c r="AH3573" s="48"/>
      <c r="AI3573" s="48"/>
      <c r="AJ3573" s="48"/>
      <c r="AK3573" s="48"/>
      <c r="AL3573" s="48"/>
      <c r="AM3573" s="48"/>
      <c r="AN3573" s="48"/>
      <c r="AO3573" s="48"/>
      <c r="AP3573" s="48"/>
      <c r="AQ3573" s="48"/>
      <c r="AR3573" s="48"/>
      <c r="AS3573" s="48"/>
      <c r="AT3573" s="48"/>
      <c r="AU3573" s="48"/>
      <c r="AV3573" s="48"/>
      <c r="AW3573" s="48"/>
      <c r="AX3573" s="48"/>
      <c r="AY3573" s="48"/>
      <c r="AZ3573" s="48"/>
      <c r="BA3573" s="48"/>
      <c r="BB3573" s="14"/>
      <c r="BC3573" s="48"/>
      <c r="BD3573" s="48"/>
      <c r="BE3573" s="48"/>
      <c r="BF3573" s="48"/>
      <c r="BG3573" s="48"/>
      <c r="BH3573" s="48"/>
      <c r="BI3573" s="48"/>
      <c r="BJ3573" s="48"/>
      <c r="BK3573" s="48"/>
      <c r="BL3573" s="48"/>
      <c r="BM3573" s="48"/>
      <c r="BN3573" s="48"/>
      <c r="BO3573" s="48"/>
      <c r="BP3573" s="48"/>
      <c r="BQ3573" s="48"/>
      <c r="BR3573" s="48"/>
      <c r="BS3573" s="48"/>
      <c r="BT3573" s="48"/>
      <c r="BU3573" s="48"/>
      <c r="BV3573" s="48"/>
      <c r="BW3573" s="48"/>
      <c r="BX3573" s="48"/>
      <c r="BY3573" s="48"/>
      <c r="BZ3573" s="48"/>
      <c r="CA3573" s="48"/>
      <c r="CB3573" s="48"/>
      <c r="CC3573" s="48"/>
      <c r="CD3573" s="48"/>
      <c r="CE3573" s="48"/>
      <c r="CF3573" s="48"/>
      <c r="CG3573" s="48"/>
      <c r="CH3573" s="48"/>
      <c r="CI3573" s="48"/>
      <c r="CJ3573" s="48"/>
      <c r="CK3573" s="48"/>
      <c r="CL3573" s="48"/>
      <c r="CM3573" s="48"/>
      <c r="CN3573" s="48"/>
      <c r="CO3573" s="48"/>
      <c r="CP3573" s="48"/>
      <c r="CQ3573" s="48"/>
      <c r="CR3573" s="48"/>
      <c r="CS3573" s="48"/>
      <c r="CT3573" s="48"/>
      <c r="CU3573" s="48"/>
      <c r="CV3573" s="48"/>
      <c r="CW3573" s="48"/>
      <c r="CX3573" s="48"/>
      <c r="CY3573" s="48"/>
      <c r="CZ3573" s="48"/>
    </row>
    <row r="3574" spans="1:104" s="4" customFormat="1" hidden="1" x14ac:dyDescent="0.3">
      <c r="A3574" s="362"/>
      <c r="B3574" s="362"/>
      <c r="C3574" s="362"/>
      <c r="D3574" s="362"/>
      <c r="E3574" s="362"/>
      <c r="F3574" s="362"/>
      <c r="AA3574" s="48"/>
      <c r="AB3574" s="48"/>
      <c r="AC3574" s="48"/>
      <c r="AD3574" s="48"/>
      <c r="AE3574" s="48"/>
      <c r="AF3574" s="48"/>
      <c r="AG3574" s="48"/>
      <c r="AH3574" s="48"/>
      <c r="AI3574" s="48"/>
      <c r="AJ3574" s="48"/>
      <c r="AK3574" s="48"/>
      <c r="AL3574" s="48"/>
      <c r="AM3574" s="48"/>
      <c r="AN3574" s="48"/>
      <c r="AO3574" s="48"/>
      <c r="AP3574" s="48"/>
      <c r="AQ3574" s="48"/>
      <c r="AR3574" s="48"/>
      <c r="AS3574" s="48"/>
      <c r="AT3574" s="48"/>
      <c r="AU3574" s="48"/>
      <c r="AV3574" s="48"/>
      <c r="AW3574" s="48"/>
      <c r="AX3574" s="48"/>
      <c r="AY3574" s="48"/>
      <c r="AZ3574" s="48"/>
      <c r="BA3574" s="48"/>
      <c r="BB3574" s="14"/>
      <c r="BC3574" s="48"/>
      <c r="BD3574" s="48"/>
      <c r="BE3574" s="48"/>
      <c r="BF3574" s="48"/>
      <c r="BG3574" s="48"/>
      <c r="BH3574" s="48"/>
      <c r="BI3574" s="48"/>
      <c r="BJ3574" s="48"/>
      <c r="BK3574" s="48"/>
      <c r="BL3574" s="48"/>
      <c r="BM3574" s="48"/>
      <c r="BN3574" s="48"/>
      <c r="BO3574" s="48"/>
      <c r="BP3574" s="48"/>
      <c r="BQ3574" s="48"/>
      <c r="BR3574" s="48"/>
      <c r="BS3574" s="48"/>
      <c r="BT3574" s="48"/>
      <c r="BU3574" s="48"/>
      <c r="BV3574" s="48"/>
      <c r="BW3574" s="48"/>
      <c r="BX3574" s="48"/>
      <c r="BY3574" s="48"/>
      <c r="BZ3574" s="48"/>
      <c r="CA3574" s="48"/>
      <c r="CB3574" s="48"/>
      <c r="CC3574" s="48"/>
      <c r="CD3574" s="48"/>
      <c r="CE3574" s="48"/>
      <c r="CF3574" s="48"/>
      <c r="CG3574" s="48"/>
      <c r="CH3574" s="48"/>
      <c r="CI3574" s="48"/>
      <c r="CJ3574" s="48"/>
      <c r="CK3574" s="48"/>
      <c r="CL3574" s="48"/>
      <c r="CM3574" s="48"/>
      <c r="CN3574" s="48"/>
      <c r="CO3574" s="48"/>
      <c r="CP3574" s="48"/>
      <c r="CQ3574" s="48"/>
      <c r="CR3574" s="48"/>
      <c r="CS3574" s="48"/>
      <c r="CT3574" s="48"/>
      <c r="CU3574" s="48"/>
      <c r="CV3574" s="48"/>
      <c r="CW3574" s="48"/>
      <c r="CX3574" s="48"/>
      <c r="CY3574" s="48"/>
      <c r="CZ3574" s="48"/>
    </row>
    <row r="3575" spans="1:104" s="4" customFormat="1" ht="14.5" hidden="1" thickBot="1" x14ac:dyDescent="0.35">
      <c r="A3575" s="435"/>
      <c r="B3575" s="435"/>
      <c r="C3575" s="435"/>
      <c r="D3575" s="435"/>
      <c r="E3575" s="435"/>
      <c r="F3575" s="435"/>
      <c r="AA3575" s="48"/>
      <c r="AB3575" s="48"/>
      <c r="AC3575" s="48"/>
      <c r="AD3575" s="48"/>
      <c r="AE3575" s="48"/>
      <c r="AF3575" s="48"/>
      <c r="AG3575" s="48"/>
      <c r="AH3575" s="48"/>
      <c r="AI3575" s="48"/>
      <c r="AJ3575" s="48"/>
      <c r="AK3575" s="48"/>
      <c r="AL3575" s="48"/>
      <c r="AM3575" s="48"/>
      <c r="AN3575" s="48"/>
      <c r="AO3575" s="48"/>
      <c r="AP3575" s="48"/>
      <c r="AQ3575" s="48"/>
      <c r="AR3575" s="48"/>
      <c r="AS3575" s="48"/>
      <c r="AT3575" s="48"/>
      <c r="AU3575" s="48"/>
      <c r="AV3575" s="48"/>
      <c r="AW3575" s="48"/>
      <c r="AX3575" s="48"/>
      <c r="AY3575" s="48"/>
      <c r="AZ3575" s="48"/>
      <c r="BA3575" s="48"/>
      <c r="BB3575" s="14"/>
      <c r="BC3575" s="48"/>
      <c r="BD3575" s="48"/>
      <c r="BE3575" s="48"/>
      <c r="BF3575" s="48"/>
      <c r="BG3575" s="48"/>
      <c r="BH3575" s="48"/>
      <c r="BI3575" s="48"/>
      <c r="BJ3575" s="48"/>
      <c r="BK3575" s="48"/>
      <c r="BL3575" s="48"/>
      <c r="BM3575" s="48"/>
      <c r="BN3575" s="48"/>
      <c r="BO3575" s="48"/>
      <c r="BP3575" s="48"/>
      <c r="BQ3575" s="48"/>
      <c r="BR3575" s="48"/>
      <c r="BS3575" s="48"/>
      <c r="BT3575" s="48"/>
      <c r="BU3575" s="48"/>
      <c r="BV3575" s="48"/>
      <c r="BW3575" s="48"/>
      <c r="BX3575" s="48"/>
      <c r="BY3575" s="48"/>
      <c r="BZ3575" s="48"/>
      <c r="CA3575" s="48"/>
      <c r="CB3575" s="48"/>
      <c r="CC3575" s="48"/>
      <c r="CD3575" s="48"/>
      <c r="CE3575" s="48"/>
      <c r="CF3575" s="48"/>
      <c r="CG3575" s="48"/>
      <c r="CH3575" s="48"/>
      <c r="CI3575" s="48"/>
      <c r="CJ3575" s="48"/>
      <c r="CK3575" s="48"/>
      <c r="CL3575" s="48"/>
      <c r="CM3575" s="48"/>
      <c r="CN3575" s="48"/>
      <c r="CO3575" s="48"/>
      <c r="CP3575" s="48"/>
      <c r="CQ3575" s="48"/>
      <c r="CR3575" s="48"/>
      <c r="CS3575" s="48"/>
      <c r="CT3575" s="48"/>
      <c r="CU3575" s="48"/>
      <c r="CV3575" s="48"/>
      <c r="CW3575" s="48"/>
      <c r="CX3575" s="48"/>
      <c r="CY3575" s="48"/>
      <c r="CZ3575" s="48"/>
    </row>
    <row r="3576" spans="1:104" s="4" customFormat="1" ht="15" hidden="1" thickTop="1" thickBot="1" x14ac:dyDescent="0.35">
      <c r="A3576" s="390"/>
      <c r="B3576" s="390"/>
      <c r="C3576" s="390"/>
      <c r="D3576" s="390"/>
      <c r="E3576" s="390"/>
      <c r="F3576" s="390"/>
      <c r="AA3576" s="48"/>
      <c r="AB3576" s="48"/>
      <c r="AC3576" s="48"/>
      <c r="AD3576" s="48"/>
      <c r="AE3576" s="48"/>
      <c r="AF3576" s="48"/>
      <c r="AG3576" s="48"/>
      <c r="AH3576" s="48"/>
      <c r="AI3576" s="48"/>
      <c r="AJ3576" s="48"/>
      <c r="AK3576" s="48"/>
      <c r="AL3576" s="48"/>
      <c r="AM3576" s="48"/>
      <c r="AN3576" s="48"/>
      <c r="AO3576" s="48"/>
      <c r="AP3576" s="48"/>
      <c r="AQ3576" s="48"/>
      <c r="AR3576" s="48"/>
      <c r="AS3576" s="48"/>
      <c r="AT3576" s="48"/>
      <c r="AU3576" s="48"/>
      <c r="AV3576" s="48"/>
      <c r="AW3576" s="48"/>
      <c r="AX3576" s="48"/>
      <c r="AY3576" s="48"/>
      <c r="AZ3576" s="48"/>
      <c r="BA3576" s="48"/>
      <c r="BB3576" s="14"/>
      <c r="BC3576" s="48"/>
      <c r="BD3576" s="48"/>
      <c r="BE3576" s="48"/>
      <c r="BF3576" s="48"/>
      <c r="BG3576" s="48"/>
      <c r="BH3576" s="48"/>
      <c r="BI3576" s="48"/>
      <c r="BJ3576" s="48"/>
      <c r="BK3576" s="48"/>
      <c r="BL3576" s="48"/>
      <c r="BM3576" s="48"/>
      <c r="BN3576" s="48"/>
      <c r="BO3576" s="48"/>
      <c r="BP3576" s="48"/>
      <c r="BQ3576" s="48"/>
      <c r="BR3576" s="48"/>
      <c r="BS3576" s="48"/>
      <c r="BT3576" s="48"/>
      <c r="BU3576" s="48"/>
      <c r="BV3576" s="48"/>
      <c r="BW3576" s="48"/>
      <c r="BX3576" s="48"/>
      <c r="BY3576" s="48"/>
      <c r="BZ3576" s="48"/>
      <c r="CA3576" s="48"/>
      <c r="CB3576" s="48"/>
      <c r="CC3576" s="48"/>
      <c r="CD3576" s="48"/>
      <c r="CE3576" s="48"/>
      <c r="CF3576" s="48"/>
      <c r="CG3576" s="48"/>
      <c r="CH3576" s="48"/>
      <c r="CI3576" s="48"/>
      <c r="CJ3576" s="48"/>
      <c r="CK3576" s="48"/>
      <c r="CL3576" s="48"/>
      <c r="CM3576" s="48"/>
      <c r="CN3576" s="48"/>
      <c r="CO3576" s="48"/>
      <c r="CP3576" s="48"/>
      <c r="CQ3576" s="48"/>
      <c r="CR3576" s="48"/>
      <c r="CS3576" s="48"/>
      <c r="CT3576" s="48"/>
      <c r="CU3576" s="48"/>
      <c r="CV3576" s="48"/>
      <c r="CW3576" s="48"/>
      <c r="CX3576" s="48"/>
      <c r="CY3576" s="48"/>
      <c r="CZ3576" s="48"/>
    </row>
    <row r="3577" spans="1:104" s="4" customFormat="1" ht="14.5" thickTop="1" x14ac:dyDescent="0.3">
      <c r="AA3577" s="48"/>
      <c r="AB3577" s="48"/>
      <c r="AC3577" s="48"/>
      <c r="AD3577" s="48"/>
      <c r="AE3577" s="48"/>
      <c r="AF3577" s="48"/>
      <c r="AG3577" s="48"/>
      <c r="AH3577" s="48"/>
      <c r="AI3577" s="48"/>
      <c r="AJ3577" s="48"/>
      <c r="AK3577" s="48"/>
      <c r="AL3577" s="48"/>
      <c r="AM3577" s="48"/>
      <c r="AN3577" s="48"/>
      <c r="AO3577" s="48"/>
      <c r="AP3577" s="48"/>
      <c r="AQ3577" s="48"/>
      <c r="AR3577" s="48"/>
      <c r="AS3577" s="48"/>
      <c r="AT3577" s="48"/>
      <c r="AU3577" s="48"/>
      <c r="AV3577" s="48"/>
      <c r="AW3577" s="48"/>
      <c r="AX3577" s="48"/>
      <c r="AY3577" s="48"/>
      <c r="AZ3577" s="48"/>
      <c r="BA3577" s="48"/>
      <c r="BB3577" s="14"/>
      <c r="BC3577" s="48"/>
      <c r="BD3577" s="48"/>
      <c r="BE3577" s="48"/>
      <c r="BF3577" s="48"/>
      <c r="BG3577" s="48"/>
      <c r="BH3577" s="48"/>
      <c r="BI3577" s="48"/>
      <c r="BJ3577" s="48"/>
      <c r="BK3577" s="48"/>
      <c r="BL3577" s="48"/>
      <c r="BM3577" s="48"/>
      <c r="BN3577" s="48"/>
      <c r="BO3577" s="48"/>
      <c r="BP3577" s="48"/>
      <c r="BQ3577" s="48"/>
      <c r="BR3577" s="48"/>
      <c r="BS3577" s="48"/>
      <c r="BT3577" s="48"/>
      <c r="BU3577" s="48"/>
      <c r="BV3577" s="48"/>
      <c r="BW3577" s="48"/>
      <c r="BX3577" s="48"/>
      <c r="BY3577" s="48"/>
      <c r="BZ3577" s="48"/>
      <c r="CA3577" s="48"/>
      <c r="CB3577" s="48"/>
      <c r="CC3577" s="48"/>
      <c r="CD3577" s="48"/>
      <c r="CE3577" s="48"/>
      <c r="CF3577" s="48"/>
      <c r="CG3577" s="48"/>
      <c r="CH3577" s="48"/>
      <c r="CI3577" s="48"/>
      <c r="CJ3577" s="48"/>
      <c r="CK3577" s="48"/>
      <c r="CL3577" s="48"/>
      <c r="CM3577" s="48"/>
      <c r="CN3577" s="48"/>
      <c r="CO3577" s="48"/>
      <c r="CP3577" s="48"/>
      <c r="CQ3577" s="48"/>
      <c r="CR3577" s="48"/>
      <c r="CS3577" s="48"/>
      <c r="CT3577" s="48"/>
      <c r="CU3577" s="48"/>
      <c r="CV3577" s="48"/>
      <c r="CW3577" s="48"/>
      <c r="CX3577" s="48"/>
      <c r="CY3577" s="48"/>
      <c r="CZ3577" s="48"/>
    </row>
    <row r="3578" spans="1:104" s="4" customFormat="1" x14ac:dyDescent="0.3">
      <c r="AA3578" s="48"/>
      <c r="AB3578" s="48"/>
      <c r="AC3578" s="48"/>
      <c r="AD3578" s="48"/>
      <c r="AE3578" s="48"/>
      <c r="AF3578" s="48"/>
      <c r="AG3578" s="48"/>
      <c r="AH3578" s="48"/>
      <c r="AI3578" s="48"/>
      <c r="AJ3578" s="48"/>
      <c r="AK3578" s="48"/>
      <c r="AL3578" s="48"/>
      <c r="AM3578" s="48"/>
      <c r="AN3578" s="48"/>
      <c r="AO3578" s="48"/>
      <c r="AP3578" s="48"/>
      <c r="AQ3578" s="48"/>
      <c r="AR3578" s="48"/>
      <c r="AS3578" s="48"/>
      <c r="AT3578" s="48"/>
      <c r="AU3578" s="48"/>
      <c r="AV3578" s="48"/>
      <c r="AW3578" s="48"/>
      <c r="AX3578" s="48"/>
      <c r="AY3578" s="48"/>
      <c r="AZ3578" s="48"/>
      <c r="BA3578" s="48"/>
      <c r="BB3578" s="14"/>
      <c r="BC3578" s="48"/>
      <c r="BD3578" s="48"/>
      <c r="BE3578" s="48"/>
      <c r="BF3578" s="48"/>
      <c r="BG3578" s="48"/>
      <c r="BH3578" s="48"/>
      <c r="BI3578" s="48"/>
      <c r="BJ3578" s="48"/>
      <c r="BK3578" s="48"/>
      <c r="BL3578" s="48"/>
      <c r="BM3578" s="48"/>
      <c r="BN3578" s="48"/>
      <c r="BO3578" s="48"/>
      <c r="BP3578" s="48"/>
      <c r="BQ3578" s="48"/>
      <c r="BR3578" s="48"/>
      <c r="BS3578" s="48"/>
      <c r="BT3578" s="48"/>
      <c r="BU3578" s="48"/>
      <c r="BV3578" s="48"/>
      <c r="BW3578" s="48"/>
      <c r="BX3578" s="48"/>
      <c r="BY3578" s="48"/>
      <c r="BZ3578" s="48"/>
      <c r="CA3578" s="48"/>
      <c r="CB3578" s="48"/>
      <c r="CC3578" s="48"/>
      <c r="CD3578" s="48"/>
      <c r="CE3578" s="48"/>
      <c r="CF3578" s="48"/>
      <c r="CG3578" s="48"/>
      <c r="CH3578" s="48"/>
      <c r="CI3578" s="48"/>
      <c r="CJ3578" s="48"/>
      <c r="CK3578" s="48"/>
      <c r="CL3578" s="48"/>
      <c r="CM3578" s="48"/>
      <c r="CN3578" s="48"/>
      <c r="CO3578" s="48"/>
      <c r="CP3578" s="48"/>
      <c r="CQ3578" s="48"/>
      <c r="CR3578" s="48"/>
      <c r="CS3578" s="48"/>
      <c r="CT3578" s="48"/>
      <c r="CU3578" s="48"/>
      <c r="CV3578" s="48"/>
      <c r="CW3578" s="48"/>
      <c r="CX3578" s="48"/>
      <c r="CY3578" s="48"/>
      <c r="CZ3578" s="48"/>
    </row>
    <row r="3579" spans="1:104" s="4" customFormat="1" x14ac:dyDescent="0.3">
      <c r="AA3579" s="48"/>
      <c r="AB3579" s="48"/>
      <c r="AC3579" s="48"/>
      <c r="AD3579" s="48"/>
      <c r="AE3579" s="48"/>
      <c r="AF3579" s="48"/>
      <c r="AG3579" s="48"/>
      <c r="AH3579" s="48"/>
      <c r="AI3579" s="48"/>
      <c r="AJ3579" s="48"/>
      <c r="AK3579" s="48"/>
      <c r="AL3579" s="48"/>
      <c r="AM3579" s="48"/>
      <c r="AN3579" s="48"/>
      <c r="AO3579" s="48"/>
      <c r="AP3579" s="48"/>
      <c r="AQ3579" s="48"/>
      <c r="AR3579" s="48"/>
      <c r="AS3579" s="48"/>
      <c r="AT3579" s="48"/>
      <c r="AU3579" s="48"/>
      <c r="AV3579" s="48"/>
      <c r="AW3579" s="48"/>
      <c r="AX3579" s="48"/>
      <c r="AY3579" s="48"/>
      <c r="AZ3579" s="48"/>
      <c r="BA3579" s="48"/>
      <c r="BB3579" s="14"/>
      <c r="BC3579" s="48"/>
      <c r="BD3579" s="48"/>
      <c r="BE3579" s="48"/>
      <c r="BF3579" s="48"/>
      <c r="BG3579" s="48"/>
      <c r="BH3579" s="48"/>
      <c r="BI3579" s="48"/>
      <c r="BJ3579" s="48"/>
      <c r="BK3579" s="48"/>
      <c r="BL3579" s="48"/>
      <c r="BM3579" s="48"/>
      <c r="BN3579" s="48"/>
      <c r="BO3579" s="48"/>
      <c r="BP3579" s="48"/>
      <c r="BQ3579" s="48"/>
      <c r="BR3579" s="48"/>
      <c r="BS3579" s="48"/>
      <c r="BT3579" s="48"/>
      <c r="BU3579" s="48"/>
      <c r="BV3579" s="48"/>
      <c r="BW3579" s="48"/>
      <c r="BX3579" s="48"/>
      <c r="BY3579" s="48"/>
      <c r="BZ3579" s="48"/>
      <c r="CA3579" s="48"/>
      <c r="CB3579" s="48"/>
      <c r="CC3579" s="48"/>
      <c r="CD3579" s="48"/>
      <c r="CE3579" s="48"/>
      <c r="CF3579" s="48"/>
      <c r="CG3579" s="48"/>
      <c r="CH3579" s="48"/>
      <c r="CI3579" s="48"/>
      <c r="CJ3579" s="48"/>
      <c r="CK3579" s="48"/>
      <c r="CL3579" s="48"/>
      <c r="CM3579" s="48"/>
      <c r="CN3579" s="48"/>
      <c r="CO3579" s="48"/>
      <c r="CP3579" s="48"/>
      <c r="CQ3579" s="48"/>
      <c r="CR3579" s="48"/>
      <c r="CS3579" s="48"/>
      <c r="CT3579" s="48"/>
      <c r="CU3579" s="48"/>
      <c r="CV3579" s="48"/>
      <c r="CW3579" s="48"/>
      <c r="CX3579" s="48"/>
      <c r="CY3579" s="48"/>
      <c r="CZ3579" s="48"/>
    </row>
    <row r="3580" spans="1:104" s="4" customFormat="1" x14ac:dyDescent="0.3">
      <c r="AA3580" s="48"/>
      <c r="AB3580" s="48"/>
      <c r="AC3580" s="48"/>
      <c r="AD3580" s="48"/>
      <c r="AE3580" s="48"/>
      <c r="AF3580" s="48"/>
      <c r="AG3580" s="48"/>
      <c r="AH3580" s="48"/>
      <c r="AI3580" s="48"/>
      <c r="AJ3580" s="48"/>
      <c r="AK3580" s="48"/>
      <c r="AL3580" s="48"/>
      <c r="AM3580" s="48"/>
      <c r="AN3580" s="48"/>
      <c r="AO3580" s="48"/>
      <c r="AP3580" s="48"/>
      <c r="AQ3580" s="48"/>
      <c r="AR3580" s="48"/>
      <c r="AS3580" s="48"/>
      <c r="AT3580" s="48"/>
      <c r="AU3580" s="48"/>
      <c r="AV3580" s="48"/>
      <c r="AW3580" s="48"/>
      <c r="AX3580" s="48"/>
      <c r="AY3580" s="48"/>
      <c r="AZ3580" s="48"/>
      <c r="BA3580" s="48"/>
      <c r="BB3580" s="14"/>
      <c r="BC3580" s="48"/>
      <c r="BD3580" s="48"/>
      <c r="BE3580" s="48"/>
      <c r="BF3580" s="48"/>
      <c r="BG3580" s="48"/>
      <c r="BH3580" s="48"/>
      <c r="BI3580" s="48"/>
      <c r="BJ3580" s="48"/>
      <c r="BK3580" s="48"/>
      <c r="BL3580" s="48"/>
      <c r="BM3580" s="48"/>
      <c r="BN3580" s="48"/>
      <c r="BO3580" s="48"/>
      <c r="BP3580" s="48"/>
      <c r="BQ3580" s="48"/>
      <c r="BR3580" s="48"/>
      <c r="BS3580" s="48"/>
      <c r="BT3580" s="48"/>
      <c r="BU3580" s="48"/>
      <c r="BV3580" s="48"/>
      <c r="BW3580" s="48"/>
      <c r="BX3580" s="48"/>
      <c r="BY3580" s="48"/>
      <c r="BZ3580" s="48"/>
      <c r="CA3580" s="48"/>
      <c r="CB3580" s="48"/>
      <c r="CC3580" s="48"/>
      <c r="CD3580" s="48"/>
      <c r="CE3580" s="48"/>
      <c r="CF3580" s="48"/>
      <c r="CG3580" s="48"/>
      <c r="CH3580" s="48"/>
      <c r="CI3580" s="48"/>
      <c r="CJ3580" s="48"/>
      <c r="CK3580" s="48"/>
      <c r="CL3580" s="48"/>
      <c r="CM3580" s="48"/>
      <c r="CN3580" s="48"/>
      <c r="CO3580" s="48"/>
      <c r="CP3580" s="48"/>
      <c r="CQ3580" s="48"/>
      <c r="CR3580" s="48"/>
      <c r="CS3580" s="48"/>
      <c r="CT3580" s="48"/>
      <c r="CU3580" s="48"/>
      <c r="CV3580" s="48"/>
      <c r="CW3580" s="48"/>
      <c r="CX3580" s="48"/>
      <c r="CY3580" s="48"/>
      <c r="CZ3580" s="48"/>
    </row>
    <row r="3581" spans="1:104" s="4" customFormat="1" x14ac:dyDescent="0.3">
      <c r="AA3581" s="48"/>
      <c r="AB3581" s="48"/>
      <c r="AC3581" s="48"/>
      <c r="AD3581" s="48"/>
      <c r="AE3581" s="48"/>
      <c r="AF3581" s="48"/>
      <c r="AG3581" s="48"/>
      <c r="AH3581" s="48"/>
      <c r="AI3581" s="48"/>
      <c r="AJ3581" s="48"/>
      <c r="AK3581" s="48"/>
      <c r="AL3581" s="48"/>
      <c r="AM3581" s="48"/>
      <c r="AN3581" s="48"/>
      <c r="AO3581" s="48"/>
      <c r="AP3581" s="48"/>
      <c r="AQ3581" s="48"/>
      <c r="AR3581" s="48"/>
      <c r="AS3581" s="48"/>
      <c r="AT3581" s="48"/>
      <c r="AU3581" s="48"/>
      <c r="AV3581" s="48"/>
      <c r="AW3581" s="48"/>
      <c r="AX3581" s="48"/>
      <c r="AY3581" s="48"/>
      <c r="AZ3581" s="48"/>
      <c r="BA3581" s="48"/>
      <c r="BB3581" s="14"/>
      <c r="BC3581" s="48"/>
      <c r="BD3581" s="48"/>
      <c r="BE3581" s="48"/>
      <c r="BF3581" s="48"/>
      <c r="BG3581" s="48"/>
      <c r="BH3581" s="48"/>
      <c r="BI3581" s="48"/>
      <c r="BJ3581" s="48"/>
      <c r="BK3581" s="48"/>
      <c r="BL3581" s="48"/>
      <c r="BM3581" s="48"/>
      <c r="BN3581" s="48"/>
      <c r="BO3581" s="48"/>
      <c r="BP3581" s="48"/>
      <c r="BQ3581" s="48"/>
      <c r="BR3581" s="48"/>
      <c r="BS3581" s="48"/>
      <c r="BT3581" s="48"/>
      <c r="BU3581" s="48"/>
      <c r="BV3581" s="48"/>
      <c r="BW3581" s="48"/>
      <c r="BX3581" s="48"/>
      <c r="BY3581" s="48"/>
      <c r="BZ3581" s="48"/>
      <c r="CA3581" s="48"/>
      <c r="CB3581" s="48"/>
      <c r="CC3581" s="48"/>
      <c r="CD3581" s="48"/>
      <c r="CE3581" s="48"/>
      <c r="CF3581" s="48"/>
      <c r="CG3581" s="48"/>
      <c r="CH3581" s="48"/>
      <c r="CI3581" s="48"/>
      <c r="CJ3581" s="48"/>
      <c r="CK3581" s="48"/>
      <c r="CL3581" s="48"/>
      <c r="CM3581" s="48"/>
      <c r="CN3581" s="48"/>
      <c r="CO3581" s="48"/>
      <c r="CP3581" s="48"/>
      <c r="CQ3581" s="48"/>
      <c r="CR3581" s="48"/>
      <c r="CS3581" s="48"/>
      <c r="CT3581" s="48"/>
      <c r="CU3581" s="48"/>
      <c r="CV3581" s="48"/>
      <c r="CW3581" s="48"/>
      <c r="CX3581" s="48"/>
      <c r="CY3581" s="48"/>
      <c r="CZ3581" s="48"/>
    </row>
    <row r="3582" spans="1:104" s="4" customFormat="1" x14ac:dyDescent="0.3">
      <c r="AA3582" s="48"/>
      <c r="AB3582" s="48"/>
      <c r="AC3582" s="48"/>
      <c r="AD3582" s="48"/>
      <c r="AE3582" s="48"/>
      <c r="AF3582" s="48"/>
      <c r="AG3582" s="48"/>
      <c r="AH3582" s="48"/>
      <c r="AI3582" s="48"/>
      <c r="AJ3582" s="48"/>
      <c r="AK3582" s="48"/>
      <c r="AL3582" s="48"/>
      <c r="AM3582" s="48"/>
      <c r="AN3582" s="48"/>
      <c r="AO3582" s="48"/>
      <c r="AP3582" s="48"/>
      <c r="AQ3582" s="48"/>
      <c r="AR3582" s="48"/>
      <c r="AS3582" s="48"/>
      <c r="AT3582" s="48"/>
      <c r="AU3582" s="48"/>
      <c r="AV3582" s="48"/>
      <c r="AW3582" s="48"/>
      <c r="AX3582" s="48"/>
      <c r="AY3582" s="48"/>
      <c r="AZ3582" s="48"/>
      <c r="BA3582" s="48"/>
      <c r="BB3582" s="14"/>
      <c r="BC3582" s="48"/>
      <c r="BD3582" s="48"/>
      <c r="BE3582" s="48"/>
      <c r="BF3582" s="48"/>
      <c r="BG3582" s="48"/>
      <c r="BH3582" s="48"/>
      <c r="BI3582" s="48"/>
      <c r="BJ3582" s="48"/>
      <c r="BK3582" s="48"/>
      <c r="BL3582" s="48"/>
      <c r="BM3582" s="48"/>
      <c r="BN3582" s="48"/>
      <c r="BO3582" s="48"/>
      <c r="BP3582" s="48"/>
      <c r="BQ3582" s="48"/>
      <c r="BR3582" s="48"/>
      <c r="BS3582" s="48"/>
      <c r="BT3582" s="48"/>
      <c r="BU3582" s="48"/>
      <c r="BV3582" s="48"/>
      <c r="BW3582" s="48"/>
      <c r="BX3582" s="48"/>
      <c r="BY3582" s="48"/>
      <c r="BZ3582" s="48"/>
      <c r="CA3582" s="48"/>
      <c r="CB3582" s="48"/>
      <c r="CC3582" s="48"/>
      <c r="CD3582" s="48"/>
      <c r="CE3582" s="48"/>
      <c r="CF3582" s="48"/>
      <c r="CG3582" s="48"/>
      <c r="CH3582" s="48"/>
      <c r="CI3582" s="48"/>
      <c r="CJ3582" s="48"/>
      <c r="CK3582" s="48"/>
      <c r="CL3582" s="48"/>
      <c r="CM3582" s="48"/>
      <c r="CN3582" s="48"/>
      <c r="CO3582" s="48"/>
      <c r="CP3582" s="48"/>
      <c r="CQ3582" s="48"/>
      <c r="CR3582" s="48"/>
      <c r="CS3582" s="48"/>
      <c r="CT3582" s="48"/>
      <c r="CU3582" s="48"/>
      <c r="CV3582" s="48"/>
      <c r="CW3582" s="48"/>
      <c r="CX3582" s="48"/>
      <c r="CY3582" s="48"/>
      <c r="CZ3582" s="48"/>
    </row>
    <row r="3583" spans="1:104" s="4" customFormat="1" x14ac:dyDescent="0.3">
      <c r="AA3583" s="48"/>
      <c r="AB3583" s="48"/>
      <c r="AC3583" s="48"/>
      <c r="AD3583" s="48"/>
      <c r="AE3583" s="48"/>
      <c r="AF3583" s="48"/>
      <c r="AG3583" s="48"/>
      <c r="AH3583" s="48"/>
      <c r="AI3583" s="48"/>
      <c r="AJ3583" s="48"/>
      <c r="AK3583" s="48"/>
      <c r="AL3583" s="48"/>
      <c r="AM3583" s="48"/>
      <c r="AN3583" s="48"/>
      <c r="AO3583" s="48"/>
      <c r="AP3583" s="48"/>
      <c r="AQ3583" s="48"/>
      <c r="AR3583" s="48"/>
      <c r="AS3583" s="48"/>
      <c r="AT3583" s="48"/>
      <c r="AU3583" s="48"/>
      <c r="AV3583" s="48"/>
      <c r="AW3583" s="48"/>
      <c r="AX3583" s="48"/>
      <c r="AY3583" s="48"/>
      <c r="AZ3583" s="48"/>
      <c r="BA3583" s="48"/>
      <c r="BB3583" s="14"/>
      <c r="BC3583" s="48"/>
      <c r="BD3583" s="48"/>
      <c r="BE3583" s="48"/>
      <c r="BF3583" s="48"/>
      <c r="BG3583" s="48"/>
      <c r="BH3583" s="48"/>
      <c r="BI3583" s="48"/>
      <c r="BJ3583" s="48"/>
      <c r="BK3583" s="48"/>
      <c r="BL3583" s="48"/>
      <c r="BM3583" s="48"/>
      <c r="BN3583" s="48"/>
      <c r="BO3583" s="48"/>
      <c r="BP3583" s="48"/>
      <c r="BQ3583" s="48"/>
      <c r="BR3583" s="48"/>
      <c r="BS3583" s="48"/>
      <c r="BT3583" s="48"/>
      <c r="BU3583" s="48"/>
      <c r="BV3583" s="48"/>
      <c r="BW3583" s="48"/>
      <c r="BX3583" s="48"/>
      <c r="BY3583" s="48"/>
      <c r="BZ3583" s="48"/>
      <c r="CA3583" s="48"/>
      <c r="CB3583" s="48"/>
      <c r="CC3583" s="48"/>
      <c r="CD3583" s="48"/>
      <c r="CE3583" s="48"/>
      <c r="CF3583" s="48"/>
      <c r="CG3583" s="48"/>
      <c r="CH3583" s="48"/>
      <c r="CI3583" s="48"/>
      <c r="CJ3583" s="48"/>
      <c r="CK3583" s="48"/>
      <c r="CL3583" s="48"/>
      <c r="CM3583" s="48"/>
      <c r="CN3583" s="48"/>
      <c r="CO3583" s="48"/>
      <c r="CP3583" s="48"/>
      <c r="CQ3583" s="48"/>
      <c r="CR3583" s="48"/>
      <c r="CS3583" s="48"/>
      <c r="CT3583" s="48"/>
      <c r="CU3583" s="48"/>
      <c r="CV3583" s="48"/>
      <c r="CW3583" s="48"/>
      <c r="CX3583" s="48"/>
      <c r="CY3583" s="48"/>
      <c r="CZ3583" s="48"/>
    </row>
    <row r="3584" spans="1:104" s="4" customFormat="1" x14ac:dyDescent="0.3">
      <c r="AA3584" s="48"/>
      <c r="AB3584" s="48"/>
      <c r="AC3584" s="48"/>
      <c r="AD3584" s="48"/>
      <c r="AE3584" s="48"/>
      <c r="AF3584" s="48"/>
      <c r="AG3584" s="48"/>
      <c r="AH3584" s="48"/>
      <c r="AI3584" s="48"/>
      <c r="AJ3584" s="48"/>
      <c r="AK3584" s="48"/>
      <c r="AL3584" s="48"/>
      <c r="AM3584" s="48"/>
      <c r="AN3584" s="48"/>
      <c r="AO3584" s="48"/>
      <c r="AP3584" s="48"/>
      <c r="AQ3584" s="48"/>
      <c r="AR3584" s="48"/>
      <c r="AS3584" s="48"/>
      <c r="AT3584" s="48"/>
      <c r="AU3584" s="48"/>
      <c r="AV3584" s="48"/>
      <c r="AW3584" s="48"/>
      <c r="AX3584" s="48"/>
      <c r="AY3584" s="48"/>
      <c r="AZ3584" s="48"/>
      <c r="BA3584" s="48"/>
      <c r="BB3584" s="14"/>
      <c r="BC3584" s="48"/>
      <c r="BD3584" s="48"/>
      <c r="BE3584" s="48"/>
      <c r="BF3584" s="48"/>
      <c r="BG3584" s="48"/>
      <c r="BH3584" s="48"/>
      <c r="BI3584" s="48"/>
      <c r="BJ3584" s="48"/>
      <c r="BK3584" s="48"/>
      <c r="BL3584" s="48"/>
      <c r="BM3584" s="48"/>
      <c r="BN3584" s="48"/>
      <c r="BO3584" s="48"/>
      <c r="BP3584" s="48"/>
      <c r="BQ3584" s="48"/>
      <c r="BR3584" s="48"/>
      <c r="BS3584" s="48"/>
      <c r="BT3584" s="48"/>
      <c r="BU3584" s="48"/>
      <c r="BV3584" s="48"/>
      <c r="BW3584" s="48"/>
      <c r="BX3584" s="48"/>
      <c r="BY3584" s="48"/>
      <c r="BZ3584" s="48"/>
      <c r="CA3584" s="48"/>
      <c r="CB3584" s="48"/>
      <c r="CC3584" s="48"/>
      <c r="CD3584" s="48"/>
      <c r="CE3584" s="48"/>
      <c r="CF3584" s="48"/>
      <c r="CG3584" s="48"/>
      <c r="CH3584" s="48"/>
      <c r="CI3584" s="48"/>
      <c r="CJ3584" s="48"/>
      <c r="CK3584" s="48"/>
      <c r="CL3584" s="48"/>
      <c r="CM3584" s="48"/>
      <c r="CN3584" s="48"/>
      <c r="CO3584" s="48"/>
      <c r="CP3584" s="48"/>
      <c r="CQ3584" s="48"/>
      <c r="CR3584" s="48"/>
      <c r="CS3584" s="48"/>
      <c r="CT3584" s="48"/>
      <c r="CU3584" s="48"/>
      <c r="CV3584" s="48"/>
      <c r="CW3584" s="48"/>
      <c r="CX3584" s="48"/>
      <c r="CY3584" s="48"/>
      <c r="CZ3584" s="48"/>
    </row>
    <row r="3585" spans="27:104" s="4" customFormat="1" x14ac:dyDescent="0.3">
      <c r="AA3585" s="48"/>
      <c r="AB3585" s="48"/>
      <c r="AC3585" s="48"/>
      <c r="AD3585" s="48"/>
      <c r="AE3585" s="48"/>
      <c r="AF3585" s="48"/>
      <c r="AG3585" s="48"/>
      <c r="AH3585" s="48"/>
      <c r="AI3585" s="48"/>
      <c r="AJ3585" s="48"/>
      <c r="AK3585" s="48"/>
      <c r="AL3585" s="48"/>
      <c r="AM3585" s="48"/>
      <c r="AN3585" s="48"/>
      <c r="AO3585" s="48"/>
      <c r="AP3585" s="48"/>
      <c r="AQ3585" s="48"/>
      <c r="AR3585" s="48"/>
      <c r="AS3585" s="48"/>
      <c r="AT3585" s="48"/>
      <c r="AU3585" s="48"/>
      <c r="AV3585" s="48"/>
      <c r="AW3585" s="48"/>
      <c r="AX3585" s="48"/>
      <c r="AY3585" s="48"/>
      <c r="AZ3585" s="48"/>
      <c r="BA3585" s="48"/>
      <c r="BB3585" s="14"/>
      <c r="BC3585" s="48"/>
      <c r="BD3585" s="48"/>
      <c r="BE3585" s="48"/>
      <c r="BF3585" s="48"/>
      <c r="BG3585" s="48"/>
      <c r="BH3585" s="48"/>
      <c r="BI3585" s="48"/>
      <c r="BJ3585" s="48"/>
      <c r="BK3585" s="48"/>
      <c r="BL3585" s="48"/>
      <c r="BM3585" s="48"/>
      <c r="BN3585" s="48"/>
      <c r="BO3585" s="48"/>
      <c r="BP3585" s="48"/>
      <c r="BQ3585" s="48"/>
      <c r="BR3585" s="48"/>
      <c r="BS3585" s="48"/>
      <c r="BT3585" s="48"/>
      <c r="BU3585" s="48"/>
      <c r="BV3585" s="48"/>
      <c r="BW3585" s="48"/>
      <c r="BX3585" s="48"/>
      <c r="BY3585" s="48"/>
      <c r="BZ3585" s="48"/>
      <c r="CA3585" s="48"/>
      <c r="CB3585" s="48"/>
      <c r="CC3585" s="48"/>
      <c r="CD3585" s="48"/>
      <c r="CE3585" s="48"/>
      <c r="CF3585" s="48"/>
      <c r="CG3585" s="48"/>
      <c r="CH3585" s="48"/>
      <c r="CI3585" s="48"/>
      <c r="CJ3585" s="48"/>
      <c r="CK3585" s="48"/>
      <c r="CL3585" s="48"/>
      <c r="CM3585" s="48"/>
      <c r="CN3585" s="48"/>
      <c r="CO3585" s="48"/>
      <c r="CP3585" s="48"/>
      <c r="CQ3585" s="48"/>
      <c r="CR3585" s="48"/>
      <c r="CS3585" s="48"/>
      <c r="CT3585" s="48"/>
      <c r="CU3585" s="48"/>
      <c r="CV3585" s="48"/>
      <c r="CW3585" s="48"/>
      <c r="CX3585" s="48"/>
      <c r="CY3585" s="48"/>
      <c r="CZ3585" s="48"/>
    </row>
    <row r="3586" spans="27:104" s="4" customFormat="1" x14ac:dyDescent="0.3">
      <c r="AA3586" s="48"/>
      <c r="AB3586" s="48"/>
      <c r="AC3586" s="48"/>
      <c r="AD3586" s="48"/>
      <c r="AE3586" s="48"/>
      <c r="AF3586" s="48"/>
      <c r="AG3586" s="48"/>
      <c r="AH3586" s="48"/>
      <c r="AI3586" s="48"/>
      <c r="AJ3586" s="48"/>
      <c r="AK3586" s="48"/>
      <c r="AL3586" s="48"/>
      <c r="AM3586" s="48"/>
      <c r="AN3586" s="48"/>
      <c r="AO3586" s="48"/>
      <c r="AP3586" s="48"/>
      <c r="AQ3586" s="48"/>
      <c r="AR3586" s="48"/>
      <c r="AS3586" s="48"/>
      <c r="AT3586" s="48"/>
      <c r="AU3586" s="48"/>
      <c r="AV3586" s="48"/>
      <c r="AW3586" s="48"/>
      <c r="AX3586" s="48"/>
      <c r="AY3586" s="48"/>
      <c r="AZ3586" s="48"/>
      <c r="BA3586" s="48"/>
      <c r="BB3586" s="14"/>
      <c r="BC3586" s="48"/>
      <c r="BD3586" s="48"/>
      <c r="BE3586" s="48"/>
      <c r="BF3586" s="48"/>
      <c r="BG3586" s="48"/>
      <c r="BH3586" s="48"/>
      <c r="BI3586" s="48"/>
      <c r="BJ3586" s="48"/>
      <c r="BK3586" s="48"/>
      <c r="BL3586" s="48"/>
      <c r="BM3586" s="48"/>
      <c r="BN3586" s="48"/>
      <c r="BO3586" s="48"/>
      <c r="BP3586" s="48"/>
      <c r="BQ3586" s="48"/>
      <c r="BR3586" s="48"/>
      <c r="BS3586" s="48"/>
      <c r="BT3586" s="48"/>
      <c r="BU3586" s="48"/>
      <c r="BV3586" s="48"/>
      <c r="BW3586" s="48"/>
      <c r="BX3586" s="48"/>
      <c r="BY3586" s="48"/>
      <c r="BZ3586" s="48"/>
      <c r="CA3586" s="48"/>
      <c r="CB3586" s="48"/>
      <c r="CC3586" s="48"/>
      <c r="CD3586" s="48"/>
      <c r="CE3586" s="48"/>
      <c r="CF3586" s="48"/>
      <c r="CG3586" s="48"/>
      <c r="CH3586" s="48"/>
      <c r="CI3586" s="48"/>
      <c r="CJ3586" s="48"/>
      <c r="CK3586" s="48"/>
      <c r="CL3586" s="48"/>
      <c r="CM3586" s="48"/>
      <c r="CN3586" s="48"/>
      <c r="CO3586" s="48"/>
      <c r="CP3586" s="48"/>
      <c r="CQ3586" s="48"/>
      <c r="CR3586" s="48"/>
      <c r="CS3586" s="48"/>
      <c r="CT3586" s="48"/>
      <c r="CU3586" s="48"/>
      <c r="CV3586" s="48"/>
      <c r="CW3586" s="48"/>
      <c r="CX3586" s="48"/>
      <c r="CY3586" s="48"/>
      <c r="CZ3586" s="48"/>
    </row>
    <row r="3587" spans="27:104" s="4" customFormat="1" x14ac:dyDescent="0.3">
      <c r="AA3587" s="48"/>
      <c r="AB3587" s="48"/>
      <c r="AC3587" s="48"/>
      <c r="AD3587" s="48"/>
      <c r="AE3587" s="48"/>
      <c r="AF3587" s="48"/>
      <c r="AG3587" s="48"/>
      <c r="AH3587" s="48"/>
      <c r="AI3587" s="48"/>
      <c r="AJ3587" s="48"/>
      <c r="AK3587" s="48"/>
      <c r="AL3587" s="48"/>
      <c r="AM3587" s="48"/>
      <c r="AN3587" s="48"/>
      <c r="AO3587" s="48"/>
      <c r="AP3587" s="48"/>
      <c r="AQ3587" s="48"/>
      <c r="AR3587" s="48"/>
      <c r="AS3587" s="48"/>
      <c r="AT3587" s="48"/>
      <c r="AU3587" s="48"/>
      <c r="AV3587" s="48"/>
      <c r="AW3587" s="48"/>
      <c r="AX3587" s="48"/>
      <c r="AY3587" s="48"/>
      <c r="AZ3587" s="48"/>
      <c r="BA3587" s="48"/>
      <c r="BB3587" s="14"/>
      <c r="BC3587" s="48"/>
      <c r="BD3587" s="48"/>
      <c r="BE3587" s="48"/>
      <c r="BF3587" s="48"/>
      <c r="BG3587" s="48"/>
      <c r="BH3587" s="48"/>
      <c r="BI3587" s="48"/>
      <c r="BJ3587" s="48"/>
      <c r="BK3587" s="48"/>
      <c r="BL3587" s="48"/>
      <c r="BM3587" s="48"/>
      <c r="BN3587" s="48"/>
      <c r="BO3587" s="48"/>
      <c r="BP3587" s="48"/>
      <c r="BQ3587" s="48"/>
      <c r="BR3587" s="48"/>
      <c r="BS3587" s="48"/>
      <c r="BT3587" s="48"/>
      <c r="BU3587" s="48"/>
      <c r="BV3587" s="48"/>
      <c r="BW3587" s="48"/>
      <c r="BX3587" s="48"/>
      <c r="BY3587" s="48"/>
      <c r="BZ3587" s="48"/>
      <c r="CA3587" s="48"/>
      <c r="CB3587" s="48"/>
      <c r="CC3587" s="48"/>
      <c r="CD3587" s="48"/>
      <c r="CE3587" s="48"/>
      <c r="CF3587" s="48"/>
      <c r="CG3587" s="48"/>
      <c r="CH3587" s="48"/>
      <c r="CI3587" s="48"/>
      <c r="CJ3587" s="48"/>
      <c r="CK3587" s="48"/>
      <c r="CL3587" s="48"/>
      <c r="CM3587" s="48"/>
      <c r="CN3587" s="48"/>
      <c r="CO3587" s="48"/>
      <c r="CP3587" s="48"/>
      <c r="CQ3587" s="48"/>
      <c r="CR3587" s="48"/>
      <c r="CS3587" s="48"/>
      <c r="CT3587" s="48"/>
      <c r="CU3587" s="48"/>
      <c r="CV3587" s="48"/>
      <c r="CW3587" s="48"/>
      <c r="CX3587" s="48"/>
      <c r="CY3587" s="48"/>
      <c r="CZ3587" s="48"/>
    </row>
    <row r="3588" spans="27:104" s="4" customFormat="1" x14ac:dyDescent="0.3">
      <c r="AA3588" s="48"/>
      <c r="AB3588" s="48"/>
      <c r="AC3588" s="48"/>
      <c r="AD3588" s="48"/>
      <c r="AE3588" s="48"/>
      <c r="AF3588" s="48"/>
      <c r="AG3588" s="48"/>
      <c r="AH3588" s="48"/>
      <c r="AI3588" s="48"/>
      <c r="AJ3588" s="48"/>
      <c r="AK3588" s="48"/>
      <c r="AL3588" s="48"/>
      <c r="AM3588" s="48"/>
      <c r="AN3588" s="48"/>
      <c r="AO3588" s="48"/>
      <c r="AP3588" s="48"/>
      <c r="AQ3588" s="48"/>
      <c r="AR3588" s="48"/>
      <c r="AS3588" s="48"/>
      <c r="AT3588" s="48"/>
      <c r="AU3588" s="48"/>
      <c r="AV3588" s="48"/>
      <c r="AW3588" s="48"/>
      <c r="AX3588" s="48"/>
      <c r="AY3588" s="48"/>
      <c r="AZ3588" s="48"/>
      <c r="BA3588" s="48"/>
      <c r="BB3588" s="14"/>
      <c r="BC3588" s="48"/>
      <c r="BD3588" s="48"/>
      <c r="BE3588" s="48"/>
      <c r="BF3588" s="48"/>
      <c r="BG3588" s="48"/>
      <c r="BH3588" s="48"/>
      <c r="BI3588" s="48"/>
      <c r="BJ3588" s="48"/>
      <c r="BK3588" s="48"/>
      <c r="BL3588" s="48"/>
      <c r="BM3588" s="48"/>
      <c r="BN3588" s="48"/>
      <c r="BO3588" s="48"/>
      <c r="BP3588" s="48"/>
      <c r="BQ3588" s="48"/>
      <c r="BR3588" s="48"/>
      <c r="BS3588" s="48"/>
      <c r="BT3588" s="48"/>
      <c r="BU3588" s="48"/>
      <c r="BV3588" s="48"/>
      <c r="BW3588" s="48"/>
      <c r="BX3588" s="48"/>
      <c r="BY3588" s="48"/>
      <c r="BZ3588" s="48"/>
      <c r="CA3588" s="48"/>
      <c r="CB3588" s="48"/>
      <c r="CC3588" s="48"/>
      <c r="CD3588" s="48"/>
      <c r="CE3588" s="48"/>
      <c r="CF3588" s="48"/>
      <c r="CG3588" s="48"/>
      <c r="CH3588" s="48"/>
      <c r="CI3588" s="48"/>
      <c r="CJ3588" s="48"/>
      <c r="CK3588" s="48"/>
      <c r="CL3588" s="48"/>
      <c r="CM3588" s="48"/>
      <c r="CN3588" s="48"/>
      <c r="CO3588" s="48"/>
      <c r="CP3588" s="48"/>
      <c r="CQ3588" s="48"/>
      <c r="CR3588" s="48"/>
      <c r="CS3588" s="48"/>
      <c r="CT3588" s="48"/>
      <c r="CU3588" s="48"/>
      <c r="CV3588" s="48"/>
      <c r="CW3588" s="48"/>
      <c r="CX3588" s="48"/>
      <c r="CY3588" s="48"/>
      <c r="CZ3588" s="48"/>
    </row>
    <row r="3589" spans="27:104" s="4" customFormat="1" x14ac:dyDescent="0.3">
      <c r="AA3589" s="48"/>
      <c r="AB3589" s="48"/>
      <c r="AC3589" s="48"/>
      <c r="AD3589" s="48"/>
      <c r="AE3589" s="48"/>
      <c r="AF3589" s="48"/>
      <c r="AG3589" s="48"/>
      <c r="AH3589" s="48"/>
      <c r="AI3589" s="48"/>
      <c r="AJ3589" s="48"/>
      <c r="AK3589" s="48"/>
      <c r="AL3589" s="48"/>
      <c r="AM3589" s="48"/>
      <c r="AN3589" s="48"/>
      <c r="AO3589" s="48"/>
      <c r="AP3589" s="48"/>
      <c r="AQ3589" s="48"/>
      <c r="AR3589" s="48"/>
      <c r="AS3589" s="48"/>
      <c r="AT3589" s="48"/>
      <c r="AU3589" s="48"/>
      <c r="AV3589" s="48"/>
      <c r="AW3589" s="48"/>
      <c r="AX3589" s="48"/>
      <c r="AY3589" s="48"/>
      <c r="AZ3589" s="48"/>
      <c r="BA3589" s="48"/>
      <c r="BB3589" s="14"/>
      <c r="BC3589" s="48"/>
      <c r="BD3589" s="48"/>
      <c r="BE3589" s="48"/>
      <c r="BF3589" s="48"/>
      <c r="BG3589" s="48"/>
      <c r="BH3589" s="48"/>
      <c r="BI3589" s="48"/>
      <c r="BJ3589" s="48"/>
      <c r="BK3589" s="48"/>
      <c r="BL3589" s="48"/>
      <c r="BM3589" s="48"/>
      <c r="BN3589" s="48"/>
      <c r="BO3589" s="48"/>
      <c r="BP3589" s="48"/>
      <c r="BQ3589" s="48"/>
      <c r="BR3589" s="48"/>
      <c r="BS3589" s="48"/>
      <c r="BT3589" s="48"/>
      <c r="BU3589" s="48"/>
      <c r="BV3589" s="48"/>
      <c r="BW3589" s="48"/>
      <c r="BX3589" s="48"/>
      <c r="BY3589" s="48"/>
      <c r="BZ3589" s="48"/>
      <c r="CA3589" s="48"/>
      <c r="CB3589" s="48"/>
      <c r="CC3589" s="48"/>
      <c r="CD3589" s="48"/>
      <c r="CE3589" s="48"/>
      <c r="CF3589" s="48"/>
      <c r="CG3589" s="48"/>
      <c r="CH3589" s="48"/>
      <c r="CI3589" s="48"/>
      <c r="CJ3589" s="48"/>
      <c r="CK3589" s="48"/>
      <c r="CL3589" s="48"/>
      <c r="CM3589" s="48"/>
      <c r="CN3589" s="48"/>
      <c r="CO3589" s="48"/>
      <c r="CP3589" s="48"/>
      <c r="CQ3589" s="48"/>
      <c r="CR3589" s="48"/>
      <c r="CS3589" s="48"/>
      <c r="CT3589" s="48"/>
      <c r="CU3589" s="48"/>
      <c r="CV3589" s="48"/>
      <c r="CW3589" s="48"/>
      <c r="CX3589" s="48"/>
      <c r="CY3589" s="48"/>
      <c r="CZ3589" s="48"/>
    </row>
    <row r="3590" spans="27:104" s="4" customFormat="1" x14ac:dyDescent="0.3">
      <c r="AA3590" s="48"/>
      <c r="AB3590" s="48"/>
      <c r="AC3590" s="48"/>
      <c r="AD3590" s="48"/>
      <c r="AE3590" s="48"/>
      <c r="AF3590" s="48"/>
      <c r="AG3590" s="48"/>
      <c r="AH3590" s="48"/>
      <c r="AI3590" s="48"/>
      <c r="AJ3590" s="48"/>
      <c r="AK3590" s="48"/>
      <c r="AL3590" s="48"/>
      <c r="AM3590" s="48"/>
      <c r="AN3590" s="48"/>
      <c r="AO3590" s="48"/>
      <c r="AP3590" s="48"/>
      <c r="AQ3590" s="48"/>
      <c r="AR3590" s="48"/>
      <c r="AS3590" s="48"/>
      <c r="AT3590" s="48"/>
      <c r="AU3590" s="48"/>
      <c r="AV3590" s="48"/>
      <c r="AW3590" s="48"/>
      <c r="AX3590" s="48"/>
      <c r="AY3590" s="48"/>
      <c r="AZ3590" s="48"/>
      <c r="BA3590" s="48"/>
      <c r="BB3590" s="14"/>
      <c r="BC3590" s="48"/>
      <c r="BD3590" s="48"/>
      <c r="BE3590" s="48"/>
      <c r="BF3590" s="48"/>
      <c r="BG3590" s="48"/>
      <c r="BH3590" s="48"/>
      <c r="BI3590" s="48"/>
      <c r="BJ3590" s="48"/>
      <c r="BK3590" s="48"/>
      <c r="BL3590" s="48"/>
      <c r="BM3590" s="48"/>
      <c r="BN3590" s="48"/>
      <c r="BO3590" s="48"/>
      <c r="BP3590" s="48"/>
      <c r="BQ3590" s="48"/>
      <c r="BR3590" s="48"/>
      <c r="BS3590" s="48"/>
      <c r="BT3590" s="48"/>
      <c r="BU3590" s="48"/>
      <c r="BV3590" s="48"/>
      <c r="BW3590" s="48"/>
      <c r="BX3590" s="48"/>
      <c r="BY3590" s="48"/>
      <c r="BZ3590" s="48"/>
      <c r="CA3590" s="48"/>
      <c r="CB3590" s="48"/>
      <c r="CC3590" s="48"/>
      <c r="CD3590" s="48"/>
      <c r="CE3590" s="48"/>
      <c r="CF3590" s="48"/>
      <c r="CG3590" s="48"/>
      <c r="CH3590" s="48"/>
      <c r="CI3590" s="48"/>
      <c r="CJ3590" s="48"/>
      <c r="CK3590" s="48"/>
      <c r="CL3590" s="48"/>
      <c r="CM3590" s="48"/>
      <c r="CN3590" s="48"/>
      <c r="CO3590" s="48"/>
      <c r="CP3590" s="48"/>
      <c r="CQ3590" s="48"/>
      <c r="CR3590" s="48"/>
      <c r="CS3590" s="48"/>
      <c r="CT3590" s="48"/>
      <c r="CU3590" s="48"/>
      <c r="CV3590" s="48"/>
      <c r="CW3590" s="48"/>
      <c r="CX3590" s="48"/>
      <c r="CY3590" s="48"/>
      <c r="CZ3590" s="48"/>
    </row>
    <row r="3591" spans="27:104" s="4" customFormat="1" x14ac:dyDescent="0.3">
      <c r="AA3591" s="48"/>
      <c r="AB3591" s="48"/>
      <c r="AC3591" s="48"/>
      <c r="AD3591" s="48"/>
      <c r="AE3591" s="48"/>
      <c r="AF3591" s="48"/>
      <c r="AG3591" s="48"/>
      <c r="AH3591" s="48"/>
      <c r="AI3591" s="48"/>
      <c r="AJ3591" s="48"/>
      <c r="AK3591" s="48"/>
      <c r="AL3591" s="48"/>
      <c r="AM3591" s="48"/>
      <c r="AN3591" s="48"/>
      <c r="AO3591" s="48"/>
      <c r="AP3591" s="48"/>
      <c r="AQ3591" s="48"/>
      <c r="AR3591" s="48"/>
      <c r="AS3591" s="48"/>
      <c r="AT3591" s="48"/>
      <c r="AU3591" s="48"/>
      <c r="AV3591" s="48"/>
      <c r="AW3591" s="48"/>
      <c r="AX3591" s="48"/>
      <c r="AY3591" s="48"/>
      <c r="AZ3591" s="48"/>
      <c r="BA3591" s="48"/>
      <c r="BB3591" s="14"/>
      <c r="BC3591" s="48"/>
      <c r="BD3591" s="48"/>
      <c r="BE3591" s="48"/>
      <c r="BF3591" s="48"/>
      <c r="BG3591" s="48"/>
      <c r="BH3591" s="48"/>
      <c r="BI3591" s="48"/>
      <c r="BJ3591" s="48"/>
      <c r="BK3591" s="48"/>
      <c r="BL3591" s="48"/>
      <c r="BM3591" s="48"/>
      <c r="BN3591" s="48"/>
      <c r="BO3591" s="48"/>
      <c r="BP3591" s="48"/>
      <c r="BQ3591" s="48"/>
      <c r="BR3591" s="48"/>
      <c r="BS3591" s="48"/>
      <c r="BT3591" s="48"/>
      <c r="BU3591" s="48"/>
      <c r="BV3591" s="48"/>
      <c r="BW3591" s="48"/>
      <c r="BX3591" s="48"/>
      <c r="BY3591" s="48"/>
      <c r="BZ3591" s="48"/>
      <c r="CA3591" s="48"/>
      <c r="CB3591" s="48"/>
      <c r="CC3591" s="48"/>
      <c r="CD3591" s="48"/>
      <c r="CE3591" s="48"/>
      <c r="CF3591" s="48"/>
      <c r="CG3591" s="48"/>
      <c r="CH3591" s="48"/>
      <c r="CI3591" s="48"/>
      <c r="CJ3591" s="48"/>
      <c r="CK3591" s="48"/>
      <c r="CL3591" s="48"/>
      <c r="CM3591" s="48"/>
      <c r="CN3591" s="48"/>
      <c r="CO3591" s="48"/>
      <c r="CP3591" s="48"/>
      <c r="CQ3591" s="48"/>
      <c r="CR3591" s="48"/>
      <c r="CS3591" s="48"/>
      <c r="CT3591" s="48"/>
      <c r="CU3591" s="48"/>
      <c r="CV3591" s="48"/>
      <c r="CW3591" s="48"/>
      <c r="CX3591" s="48"/>
      <c r="CY3591" s="48"/>
      <c r="CZ3591" s="48"/>
    </row>
    <row r="3592" spans="27:104" s="4" customFormat="1" x14ac:dyDescent="0.3">
      <c r="AA3592" s="48"/>
      <c r="AB3592" s="48"/>
      <c r="AC3592" s="48"/>
      <c r="AD3592" s="48"/>
      <c r="AE3592" s="48"/>
      <c r="AF3592" s="48"/>
      <c r="AG3592" s="48"/>
      <c r="AH3592" s="48"/>
      <c r="AI3592" s="48"/>
      <c r="AJ3592" s="48"/>
      <c r="AK3592" s="48"/>
      <c r="AL3592" s="48"/>
      <c r="AM3592" s="48"/>
      <c r="AN3592" s="48"/>
      <c r="AO3592" s="48"/>
      <c r="AP3592" s="48"/>
      <c r="AQ3592" s="48"/>
      <c r="AR3592" s="48"/>
      <c r="AS3592" s="48"/>
      <c r="AT3592" s="48"/>
      <c r="AU3592" s="48"/>
      <c r="AV3592" s="48"/>
      <c r="AW3592" s="48"/>
      <c r="AX3592" s="48"/>
      <c r="AY3592" s="48"/>
      <c r="AZ3592" s="48"/>
      <c r="BA3592" s="48"/>
      <c r="BB3592" s="14"/>
      <c r="BC3592" s="48"/>
      <c r="BD3592" s="48"/>
      <c r="BE3592" s="48"/>
      <c r="BF3592" s="48"/>
      <c r="BG3592" s="48"/>
      <c r="BH3592" s="48"/>
      <c r="BI3592" s="48"/>
      <c r="BJ3592" s="48"/>
      <c r="BK3592" s="48"/>
      <c r="BL3592" s="48"/>
      <c r="BM3592" s="48"/>
      <c r="BN3592" s="48"/>
      <c r="BO3592" s="48"/>
      <c r="BP3592" s="48"/>
      <c r="BQ3592" s="48"/>
      <c r="BR3592" s="48"/>
      <c r="BS3592" s="48"/>
      <c r="BT3592" s="48"/>
      <c r="BU3592" s="48"/>
      <c r="BV3592" s="48"/>
      <c r="BW3592" s="48"/>
      <c r="BX3592" s="48"/>
      <c r="BY3592" s="48"/>
      <c r="BZ3592" s="48"/>
      <c r="CA3592" s="48"/>
      <c r="CB3592" s="48"/>
      <c r="CC3592" s="48"/>
      <c r="CD3592" s="48"/>
      <c r="CE3592" s="48"/>
      <c r="CF3592" s="48"/>
      <c r="CG3592" s="48"/>
      <c r="CH3592" s="48"/>
      <c r="CI3592" s="48"/>
      <c r="CJ3592" s="48"/>
      <c r="CK3592" s="48"/>
      <c r="CL3592" s="48"/>
      <c r="CM3592" s="48"/>
      <c r="CN3592" s="48"/>
      <c r="CO3592" s="48"/>
      <c r="CP3592" s="48"/>
      <c r="CQ3592" s="48"/>
      <c r="CR3592" s="48"/>
      <c r="CS3592" s="48"/>
      <c r="CT3592" s="48"/>
      <c r="CU3592" s="48"/>
      <c r="CV3592" s="48"/>
      <c r="CW3592" s="48"/>
      <c r="CX3592" s="48"/>
      <c r="CY3592" s="48"/>
      <c r="CZ3592" s="48"/>
    </row>
    <row r="3593" spans="27:104" s="4" customFormat="1" x14ac:dyDescent="0.3">
      <c r="AA3593" s="48"/>
      <c r="AB3593" s="48"/>
      <c r="AC3593" s="48"/>
      <c r="AD3593" s="48"/>
      <c r="AE3593" s="48"/>
      <c r="AF3593" s="48"/>
      <c r="AG3593" s="48"/>
      <c r="AH3593" s="48"/>
      <c r="AI3593" s="48"/>
      <c r="AJ3593" s="48"/>
      <c r="AK3593" s="48"/>
      <c r="AL3593" s="48"/>
      <c r="AM3593" s="48"/>
      <c r="AN3593" s="48"/>
      <c r="AO3593" s="48"/>
      <c r="AP3593" s="48"/>
      <c r="AQ3593" s="48"/>
      <c r="AR3593" s="48"/>
      <c r="AS3593" s="48"/>
      <c r="AT3593" s="48"/>
      <c r="AU3593" s="48"/>
      <c r="AV3593" s="48"/>
      <c r="AW3593" s="48"/>
      <c r="AX3593" s="48"/>
      <c r="AY3593" s="48"/>
      <c r="AZ3593" s="48"/>
      <c r="BA3593" s="48"/>
      <c r="BB3593" s="14"/>
      <c r="BC3593" s="48"/>
      <c r="BD3593" s="48"/>
      <c r="BE3593" s="48"/>
      <c r="BF3593" s="48"/>
      <c r="BG3593" s="48"/>
      <c r="BH3593" s="48"/>
      <c r="BI3593" s="48"/>
      <c r="BJ3593" s="48"/>
      <c r="BK3593" s="48"/>
      <c r="BL3593" s="48"/>
      <c r="BM3593" s="48"/>
      <c r="BN3593" s="48"/>
      <c r="BO3593" s="48"/>
      <c r="BP3593" s="48"/>
      <c r="BQ3593" s="48"/>
      <c r="BR3593" s="48"/>
      <c r="BS3593" s="48"/>
      <c r="BT3593" s="48"/>
      <c r="BU3593" s="48"/>
      <c r="BV3593" s="48"/>
      <c r="BW3593" s="48"/>
      <c r="BX3593" s="48"/>
      <c r="BY3593" s="48"/>
      <c r="BZ3593" s="48"/>
      <c r="CA3593" s="48"/>
      <c r="CB3593" s="48"/>
      <c r="CC3593" s="48"/>
      <c r="CD3593" s="48"/>
      <c r="CE3593" s="48"/>
      <c r="CF3593" s="48"/>
      <c r="CG3593" s="48"/>
      <c r="CH3593" s="48"/>
      <c r="CI3593" s="48"/>
      <c r="CJ3593" s="48"/>
      <c r="CK3593" s="48"/>
      <c r="CL3593" s="48"/>
      <c r="CM3593" s="48"/>
      <c r="CN3593" s="48"/>
      <c r="CO3593" s="48"/>
      <c r="CP3593" s="48"/>
      <c r="CQ3593" s="48"/>
      <c r="CR3593" s="48"/>
      <c r="CS3593" s="48"/>
      <c r="CT3593" s="48"/>
      <c r="CU3593" s="48"/>
      <c r="CV3593" s="48"/>
      <c r="CW3593" s="48"/>
      <c r="CX3593" s="48"/>
      <c r="CY3593" s="48"/>
      <c r="CZ3593" s="48"/>
    </row>
    <row r="3594" spans="27:104" s="4" customFormat="1" x14ac:dyDescent="0.3">
      <c r="AA3594" s="48"/>
      <c r="AB3594" s="48"/>
      <c r="AC3594" s="48"/>
      <c r="AD3594" s="48"/>
      <c r="AE3594" s="48"/>
      <c r="AF3594" s="48"/>
      <c r="AG3594" s="48"/>
      <c r="AH3594" s="48"/>
      <c r="AI3594" s="48"/>
      <c r="AJ3594" s="48"/>
      <c r="AK3594" s="48"/>
      <c r="AL3594" s="48"/>
      <c r="AM3594" s="48"/>
      <c r="AN3594" s="48"/>
      <c r="AO3594" s="48"/>
      <c r="AP3594" s="48"/>
      <c r="AQ3594" s="48"/>
      <c r="AR3594" s="48"/>
      <c r="AS3594" s="48"/>
      <c r="AT3594" s="48"/>
      <c r="AU3594" s="48"/>
      <c r="AV3594" s="48"/>
      <c r="AW3594" s="48"/>
      <c r="AX3594" s="48"/>
      <c r="AY3594" s="48"/>
      <c r="AZ3594" s="48"/>
      <c r="BA3594" s="48"/>
      <c r="BB3594" s="14"/>
      <c r="BC3594" s="48"/>
      <c r="BD3594" s="48"/>
      <c r="BE3594" s="48"/>
      <c r="BF3594" s="48"/>
      <c r="BG3594" s="48"/>
      <c r="BH3594" s="48"/>
      <c r="BI3594" s="48"/>
      <c r="BJ3594" s="48"/>
      <c r="BK3594" s="48"/>
      <c r="BL3594" s="48"/>
      <c r="BM3594" s="48"/>
      <c r="BN3594" s="48"/>
      <c r="BO3594" s="48"/>
      <c r="BP3594" s="48"/>
      <c r="BQ3594" s="48"/>
      <c r="BR3594" s="48"/>
      <c r="BS3594" s="48"/>
      <c r="BT3594" s="48"/>
      <c r="BU3594" s="48"/>
      <c r="BV3594" s="48"/>
      <c r="BW3594" s="48"/>
      <c r="BX3594" s="48"/>
      <c r="BY3594" s="48"/>
      <c r="BZ3594" s="48"/>
      <c r="CA3594" s="48"/>
      <c r="CB3594" s="48"/>
      <c r="CC3594" s="48"/>
      <c r="CD3594" s="48"/>
      <c r="CE3594" s="48"/>
      <c r="CF3594" s="48"/>
      <c r="CG3594" s="48"/>
      <c r="CH3594" s="48"/>
      <c r="CI3594" s="48"/>
      <c r="CJ3594" s="48"/>
      <c r="CK3594" s="48"/>
      <c r="CL3594" s="48"/>
      <c r="CM3594" s="48"/>
      <c r="CN3594" s="48"/>
      <c r="CO3594" s="48"/>
      <c r="CP3594" s="48"/>
      <c r="CQ3594" s="48"/>
      <c r="CR3594" s="48"/>
      <c r="CS3594" s="48"/>
      <c r="CT3594" s="48"/>
      <c r="CU3594" s="48"/>
      <c r="CV3594" s="48"/>
      <c r="CW3594" s="48"/>
      <c r="CX3594" s="48"/>
      <c r="CY3594" s="48"/>
      <c r="CZ3594" s="48"/>
    </row>
    <row r="3595" spans="27:104" s="4" customFormat="1" x14ac:dyDescent="0.3">
      <c r="AA3595" s="48"/>
      <c r="AB3595" s="48"/>
      <c r="AC3595" s="48"/>
      <c r="AD3595" s="48"/>
      <c r="AE3595" s="48"/>
      <c r="AF3595" s="48"/>
      <c r="AG3595" s="48"/>
      <c r="AH3595" s="48"/>
      <c r="AI3595" s="48"/>
      <c r="AJ3595" s="48"/>
      <c r="AK3595" s="48"/>
      <c r="AL3595" s="48"/>
      <c r="AM3595" s="48"/>
      <c r="AN3595" s="48"/>
      <c r="AO3595" s="48"/>
      <c r="AP3595" s="48"/>
      <c r="AQ3595" s="48"/>
      <c r="AR3595" s="48"/>
      <c r="AS3595" s="48"/>
      <c r="AT3595" s="48"/>
      <c r="AU3595" s="48"/>
      <c r="AV3595" s="48"/>
      <c r="AW3595" s="48"/>
      <c r="AX3595" s="48"/>
      <c r="AY3595" s="48"/>
      <c r="AZ3595" s="48"/>
      <c r="BA3595" s="48"/>
      <c r="BB3595" s="14"/>
      <c r="BC3595" s="48"/>
      <c r="BD3595" s="48"/>
      <c r="BE3595" s="48"/>
      <c r="BF3595" s="48"/>
      <c r="BG3595" s="48"/>
      <c r="BH3595" s="48"/>
      <c r="BI3595" s="48"/>
      <c r="BJ3595" s="48"/>
      <c r="BK3595" s="48"/>
      <c r="BL3595" s="48"/>
      <c r="BM3595" s="48"/>
      <c r="BN3595" s="48"/>
      <c r="BO3595" s="48"/>
      <c r="BP3595" s="48"/>
      <c r="BQ3595" s="48"/>
      <c r="BR3595" s="48"/>
      <c r="BS3595" s="48"/>
      <c r="BT3595" s="48"/>
      <c r="BU3595" s="48"/>
      <c r="BV3595" s="48"/>
      <c r="BW3595" s="48"/>
      <c r="BX3595" s="48"/>
      <c r="BY3595" s="48"/>
      <c r="BZ3595" s="48"/>
      <c r="CA3595" s="48"/>
      <c r="CB3595" s="48"/>
      <c r="CC3595" s="48"/>
      <c r="CD3595" s="48"/>
      <c r="CE3595" s="48"/>
      <c r="CF3595" s="48"/>
      <c r="CG3595" s="48"/>
      <c r="CH3595" s="48"/>
      <c r="CI3595" s="48"/>
      <c r="CJ3595" s="48"/>
      <c r="CK3595" s="48"/>
      <c r="CL3595" s="48"/>
      <c r="CM3595" s="48"/>
      <c r="CN3595" s="48"/>
      <c r="CO3595" s="48"/>
      <c r="CP3595" s="48"/>
      <c r="CQ3595" s="48"/>
      <c r="CR3595" s="48"/>
      <c r="CS3595" s="48"/>
      <c r="CT3595" s="48"/>
      <c r="CU3595" s="48"/>
      <c r="CV3595" s="48"/>
      <c r="CW3595" s="48"/>
      <c r="CX3595" s="48"/>
      <c r="CY3595" s="48"/>
      <c r="CZ3595" s="48"/>
    </row>
    <row r="3596" spans="27:104" s="4" customFormat="1" x14ac:dyDescent="0.3">
      <c r="AA3596" s="48"/>
      <c r="AB3596" s="48"/>
      <c r="AC3596" s="48"/>
      <c r="AD3596" s="48"/>
      <c r="AE3596" s="48"/>
      <c r="AF3596" s="48"/>
      <c r="AG3596" s="48"/>
      <c r="AH3596" s="48"/>
      <c r="AI3596" s="48"/>
      <c r="AJ3596" s="48"/>
      <c r="AK3596" s="48"/>
      <c r="AL3596" s="48"/>
      <c r="AM3596" s="48"/>
      <c r="AN3596" s="48"/>
      <c r="AO3596" s="48"/>
      <c r="AP3596" s="48"/>
      <c r="AQ3596" s="48"/>
      <c r="AR3596" s="48"/>
      <c r="AS3596" s="48"/>
      <c r="AT3596" s="48"/>
      <c r="AU3596" s="48"/>
      <c r="AV3596" s="48"/>
      <c r="AW3596" s="48"/>
      <c r="AX3596" s="48"/>
      <c r="AY3596" s="48"/>
      <c r="AZ3596" s="48"/>
      <c r="BA3596" s="48"/>
      <c r="BB3596" s="14"/>
      <c r="BC3596" s="48"/>
      <c r="BD3596" s="48"/>
      <c r="BE3596" s="48"/>
      <c r="BF3596" s="48"/>
      <c r="BG3596" s="48"/>
      <c r="BH3596" s="48"/>
      <c r="BI3596" s="48"/>
      <c r="BJ3596" s="48"/>
      <c r="BK3596" s="48"/>
      <c r="BL3596" s="48"/>
      <c r="BM3596" s="48"/>
      <c r="BN3596" s="48"/>
      <c r="BO3596" s="48"/>
      <c r="BP3596" s="48"/>
      <c r="BQ3596" s="48"/>
      <c r="BR3596" s="48"/>
      <c r="BS3596" s="48"/>
      <c r="BT3596" s="48"/>
      <c r="BU3596" s="48"/>
      <c r="BV3596" s="48"/>
      <c r="BW3596" s="48"/>
      <c r="BX3596" s="48"/>
      <c r="BY3596" s="48"/>
      <c r="BZ3596" s="48"/>
      <c r="CA3596" s="48"/>
      <c r="CB3596" s="48"/>
      <c r="CC3596" s="48"/>
      <c r="CD3596" s="48"/>
      <c r="CE3596" s="48"/>
      <c r="CF3596" s="48"/>
      <c r="CG3596" s="48"/>
      <c r="CH3596" s="48"/>
      <c r="CI3596" s="48"/>
      <c r="CJ3596" s="48"/>
      <c r="CK3596" s="48"/>
      <c r="CL3596" s="48"/>
      <c r="CM3596" s="48"/>
      <c r="CN3596" s="48"/>
      <c r="CO3596" s="48"/>
      <c r="CP3596" s="48"/>
      <c r="CQ3596" s="48"/>
      <c r="CR3596" s="48"/>
      <c r="CS3596" s="48"/>
      <c r="CT3596" s="48"/>
      <c r="CU3596" s="48"/>
      <c r="CV3596" s="48"/>
      <c r="CW3596" s="48"/>
      <c r="CX3596" s="48"/>
      <c r="CY3596" s="48"/>
      <c r="CZ3596" s="48"/>
    </row>
    <row r="3597" spans="27:104" s="4" customFormat="1" x14ac:dyDescent="0.3">
      <c r="AA3597" s="48"/>
      <c r="AB3597" s="48"/>
      <c r="AC3597" s="48"/>
      <c r="AD3597" s="48"/>
      <c r="AE3597" s="48"/>
      <c r="AF3597" s="48"/>
      <c r="AG3597" s="48"/>
      <c r="AH3597" s="48"/>
      <c r="AI3597" s="48"/>
      <c r="AJ3597" s="48"/>
      <c r="AK3597" s="48"/>
      <c r="AL3597" s="48"/>
      <c r="AM3597" s="48"/>
      <c r="AN3597" s="48"/>
      <c r="AO3597" s="48"/>
      <c r="AP3597" s="48"/>
      <c r="AQ3597" s="48"/>
      <c r="AR3597" s="48"/>
      <c r="AS3597" s="48"/>
      <c r="AT3597" s="48"/>
      <c r="AU3597" s="48"/>
      <c r="AV3597" s="48"/>
      <c r="AW3597" s="48"/>
      <c r="AX3597" s="48"/>
      <c r="AY3597" s="48"/>
      <c r="AZ3597" s="48"/>
      <c r="BA3597" s="48"/>
      <c r="BB3597" s="14"/>
      <c r="BC3597" s="48"/>
      <c r="BD3597" s="48"/>
      <c r="BE3597" s="48"/>
      <c r="BF3597" s="48"/>
      <c r="BG3597" s="48"/>
      <c r="BH3597" s="48"/>
      <c r="BI3597" s="48"/>
      <c r="BJ3597" s="48"/>
      <c r="BK3597" s="48"/>
      <c r="BL3597" s="48"/>
      <c r="BM3597" s="48"/>
      <c r="BN3597" s="48"/>
      <c r="BO3597" s="48"/>
      <c r="BP3597" s="48"/>
      <c r="BQ3597" s="48"/>
      <c r="BR3597" s="48"/>
      <c r="BS3597" s="48"/>
      <c r="BT3597" s="48"/>
      <c r="BU3597" s="48"/>
      <c r="BV3597" s="48"/>
      <c r="BW3597" s="48"/>
      <c r="BX3597" s="48"/>
      <c r="BY3597" s="48"/>
      <c r="BZ3597" s="48"/>
      <c r="CA3597" s="48"/>
      <c r="CB3597" s="48"/>
      <c r="CC3597" s="48"/>
      <c r="CD3597" s="48"/>
      <c r="CE3597" s="48"/>
      <c r="CF3597" s="48"/>
      <c r="CG3597" s="48"/>
      <c r="CH3597" s="48"/>
      <c r="CI3597" s="48"/>
      <c r="CJ3597" s="48"/>
      <c r="CK3597" s="48"/>
      <c r="CL3597" s="48"/>
      <c r="CM3597" s="48"/>
      <c r="CN3597" s="48"/>
      <c r="CO3597" s="48"/>
      <c r="CP3597" s="48"/>
      <c r="CQ3597" s="48"/>
      <c r="CR3597" s="48"/>
      <c r="CS3597" s="48"/>
      <c r="CT3597" s="48"/>
      <c r="CU3597" s="48"/>
      <c r="CV3597" s="48"/>
      <c r="CW3597" s="48"/>
      <c r="CX3597" s="48"/>
      <c r="CY3597" s="48"/>
      <c r="CZ3597" s="48"/>
    </row>
    <row r="3598" spans="27:104" s="4" customFormat="1" x14ac:dyDescent="0.3">
      <c r="AA3598" s="48"/>
      <c r="AB3598" s="48"/>
      <c r="AC3598" s="48"/>
      <c r="AD3598" s="48"/>
      <c r="AE3598" s="48"/>
      <c r="AF3598" s="48"/>
      <c r="AG3598" s="48"/>
      <c r="AH3598" s="48"/>
      <c r="AI3598" s="48"/>
      <c r="AJ3598" s="48"/>
      <c r="AK3598" s="48"/>
      <c r="AL3598" s="48"/>
      <c r="AM3598" s="48"/>
      <c r="AN3598" s="48"/>
      <c r="AO3598" s="48"/>
      <c r="AP3598" s="48"/>
      <c r="AQ3598" s="48"/>
      <c r="AR3598" s="48"/>
      <c r="AS3598" s="48"/>
      <c r="AT3598" s="48"/>
      <c r="AU3598" s="48"/>
      <c r="AV3598" s="48"/>
      <c r="AW3598" s="48"/>
      <c r="AX3598" s="48"/>
      <c r="AY3598" s="48"/>
      <c r="AZ3598" s="48"/>
      <c r="BA3598" s="48"/>
      <c r="BB3598" s="14"/>
      <c r="BC3598" s="48"/>
      <c r="BD3598" s="48"/>
      <c r="BE3598" s="48"/>
      <c r="BF3598" s="48"/>
      <c r="BG3598" s="48"/>
      <c r="BH3598" s="48"/>
      <c r="BI3598" s="48"/>
      <c r="BJ3598" s="48"/>
      <c r="BK3598" s="48"/>
      <c r="BL3598" s="48"/>
      <c r="BM3598" s="48"/>
      <c r="BN3598" s="48"/>
      <c r="BO3598" s="48"/>
      <c r="BP3598" s="48"/>
      <c r="BQ3598" s="48"/>
      <c r="BR3598" s="48"/>
      <c r="BS3598" s="48"/>
      <c r="BT3598" s="48"/>
      <c r="BU3598" s="48"/>
      <c r="BV3598" s="48"/>
      <c r="BW3598" s="48"/>
      <c r="BX3598" s="48"/>
      <c r="BY3598" s="48"/>
      <c r="BZ3598" s="48"/>
      <c r="CA3598" s="48"/>
      <c r="CB3598" s="48"/>
      <c r="CC3598" s="48"/>
      <c r="CD3598" s="48"/>
      <c r="CE3598" s="48"/>
      <c r="CF3598" s="48"/>
      <c r="CG3598" s="48"/>
      <c r="CH3598" s="48"/>
      <c r="CI3598" s="48"/>
      <c r="CJ3598" s="48"/>
      <c r="CK3598" s="48"/>
      <c r="CL3598" s="48"/>
      <c r="CM3598" s="48"/>
      <c r="CN3598" s="48"/>
      <c r="CO3598" s="48"/>
      <c r="CP3598" s="48"/>
      <c r="CQ3598" s="48"/>
      <c r="CR3598" s="48"/>
      <c r="CS3598" s="48"/>
      <c r="CT3598" s="48"/>
      <c r="CU3598" s="48"/>
      <c r="CV3598" s="48"/>
      <c r="CW3598" s="48"/>
      <c r="CX3598" s="48"/>
      <c r="CY3598" s="48"/>
      <c r="CZ3598" s="48"/>
    </row>
    <row r="3599" spans="27:104" s="4" customFormat="1" x14ac:dyDescent="0.3">
      <c r="AA3599" s="48"/>
      <c r="AB3599" s="48"/>
      <c r="AC3599" s="48"/>
      <c r="AD3599" s="48"/>
      <c r="AE3599" s="48"/>
      <c r="AF3599" s="48"/>
      <c r="AG3599" s="48"/>
      <c r="AH3599" s="48"/>
      <c r="AI3599" s="48"/>
      <c r="AJ3599" s="48"/>
      <c r="AK3599" s="48"/>
      <c r="AL3599" s="48"/>
      <c r="AM3599" s="48"/>
      <c r="AN3599" s="48"/>
      <c r="AO3599" s="48"/>
      <c r="AP3599" s="48"/>
      <c r="AQ3599" s="48"/>
      <c r="AR3599" s="48"/>
      <c r="AS3599" s="48"/>
      <c r="AT3599" s="48"/>
      <c r="AU3599" s="48"/>
      <c r="AV3599" s="48"/>
      <c r="AW3599" s="48"/>
      <c r="AX3599" s="48"/>
      <c r="AY3599" s="48"/>
      <c r="AZ3599" s="48"/>
      <c r="BA3599" s="48"/>
      <c r="BB3599" s="14"/>
      <c r="BC3599" s="48"/>
      <c r="BD3599" s="48"/>
      <c r="BE3599" s="48"/>
      <c r="BF3599" s="48"/>
      <c r="BG3599" s="48"/>
      <c r="BH3599" s="48"/>
      <c r="BI3599" s="48"/>
      <c r="BJ3599" s="48"/>
      <c r="BK3599" s="48"/>
      <c r="BL3599" s="48"/>
      <c r="BM3599" s="48"/>
      <c r="BN3599" s="48"/>
      <c r="BO3599" s="48"/>
      <c r="BP3599" s="48"/>
      <c r="BQ3599" s="48"/>
      <c r="BR3599" s="48"/>
      <c r="BS3599" s="48"/>
      <c r="BT3599" s="48"/>
      <c r="BU3599" s="48"/>
      <c r="BV3599" s="48"/>
      <c r="BW3599" s="48"/>
      <c r="BX3599" s="48"/>
      <c r="BY3599" s="48"/>
      <c r="BZ3599" s="48"/>
      <c r="CA3599" s="48"/>
      <c r="CB3599" s="48"/>
      <c r="CC3599" s="48"/>
      <c r="CD3599" s="48"/>
      <c r="CE3599" s="48"/>
      <c r="CF3599" s="48"/>
      <c r="CG3599" s="48"/>
      <c r="CH3599" s="48"/>
      <c r="CI3599" s="48"/>
      <c r="CJ3599" s="48"/>
      <c r="CK3599" s="48"/>
      <c r="CL3599" s="48"/>
      <c r="CM3599" s="48"/>
      <c r="CN3599" s="48"/>
      <c r="CO3599" s="48"/>
      <c r="CP3599" s="48"/>
      <c r="CQ3599" s="48"/>
      <c r="CR3599" s="48"/>
      <c r="CS3599" s="48"/>
      <c r="CT3599" s="48"/>
      <c r="CU3599" s="48"/>
      <c r="CV3599" s="48"/>
      <c r="CW3599" s="48"/>
      <c r="CX3599" s="48"/>
      <c r="CY3599" s="48"/>
      <c r="CZ3599" s="48"/>
    </row>
    <row r="3600" spans="27:104" s="4" customFormat="1" x14ac:dyDescent="0.3">
      <c r="AA3600" s="48"/>
      <c r="AB3600" s="48"/>
      <c r="AC3600" s="48"/>
      <c r="AD3600" s="48"/>
      <c r="AE3600" s="48"/>
      <c r="AF3600" s="48"/>
      <c r="AG3600" s="48"/>
      <c r="AH3600" s="48"/>
      <c r="AI3600" s="48"/>
      <c r="AJ3600" s="48"/>
      <c r="AK3600" s="48"/>
      <c r="AL3600" s="48"/>
      <c r="AM3600" s="48"/>
      <c r="AN3600" s="48"/>
      <c r="AO3600" s="48"/>
      <c r="AP3600" s="48"/>
      <c r="AQ3600" s="48"/>
      <c r="AR3600" s="48"/>
      <c r="AS3600" s="48"/>
      <c r="AT3600" s="48"/>
      <c r="AU3600" s="48"/>
      <c r="AV3600" s="48"/>
      <c r="AW3600" s="48"/>
      <c r="AX3600" s="48"/>
      <c r="AY3600" s="48"/>
      <c r="AZ3600" s="48"/>
      <c r="BA3600" s="48"/>
      <c r="BB3600" s="14"/>
      <c r="BC3600" s="48"/>
      <c r="BD3600" s="48"/>
      <c r="BE3600" s="48"/>
      <c r="BF3600" s="48"/>
      <c r="BG3600" s="48"/>
      <c r="BH3600" s="48"/>
      <c r="BI3600" s="48"/>
      <c r="BJ3600" s="48"/>
      <c r="BK3600" s="48"/>
      <c r="BL3600" s="48"/>
      <c r="BM3600" s="48"/>
      <c r="BN3600" s="48"/>
      <c r="BO3600" s="48"/>
      <c r="BP3600" s="48"/>
      <c r="BQ3600" s="48"/>
      <c r="BR3600" s="48"/>
      <c r="BS3600" s="48"/>
      <c r="BT3600" s="48"/>
      <c r="BU3600" s="48"/>
      <c r="BV3600" s="48"/>
      <c r="BW3600" s="48"/>
      <c r="BX3600" s="48"/>
      <c r="BY3600" s="48"/>
      <c r="BZ3600" s="48"/>
      <c r="CA3600" s="48"/>
      <c r="CB3600" s="48"/>
      <c r="CC3600" s="48"/>
      <c r="CD3600" s="48"/>
      <c r="CE3600" s="48"/>
      <c r="CF3600" s="48"/>
      <c r="CG3600" s="48"/>
      <c r="CH3600" s="48"/>
      <c r="CI3600" s="48"/>
      <c r="CJ3600" s="48"/>
      <c r="CK3600" s="48"/>
      <c r="CL3600" s="48"/>
      <c r="CM3600" s="48"/>
      <c r="CN3600" s="48"/>
      <c r="CO3600" s="48"/>
      <c r="CP3600" s="48"/>
      <c r="CQ3600" s="48"/>
      <c r="CR3600" s="48"/>
      <c r="CS3600" s="48"/>
      <c r="CT3600" s="48"/>
      <c r="CU3600" s="48"/>
      <c r="CV3600" s="48"/>
      <c r="CW3600" s="48"/>
      <c r="CX3600" s="48"/>
      <c r="CY3600" s="48"/>
      <c r="CZ3600" s="48"/>
    </row>
    <row r="3601" spans="27:104" s="4" customFormat="1" x14ac:dyDescent="0.3">
      <c r="AA3601" s="48"/>
      <c r="AB3601" s="48"/>
      <c r="AC3601" s="48"/>
      <c r="AD3601" s="48"/>
      <c r="AE3601" s="48"/>
      <c r="AF3601" s="48"/>
      <c r="AG3601" s="48"/>
      <c r="AH3601" s="48"/>
      <c r="AI3601" s="48"/>
      <c r="AJ3601" s="48"/>
      <c r="AK3601" s="48"/>
      <c r="AL3601" s="48"/>
      <c r="AM3601" s="48"/>
      <c r="AN3601" s="48"/>
      <c r="AO3601" s="48"/>
      <c r="AP3601" s="48"/>
      <c r="AQ3601" s="48"/>
      <c r="AR3601" s="48"/>
      <c r="AS3601" s="48"/>
      <c r="AT3601" s="48"/>
      <c r="AU3601" s="48"/>
      <c r="AV3601" s="48"/>
      <c r="AW3601" s="48"/>
      <c r="AX3601" s="48"/>
      <c r="AY3601" s="48"/>
      <c r="AZ3601" s="48"/>
      <c r="BA3601" s="48"/>
      <c r="BB3601" s="14"/>
      <c r="BC3601" s="48"/>
      <c r="BD3601" s="48"/>
      <c r="BE3601" s="48"/>
      <c r="BF3601" s="48"/>
      <c r="BG3601" s="48"/>
      <c r="BH3601" s="48"/>
      <c r="BI3601" s="48"/>
      <c r="BJ3601" s="48"/>
      <c r="BK3601" s="48"/>
      <c r="BL3601" s="48"/>
      <c r="BM3601" s="48"/>
      <c r="BN3601" s="48"/>
      <c r="BO3601" s="48"/>
      <c r="BP3601" s="48"/>
      <c r="BQ3601" s="48"/>
      <c r="BR3601" s="48"/>
      <c r="BS3601" s="48"/>
      <c r="BT3601" s="48"/>
      <c r="BU3601" s="48"/>
      <c r="BV3601" s="48"/>
      <c r="BW3601" s="48"/>
      <c r="BX3601" s="48"/>
      <c r="BY3601" s="48"/>
      <c r="BZ3601" s="48"/>
      <c r="CA3601" s="48"/>
      <c r="CB3601" s="48"/>
      <c r="CC3601" s="48"/>
      <c r="CD3601" s="48"/>
      <c r="CE3601" s="48"/>
      <c r="CF3601" s="48"/>
      <c r="CG3601" s="48"/>
      <c r="CH3601" s="48"/>
      <c r="CI3601" s="48"/>
      <c r="CJ3601" s="48"/>
      <c r="CK3601" s="48"/>
      <c r="CL3601" s="48"/>
      <c r="CM3601" s="48"/>
      <c r="CN3601" s="48"/>
      <c r="CO3601" s="48"/>
      <c r="CP3601" s="48"/>
      <c r="CQ3601" s="48"/>
      <c r="CR3601" s="48"/>
      <c r="CS3601" s="48"/>
      <c r="CT3601" s="48"/>
      <c r="CU3601" s="48"/>
      <c r="CV3601" s="48"/>
      <c r="CW3601" s="48"/>
      <c r="CX3601" s="48"/>
      <c r="CY3601" s="48"/>
      <c r="CZ3601" s="48"/>
    </row>
    <row r="3602" spans="27:104" s="4" customFormat="1" x14ac:dyDescent="0.3">
      <c r="AA3602" s="48"/>
      <c r="AB3602" s="48"/>
      <c r="AC3602" s="48"/>
      <c r="AD3602" s="48"/>
      <c r="AE3602" s="48"/>
      <c r="AF3602" s="48"/>
      <c r="AG3602" s="48"/>
      <c r="AH3602" s="48"/>
      <c r="AI3602" s="48"/>
      <c r="AJ3602" s="48"/>
      <c r="AK3602" s="48"/>
      <c r="AL3602" s="48"/>
      <c r="AM3602" s="48"/>
      <c r="AN3602" s="48"/>
      <c r="AO3602" s="48"/>
      <c r="AP3602" s="48"/>
      <c r="AQ3602" s="48"/>
      <c r="AR3602" s="48"/>
      <c r="AS3602" s="48"/>
      <c r="AT3602" s="48"/>
      <c r="AU3602" s="48"/>
      <c r="AV3602" s="48"/>
      <c r="AW3602" s="48"/>
      <c r="AX3602" s="48"/>
      <c r="AY3602" s="48"/>
      <c r="AZ3602" s="48"/>
      <c r="BA3602" s="48"/>
      <c r="BB3602" s="14"/>
      <c r="BC3602" s="48"/>
      <c r="BD3602" s="48"/>
      <c r="BE3602" s="48"/>
      <c r="BF3602" s="48"/>
      <c r="BG3602" s="48"/>
      <c r="BH3602" s="48"/>
      <c r="BI3602" s="48"/>
      <c r="BJ3602" s="48"/>
      <c r="BK3602" s="48"/>
      <c r="BL3602" s="48"/>
      <c r="BM3602" s="48"/>
      <c r="BN3602" s="48"/>
      <c r="BO3602" s="48"/>
      <c r="BP3602" s="48"/>
      <c r="BQ3602" s="48"/>
      <c r="BR3602" s="48"/>
      <c r="BS3602" s="48"/>
      <c r="BT3602" s="48"/>
      <c r="BU3602" s="48"/>
      <c r="BV3602" s="48"/>
      <c r="BW3602" s="48"/>
      <c r="BX3602" s="48"/>
      <c r="BY3602" s="48"/>
      <c r="BZ3602" s="48"/>
      <c r="CA3602" s="48"/>
      <c r="CB3602" s="48"/>
      <c r="CC3602" s="48"/>
      <c r="CD3602" s="48"/>
      <c r="CE3602" s="48"/>
      <c r="CF3602" s="48"/>
      <c r="CG3602" s="48"/>
      <c r="CH3602" s="48"/>
      <c r="CI3602" s="48"/>
      <c r="CJ3602" s="48"/>
      <c r="CK3602" s="48"/>
      <c r="CL3602" s="48"/>
      <c r="CM3602" s="48"/>
      <c r="CN3602" s="48"/>
      <c r="CO3602" s="48"/>
      <c r="CP3602" s="48"/>
      <c r="CQ3602" s="48"/>
      <c r="CR3602" s="48"/>
      <c r="CS3602" s="48"/>
      <c r="CT3602" s="48"/>
      <c r="CU3602" s="48"/>
      <c r="CV3602" s="48"/>
      <c r="CW3602" s="48"/>
      <c r="CX3602" s="48"/>
      <c r="CY3602" s="48"/>
      <c r="CZ3602" s="48"/>
    </row>
    <row r="3603" spans="27:104" s="4" customFormat="1" x14ac:dyDescent="0.3">
      <c r="AA3603" s="48"/>
      <c r="AB3603" s="48"/>
      <c r="AC3603" s="48"/>
      <c r="AD3603" s="48"/>
      <c r="AE3603" s="48"/>
      <c r="AF3603" s="48"/>
      <c r="AG3603" s="48"/>
      <c r="AH3603" s="48"/>
      <c r="AI3603" s="48"/>
      <c r="AJ3603" s="48"/>
      <c r="AK3603" s="48"/>
      <c r="AL3603" s="48"/>
      <c r="AM3603" s="48"/>
      <c r="AN3603" s="48"/>
      <c r="AO3603" s="48"/>
      <c r="AP3603" s="48"/>
      <c r="AQ3603" s="48"/>
      <c r="AR3603" s="48"/>
      <c r="AS3603" s="48"/>
      <c r="AT3603" s="48"/>
      <c r="AU3603" s="48"/>
      <c r="AV3603" s="48"/>
      <c r="AW3603" s="48"/>
      <c r="AX3603" s="48"/>
      <c r="AY3603" s="48"/>
      <c r="AZ3603" s="48"/>
      <c r="BA3603" s="48"/>
      <c r="BB3603" s="14"/>
      <c r="BC3603" s="48"/>
      <c r="BD3603" s="48"/>
      <c r="BE3603" s="48"/>
      <c r="BF3603" s="48"/>
      <c r="BG3603" s="48"/>
      <c r="BH3603" s="48"/>
      <c r="BI3603" s="48"/>
      <c r="BJ3603" s="48"/>
      <c r="BK3603" s="48"/>
      <c r="BL3603" s="48"/>
      <c r="BM3603" s="48"/>
      <c r="BN3603" s="48"/>
      <c r="BO3603" s="48"/>
      <c r="BP3603" s="48"/>
      <c r="BQ3603" s="48"/>
      <c r="BR3603" s="48"/>
      <c r="BS3603" s="48"/>
      <c r="BT3603" s="48"/>
      <c r="BU3603" s="48"/>
      <c r="BV3603" s="48"/>
      <c r="BW3603" s="48"/>
      <c r="BX3603" s="48"/>
      <c r="BY3603" s="48"/>
      <c r="BZ3603" s="48"/>
      <c r="CA3603" s="48"/>
      <c r="CB3603" s="48"/>
      <c r="CC3603" s="48"/>
      <c r="CD3603" s="48"/>
      <c r="CE3603" s="48"/>
      <c r="CF3603" s="48"/>
      <c r="CG3603" s="48"/>
      <c r="CH3603" s="48"/>
      <c r="CI3603" s="48"/>
      <c r="CJ3603" s="48"/>
      <c r="CK3603" s="48"/>
      <c r="CL3603" s="48"/>
      <c r="CM3603" s="48"/>
      <c r="CN3603" s="48"/>
      <c r="CO3603" s="48"/>
      <c r="CP3603" s="48"/>
      <c r="CQ3603" s="48"/>
      <c r="CR3603" s="48"/>
      <c r="CS3603" s="48"/>
      <c r="CT3603" s="48"/>
      <c r="CU3603" s="48"/>
      <c r="CV3603" s="48"/>
      <c r="CW3603" s="48"/>
      <c r="CX3603" s="48"/>
      <c r="CY3603" s="48"/>
      <c r="CZ3603" s="48"/>
    </row>
    <row r="3604" spans="27:104" s="4" customFormat="1" x14ac:dyDescent="0.3">
      <c r="AA3604" s="48"/>
      <c r="AB3604" s="48"/>
      <c r="AC3604" s="48"/>
      <c r="AD3604" s="48"/>
      <c r="AE3604" s="48"/>
      <c r="AF3604" s="48"/>
      <c r="AG3604" s="48"/>
      <c r="AH3604" s="48"/>
      <c r="AI3604" s="48"/>
      <c r="AJ3604" s="48"/>
      <c r="AK3604" s="48"/>
      <c r="AL3604" s="48"/>
      <c r="AM3604" s="48"/>
      <c r="AN3604" s="48"/>
      <c r="AO3604" s="48"/>
      <c r="AP3604" s="48"/>
      <c r="AQ3604" s="48"/>
      <c r="AR3604" s="48"/>
      <c r="AS3604" s="48"/>
      <c r="AT3604" s="48"/>
      <c r="AU3604" s="48"/>
      <c r="AV3604" s="48"/>
      <c r="AW3604" s="48"/>
      <c r="AX3604" s="48"/>
      <c r="AY3604" s="48"/>
      <c r="AZ3604" s="48"/>
      <c r="BA3604" s="48"/>
      <c r="BB3604" s="14"/>
      <c r="BC3604" s="48"/>
      <c r="BD3604" s="48"/>
      <c r="BE3604" s="48"/>
      <c r="BF3604" s="48"/>
      <c r="BG3604" s="48"/>
      <c r="BH3604" s="48"/>
      <c r="BI3604" s="48"/>
      <c r="BJ3604" s="48"/>
      <c r="BK3604" s="48"/>
      <c r="BL3604" s="48"/>
      <c r="BM3604" s="48"/>
      <c r="BN3604" s="48"/>
      <c r="BO3604" s="48"/>
      <c r="BP3604" s="48"/>
      <c r="BQ3604" s="48"/>
      <c r="BR3604" s="48"/>
      <c r="BS3604" s="48"/>
      <c r="BT3604" s="48"/>
      <c r="BU3604" s="48"/>
      <c r="BV3604" s="48"/>
      <c r="BW3604" s="48"/>
      <c r="BX3604" s="48"/>
      <c r="BY3604" s="48"/>
      <c r="BZ3604" s="48"/>
      <c r="CA3604" s="48"/>
      <c r="CB3604" s="48"/>
      <c r="CC3604" s="48"/>
      <c r="CD3604" s="48"/>
      <c r="CE3604" s="48"/>
      <c r="CF3604" s="48"/>
      <c r="CG3604" s="48"/>
      <c r="CH3604" s="48"/>
      <c r="CI3604" s="48"/>
      <c r="CJ3604" s="48"/>
      <c r="CK3604" s="48"/>
      <c r="CL3604" s="48"/>
      <c r="CM3604" s="48"/>
      <c r="CN3604" s="48"/>
      <c r="CO3604" s="48"/>
      <c r="CP3604" s="48"/>
      <c r="CQ3604" s="48"/>
      <c r="CR3604" s="48"/>
      <c r="CS3604" s="48"/>
      <c r="CT3604" s="48"/>
      <c r="CU3604" s="48"/>
      <c r="CV3604" s="48"/>
      <c r="CW3604" s="48"/>
      <c r="CX3604" s="48"/>
      <c r="CY3604" s="48"/>
      <c r="CZ3604" s="48"/>
    </row>
    <row r="3605" spans="27:104" s="4" customFormat="1" x14ac:dyDescent="0.3">
      <c r="AA3605" s="48"/>
      <c r="AB3605" s="48"/>
      <c r="AC3605" s="48"/>
      <c r="AD3605" s="48"/>
      <c r="AE3605" s="48"/>
      <c r="AF3605" s="48"/>
      <c r="AG3605" s="48"/>
      <c r="AH3605" s="48"/>
      <c r="AI3605" s="48"/>
      <c r="AJ3605" s="48"/>
      <c r="AK3605" s="48"/>
      <c r="AL3605" s="48"/>
      <c r="AM3605" s="48"/>
      <c r="AN3605" s="48"/>
      <c r="AO3605" s="48"/>
      <c r="AP3605" s="48"/>
      <c r="AQ3605" s="48"/>
      <c r="AR3605" s="48"/>
      <c r="AS3605" s="48"/>
      <c r="AT3605" s="48"/>
      <c r="AU3605" s="48"/>
      <c r="AV3605" s="48"/>
      <c r="AW3605" s="48"/>
      <c r="AX3605" s="48"/>
      <c r="AY3605" s="48"/>
      <c r="AZ3605" s="48"/>
      <c r="BA3605" s="48"/>
      <c r="BB3605" s="14"/>
      <c r="BC3605" s="48"/>
      <c r="BD3605" s="48"/>
      <c r="BE3605" s="48"/>
      <c r="BF3605" s="48"/>
      <c r="BG3605" s="48"/>
      <c r="BH3605" s="48"/>
      <c r="BI3605" s="48"/>
      <c r="BJ3605" s="48"/>
      <c r="BK3605" s="48"/>
      <c r="BL3605" s="48"/>
      <c r="BM3605" s="48"/>
      <c r="BN3605" s="48"/>
      <c r="BO3605" s="48"/>
      <c r="BP3605" s="48"/>
      <c r="BQ3605" s="48"/>
      <c r="BR3605" s="48"/>
      <c r="BS3605" s="48"/>
      <c r="BT3605" s="48"/>
      <c r="BU3605" s="48"/>
      <c r="BV3605" s="48"/>
      <c r="BW3605" s="48"/>
      <c r="BX3605" s="48"/>
      <c r="BY3605" s="48"/>
      <c r="BZ3605" s="48"/>
      <c r="CA3605" s="48"/>
      <c r="CB3605" s="48"/>
      <c r="CC3605" s="48"/>
      <c r="CD3605" s="48"/>
      <c r="CE3605" s="48"/>
      <c r="CF3605" s="48"/>
      <c r="CG3605" s="48"/>
      <c r="CH3605" s="48"/>
      <c r="CI3605" s="48"/>
      <c r="CJ3605" s="48"/>
      <c r="CK3605" s="48"/>
      <c r="CL3605" s="48"/>
      <c r="CM3605" s="48"/>
      <c r="CN3605" s="48"/>
      <c r="CO3605" s="48"/>
      <c r="CP3605" s="48"/>
      <c r="CQ3605" s="48"/>
      <c r="CR3605" s="48"/>
      <c r="CS3605" s="48"/>
      <c r="CT3605" s="48"/>
      <c r="CU3605" s="48"/>
      <c r="CV3605" s="48"/>
      <c r="CW3605" s="48"/>
      <c r="CX3605" s="48"/>
      <c r="CY3605" s="48"/>
      <c r="CZ3605" s="48"/>
    </row>
    <row r="3606" spans="27:104" s="4" customFormat="1" x14ac:dyDescent="0.3">
      <c r="AA3606" s="48"/>
      <c r="AB3606" s="48"/>
      <c r="AC3606" s="48"/>
      <c r="AD3606" s="48"/>
      <c r="AE3606" s="48"/>
      <c r="AF3606" s="48"/>
      <c r="AG3606" s="48"/>
      <c r="AH3606" s="48"/>
      <c r="AI3606" s="48"/>
      <c r="AJ3606" s="48"/>
      <c r="AK3606" s="48"/>
      <c r="AL3606" s="48"/>
      <c r="AM3606" s="48"/>
      <c r="AN3606" s="48"/>
      <c r="AO3606" s="48"/>
      <c r="AP3606" s="48"/>
      <c r="AQ3606" s="48"/>
      <c r="AR3606" s="48"/>
      <c r="AS3606" s="48"/>
      <c r="AT3606" s="48"/>
      <c r="AU3606" s="48"/>
      <c r="AV3606" s="48"/>
      <c r="AW3606" s="48"/>
      <c r="AX3606" s="48"/>
      <c r="AY3606" s="48"/>
      <c r="AZ3606" s="48"/>
      <c r="BA3606" s="48"/>
      <c r="BB3606" s="14"/>
      <c r="BC3606" s="48"/>
      <c r="BD3606" s="48"/>
      <c r="BE3606" s="48"/>
      <c r="BF3606" s="48"/>
      <c r="BG3606" s="48"/>
      <c r="BH3606" s="48"/>
      <c r="BI3606" s="48"/>
      <c r="BJ3606" s="48"/>
      <c r="BK3606" s="48"/>
      <c r="BL3606" s="48"/>
      <c r="BM3606" s="48"/>
      <c r="BN3606" s="48"/>
      <c r="BO3606" s="48"/>
      <c r="BP3606" s="48"/>
      <c r="BQ3606" s="48"/>
      <c r="BR3606" s="48"/>
      <c r="BS3606" s="48"/>
      <c r="BT3606" s="48"/>
      <c r="BU3606" s="48"/>
      <c r="BV3606" s="48"/>
      <c r="BW3606" s="48"/>
      <c r="BX3606" s="48"/>
      <c r="BY3606" s="48"/>
      <c r="BZ3606" s="48"/>
      <c r="CA3606" s="48"/>
      <c r="CB3606" s="48"/>
      <c r="CC3606" s="48"/>
      <c r="CD3606" s="48"/>
      <c r="CE3606" s="48"/>
      <c r="CF3606" s="48"/>
      <c r="CG3606" s="48"/>
      <c r="CH3606" s="48"/>
      <c r="CI3606" s="48"/>
      <c r="CJ3606" s="48"/>
      <c r="CK3606" s="48"/>
      <c r="CL3606" s="48"/>
      <c r="CM3606" s="48"/>
      <c r="CN3606" s="48"/>
      <c r="CO3606" s="48"/>
      <c r="CP3606" s="48"/>
      <c r="CQ3606" s="48"/>
      <c r="CR3606" s="48"/>
      <c r="CS3606" s="48"/>
      <c r="CT3606" s="48"/>
      <c r="CU3606" s="48"/>
      <c r="CV3606" s="48"/>
      <c r="CW3606" s="48"/>
      <c r="CX3606" s="48"/>
      <c r="CY3606" s="48"/>
      <c r="CZ3606" s="48"/>
    </row>
    <row r="3607" spans="27:104" s="4" customFormat="1" x14ac:dyDescent="0.3">
      <c r="AA3607" s="48"/>
      <c r="AB3607" s="48"/>
      <c r="AC3607" s="48"/>
      <c r="AD3607" s="48"/>
      <c r="AE3607" s="48"/>
      <c r="AF3607" s="48"/>
      <c r="AG3607" s="48"/>
      <c r="AH3607" s="48"/>
      <c r="AI3607" s="48"/>
      <c r="AJ3607" s="48"/>
      <c r="AK3607" s="48"/>
      <c r="AL3607" s="48"/>
      <c r="AM3607" s="48"/>
      <c r="AN3607" s="48"/>
      <c r="AO3607" s="48"/>
      <c r="AP3607" s="48"/>
      <c r="AQ3607" s="48"/>
      <c r="AR3607" s="48"/>
      <c r="AS3607" s="48"/>
      <c r="AT3607" s="48"/>
      <c r="AU3607" s="48"/>
      <c r="AV3607" s="48"/>
      <c r="AW3607" s="48"/>
      <c r="AX3607" s="48"/>
      <c r="AY3607" s="48"/>
      <c r="AZ3607" s="48"/>
      <c r="BA3607" s="48"/>
      <c r="BB3607" s="14"/>
      <c r="BC3607" s="48"/>
      <c r="BD3607" s="48"/>
      <c r="BE3607" s="48"/>
      <c r="BF3607" s="48"/>
      <c r="BG3607" s="48"/>
      <c r="BH3607" s="48"/>
      <c r="BI3607" s="48"/>
      <c r="BJ3607" s="48"/>
      <c r="BK3607" s="48"/>
      <c r="BL3607" s="48"/>
      <c r="BM3607" s="48"/>
      <c r="BN3607" s="48"/>
      <c r="BO3607" s="48"/>
      <c r="BP3607" s="48"/>
      <c r="BQ3607" s="48"/>
      <c r="BR3607" s="48"/>
      <c r="BS3607" s="48"/>
      <c r="BT3607" s="48"/>
      <c r="BU3607" s="48"/>
      <c r="BV3607" s="48"/>
      <c r="BW3607" s="48"/>
      <c r="BX3607" s="48"/>
      <c r="BY3607" s="48"/>
      <c r="BZ3607" s="48"/>
      <c r="CA3607" s="48"/>
      <c r="CB3607" s="48"/>
      <c r="CC3607" s="48"/>
      <c r="CD3607" s="48"/>
      <c r="CE3607" s="48"/>
      <c r="CF3607" s="48"/>
      <c r="CG3607" s="48"/>
      <c r="CH3607" s="48"/>
      <c r="CI3607" s="48"/>
      <c r="CJ3607" s="48"/>
      <c r="CK3607" s="48"/>
      <c r="CL3607" s="48"/>
      <c r="CM3607" s="48"/>
      <c r="CN3607" s="48"/>
      <c r="CO3607" s="48"/>
      <c r="CP3607" s="48"/>
      <c r="CQ3607" s="48"/>
      <c r="CR3607" s="48"/>
      <c r="CS3607" s="48"/>
      <c r="CT3607" s="48"/>
      <c r="CU3607" s="48"/>
      <c r="CV3607" s="48"/>
      <c r="CW3607" s="48"/>
      <c r="CX3607" s="48"/>
      <c r="CY3607" s="48"/>
      <c r="CZ3607" s="48"/>
    </row>
    <row r="3608" spans="27:104" s="4" customFormat="1" x14ac:dyDescent="0.3">
      <c r="AA3608" s="48"/>
      <c r="AB3608" s="48"/>
      <c r="AC3608" s="48"/>
      <c r="AD3608" s="48"/>
      <c r="AE3608" s="48"/>
      <c r="AF3608" s="48"/>
      <c r="AG3608" s="48"/>
      <c r="AH3608" s="48"/>
      <c r="AI3608" s="48"/>
      <c r="AJ3608" s="48"/>
      <c r="AK3608" s="48"/>
      <c r="AL3608" s="48"/>
      <c r="AM3608" s="48"/>
      <c r="AN3608" s="48"/>
      <c r="AO3608" s="48"/>
      <c r="AP3608" s="48"/>
      <c r="AQ3608" s="48"/>
      <c r="AR3608" s="48"/>
      <c r="AS3608" s="48"/>
      <c r="AT3608" s="48"/>
      <c r="AU3608" s="48"/>
      <c r="AV3608" s="48"/>
      <c r="AW3608" s="48"/>
      <c r="AX3608" s="48"/>
      <c r="AY3608" s="48"/>
      <c r="AZ3608" s="48"/>
      <c r="BA3608" s="48"/>
      <c r="BB3608" s="14"/>
      <c r="BC3608" s="48"/>
      <c r="BD3608" s="48"/>
      <c r="BE3608" s="48"/>
      <c r="BF3608" s="48"/>
      <c r="BG3608" s="48"/>
      <c r="BH3608" s="48"/>
      <c r="BI3608" s="48"/>
      <c r="BJ3608" s="48"/>
      <c r="BK3608" s="48"/>
      <c r="BL3608" s="48"/>
      <c r="BM3608" s="48"/>
      <c r="BN3608" s="48"/>
      <c r="BO3608" s="48"/>
      <c r="BP3608" s="48"/>
      <c r="BQ3608" s="48"/>
      <c r="BR3608" s="48"/>
      <c r="BS3608" s="48"/>
      <c r="BT3608" s="48"/>
      <c r="BU3608" s="48"/>
      <c r="BV3608" s="48"/>
      <c r="BW3608" s="48"/>
      <c r="BX3608" s="48"/>
      <c r="BY3608" s="48"/>
      <c r="BZ3608" s="48"/>
      <c r="CA3608" s="48"/>
      <c r="CB3608" s="48"/>
      <c r="CC3608" s="48"/>
      <c r="CD3608" s="48"/>
      <c r="CE3608" s="48"/>
      <c r="CF3608" s="48"/>
      <c r="CG3608" s="48"/>
      <c r="CH3608" s="48"/>
      <c r="CI3608" s="48"/>
      <c r="CJ3608" s="48"/>
      <c r="CK3608" s="48"/>
      <c r="CL3608" s="48"/>
      <c r="CM3608" s="48"/>
      <c r="CN3608" s="48"/>
      <c r="CO3608" s="48"/>
      <c r="CP3608" s="48"/>
      <c r="CQ3608" s="48"/>
      <c r="CR3608" s="48"/>
      <c r="CS3608" s="48"/>
      <c r="CT3608" s="48"/>
      <c r="CU3608" s="48"/>
      <c r="CV3608" s="48"/>
      <c r="CW3608" s="48"/>
      <c r="CX3608" s="48"/>
      <c r="CY3608" s="48"/>
      <c r="CZ3608" s="48"/>
    </row>
    <row r="3609" spans="27:104" s="4" customFormat="1" x14ac:dyDescent="0.3">
      <c r="AA3609" s="48"/>
      <c r="AB3609" s="48"/>
      <c r="AC3609" s="48"/>
      <c r="AD3609" s="48"/>
      <c r="AE3609" s="48"/>
      <c r="AF3609" s="48"/>
      <c r="AG3609" s="48"/>
      <c r="AH3609" s="48"/>
      <c r="AI3609" s="48"/>
      <c r="AJ3609" s="48"/>
      <c r="AK3609" s="48"/>
      <c r="AL3609" s="48"/>
      <c r="AM3609" s="48"/>
      <c r="AN3609" s="48"/>
      <c r="AO3609" s="48"/>
      <c r="AP3609" s="48"/>
      <c r="AQ3609" s="48"/>
      <c r="AR3609" s="48"/>
      <c r="AS3609" s="48"/>
      <c r="AT3609" s="48"/>
      <c r="AU3609" s="48"/>
      <c r="AV3609" s="48"/>
      <c r="AW3609" s="48"/>
      <c r="AX3609" s="48"/>
      <c r="AY3609" s="48"/>
      <c r="AZ3609" s="48"/>
      <c r="BA3609" s="48"/>
      <c r="BB3609" s="14"/>
      <c r="BC3609" s="48"/>
      <c r="BD3609" s="48"/>
      <c r="BE3609" s="48"/>
      <c r="BF3609" s="48"/>
      <c r="BG3609" s="48"/>
      <c r="BH3609" s="48"/>
      <c r="BI3609" s="48"/>
      <c r="BJ3609" s="48"/>
      <c r="BK3609" s="48"/>
      <c r="BL3609" s="48"/>
      <c r="BM3609" s="48"/>
      <c r="BN3609" s="48"/>
      <c r="BO3609" s="48"/>
      <c r="BP3609" s="48"/>
      <c r="BQ3609" s="48"/>
      <c r="BR3609" s="48"/>
      <c r="BS3609" s="48"/>
      <c r="BT3609" s="48"/>
      <c r="BU3609" s="48"/>
      <c r="BV3609" s="48"/>
      <c r="BW3609" s="48"/>
      <c r="BX3609" s="48"/>
      <c r="BY3609" s="48"/>
      <c r="BZ3609" s="48"/>
      <c r="CA3609" s="48"/>
      <c r="CB3609" s="48"/>
      <c r="CC3609" s="48"/>
      <c r="CD3609" s="48"/>
      <c r="CE3609" s="48"/>
      <c r="CF3609" s="48"/>
      <c r="CG3609" s="48"/>
      <c r="CH3609" s="48"/>
      <c r="CI3609" s="48"/>
      <c r="CJ3609" s="48"/>
      <c r="CK3609" s="48"/>
      <c r="CL3609" s="48"/>
      <c r="CM3609" s="48"/>
      <c r="CN3609" s="48"/>
      <c r="CO3609" s="48"/>
      <c r="CP3609" s="48"/>
      <c r="CQ3609" s="48"/>
      <c r="CR3609" s="48"/>
      <c r="CS3609" s="48"/>
      <c r="CT3609" s="48"/>
      <c r="CU3609" s="48"/>
      <c r="CV3609" s="48"/>
      <c r="CW3609" s="48"/>
      <c r="CX3609" s="48"/>
      <c r="CY3609" s="48"/>
      <c r="CZ3609" s="48"/>
    </row>
    <row r="3610" spans="27:104" s="4" customFormat="1" x14ac:dyDescent="0.3">
      <c r="AA3610" s="48"/>
      <c r="AB3610" s="48"/>
      <c r="AC3610" s="48"/>
      <c r="AD3610" s="48"/>
      <c r="AE3610" s="48"/>
      <c r="AF3610" s="48"/>
      <c r="AG3610" s="48"/>
      <c r="AH3610" s="48"/>
      <c r="AI3610" s="48"/>
      <c r="AJ3610" s="48"/>
      <c r="AK3610" s="48"/>
      <c r="AL3610" s="48"/>
      <c r="AM3610" s="48"/>
      <c r="AN3610" s="48"/>
      <c r="AO3610" s="48"/>
      <c r="AP3610" s="48"/>
      <c r="AQ3610" s="48"/>
      <c r="AR3610" s="48"/>
      <c r="AS3610" s="48"/>
      <c r="AT3610" s="48"/>
      <c r="AU3610" s="48"/>
      <c r="AV3610" s="48"/>
      <c r="AW3610" s="48"/>
      <c r="AX3610" s="48"/>
      <c r="AY3610" s="48"/>
      <c r="AZ3610" s="48"/>
      <c r="BA3610" s="48"/>
      <c r="BB3610" s="14"/>
      <c r="BC3610" s="48"/>
      <c r="BD3610" s="48"/>
      <c r="BE3610" s="48"/>
      <c r="BF3610" s="48"/>
      <c r="BG3610" s="48"/>
      <c r="BH3610" s="48"/>
      <c r="BI3610" s="48"/>
      <c r="BJ3610" s="48"/>
      <c r="BK3610" s="48"/>
      <c r="BL3610" s="48"/>
      <c r="BM3610" s="48"/>
      <c r="BN3610" s="48"/>
      <c r="BO3610" s="48"/>
      <c r="BP3610" s="48"/>
      <c r="BQ3610" s="48"/>
      <c r="BR3610" s="48"/>
      <c r="BS3610" s="48"/>
      <c r="BT3610" s="48"/>
      <c r="BU3610" s="48"/>
      <c r="BV3610" s="48"/>
      <c r="BW3610" s="48"/>
      <c r="BX3610" s="48"/>
      <c r="BY3610" s="48"/>
      <c r="BZ3610" s="48"/>
      <c r="CA3610" s="48"/>
      <c r="CB3610" s="48"/>
      <c r="CC3610" s="48"/>
      <c r="CD3610" s="48"/>
      <c r="CE3610" s="48"/>
      <c r="CF3610" s="48"/>
      <c r="CG3610" s="48"/>
      <c r="CH3610" s="48"/>
      <c r="CI3610" s="48"/>
      <c r="CJ3610" s="48"/>
      <c r="CK3610" s="48"/>
      <c r="CL3610" s="48"/>
      <c r="CM3610" s="48"/>
      <c r="CN3610" s="48"/>
      <c r="CO3610" s="48"/>
      <c r="CP3610" s="48"/>
      <c r="CQ3610" s="48"/>
      <c r="CR3610" s="48"/>
      <c r="CS3610" s="48"/>
      <c r="CT3610" s="48"/>
      <c r="CU3610" s="48"/>
      <c r="CV3610" s="48"/>
      <c r="CW3610" s="48"/>
      <c r="CX3610" s="48"/>
      <c r="CY3610" s="48"/>
      <c r="CZ3610" s="48"/>
    </row>
    <row r="3611" spans="27:104" s="4" customFormat="1" x14ac:dyDescent="0.3">
      <c r="AA3611" s="48"/>
      <c r="AB3611" s="48"/>
      <c r="AC3611" s="48"/>
      <c r="AD3611" s="48"/>
      <c r="AE3611" s="48"/>
      <c r="AF3611" s="48"/>
      <c r="AG3611" s="48"/>
      <c r="AH3611" s="48"/>
      <c r="AI3611" s="48"/>
      <c r="AJ3611" s="48"/>
      <c r="AK3611" s="48"/>
      <c r="AL3611" s="48"/>
      <c r="AM3611" s="48"/>
      <c r="AN3611" s="48"/>
      <c r="AO3611" s="48"/>
      <c r="AP3611" s="48"/>
      <c r="AQ3611" s="48"/>
      <c r="AR3611" s="48"/>
      <c r="AS3611" s="48"/>
      <c r="AT3611" s="48"/>
      <c r="AU3611" s="48"/>
      <c r="AV3611" s="48"/>
      <c r="AW3611" s="48"/>
      <c r="AX3611" s="48"/>
      <c r="AY3611" s="48"/>
      <c r="AZ3611" s="48"/>
      <c r="BA3611" s="48"/>
      <c r="BB3611" s="14"/>
      <c r="BC3611" s="48"/>
      <c r="BD3611" s="48"/>
      <c r="BE3611" s="48"/>
      <c r="BF3611" s="48"/>
      <c r="BG3611" s="48"/>
      <c r="BH3611" s="48"/>
      <c r="BI3611" s="48"/>
      <c r="BJ3611" s="48"/>
      <c r="BK3611" s="48"/>
      <c r="BL3611" s="48"/>
      <c r="BM3611" s="48"/>
      <c r="BN3611" s="48"/>
      <c r="BO3611" s="48"/>
      <c r="BP3611" s="48"/>
      <c r="BQ3611" s="48"/>
      <c r="BR3611" s="48"/>
      <c r="BS3611" s="48"/>
      <c r="BT3611" s="48"/>
      <c r="BU3611" s="48"/>
      <c r="BV3611" s="48"/>
      <c r="BW3611" s="48"/>
      <c r="BX3611" s="48"/>
      <c r="BY3611" s="48"/>
      <c r="BZ3611" s="48"/>
      <c r="CA3611" s="48"/>
      <c r="CB3611" s="48"/>
      <c r="CC3611" s="48"/>
      <c r="CD3611" s="48"/>
      <c r="CE3611" s="48"/>
      <c r="CF3611" s="48"/>
      <c r="CG3611" s="48"/>
      <c r="CH3611" s="48"/>
      <c r="CI3611" s="48"/>
      <c r="CJ3611" s="48"/>
      <c r="CK3611" s="48"/>
      <c r="CL3611" s="48"/>
      <c r="CM3611" s="48"/>
      <c r="CN3611" s="48"/>
      <c r="CO3611" s="48"/>
      <c r="CP3611" s="48"/>
      <c r="CQ3611" s="48"/>
      <c r="CR3611" s="48"/>
      <c r="CS3611" s="48"/>
      <c r="CT3611" s="48"/>
      <c r="CU3611" s="48"/>
      <c r="CV3611" s="48"/>
      <c r="CW3611" s="48"/>
      <c r="CX3611" s="48"/>
      <c r="CY3611" s="48"/>
      <c r="CZ3611" s="48"/>
    </row>
    <row r="3612" spans="27:104" s="4" customFormat="1" x14ac:dyDescent="0.3">
      <c r="AA3612" s="48"/>
      <c r="AB3612" s="48"/>
      <c r="AC3612" s="48"/>
      <c r="AD3612" s="48"/>
      <c r="AE3612" s="48"/>
      <c r="AF3612" s="48"/>
      <c r="AG3612" s="48"/>
      <c r="AH3612" s="48"/>
      <c r="AI3612" s="48"/>
      <c r="AJ3612" s="48"/>
      <c r="AK3612" s="48"/>
      <c r="AL3612" s="48"/>
      <c r="AM3612" s="48"/>
      <c r="AN3612" s="48"/>
      <c r="AO3612" s="48"/>
      <c r="AP3612" s="48"/>
      <c r="AQ3612" s="48"/>
      <c r="AR3612" s="48"/>
      <c r="AS3612" s="48"/>
      <c r="AT3612" s="48"/>
      <c r="AU3612" s="48"/>
      <c r="AV3612" s="48"/>
      <c r="AW3612" s="48"/>
      <c r="AX3612" s="48"/>
      <c r="AY3612" s="48"/>
      <c r="AZ3612" s="48"/>
      <c r="BA3612" s="48"/>
      <c r="BB3612" s="14"/>
      <c r="BC3612" s="48"/>
      <c r="BD3612" s="48"/>
      <c r="BE3612" s="48"/>
      <c r="BF3612" s="48"/>
      <c r="BG3612" s="48"/>
      <c r="BH3612" s="48"/>
      <c r="BI3612" s="48"/>
      <c r="BJ3612" s="48"/>
      <c r="BK3612" s="48"/>
      <c r="BL3612" s="48"/>
      <c r="BM3612" s="48"/>
      <c r="BN3612" s="48"/>
      <c r="BO3612" s="48"/>
      <c r="BP3612" s="48"/>
      <c r="BQ3612" s="48"/>
      <c r="BR3612" s="48"/>
      <c r="BS3612" s="48"/>
      <c r="BT3612" s="48"/>
      <c r="BU3612" s="48"/>
      <c r="BV3612" s="48"/>
      <c r="BW3612" s="48"/>
      <c r="BX3612" s="48"/>
      <c r="BY3612" s="48"/>
      <c r="BZ3612" s="48"/>
      <c r="CA3612" s="48"/>
      <c r="CB3612" s="48"/>
      <c r="CC3612" s="48"/>
      <c r="CD3612" s="48"/>
      <c r="CE3612" s="48"/>
      <c r="CF3612" s="48"/>
      <c r="CG3612" s="48"/>
      <c r="CH3612" s="48"/>
      <c r="CI3612" s="48"/>
      <c r="CJ3612" s="48"/>
      <c r="CK3612" s="48"/>
      <c r="CL3612" s="48"/>
      <c r="CM3612" s="48"/>
      <c r="CN3612" s="48"/>
      <c r="CO3612" s="48"/>
      <c r="CP3612" s="48"/>
      <c r="CQ3612" s="48"/>
      <c r="CR3612" s="48"/>
      <c r="CS3612" s="48"/>
      <c r="CT3612" s="48"/>
      <c r="CU3612" s="48"/>
      <c r="CV3612" s="48"/>
      <c r="CW3612" s="48"/>
      <c r="CX3612" s="48"/>
      <c r="CY3612" s="48"/>
      <c r="CZ3612" s="48"/>
    </row>
    <row r="3613" spans="27:104" s="4" customFormat="1" x14ac:dyDescent="0.3">
      <c r="AA3613" s="48"/>
      <c r="AB3613" s="48"/>
      <c r="AC3613" s="48"/>
      <c r="AD3613" s="48"/>
      <c r="AE3613" s="48"/>
      <c r="AF3613" s="48"/>
      <c r="AG3613" s="48"/>
      <c r="AH3613" s="48"/>
      <c r="AI3613" s="48"/>
      <c r="AJ3613" s="48"/>
      <c r="AK3613" s="48"/>
      <c r="AL3613" s="48"/>
      <c r="AM3613" s="48"/>
      <c r="AN3613" s="48"/>
      <c r="AO3613" s="48"/>
      <c r="AP3613" s="48"/>
      <c r="AQ3613" s="48"/>
      <c r="AR3613" s="48"/>
      <c r="AS3613" s="48"/>
      <c r="AT3613" s="48"/>
      <c r="AU3613" s="48"/>
      <c r="AV3613" s="48"/>
      <c r="AW3613" s="48"/>
      <c r="AX3613" s="48"/>
      <c r="AY3613" s="48"/>
      <c r="AZ3613" s="48"/>
      <c r="BA3613" s="48"/>
      <c r="BB3613" s="14"/>
      <c r="BC3613" s="48"/>
      <c r="BD3613" s="48"/>
      <c r="BE3613" s="48"/>
      <c r="BF3613" s="48"/>
      <c r="BG3613" s="48"/>
      <c r="BH3613" s="48"/>
      <c r="BI3613" s="48"/>
      <c r="BJ3613" s="48"/>
      <c r="BK3613" s="48"/>
      <c r="BL3613" s="48"/>
      <c r="BM3613" s="48"/>
      <c r="BN3613" s="48"/>
      <c r="BO3613" s="48"/>
      <c r="BP3613" s="48"/>
      <c r="BQ3613" s="48"/>
      <c r="BR3613" s="48"/>
      <c r="BS3613" s="48"/>
      <c r="BT3613" s="48"/>
      <c r="BU3613" s="48"/>
      <c r="BV3613" s="48"/>
      <c r="BW3613" s="48"/>
      <c r="BX3613" s="48"/>
      <c r="BY3613" s="48"/>
      <c r="BZ3613" s="48"/>
      <c r="CA3613" s="48"/>
      <c r="CB3613" s="48"/>
      <c r="CC3613" s="48"/>
      <c r="CD3613" s="48"/>
      <c r="CE3613" s="48"/>
      <c r="CF3613" s="48"/>
      <c r="CG3613" s="48"/>
      <c r="CH3613" s="48"/>
      <c r="CI3613" s="48"/>
      <c r="CJ3613" s="48"/>
      <c r="CK3613" s="48"/>
      <c r="CL3613" s="48"/>
      <c r="CM3613" s="48"/>
      <c r="CN3613" s="48"/>
      <c r="CO3613" s="48"/>
      <c r="CP3613" s="48"/>
      <c r="CQ3613" s="48"/>
      <c r="CR3613" s="48"/>
      <c r="CS3613" s="48"/>
      <c r="CT3613" s="48"/>
      <c r="CU3613" s="48"/>
      <c r="CV3613" s="48"/>
      <c r="CW3613" s="48"/>
      <c r="CX3613" s="48"/>
      <c r="CY3613" s="48"/>
      <c r="CZ3613" s="48"/>
    </row>
    <row r="3614" spans="27:104" s="4" customFormat="1" x14ac:dyDescent="0.3">
      <c r="AA3614" s="48"/>
      <c r="AB3614" s="48"/>
      <c r="AC3614" s="48"/>
      <c r="AD3614" s="48"/>
      <c r="AE3614" s="48"/>
      <c r="AF3614" s="48"/>
      <c r="AG3614" s="48"/>
      <c r="AH3614" s="48"/>
      <c r="AI3614" s="48"/>
      <c r="AJ3614" s="48"/>
      <c r="AK3614" s="48"/>
      <c r="AL3614" s="48"/>
      <c r="AM3614" s="48"/>
      <c r="AN3614" s="48"/>
      <c r="AO3614" s="48"/>
      <c r="AP3614" s="48"/>
      <c r="AQ3614" s="48"/>
      <c r="AR3614" s="48"/>
      <c r="AS3614" s="48"/>
      <c r="AT3614" s="48"/>
      <c r="AU3614" s="48"/>
      <c r="AV3614" s="48"/>
      <c r="AW3614" s="48"/>
      <c r="AX3614" s="48"/>
      <c r="AY3614" s="48"/>
      <c r="AZ3614" s="48"/>
      <c r="BA3614" s="48"/>
      <c r="BB3614" s="14"/>
      <c r="BC3614" s="48"/>
      <c r="BD3614" s="48"/>
      <c r="BE3614" s="48"/>
      <c r="BF3614" s="48"/>
      <c r="BG3614" s="48"/>
      <c r="BH3614" s="48"/>
      <c r="BI3614" s="48"/>
      <c r="BJ3614" s="48"/>
      <c r="BK3614" s="48"/>
      <c r="BL3614" s="48"/>
      <c r="BM3614" s="48"/>
      <c r="BN3614" s="48"/>
      <c r="BO3614" s="48"/>
      <c r="BP3614" s="48"/>
      <c r="BQ3614" s="48"/>
      <c r="BR3614" s="48"/>
      <c r="BS3614" s="48"/>
      <c r="BT3614" s="48"/>
      <c r="BU3614" s="48"/>
      <c r="BV3614" s="48"/>
      <c r="BW3614" s="48"/>
      <c r="BX3614" s="48"/>
      <c r="BY3614" s="48"/>
      <c r="BZ3614" s="48"/>
      <c r="CA3614" s="48"/>
      <c r="CB3614" s="48"/>
      <c r="CC3614" s="48"/>
      <c r="CD3614" s="48"/>
      <c r="CE3614" s="48"/>
      <c r="CF3614" s="48"/>
      <c r="CG3614" s="48"/>
      <c r="CH3614" s="48"/>
      <c r="CI3614" s="48"/>
      <c r="CJ3614" s="48"/>
      <c r="CK3614" s="48"/>
      <c r="CL3614" s="48"/>
      <c r="CM3614" s="48"/>
      <c r="CN3614" s="48"/>
      <c r="CO3614" s="48"/>
      <c r="CP3614" s="48"/>
      <c r="CQ3614" s="48"/>
      <c r="CR3614" s="48"/>
      <c r="CS3614" s="48"/>
      <c r="CT3614" s="48"/>
      <c r="CU3614" s="48"/>
      <c r="CV3614" s="48"/>
      <c r="CW3614" s="48"/>
      <c r="CX3614" s="48"/>
      <c r="CY3614" s="48"/>
      <c r="CZ3614" s="48"/>
    </row>
    <row r="3615" spans="27:104" s="4" customFormat="1" x14ac:dyDescent="0.3">
      <c r="AA3615" s="48"/>
      <c r="AB3615" s="48"/>
      <c r="AC3615" s="48"/>
      <c r="AD3615" s="48"/>
      <c r="AE3615" s="48"/>
      <c r="AF3615" s="48"/>
      <c r="AG3615" s="48"/>
      <c r="AH3615" s="48"/>
      <c r="AI3615" s="48"/>
      <c r="AJ3615" s="48"/>
      <c r="AK3615" s="48"/>
      <c r="AL3615" s="48"/>
      <c r="AM3615" s="48"/>
      <c r="AN3615" s="48"/>
      <c r="AO3615" s="48"/>
      <c r="AP3615" s="48"/>
      <c r="AQ3615" s="48"/>
      <c r="AR3615" s="48"/>
      <c r="AS3615" s="48"/>
      <c r="AT3615" s="48"/>
      <c r="AU3615" s="48"/>
      <c r="AV3615" s="48"/>
      <c r="AW3615" s="48"/>
      <c r="AX3615" s="48"/>
      <c r="AY3615" s="48"/>
      <c r="AZ3615" s="48"/>
      <c r="BA3615" s="48"/>
      <c r="BB3615" s="14"/>
      <c r="BC3615" s="48"/>
      <c r="BD3615" s="48"/>
      <c r="BE3615" s="48"/>
      <c r="BF3615" s="48"/>
      <c r="BG3615" s="48"/>
      <c r="BH3615" s="48"/>
      <c r="BI3615" s="48"/>
      <c r="BJ3615" s="48"/>
      <c r="BK3615" s="48"/>
      <c r="BL3615" s="48"/>
      <c r="BM3615" s="48"/>
      <c r="BN3615" s="48"/>
      <c r="BO3615" s="48"/>
      <c r="BP3615" s="48"/>
      <c r="BQ3615" s="48"/>
      <c r="BR3615" s="48"/>
      <c r="BS3615" s="48"/>
      <c r="BT3615" s="48"/>
      <c r="BU3615" s="48"/>
      <c r="BV3615" s="48"/>
      <c r="BW3615" s="48"/>
      <c r="BX3615" s="48"/>
      <c r="BY3615" s="48"/>
      <c r="BZ3615" s="48"/>
      <c r="CA3615" s="48"/>
      <c r="CB3615" s="48"/>
      <c r="CC3615" s="48"/>
      <c r="CD3615" s="48"/>
      <c r="CE3615" s="48"/>
      <c r="CF3615" s="48"/>
      <c r="CG3615" s="48"/>
      <c r="CH3615" s="48"/>
      <c r="CI3615" s="48"/>
      <c r="CJ3615" s="48"/>
      <c r="CK3615" s="48"/>
      <c r="CL3615" s="48"/>
      <c r="CM3615" s="48"/>
      <c r="CN3615" s="48"/>
      <c r="CO3615" s="48"/>
      <c r="CP3615" s="48"/>
      <c r="CQ3615" s="48"/>
      <c r="CR3615" s="48"/>
      <c r="CS3615" s="48"/>
      <c r="CT3615" s="48"/>
      <c r="CU3615" s="48"/>
      <c r="CV3615" s="48"/>
      <c r="CW3615" s="48"/>
      <c r="CX3615" s="48"/>
      <c r="CY3615" s="48"/>
      <c r="CZ3615" s="48"/>
    </row>
    <row r="3616" spans="27:104" s="4" customFormat="1" x14ac:dyDescent="0.3">
      <c r="AA3616" s="48"/>
      <c r="AB3616" s="48"/>
      <c r="AC3616" s="48"/>
      <c r="AD3616" s="48"/>
      <c r="AE3616" s="48"/>
      <c r="AF3616" s="48"/>
      <c r="AG3616" s="48"/>
      <c r="AH3616" s="48"/>
      <c r="AI3616" s="48"/>
      <c r="AJ3616" s="48"/>
      <c r="AK3616" s="48"/>
      <c r="AL3616" s="48"/>
      <c r="AM3616" s="48"/>
      <c r="AN3616" s="48"/>
      <c r="AO3616" s="48"/>
      <c r="AP3616" s="48"/>
      <c r="AQ3616" s="48"/>
      <c r="AR3616" s="48"/>
      <c r="AS3616" s="48"/>
      <c r="AT3616" s="48"/>
      <c r="AU3616" s="48"/>
      <c r="AV3616" s="48"/>
      <c r="AW3616" s="48"/>
      <c r="AX3616" s="48"/>
      <c r="AY3616" s="48"/>
      <c r="AZ3616" s="48"/>
      <c r="BA3616" s="48"/>
      <c r="BB3616" s="14"/>
      <c r="BC3616" s="48"/>
      <c r="BD3616" s="48"/>
      <c r="BE3616" s="48"/>
      <c r="BF3616" s="48"/>
      <c r="BG3616" s="48"/>
      <c r="BH3616" s="48"/>
      <c r="BI3616" s="48"/>
      <c r="BJ3616" s="48"/>
      <c r="BK3616" s="48"/>
      <c r="BL3616" s="48"/>
      <c r="BM3616" s="48"/>
      <c r="BN3616" s="48"/>
      <c r="BO3616" s="48"/>
      <c r="BP3616" s="48"/>
      <c r="BQ3616" s="48"/>
      <c r="BR3616" s="48"/>
      <c r="BS3616" s="48"/>
      <c r="BT3616" s="48"/>
      <c r="BU3616" s="48"/>
      <c r="BV3616" s="48"/>
      <c r="BW3616" s="48"/>
      <c r="BX3616" s="48"/>
      <c r="BY3616" s="48"/>
      <c r="BZ3616" s="48"/>
      <c r="CA3616" s="48"/>
      <c r="CB3616" s="48"/>
      <c r="CC3616" s="48"/>
      <c r="CD3616" s="48"/>
      <c r="CE3616" s="48"/>
      <c r="CF3616" s="48"/>
      <c r="CG3616" s="48"/>
      <c r="CH3616" s="48"/>
      <c r="CI3616" s="48"/>
      <c r="CJ3616" s="48"/>
      <c r="CK3616" s="48"/>
      <c r="CL3616" s="48"/>
      <c r="CM3616" s="48"/>
      <c r="CN3616" s="48"/>
      <c r="CO3616" s="48"/>
      <c r="CP3616" s="48"/>
      <c r="CQ3616" s="48"/>
      <c r="CR3616" s="48"/>
      <c r="CS3616" s="48"/>
      <c r="CT3616" s="48"/>
      <c r="CU3616" s="48"/>
      <c r="CV3616" s="48"/>
      <c r="CW3616" s="48"/>
      <c r="CX3616" s="48"/>
      <c r="CY3616" s="48"/>
      <c r="CZ3616" s="48"/>
    </row>
    <row r="3617" spans="27:104" s="4" customFormat="1" x14ac:dyDescent="0.3">
      <c r="AA3617" s="48"/>
      <c r="AB3617" s="48"/>
      <c r="AC3617" s="48"/>
      <c r="AD3617" s="48"/>
      <c r="AE3617" s="48"/>
      <c r="AF3617" s="48"/>
      <c r="AG3617" s="48"/>
      <c r="AH3617" s="48"/>
      <c r="AI3617" s="48"/>
      <c r="AJ3617" s="48"/>
      <c r="AK3617" s="48"/>
      <c r="AL3617" s="48"/>
      <c r="AM3617" s="48"/>
      <c r="AN3617" s="48"/>
      <c r="AO3617" s="48"/>
      <c r="AP3617" s="48"/>
      <c r="AQ3617" s="48"/>
      <c r="AR3617" s="48"/>
      <c r="AS3617" s="48"/>
      <c r="AT3617" s="48"/>
      <c r="AU3617" s="48"/>
      <c r="AV3617" s="48"/>
      <c r="AW3617" s="48"/>
      <c r="AX3617" s="48"/>
      <c r="AY3617" s="48"/>
      <c r="AZ3617" s="48"/>
      <c r="BA3617" s="48"/>
      <c r="BB3617" s="14"/>
      <c r="BC3617" s="48"/>
      <c r="BD3617" s="48"/>
      <c r="BE3617" s="48"/>
      <c r="BF3617" s="48"/>
      <c r="BG3617" s="48"/>
      <c r="BH3617" s="48"/>
      <c r="BI3617" s="48"/>
      <c r="BJ3617" s="48"/>
      <c r="BK3617" s="48"/>
      <c r="BL3617" s="48"/>
      <c r="BM3617" s="48"/>
      <c r="BN3617" s="48"/>
      <c r="BO3617" s="48"/>
      <c r="BP3617" s="48"/>
      <c r="BQ3617" s="48"/>
      <c r="BR3617" s="48"/>
      <c r="BS3617" s="48"/>
      <c r="BT3617" s="48"/>
      <c r="BU3617" s="48"/>
      <c r="BV3617" s="48"/>
      <c r="BW3617" s="48"/>
      <c r="BX3617" s="48"/>
      <c r="BY3617" s="48"/>
      <c r="BZ3617" s="48"/>
      <c r="CA3617" s="48"/>
      <c r="CB3617" s="48"/>
      <c r="CC3617" s="48"/>
      <c r="CD3617" s="48"/>
      <c r="CE3617" s="48"/>
      <c r="CF3617" s="48"/>
      <c r="CG3617" s="48"/>
      <c r="CH3617" s="48"/>
      <c r="CI3617" s="48"/>
      <c r="CJ3617" s="48"/>
      <c r="CK3617" s="48"/>
      <c r="CL3617" s="48"/>
      <c r="CM3617" s="48"/>
      <c r="CN3617" s="48"/>
      <c r="CO3617" s="48"/>
      <c r="CP3617" s="48"/>
      <c r="CQ3617" s="48"/>
      <c r="CR3617" s="48"/>
      <c r="CS3617" s="48"/>
      <c r="CT3617" s="48"/>
      <c r="CU3617" s="48"/>
      <c r="CV3617" s="48"/>
      <c r="CW3617" s="48"/>
      <c r="CX3617" s="48"/>
      <c r="CY3617" s="48"/>
      <c r="CZ3617" s="48"/>
    </row>
    <row r="3618" spans="27:104" s="4" customFormat="1" x14ac:dyDescent="0.3">
      <c r="AA3618" s="48"/>
      <c r="AB3618" s="48"/>
      <c r="AC3618" s="48"/>
      <c r="AD3618" s="48"/>
      <c r="AE3618" s="48"/>
      <c r="AF3618" s="48"/>
      <c r="AG3618" s="48"/>
      <c r="AH3618" s="48"/>
      <c r="AI3618" s="48"/>
      <c r="AJ3618" s="48"/>
      <c r="AK3618" s="48"/>
      <c r="AL3618" s="48"/>
      <c r="AM3618" s="48"/>
      <c r="AN3618" s="48"/>
      <c r="AO3618" s="48"/>
      <c r="AP3618" s="48"/>
      <c r="AQ3618" s="48"/>
      <c r="AR3618" s="48"/>
      <c r="AS3618" s="48"/>
      <c r="AT3618" s="48"/>
      <c r="AU3618" s="48"/>
      <c r="AV3618" s="48"/>
      <c r="AW3618" s="48"/>
      <c r="AX3618" s="48"/>
      <c r="AY3618" s="48"/>
      <c r="AZ3618" s="48"/>
      <c r="BA3618" s="48"/>
      <c r="BB3618" s="14"/>
      <c r="BC3618" s="48"/>
      <c r="BD3618" s="48"/>
      <c r="BE3618" s="48"/>
      <c r="BF3618" s="48"/>
      <c r="BG3618" s="48"/>
      <c r="BH3618" s="48"/>
      <c r="BI3618" s="48"/>
      <c r="BJ3618" s="48"/>
      <c r="BK3618" s="48"/>
      <c r="BL3618" s="48"/>
      <c r="BM3618" s="48"/>
      <c r="BN3618" s="48"/>
      <c r="BO3618" s="48"/>
      <c r="BP3618" s="48"/>
      <c r="BQ3618" s="48"/>
      <c r="BR3618" s="48"/>
      <c r="BS3618" s="48"/>
      <c r="BT3618" s="48"/>
      <c r="BU3618" s="48"/>
      <c r="BV3618" s="48"/>
      <c r="BW3618" s="48"/>
      <c r="BX3618" s="48"/>
      <c r="BY3618" s="48"/>
      <c r="BZ3618" s="48"/>
      <c r="CA3618" s="48"/>
      <c r="CB3618" s="48"/>
      <c r="CC3618" s="48"/>
      <c r="CD3618" s="48"/>
      <c r="CE3618" s="48"/>
      <c r="CF3618" s="48"/>
      <c r="CG3618" s="48"/>
      <c r="CH3618" s="48"/>
      <c r="CI3618" s="48"/>
      <c r="CJ3618" s="48"/>
      <c r="CK3618" s="48"/>
      <c r="CL3618" s="48"/>
      <c r="CM3618" s="48"/>
      <c r="CN3618" s="48"/>
      <c r="CO3618" s="48"/>
      <c r="CP3618" s="48"/>
      <c r="CQ3618" s="48"/>
      <c r="CR3618" s="48"/>
      <c r="CS3618" s="48"/>
      <c r="CT3618" s="48"/>
      <c r="CU3618" s="48"/>
      <c r="CV3618" s="48"/>
      <c r="CW3618" s="48"/>
      <c r="CX3618" s="48"/>
      <c r="CY3618" s="48"/>
      <c r="CZ3618" s="48"/>
    </row>
    <row r="3619" spans="27:104" s="4" customFormat="1" x14ac:dyDescent="0.3">
      <c r="AA3619" s="48"/>
      <c r="AB3619" s="48"/>
      <c r="AC3619" s="48"/>
      <c r="AD3619" s="48"/>
      <c r="AE3619" s="48"/>
      <c r="AF3619" s="48"/>
      <c r="AG3619" s="48"/>
      <c r="AH3619" s="48"/>
      <c r="AI3619" s="48"/>
      <c r="AJ3619" s="48"/>
      <c r="AK3619" s="48"/>
      <c r="AL3619" s="48"/>
      <c r="AM3619" s="48"/>
      <c r="AN3619" s="48"/>
      <c r="AO3619" s="48"/>
      <c r="AP3619" s="48"/>
      <c r="AQ3619" s="48"/>
      <c r="AR3619" s="48"/>
      <c r="AS3619" s="48"/>
      <c r="AT3619" s="48"/>
      <c r="AU3619" s="48"/>
      <c r="AV3619" s="48"/>
      <c r="AW3619" s="48"/>
      <c r="AX3619" s="48"/>
      <c r="AY3619" s="48"/>
      <c r="AZ3619" s="48"/>
      <c r="BA3619" s="48"/>
      <c r="BB3619" s="14"/>
      <c r="BC3619" s="48"/>
      <c r="BD3619" s="48"/>
      <c r="BE3619" s="48"/>
      <c r="BF3619" s="48"/>
      <c r="BG3619" s="48"/>
      <c r="BH3619" s="48"/>
      <c r="BI3619" s="48"/>
      <c r="BJ3619" s="48"/>
      <c r="BK3619" s="48"/>
      <c r="BL3619" s="48"/>
      <c r="BM3619" s="48"/>
      <c r="BN3619" s="48"/>
      <c r="BO3619" s="48"/>
      <c r="BP3619" s="48"/>
      <c r="BQ3619" s="48"/>
      <c r="BR3619" s="48"/>
      <c r="BS3619" s="48"/>
      <c r="BT3619" s="48"/>
      <c r="BU3619" s="48"/>
      <c r="BV3619" s="48"/>
      <c r="BW3619" s="48"/>
      <c r="BX3619" s="48"/>
      <c r="BY3619" s="48"/>
      <c r="BZ3619" s="48"/>
      <c r="CA3619" s="48"/>
      <c r="CB3619" s="48"/>
      <c r="CC3619" s="48"/>
      <c r="CD3619" s="48"/>
      <c r="CE3619" s="48"/>
      <c r="CF3619" s="48"/>
      <c r="CG3619" s="48"/>
      <c r="CH3619" s="48"/>
      <c r="CI3619" s="48"/>
      <c r="CJ3619" s="48"/>
      <c r="CK3619" s="48"/>
      <c r="CL3619" s="48"/>
      <c r="CM3619" s="48"/>
      <c r="CN3619" s="48"/>
      <c r="CO3619" s="48"/>
      <c r="CP3619" s="48"/>
      <c r="CQ3619" s="48"/>
      <c r="CR3619" s="48"/>
      <c r="CS3619" s="48"/>
      <c r="CT3619" s="48"/>
      <c r="CU3619" s="48"/>
      <c r="CV3619" s="48"/>
      <c r="CW3619" s="48"/>
      <c r="CX3619" s="48"/>
      <c r="CY3619" s="48"/>
      <c r="CZ3619" s="48"/>
    </row>
    <row r="3620" spans="27:104" s="4" customFormat="1" x14ac:dyDescent="0.3">
      <c r="AA3620" s="48"/>
      <c r="AB3620" s="48"/>
      <c r="AC3620" s="48"/>
      <c r="AD3620" s="48"/>
      <c r="AE3620" s="48"/>
      <c r="AF3620" s="48"/>
      <c r="AG3620" s="48"/>
      <c r="AH3620" s="48"/>
      <c r="AI3620" s="48"/>
      <c r="AJ3620" s="48"/>
      <c r="AK3620" s="48"/>
      <c r="AL3620" s="48"/>
      <c r="AM3620" s="48"/>
      <c r="AN3620" s="48"/>
      <c r="AO3620" s="48"/>
      <c r="AP3620" s="48"/>
      <c r="AQ3620" s="48"/>
      <c r="AR3620" s="48"/>
      <c r="AS3620" s="48"/>
      <c r="AT3620" s="48"/>
      <c r="AU3620" s="48"/>
      <c r="AV3620" s="48"/>
      <c r="AW3620" s="48"/>
      <c r="AX3620" s="48"/>
      <c r="AY3620" s="48"/>
      <c r="AZ3620" s="48"/>
      <c r="BA3620" s="48"/>
      <c r="BB3620" s="14"/>
      <c r="BC3620" s="48"/>
      <c r="BD3620" s="48"/>
      <c r="BE3620" s="48"/>
      <c r="BF3620" s="48"/>
      <c r="BG3620" s="48"/>
      <c r="BH3620" s="48"/>
      <c r="BI3620" s="48"/>
      <c r="BJ3620" s="48"/>
      <c r="BK3620" s="48"/>
      <c r="BL3620" s="48"/>
      <c r="BM3620" s="48"/>
      <c r="BN3620" s="48"/>
      <c r="BO3620" s="48"/>
      <c r="BP3620" s="48"/>
      <c r="BQ3620" s="48"/>
      <c r="BR3620" s="48"/>
      <c r="BS3620" s="48"/>
      <c r="BT3620" s="48"/>
      <c r="BU3620" s="48"/>
      <c r="BV3620" s="48"/>
      <c r="BW3620" s="48"/>
      <c r="BX3620" s="48"/>
      <c r="BY3620" s="48"/>
      <c r="BZ3620" s="48"/>
      <c r="CA3620" s="48"/>
      <c r="CB3620" s="48"/>
      <c r="CC3620" s="48"/>
      <c r="CD3620" s="48"/>
      <c r="CE3620" s="48"/>
      <c r="CF3620" s="48"/>
      <c r="CG3620" s="48"/>
      <c r="CH3620" s="48"/>
      <c r="CI3620" s="48"/>
      <c r="CJ3620" s="48"/>
      <c r="CK3620" s="48"/>
      <c r="CL3620" s="48"/>
      <c r="CM3620" s="48"/>
      <c r="CN3620" s="48"/>
      <c r="CO3620" s="48"/>
      <c r="CP3620" s="48"/>
      <c r="CQ3620" s="48"/>
      <c r="CR3620" s="48"/>
      <c r="CS3620" s="48"/>
      <c r="CT3620" s="48"/>
      <c r="CU3620" s="48"/>
      <c r="CV3620" s="48"/>
      <c r="CW3620" s="48"/>
      <c r="CX3620" s="48"/>
      <c r="CY3620" s="48"/>
      <c r="CZ3620" s="48"/>
    </row>
    <row r="3621" spans="27:104" s="4" customFormat="1" x14ac:dyDescent="0.3">
      <c r="AA3621" s="48"/>
      <c r="AB3621" s="48"/>
      <c r="AC3621" s="48"/>
      <c r="AD3621" s="48"/>
      <c r="AE3621" s="48"/>
      <c r="AF3621" s="48"/>
      <c r="AG3621" s="48"/>
      <c r="AH3621" s="48"/>
      <c r="AI3621" s="48"/>
      <c r="AJ3621" s="48"/>
      <c r="AK3621" s="48"/>
      <c r="AL3621" s="48"/>
      <c r="AM3621" s="48"/>
      <c r="AN3621" s="48"/>
      <c r="AO3621" s="48"/>
      <c r="AP3621" s="48"/>
      <c r="AQ3621" s="48"/>
      <c r="AR3621" s="48"/>
      <c r="AS3621" s="48"/>
      <c r="AT3621" s="48"/>
      <c r="AU3621" s="48"/>
      <c r="AV3621" s="48"/>
      <c r="AW3621" s="48"/>
      <c r="AX3621" s="48"/>
      <c r="AY3621" s="48"/>
      <c r="AZ3621" s="48"/>
      <c r="BA3621" s="48"/>
      <c r="BB3621" s="14"/>
      <c r="BC3621" s="48"/>
      <c r="BD3621" s="48"/>
      <c r="BE3621" s="48"/>
      <c r="BF3621" s="48"/>
      <c r="BG3621" s="48"/>
      <c r="BH3621" s="48"/>
      <c r="BI3621" s="48"/>
      <c r="BJ3621" s="48"/>
      <c r="BK3621" s="48"/>
      <c r="BL3621" s="48"/>
      <c r="BM3621" s="48"/>
      <c r="BN3621" s="48"/>
      <c r="BO3621" s="48"/>
      <c r="BP3621" s="48"/>
      <c r="BQ3621" s="48"/>
      <c r="BR3621" s="48"/>
      <c r="BS3621" s="48"/>
      <c r="BT3621" s="48"/>
      <c r="BU3621" s="48"/>
      <c r="BV3621" s="48"/>
      <c r="BW3621" s="48"/>
      <c r="BX3621" s="48"/>
      <c r="BY3621" s="48"/>
      <c r="BZ3621" s="48"/>
      <c r="CA3621" s="48"/>
      <c r="CB3621" s="48"/>
      <c r="CC3621" s="48"/>
      <c r="CD3621" s="48"/>
      <c r="CE3621" s="48"/>
      <c r="CF3621" s="48"/>
      <c r="CG3621" s="48"/>
      <c r="CH3621" s="48"/>
      <c r="CI3621" s="48"/>
      <c r="CJ3621" s="48"/>
      <c r="CK3621" s="48"/>
      <c r="CL3621" s="48"/>
      <c r="CM3621" s="48"/>
      <c r="CN3621" s="48"/>
      <c r="CO3621" s="48"/>
      <c r="CP3621" s="48"/>
      <c r="CQ3621" s="48"/>
      <c r="CR3621" s="48"/>
      <c r="CS3621" s="48"/>
      <c r="CT3621" s="48"/>
      <c r="CU3621" s="48"/>
      <c r="CV3621" s="48"/>
      <c r="CW3621" s="48"/>
      <c r="CX3621" s="48"/>
      <c r="CY3621" s="48"/>
      <c r="CZ3621" s="48"/>
    </row>
    <row r="3622" spans="27:104" s="4" customFormat="1" x14ac:dyDescent="0.3">
      <c r="AA3622" s="48"/>
      <c r="AB3622" s="48"/>
      <c r="AC3622" s="48"/>
      <c r="AD3622" s="48"/>
      <c r="AE3622" s="48"/>
      <c r="AF3622" s="48"/>
      <c r="AG3622" s="48"/>
      <c r="AH3622" s="48"/>
      <c r="AI3622" s="48"/>
      <c r="AJ3622" s="48"/>
      <c r="AK3622" s="48"/>
      <c r="AL3622" s="48"/>
      <c r="AM3622" s="48"/>
      <c r="AN3622" s="48"/>
      <c r="AO3622" s="48"/>
      <c r="AP3622" s="48"/>
      <c r="AQ3622" s="48"/>
      <c r="AR3622" s="48"/>
      <c r="AS3622" s="48"/>
      <c r="AT3622" s="48"/>
      <c r="AU3622" s="48"/>
      <c r="AV3622" s="48"/>
      <c r="AW3622" s="48"/>
      <c r="AX3622" s="48"/>
      <c r="AY3622" s="48"/>
      <c r="AZ3622" s="48"/>
      <c r="BA3622" s="48"/>
      <c r="BB3622" s="14"/>
      <c r="BC3622" s="48"/>
      <c r="BD3622" s="48"/>
      <c r="BE3622" s="48"/>
      <c r="BF3622" s="48"/>
      <c r="BG3622" s="48"/>
      <c r="BH3622" s="48"/>
      <c r="BI3622" s="48"/>
      <c r="BJ3622" s="48"/>
      <c r="BK3622" s="48"/>
      <c r="BL3622" s="48"/>
      <c r="BM3622" s="48"/>
      <c r="BN3622" s="48"/>
      <c r="BO3622" s="48"/>
      <c r="BP3622" s="48"/>
      <c r="BQ3622" s="48"/>
      <c r="BR3622" s="48"/>
      <c r="BS3622" s="48"/>
      <c r="BT3622" s="48"/>
      <c r="BU3622" s="48"/>
      <c r="BV3622" s="48"/>
      <c r="BW3622" s="48"/>
      <c r="BX3622" s="48"/>
      <c r="BY3622" s="48"/>
      <c r="BZ3622" s="48"/>
      <c r="CA3622" s="48"/>
      <c r="CB3622" s="48"/>
      <c r="CC3622" s="48"/>
      <c r="CD3622" s="48"/>
      <c r="CE3622" s="48"/>
      <c r="CF3622" s="48"/>
      <c r="CG3622" s="48"/>
      <c r="CH3622" s="48"/>
      <c r="CI3622" s="48"/>
      <c r="CJ3622" s="48"/>
      <c r="CK3622" s="48"/>
      <c r="CL3622" s="48"/>
      <c r="CM3622" s="48"/>
      <c r="CN3622" s="48"/>
      <c r="CO3622" s="48"/>
      <c r="CP3622" s="48"/>
      <c r="CQ3622" s="48"/>
      <c r="CR3622" s="48"/>
      <c r="CS3622" s="48"/>
      <c r="CT3622" s="48"/>
      <c r="CU3622" s="48"/>
      <c r="CV3622" s="48"/>
      <c r="CW3622" s="48"/>
      <c r="CX3622" s="48"/>
      <c r="CY3622" s="48"/>
      <c r="CZ3622" s="48"/>
    </row>
    <row r="3623" spans="27:104" s="4" customFormat="1" x14ac:dyDescent="0.3">
      <c r="AA3623" s="48"/>
      <c r="AB3623" s="48"/>
      <c r="AC3623" s="48"/>
      <c r="AD3623" s="48"/>
      <c r="AE3623" s="48"/>
      <c r="AF3623" s="48"/>
      <c r="AG3623" s="48"/>
      <c r="AH3623" s="48"/>
      <c r="AI3623" s="48"/>
      <c r="AJ3623" s="48"/>
      <c r="AK3623" s="48"/>
      <c r="AL3623" s="48"/>
      <c r="AM3623" s="48"/>
      <c r="AN3623" s="48"/>
      <c r="AO3623" s="48"/>
      <c r="AP3623" s="48"/>
      <c r="AQ3623" s="48"/>
      <c r="AR3623" s="48"/>
      <c r="AS3623" s="48"/>
      <c r="AT3623" s="48"/>
      <c r="AU3623" s="48"/>
      <c r="AV3623" s="48"/>
      <c r="AW3623" s="48"/>
      <c r="AX3623" s="48"/>
      <c r="AY3623" s="48"/>
      <c r="AZ3623" s="48"/>
      <c r="BA3623" s="48"/>
      <c r="BB3623" s="14"/>
      <c r="BC3623" s="48"/>
      <c r="BD3623" s="48"/>
      <c r="BE3623" s="48"/>
      <c r="BF3623" s="48"/>
      <c r="BG3623" s="48"/>
      <c r="BH3623" s="48"/>
      <c r="BI3623" s="48"/>
      <c r="BJ3623" s="48"/>
      <c r="BK3623" s="48"/>
      <c r="BL3623" s="48"/>
      <c r="BM3623" s="48"/>
      <c r="BN3623" s="48"/>
      <c r="BO3623" s="48"/>
      <c r="BP3623" s="48"/>
      <c r="BQ3623" s="48"/>
      <c r="BR3623" s="48"/>
      <c r="BS3623" s="48"/>
      <c r="BT3623" s="48"/>
      <c r="BU3623" s="48"/>
      <c r="BV3623" s="48"/>
      <c r="BW3623" s="48"/>
      <c r="BX3623" s="48"/>
      <c r="BY3623" s="48"/>
      <c r="BZ3623" s="48"/>
      <c r="CA3623" s="48"/>
      <c r="CB3623" s="48"/>
      <c r="CC3623" s="48"/>
      <c r="CD3623" s="48"/>
      <c r="CE3623" s="48"/>
      <c r="CF3623" s="48"/>
      <c r="CG3623" s="48"/>
      <c r="CH3623" s="48"/>
      <c r="CI3623" s="48"/>
      <c r="CJ3623" s="48"/>
      <c r="CK3623" s="48"/>
      <c r="CL3623" s="48"/>
      <c r="CM3623" s="48"/>
      <c r="CN3623" s="48"/>
      <c r="CO3623" s="48"/>
      <c r="CP3623" s="48"/>
      <c r="CQ3623" s="48"/>
      <c r="CR3623" s="48"/>
      <c r="CS3623" s="48"/>
      <c r="CT3623" s="48"/>
      <c r="CU3623" s="48"/>
      <c r="CV3623" s="48"/>
      <c r="CW3623" s="48"/>
      <c r="CX3623" s="48"/>
      <c r="CY3623" s="48"/>
      <c r="CZ3623" s="48"/>
    </row>
    <row r="3624" spans="27:104" s="4" customFormat="1" x14ac:dyDescent="0.3">
      <c r="AA3624" s="48"/>
      <c r="AB3624" s="48"/>
      <c r="AC3624" s="48"/>
      <c r="AD3624" s="48"/>
      <c r="AE3624" s="48"/>
      <c r="AF3624" s="48"/>
      <c r="AG3624" s="48"/>
      <c r="AH3624" s="48"/>
      <c r="AI3624" s="48"/>
      <c r="AJ3624" s="48"/>
      <c r="AK3624" s="48"/>
      <c r="AL3624" s="48"/>
      <c r="AM3624" s="48"/>
      <c r="AN3624" s="48"/>
      <c r="AO3624" s="48"/>
      <c r="AP3624" s="48"/>
      <c r="AQ3624" s="48"/>
      <c r="AR3624" s="48"/>
      <c r="AS3624" s="48"/>
      <c r="AT3624" s="48"/>
      <c r="AU3624" s="48"/>
      <c r="AV3624" s="48"/>
      <c r="AW3624" s="48"/>
      <c r="AX3624" s="48"/>
      <c r="AY3624" s="48"/>
      <c r="AZ3624" s="48"/>
      <c r="BA3624" s="48"/>
      <c r="BB3624" s="14"/>
      <c r="BC3624" s="48"/>
      <c r="BD3624" s="48"/>
      <c r="BE3624" s="48"/>
      <c r="BF3624" s="48"/>
      <c r="BG3624" s="48"/>
      <c r="BH3624" s="48"/>
      <c r="BI3624" s="48"/>
      <c r="BJ3624" s="48"/>
      <c r="BK3624" s="48"/>
      <c r="BL3624" s="48"/>
      <c r="BM3624" s="48"/>
      <c r="BN3624" s="48"/>
      <c r="BO3624" s="48"/>
      <c r="BP3624" s="48"/>
      <c r="BQ3624" s="48"/>
      <c r="BR3624" s="48"/>
      <c r="BS3624" s="48"/>
      <c r="BT3624" s="48"/>
      <c r="BU3624" s="48"/>
      <c r="BV3624" s="48"/>
      <c r="BW3624" s="48"/>
      <c r="BX3624" s="48"/>
      <c r="BY3624" s="48"/>
      <c r="BZ3624" s="48"/>
      <c r="CA3624" s="48"/>
      <c r="CB3624" s="48"/>
      <c r="CC3624" s="48"/>
      <c r="CD3624" s="48"/>
      <c r="CE3624" s="48"/>
      <c r="CF3624" s="48"/>
      <c r="CG3624" s="48"/>
      <c r="CH3624" s="48"/>
      <c r="CI3624" s="48"/>
      <c r="CJ3624" s="48"/>
      <c r="CK3624" s="48"/>
      <c r="CL3624" s="48"/>
      <c r="CM3624" s="48"/>
      <c r="CN3624" s="48"/>
      <c r="CO3624" s="48"/>
      <c r="CP3624" s="48"/>
      <c r="CQ3624" s="48"/>
      <c r="CR3624" s="48"/>
      <c r="CS3624" s="48"/>
      <c r="CT3624" s="48"/>
      <c r="CU3624" s="48"/>
      <c r="CV3624" s="48"/>
      <c r="CW3624" s="48"/>
      <c r="CX3624" s="48"/>
      <c r="CY3624" s="48"/>
      <c r="CZ3624" s="48"/>
    </row>
    <row r="3625" spans="27:104" s="4" customFormat="1" x14ac:dyDescent="0.3">
      <c r="AA3625" s="48"/>
      <c r="AB3625" s="48"/>
      <c r="AC3625" s="48"/>
      <c r="AD3625" s="48"/>
      <c r="AE3625" s="48"/>
      <c r="AF3625" s="48"/>
      <c r="AG3625" s="48"/>
      <c r="AH3625" s="48"/>
      <c r="AI3625" s="48"/>
      <c r="AJ3625" s="48"/>
      <c r="AK3625" s="48"/>
      <c r="AL3625" s="48"/>
      <c r="AM3625" s="48"/>
      <c r="AN3625" s="48"/>
      <c r="AO3625" s="48"/>
      <c r="AP3625" s="48"/>
      <c r="AQ3625" s="48"/>
      <c r="AR3625" s="48"/>
      <c r="AS3625" s="48"/>
      <c r="AT3625" s="48"/>
      <c r="AU3625" s="48"/>
      <c r="AV3625" s="48"/>
      <c r="AW3625" s="48"/>
      <c r="AX3625" s="48"/>
      <c r="AY3625" s="48"/>
      <c r="AZ3625" s="48"/>
      <c r="BA3625" s="48"/>
      <c r="BB3625" s="14"/>
      <c r="BC3625" s="48"/>
      <c r="BD3625" s="48"/>
      <c r="BE3625" s="48"/>
      <c r="BF3625" s="48"/>
      <c r="BG3625" s="48"/>
      <c r="BH3625" s="48"/>
      <c r="BI3625" s="48"/>
      <c r="BJ3625" s="48"/>
      <c r="BK3625" s="48"/>
      <c r="BL3625" s="48"/>
      <c r="BM3625" s="48"/>
      <c r="BN3625" s="48"/>
      <c r="BO3625" s="48"/>
      <c r="BP3625" s="48"/>
      <c r="BQ3625" s="48"/>
      <c r="BR3625" s="48"/>
      <c r="BS3625" s="48"/>
      <c r="BT3625" s="48"/>
      <c r="BU3625" s="48"/>
      <c r="BV3625" s="48"/>
      <c r="BW3625" s="48"/>
      <c r="BX3625" s="48"/>
      <c r="BY3625" s="48"/>
      <c r="BZ3625" s="48"/>
      <c r="CA3625" s="48"/>
      <c r="CB3625" s="48"/>
      <c r="CC3625" s="48"/>
      <c r="CD3625" s="48"/>
      <c r="CE3625" s="48"/>
      <c r="CF3625" s="48"/>
      <c r="CG3625" s="48"/>
      <c r="CH3625" s="48"/>
      <c r="CI3625" s="48"/>
      <c r="CJ3625" s="48"/>
      <c r="CK3625" s="48"/>
      <c r="CL3625" s="48"/>
      <c r="CM3625" s="48"/>
      <c r="CN3625" s="48"/>
      <c r="CO3625" s="48"/>
      <c r="CP3625" s="48"/>
      <c r="CQ3625" s="48"/>
      <c r="CR3625" s="48"/>
      <c r="CS3625" s="48"/>
      <c r="CT3625" s="48"/>
      <c r="CU3625" s="48"/>
      <c r="CV3625" s="48"/>
      <c r="CW3625" s="48"/>
      <c r="CX3625" s="48"/>
      <c r="CY3625" s="48"/>
      <c r="CZ3625" s="48"/>
    </row>
    <row r="3626" spans="27:104" s="4" customFormat="1" x14ac:dyDescent="0.3">
      <c r="AA3626" s="48"/>
      <c r="AB3626" s="48"/>
      <c r="AC3626" s="48"/>
      <c r="AD3626" s="48"/>
      <c r="AE3626" s="48"/>
      <c r="AF3626" s="48"/>
      <c r="AG3626" s="48"/>
      <c r="AH3626" s="48"/>
      <c r="AI3626" s="48"/>
      <c r="AJ3626" s="48"/>
      <c r="AK3626" s="48"/>
      <c r="AL3626" s="48"/>
      <c r="AM3626" s="48"/>
      <c r="AN3626" s="48"/>
      <c r="AO3626" s="48"/>
      <c r="AP3626" s="48"/>
      <c r="AQ3626" s="48"/>
      <c r="AR3626" s="48"/>
      <c r="AS3626" s="48"/>
      <c r="AT3626" s="48"/>
      <c r="AU3626" s="48"/>
      <c r="AV3626" s="48"/>
      <c r="AW3626" s="48"/>
      <c r="AX3626" s="48"/>
      <c r="AY3626" s="48"/>
      <c r="AZ3626" s="48"/>
      <c r="BA3626" s="48"/>
      <c r="BB3626" s="14"/>
      <c r="BC3626" s="48"/>
      <c r="BD3626" s="48"/>
      <c r="BE3626" s="48"/>
      <c r="BF3626" s="48"/>
      <c r="BG3626" s="48"/>
      <c r="BH3626" s="48"/>
      <c r="BI3626" s="48"/>
      <c r="BJ3626" s="48"/>
      <c r="BK3626" s="48"/>
      <c r="BL3626" s="48"/>
      <c r="BM3626" s="48"/>
      <c r="BN3626" s="48"/>
      <c r="BO3626" s="48"/>
      <c r="BP3626" s="48"/>
      <c r="BQ3626" s="48"/>
      <c r="BR3626" s="48"/>
      <c r="BS3626" s="48"/>
      <c r="BT3626" s="48"/>
      <c r="BU3626" s="48"/>
      <c r="BV3626" s="48"/>
      <c r="BW3626" s="48"/>
      <c r="BX3626" s="48"/>
      <c r="BY3626" s="48"/>
      <c r="BZ3626" s="48"/>
      <c r="CA3626" s="48"/>
      <c r="CB3626" s="48"/>
      <c r="CC3626" s="48"/>
      <c r="CD3626" s="48"/>
      <c r="CE3626" s="48"/>
      <c r="CF3626" s="48"/>
      <c r="CG3626" s="48"/>
      <c r="CH3626" s="48"/>
      <c r="CI3626" s="48"/>
      <c r="CJ3626" s="48"/>
      <c r="CK3626" s="48"/>
      <c r="CL3626" s="48"/>
      <c r="CM3626" s="48"/>
      <c r="CN3626" s="48"/>
      <c r="CO3626" s="48"/>
      <c r="CP3626" s="48"/>
      <c r="CQ3626" s="48"/>
      <c r="CR3626" s="48"/>
      <c r="CS3626" s="48"/>
      <c r="CT3626" s="48"/>
      <c r="CU3626" s="48"/>
      <c r="CV3626" s="48"/>
      <c r="CW3626" s="48"/>
      <c r="CX3626" s="48"/>
      <c r="CY3626" s="48"/>
      <c r="CZ3626" s="48"/>
    </row>
    <row r="3627" spans="27:104" s="4" customFormat="1" x14ac:dyDescent="0.3">
      <c r="AA3627" s="48"/>
      <c r="AB3627" s="48"/>
      <c r="AC3627" s="48"/>
      <c r="AD3627" s="48"/>
      <c r="AE3627" s="48"/>
      <c r="AF3627" s="48"/>
      <c r="AG3627" s="48"/>
      <c r="AH3627" s="48"/>
      <c r="AI3627" s="48"/>
      <c r="AJ3627" s="48"/>
      <c r="AK3627" s="48"/>
      <c r="AL3627" s="48"/>
      <c r="AM3627" s="48"/>
      <c r="AN3627" s="48"/>
      <c r="AO3627" s="48"/>
      <c r="AP3627" s="48"/>
      <c r="AQ3627" s="48"/>
      <c r="AR3627" s="48"/>
      <c r="AS3627" s="48"/>
      <c r="AT3627" s="48"/>
      <c r="AU3627" s="48"/>
      <c r="AV3627" s="48"/>
      <c r="AW3627" s="48"/>
      <c r="AX3627" s="48"/>
      <c r="AY3627" s="48"/>
      <c r="AZ3627" s="48"/>
      <c r="BA3627" s="48"/>
      <c r="BB3627" s="14"/>
      <c r="BC3627" s="48"/>
      <c r="BD3627" s="48"/>
      <c r="BE3627" s="48"/>
      <c r="BF3627" s="48"/>
      <c r="BG3627" s="48"/>
      <c r="BH3627" s="48"/>
      <c r="BI3627" s="48"/>
      <c r="BJ3627" s="48"/>
      <c r="BK3627" s="48"/>
      <c r="BL3627" s="48"/>
      <c r="BM3627" s="48"/>
      <c r="BN3627" s="48"/>
      <c r="BO3627" s="48"/>
      <c r="BP3627" s="48"/>
      <c r="BQ3627" s="48"/>
      <c r="BR3627" s="48"/>
      <c r="BS3627" s="48"/>
      <c r="BT3627" s="48"/>
      <c r="BU3627" s="48"/>
      <c r="BV3627" s="48"/>
      <c r="BW3627" s="48"/>
      <c r="BX3627" s="48"/>
      <c r="BY3627" s="48"/>
      <c r="BZ3627" s="48"/>
      <c r="CA3627" s="48"/>
      <c r="CB3627" s="48"/>
      <c r="CC3627" s="48"/>
      <c r="CD3627" s="48"/>
      <c r="CE3627" s="48"/>
      <c r="CF3627" s="48"/>
      <c r="CG3627" s="48"/>
      <c r="CH3627" s="48"/>
      <c r="CI3627" s="48"/>
      <c r="CJ3627" s="48"/>
      <c r="CK3627" s="48"/>
      <c r="CL3627" s="48"/>
      <c r="CM3627" s="48"/>
      <c r="CN3627" s="48"/>
      <c r="CO3627" s="48"/>
      <c r="CP3627" s="48"/>
      <c r="CQ3627" s="48"/>
      <c r="CR3627" s="48"/>
      <c r="CS3627" s="48"/>
      <c r="CT3627" s="48"/>
      <c r="CU3627" s="48"/>
      <c r="CV3627" s="48"/>
      <c r="CW3627" s="48"/>
      <c r="CX3627" s="48"/>
      <c r="CY3627" s="48"/>
      <c r="CZ3627" s="48"/>
    </row>
    <row r="3628" spans="27:104" s="4" customFormat="1" x14ac:dyDescent="0.3">
      <c r="AA3628" s="48"/>
      <c r="AB3628" s="48"/>
      <c r="AC3628" s="48"/>
      <c r="AD3628" s="48"/>
      <c r="AE3628" s="48"/>
      <c r="AF3628" s="48"/>
      <c r="AG3628" s="48"/>
      <c r="AH3628" s="48"/>
      <c r="AI3628" s="48"/>
      <c r="AJ3628" s="48"/>
      <c r="AK3628" s="48"/>
      <c r="AL3628" s="48"/>
      <c r="AM3628" s="48"/>
      <c r="AN3628" s="48"/>
      <c r="AO3628" s="48"/>
      <c r="AP3628" s="48"/>
      <c r="AQ3628" s="48"/>
      <c r="AR3628" s="48"/>
      <c r="AS3628" s="48"/>
      <c r="AT3628" s="48"/>
      <c r="AU3628" s="48"/>
      <c r="AV3628" s="48"/>
      <c r="AW3628" s="48"/>
      <c r="AX3628" s="48"/>
      <c r="AY3628" s="48"/>
      <c r="AZ3628" s="48"/>
      <c r="BA3628" s="48"/>
      <c r="BB3628" s="14"/>
      <c r="BC3628" s="48"/>
      <c r="BD3628" s="48"/>
      <c r="BE3628" s="48"/>
      <c r="BF3628" s="48"/>
      <c r="BG3628" s="48"/>
      <c r="BH3628" s="48"/>
      <c r="BI3628" s="48"/>
      <c r="BJ3628" s="48"/>
      <c r="BK3628" s="48"/>
      <c r="BL3628" s="48"/>
      <c r="BM3628" s="48"/>
      <c r="BN3628" s="48"/>
      <c r="BO3628" s="48"/>
      <c r="BP3628" s="48"/>
      <c r="BQ3628" s="48"/>
      <c r="BR3628" s="48"/>
      <c r="BS3628" s="48"/>
      <c r="BT3628" s="48"/>
      <c r="BU3628" s="48"/>
      <c r="BV3628" s="48"/>
      <c r="BW3628" s="48"/>
      <c r="BX3628" s="48"/>
      <c r="BY3628" s="48"/>
      <c r="BZ3628" s="48"/>
      <c r="CA3628" s="48"/>
      <c r="CB3628" s="48"/>
      <c r="CC3628" s="48"/>
      <c r="CD3628" s="48"/>
      <c r="CE3628" s="48"/>
      <c r="CF3628" s="48"/>
      <c r="CG3628" s="48"/>
      <c r="CH3628" s="48"/>
      <c r="CI3628" s="48"/>
      <c r="CJ3628" s="48"/>
      <c r="CK3628" s="48"/>
      <c r="CL3628" s="48"/>
      <c r="CM3628" s="48"/>
      <c r="CN3628" s="48"/>
      <c r="CO3628" s="48"/>
      <c r="CP3628" s="48"/>
      <c r="CQ3628" s="48"/>
      <c r="CR3628" s="48"/>
      <c r="CS3628" s="48"/>
      <c r="CT3628" s="48"/>
      <c r="CU3628" s="48"/>
      <c r="CV3628" s="48"/>
      <c r="CW3628" s="48"/>
      <c r="CX3628" s="48"/>
      <c r="CY3628" s="48"/>
      <c r="CZ3628" s="48"/>
    </row>
    <row r="3629" spans="27:104" s="4" customFormat="1" x14ac:dyDescent="0.3">
      <c r="AA3629" s="48"/>
      <c r="AB3629" s="48"/>
      <c r="AC3629" s="48"/>
      <c r="AD3629" s="48"/>
      <c r="AE3629" s="48"/>
      <c r="AF3629" s="48"/>
      <c r="AG3629" s="48"/>
      <c r="AH3629" s="48"/>
      <c r="AI3629" s="48"/>
      <c r="AJ3629" s="48"/>
      <c r="AK3629" s="48"/>
      <c r="AL3629" s="48"/>
      <c r="AM3629" s="48"/>
      <c r="AN3629" s="48"/>
      <c r="AO3629" s="48"/>
      <c r="AP3629" s="48"/>
      <c r="AQ3629" s="48"/>
      <c r="AR3629" s="48"/>
      <c r="AS3629" s="48"/>
      <c r="AT3629" s="48"/>
      <c r="AU3629" s="48"/>
      <c r="AV3629" s="48"/>
      <c r="AW3629" s="48"/>
      <c r="AX3629" s="48"/>
      <c r="AY3629" s="48"/>
      <c r="AZ3629" s="48"/>
      <c r="BA3629" s="48"/>
      <c r="BB3629" s="14"/>
      <c r="BC3629" s="48"/>
      <c r="BD3629" s="48"/>
      <c r="BE3629" s="48"/>
      <c r="BF3629" s="48"/>
      <c r="BG3629" s="48"/>
      <c r="BH3629" s="48"/>
      <c r="BI3629" s="48"/>
      <c r="BJ3629" s="48"/>
      <c r="BK3629" s="48"/>
      <c r="BL3629" s="48"/>
      <c r="BM3629" s="48"/>
      <c r="BN3629" s="48"/>
      <c r="BO3629" s="48"/>
      <c r="BP3629" s="48"/>
      <c r="BQ3629" s="48"/>
      <c r="BR3629" s="48"/>
      <c r="BS3629" s="48"/>
      <c r="BT3629" s="48"/>
      <c r="BU3629" s="48"/>
      <c r="BV3629" s="48"/>
      <c r="BW3629" s="48"/>
      <c r="BX3629" s="48"/>
      <c r="BY3629" s="48"/>
      <c r="BZ3629" s="48"/>
      <c r="CA3629" s="48"/>
      <c r="CB3629" s="48"/>
      <c r="CC3629" s="48"/>
      <c r="CD3629" s="48"/>
      <c r="CE3629" s="48"/>
      <c r="CF3629" s="48"/>
      <c r="CG3629" s="48"/>
      <c r="CH3629" s="48"/>
      <c r="CI3629" s="48"/>
      <c r="CJ3629" s="48"/>
      <c r="CK3629" s="48"/>
      <c r="CL3629" s="48"/>
      <c r="CM3629" s="48"/>
      <c r="CN3629" s="48"/>
      <c r="CO3629" s="48"/>
      <c r="CP3629" s="48"/>
      <c r="CQ3629" s="48"/>
      <c r="CR3629" s="48"/>
      <c r="CS3629" s="48"/>
      <c r="CT3629" s="48"/>
      <c r="CU3629" s="48"/>
      <c r="CV3629" s="48"/>
      <c r="CW3629" s="48"/>
      <c r="CX3629" s="48"/>
      <c r="CY3629" s="48"/>
      <c r="CZ3629" s="48"/>
    </row>
    <row r="3630" spans="27:104" s="4" customFormat="1" x14ac:dyDescent="0.3">
      <c r="AA3630" s="48"/>
      <c r="AB3630" s="48"/>
      <c r="AC3630" s="48"/>
      <c r="AD3630" s="48"/>
      <c r="AE3630" s="48"/>
      <c r="AF3630" s="48"/>
      <c r="AG3630" s="48"/>
      <c r="AH3630" s="48"/>
      <c r="AI3630" s="48"/>
      <c r="AJ3630" s="48"/>
      <c r="AK3630" s="48"/>
      <c r="AL3630" s="48"/>
      <c r="AM3630" s="48"/>
      <c r="AN3630" s="48"/>
      <c r="AO3630" s="48"/>
      <c r="AP3630" s="48"/>
      <c r="AQ3630" s="48"/>
      <c r="AR3630" s="48"/>
      <c r="AS3630" s="48"/>
      <c r="AT3630" s="48"/>
      <c r="AU3630" s="48"/>
      <c r="AV3630" s="48"/>
      <c r="AW3630" s="48"/>
      <c r="AX3630" s="48"/>
      <c r="AY3630" s="48"/>
      <c r="AZ3630" s="48"/>
      <c r="BA3630" s="48"/>
      <c r="BB3630" s="14"/>
      <c r="BC3630" s="48"/>
      <c r="BD3630" s="48"/>
      <c r="BE3630" s="48"/>
      <c r="BF3630" s="48"/>
      <c r="BG3630" s="48"/>
      <c r="BH3630" s="48"/>
      <c r="BI3630" s="48"/>
      <c r="BJ3630" s="48"/>
      <c r="BK3630" s="48"/>
      <c r="BL3630" s="48"/>
      <c r="BM3630" s="48"/>
      <c r="BN3630" s="48"/>
      <c r="BO3630" s="48"/>
      <c r="BP3630" s="48"/>
      <c r="BQ3630" s="48"/>
      <c r="BR3630" s="48"/>
      <c r="BS3630" s="48"/>
      <c r="BT3630" s="48"/>
      <c r="BU3630" s="48"/>
      <c r="BV3630" s="48"/>
      <c r="BW3630" s="48"/>
      <c r="BX3630" s="48"/>
      <c r="BY3630" s="48"/>
      <c r="BZ3630" s="48"/>
      <c r="CA3630" s="48"/>
      <c r="CB3630" s="48"/>
      <c r="CC3630" s="48"/>
      <c r="CD3630" s="48"/>
      <c r="CE3630" s="48"/>
      <c r="CF3630" s="48"/>
      <c r="CG3630" s="48"/>
      <c r="CH3630" s="48"/>
      <c r="CI3630" s="48"/>
      <c r="CJ3630" s="48"/>
      <c r="CK3630" s="48"/>
      <c r="CL3630" s="48"/>
      <c r="CM3630" s="48"/>
      <c r="CN3630" s="48"/>
      <c r="CO3630" s="48"/>
      <c r="CP3630" s="48"/>
      <c r="CQ3630" s="48"/>
      <c r="CR3630" s="48"/>
      <c r="CS3630" s="48"/>
      <c r="CT3630" s="48"/>
      <c r="CU3630" s="48"/>
      <c r="CV3630" s="48"/>
      <c r="CW3630" s="48"/>
      <c r="CX3630" s="48"/>
      <c r="CY3630" s="48"/>
      <c r="CZ3630" s="48"/>
    </row>
    <row r="3631" spans="27:104" s="4" customFormat="1" x14ac:dyDescent="0.3">
      <c r="AA3631" s="48"/>
      <c r="AB3631" s="48"/>
      <c r="AC3631" s="48"/>
      <c r="AD3631" s="48"/>
      <c r="AE3631" s="48"/>
      <c r="AF3631" s="48"/>
      <c r="AG3631" s="48"/>
      <c r="AH3631" s="48"/>
      <c r="AI3631" s="48"/>
      <c r="AJ3631" s="48"/>
      <c r="AK3631" s="48"/>
      <c r="AL3631" s="48"/>
      <c r="AM3631" s="48"/>
      <c r="AN3631" s="48"/>
      <c r="AO3631" s="48"/>
      <c r="AP3631" s="48"/>
      <c r="AQ3631" s="48"/>
      <c r="AR3631" s="48"/>
      <c r="AS3631" s="48"/>
      <c r="AT3631" s="48"/>
      <c r="AU3631" s="48"/>
      <c r="AV3631" s="48"/>
      <c r="AW3631" s="48"/>
      <c r="AX3631" s="48"/>
      <c r="AY3631" s="48"/>
      <c r="AZ3631" s="48"/>
      <c r="BA3631" s="48"/>
      <c r="BB3631" s="14"/>
      <c r="BC3631" s="48"/>
      <c r="BD3631" s="48"/>
      <c r="BE3631" s="48"/>
      <c r="BF3631" s="48"/>
      <c r="BG3631" s="48"/>
      <c r="BH3631" s="48"/>
      <c r="BI3631" s="48"/>
      <c r="BJ3631" s="48"/>
      <c r="BK3631" s="48"/>
      <c r="BL3631" s="48"/>
      <c r="BM3631" s="48"/>
      <c r="BN3631" s="48"/>
      <c r="BO3631" s="48"/>
      <c r="BP3631" s="48"/>
      <c r="BQ3631" s="48"/>
      <c r="BR3631" s="48"/>
      <c r="BS3631" s="48"/>
      <c r="BT3631" s="48"/>
      <c r="BU3631" s="48"/>
      <c r="BV3631" s="48"/>
      <c r="BW3631" s="48"/>
      <c r="BX3631" s="48"/>
      <c r="BY3631" s="48"/>
      <c r="BZ3631" s="48"/>
      <c r="CA3631" s="48"/>
      <c r="CB3631" s="48"/>
      <c r="CC3631" s="48"/>
      <c r="CD3631" s="48"/>
      <c r="CE3631" s="48"/>
      <c r="CF3631" s="48"/>
      <c r="CG3631" s="48"/>
      <c r="CH3631" s="48"/>
      <c r="CI3631" s="48"/>
      <c r="CJ3631" s="48"/>
      <c r="CK3631" s="48"/>
      <c r="CL3631" s="48"/>
      <c r="CM3631" s="48"/>
      <c r="CN3631" s="48"/>
      <c r="CO3631" s="48"/>
      <c r="CP3631" s="48"/>
      <c r="CQ3631" s="48"/>
      <c r="CR3631" s="48"/>
      <c r="CS3631" s="48"/>
      <c r="CT3631" s="48"/>
      <c r="CU3631" s="48"/>
      <c r="CV3631" s="48"/>
      <c r="CW3631" s="48"/>
      <c r="CX3631" s="48"/>
      <c r="CY3631" s="48"/>
      <c r="CZ3631" s="48"/>
    </row>
    <row r="3632" spans="27:104" s="4" customFormat="1" x14ac:dyDescent="0.3">
      <c r="AA3632" s="48"/>
      <c r="AB3632" s="48"/>
      <c r="AC3632" s="48"/>
      <c r="AD3632" s="48"/>
      <c r="AE3632" s="48"/>
      <c r="AF3632" s="48"/>
      <c r="AG3632" s="48"/>
      <c r="AH3632" s="48"/>
      <c r="AI3632" s="48"/>
      <c r="AJ3632" s="48"/>
      <c r="AK3632" s="48"/>
      <c r="AL3632" s="48"/>
      <c r="AM3632" s="48"/>
      <c r="AN3632" s="48"/>
      <c r="AO3632" s="48"/>
      <c r="AP3632" s="48"/>
      <c r="AQ3632" s="48"/>
      <c r="AR3632" s="48"/>
      <c r="AS3632" s="48"/>
      <c r="AT3632" s="48"/>
      <c r="AU3632" s="48"/>
      <c r="AV3632" s="48"/>
      <c r="AW3632" s="48"/>
      <c r="AX3632" s="48"/>
      <c r="AY3632" s="48"/>
      <c r="AZ3632" s="48"/>
      <c r="BA3632" s="48"/>
      <c r="BB3632" s="14"/>
      <c r="BC3632" s="48"/>
      <c r="BD3632" s="48"/>
      <c r="BE3632" s="48"/>
      <c r="BF3632" s="48"/>
      <c r="BG3632" s="48"/>
      <c r="BH3632" s="48"/>
      <c r="BI3632" s="48"/>
      <c r="BJ3632" s="48"/>
      <c r="BK3632" s="48"/>
      <c r="BL3632" s="48"/>
      <c r="BM3632" s="48"/>
      <c r="BN3632" s="48"/>
      <c r="BO3632" s="48"/>
      <c r="BP3632" s="48"/>
      <c r="BQ3632" s="48"/>
      <c r="BR3632" s="48"/>
      <c r="BS3632" s="48"/>
      <c r="BT3632" s="48"/>
      <c r="BU3632" s="48"/>
      <c r="BV3632" s="48"/>
      <c r="BW3632" s="48"/>
      <c r="BX3632" s="48"/>
      <c r="BY3632" s="48"/>
      <c r="BZ3632" s="48"/>
      <c r="CA3632" s="48"/>
      <c r="CB3632" s="48"/>
      <c r="CC3632" s="48"/>
      <c r="CD3632" s="48"/>
      <c r="CE3632" s="48"/>
      <c r="CF3632" s="48"/>
      <c r="CG3632" s="48"/>
      <c r="CH3632" s="48"/>
      <c r="CI3632" s="48"/>
      <c r="CJ3632" s="48"/>
      <c r="CK3632" s="48"/>
      <c r="CL3632" s="48"/>
      <c r="CM3632" s="48"/>
      <c r="CN3632" s="48"/>
      <c r="CO3632" s="48"/>
      <c r="CP3632" s="48"/>
      <c r="CQ3632" s="48"/>
      <c r="CR3632" s="48"/>
      <c r="CS3632" s="48"/>
      <c r="CT3632" s="48"/>
      <c r="CU3632" s="48"/>
      <c r="CV3632" s="48"/>
      <c r="CW3632" s="48"/>
      <c r="CX3632" s="48"/>
      <c r="CY3632" s="48"/>
      <c r="CZ3632" s="48"/>
    </row>
    <row r="3633" spans="27:104" s="4" customFormat="1" x14ac:dyDescent="0.3">
      <c r="AA3633" s="48"/>
      <c r="AB3633" s="48"/>
      <c r="AC3633" s="48"/>
      <c r="AD3633" s="48"/>
      <c r="AE3633" s="48"/>
      <c r="AF3633" s="48"/>
      <c r="AG3633" s="48"/>
      <c r="AH3633" s="48"/>
      <c r="AI3633" s="48"/>
      <c r="AJ3633" s="48"/>
      <c r="AK3633" s="48"/>
      <c r="AL3633" s="48"/>
      <c r="AM3633" s="48"/>
      <c r="AN3633" s="48"/>
      <c r="AO3633" s="48"/>
      <c r="AP3633" s="48"/>
      <c r="AQ3633" s="48"/>
      <c r="AR3633" s="48"/>
      <c r="AS3633" s="48"/>
      <c r="AT3633" s="48"/>
      <c r="AU3633" s="48"/>
      <c r="AV3633" s="48"/>
      <c r="AW3633" s="48"/>
      <c r="AX3633" s="48"/>
      <c r="AY3633" s="48"/>
      <c r="AZ3633" s="48"/>
      <c r="BA3633" s="48"/>
      <c r="BB3633" s="14"/>
      <c r="BC3633" s="48"/>
      <c r="BD3633" s="48"/>
      <c r="BE3633" s="48"/>
      <c r="BF3633" s="48"/>
      <c r="BG3633" s="48"/>
      <c r="BH3633" s="48"/>
      <c r="BI3633" s="48"/>
      <c r="BJ3633" s="48"/>
      <c r="BK3633" s="48"/>
      <c r="BL3633" s="48"/>
      <c r="BM3633" s="48"/>
      <c r="BN3633" s="48"/>
      <c r="BO3633" s="48"/>
      <c r="BP3633" s="48"/>
      <c r="BQ3633" s="48"/>
      <c r="BR3633" s="48"/>
      <c r="BS3633" s="48"/>
      <c r="BT3633" s="48"/>
      <c r="BU3633" s="48"/>
      <c r="BV3633" s="48"/>
      <c r="BW3633" s="48"/>
      <c r="BX3633" s="48"/>
      <c r="BY3633" s="48"/>
      <c r="BZ3633" s="48"/>
      <c r="CA3633" s="48"/>
      <c r="CB3633" s="48"/>
      <c r="CC3633" s="48"/>
      <c r="CD3633" s="48"/>
      <c r="CE3633" s="48"/>
      <c r="CF3633" s="48"/>
      <c r="CG3633" s="48"/>
      <c r="CH3633" s="48"/>
      <c r="CI3633" s="48"/>
      <c r="CJ3633" s="48"/>
      <c r="CK3633" s="48"/>
      <c r="CL3633" s="48"/>
      <c r="CM3633" s="48"/>
      <c r="CN3633" s="48"/>
      <c r="CO3633" s="48"/>
      <c r="CP3633" s="48"/>
      <c r="CQ3633" s="48"/>
      <c r="CR3633" s="48"/>
      <c r="CS3633" s="48"/>
      <c r="CT3633" s="48"/>
      <c r="CU3633" s="48"/>
      <c r="CV3633" s="48"/>
      <c r="CW3633" s="48"/>
      <c r="CX3633" s="48"/>
      <c r="CY3633" s="48"/>
      <c r="CZ3633" s="48"/>
    </row>
    <row r="3634" spans="27:104" s="4" customFormat="1" x14ac:dyDescent="0.3">
      <c r="AA3634" s="48"/>
      <c r="AB3634" s="48"/>
      <c r="AC3634" s="48"/>
      <c r="AD3634" s="48"/>
      <c r="AE3634" s="48"/>
      <c r="AF3634" s="48"/>
      <c r="AG3634" s="48"/>
      <c r="AH3634" s="48"/>
      <c r="AI3634" s="48"/>
      <c r="AJ3634" s="48"/>
      <c r="AK3634" s="48"/>
      <c r="AL3634" s="48"/>
      <c r="AM3634" s="48"/>
      <c r="AN3634" s="48"/>
      <c r="AO3634" s="48"/>
      <c r="AP3634" s="48"/>
      <c r="AQ3634" s="48"/>
      <c r="AR3634" s="48"/>
      <c r="AS3634" s="48"/>
      <c r="AT3634" s="48"/>
      <c r="AU3634" s="48"/>
      <c r="AV3634" s="48"/>
      <c r="AW3634" s="48"/>
      <c r="AX3634" s="48"/>
      <c r="AY3634" s="48"/>
      <c r="AZ3634" s="48"/>
      <c r="BA3634" s="48"/>
      <c r="BB3634" s="14"/>
      <c r="BC3634" s="48"/>
      <c r="BD3634" s="48"/>
      <c r="BE3634" s="48"/>
      <c r="BF3634" s="48"/>
      <c r="BG3634" s="48"/>
      <c r="BH3634" s="48"/>
      <c r="BI3634" s="48"/>
      <c r="BJ3634" s="48"/>
      <c r="BK3634" s="48"/>
      <c r="BL3634" s="48"/>
      <c r="BM3634" s="48"/>
      <c r="BN3634" s="48"/>
      <c r="BO3634" s="48"/>
      <c r="BP3634" s="48"/>
      <c r="BQ3634" s="48"/>
      <c r="BR3634" s="48"/>
      <c r="BS3634" s="48"/>
      <c r="BT3634" s="48"/>
      <c r="BU3634" s="48"/>
      <c r="BV3634" s="48"/>
      <c r="BW3634" s="48"/>
      <c r="BX3634" s="48"/>
      <c r="BY3634" s="48"/>
      <c r="BZ3634" s="48"/>
      <c r="CA3634" s="48"/>
      <c r="CB3634" s="48"/>
      <c r="CC3634" s="48"/>
      <c r="CD3634" s="48"/>
      <c r="CE3634" s="48"/>
      <c r="CF3634" s="48"/>
      <c r="CG3634" s="48"/>
      <c r="CH3634" s="48"/>
      <c r="CI3634" s="48"/>
      <c r="CJ3634" s="48"/>
      <c r="CK3634" s="48"/>
      <c r="CL3634" s="48"/>
      <c r="CM3634" s="48"/>
      <c r="CN3634" s="48"/>
      <c r="CO3634" s="48"/>
      <c r="CP3634" s="48"/>
      <c r="CQ3634" s="48"/>
      <c r="CR3634" s="48"/>
      <c r="CS3634" s="48"/>
      <c r="CT3634" s="48"/>
      <c r="CU3634" s="48"/>
      <c r="CV3634" s="48"/>
      <c r="CW3634" s="48"/>
      <c r="CX3634" s="48"/>
      <c r="CY3634" s="48"/>
      <c r="CZ3634" s="48"/>
    </row>
    <row r="3635" spans="27:104" s="4" customFormat="1" x14ac:dyDescent="0.3">
      <c r="AA3635" s="48"/>
      <c r="AB3635" s="48"/>
      <c r="AC3635" s="48"/>
      <c r="AD3635" s="48"/>
      <c r="AE3635" s="48"/>
      <c r="AF3635" s="48"/>
      <c r="AG3635" s="48"/>
      <c r="AH3635" s="48"/>
      <c r="AI3635" s="48"/>
      <c r="AJ3635" s="48"/>
      <c r="AK3635" s="48"/>
      <c r="AL3635" s="48"/>
      <c r="AM3635" s="48"/>
      <c r="AN3635" s="48"/>
      <c r="AO3635" s="48"/>
      <c r="AP3635" s="48"/>
      <c r="AQ3635" s="48"/>
      <c r="AR3635" s="48"/>
      <c r="AS3635" s="48"/>
      <c r="AT3635" s="48"/>
      <c r="AU3635" s="48"/>
      <c r="AV3635" s="48"/>
      <c r="AW3635" s="48"/>
      <c r="AX3635" s="48"/>
      <c r="AY3635" s="48"/>
      <c r="AZ3635" s="48"/>
      <c r="BA3635" s="48"/>
      <c r="BB3635" s="14"/>
      <c r="BC3635" s="48"/>
      <c r="BD3635" s="48"/>
      <c r="BE3635" s="48"/>
      <c r="BF3635" s="48"/>
      <c r="BG3635" s="48"/>
      <c r="BH3635" s="48"/>
      <c r="BI3635" s="48"/>
      <c r="BJ3635" s="48"/>
      <c r="BK3635" s="48"/>
      <c r="BL3635" s="48"/>
      <c r="BM3635" s="48"/>
      <c r="BN3635" s="48"/>
      <c r="BO3635" s="48"/>
      <c r="BP3635" s="48"/>
      <c r="BQ3635" s="48"/>
      <c r="BR3635" s="48"/>
      <c r="BS3635" s="48"/>
      <c r="BT3635" s="48"/>
      <c r="BU3635" s="48"/>
      <c r="BV3635" s="48"/>
      <c r="BW3635" s="48"/>
      <c r="BX3635" s="48"/>
      <c r="BY3635" s="48"/>
      <c r="BZ3635" s="48"/>
      <c r="CA3635" s="48"/>
      <c r="CB3635" s="48"/>
      <c r="CC3635" s="48"/>
      <c r="CD3635" s="48"/>
      <c r="CE3635" s="48"/>
      <c r="CF3635" s="48"/>
      <c r="CG3635" s="48"/>
      <c r="CH3635" s="48"/>
      <c r="CI3635" s="48"/>
      <c r="CJ3635" s="48"/>
      <c r="CK3635" s="48"/>
      <c r="CL3635" s="48"/>
      <c r="CM3635" s="48"/>
      <c r="CN3635" s="48"/>
      <c r="CO3635" s="48"/>
      <c r="CP3635" s="48"/>
      <c r="CQ3635" s="48"/>
      <c r="CR3635" s="48"/>
      <c r="CS3635" s="48"/>
      <c r="CT3635" s="48"/>
      <c r="CU3635" s="48"/>
      <c r="CV3635" s="48"/>
      <c r="CW3635" s="48"/>
      <c r="CX3635" s="48"/>
      <c r="CY3635" s="48"/>
      <c r="CZ3635" s="48"/>
    </row>
    <row r="3636" spans="27:104" s="4" customFormat="1" x14ac:dyDescent="0.3">
      <c r="AA3636" s="48"/>
      <c r="AB3636" s="48"/>
      <c r="AC3636" s="48"/>
      <c r="AD3636" s="48"/>
      <c r="AE3636" s="48"/>
      <c r="AF3636" s="48"/>
      <c r="AG3636" s="48"/>
      <c r="AH3636" s="48"/>
      <c r="AI3636" s="48"/>
      <c r="AJ3636" s="48"/>
      <c r="AK3636" s="48"/>
      <c r="AL3636" s="48"/>
      <c r="AM3636" s="48"/>
      <c r="AN3636" s="48"/>
      <c r="AO3636" s="48"/>
      <c r="AP3636" s="48"/>
      <c r="AQ3636" s="48"/>
      <c r="AR3636" s="48"/>
      <c r="AS3636" s="48"/>
      <c r="AT3636" s="48"/>
      <c r="AU3636" s="48"/>
      <c r="AV3636" s="48"/>
      <c r="AW3636" s="48"/>
      <c r="AX3636" s="48"/>
      <c r="AY3636" s="48"/>
      <c r="AZ3636" s="48"/>
      <c r="BA3636" s="48"/>
      <c r="BB3636" s="14"/>
      <c r="BC3636" s="48"/>
      <c r="BD3636" s="48"/>
      <c r="BE3636" s="48"/>
      <c r="BF3636" s="48"/>
      <c r="BG3636" s="48"/>
      <c r="BH3636" s="48"/>
      <c r="BI3636" s="48"/>
      <c r="BJ3636" s="48"/>
      <c r="BK3636" s="48"/>
      <c r="BL3636" s="48"/>
      <c r="BM3636" s="48"/>
      <c r="BN3636" s="48"/>
      <c r="BO3636" s="48"/>
      <c r="BP3636" s="48"/>
      <c r="BQ3636" s="48"/>
      <c r="BR3636" s="48"/>
      <c r="BS3636" s="48"/>
      <c r="BT3636" s="48"/>
      <c r="BU3636" s="48"/>
      <c r="BV3636" s="48"/>
      <c r="BW3636" s="48"/>
      <c r="BX3636" s="48"/>
      <c r="BY3636" s="48"/>
      <c r="BZ3636" s="48"/>
      <c r="CA3636" s="48"/>
      <c r="CB3636" s="48"/>
      <c r="CC3636" s="48"/>
      <c r="CD3636" s="48"/>
      <c r="CE3636" s="48"/>
      <c r="CF3636" s="48"/>
      <c r="CG3636" s="48"/>
      <c r="CH3636" s="48"/>
      <c r="CI3636" s="48"/>
      <c r="CJ3636" s="48"/>
      <c r="CK3636" s="48"/>
      <c r="CL3636" s="48"/>
      <c r="CM3636" s="48"/>
      <c r="CN3636" s="48"/>
      <c r="CO3636" s="48"/>
      <c r="CP3636" s="48"/>
      <c r="CQ3636" s="48"/>
      <c r="CR3636" s="48"/>
      <c r="CS3636" s="48"/>
      <c r="CT3636" s="48"/>
      <c r="CU3636" s="48"/>
      <c r="CV3636" s="48"/>
      <c r="CW3636" s="48"/>
      <c r="CX3636" s="48"/>
      <c r="CY3636" s="48"/>
      <c r="CZ3636" s="48"/>
    </row>
    <row r="3637" spans="27:104" s="4" customFormat="1" x14ac:dyDescent="0.3">
      <c r="AA3637" s="48"/>
      <c r="AB3637" s="48"/>
      <c r="AC3637" s="48"/>
      <c r="AD3637" s="48"/>
      <c r="AE3637" s="48"/>
      <c r="AF3637" s="48"/>
      <c r="AG3637" s="48"/>
      <c r="AH3637" s="48"/>
      <c r="AI3637" s="48"/>
      <c r="AJ3637" s="48"/>
      <c r="AK3637" s="48"/>
      <c r="AL3637" s="48"/>
      <c r="AM3637" s="48"/>
      <c r="AN3637" s="48"/>
      <c r="AO3637" s="48"/>
      <c r="AP3637" s="48"/>
      <c r="AQ3637" s="48"/>
      <c r="AR3637" s="48"/>
      <c r="AS3637" s="48"/>
      <c r="AT3637" s="48"/>
      <c r="AU3637" s="48"/>
      <c r="AV3637" s="48"/>
      <c r="AW3637" s="48"/>
      <c r="AX3637" s="48"/>
      <c r="AY3637" s="48"/>
      <c r="AZ3637" s="48"/>
      <c r="BA3637" s="48"/>
      <c r="BB3637" s="14"/>
      <c r="BC3637" s="48"/>
      <c r="BD3637" s="48"/>
      <c r="BE3637" s="48"/>
      <c r="BF3637" s="48"/>
      <c r="BG3637" s="48"/>
      <c r="BH3637" s="48"/>
      <c r="BI3637" s="48"/>
      <c r="BJ3637" s="48"/>
      <c r="BK3637" s="48"/>
      <c r="BL3637" s="48"/>
      <c r="BM3637" s="48"/>
      <c r="BN3637" s="48"/>
      <c r="BO3637" s="48"/>
      <c r="BP3637" s="48"/>
      <c r="BQ3637" s="48"/>
      <c r="BR3637" s="48"/>
      <c r="BS3637" s="48"/>
      <c r="BT3637" s="48"/>
      <c r="BU3637" s="48"/>
      <c r="BV3637" s="48"/>
      <c r="BW3637" s="48"/>
      <c r="BX3637" s="48"/>
      <c r="BY3637" s="48"/>
      <c r="BZ3637" s="48"/>
      <c r="CA3637" s="48"/>
      <c r="CB3637" s="48"/>
      <c r="CC3637" s="48"/>
      <c r="CD3637" s="48"/>
      <c r="CE3637" s="48"/>
      <c r="CF3637" s="48"/>
      <c r="CG3637" s="48"/>
      <c r="CH3637" s="48"/>
      <c r="CI3637" s="48"/>
      <c r="CJ3637" s="48"/>
      <c r="CK3637" s="48"/>
      <c r="CL3637" s="48"/>
      <c r="CM3637" s="48"/>
      <c r="CN3637" s="48"/>
      <c r="CO3637" s="48"/>
      <c r="CP3637" s="48"/>
      <c r="CQ3637" s="48"/>
      <c r="CR3637" s="48"/>
      <c r="CS3637" s="48"/>
      <c r="CT3637" s="48"/>
      <c r="CU3637" s="48"/>
      <c r="CV3637" s="48"/>
      <c r="CW3637" s="48"/>
      <c r="CX3637" s="48"/>
      <c r="CY3637" s="48"/>
      <c r="CZ3637" s="48"/>
    </row>
    <row r="3638" spans="27:104" s="4" customFormat="1" x14ac:dyDescent="0.3">
      <c r="AA3638" s="48"/>
      <c r="AB3638" s="48"/>
      <c r="AC3638" s="48"/>
      <c r="AD3638" s="48"/>
      <c r="AE3638" s="48"/>
      <c r="AF3638" s="48"/>
      <c r="AG3638" s="48"/>
      <c r="AH3638" s="48"/>
      <c r="AI3638" s="48"/>
      <c r="AJ3638" s="48"/>
      <c r="AK3638" s="48"/>
      <c r="AL3638" s="48"/>
      <c r="AM3638" s="48"/>
      <c r="AN3638" s="48"/>
      <c r="AO3638" s="48"/>
      <c r="AP3638" s="48"/>
      <c r="AQ3638" s="48"/>
      <c r="AR3638" s="48"/>
      <c r="AS3638" s="48"/>
      <c r="AT3638" s="48"/>
      <c r="AU3638" s="48"/>
      <c r="AV3638" s="48"/>
      <c r="AW3638" s="48"/>
      <c r="AX3638" s="48"/>
      <c r="AY3638" s="48"/>
      <c r="AZ3638" s="48"/>
      <c r="BA3638" s="48"/>
      <c r="BB3638" s="14"/>
      <c r="BC3638" s="48"/>
      <c r="BD3638" s="48"/>
      <c r="BE3638" s="48"/>
      <c r="BF3638" s="48"/>
      <c r="BG3638" s="48"/>
      <c r="BH3638" s="48"/>
      <c r="BI3638" s="48"/>
      <c r="BJ3638" s="48"/>
      <c r="BK3638" s="48"/>
      <c r="BL3638" s="48"/>
      <c r="BM3638" s="48"/>
      <c r="BN3638" s="48"/>
      <c r="BO3638" s="48"/>
      <c r="BP3638" s="48"/>
      <c r="BQ3638" s="48"/>
      <c r="BR3638" s="48"/>
      <c r="BS3638" s="48"/>
      <c r="BT3638" s="48"/>
      <c r="BU3638" s="48"/>
      <c r="BV3638" s="48"/>
      <c r="BW3638" s="48"/>
      <c r="BX3638" s="48"/>
      <c r="BY3638" s="48"/>
      <c r="BZ3638" s="48"/>
      <c r="CA3638" s="48"/>
      <c r="CB3638" s="48"/>
      <c r="CC3638" s="48"/>
      <c r="CD3638" s="48"/>
      <c r="CE3638" s="48"/>
      <c r="CF3638" s="48"/>
      <c r="CG3638" s="48"/>
      <c r="CH3638" s="48"/>
      <c r="CI3638" s="48"/>
      <c r="CJ3638" s="48"/>
      <c r="CK3638" s="48"/>
      <c r="CL3638" s="48"/>
      <c r="CM3638" s="48"/>
      <c r="CN3638" s="48"/>
      <c r="CO3638" s="48"/>
      <c r="CP3638" s="48"/>
      <c r="CQ3638" s="48"/>
      <c r="CR3638" s="48"/>
      <c r="CS3638" s="48"/>
      <c r="CT3638" s="48"/>
      <c r="CU3638" s="48"/>
      <c r="CV3638" s="48"/>
      <c r="CW3638" s="48"/>
      <c r="CX3638" s="48"/>
      <c r="CY3638" s="48"/>
      <c r="CZ3638" s="48"/>
    </row>
    <row r="3639" spans="27:104" s="4" customFormat="1" x14ac:dyDescent="0.3">
      <c r="AA3639" s="48"/>
      <c r="AB3639" s="48"/>
      <c r="AC3639" s="48"/>
      <c r="AD3639" s="48"/>
      <c r="AE3639" s="48"/>
      <c r="AF3639" s="48"/>
      <c r="AG3639" s="48"/>
      <c r="AH3639" s="48"/>
      <c r="AI3639" s="48"/>
      <c r="AJ3639" s="48"/>
      <c r="AK3639" s="48"/>
      <c r="AL3639" s="48"/>
      <c r="AM3639" s="48"/>
      <c r="AN3639" s="48"/>
      <c r="AO3639" s="48"/>
      <c r="AP3639" s="48"/>
      <c r="AQ3639" s="48"/>
      <c r="AR3639" s="48"/>
      <c r="AS3639" s="48"/>
      <c r="AT3639" s="48"/>
      <c r="AU3639" s="48"/>
      <c r="AV3639" s="48"/>
      <c r="AW3639" s="48"/>
      <c r="AX3639" s="48"/>
      <c r="AY3639" s="48"/>
      <c r="AZ3639" s="48"/>
      <c r="BA3639" s="48"/>
      <c r="BB3639" s="14"/>
      <c r="BC3639" s="48"/>
      <c r="BD3639" s="48"/>
      <c r="BE3639" s="48"/>
      <c r="BF3639" s="48"/>
      <c r="BG3639" s="48"/>
      <c r="BH3639" s="48"/>
      <c r="BI3639" s="48"/>
      <c r="BJ3639" s="48"/>
      <c r="BK3639" s="48"/>
      <c r="BL3639" s="48"/>
      <c r="BM3639" s="48"/>
      <c r="BN3639" s="48"/>
      <c r="BO3639" s="48"/>
      <c r="BP3639" s="48"/>
      <c r="BQ3639" s="48"/>
      <c r="BR3639" s="48"/>
      <c r="BS3639" s="48"/>
      <c r="BT3639" s="48"/>
      <c r="BU3639" s="48"/>
      <c r="BV3639" s="48"/>
      <c r="BW3639" s="48"/>
      <c r="BX3639" s="48"/>
      <c r="BY3639" s="48"/>
      <c r="BZ3639" s="48"/>
      <c r="CA3639" s="48"/>
      <c r="CB3639" s="48"/>
      <c r="CC3639" s="48"/>
      <c r="CD3639" s="48"/>
      <c r="CE3639" s="48"/>
      <c r="CF3639" s="48"/>
      <c r="CG3639" s="48"/>
      <c r="CH3639" s="48"/>
      <c r="CI3639" s="48"/>
      <c r="CJ3639" s="48"/>
      <c r="CK3639" s="48"/>
      <c r="CL3639" s="48"/>
      <c r="CM3639" s="48"/>
      <c r="CN3639" s="48"/>
      <c r="CO3639" s="48"/>
      <c r="CP3639" s="48"/>
      <c r="CQ3639" s="48"/>
      <c r="CR3639" s="48"/>
      <c r="CS3639" s="48"/>
      <c r="CT3639" s="48"/>
      <c r="CU3639" s="48"/>
      <c r="CV3639" s="48"/>
      <c r="CW3639" s="48"/>
      <c r="CX3639" s="48"/>
      <c r="CY3639" s="48"/>
      <c r="CZ3639" s="48"/>
    </row>
    <row r="3640" spans="27:104" s="4" customFormat="1" x14ac:dyDescent="0.3">
      <c r="AA3640" s="48"/>
      <c r="AB3640" s="48"/>
      <c r="AC3640" s="48"/>
      <c r="AD3640" s="48"/>
      <c r="AE3640" s="48"/>
      <c r="AF3640" s="48"/>
      <c r="AG3640" s="48"/>
      <c r="AH3640" s="48"/>
      <c r="AI3640" s="48"/>
      <c r="AJ3640" s="48"/>
      <c r="AK3640" s="48"/>
      <c r="AL3640" s="48"/>
      <c r="AM3640" s="48"/>
      <c r="AN3640" s="48"/>
      <c r="AO3640" s="48"/>
      <c r="AP3640" s="48"/>
      <c r="AQ3640" s="48"/>
      <c r="AR3640" s="48"/>
      <c r="AS3640" s="48"/>
      <c r="AT3640" s="48"/>
      <c r="AU3640" s="48"/>
      <c r="AV3640" s="48"/>
      <c r="AW3640" s="48"/>
      <c r="AX3640" s="48"/>
      <c r="AY3640" s="48"/>
      <c r="AZ3640" s="48"/>
      <c r="BA3640" s="48"/>
      <c r="BB3640" s="14"/>
      <c r="BC3640" s="48"/>
      <c r="BD3640" s="48"/>
      <c r="BE3640" s="48"/>
      <c r="BF3640" s="48"/>
      <c r="BG3640" s="48"/>
      <c r="BH3640" s="48"/>
      <c r="BI3640" s="48"/>
      <c r="BJ3640" s="48"/>
      <c r="BK3640" s="48"/>
      <c r="BL3640" s="48"/>
      <c r="BM3640" s="48"/>
      <c r="BN3640" s="48"/>
      <c r="BO3640" s="48"/>
      <c r="BP3640" s="48"/>
      <c r="BQ3640" s="48"/>
      <c r="BR3640" s="48"/>
      <c r="BS3640" s="48"/>
      <c r="BT3640" s="48"/>
      <c r="BU3640" s="48"/>
      <c r="BV3640" s="48"/>
      <c r="BW3640" s="48"/>
      <c r="BX3640" s="48"/>
      <c r="BY3640" s="48"/>
      <c r="BZ3640" s="48"/>
      <c r="CA3640" s="48"/>
      <c r="CB3640" s="48"/>
      <c r="CC3640" s="48"/>
      <c r="CD3640" s="48"/>
      <c r="CE3640" s="48"/>
      <c r="CF3640" s="48"/>
      <c r="CG3640" s="48"/>
      <c r="CH3640" s="48"/>
      <c r="CI3640" s="48"/>
      <c r="CJ3640" s="48"/>
      <c r="CK3640" s="48"/>
      <c r="CL3640" s="48"/>
      <c r="CM3640" s="48"/>
      <c r="CN3640" s="48"/>
      <c r="CO3640" s="48"/>
      <c r="CP3640" s="48"/>
      <c r="CQ3640" s="48"/>
      <c r="CR3640" s="48"/>
      <c r="CS3640" s="48"/>
      <c r="CT3640" s="48"/>
      <c r="CU3640" s="48"/>
      <c r="CV3640" s="48"/>
      <c r="CW3640" s="48"/>
      <c r="CX3640" s="48"/>
      <c r="CY3640" s="48"/>
      <c r="CZ3640" s="48"/>
    </row>
    <row r="3641" spans="27:104" s="4" customFormat="1" x14ac:dyDescent="0.3">
      <c r="AA3641" s="48"/>
      <c r="AB3641" s="48"/>
      <c r="AC3641" s="48"/>
      <c r="AD3641" s="48"/>
      <c r="AE3641" s="48"/>
      <c r="AF3641" s="48"/>
      <c r="AG3641" s="48"/>
      <c r="AH3641" s="48"/>
      <c r="AI3641" s="48"/>
      <c r="AJ3641" s="48"/>
      <c r="AK3641" s="48"/>
      <c r="AL3641" s="48"/>
      <c r="AM3641" s="48"/>
      <c r="AN3641" s="48"/>
      <c r="AO3641" s="48"/>
      <c r="AP3641" s="48"/>
      <c r="AQ3641" s="48"/>
      <c r="AR3641" s="48"/>
      <c r="AS3641" s="48"/>
      <c r="AT3641" s="48"/>
      <c r="AU3641" s="48"/>
      <c r="AV3641" s="48"/>
      <c r="AW3641" s="48"/>
      <c r="AX3641" s="48"/>
      <c r="AY3641" s="48"/>
      <c r="AZ3641" s="48"/>
      <c r="BA3641" s="48"/>
      <c r="BB3641" s="14"/>
      <c r="BC3641" s="48"/>
      <c r="BD3641" s="48"/>
      <c r="BE3641" s="48"/>
      <c r="BF3641" s="48"/>
      <c r="BG3641" s="48"/>
      <c r="BH3641" s="48"/>
      <c r="BI3641" s="48"/>
      <c r="BJ3641" s="48"/>
      <c r="BK3641" s="48"/>
      <c r="BL3641" s="48"/>
      <c r="BM3641" s="48"/>
      <c r="BN3641" s="48"/>
      <c r="BO3641" s="48"/>
      <c r="BP3641" s="48"/>
      <c r="BQ3641" s="48"/>
      <c r="BR3641" s="48"/>
      <c r="BS3641" s="48"/>
      <c r="BT3641" s="48"/>
      <c r="BU3641" s="48"/>
      <c r="BV3641" s="48"/>
      <c r="BW3641" s="48"/>
      <c r="BX3641" s="48"/>
      <c r="BY3641" s="48"/>
      <c r="BZ3641" s="48"/>
      <c r="CA3641" s="48"/>
      <c r="CB3641" s="48"/>
      <c r="CC3641" s="48"/>
      <c r="CD3641" s="48"/>
      <c r="CE3641" s="48"/>
      <c r="CF3641" s="48"/>
      <c r="CG3641" s="48"/>
      <c r="CH3641" s="48"/>
      <c r="CI3641" s="48"/>
      <c r="CJ3641" s="48"/>
      <c r="CK3641" s="48"/>
      <c r="CL3641" s="48"/>
      <c r="CM3641" s="48"/>
      <c r="CN3641" s="48"/>
      <c r="CO3641" s="48"/>
      <c r="CP3641" s="48"/>
      <c r="CQ3641" s="48"/>
      <c r="CR3641" s="48"/>
      <c r="CS3641" s="48"/>
      <c r="CT3641" s="48"/>
      <c r="CU3641" s="48"/>
      <c r="CV3641" s="48"/>
      <c r="CW3641" s="48"/>
      <c r="CX3641" s="48"/>
      <c r="CY3641" s="48"/>
      <c r="CZ3641" s="48"/>
    </row>
    <row r="3642" spans="27:104" s="4" customFormat="1" x14ac:dyDescent="0.3">
      <c r="AA3642" s="48"/>
      <c r="AB3642" s="48"/>
      <c r="AC3642" s="48"/>
      <c r="AD3642" s="48"/>
      <c r="AE3642" s="48"/>
      <c r="AF3642" s="48"/>
      <c r="AG3642" s="48"/>
      <c r="AH3642" s="48"/>
      <c r="AI3642" s="48"/>
      <c r="AJ3642" s="48"/>
      <c r="AK3642" s="48"/>
      <c r="AL3642" s="48"/>
      <c r="AM3642" s="48"/>
      <c r="AN3642" s="48"/>
      <c r="AO3642" s="48"/>
      <c r="AP3642" s="48"/>
      <c r="AQ3642" s="48"/>
      <c r="AR3642" s="48"/>
      <c r="AS3642" s="48"/>
      <c r="AT3642" s="48"/>
      <c r="AU3642" s="48"/>
      <c r="AV3642" s="48"/>
      <c r="AW3642" s="48"/>
      <c r="AX3642" s="48"/>
      <c r="AY3642" s="48"/>
      <c r="AZ3642" s="48"/>
      <c r="BA3642" s="48"/>
      <c r="BB3642" s="14"/>
      <c r="BC3642" s="48"/>
      <c r="BD3642" s="48"/>
      <c r="BE3642" s="48"/>
      <c r="BF3642" s="48"/>
      <c r="BG3642" s="48"/>
      <c r="BH3642" s="48"/>
      <c r="BI3642" s="48"/>
      <c r="BJ3642" s="48"/>
      <c r="BK3642" s="48"/>
      <c r="BL3642" s="48"/>
      <c r="BM3642" s="48"/>
      <c r="BN3642" s="48"/>
      <c r="BO3642" s="48"/>
      <c r="BP3642" s="48"/>
      <c r="BQ3642" s="48"/>
      <c r="BR3642" s="48"/>
      <c r="BS3642" s="48"/>
      <c r="BT3642" s="48"/>
      <c r="BU3642" s="48"/>
      <c r="BV3642" s="48"/>
      <c r="BW3642" s="48"/>
      <c r="BX3642" s="48"/>
      <c r="BY3642" s="48"/>
      <c r="BZ3642" s="48"/>
      <c r="CA3642" s="48"/>
      <c r="CB3642" s="48"/>
      <c r="CC3642" s="48"/>
      <c r="CD3642" s="48"/>
      <c r="CE3642" s="48"/>
      <c r="CF3642" s="48"/>
      <c r="CG3642" s="48"/>
      <c r="CH3642" s="48"/>
      <c r="CI3642" s="48"/>
      <c r="CJ3642" s="48"/>
      <c r="CK3642" s="48"/>
      <c r="CL3642" s="48"/>
      <c r="CM3642" s="48"/>
      <c r="CN3642" s="48"/>
      <c r="CO3642" s="48"/>
      <c r="CP3642" s="48"/>
      <c r="CQ3642" s="48"/>
      <c r="CR3642" s="48"/>
      <c r="CS3642" s="48"/>
      <c r="CT3642" s="48"/>
      <c r="CU3642" s="48"/>
      <c r="CV3642" s="48"/>
      <c r="CW3642" s="48"/>
      <c r="CX3642" s="48"/>
      <c r="CY3642" s="48"/>
      <c r="CZ3642" s="48"/>
    </row>
    <row r="3643" spans="27:104" s="4" customFormat="1" x14ac:dyDescent="0.3">
      <c r="AA3643" s="48"/>
      <c r="AB3643" s="48"/>
      <c r="AC3643" s="48"/>
      <c r="AD3643" s="48"/>
      <c r="AE3643" s="48"/>
      <c r="AF3643" s="48"/>
      <c r="AG3643" s="48"/>
      <c r="AH3643" s="48"/>
      <c r="AI3643" s="48"/>
      <c r="AJ3643" s="48"/>
      <c r="AK3643" s="48"/>
      <c r="AL3643" s="48"/>
      <c r="AM3643" s="48"/>
      <c r="AN3643" s="48"/>
      <c r="AO3643" s="48"/>
      <c r="AP3643" s="48"/>
      <c r="AQ3643" s="48"/>
      <c r="AR3643" s="48"/>
      <c r="AS3643" s="48"/>
      <c r="AT3643" s="48"/>
      <c r="AU3643" s="48"/>
      <c r="AV3643" s="48"/>
      <c r="AW3643" s="48"/>
      <c r="AX3643" s="48"/>
      <c r="AY3643" s="48"/>
      <c r="AZ3643" s="48"/>
      <c r="BA3643" s="48"/>
      <c r="BB3643" s="14"/>
      <c r="BC3643" s="48"/>
      <c r="BD3643" s="48"/>
      <c r="BE3643" s="48"/>
      <c r="BF3643" s="48"/>
      <c r="BG3643" s="48"/>
      <c r="BH3643" s="48"/>
      <c r="BI3643" s="48"/>
      <c r="BJ3643" s="48"/>
      <c r="BK3643" s="48"/>
      <c r="BL3643" s="48"/>
      <c r="BM3643" s="48"/>
      <c r="BN3643" s="48"/>
      <c r="BO3643" s="48"/>
      <c r="BP3643" s="48"/>
      <c r="BQ3643" s="48"/>
      <c r="BR3643" s="48"/>
      <c r="BS3643" s="48"/>
      <c r="BT3643" s="48"/>
      <c r="BU3643" s="48"/>
      <c r="BV3643" s="48"/>
      <c r="BW3643" s="48"/>
      <c r="BX3643" s="48"/>
      <c r="BY3643" s="48"/>
      <c r="BZ3643" s="48"/>
      <c r="CA3643" s="48"/>
      <c r="CB3643" s="48"/>
      <c r="CC3643" s="48"/>
      <c r="CD3643" s="48"/>
      <c r="CE3643" s="48"/>
      <c r="CF3643" s="48"/>
      <c r="CG3643" s="48"/>
      <c r="CH3643" s="48"/>
      <c r="CI3643" s="48"/>
      <c r="CJ3643" s="48"/>
      <c r="CK3643" s="48"/>
      <c r="CL3643" s="48"/>
      <c r="CM3643" s="48"/>
      <c r="CN3643" s="48"/>
      <c r="CO3643" s="48"/>
      <c r="CP3643" s="48"/>
      <c r="CQ3643" s="48"/>
      <c r="CR3643" s="48"/>
      <c r="CS3643" s="48"/>
      <c r="CT3643" s="48"/>
      <c r="CU3643" s="48"/>
      <c r="CV3643" s="48"/>
      <c r="CW3643" s="48"/>
      <c r="CX3643" s="48"/>
      <c r="CY3643" s="48"/>
      <c r="CZ3643" s="48"/>
    </row>
    <row r="3644" spans="27:104" s="4" customFormat="1" x14ac:dyDescent="0.3">
      <c r="AA3644" s="48"/>
      <c r="AB3644" s="48"/>
      <c r="AC3644" s="48"/>
      <c r="AD3644" s="48"/>
      <c r="AE3644" s="48"/>
      <c r="AF3644" s="48"/>
      <c r="AG3644" s="48"/>
      <c r="AH3644" s="48"/>
      <c r="AI3644" s="48"/>
      <c r="AJ3644" s="48"/>
      <c r="AK3644" s="48"/>
      <c r="AL3644" s="48"/>
      <c r="AM3644" s="48"/>
      <c r="AN3644" s="48"/>
      <c r="AO3644" s="48"/>
      <c r="AP3644" s="48"/>
      <c r="AQ3644" s="48"/>
      <c r="AR3644" s="48"/>
      <c r="AS3644" s="48"/>
      <c r="AT3644" s="48"/>
      <c r="AU3644" s="48"/>
      <c r="AV3644" s="48"/>
      <c r="AW3644" s="48"/>
      <c r="AX3644" s="48"/>
      <c r="AY3644" s="48"/>
      <c r="AZ3644" s="48"/>
      <c r="BA3644" s="48"/>
      <c r="BB3644" s="14"/>
      <c r="BC3644" s="48"/>
      <c r="BD3644" s="48"/>
      <c r="BE3644" s="48"/>
      <c r="BF3644" s="48"/>
      <c r="BG3644" s="48"/>
      <c r="BH3644" s="48"/>
      <c r="BI3644" s="48"/>
      <c r="BJ3644" s="48"/>
      <c r="BK3644" s="48"/>
      <c r="BL3644" s="48"/>
      <c r="BM3644" s="48"/>
      <c r="BN3644" s="48"/>
      <c r="BO3644" s="48"/>
      <c r="BP3644" s="48"/>
      <c r="BQ3644" s="48"/>
      <c r="BR3644" s="48"/>
      <c r="BS3644" s="48"/>
      <c r="BT3644" s="48"/>
      <c r="BU3644" s="48"/>
      <c r="BV3644" s="48"/>
      <c r="BW3644" s="48"/>
      <c r="BX3644" s="48"/>
      <c r="BY3644" s="48"/>
      <c r="BZ3644" s="48"/>
      <c r="CA3644" s="48"/>
      <c r="CB3644" s="48"/>
      <c r="CC3644" s="48"/>
      <c r="CD3644" s="48"/>
      <c r="CE3644" s="48"/>
      <c r="CF3644" s="48"/>
      <c r="CG3644" s="48"/>
      <c r="CH3644" s="48"/>
      <c r="CI3644" s="48"/>
      <c r="CJ3644" s="48"/>
      <c r="CK3644" s="48"/>
      <c r="CL3644" s="48"/>
      <c r="CM3644" s="48"/>
      <c r="CN3644" s="48"/>
      <c r="CO3644" s="48"/>
      <c r="CP3644" s="48"/>
      <c r="CQ3644" s="48"/>
      <c r="CR3644" s="48"/>
      <c r="CS3644" s="48"/>
      <c r="CT3644" s="48"/>
      <c r="CU3644" s="48"/>
      <c r="CV3644" s="48"/>
      <c r="CW3644" s="48"/>
      <c r="CX3644" s="48"/>
      <c r="CY3644" s="48"/>
      <c r="CZ3644" s="48"/>
    </row>
    <row r="3645" spans="27:104" s="4" customFormat="1" x14ac:dyDescent="0.3">
      <c r="AA3645" s="48"/>
      <c r="AB3645" s="48"/>
      <c r="AC3645" s="48"/>
      <c r="AD3645" s="48"/>
      <c r="AE3645" s="48"/>
      <c r="AF3645" s="48"/>
      <c r="AG3645" s="48"/>
      <c r="AH3645" s="48"/>
      <c r="AI3645" s="48"/>
      <c r="AJ3645" s="48"/>
      <c r="AK3645" s="48"/>
      <c r="AL3645" s="48"/>
      <c r="AM3645" s="48"/>
      <c r="AN3645" s="48"/>
      <c r="AO3645" s="48"/>
      <c r="AP3645" s="48"/>
      <c r="AQ3645" s="48"/>
      <c r="AR3645" s="48"/>
      <c r="AS3645" s="48"/>
      <c r="AT3645" s="48"/>
      <c r="AU3645" s="48"/>
      <c r="AV3645" s="48"/>
      <c r="AW3645" s="48"/>
      <c r="AX3645" s="48"/>
      <c r="AY3645" s="48"/>
      <c r="AZ3645" s="48"/>
      <c r="BA3645" s="48"/>
      <c r="BB3645" s="14"/>
      <c r="BC3645" s="48"/>
      <c r="BD3645" s="48"/>
      <c r="BE3645" s="48"/>
      <c r="BF3645" s="48"/>
      <c r="BG3645" s="48"/>
      <c r="BH3645" s="48"/>
      <c r="BI3645" s="48"/>
      <c r="BJ3645" s="48"/>
      <c r="BK3645" s="48"/>
      <c r="BL3645" s="48"/>
      <c r="BM3645" s="48"/>
      <c r="BN3645" s="48"/>
      <c r="BO3645" s="48"/>
      <c r="BP3645" s="48"/>
      <c r="BQ3645" s="48"/>
      <c r="BR3645" s="48"/>
      <c r="BS3645" s="48"/>
      <c r="BT3645" s="48"/>
      <c r="BU3645" s="48"/>
      <c r="BV3645" s="48"/>
      <c r="BW3645" s="48"/>
      <c r="BX3645" s="48"/>
      <c r="BY3645" s="48"/>
      <c r="BZ3645" s="48"/>
      <c r="CA3645" s="48"/>
      <c r="CB3645" s="48"/>
      <c r="CC3645" s="48"/>
      <c r="CD3645" s="48"/>
      <c r="CE3645" s="48"/>
      <c r="CF3645" s="48"/>
      <c r="CG3645" s="48"/>
      <c r="CH3645" s="48"/>
      <c r="CI3645" s="48"/>
      <c r="CJ3645" s="48"/>
      <c r="CK3645" s="48"/>
      <c r="CL3645" s="48"/>
      <c r="CM3645" s="48"/>
      <c r="CN3645" s="48"/>
      <c r="CO3645" s="48"/>
      <c r="CP3645" s="48"/>
      <c r="CQ3645" s="48"/>
      <c r="CR3645" s="48"/>
      <c r="CS3645" s="48"/>
      <c r="CT3645" s="48"/>
      <c r="CU3645" s="48"/>
      <c r="CV3645" s="48"/>
      <c r="CW3645" s="48"/>
      <c r="CX3645" s="48"/>
      <c r="CY3645" s="48"/>
      <c r="CZ3645" s="48"/>
    </row>
    <row r="3646" spans="27:104" s="4" customFormat="1" x14ac:dyDescent="0.3">
      <c r="AA3646" s="48"/>
      <c r="AB3646" s="48"/>
      <c r="AC3646" s="48"/>
      <c r="AD3646" s="48"/>
      <c r="AE3646" s="48"/>
      <c r="AF3646" s="48"/>
      <c r="AG3646" s="48"/>
      <c r="AH3646" s="48"/>
      <c r="AI3646" s="48"/>
      <c r="AJ3646" s="48"/>
      <c r="AK3646" s="48"/>
      <c r="AL3646" s="48"/>
      <c r="AM3646" s="48"/>
      <c r="AN3646" s="48"/>
      <c r="AO3646" s="48"/>
      <c r="AP3646" s="48"/>
      <c r="AQ3646" s="48"/>
      <c r="AR3646" s="48"/>
      <c r="AS3646" s="48"/>
      <c r="AT3646" s="48"/>
      <c r="AU3646" s="48"/>
      <c r="AV3646" s="48"/>
      <c r="AW3646" s="48"/>
      <c r="AX3646" s="48"/>
      <c r="AY3646" s="48"/>
      <c r="AZ3646" s="48"/>
      <c r="BA3646" s="48"/>
      <c r="BB3646" s="14"/>
      <c r="BC3646" s="48"/>
      <c r="BD3646" s="48"/>
      <c r="BE3646" s="48"/>
      <c r="BF3646" s="48"/>
      <c r="BG3646" s="48"/>
      <c r="BH3646" s="48"/>
      <c r="BI3646" s="48"/>
      <c r="BJ3646" s="48"/>
      <c r="BK3646" s="48"/>
      <c r="BL3646" s="48"/>
      <c r="BM3646" s="48"/>
      <c r="BN3646" s="48"/>
      <c r="BO3646" s="48"/>
      <c r="BP3646" s="48"/>
      <c r="BQ3646" s="48"/>
      <c r="BR3646" s="48"/>
      <c r="BS3646" s="48"/>
      <c r="BT3646" s="48"/>
      <c r="BU3646" s="48"/>
      <c r="BV3646" s="48"/>
      <c r="BW3646" s="48"/>
      <c r="BX3646" s="48"/>
      <c r="BY3646" s="48"/>
      <c r="BZ3646" s="48"/>
      <c r="CA3646" s="48"/>
      <c r="CB3646" s="48"/>
      <c r="CC3646" s="48"/>
      <c r="CD3646" s="48"/>
      <c r="CE3646" s="48"/>
      <c r="CF3646" s="48"/>
      <c r="CG3646" s="48"/>
      <c r="CH3646" s="48"/>
      <c r="CI3646" s="48"/>
      <c r="CJ3646" s="48"/>
      <c r="CK3646" s="48"/>
      <c r="CL3646" s="48"/>
      <c r="CM3646" s="48"/>
      <c r="CN3646" s="48"/>
      <c r="CO3646" s="48"/>
      <c r="CP3646" s="48"/>
      <c r="CQ3646" s="48"/>
      <c r="CR3646" s="48"/>
      <c r="CS3646" s="48"/>
      <c r="CT3646" s="48"/>
      <c r="CU3646" s="48"/>
      <c r="CV3646" s="48"/>
      <c r="CW3646" s="48"/>
      <c r="CX3646" s="48"/>
      <c r="CY3646" s="48"/>
      <c r="CZ3646" s="48"/>
    </row>
    <row r="3647" spans="27:104" s="4" customFormat="1" x14ac:dyDescent="0.3">
      <c r="AA3647" s="48"/>
      <c r="AB3647" s="48"/>
      <c r="AC3647" s="48"/>
      <c r="AD3647" s="48"/>
      <c r="AE3647" s="48"/>
      <c r="AF3647" s="48"/>
      <c r="AG3647" s="48"/>
      <c r="AH3647" s="48"/>
      <c r="AI3647" s="48"/>
      <c r="AJ3647" s="48"/>
      <c r="AK3647" s="48"/>
      <c r="AL3647" s="48"/>
      <c r="AM3647" s="48"/>
      <c r="AN3647" s="48"/>
      <c r="AO3647" s="48"/>
      <c r="AP3647" s="48"/>
      <c r="AQ3647" s="48"/>
      <c r="AR3647" s="48"/>
      <c r="AS3647" s="48"/>
      <c r="AT3647" s="48"/>
      <c r="AU3647" s="48"/>
      <c r="AV3647" s="48"/>
      <c r="AW3647" s="48"/>
      <c r="AX3647" s="48"/>
      <c r="AY3647" s="48"/>
      <c r="AZ3647" s="48"/>
      <c r="BA3647" s="48"/>
      <c r="BB3647" s="14"/>
      <c r="BC3647" s="48"/>
      <c r="BD3647" s="48"/>
      <c r="BE3647" s="48"/>
      <c r="BF3647" s="48"/>
      <c r="BG3647" s="48"/>
      <c r="BH3647" s="48"/>
      <c r="BI3647" s="48"/>
      <c r="BJ3647" s="48"/>
      <c r="BK3647" s="48"/>
      <c r="BL3647" s="48"/>
      <c r="BM3647" s="48"/>
      <c r="BN3647" s="48"/>
      <c r="BO3647" s="48"/>
      <c r="BP3647" s="48"/>
      <c r="BQ3647" s="48"/>
      <c r="BR3647" s="48"/>
      <c r="BS3647" s="48"/>
      <c r="BT3647" s="48"/>
      <c r="BU3647" s="48"/>
      <c r="BV3647" s="48"/>
      <c r="BW3647" s="48"/>
      <c r="BX3647" s="48"/>
      <c r="BY3647" s="48"/>
      <c r="BZ3647" s="48"/>
      <c r="CA3647" s="48"/>
      <c r="CB3647" s="48"/>
      <c r="CC3647" s="48"/>
      <c r="CD3647" s="48"/>
      <c r="CE3647" s="48"/>
      <c r="CF3647" s="48"/>
      <c r="CG3647" s="48"/>
      <c r="CH3647" s="48"/>
      <c r="CI3647" s="48"/>
      <c r="CJ3647" s="48"/>
      <c r="CK3647" s="48"/>
      <c r="CL3647" s="48"/>
      <c r="CM3647" s="48"/>
      <c r="CN3647" s="48"/>
      <c r="CO3647" s="48"/>
      <c r="CP3647" s="48"/>
      <c r="CQ3647" s="48"/>
      <c r="CR3647" s="48"/>
      <c r="CS3647" s="48"/>
      <c r="CT3647" s="48"/>
      <c r="CU3647" s="48"/>
      <c r="CV3647" s="48"/>
      <c r="CW3647" s="48"/>
      <c r="CX3647" s="48"/>
      <c r="CY3647" s="48"/>
      <c r="CZ3647" s="48"/>
    </row>
    <row r="3648" spans="27:104" s="4" customFormat="1" x14ac:dyDescent="0.3">
      <c r="AA3648" s="48"/>
      <c r="AB3648" s="48"/>
      <c r="AC3648" s="48"/>
      <c r="AD3648" s="48"/>
      <c r="AE3648" s="48"/>
      <c r="AF3648" s="48"/>
      <c r="AG3648" s="48"/>
      <c r="AH3648" s="48"/>
      <c r="AI3648" s="48"/>
      <c r="AJ3648" s="48"/>
      <c r="AK3648" s="48"/>
      <c r="AL3648" s="48"/>
      <c r="AM3648" s="48"/>
      <c r="AN3648" s="48"/>
      <c r="AO3648" s="48"/>
      <c r="AP3648" s="48"/>
      <c r="AQ3648" s="48"/>
      <c r="AR3648" s="48"/>
      <c r="AS3648" s="48"/>
      <c r="AT3648" s="48"/>
      <c r="AU3648" s="48"/>
      <c r="AV3648" s="48"/>
      <c r="AW3648" s="48"/>
      <c r="AX3648" s="48"/>
      <c r="AY3648" s="48"/>
      <c r="AZ3648" s="48"/>
      <c r="BA3648" s="48"/>
      <c r="BB3648" s="14"/>
      <c r="BC3648" s="48"/>
      <c r="BD3648" s="48"/>
      <c r="BE3648" s="48"/>
      <c r="BF3648" s="48"/>
      <c r="BG3648" s="48"/>
      <c r="BH3648" s="48"/>
      <c r="BI3648" s="48"/>
      <c r="BJ3648" s="48"/>
      <c r="BK3648" s="48"/>
      <c r="BL3648" s="48"/>
      <c r="BM3648" s="48"/>
      <c r="BN3648" s="48"/>
      <c r="BO3648" s="48"/>
      <c r="BP3648" s="48"/>
      <c r="BQ3648" s="48"/>
      <c r="BR3648" s="48"/>
      <c r="BS3648" s="48"/>
      <c r="BT3648" s="48"/>
      <c r="BU3648" s="48"/>
      <c r="BV3648" s="48"/>
      <c r="BW3648" s="48"/>
      <c r="BX3648" s="48"/>
      <c r="BY3648" s="48"/>
      <c r="BZ3648" s="48"/>
      <c r="CA3648" s="48"/>
      <c r="CB3648" s="48"/>
      <c r="CC3648" s="48"/>
      <c r="CD3648" s="48"/>
      <c r="CE3648" s="48"/>
      <c r="CF3648" s="48"/>
      <c r="CG3648" s="48"/>
      <c r="CH3648" s="48"/>
      <c r="CI3648" s="48"/>
      <c r="CJ3648" s="48"/>
      <c r="CK3648" s="48"/>
      <c r="CL3648" s="48"/>
      <c r="CM3648" s="48"/>
      <c r="CN3648" s="48"/>
      <c r="CO3648" s="48"/>
      <c r="CP3648" s="48"/>
      <c r="CQ3648" s="48"/>
      <c r="CR3648" s="48"/>
      <c r="CS3648" s="48"/>
      <c r="CT3648" s="48"/>
      <c r="CU3648" s="48"/>
      <c r="CV3648" s="48"/>
      <c r="CW3648" s="48"/>
      <c r="CX3648" s="48"/>
      <c r="CY3648" s="48"/>
      <c r="CZ3648" s="48"/>
    </row>
    <row r="3649" spans="27:104" s="4" customFormat="1" x14ac:dyDescent="0.3">
      <c r="AA3649" s="48"/>
      <c r="AB3649" s="48"/>
      <c r="AC3649" s="48"/>
      <c r="AD3649" s="48"/>
      <c r="AE3649" s="48"/>
      <c r="AF3649" s="48"/>
      <c r="AG3649" s="48"/>
      <c r="AH3649" s="48"/>
      <c r="AI3649" s="48"/>
      <c r="AJ3649" s="48"/>
      <c r="AK3649" s="48"/>
      <c r="AL3649" s="48"/>
      <c r="AM3649" s="48"/>
      <c r="AN3649" s="48"/>
      <c r="AO3649" s="48"/>
      <c r="AP3649" s="48"/>
      <c r="AQ3649" s="48"/>
      <c r="AR3649" s="48"/>
      <c r="AS3649" s="48"/>
      <c r="AT3649" s="48"/>
      <c r="AU3649" s="48"/>
      <c r="AV3649" s="48"/>
      <c r="AW3649" s="48"/>
      <c r="AX3649" s="48"/>
      <c r="AY3649" s="48"/>
      <c r="AZ3649" s="48"/>
      <c r="BA3649" s="48"/>
      <c r="BB3649" s="14"/>
      <c r="BC3649" s="48"/>
      <c r="BD3649" s="48"/>
      <c r="BE3649" s="48"/>
      <c r="BF3649" s="48"/>
      <c r="BG3649" s="48"/>
      <c r="BH3649" s="48"/>
      <c r="BI3649" s="48"/>
      <c r="BJ3649" s="48"/>
      <c r="BK3649" s="48"/>
      <c r="BL3649" s="48"/>
      <c r="BM3649" s="48"/>
      <c r="BN3649" s="48"/>
      <c r="BO3649" s="48"/>
      <c r="BP3649" s="48"/>
      <c r="BQ3649" s="48"/>
      <c r="BR3649" s="48"/>
      <c r="BS3649" s="48"/>
      <c r="BT3649" s="48"/>
      <c r="BU3649" s="48"/>
      <c r="BV3649" s="48"/>
      <c r="BW3649" s="48"/>
      <c r="BX3649" s="48"/>
      <c r="BY3649" s="48"/>
      <c r="BZ3649" s="48"/>
      <c r="CA3649" s="48"/>
      <c r="CB3649" s="48"/>
      <c r="CC3649" s="48"/>
      <c r="CD3649" s="48"/>
      <c r="CE3649" s="48"/>
      <c r="CF3649" s="48"/>
      <c r="CG3649" s="48"/>
      <c r="CH3649" s="48"/>
      <c r="CI3649" s="48"/>
      <c r="CJ3649" s="48"/>
      <c r="CK3649" s="48"/>
      <c r="CL3649" s="48"/>
      <c r="CM3649" s="48"/>
      <c r="CN3649" s="48"/>
      <c r="CO3649" s="48"/>
      <c r="CP3649" s="48"/>
      <c r="CQ3649" s="48"/>
      <c r="CR3649" s="48"/>
      <c r="CS3649" s="48"/>
      <c r="CT3649" s="48"/>
      <c r="CU3649" s="48"/>
      <c r="CV3649" s="48"/>
      <c r="CW3649" s="48"/>
      <c r="CX3649" s="48"/>
      <c r="CY3649" s="48"/>
      <c r="CZ3649" s="48"/>
    </row>
    <row r="3650" spans="27:104" s="4" customFormat="1" x14ac:dyDescent="0.3">
      <c r="AA3650" s="48"/>
      <c r="AB3650" s="48"/>
      <c r="AC3650" s="48"/>
      <c r="AD3650" s="48"/>
      <c r="AE3650" s="48"/>
      <c r="AF3650" s="48"/>
      <c r="AG3650" s="48"/>
      <c r="AH3650" s="48"/>
      <c r="AI3650" s="48"/>
      <c r="AJ3650" s="48"/>
      <c r="AK3650" s="48"/>
      <c r="AL3650" s="48"/>
      <c r="AM3650" s="48"/>
      <c r="AN3650" s="48"/>
      <c r="AO3650" s="48"/>
      <c r="AP3650" s="48"/>
      <c r="AQ3650" s="48"/>
      <c r="AR3650" s="48"/>
      <c r="AS3650" s="48"/>
      <c r="AT3650" s="48"/>
      <c r="AU3650" s="48"/>
      <c r="AV3650" s="48"/>
      <c r="AW3650" s="48"/>
      <c r="AX3650" s="48"/>
      <c r="AY3650" s="48"/>
      <c r="AZ3650" s="48"/>
      <c r="BA3650" s="48"/>
      <c r="BB3650" s="14"/>
      <c r="BC3650" s="48"/>
      <c r="BD3650" s="48"/>
      <c r="BE3650" s="48"/>
      <c r="BF3650" s="48"/>
      <c r="BG3650" s="48"/>
      <c r="BH3650" s="48"/>
      <c r="BI3650" s="48"/>
      <c r="BJ3650" s="48"/>
      <c r="BK3650" s="48"/>
      <c r="BL3650" s="48"/>
      <c r="BM3650" s="48"/>
      <c r="BN3650" s="48"/>
      <c r="BO3650" s="48"/>
      <c r="BP3650" s="48"/>
      <c r="BQ3650" s="48"/>
      <c r="BR3650" s="48"/>
      <c r="BS3650" s="48"/>
      <c r="BT3650" s="48"/>
      <c r="BU3650" s="48"/>
      <c r="BV3650" s="48"/>
      <c r="BW3650" s="48"/>
      <c r="BX3650" s="48"/>
      <c r="BY3650" s="48"/>
      <c r="BZ3650" s="48"/>
      <c r="CA3650" s="48"/>
      <c r="CB3650" s="48"/>
      <c r="CC3650" s="48"/>
      <c r="CD3650" s="48"/>
      <c r="CE3650" s="48"/>
      <c r="CF3650" s="48"/>
      <c r="CG3650" s="48"/>
      <c r="CH3650" s="48"/>
      <c r="CI3650" s="48"/>
      <c r="CJ3650" s="48"/>
      <c r="CK3650" s="48"/>
      <c r="CL3650" s="48"/>
      <c r="CM3650" s="48"/>
      <c r="CN3650" s="48"/>
      <c r="CO3650" s="48"/>
      <c r="CP3650" s="48"/>
      <c r="CQ3650" s="48"/>
      <c r="CR3650" s="48"/>
      <c r="CS3650" s="48"/>
      <c r="CT3650" s="48"/>
      <c r="CU3650" s="48"/>
      <c r="CV3650" s="48"/>
      <c r="CW3650" s="48"/>
      <c r="CX3650" s="48"/>
      <c r="CY3650" s="48"/>
      <c r="CZ3650" s="48"/>
    </row>
    <row r="3651" spans="27:104" s="4" customFormat="1" x14ac:dyDescent="0.3">
      <c r="AA3651" s="48"/>
      <c r="AB3651" s="48"/>
      <c r="AC3651" s="48"/>
      <c r="AD3651" s="48"/>
      <c r="AE3651" s="48"/>
      <c r="AF3651" s="48"/>
      <c r="AG3651" s="48"/>
      <c r="AH3651" s="48"/>
      <c r="AI3651" s="48"/>
      <c r="AJ3651" s="48"/>
      <c r="AK3651" s="48"/>
      <c r="AL3651" s="48"/>
      <c r="AM3651" s="48"/>
      <c r="AN3651" s="48"/>
      <c r="AO3651" s="48"/>
      <c r="AP3651" s="48"/>
      <c r="AQ3651" s="48"/>
      <c r="AR3651" s="48"/>
      <c r="AS3651" s="48"/>
      <c r="AT3651" s="48"/>
      <c r="AU3651" s="48"/>
      <c r="AV3651" s="48"/>
      <c r="AW3651" s="48"/>
      <c r="AX3651" s="48"/>
      <c r="AY3651" s="48"/>
      <c r="AZ3651" s="48"/>
      <c r="BA3651" s="48"/>
      <c r="BB3651" s="14"/>
      <c r="BC3651" s="48"/>
      <c r="BD3651" s="48"/>
      <c r="BE3651" s="48"/>
      <c r="BF3651" s="48"/>
      <c r="BG3651" s="48"/>
      <c r="BH3651" s="48"/>
      <c r="BI3651" s="48"/>
      <c r="BJ3651" s="48"/>
      <c r="BK3651" s="48"/>
      <c r="BL3651" s="48"/>
      <c r="BM3651" s="48"/>
      <c r="BN3651" s="48"/>
      <c r="BO3651" s="48"/>
      <c r="BP3651" s="48"/>
      <c r="BQ3651" s="48"/>
      <c r="BR3651" s="48"/>
      <c r="BS3651" s="48"/>
      <c r="BT3651" s="48"/>
      <c r="BU3651" s="48"/>
      <c r="BV3651" s="48"/>
      <c r="BW3651" s="48"/>
      <c r="BX3651" s="48"/>
      <c r="BY3651" s="48"/>
      <c r="BZ3651" s="48"/>
      <c r="CA3651" s="48"/>
      <c r="CB3651" s="48"/>
      <c r="CC3651" s="48"/>
      <c r="CD3651" s="48"/>
      <c r="CE3651" s="48"/>
      <c r="CF3651" s="48"/>
      <c r="CG3651" s="48"/>
      <c r="CH3651" s="48"/>
      <c r="CI3651" s="48"/>
      <c r="CJ3651" s="48"/>
      <c r="CK3651" s="48"/>
      <c r="CL3651" s="48"/>
      <c r="CM3651" s="48"/>
      <c r="CN3651" s="48"/>
      <c r="CO3651" s="48"/>
      <c r="CP3651" s="48"/>
      <c r="CQ3651" s="48"/>
      <c r="CR3651" s="48"/>
      <c r="CS3651" s="48"/>
      <c r="CT3651" s="48"/>
      <c r="CU3651" s="48"/>
      <c r="CV3651" s="48"/>
      <c r="CW3651" s="48"/>
      <c r="CX3651" s="48"/>
      <c r="CY3651" s="48"/>
      <c r="CZ3651" s="48"/>
    </row>
    <row r="3652" spans="27:104" s="4" customFormat="1" x14ac:dyDescent="0.3">
      <c r="AA3652" s="48"/>
      <c r="AB3652" s="48"/>
      <c r="AC3652" s="48"/>
      <c r="AD3652" s="48"/>
      <c r="AE3652" s="48"/>
      <c r="AF3652" s="48"/>
      <c r="AG3652" s="48"/>
      <c r="AH3652" s="48"/>
      <c r="AI3652" s="48"/>
      <c r="AJ3652" s="48"/>
      <c r="AK3652" s="48"/>
      <c r="AL3652" s="48"/>
      <c r="AM3652" s="48"/>
      <c r="AN3652" s="48"/>
      <c r="AO3652" s="48"/>
      <c r="AP3652" s="48"/>
      <c r="AQ3652" s="48"/>
      <c r="AR3652" s="48"/>
      <c r="AS3652" s="48"/>
      <c r="AT3652" s="48"/>
      <c r="AU3652" s="48"/>
      <c r="AV3652" s="48"/>
      <c r="AW3652" s="48"/>
      <c r="AX3652" s="48"/>
      <c r="AY3652" s="48"/>
      <c r="AZ3652" s="48"/>
      <c r="BA3652" s="48"/>
      <c r="BB3652" s="14"/>
      <c r="BC3652" s="48"/>
      <c r="BD3652" s="48"/>
      <c r="BE3652" s="48"/>
      <c r="BF3652" s="48"/>
      <c r="BG3652" s="48"/>
      <c r="BH3652" s="48"/>
      <c r="BI3652" s="48"/>
      <c r="BJ3652" s="48"/>
      <c r="BK3652" s="48"/>
      <c r="BL3652" s="48"/>
      <c r="BM3652" s="48"/>
      <c r="BN3652" s="48"/>
      <c r="BO3652" s="48"/>
      <c r="BP3652" s="48"/>
      <c r="BQ3652" s="48"/>
      <c r="BR3652" s="48"/>
      <c r="BS3652" s="48"/>
      <c r="BT3652" s="48"/>
      <c r="BU3652" s="48"/>
      <c r="BV3652" s="48"/>
      <c r="BW3652" s="48"/>
      <c r="BX3652" s="48"/>
      <c r="BY3652" s="48"/>
      <c r="BZ3652" s="48"/>
      <c r="CA3652" s="48"/>
      <c r="CB3652" s="48"/>
      <c r="CC3652" s="48"/>
      <c r="CD3652" s="48"/>
      <c r="CE3652" s="48"/>
      <c r="CF3652" s="48"/>
      <c r="CG3652" s="48"/>
      <c r="CH3652" s="48"/>
      <c r="CI3652" s="48"/>
      <c r="CJ3652" s="48"/>
      <c r="CK3652" s="48"/>
      <c r="CL3652" s="48"/>
      <c r="CM3652" s="48"/>
      <c r="CN3652" s="48"/>
      <c r="CO3652" s="48"/>
      <c r="CP3652" s="48"/>
      <c r="CQ3652" s="48"/>
      <c r="CR3652" s="48"/>
      <c r="CS3652" s="48"/>
      <c r="CT3652" s="48"/>
      <c r="CU3652" s="48"/>
      <c r="CV3652" s="48"/>
      <c r="CW3652" s="48"/>
      <c r="CX3652" s="48"/>
      <c r="CY3652" s="48"/>
      <c r="CZ3652" s="48"/>
    </row>
    <row r="3653" spans="27:104" s="4" customFormat="1" x14ac:dyDescent="0.3">
      <c r="AA3653" s="48"/>
      <c r="AB3653" s="48"/>
      <c r="AC3653" s="48"/>
      <c r="AD3653" s="48"/>
      <c r="AE3653" s="48"/>
      <c r="AF3653" s="48"/>
      <c r="AG3653" s="48"/>
      <c r="AH3653" s="48"/>
      <c r="AI3653" s="48"/>
      <c r="AJ3653" s="48"/>
      <c r="AK3653" s="48"/>
      <c r="AL3653" s="48"/>
      <c r="AM3653" s="48"/>
      <c r="AN3653" s="48"/>
      <c r="AO3653" s="48"/>
      <c r="AP3653" s="48"/>
      <c r="AQ3653" s="48"/>
      <c r="AR3653" s="48"/>
      <c r="AS3653" s="48"/>
      <c r="AT3653" s="48"/>
      <c r="AU3653" s="48"/>
      <c r="AV3653" s="48"/>
      <c r="AW3653" s="48"/>
      <c r="AX3653" s="48"/>
      <c r="AY3653" s="48"/>
      <c r="AZ3653" s="48"/>
      <c r="BA3653" s="48"/>
      <c r="BB3653" s="14"/>
      <c r="BC3653" s="48"/>
      <c r="BD3653" s="48"/>
      <c r="BE3653" s="48"/>
      <c r="BF3653" s="48"/>
      <c r="BG3653" s="48"/>
      <c r="BH3653" s="48"/>
      <c r="BI3653" s="48"/>
      <c r="BJ3653" s="48"/>
      <c r="BK3653" s="48"/>
      <c r="BL3653" s="48"/>
      <c r="BM3653" s="48"/>
      <c r="BN3653" s="48"/>
      <c r="BO3653" s="48"/>
      <c r="BP3653" s="48"/>
      <c r="BQ3653" s="48"/>
      <c r="BR3653" s="48"/>
      <c r="BS3653" s="48"/>
      <c r="BT3653" s="48"/>
      <c r="BU3653" s="48"/>
      <c r="BV3653" s="48"/>
      <c r="BW3653" s="48"/>
      <c r="BX3653" s="48"/>
      <c r="BY3653" s="48"/>
      <c r="BZ3653" s="48"/>
      <c r="CA3653" s="48"/>
      <c r="CB3653" s="48"/>
      <c r="CC3653" s="48"/>
      <c r="CD3653" s="48"/>
      <c r="CE3653" s="48"/>
      <c r="CF3653" s="48"/>
      <c r="CG3653" s="48"/>
      <c r="CH3653" s="48"/>
      <c r="CI3653" s="48"/>
      <c r="CJ3653" s="48"/>
      <c r="CK3653" s="48"/>
      <c r="CL3653" s="48"/>
      <c r="CM3653" s="48"/>
      <c r="CN3653" s="48"/>
      <c r="CO3653" s="48"/>
      <c r="CP3653" s="48"/>
      <c r="CQ3653" s="48"/>
      <c r="CR3653" s="48"/>
      <c r="CS3653" s="48"/>
      <c r="CT3653" s="48"/>
      <c r="CU3653" s="48"/>
      <c r="CV3653" s="48"/>
      <c r="CW3653" s="48"/>
      <c r="CX3653" s="48"/>
      <c r="CY3653" s="48"/>
      <c r="CZ3653" s="48"/>
    </row>
    <row r="3654" spans="27:104" s="4" customFormat="1" x14ac:dyDescent="0.3">
      <c r="AA3654" s="48"/>
      <c r="AB3654" s="48"/>
      <c r="AC3654" s="48"/>
      <c r="AD3654" s="48"/>
      <c r="AE3654" s="48"/>
      <c r="AF3654" s="48"/>
      <c r="AG3654" s="48"/>
      <c r="AH3654" s="48"/>
      <c r="AI3654" s="48"/>
      <c r="AJ3654" s="48"/>
      <c r="AK3654" s="48"/>
      <c r="AL3654" s="48"/>
      <c r="AM3654" s="48"/>
      <c r="AN3654" s="48"/>
      <c r="AO3654" s="48"/>
      <c r="AP3654" s="48"/>
      <c r="AQ3654" s="48"/>
      <c r="AR3654" s="48"/>
      <c r="AS3654" s="48"/>
      <c r="AT3654" s="48"/>
      <c r="AU3654" s="48"/>
      <c r="AV3654" s="48"/>
      <c r="AW3654" s="48"/>
      <c r="AX3654" s="48"/>
      <c r="AY3654" s="48"/>
      <c r="AZ3654" s="48"/>
      <c r="BA3654" s="48"/>
      <c r="BB3654" s="14"/>
      <c r="BC3654" s="48"/>
      <c r="BD3654" s="48"/>
      <c r="BE3654" s="48"/>
      <c r="BF3654" s="48"/>
      <c r="BG3654" s="48"/>
      <c r="BH3654" s="48"/>
      <c r="BI3654" s="48"/>
      <c r="BJ3654" s="48"/>
      <c r="BK3654" s="48"/>
      <c r="BL3654" s="48"/>
      <c r="BM3654" s="48"/>
      <c r="BN3654" s="48"/>
      <c r="BO3654" s="48"/>
      <c r="BP3654" s="48"/>
      <c r="BQ3654" s="48"/>
      <c r="BR3654" s="48"/>
      <c r="BS3654" s="48"/>
      <c r="BT3654" s="48"/>
      <c r="BU3654" s="48"/>
      <c r="BV3654" s="48"/>
      <c r="BW3654" s="48"/>
      <c r="BX3654" s="48"/>
      <c r="BY3654" s="48"/>
      <c r="BZ3654" s="48"/>
      <c r="CA3654" s="48"/>
      <c r="CB3654" s="48"/>
      <c r="CC3654" s="48"/>
      <c r="CD3654" s="48"/>
      <c r="CE3654" s="48"/>
      <c r="CF3654" s="48"/>
      <c r="CG3654" s="48"/>
      <c r="CH3654" s="48"/>
      <c r="CI3654" s="48"/>
      <c r="CJ3654" s="48"/>
      <c r="CK3654" s="48"/>
      <c r="CL3654" s="48"/>
      <c r="CM3654" s="48"/>
      <c r="CN3654" s="48"/>
      <c r="CO3654" s="48"/>
      <c r="CP3654" s="48"/>
      <c r="CQ3654" s="48"/>
      <c r="CR3654" s="48"/>
      <c r="CS3654" s="48"/>
      <c r="CT3654" s="48"/>
      <c r="CU3654" s="48"/>
      <c r="CV3654" s="48"/>
      <c r="CW3654" s="48"/>
      <c r="CX3654" s="48"/>
      <c r="CY3654" s="48"/>
      <c r="CZ3654" s="48"/>
    </row>
    <row r="3655" spans="27:104" s="4" customFormat="1" x14ac:dyDescent="0.3">
      <c r="AA3655" s="48"/>
      <c r="AB3655" s="48"/>
      <c r="AC3655" s="48"/>
      <c r="AD3655" s="48"/>
      <c r="AE3655" s="48"/>
      <c r="AF3655" s="48"/>
      <c r="AG3655" s="48"/>
      <c r="AH3655" s="48"/>
      <c r="AI3655" s="48"/>
      <c r="AJ3655" s="48"/>
      <c r="AK3655" s="48"/>
      <c r="AL3655" s="48"/>
      <c r="AM3655" s="48"/>
      <c r="AN3655" s="48"/>
      <c r="AO3655" s="48"/>
      <c r="AP3655" s="48"/>
      <c r="AQ3655" s="48"/>
      <c r="AR3655" s="48"/>
      <c r="AS3655" s="48"/>
      <c r="AT3655" s="48"/>
      <c r="AU3655" s="48"/>
      <c r="AV3655" s="48"/>
      <c r="AW3655" s="48"/>
      <c r="AX3655" s="48"/>
      <c r="AY3655" s="48"/>
      <c r="AZ3655" s="48"/>
      <c r="BA3655" s="48"/>
      <c r="BB3655" s="14"/>
      <c r="BC3655" s="48"/>
      <c r="BD3655" s="48"/>
      <c r="BE3655" s="48"/>
      <c r="BF3655" s="48"/>
      <c r="BG3655" s="48"/>
      <c r="BH3655" s="48"/>
      <c r="BI3655" s="48"/>
      <c r="BJ3655" s="48"/>
      <c r="BK3655" s="48"/>
      <c r="BL3655" s="48"/>
      <c r="BM3655" s="48"/>
      <c r="BN3655" s="48"/>
      <c r="BO3655" s="48"/>
      <c r="BP3655" s="48"/>
      <c r="BQ3655" s="48"/>
      <c r="BR3655" s="48"/>
      <c r="BS3655" s="48"/>
      <c r="BT3655" s="48"/>
      <c r="BU3655" s="48"/>
      <c r="BV3655" s="48"/>
      <c r="BW3655" s="48"/>
      <c r="BX3655" s="48"/>
      <c r="BY3655" s="48"/>
      <c r="BZ3655" s="48"/>
      <c r="CA3655" s="48"/>
      <c r="CB3655" s="48"/>
      <c r="CC3655" s="48"/>
      <c r="CD3655" s="48"/>
      <c r="CE3655" s="48"/>
      <c r="CF3655" s="48"/>
      <c r="CG3655" s="48"/>
      <c r="CH3655" s="48"/>
      <c r="CI3655" s="48"/>
      <c r="CJ3655" s="48"/>
      <c r="CK3655" s="48"/>
      <c r="CL3655" s="48"/>
      <c r="CM3655" s="48"/>
      <c r="CN3655" s="48"/>
      <c r="CO3655" s="48"/>
      <c r="CP3655" s="48"/>
      <c r="CQ3655" s="48"/>
      <c r="CR3655" s="48"/>
      <c r="CS3655" s="48"/>
      <c r="CT3655" s="48"/>
      <c r="CU3655" s="48"/>
      <c r="CV3655" s="48"/>
      <c r="CW3655" s="48"/>
      <c r="CX3655" s="48"/>
      <c r="CY3655" s="48"/>
      <c r="CZ3655" s="48"/>
    </row>
    <row r="3656" spans="27:104" s="4" customFormat="1" x14ac:dyDescent="0.3">
      <c r="AA3656" s="48"/>
      <c r="AB3656" s="48"/>
      <c r="AC3656" s="48"/>
      <c r="AD3656" s="48"/>
      <c r="AE3656" s="48"/>
      <c r="AF3656" s="48"/>
      <c r="AG3656" s="48"/>
      <c r="AH3656" s="48"/>
      <c r="AI3656" s="48"/>
      <c r="AJ3656" s="48"/>
      <c r="AK3656" s="48"/>
      <c r="AL3656" s="48"/>
      <c r="AM3656" s="48"/>
      <c r="AN3656" s="48"/>
      <c r="AO3656" s="48"/>
      <c r="AP3656" s="48"/>
      <c r="AQ3656" s="48"/>
      <c r="AR3656" s="48"/>
      <c r="AS3656" s="48"/>
      <c r="AT3656" s="48"/>
      <c r="AU3656" s="48"/>
      <c r="AV3656" s="48"/>
      <c r="AW3656" s="48"/>
      <c r="AX3656" s="48"/>
      <c r="AY3656" s="48"/>
      <c r="AZ3656" s="48"/>
      <c r="BA3656" s="48"/>
      <c r="BB3656" s="14"/>
      <c r="BC3656" s="48"/>
      <c r="BD3656" s="48"/>
      <c r="BE3656" s="48"/>
      <c r="BF3656" s="48"/>
      <c r="BG3656" s="48"/>
      <c r="BH3656" s="48"/>
      <c r="BI3656" s="48"/>
      <c r="BJ3656" s="48"/>
      <c r="BK3656" s="48"/>
      <c r="BL3656" s="48"/>
      <c r="BM3656" s="48"/>
      <c r="BN3656" s="48"/>
      <c r="BO3656" s="48"/>
      <c r="BP3656" s="48"/>
      <c r="BQ3656" s="48"/>
      <c r="BR3656" s="48"/>
      <c r="BS3656" s="48"/>
      <c r="BT3656" s="48"/>
      <c r="BU3656" s="48"/>
      <c r="BV3656" s="48"/>
      <c r="BW3656" s="48"/>
      <c r="BX3656" s="48"/>
      <c r="BY3656" s="48"/>
      <c r="BZ3656" s="48"/>
      <c r="CA3656" s="48"/>
      <c r="CB3656" s="48"/>
      <c r="CC3656" s="48"/>
      <c r="CD3656" s="48"/>
      <c r="CE3656" s="48"/>
      <c r="CF3656" s="48"/>
      <c r="CG3656" s="48"/>
      <c r="CH3656" s="48"/>
      <c r="CI3656" s="48"/>
      <c r="CJ3656" s="48"/>
      <c r="CK3656" s="48"/>
      <c r="CL3656" s="48"/>
      <c r="CM3656" s="48"/>
      <c r="CN3656" s="48"/>
      <c r="CO3656" s="48"/>
      <c r="CP3656" s="48"/>
      <c r="CQ3656" s="48"/>
      <c r="CR3656" s="48"/>
      <c r="CS3656" s="48"/>
      <c r="CT3656" s="48"/>
      <c r="CU3656" s="48"/>
      <c r="CV3656" s="48"/>
      <c r="CW3656" s="48"/>
      <c r="CX3656" s="48"/>
      <c r="CY3656" s="48"/>
      <c r="CZ3656" s="48"/>
    </row>
    <row r="3657" spans="27:104" s="4" customFormat="1" x14ac:dyDescent="0.3">
      <c r="AA3657" s="48"/>
      <c r="AB3657" s="48"/>
      <c r="AC3657" s="48"/>
      <c r="AD3657" s="48"/>
      <c r="AE3657" s="48"/>
      <c r="AF3657" s="48"/>
      <c r="AG3657" s="48"/>
      <c r="AH3657" s="48"/>
      <c r="AI3657" s="48"/>
      <c r="AJ3657" s="48"/>
      <c r="AK3657" s="48"/>
      <c r="AL3657" s="48"/>
      <c r="AM3657" s="48"/>
      <c r="AN3657" s="48"/>
      <c r="AO3657" s="48"/>
      <c r="AP3657" s="48"/>
      <c r="AQ3657" s="48"/>
      <c r="AR3657" s="48"/>
      <c r="AS3657" s="48"/>
      <c r="AT3657" s="48"/>
      <c r="AU3657" s="48"/>
      <c r="AV3657" s="48"/>
      <c r="AW3657" s="48"/>
      <c r="AX3657" s="48"/>
      <c r="AY3657" s="48"/>
      <c r="AZ3657" s="48"/>
      <c r="BA3657" s="48"/>
      <c r="BB3657" s="14"/>
      <c r="BC3657" s="48"/>
      <c r="BD3657" s="48"/>
      <c r="BE3657" s="48"/>
      <c r="BF3657" s="48"/>
      <c r="BG3657" s="48"/>
      <c r="BH3657" s="48"/>
      <c r="BI3657" s="48"/>
      <c r="BJ3657" s="48"/>
      <c r="BK3657" s="48"/>
      <c r="BL3657" s="48"/>
      <c r="BM3657" s="48"/>
      <c r="BN3657" s="48"/>
      <c r="BO3657" s="48"/>
      <c r="BP3657" s="48"/>
      <c r="BQ3657" s="48"/>
      <c r="BR3657" s="48"/>
      <c r="BS3657" s="48"/>
      <c r="BT3657" s="48"/>
      <c r="BU3657" s="48"/>
      <c r="BV3657" s="48"/>
      <c r="BW3657" s="48"/>
      <c r="BX3657" s="48"/>
      <c r="BY3657" s="48"/>
      <c r="BZ3657" s="48"/>
      <c r="CA3657" s="48"/>
      <c r="CB3657" s="48"/>
      <c r="CC3657" s="48"/>
      <c r="CD3657" s="48"/>
      <c r="CE3657" s="48"/>
      <c r="CF3657" s="48"/>
      <c r="CG3657" s="48"/>
      <c r="CH3657" s="48"/>
      <c r="CI3657" s="48"/>
      <c r="CJ3657" s="48"/>
      <c r="CK3657" s="48"/>
      <c r="CL3657" s="48"/>
      <c r="CM3657" s="48"/>
      <c r="CN3657" s="48"/>
      <c r="CO3657" s="48"/>
      <c r="CP3657" s="48"/>
      <c r="CQ3657" s="48"/>
      <c r="CR3657" s="48"/>
      <c r="CS3657" s="48"/>
      <c r="CT3657" s="48"/>
      <c r="CU3657" s="48"/>
      <c r="CV3657" s="48"/>
      <c r="CW3657" s="48"/>
      <c r="CX3657" s="48"/>
      <c r="CY3657" s="48"/>
      <c r="CZ3657" s="48"/>
    </row>
    <row r="3658" spans="27:104" s="4" customFormat="1" x14ac:dyDescent="0.3">
      <c r="AA3658" s="48"/>
      <c r="AB3658" s="48"/>
      <c r="AC3658" s="48"/>
      <c r="AD3658" s="48"/>
      <c r="AE3658" s="48"/>
      <c r="AF3658" s="48"/>
      <c r="AG3658" s="48"/>
      <c r="AH3658" s="48"/>
      <c r="AI3658" s="48"/>
      <c r="AJ3658" s="48"/>
      <c r="AK3658" s="48"/>
      <c r="AL3658" s="48"/>
      <c r="AM3658" s="48"/>
      <c r="AN3658" s="48"/>
      <c r="AO3658" s="48"/>
      <c r="AP3658" s="48"/>
      <c r="AQ3658" s="48"/>
      <c r="AR3658" s="48"/>
      <c r="AS3658" s="48"/>
      <c r="AT3658" s="48"/>
      <c r="AU3658" s="48"/>
      <c r="AV3658" s="48"/>
      <c r="AW3658" s="48"/>
      <c r="AX3658" s="48"/>
      <c r="AY3658" s="48"/>
      <c r="AZ3658" s="48"/>
      <c r="BA3658" s="48"/>
      <c r="BB3658" s="14"/>
      <c r="BC3658" s="48"/>
      <c r="BD3658" s="48"/>
      <c r="BE3658" s="48"/>
      <c r="BF3658" s="48"/>
      <c r="BG3658" s="48"/>
      <c r="BH3658" s="48"/>
      <c r="BI3658" s="48"/>
      <c r="BJ3658" s="48"/>
      <c r="BK3658" s="48"/>
      <c r="BL3658" s="48"/>
      <c r="BM3658" s="48"/>
      <c r="BN3658" s="48"/>
      <c r="BO3658" s="48"/>
      <c r="BP3658" s="48"/>
      <c r="BQ3658" s="48"/>
      <c r="BR3658" s="48"/>
      <c r="BS3658" s="48"/>
      <c r="BT3658" s="48"/>
      <c r="BU3658" s="48"/>
      <c r="BV3658" s="48"/>
      <c r="BW3658" s="48"/>
      <c r="BX3658" s="48"/>
      <c r="BY3658" s="48"/>
      <c r="BZ3658" s="48"/>
      <c r="CA3658" s="48"/>
      <c r="CB3658" s="48"/>
      <c r="CC3658" s="48"/>
      <c r="CD3658" s="48"/>
      <c r="CE3658" s="48"/>
      <c r="CF3658" s="48"/>
      <c r="CG3658" s="48"/>
      <c r="CH3658" s="48"/>
      <c r="CI3658" s="48"/>
      <c r="CJ3658" s="48"/>
      <c r="CK3658" s="48"/>
      <c r="CL3658" s="48"/>
      <c r="CM3658" s="48"/>
      <c r="CN3658" s="48"/>
      <c r="CO3658" s="48"/>
      <c r="CP3658" s="48"/>
      <c r="CQ3658" s="48"/>
      <c r="CR3658" s="48"/>
      <c r="CS3658" s="48"/>
      <c r="CT3658" s="48"/>
      <c r="CU3658" s="48"/>
      <c r="CV3658" s="48"/>
      <c r="CW3658" s="48"/>
      <c r="CX3658" s="48"/>
      <c r="CY3658" s="48"/>
      <c r="CZ3658" s="48"/>
    </row>
    <row r="3659" spans="27:104" s="4" customFormat="1" x14ac:dyDescent="0.3">
      <c r="AA3659" s="48"/>
      <c r="AB3659" s="48"/>
      <c r="AC3659" s="48"/>
      <c r="AD3659" s="48"/>
      <c r="AE3659" s="48"/>
      <c r="AF3659" s="48"/>
      <c r="AG3659" s="48"/>
      <c r="AH3659" s="48"/>
      <c r="AI3659" s="48"/>
      <c r="AJ3659" s="48"/>
      <c r="AK3659" s="48"/>
      <c r="AL3659" s="48"/>
      <c r="AM3659" s="48"/>
      <c r="AN3659" s="48"/>
      <c r="AO3659" s="48"/>
      <c r="AP3659" s="48"/>
      <c r="AQ3659" s="48"/>
      <c r="AR3659" s="48"/>
      <c r="AS3659" s="48"/>
      <c r="AT3659" s="48"/>
      <c r="AU3659" s="48"/>
      <c r="AV3659" s="48"/>
      <c r="AW3659" s="48"/>
      <c r="AX3659" s="48"/>
      <c r="AY3659" s="48"/>
      <c r="AZ3659" s="48"/>
      <c r="BA3659" s="48"/>
      <c r="BB3659" s="14"/>
      <c r="BC3659" s="48"/>
      <c r="BD3659" s="48"/>
      <c r="BE3659" s="48"/>
      <c r="BF3659" s="48"/>
      <c r="BG3659" s="48"/>
      <c r="BH3659" s="48"/>
      <c r="BI3659" s="48"/>
      <c r="BJ3659" s="48"/>
      <c r="BK3659" s="48"/>
      <c r="BL3659" s="48"/>
      <c r="BM3659" s="48"/>
      <c r="BN3659" s="48"/>
      <c r="BO3659" s="48"/>
      <c r="BP3659" s="48"/>
      <c r="BQ3659" s="48"/>
      <c r="BR3659" s="48"/>
      <c r="BS3659" s="48"/>
      <c r="BT3659" s="48"/>
      <c r="BU3659" s="48"/>
      <c r="BV3659" s="48"/>
      <c r="BW3659" s="48"/>
      <c r="BX3659" s="48"/>
      <c r="BY3659" s="48"/>
      <c r="BZ3659" s="48"/>
      <c r="CA3659" s="48"/>
      <c r="CB3659" s="48"/>
      <c r="CC3659" s="48"/>
      <c r="CD3659" s="48"/>
      <c r="CE3659" s="48"/>
      <c r="CF3659" s="48"/>
      <c r="CG3659" s="48"/>
      <c r="CH3659" s="48"/>
      <c r="CI3659" s="48"/>
      <c r="CJ3659" s="48"/>
      <c r="CK3659" s="48"/>
      <c r="CL3659" s="48"/>
      <c r="CM3659" s="48"/>
      <c r="CN3659" s="48"/>
      <c r="CO3659" s="48"/>
      <c r="CP3659" s="48"/>
      <c r="CQ3659" s="48"/>
      <c r="CR3659" s="48"/>
      <c r="CS3659" s="48"/>
      <c r="CT3659" s="48"/>
      <c r="CU3659" s="48"/>
      <c r="CV3659" s="48"/>
      <c r="CW3659" s="48"/>
      <c r="CX3659" s="48"/>
      <c r="CY3659" s="48"/>
      <c r="CZ3659" s="48"/>
    </row>
    <row r="3660" spans="27:104" s="4" customFormat="1" x14ac:dyDescent="0.3">
      <c r="AA3660" s="48"/>
      <c r="AB3660" s="48"/>
      <c r="AC3660" s="48"/>
      <c r="AD3660" s="48"/>
      <c r="AE3660" s="48"/>
      <c r="AF3660" s="48"/>
      <c r="AG3660" s="48"/>
      <c r="AH3660" s="48"/>
      <c r="AI3660" s="48"/>
      <c r="AJ3660" s="48"/>
      <c r="AK3660" s="48"/>
      <c r="AL3660" s="48"/>
      <c r="AM3660" s="48"/>
      <c r="AN3660" s="48"/>
      <c r="AO3660" s="48"/>
      <c r="AP3660" s="48"/>
      <c r="AQ3660" s="48"/>
      <c r="AR3660" s="48"/>
      <c r="AS3660" s="48"/>
      <c r="AT3660" s="48"/>
      <c r="AU3660" s="48"/>
      <c r="AV3660" s="48"/>
      <c r="AW3660" s="48"/>
      <c r="AX3660" s="48"/>
      <c r="AY3660" s="48"/>
      <c r="AZ3660" s="48"/>
      <c r="BA3660" s="48"/>
      <c r="BB3660" s="14"/>
      <c r="BC3660" s="48"/>
      <c r="BD3660" s="48"/>
      <c r="BE3660" s="48"/>
      <c r="BF3660" s="48"/>
      <c r="BG3660" s="48"/>
      <c r="BH3660" s="48"/>
      <c r="BI3660" s="48"/>
      <c r="BJ3660" s="48"/>
      <c r="BK3660" s="48"/>
      <c r="BL3660" s="48"/>
      <c r="BM3660" s="48"/>
      <c r="BN3660" s="48"/>
      <c r="BO3660" s="48"/>
      <c r="BP3660" s="48"/>
      <c r="BQ3660" s="48"/>
      <c r="BR3660" s="48"/>
      <c r="BS3660" s="48"/>
      <c r="BT3660" s="48"/>
      <c r="BU3660" s="48"/>
      <c r="BV3660" s="48"/>
      <c r="BW3660" s="48"/>
      <c r="BX3660" s="48"/>
      <c r="BY3660" s="48"/>
      <c r="BZ3660" s="48"/>
      <c r="CA3660" s="48"/>
      <c r="CB3660" s="48"/>
      <c r="CC3660" s="48"/>
      <c r="CD3660" s="48"/>
      <c r="CE3660" s="48"/>
      <c r="CF3660" s="48"/>
      <c r="CG3660" s="48"/>
      <c r="CH3660" s="48"/>
      <c r="CI3660" s="48"/>
      <c r="CJ3660" s="48"/>
      <c r="CK3660" s="48"/>
      <c r="CL3660" s="48"/>
      <c r="CM3660" s="48"/>
      <c r="CN3660" s="48"/>
      <c r="CO3660" s="48"/>
      <c r="CP3660" s="48"/>
      <c r="CQ3660" s="48"/>
      <c r="CR3660" s="48"/>
      <c r="CS3660" s="48"/>
      <c r="CT3660" s="48"/>
      <c r="CU3660" s="48"/>
      <c r="CV3660" s="48"/>
      <c r="CW3660" s="48"/>
      <c r="CX3660" s="48"/>
      <c r="CY3660" s="48"/>
      <c r="CZ3660" s="48"/>
    </row>
    <row r="3661" spans="27:104" s="4" customFormat="1" x14ac:dyDescent="0.3">
      <c r="AA3661" s="48"/>
      <c r="AB3661" s="48"/>
      <c r="AC3661" s="48"/>
      <c r="AD3661" s="48"/>
      <c r="AE3661" s="48"/>
      <c r="AF3661" s="48"/>
      <c r="AG3661" s="48"/>
      <c r="AH3661" s="48"/>
      <c r="AI3661" s="48"/>
      <c r="AJ3661" s="48"/>
      <c r="AK3661" s="48"/>
      <c r="AL3661" s="48"/>
      <c r="AM3661" s="48"/>
      <c r="AN3661" s="48"/>
      <c r="AO3661" s="48"/>
      <c r="AP3661" s="48"/>
      <c r="AQ3661" s="48"/>
      <c r="AR3661" s="48"/>
      <c r="AS3661" s="48"/>
      <c r="AT3661" s="48"/>
      <c r="AU3661" s="48"/>
      <c r="AV3661" s="48"/>
      <c r="AW3661" s="48"/>
      <c r="AX3661" s="48"/>
      <c r="AY3661" s="48"/>
      <c r="AZ3661" s="48"/>
      <c r="BA3661" s="48"/>
      <c r="BB3661" s="14"/>
      <c r="BC3661" s="48"/>
      <c r="BD3661" s="48"/>
      <c r="BE3661" s="48"/>
      <c r="BF3661" s="48"/>
      <c r="BG3661" s="48"/>
      <c r="BH3661" s="48"/>
      <c r="BI3661" s="48"/>
      <c r="BJ3661" s="48"/>
      <c r="BK3661" s="48"/>
      <c r="BL3661" s="48"/>
      <c r="BM3661" s="48"/>
      <c r="BN3661" s="48"/>
      <c r="BO3661" s="48"/>
      <c r="BP3661" s="48"/>
      <c r="BQ3661" s="48"/>
      <c r="BR3661" s="48"/>
      <c r="BS3661" s="48"/>
      <c r="BT3661" s="48"/>
      <c r="BU3661" s="48"/>
      <c r="BV3661" s="48"/>
      <c r="BW3661" s="48"/>
      <c r="BX3661" s="48"/>
      <c r="BY3661" s="48"/>
      <c r="BZ3661" s="48"/>
      <c r="CA3661" s="48"/>
      <c r="CB3661" s="48"/>
      <c r="CC3661" s="48"/>
      <c r="CD3661" s="48"/>
      <c r="CE3661" s="48"/>
      <c r="CF3661" s="48"/>
      <c r="CG3661" s="48"/>
      <c r="CH3661" s="48"/>
      <c r="CI3661" s="48"/>
      <c r="CJ3661" s="48"/>
      <c r="CK3661" s="48"/>
      <c r="CL3661" s="48"/>
      <c r="CM3661" s="48"/>
      <c r="CN3661" s="48"/>
      <c r="CO3661" s="48"/>
      <c r="CP3661" s="48"/>
      <c r="CQ3661" s="48"/>
      <c r="CR3661" s="48"/>
      <c r="CS3661" s="48"/>
      <c r="CT3661" s="48"/>
      <c r="CU3661" s="48"/>
      <c r="CV3661" s="48"/>
      <c r="CW3661" s="48"/>
      <c r="CX3661" s="48"/>
      <c r="CY3661" s="48"/>
      <c r="CZ3661" s="48"/>
    </row>
    <row r="3662" spans="27:104" s="4" customFormat="1" x14ac:dyDescent="0.3">
      <c r="AA3662" s="48"/>
      <c r="AB3662" s="48"/>
      <c r="AC3662" s="48"/>
      <c r="AD3662" s="48"/>
      <c r="AE3662" s="48"/>
      <c r="AF3662" s="48"/>
      <c r="AG3662" s="48"/>
      <c r="AH3662" s="48"/>
      <c r="AI3662" s="48"/>
      <c r="AJ3662" s="48"/>
      <c r="AK3662" s="48"/>
      <c r="AL3662" s="48"/>
      <c r="AM3662" s="48"/>
      <c r="AN3662" s="48"/>
      <c r="AO3662" s="48"/>
      <c r="AP3662" s="48"/>
      <c r="AQ3662" s="48"/>
      <c r="AR3662" s="48"/>
      <c r="AS3662" s="48"/>
      <c r="AT3662" s="48"/>
      <c r="AU3662" s="48"/>
      <c r="AV3662" s="48"/>
      <c r="AW3662" s="48"/>
      <c r="AX3662" s="48"/>
      <c r="AY3662" s="48"/>
      <c r="AZ3662" s="48"/>
      <c r="BA3662" s="48"/>
      <c r="BB3662" s="14"/>
      <c r="BC3662" s="48"/>
      <c r="BD3662" s="48"/>
      <c r="BE3662" s="48"/>
      <c r="BF3662" s="48"/>
      <c r="BG3662" s="48"/>
      <c r="BH3662" s="48"/>
      <c r="BI3662" s="48"/>
      <c r="BJ3662" s="48"/>
      <c r="BK3662" s="48"/>
      <c r="BL3662" s="48"/>
      <c r="BM3662" s="48"/>
      <c r="BN3662" s="48"/>
      <c r="BO3662" s="48"/>
      <c r="BP3662" s="48"/>
      <c r="BQ3662" s="48"/>
      <c r="BR3662" s="48"/>
      <c r="BS3662" s="48"/>
      <c r="BT3662" s="48"/>
      <c r="BU3662" s="48"/>
      <c r="BV3662" s="48"/>
      <c r="BW3662" s="48"/>
      <c r="BX3662" s="48"/>
      <c r="BY3662" s="48"/>
      <c r="BZ3662" s="48"/>
      <c r="CA3662" s="48"/>
      <c r="CB3662" s="48"/>
      <c r="CC3662" s="48"/>
      <c r="CD3662" s="48"/>
      <c r="CE3662" s="48"/>
      <c r="CF3662" s="48"/>
      <c r="CG3662" s="48"/>
      <c r="CH3662" s="48"/>
      <c r="CI3662" s="48"/>
      <c r="CJ3662" s="48"/>
      <c r="CK3662" s="48"/>
      <c r="CL3662" s="48"/>
      <c r="CM3662" s="48"/>
      <c r="CN3662" s="48"/>
      <c r="CO3662" s="48"/>
      <c r="CP3662" s="48"/>
      <c r="CQ3662" s="48"/>
      <c r="CR3662" s="48"/>
      <c r="CS3662" s="48"/>
      <c r="CT3662" s="48"/>
      <c r="CU3662" s="48"/>
      <c r="CV3662" s="48"/>
      <c r="CW3662" s="48"/>
      <c r="CX3662" s="48"/>
      <c r="CY3662" s="48"/>
      <c r="CZ3662" s="48"/>
    </row>
    <row r="3663" spans="27:104" s="4" customFormat="1" x14ac:dyDescent="0.3">
      <c r="AA3663" s="48"/>
      <c r="AB3663" s="48"/>
      <c r="AC3663" s="48"/>
      <c r="AD3663" s="48"/>
      <c r="AE3663" s="48"/>
      <c r="AF3663" s="48"/>
      <c r="AG3663" s="48"/>
      <c r="AH3663" s="48"/>
      <c r="AI3663" s="48"/>
      <c r="AJ3663" s="48"/>
      <c r="AK3663" s="48"/>
      <c r="AL3663" s="48"/>
      <c r="AM3663" s="48"/>
      <c r="AN3663" s="48"/>
      <c r="AO3663" s="48"/>
      <c r="AP3663" s="48"/>
      <c r="AQ3663" s="48"/>
      <c r="AR3663" s="48"/>
      <c r="AS3663" s="48"/>
      <c r="AT3663" s="48"/>
      <c r="AU3663" s="48"/>
      <c r="AV3663" s="48"/>
      <c r="AW3663" s="48"/>
      <c r="AX3663" s="48"/>
      <c r="AY3663" s="48"/>
      <c r="AZ3663" s="48"/>
      <c r="BA3663" s="48"/>
      <c r="BB3663" s="14"/>
      <c r="BC3663" s="48"/>
      <c r="BD3663" s="48"/>
      <c r="BE3663" s="48"/>
      <c r="BF3663" s="48"/>
      <c r="BG3663" s="48"/>
      <c r="BH3663" s="48"/>
      <c r="BI3663" s="48"/>
      <c r="BJ3663" s="48"/>
      <c r="BK3663" s="48"/>
      <c r="BL3663" s="48"/>
      <c r="BM3663" s="48"/>
      <c r="BN3663" s="48"/>
      <c r="BO3663" s="48"/>
      <c r="BP3663" s="48"/>
      <c r="BQ3663" s="48"/>
      <c r="BR3663" s="48"/>
      <c r="BS3663" s="48"/>
      <c r="BT3663" s="48"/>
      <c r="BU3663" s="48"/>
      <c r="BV3663" s="48"/>
      <c r="BW3663" s="48"/>
      <c r="BX3663" s="48"/>
      <c r="BY3663" s="48"/>
      <c r="BZ3663" s="48"/>
      <c r="CA3663" s="48"/>
      <c r="CB3663" s="48"/>
      <c r="CC3663" s="48"/>
      <c r="CD3663" s="48"/>
      <c r="CE3663" s="48"/>
      <c r="CF3663" s="48"/>
      <c r="CG3663" s="48"/>
      <c r="CH3663" s="48"/>
      <c r="CI3663" s="48"/>
      <c r="CJ3663" s="48"/>
      <c r="CK3663" s="48"/>
      <c r="CL3663" s="48"/>
      <c r="CM3663" s="48"/>
      <c r="CN3663" s="48"/>
      <c r="CO3663" s="48"/>
      <c r="CP3663" s="48"/>
      <c r="CQ3663" s="48"/>
      <c r="CR3663" s="48"/>
      <c r="CS3663" s="48"/>
      <c r="CT3663" s="48"/>
      <c r="CU3663" s="48"/>
      <c r="CV3663" s="48"/>
      <c r="CW3663" s="48"/>
      <c r="CX3663" s="48"/>
      <c r="CY3663" s="48"/>
      <c r="CZ3663" s="48"/>
    </row>
    <row r="3664" spans="27:104" s="4" customFormat="1" x14ac:dyDescent="0.3">
      <c r="AA3664" s="48"/>
      <c r="AB3664" s="48"/>
      <c r="AC3664" s="48"/>
      <c r="AD3664" s="48"/>
      <c r="AE3664" s="48"/>
      <c r="AF3664" s="48"/>
      <c r="AG3664" s="48"/>
      <c r="AH3664" s="48"/>
      <c r="AI3664" s="48"/>
      <c r="AJ3664" s="48"/>
      <c r="AK3664" s="48"/>
      <c r="AL3664" s="48"/>
      <c r="AM3664" s="48"/>
      <c r="AN3664" s="48"/>
      <c r="AO3664" s="48"/>
      <c r="AP3664" s="48"/>
      <c r="AQ3664" s="48"/>
      <c r="AR3664" s="48"/>
      <c r="AS3664" s="48"/>
      <c r="AT3664" s="48"/>
      <c r="AU3664" s="48"/>
      <c r="AV3664" s="48"/>
      <c r="AW3664" s="48"/>
      <c r="AX3664" s="48"/>
      <c r="AY3664" s="48"/>
      <c r="AZ3664" s="48"/>
      <c r="BA3664" s="48"/>
      <c r="BB3664" s="14"/>
      <c r="BC3664" s="48"/>
      <c r="BD3664" s="48"/>
      <c r="BE3664" s="48"/>
      <c r="BF3664" s="48"/>
      <c r="BG3664" s="48"/>
      <c r="BH3664" s="48"/>
      <c r="BI3664" s="48"/>
      <c r="BJ3664" s="48"/>
      <c r="BK3664" s="48"/>
      <c r="BL3664" s="48"/>
      <c r="BM3664" s="48"/>
      <c r="BN3664" s="48"/>
      <c r="BO3664" s="48"/>
      <c r="BP3664" s="48"/>
      <c r="BQ3664" s="48"/>
      <c r="BR3664" s="48"/>
      <c r="BS3664" s="48"/>
      <c r="BT3664" s="48"/>
      <c r="BU3664" s="48"/>
      <c r="BV3664" s="48"/>
      <c r="BW3664" s="48"/>
      <c r="BX3664" s="48"/>
      <c r="BY3664" s="48"/>
      <c r="BZ3664" s="48"/>
      <c r="CA3664" s="48"/>
      <c r="CB3664" s="48"/>
      <c r="CC3664" s="48"/>
      <c r="CD3664" s="48"/>
      <c r="CE3664" s="48"/>
      <c r="CF3664" s="48"/>
      <c r="CG3664" s="48"/>
      <c r="CH3664" s="48"/>
      <c r="CI3664" s="48"/>
      <c r="CJ3664" s="48"/>
      <c r="CK3664" s="48"/>
      <c r="CL3664" s="48"/>
      <c r="CM3664" s="48"/>
      <c r="CN3664" s="48"/>
      <c r="CO3664" s="48"/>
      <c r="CP3664" s="48"/>
      <c r="CQ3664" s="48"/>
      <c r="CR3664" s="48"/>
      <c r="CS3664" s="48"/>
      <c r="CT3664" s="48"/>
      <c r="CU3664" s="48"/>
      <c r="CV3664" s="48"/>
      <c r="CW3664" s="48"/>
      <c r="CX3664" s="48"/>
      <c r="CY3664" s="48"/>
      <c r="CZ3664" s="48"/>
    </row>
    <row r="3665" spans="27:104" s="4" customFormat="1" x14ac:dyDescent="0.3">
      <c r="AA3665" s="48"/>
      <c r="AB3665" s="48"/>
      <c r="AC3665" s="48"/>
      <c r="AD3665" s="48"/>
      <c r="AE3665" s="48"/>
      <c r="AF3665" s="48"/>
      <c r="AG3665" s="48"/>
      <c r="AH3665" s="48"/>
      <c r="AI3665" s="48"/>
      <c r="AJ3665" s="48"/>
      <c r="AK3665" s="48"/>
      <c r="AL3665" s="48"/>
      <c r="AM3665" s="48"/>
      <c r="AN3665" s="48"/>
      <c r="AO3665" s="48"/>
      <c r="AP3665" s="48"/>
      <c r="AQ3665" s="48"/>
      <c r="AR3665" s="48"/>
      <c r="AS3665" s="48"/>
      <c r="AT3665" s="48"/>
      <c r="AU3665" s="48"/>
      <c r="AV3665" s="48"/>
      <c r="AW3665" s="48"/>
      <c r="AX3665" s="48"/>
      <c r="AY3665" s="48"/>
      <c r="AZ3665" s="48"/>
      <c r="BA3665" s="48"/>
      <c r="BB3665" s="14"/>
      <c r="BC3665" s="48"/>
      <c r="BD3665" s="48"/>
      <c r="BE3665" s="48"/>
      <c r="BF3665" s="48"/>
      <c r="BG3665" s="48"/>
      <c r="BH3665" s="48"/>
      <c r="BI3665" s="48"/>
      <c r="BJ3665" s="48"/>
      <c r="BK3665" s="48"/>
      <c r="BL3665" s="48"/>
      <c r="BM3665" s="48"/>
      <c r="BN3665" s="48"/>
      <c r="BO3665" s="48"/>
      <c r="BP3665" s="48"/>
      <c r="BQ3665" s="48"/>
      <c r="BR3665" s="48"/>
      <c r="BS3665" s="48"/>
      <c r="BT3665" s="48"/>
      <c r="BU3665" s="48"/>
      <c r="BV3665" s="48"/>
      <c r="BW3665" s="48"/>
      <c r="BX3665" s="48"/>
      <c r="BY3665" s="48"/>
      <c r="BZ3665" s="48"/>
      <c r="CA3665" s="48"/>
      <c r="CB3665" s="48"/>
      <c r="CC3665" s="48"/>
      <c r="CD3665" s="48"/>
      <c r="CE3665" s="48"/>
      <c r="CF3665" s="48"/>
      <c r="CG3665" s="48"/>
      <c r="CH3665" s="48"/>
      <c r="CI3665" s="48"/>
      <c r="CJ3665" s="48"/>
      <c r="CK3665" s="48"/>
      <c r="CL3665" s="48"/>
      <c r="CM3665" s="48"/>
      <c r="CN3665" s="48"/>
      <c r="CO3665" s="48"/>
      <c r="CP3665" s="48"/>
      <c r="CQ3665" s="48"/>
      <c r="CR3665" s="48"/>
      <c r="CS3665" s="48"/>
      <c r="CT3665" s="48"/>
      <c r="CU3665" s="48"/>
      <c r="CV3665" s="48"/>
      <c r="CW3665" s="48"/>
      <c r="CX3665" s="48"/>
      <c r="CY3665" s="48"/>
      <c r="CZ3665" s="48"/>
    </row>
    <row r="3666" spans="27:104" s="4" customFormat="1" x14ac:dyDescent="0.3">
      <c r="AA3666" s="48"/>
      <c r="AB3666" s="48"/>
      <c r="AC3666" s="48"/>
      <c r="AD3666" s="48"/>
      <c r="AE3666" s="48"/>
      <c r="AF3666" s="48"/>
      <c r="AG3666" s="48"/>
      <c r="AH3666" s="48"/>
      <c r="AI3666" s="48"/>
      <c r="AJ3666" s="48"/>
      <c r="AK3666" s="48"/>
      <c r="AL3666" s="48"/>
      <c r="AM3666" s="48"/>
      <c r="AN3666" s="48"/>
      <c r="AO3666" s="48"/>
      <c r="AP3666" s="48"/>
      <c r="AQ3666" s="48"/>
      <c r="AR3666" s="48"/>
      <c r="AS3666" s="48"/>
      <c r="AT3666" s="48"/>
      <c r="AU3666" s="48"/>
      <c r="AV3666" s="48"/>
      <c r="AW3666" s="48"/>
      <c r="AX3666" s="48"/>
      <c r="AY3666" s="48"/>
      <c r="AZ3666" s="48"/>
      <c r="BA3666" s="48"/>
      <c r="BB3666" s="14"/>
      <c r="BC3666" s="48"/>
      <c r="BD3666" s="48"/>
      <c r="BE3666" s="48"/>
      <c r="BF3666" s="48"/>
      <c r="BG3666" s="48"/>
      <c r="BH3666" s="48"/>
      <c r="BI3666" s="48"/>
      <c r="BJ3666" s="48"/>
      <c r="BK3666" s="48"/>
      <c r="BL3666" s="48"/>
      <c r="BM3666" s="48"/>
      <c r="BN3666" s="48"/>
      <c r="BO3666" s="48"/>
      <c r="BP3666" s="48"/>
      <c r="BQ3666" s="48"/>
      <c r="BR3666" s="48"/>
      <c r="BS3666" s="48"/>
      <c r="BT3666" s="48"/>
      <c r="BU3666" s="48"/>
      <c r="BV3666" s="48"/>
      <c r="BW3666" s="48"/>
      <c r="BX3666" s="48"/>
      <c r="BY3666" s="48"/>
      <c r="BZ3666" s="48"/>
      <c r="CA3666" s="48"/>
      <c r="CB3666" s="48"/>
      <c r="CC3666" s="48"/>
      <c r="CD3666" s="48"/>
      <c r="CE3666" s="48"/>
      <c r="CF3666" s="48"/>
      <c r="CG3666" s="48"/>
      <c r="CH3666" s="48"/>
      <c r="CI3666" s="48"/>
      <c r="CJ3666" s="48"/>
      <c r="CK3666" s="48"/>
      <c r="CL3666" s="48"/>
      <c r="CM3666" s="48"/>
      <c r="CN3666" s="48"/>
      <c r="CO3666" s="48"/>
      <c r="CP3666" s="48"/>
      <c r="CQ3666" s="48"/>
      <c r="CR3666" s="48"/>
      <c r="CS3666" s="48"/>
      <c r="CT3666" s="48"/>
      <c r="CU3666" s="48"/>
      <c r="CV3666" s="48"/>
      <c r="CW3666" s="48"/>
      <c r="CX3666" s="48"/>
      <c r="CY3666" s="48"/>
      <c r="CZ3666" s="48"/>
    </row>
    <row r="3667" spans="27:104" s="4" customFormat="1" x14ac:dyDescent="0.3">
      <c r="AA3667" s="48"/>
      <c r="AB3667" s="48"/>
      <c r="AC3667" s="48"/>
      <c r="AD3667" s="48"/>
      <c r="AE3667" s="48"/>
      <c r="AF3667" s="48"/>
      <c r="AG3667" s="48"/>
      <c r="AH3667" s="48"/>
      <c r="AI3667" s="48"/>
      <c r="AJ3667" s="48"/>
      <c r="AK3667" s="48"/>
      <c r="AL3667" s="48"/>
      <c r="AM3667" s="48"/>
      <c r="AN3667" s="48"/>
      <c r="AO3667" s="48"/>
      <c r="AP3667" s="48"/>
      <c r="AQ3667" s="48"/>
      <c r="AR3667" s="48"/>
      <c r="AS3667" s="48"/>
      <c r="AT3667" s="48"/>
      <c r="AU3667" s="48"/>
      <c r="AV3667" s="48"/>
      <c r="AW3667" s="48"/>
      <c r="AX3667" s="48"/>
      <c r="AY3667" s="48"/>
      <c r="AZ3667" s="48"/>
      <c r="BA3667" s="48"/>
      <c r="BB3667" s="14"/>
      <c r="BC3667" s="48"/>
      <c r="BD3667" s="48"/>
      <c r="BE3667" s="48"/>
      <c r="BF3667" s="48"/>
      <c r="BG3667" s="48"/>
      <c r="BH3667" s="48"/>
      <c r="BI3667" s="48"/>
      <c r="BJ3667" s="48"/>
      <c r="BK3667" s="48"/>
      <c r="BL3667" s="48"/>
      <c r="BM3667" s="48"/>
      <c r="BN3667" s="48"/>
      <c r="BO3667" s="48"/>
      <c r="BP3667" s="48"/>
      <c r="BQ3667" s="48"/>
      <c r="BR3667" s="48"/>
      <c r="BS3667" s="48"/>
      <c r="BT3667" s="48"/>
      <c r="BU3667" s="48"/>
      <c r="BV3667" s="48"/>
      <c r="BW3667" s="48"/>
      <c r="BX3667" s="48"/>
      <c r="BY3667" s="48"/>
      <c r="BZ3667" s="48"/>
      <c r="CA3667" s="48"/>
      <c r="CB3667" s="48"/>
      <c r="CC3667" s="48"/>
      <c r="CD3667" s="48"/>
      <c r="CE3667" s="48"/>
      <c r="CF3667" s="48"/>
      <c r="CG3667" s="48"/>
      <c r="CH3667" s="48"/>
      <c r="CI3667" s="48"/>
      <c r="CJ3667" s="48"/>
      <c r="CK3667" s="48"/>
      <c r="CL3667" s="48"/>
      <c r="CM3667" s="48"/>
      <c r="CN3667" s="48"/>
      <c r="CO3667" s="48"/>
      <c r="CP3667" s="48"/>
      <c r="CQ3667" s="48"/>
      <c r="CR3667" s="48"/>
      <c r="CS3667" s="48"/>
      <c r="CT3667" s="48"/>
      <c r="CU3667" s="48"/>
      <c r="CV3667" s="48"/>
      <c r="CW3667" s="48"/>
      <c r="CX3667" s="48"/>
      <c r="CY3667" s="48"/>
      <c r="CZ3667" s="48"/>
    </row>
    <row r="3668" spans="27:104" s="4" customFormat="1" x14ac:dyDescent="0.3">
      <c r="AA3668" s="48"/>
      <c r="AB3668" s="48"/>
      <c r="AC3668" s="48"/>
      <c r="AD3668" s="48"/>
      <c r="AE3668" s="48"/>
      <c r="AF3668" s="48"/>
      <c r="AG3668" s="48"/>
      <c r="AH3668" s="48"/>
      <c r="AI3668" s="48"/>
      <c r="AJ3668" s="48"/>
      <c r="AK3668" s="48"/>
      <c r="AL3668" s="48"/>
      <c r="AM3668" s="48"/>
      <c r="AN3668" s="48"/>
      <c r="AO3668" s="48"/>
      <c r="AP3668" s="48"/>
      <c r="AQ3668" s="48"/>
      <c r="AR3668" s="48"/>
      <c r="AS3668" s="48"/>
      <c r="AT3668" s="48"/>
      <c r="AU3668" s="48"/>
      <c r="AV3668" s="48"/>
      <c r="AW3668" s="48"/>
      <c r="AX3668" s="48"/>
      <c r="AY3668" s="48"/>
      <c r="AZ3668" s="48"/>
      <c r="BA3668" s="48"/>
      <c r="BB3668" s="14"/>
      <c r="BC3668" s="48"/>
      <c r="BD3668" s="48"/>
      <c r="BE3668" s="48"/>
      <c r="BF3668" s="48"/>
      <c r="BG3668" s="48"/>
      <c r="BH3668" s="48"/>
      <c r="BI3668" s="48"/>
      <c r="BJ3668" s="48"/>
      <c r="BK3668" s="48"/>
      <c r="BL3668" s="48"/>
      <c r="BM3668" s="48"/>
      <c r="BN3668" s="48"/>
      <c r="BO3668" s="48"/>
      <c r="BP3668" s="48"/>
      <c r="BQ3668" s="48"/>
      <c r="BR3668" s="48"/>
      <c r="BS3668" s="48"/>
      <c r="BT3668" s="48"/>
      <c r="BU3668" s="48"/>
      <c r="BV3668" s="48"/>
      <c r="BW3668" s="48"/>
      <c r="BX3668" s="48"/>
      <c r="BY3668" s="48"/>
      <c r="BZ3668" s="48"/>
      <c r="CA3668" s="48"/>
      <c r="CB3668" s="48"/>
      <c r="CC3668" s="48"/>
      <c r="CD3668" s="48"/>
      <c r="CE3668" s="48"/>
      <c r="CF3668" s="48"/>
      <c r="CG3668" s="48"/>
      <c r="CH3668" s="48"/>
      <c r="CI3668" s="48"/>
      <c r="CJ3668" s="48"/>
      <c r="CK3668" s="48"/>
      <c r="CL3668" s="48"/>
      <c r="CM3668" s="48"/>
      <c r="CN3668" s="48"/>
      <c r="CO3668" s="48"/>
      <c r="CP3668" s="48"/>
      <c r="CQ3668" s="48"/>
      <c r="CR3668" s="48"/>
      <c r="CS3668" s="48"/>
      <c r="CT3668" s="48"/>
      <c r="CU3668" s="48"/>
      <c r="CV3668" s="48"/>
      <c r="CW3668" s="48"/>
      <c r="CX3668" s="48"/>
      <c r="CY3668" s="48"/>
      <c r="CZ3668" s="48"/>
    </row>
    <row r="3669" spans="27:104" s="4" customFormat="1" x14ac:dyDescent="0.3">
      <c r="AA3669" s="48"/>
      <c r="AB3669" s="48"/>
      <c r="AC3669" s="48"/>
      <c r="AD3669" s="48"/>
      <c r="AE3669" s="48"/>
      <c r="AF3669" s="48"/>
      <c r="AG3669" s="48"/>
      <c r="AH3669" s="48"/>
      <c r="AI3669" s="48"/>
      <c r="AJ3669" s="48"/>
      <c r="AK3669" s="48"/>
      <c r="AL3669" s="48"/>
      <c r="AM3669" s="48"/>
      <c r="AN3669" s="48"/>
      <c r="AO3669" s="48"/>
      <c r="AP3669" s="48"/>
      <c r="AQ3669" s="48"/>
      <c r="AR3669" s="48"/>
      <c r="AS3669" s="48"/>
      <c r="AT3669" s="48"/>
      <c r="AU3669" s="48"/>
      <c r="AV3669" s="48"/>
      <c r="AW3669" s="48"/>
      <c r="AX3669" s="48"/>
      <c r="AY3669" s="48"/>
      <c r="AZ3669" s="48"/>
      <c r="BA3669" s="48"/>
      <c r="BB3669" s="14"/>
      <c r="BC3669" s="48"/>
      <c r="BD3669" s="48"/>
      <c r="BE3669" s="48"/>
      <c r="BF3669" s="48"/>
      <c r="BG3669" s="48"/>
      <c r="BH3669" s="48"/>
      <c r="BI3669" s="48"/>
      <c r="BJ3669" s="48"/>
      <c r="BK3669" s="48"/>
      <c r="BL3669" s="48"/>
      <c r="BM3669" s="48"/>
      <c r="BN3669" s="48"/>
      <c r="BO3669" s="48"/>
      <c r="BP3669" s="48"/>
      <c r="BQ3669" s="48"/>
      <c r="BR3669" s="48"/>
      <c r="BS3669" s="48"/>
      <c r="BT3669" s="48"/>
      <c r="BU3669" s="48"/>
      <c r="BV3669" s="48"/>
      <c r="BW3669" s="48"/>
      <c r="BX3669" s="48"/>
      <c r="BY3669" s="48"/>
      <c r="BZ3669" s="48"/>
      <c r="CA3669" s="48"/>
      <c r="CB3669" s="48"/>
      <c r="CC3669" s="48"/>
      <c r="CD3669" s="48"/>
      <c r="CE3669" s="48"/>
      <c r="CF3669" s="48"/>
      <c r="CG3669" s="48"/>
      <c r="CH3669" s="48"/>
      <c r="CI3669" s="48"/>
      <c r="CJ3669" s="48"/>
      <c r="CK3669" s="48"/>
      <c r="CL3669" s="48"/>
      <c r="CM3669" s="48"/>
      <c r="CN3669" s="48"/>
      <c r="CO3669" s="48"/>
      <c r="CP3669" s="48"/>
      <c r="CQ3669" s="48"/>
      <c r="CR3669" s="48"/>
      <c r="CS3669" s="48"/>
      <c r="CT3669" s="48"/>
      <c r="CU3669" s="48"/>
      <c r="CV3669" s="48"/>
      <c r="CW3669" s="48"/>
      <c r="CX3669" s="48"/>
      <c r="CY3669" s="48"/>
      <c r="CZ3669" s="48"/>
    </row>
    <row r="3670" spans="27:104" s="4" customFormat="1" x14ac:dyDescent="0.3">
      <c r="AA3670" s="48"/>
      <c r="AB3670" s="48"/>
      <c r="AC3670" s="48"/>
      <c r="AD3670" s="48"/>
      <c r="AE3670" s="48"/>
      <c r="AF3670" s="48"/>
      <c r="AG3670" s="48"/>
      <c r="AH3670" s="48"/>
      <c r="AI3670" s="48"/>
      <c r="AJ3670" s="48"/>
      <c r="AK3670" s="48"/>
      <c r="AL3670" s="48"/>
      <c r="AM3670" s="48"/>
      <c r="AN3670" s="48"/>
      <c r="AO3670" s="48"/>
      <c r="AP3670" s="48"/>
      <c r="AQ3670" s="48"/>
      <c r="AR3670" s="48"/>
      <c r="AS3670" s="48"/>
      <c r="AT3670" s="48"/>
      <c r="AU3670" s="48"/>
      <c r="AV3670" s="48"/>
      <c r="AW3670" s="48"/>
      <c r="AX3670" s="48"/>
      <c r="AY3670" s="48"/>
      <c r="AZ3670" s="48"/>
      <c r="BA3670" s="48"/>
      <c r="BB3670" s="14"/>
      <c r="BC3670" s="48"/>
      <c r="BD3670" s="48"/>
      <c r="BE3670" s="48"/>
      <c r="BF3670" s="48"/>
      <c r="BG3670" s="48"/>
      <c r="BH3670" s="48"/>
      <c r="BI3670" s="48"/>
      <c r="BJ3670" s="48"/>
      <c r="BK3670" s="48"/>
      <c r="BL3670" s="48"/>
      <c r="BM3670" s="48"/>
      <c r="BN3670" s="48"/>
      <c r="BO3670" s="48"/>
      <c r="BP3670" s="48"/>
      <c r="BQ3670" s="48"/>
      <c r="BR3670" s="48"/>
      <c r="BS3670" s="48"/>
      <c r="BT3670" s="48"/>
      <c r="BU3670" s="48"/>
      <c r="BV3670" s="48"/>
      <c r="BW3670" s="48"/>
      <c r="BX3670" s="48"/>
      <c r="BY3670" s="48"/>
      <c r="BZ3670" s="48"/>
      <c r="CA3670" s="48"/>
      <c r="CB3670" s="48"/>
      <c r="CC3670" s="48"/>
      <c r="CD3670" s="48"/>
      <c r="CE3670" s="48"/>
      <c r="CF3670" s="48"/>
      <c r="CG3670" s="48"/>
      <c r="CH3670" s="48"/>
      <c r="CI3670" s="48"/>
      <c r="CJ3670" s="48"/>
      <c r="CK3670" s="48"/>
      <c r="CL3670" s="48"/>
      <c r="CM3670" s="48"/>
      <c r="CN3670" s="48"/>
      <c r="CO3670" s="48"/>
      <c r="CP3670" s="48"/>
      <c r="CQ3670" s="48"/>
      <c r="CR3670" s="48"/>
      <c r="CS3670" s="48"/>
      <c r="CT3670" s="48"/>
      <c r="CU3670" s="48"/>
      <c r="CV3670" s="48"/>
      <c r="CW3670" s="48"/>
      <c r="CX3670" s="48"/>
      <c r="CY3670" s="48"/>
      <c r="CZ3670" s="48"/>
    </row>
    <row r="3671" spans="27:104" s="4" customFormat="1" x14ac:dyDescent="0.3">
      <c r="AA3671" s="48"/>
      <c r="AB3671" s="48"/>
      <c r="AC3671" s="48"/>
      <c r="AD3671" s="48"/>
      <c r="AE3671" s="48"/>
      <c r="AF3671" s="48"/>
      <c r="AG3671" s="48"/>
      <c r="AH3671" s="48"/>
      <c r="AI3671" s="48"/>
      <c r="AJ3671" s="48"/>
      <c r="AK3671" s="48"/>
      <c r="AL3671" s="48"/>
      <c r="AM3671" s="48"/>
      <c r="AN3671" s="48"/>
      <c r="AO3671" s="48"/>
      <c r="AP3671" s="48"/>
      <c r="AQ3671" s="48"/>
      <c r="AR3671" s="48"/>
      <c r="AS3671" s="48"/>
      <c r="AT3671" s="48"/>
      <c r="AU3671" s="48"/>
      <c r="AV3671" s="48"/>
      <c r="AW3671" s="48"/>
      <c r="AX3671" s="48"/>
      <c r="AY3671" s="48"/>
      <c r="AZ3671" s="48"/>
      <c r="BA3671" s="48"/>
      <c r="BB3671" s="14"/>
      <c r="BC3671" s="48"/>
      <c r="BD3671" s="48"/>
      <c r="BE3671" s="48"/>
      <c r="BF3671" s="48"/>
      <c r="BG3671" s="48"/>
      <c r="BH3671" s="48"/>
      <c r="BI3671" s="48"/>
      <c r="BJ3671" s="48"/>
      <c r="BK3671" s="48"/>
      <c r="BL3671" s="48"/>
      <c r="BM3671" s="48"/>
      <c r="BN3671" s="48"/>
      <c r="BO3671" s="48"/>
      <c r="BP3671" s="48"/>
      <c r="BQ3671" s="48"/>
      <c r="BR3671" s="48"/>
      <c r="BS3671" s="48"/>
      <c r="BT3671" s="48"/>
      <c r="BU3671" s="48"/>
      <c r="BV3671" s="48"/>
      <c r="BW3671" s="48"/>
      <c r="BX3671" s="48"/>
      <c r="BY3671" s="48"/>
      <c r="BZ3671" s="48"/>
      <c r="CA3671" s="48"/>
      <c r="CB3671" s="48"/>
      <c r="CC3671" s="48"/>
      <c r="CD3671" s="48"/>
      <c r="CE3671" s="48"/>
      <c r="CF3671" s="48"/>
      <c r="CG3671" s="48"/>
      <c r="CH3671" s="48"/>
      <c r="CI3671" s="48"/>
      <c r="CJ3671" s="48"/>
      <c r="CK3671" s="48"/>
      <c r="CL3671" s="48"/>
      <c r="CM3671" s="48"/>
      <c r="CN3671" s="48"/>
      <c r="CO3671" s="48"/>
      <c r="CP3671" s="48"/>
      <c r="CQ3671" s="48"/>
      <c r="CR3671" s="48"/>
      <c r="CS3671" s="48"/>
      <c r="CT3671" s="48"/>
      <c r="CU3671" s="48"/>
      <c r="CV3671" s="48"/>
      <c r="CW3671" s="48"/>
      <c r="CX3671" s="48"/>
      <c r="CY3671" s="48"/>
      <c r="CZ3671" s="48"/>
    </row>
    <row r="3672" spans="27:104" s="4" customFormat="1" x14ac:dyDescent="0.3">
      <c r="AA3672" s="48"/>
      <c r="AB3672" s="48"/>
      <c r="AC3672" s="48"/>
      <c r="AD3672" s="48"/>
      <c r="AE3672" s="48"/>
      <c r="AF3672" s="48"/>
      <c r="AG3672" s="48"/>
      <c r="AH3672" s="48"/>
      <c r="AI3672" s="48"/>
      <c r="AJ3672" s="48"/>
      <c r="AK3672" s="48"/>
      <c r="AL3672" s="48"/>
      <c r="AM3672" s="48"/>
      <c r="AN3672" s="48"/>
      <c r="AO3672" s="48"/>
      <c r="AP3672" s="48"/>
      <c r="AQ3672" s="48"/>
      <c r="AR3672" s="48"/>
      <c r="AS3672" s="48"/>
      <c r="AT3672" s="48"/>
      <c r="AU3672" s="48"/>
      <c r="AV3672" s="48"/>
      <c r="AW3672" s="48"/>
      <c r="AX3672" s="48"/>
      <c r="AY3672" s="48"/>
      <c r="AZ3672" s="48"/>
      <c r="BA3672" s="48"/>
      <c r="BB3672" s="14"/>
      <c r="BC3672" s="48"/>
      <c r="BD3672" s="48"/>
      <c r="BE3672" s="48"/>
      <c r="BF3672" s="48"/>
      <c r="BG3672" s="48"/>
      <c r="BH3672" s="48"/>
      <c r="BI3672" s="48"/>
      <c r="BJ3672" s="48"/>
      <c r="BK3672" s="48"/>
      <c r="BL3672" s="48"/>
      <c r="BM3672" s="48"/>
      <c r="BN3672" s="48"/>
      <c r="BO3672" s="48"/>
      <c r="BP3672" s="48"/>
      <c r="BQ3672" s="48"/>
      <c r="BR3672" s="48"/>
      <c r="BS3672" s="48"/>
      <c r="BT3672" s="48"/>
      <c r="BU3672" s="48"/>
      <c r="BV3672" s="48"/>
      <c r="BW3672" s="48"/>
      <c r="BX3672" s="48"/>
      <c r="BY3672" s="48"/>
      <c r="BZ3672" s="48"/>
      <c r="CA3672" s="48"/>
      <c r="CB3672" s="48"/>
      <c r="CC3672" s="48"/>
      <c r="CD3672" s="48"/>
      <c r="CE3672" s="48"/>
      <c r="CF3672" s="48"/>
      <c r="CG3672" s="48"/>
      <c r="CH3672" s="48"/>
      <c r="CI3672" s="48"/>
      <c r="CJ3672" s="48"/>
      <c r="CK3672" s="48"/>
      <c r="CL3672" s="48"/>
      <c r="CM3672" s="48"/>
      <c r="CN3672" s="48"/>
      <c r="CO3672" s="48"/>
      <c r="CP3672" s="48"/>
      <c r="CQ3672" s="48"/>
      <c r="CR3672" s="48"/>
      <c r="CS3672" s="48"/>
      <c r="CT3672" s="48"/>
      <c r="CU3672" s="48"/>
      <c r="CV3672" s="48"/>
      <c r="CW3672" s="48"/>
      <c r="CX3672" s="48"/>
      <c r="CY3672" s="48"/>
      <c r="CZ3672" s="48"/>
    </row>
    <row r="3673" spans="27:104" s="4" customFormat="1" x14ac:dyDescent="0.3">
      <c r="AA3673" s="48"/>
      <c r="AB3673" s="48"/>
      <c r="AC3673" s="48"/>
      <c r="AD3673" s="48"/>
      <c r="AE3673" s="48"/>
      <c r="AF3673" s="48"/>
      <c r="AG3673" s="48"/>
      <c r="AH3673" s="48"/>
      <c r="AI3673" s="48"/>
      <c r="AJ3673" s="48"/>
      <c r="AK3673" s="48"/>
      <c r="AL3673" s="48"/>
      <c r="AM3673" s="48"/>
      <c r="AN3673" s="48"/>
      <c r="AO3673" s="48"/>
      <c r="AP3673" s="48"/>
      <c r="AQ3673" s="48"/>
      <c r="AR3673" s="48"/>
      <c r="AS3673" s="48"/>
      <c r="AT3673" s="48"/>
      <c r="AU3673" s="48"/>
      <c r="AV3673" s="48"/>
      <c r="AW3673" s="48"/>
      <c r="AX3673" s="48"/>
      <c r="AY3673" s="48"/>
      <c r="AZ3673" s="48"/>
      <c r="BA3673" s="48"/>
      <c r="BB3673" s="14"/>
      <c r="BC3673" s="48"/>
      <c r="BD3673" s="48"/>
      <c r="BE3673" s="48"/>
      <c r="BF3673" s="48"/>
      <c r="BG3673" s="48"/>
      <c r="BH3673" s="48"/>
      <c r="BI3673" s="48"/>
      <c r="BJ3673" s="48"/>
      <c r="BK3673" s="48"/>
      <c r="BL3673" s="48"/>
      <c r="BM3673" s="48"/>
      <c r="BN3673" s="48"/>
      <c r="BO3673" s="48"/>
      <c r="BP3673" s="48"/>
      <c r="BQ3673" s="48"/>
      <c r="BR3673" s="48"/>
      <c r="BS3673" s="48"/>
      <c r="BT3673" s="48"/>
      <c r="BU3673" s="48"/>
      <c r="BV3673" s="48"/>
      <c r="BW3673" s="48"/>
      <c r="BX3673" s="48"/>
      <c r="BY3673" s="48"/>
      <c r="BZ3673" s="48"/>
      <c r="CA3673" s="48"/>
      <c r="CB3673" s="48"/>
      <c r="CC3673" s="48"/>
      <c r="CD3673" s="48"/>
      <c r="CE3673" s="48"/>
      <c r="CF3673" s="48"/>
      <c r="CG3673" s="48"/>
      <c r="CH3673" s="48"/>
      <c r="CI3673" s="48"/>
      <c r="CJ3673" s="48"/>
      <c r="CK3673" s="48"/>
      <c r="CL3673" s="48"/>
      <c r="CM3673" s="48"/>
      <c r="CN3673" s="48"/>
      <c r="CO3673" s="48"/>
      <c r="CP3673" s="48"/>
      <c r="CQ3673" s="48"/>
      <c r="CR3673" s="48"/>
      <c r="CS3673" s="48"/>
      <c r="CT3673" s="48"/>
      <c r="CU3673" s="48"/>
      <c r="CV3673" s="48"/>
      <c r="CW3673" s="48"/>
      <c r="CX3673" s="48"/>
      <c r="CY3673" s="48"/>
      <c r="CZ3673" s="48"/>
    </row>
    <row r="3674" spans="27:104" s="4" customFormat="1" x14ac:dyDescent="0.3">
      <c r="AA3674" s="48"/>
      <c r="AB3674" s="48"/>
      <c r="AC3674" s="48"/>
      <c r="AD3674" s="48"/>
      <c r="AE3674" s="48"/>
      <c r="AF3674" s="48"/>
      <c r="AG3674" s="48"/>
      <c r="AH3674" s="48"/>
      <c r="AI3674" s="48"/>
      <c r="AJ3674" s="48"/>
      <c r="AK3674" s="48"/>
      <c r="AL3674" s="48"/>
      <c r="AM3674" s="48"/>
      <c r="AN3674" s="48"/>
      <c r="AO3674" s="48"/>
      <c r="AP3674" s="48"/>
      <c r="AQ3674" s="48"/>
      <c r="AR3674" s="48"/>
      <c r="AS3674" s="48"/>
      <c r="AT3674" s="48"/>
      <c r="AU3674" s="48"/>
      <c r="AV3674" s="48"/>
      <c r="AW3674" s="48"/>
      <c r="AX3674" s="48"/>
      <c r="AY3674" s="48"/>
      <c r="AZ3674" s="48"/>
      <c r="BA3674" s="48"/>
      <c r="BB3674" s="14"/>
      <c r="BC3674" s="48"/>
      <c r="BD3674" s="48"/>
      <c r="BE3674" s="48"/>
      <c r="BF3674" s="48"/>
      <c r="BG3674" s="48"/>
      <c r="BH3674" s="48"/>
      <c r="BI3674" s="48"/>
      <c r="BJ3674" s="48"/>
      <c r="BK3674" s="48"/>
      <c r="BL3674" s="48"/>
      <c r="BM3674" s="48"/>
      <c r="BN3674" s="48"/>
      <c r="BO3674" s="48"/>
      <c r="BP3674" s="48"/>
      <c r="BQ3674" s="48"/>
      <c r="BR3674" s="48"/>
      <c r="BS3674" s="48"/>
      <c r="BT3674" s="48"/>
      <c r="BU3674" s="48"/>
      <c r="BV3674" s="48"/>
      <c r="BW3674" s="48"/>
      <c r="BX3674" s="48"/>
      <c r="BY3674" s="48"/>
      <c r="BZ3674" s="48"/>
      <c r="CA3674" s="48"/>
      <c r="CB3674" s="48"/>
      <c r="CC3674" s="48"/>
      <c r="CD3674" s="48"/>
      <c r="CE3674" s="48"/>
      <c r="CF3674" s="48"/>
      <c r="CG3674" s="48"/>
      <c r="CH3674" s="48"/>
      <c r="CI3674" s="48"/>
      <c r="CJ3674" s="48"/>
      <c r="CK3674" s="48"/>
      <c r="CL3674" s="48"/>
      <c r="CM3674" s="48"/>
      <c r="CN3674" s="48"/>
      <c r="CO3674" s="48"/>
      <c r="CP3674" s="48"/>
      <c r="CQ3674" s="48"/>
      <c r="CR3674" s="48"/>
      <c r="CS3674" s="48"/>
      <c r="CT3674" s="48"/>
      <c r="CU3674" s="48"/>
      <c r="CV3674" s="48"/>
      <c r="CW3674" s="48"/>
      <c r="CX3674" s="48"/>
      <c r="CY3674" s="48"/>
      <c r="CZ3674" s="48"/>
    </row>
    <row r="3675" spans="27:104" s="4" customFormat="1" x14ac:dyDescent="0.3">
      <c r="AA3675" s="48"/>
      <c r="AB3675" s="48"/>
      <c r="AC3675" s="48"/>
      <c r="AD3675" s="48"/>
      <c r="AE3675" s="48"/>
      <c r="AF3675" s="48"/>
      <c r="AG3675" s="48"/>
      <c r="AH3675" s="48"/>
      <c r="AI3675" s="48"/>
      <c r="AJ3675" s="48"/>
      <c r="AK3675" s="48"/>
      <c r="AL3675" s="48"/>
      <c r="AM3675" s="48"/>
      <c r="AN3675" s="48"/>
      <c r="AO3675" s="48"/>
      <c r="AP3675" s="48"/>
      <c r="AQ3675" s="48"/>
      <c r="AR3675" s="48"/>
      <c r="AS3675" s="48"/>
      <c r="AT3675" s="48"/>
      <c r="AU3675" s="48"/>
      <c r="AV3675" s="48"/>
      <c r="AW3675" s="48"/>
      <c r="AX3675" s="48"/>
      <c r="AY3675" s="48"/>
      <c r="AZ3675" s="48"/>
      <c r="BA3675" s="48"/>
      <c r="BB3675" s="14"/>
      <c r="BC3675" s="48"/>
      <c r="BD3675" s="48"/>
      <c r="BE3675" s="48"/>
      <c r="BF3675" s="48"/>
      <c r="BG3675" s="48"/>
      <c r="BH3675" s="48"/>
      <c r="BI3675" s="48"/>
      <c r="BJ3675" s="48"/>
      <c r="BK3675" s="48"/>
      <c r="BL3675" s="48"/>
      <c r="BM3675" s="48"/>
      <c r="BN3675" s="48"/>
      <c r="BO3675" s="48"/>
      <c r="BP3675" s="48"/>
      <c r="BQ3675" s="48"/>
      <c r="BR3675" s="48"/>
      <c r="BS3675" s="48"/>
      <c r="BT3675" s="48"/>
      <c r="BU3675" s="48"/>
      <c r="BV3675" s="48"/>
      <c r="BW3675" s="48"/>
      <c r="BX3675" s="48"/>
      <c r="BY3675" s="48"/>
      <c r="BZ3675" s="48"/>
      <c r="CA3675" s="48"/>
      <c r="CB3675" s="48"/>
      <c r="CC3675" s="48"/>
      <c r="CD3675" s="48"/>
      <c r="CE3675" s="48"/>
      <c r="CF3675" s="48"/>
      <c r="CG3675" s="48"/>
      <c r="CH3675" s="48"/>
      <c r="CI3675" s="48"/>
      <c r="CJ3675" s="48"/>
      <c r="CK3675" s="48"/>
      <c r="CL3675" s="48"/>
      <c r="CM3675" s="48"/>
      <c r="CN3675" s="48"/>
      <c r="CO3675" s="48"/>
      <c r="CP3675" s="48"/>
      <c r="CQ3675" s="48"/>
      <c r="CR3675" s="48"/>
      <c r="CS3675" s="48"/>
      <c r="CT3675" s="48"/>
      <c r="CU3675" s="48"/>
      <c r="CV3675" s="48"/>
      <c r="CW3675" s="48"/>
      <c r="CX3675" s="48"/>
      <c r="CY3675" s="48"/>
      <c r="CZ3675" s="48"/>
    </row>
    <row r="3676" spans="27:104" s="4" customFormat="1" x14ac:dyDescent="0.3">
      <c r="AA3676" s="48"/>
      <c r="AB3676" s="48"/>
      <c r="AC3676" s="48"/>
      <c r="AD3676" s="48"/>
      <c r="AE3676" s="48"/>
      <c r="AF3676" s="48"/>
      <c r="AG3676" s="48"/>
      <c r="AH3676" s="48"/>
      <c r="AI3676" s="48"/>
      <c r="AJ3676" s="48"/>
      <c r="AK3676" s="48"/>
      <c r="AL3676" s="48"/>
      <c r="AM3676" s="48"/>
      <c r="AN3676" s="48"/>
      <c r="AO3676" s="48"/>
      <c r="AP3676" s="48"/>
      <c r="AQ3676" s="48"/>
      <c r="AR3676" s="48"/>
      <c r="AS3676" s="48"/>
      <c r="AT3676" s="48"/>
      <c r="AU3676" s="48"/>
      <c r="AV3676" s="48"/>
      <c r="AW3676" s="48"/>
      <c r="AX3676" s="48"/>
      <c r="AY3676" s="48"/>
      <c r="AZ3676" s="48"/>
      <c r="BA3676" s="48"/>
      <c r="BB3676" s="14"/>
      <c r="BC3676" s="48"/>
      <c r="BD3676" s="48"/>
      <c r="BE3676" s="48"/>
      <c r="BF3676" s="48"/>
      <c r="BG3676" s="48"/>
      <c r="BH3676" s="48"/>
      <c r="BI3676" s="48"/>
      <c r="BJ3676" s="48"/>
      <c r="BK3676" s="48"/>
      <c r="BL3676" s="48"/>
      <c r="BM3676" s="48"/>
      <c r="BN3676" s="48"/>
      <c r="BO3676" s="48"/>
      <c r="BP3676" s="48"/>
      <c r="BQ3676" s="48"/>
      <c r="BR3676" s="48"/>
      <c r="BS3676" s="48"/>
      <c r="BT3676" s="48"/>
      <c r="BU3676" s="48"/>
      <c r="BV3676" s="48"/>
      <c r="BW3676" s="48"/>
      <c r="BX3676" s="48"/>
      <c r="BY3676" s="48"/>
      <c r="BZ3676" s="48"/>
      <c r="CA3676" s="48"/>
      <c r="CB3676" s="48"/>
      <c r="CC3676" s="48"/>
      <c r="CD3676" s="48"/>
      <c r="CE3676" s="48"/>
      <c r="CF3676" s="48"/>
      <c r="CG3676" s="48"/>
      <c r="CH3676" s="48"/>
      <c r="CI3676" s="48"/>
      <c r="CJ3676" s="48"/>
      <c r="CK3676" s="48"/>
      <c r="CL3676" s="48"/>
      <c r="CM3676" s="48"/>
      <c r="CN3676" s="48"/>
      <c r="CO3676" s="48"/>
      <c r="CP3676" s="48"/>
      <c r="CQ3676" s="48"/>
      <c r="CR3676" s="48"/>
      <c r="CS3676" s="48"/>
      <c r="CT3676" s="48"/>
      <c r="CU3676" s="48"/>
      <c r="CV3676" s="48"/>
      <c r="CW3676" s="48"/>
      <c r="CX3676" s="48"/>
      <c r="CY3676" s="48"/>
      <c r="CZ3676" s="48"/>
    </row>
    <row r="3677" spans="27:104" s="4" customFormat="1" x14ac:dyDescent="0.3">
      <c r="AA3677" s="48"/>
      <c r="AB3677" s="48"/>
      <c r="AC3677" s="48"/>
      <c r="AD3677" s="48"/>
      <c r="AE3677" s="48"/>
      <c r="AF3677" s="48"/>
      <c r="AG3677" s="48"/>
      <c r="AH3677" s="48"/>
      <c r="AI3677" s="48"/>
      <c r="AJ3677" s="48"/>
      <c r="AK3677" s="48"/>
      <c r="AL3677" s="48"/>
      <c r="AM3677" s="48"/>
      <c r="AN3677" s="48"/>
      <c r="AO3677" s="48"/>
      <c r="AP3677" s="48"/>
      <c r="AQ3677" s="48"/>
      <c r="AR3677" s="48"/>
      <c r="AS3677" s="48"/>
      <c r="AT3677" s="48"/>
      <c r="AU3677" s="48"/>
      <c r="AV3677" s="48"/>
      <c r="AW3677" s="48"/>
      <c r="AX3677" s="48"/>
      <c r="AY3677" s="48"/>
      <c r="AZ3677" s="48"/>
      <c r="BA3677" s="48"/>
      <c r="BB3677" s="14"/>
      <c r="BC3677" s="48"/>
      <c r="BD3677" s="48"/>
      <c r="BE3677" s="48"/>
      <c r="BF3677" s="48"/>
      <c r="BG3677" s="48"/>
      <c r="BH3677" s="48"/>
      <c r="BI3677" s="48"/>
      <c r="BJ3677" s="48"/>
      <c r="BK3677" s="48"/>
      <c r="BL3677" s="48"/>
      <c r="BM3677" s="48"/>
      <c r="BN3677" s="48"/>
      <c r="BO3677" s="48"/>
      <c r="BP3677" s="48"/>
      <c r="BQ3677" s="48"/>
      <c r="BR3677" s="48"/>
      <c r="BS3677" s="48"/>
      <c r="BT3677" s="48"/>
      <c r="BU3677" s="48"/>
      <c r="BV3677" s="48"/>
      <c r="BW3677" s="48"/>
      <c r="BX3677" s="48"/>
      <c r="BY3677" s="48"/>
      <c r="BZ3677" s="48"/>
      <c r="CA3677" s="48"/>
      <c r="CB3677" s="48"/>
      <c r="CC3677" s="48"/>
      <c r="CD3677" s="48"/>
      <c r="CE3677" s="48"/>
      <c r="CF3677" s="48"/>
      <c r="CG3677" s="48"/>
      <c r="CH3677" s="48"/>
      <c r="CI3677" s="48"/>
      <c r="CJ3677" s="48"/>
      <c r="CK3677" s="48"/>
      <c r="CL3677" s="48"/>
      <c r="CM3677" s="48"/>
      <c r="CN3677" s="48"/>
      <c r="CO3677" s="48"/>
      <c r="CP3677" s="48"/>
      <c r="CQ3677" s="48"/>
      <c r="CR3677" s="48"/>
      <c r="CS3677" s="48"/>
      <c r="CT3677" s="48"/>
      <c r="CU3677" s="48"/>
      <c r="CV3677" s="48"/>
      <c r="CW3677" s="48"/>
      <c r="CX3677" s="48"/>
      <c r="CY3677" s="48"/>
      <c r="CZ3677" s="48"/>
    </row>
    <row r="3678" spans="27:104" s="4" customFormat="1" x14ac:dyDescent="0.3">
      <c r="AA3678" s="48"/>
      <c r="AB3678" s="48"/>
      <c r="AC3678" s="48"/>
      <c r="AD3678" s="48"/>
      <c r="AE3678" s="48"/>
      <c r="AF3678" s="48"/>
      <c r="AG3678" s="48"/>
      <c r="AH3678" s="48"/>
      <c r="AI3678" s="48"/>
      <c r="AJ3678" s="48"/>
      <c r="AK3678" s="48"/>
      <c r="AL3678" s="48"/>
      <c r="AM3678" s="48"/>
      <c r="AN3678" s="48"/>
      <c r="AO3678" s="48"/>
      <c r="AP3678" s="48"/>
      <c r="AQ3678" s="48"/>
      <c r="AR3678" s="48"/>
      <c r="AS3678" s="48"/>
      <c r="AT3678" s="48"/>
      <c r="AU3678" s="48"/>
      <c r="AV3678" s="48"/>
      <c r="AW3678" s="48"/>
      <c r="AX3678" s="48"/>
      <c r="AY3678" s="48"/>
      <c r="AZ3678" s="48"/>
      <c r="BA3678" s="48"/>
      <c r="BB3678" s="14"/>
      <c r="BC3678" s="48"/>
      <c r="BD3678" s="48"/>
      <c r="BE3678" s="48"/>
      <c r="BF3678" s="48"/>
      <c r="BG3678" s="48"/>
      <c r="BH3678" s="48"/>
      <c r="BI3678" s="48"/>
      <c r="BJ3678" s="48"/>
      <c r="BK3678" s="48"/>
      <c r="BL3678" s="48"/>
      <c r="BM3678" s="48"/>
      <c r="BN3678" s="48"/>
      <c r="BO3678" s="48"/>
      <c r="BP3678" s="48"/>
      <c r="BQ3678" s="48"/>
      <c r="BR3678" s="48"/>
      <c r="BS3678" s="48"/>
      <c r="BT3678" s="48"/>
      <c r="BU3678" s="48"/>
      <c r="BV3678" s="48"/>
      <c r="BW3678" s="48"/>
      <c r="BX3678" s="48"/>
      <c r="BY3678" s="48"/>
      <c r="BZ3678" s="48"/>
      <c r="CA3678" s="48"/>
      <c r="CB3678" s="48"/>
      <c r="CC3678" s="48"/>
      <c r="CD3678" s="48"/>
      <c r="CE3678" s="48"/>
      <c r="CF3678" s="48"/>
      <c r="CG3678" s="48"/>
      <c r="CH3678" s="48"/>
      <c r="CI3678" s="48"/>
      <c r="CJ3678" s="48"/>
      <c r="CK3678" s="48"/>
      <c r="CL3678" s="48"/>
      <c r="CM3678" s="48"/>
      <c r="CN3678" s="48"/>
      <c r="CO3678" s="48"/>
      <c r="CP3678" s="48"/>
      <c r="CQ3678" s="48"/>
      <c r="CR3678" s="48"/>
      <c r="CS3678" s="48"/>
      <c r="CT3678" s="48"/>
      <c r="CU3678" s="48"/>
      <c r="CV3678" s="48"/>
      <c r="CW3678" s="48"/>
      <c r="CX3678" s="48"/>
      <c r="CY3678" s="48"/>
      <c r="CZ3678" s="48"/>
    </row>
    <row r="3679" spans="27:104" s="4" customFormat="1" x14ac:dyDescent="0.3">
      <c r="AA3679" s="48"/>
      <c r="AB3679" s="48"/>
      <c r="AC3679" s="48"/>
      <c r="AD3679" s="48"/>
      <c r="AE3679" s="48"/>
      <c r="AF3679" s="48"/>
      <c r="AG3679" s="48"/>
      <c r="AH3679" s="48"/>
      <c r="AI3679" s="48"/>
      <c r="AJ3679" s="48"/>
      <c r="AK3679" s="48"/>
      <c r="AL3679" s="48"/>
      <c r="AM3679" s="48"/>
      <c r="AN3679" s="48"/>
      <c r="AO3679" s="48"/>
      <c r="AP3679" s="48"/>
      <c r="AQ3679" s="48"/>
      <c r="AR3679" s="48"/>
      <c r="AS3679" s="48"/>
      <c r="AT3679" s="48"/>
      <c r="AU3679" s="48"/>
      <c r="AV3679" s="48"/>
      <c r="AW3679" s="48"/>
      <c r="AX3679" s="48"/>
      <c r="AY3679" s="48"/>
      <c r="AZ3679" s="48"/>
      <c r="BA3679" s="48"/>
      <c r="BB3679" s="14"/>
      <c r="BC3679" s="48"/>
      <c r="BD3679" s="48"/>
      <c r="BE3679" s="48"/>
      <c r="BF3679" s="48"/>
      <c r="BG3679" s="48"/>
      <c r="BH3679" s="48"/>
      <c r="BI3679" s="48"/>
      <c r="BJ3679" s="48"/>
      <c r="BK3679" s="48"/>
      <c r="BL3679" s="48"/>
      <c r="BM3679" s="48"/>
      <c r="BN3679" s="48"/>
      <c r="BO3679" s="48"/>
      <c r="BP3679" s="48"/>
      <c r="BQ3679" s="48"/>
      <c r="BR3679" s="48"/>
      <c r="BS3679" s="48"/>
      <c r="BT3679" s="48"/>
      <c r="BU3679" s="48"/>
      <c r="BV3679" s="48"/>
      <c r="BW3679" s="48"/>
      <c r="BX3679" s="48"/>
      <c r="BY3679" s="48"/>
      <c r="BZ3679" s="48"/>
      <c r="CA3679" s="48"/>
      <c r="CB3679" s="48"/>
      <c r="CC3679" s="48"/>
      <c r="CD3679" s="48"/>
      <c r="CE3679" s="48"/>
      <c r="CF3679" s="48"/>
      <c r="CG3679" s="48"/>
      <c r="CH3679" s="48"/>
      <c r="CI3679" s="48"/>
      <c r="CJ3679" s="48"/>
      <c r="CK3679" s="48"/>
      <c r="CL3679" s="48"/>
      <c r="CM3679" s="48"/>
      <c r="CN3679" s="48"/>
      <c r="CO3679" s="48"/>
      <c r="CP3679" s="48"/>
      <c r="CQ3679" s="48"/>
      <c r="CR3679" s="48"/>
      <c r="CS3679" s="48"/>
      <c r="CT3679" s="48"/>
      <c r="CU3679" s="48"/>
      <c r="CV3679" s="48"/>
      <c r="CW3679" s="48"/>
      <c r="CX3679" s="48"/>
      <c r="CY3679" s="48"/>
      <c r="CZ3679" s="48"/>
    </row>
    <row r="3680" spans="27:104" s="4" customFormat="1" x14ac:dyDescent="0.3">
      <c r="AA3680" s="48"/>
      <c r="AB3680" s="48"/>
      <c r="AC3680" s="48"/>
      <c r="AD3680" s="48"/>
      <c r="AE3680" s="48"/>
      <c r="AF3680" s="48"/>
      <c r="AG3680" s="48"/>
      <c r="AH3680" s="48"/>
      <c r="AI3680" s="48"/>
      <c r="AJ3680" s="48"/>
      <c r="AK3680" s="48"/>
      <c r="AL3680" s="48"/>
      <c r="AM3680" s="48"/>
      <c r="AN3680" s="48"/>
      <c r="AO3680" s="48"/>
      <c r="AP3680" s="48"/>
      <c r="AQ3680" s="48"/>
      <c r="AR3680" s="48"/>
      <c r="AS3680" s="48"/>
      <c r="AT3680" s="48"/>
      <c r="AU3680" s="48"/>
      <c r="AV3680" s="48"/>
      <c r="AW3680" s="48"/>
      <c r="AX3680" s="48"/>
      <c r="AY3680" s="48"/>
      <c r="AZ3680" s="48"/>
      <c r="BA3680" s="48"/>
      <c r="BB3680" s="14"/>
      <c r="BC3680" s="48"/>
      <c r="BD3680" s="48"/>
      <c r="BE3680" s="48"/>
      <c r="BF3680" s="48"/>
      <c r="BG3680" s="48"/>
      <c r="BH3680" s="48"/>
      <c r="BI3680" s="48"/>
      <c r="BJ3680" s="48"/>
      <c r="BK3680" s="48"/>
      <c r="BL3680" s="48"/>
      <c r="BM3680" s="48"/>
      <c r="BN3680" s="48"/>
      <c r="BO3680" s="48"/>
      <c r="BP3680" s="48"/>
      <c r="BQ3680" s="48"/>
      <c r="BR3680" s="48"/>
      <c r="BS3680" s="48"/>
      <c r="BT3680" s="48"/>
      <c r="BU3680" s="48"/>
      <c r="BV3680" s="48"/>
      <c r="BW3680" s="48"/>
      <c r="BX3680" s="48"/>
      <c r="BY3680" s="48"/>
      <c r="BZ3680" s="48"/>
      <c r="CA3680" s="48"/>
      <c r="CB3680" s="48"/>
      <c r="CC3680" s="48"/>
      <c r="CD3680" s="48"/>
      <c r="CE3680" s="48"/>
      <c r="CF3680" s="48"/>
      <c r="CG3680" s="48"/>
      <c r="CH3680" s="48"/>
      <c r="CI3680" s="48"/>
      <c r="CJ3680" s="48"/>
      <c r="CK3680" s="48"/>
      <c r="CL3680" s="48"/>
      <c r="CM3680" s="48"/>
      <c r="CN3680" s="48"/>
      <c r="CO3680" s="48"/>
      <c r="CP3680" s="48"/>
      <c r="CQ3680" s="48"/>
      <c r="CR3680" s="48"/>
      <c r="CS3680" s="48"/>
      <c r="CT3680" s="48"/>
      <c r="CU3680" s="48"/>
      <c r="CV3680" s="48"/>
      <c r="CW3680" s="48"/>
      <c r="CX3680" s="48"/>
      <c r="CY3680" s="48"/>
      <c r="CZ3680" s="48"/>
    </row>
    <row r="3681" spans="27:104" s="4" customFormat="1" x14ac:dyDescent="0.3">
      <c r="AA3681" s="48"/>
      <c r="AB3681" s="48"/>
      <c r="AC3681" s="48"/>
      <c r="AD3681" s="48"/>
      <c r="AE3681" s="48"/>
      <c r="AF3681" s="48"/>
      <c r="AG3681" s="48"/>
      <c r="AH3681" s="48"/>
      <c r="AI3681" s="48"/>
      <c r="AJ3681" s="48"/>
      <c r="AK3681" s="48"/>
      <c r="AL3681" s="48"/>
      <c r="AM3681" s="48"/>
      <c r="AN3681" s="48"/>
      <c r="AO3681" s="48"/>
      <c r="AP3681" s="48"/>
      <c r="AQ3681" s="48"/>
      <c r="AR3681" s="48"/>
      <c r="AS3681" s="48"/>
      <c r="AT3681" s="48"/>
      <c r="AU3681" s="48"/>
      <c r="AV3681" s="48"/>
      <c r="AW3681" s="48"/>
      <c r="AX3681" s="48"/>
      <c r="AY3681" s="48"/>
      <c r="AZ3681" s="48"/>
      <c r="BA3681" s="48"/>
      <c r="BB3681" s="14"/>
      <c r="BC3681" s="48"/>
      <c r="BD3681" s="48"/>
      <c r="BE3681" s="48"/>
      <c r="BF3681" s="48"/>
      <c r="BG3681" s="48"/>
      <c r="BH3681" s="48"/>
      <c r="BI3681" s="48"/>
      <c r="BJ3681" s="48"/>
      <c r="BK3681" s="48"/>
      <c r="BL3681" s="48"/>
      <c r="BM3681" s="48"/>
      <c r="BN3681" s="48"/>
      <c r="BO3681" s="48"/>
      <c r="BP3681" s="48"/>
      <c r="BQ3681" s="48"/>
      <c r="BR3681" s="48"/>
      <c r="BS3681" s="48"/>
      <c r="BT3681" s="48"/>
      <c r="BU3681" s="48"/>
      <c r="BV3681" s="48"/>
      <c r="BW3681" s="48"/>
      <c r="BX3681" s="48"/>
      <c r="BY3681" s="48"/>
      <c r="BZ3681" s="48"/>
      <c r="CA3681" s="48"/>
      <c r="CB3681" s="48"/>
      <c r="CC3681" s="48"/>
      <c r="CD3681" s="48"/>
      <c r="CE3681" s="48"/>
      <c r="CF3681" s="48"/>
      <c r="CG3681" s="48"/>
      <c r="CH3681" s="48"/>
      <c r="CI3681" s="48"/>
      <c r="CJ3681" s="48"/>
      <c r="CK3681" s="48"/>
      <c r="CL3681" s="48"/>
      <c r="CM3681" s="48"/>
      <c r="CN3681" s="48"/>
      <c r="CO3681" s="48"/>
      <c r="CP3681" s="48"/>
      <c r="CQ3681" s="48"/>
      <c r="CR3681" s="48"/>
      <c r="CS3681" s="48"/>
      <c r="CT3681" s="48"/>
      <c r="CU3681" s="48"/>
      <c r="CV3681" s="48"/>
      <c r="CW3681" s="48"/>
      <c r="CX3681" s="48"/>
      <c r="CY3681" s="48"/>
      <c r="CZ3681" s="48"/>
    </row>
    <row r="3682" spans="27:104" s="4" customFormat="1" x14ac:dyDescent="0.3">
      <c r="AA3682" s="48"/>
      <c r="AB3682" s="48"/>
      <c r="AC3682" s="48"/>
      <c r="AD3682" s="48"/>
      <c r="AE3682" s="48"/>
      <c r="AF3682" s="48"/>
      <c r="AG3682" s="48"/>
      <c r="AH3682" s="48"/>
      <c r="AI3682" s="48"/>
      <c r="AJ3682" s="48"/>
      <c r="AK3682" s="48"/>
      <c r="AL3682" s="48"/>
      <c r="AM3682" s="48"/>
      <c r="AN3682" s="48"/>
      <c r="AO3682" s="48"/>
      <c r="AP3682" s="48"/>
      <c r="AQ3682" s="48"/>
      <c r="AR3682" s="48"/>
      <c r="AS3682" s="48"/>
      <c r="AT3682" s="48"/>
      <c r="AU3682" s="48"/>
      <c r="AV3682" s="48"/>
      <c r="AW3682" s="48"/>
      <c r="AX3682" s="48"/>
      <c r="AY3682" s="48"/>
      <c r="AZ3682" s="48"/>
      <c r="BA3682" s="48"/>
      <c r="BB3682" s="14"/>
      <c r="BC3682" s="48"/>
      <c r="BD3682" s="48"/>
      <c r="BE3682" s="48"/>
      <c r="BF3682" s="48"/>
      <c r="BG3682" s="48"/>
      <c r="BH3682" s="48"/>
      <c r="BI3682" s="48"/>
      <c r="BJ3682" s="48"/>
      <c r="BK3682" s="48"/>
      <c r="BL3682" s="48"/>
      <c r="BM3682" s="48"/>
      <c r="BN3682" s="48"/>
      <c r="BO3682" s="48"/>
      <c r="BP3682" s="48"/>
      <c r="BQ3682" s="48"/>
      <c r="BR3682" s="48"/>
      <c r="BS3682" s="48"/>
      <c r="BT3682" s="48"/>
      <c r="BU3682" s="48"/>
      <c r="BV3682" s="48"/>
      <c r="BW3682" s="48"/>
      <c r="BX3682" s="48"/>
      <c r="BY3682" s="48"/>
      <c r="BZ3682" s="48"/>
      <c r="CA3682" s="48"/>
      <c r="CB3682" s="48"/>
      <c r="CC3682" s="48"/>
      <c r="CD3682" s="48"/>
      <c r="CE3682" s="48"/>
      <c r="CF3682" s="48"/>
      <c r="CG3682" s="48"/>
      <c r="CH3682" s="48"/>
      <c r="CI3682" s="48"/>
      <c r="CJ3682" s="48"/>
      <c r="CK3682" s="48"/>
      <c r="CL3682" s="48"/>
      <c r="CM3682" s="48"/>
      <c r="CN3682" s="48"/>
      <c r="CO3682" s="48"/>
      <c r="CP3682" s="48"/>
      <c r="CQ3682" s="48"/>
      <c r="CR3682" s="48"/>
      <c r="CS3682" s="48"/>
      <c r="CT3682" s="48"/>
      <c r="CU3682" s="48"/>
      <c r="CV3682" s="48"/>
      <c r="CW3682" s="48"/>
      <c r="CX3682" s="48"/>
      <c r="CY3682" s="48"/>
      <c r="CZ3682" s="48"/>
    </row>
    <row r="3683" spans="27:104" s="4" customFormat="1" x14ac:dyDescent="0.3">
      <c r="AA3683" s="48"/>
      <c r="AB3683" s="48"/>
      <c r="AC3683" s="48"/>
      <c r="AD3683" s="48"/>
      <c r="AE3683" s="48"/>
      <c r="AF3683" s="48"/>
      <c r="AG3683" s="48"/>
      <c r="AH3683" s="48"/>
      <c r="AI3683" s="48"/>
      <c r="AJ3683" s="48"/>
      <c r="AK3683" s="48"/>
      <c r="AL3683" s="48"/>
      <c r="AM3683" s="48"/>
      <c r="AN3683" s="48"/>
      <c r="AO3683" s="48"/>
      <c r="AP3683" s="48"/>
      <c r="AQ3683" s="48"/>
      <c r="AR3683" s="48"/>
      <c r="AS3683" s="48"/>
      <c r="AT3683" s="48"/>
      <c r="AU3683" s="48"/>
      <c r="AV3683" s="48"/>
      <c r="AW3683" s="48"/>
      <c r="AX3683" s="48"/>
      <c r="AY3683" s="48"/>
      <c r="AZ3683" s="48"/>
      <c r="BA3683" s="48"/>
      <c r="BB3683" s="14"/>
      <c r="BC3683" s="48"/>
      <c r="BD3683" s="48"/>
      <c r="BE3683" s="48"/>
      <c r="BF3683" s="48"/>
      <c r="BG3683" s="48"/>
      <c r="BH3683" s="48"/>
      <c r="BI3683" s="48"/>
      <c r="BJ3683" s="48"/>
      <c r="BK3683" s="48"/>
      <c r="BL3683" s="48"/>
      <c r="BM3683" s="48"/>
      <c r="BN3683" s="48"/>
      <c r="BO3683" s="48"/>
      <c r="BP3683" s="48"/>
      <c r="BQ3683" s="48"/>
      <c r="BR3683" s="48"/>
      <c r="BS3683" s="48"/>
      <c r="BT3683" s="48"/>
      <c r="BU3683" s="48"/>
      <c r="BV3683" s="48"/>
      <c r="BW3683" s="48"/>
      <c r="BX3683" s="48"/>
      <c r="BY3683" s="48"/>
      <c r="BZ3683" s="48"/>
      <c r="CA3683" s="48"/>
      <c r="CB3683" s="48"/>
      <c r="CC3683" s="48"/>
      <c r="CD3683" s="48"/>
      <c r="CE3683" s="48"/>
      <c r="CF3683" s="48"/>
      <c r="CG3683" s="48"/>
      <c r="CH3683" s="48"/>
      <c r="CI3683" s="48"/>
      <c r="CJ3683" s="48"/>
      <c r="CK3683" s="48"/>
      <c r="CL3683" s="48"/>
      <c r="CM3683" s="48"/>
      <c r="CN3683" s="48"/>
      <c r="CO3683" s="48"/>
      <c r="CP3683" s="48"/>
      <c r="CQ3683" s="48"/>
      <c r="CR3683" s="48"/>
      <c r="CS3683" s="48"/>
      <c r="CT3683" s="48"/>
      <c r="CU3683" s="48"/>
      <c r="CV3683" s="48"/>
      <c r="CW3683" s="48"/>
      <c r="CX3683" s="48"/>
      <c r="CY3683" s="48"/>
      <c r="CZ3683" s="48"/>
    </row>
    <row r="3684" spans="27:104" s="4" customFormat="1" x14ac:dyDescent="0.3">
      <c r="AA3684" s="48"/>
      <c r="AB3684" s="48"/>
      <c r="AC3684" s="48"/>
      <c r="AD3684" s="48"/>
      <c r="AE3684" s="48"/>
      <c r="AF3684" s="48"/>
      <c r="AG3684" s="48"/>
      <c r="AH3684" s="48"/>
      <c r="AI3684" s="48"/>
      <c r="AJ3684" s="48"/>
      <c r="AK3684" s="48"/>
      <c r="AL3684" s="48"/>
      <c r="AM3684" s="48"/>
      <c r="AN3684" s="48"/>
      <c r="AO3684" s="48"/>
      <c r="AP3684" s="48"/>
      <c r="AQ3684" s="48"/>
      <c r="AR3684" s="48"/>
      <c r="AS3684" s="48"/>
      <c r="AT3684" s="48"/>
      <c r="AU3684" s="48"/>
      <c r="AV3684" s="48"/>
      <c r="AW3684" s="48"/>
      <c r="AX3684" s="48"/>
      <c r="AY3684" s="48"/>
      <c r="AZ3684" s="48"/>
      <c r="BA3684" s="48"/>
      <c r="BB3684" s="14"/>
      <c r="BC3684" s="48"/>
      <c r="BD3684" s="48"/>
      <c r="BE3684" s="48"/>
      <c r="BF3684" s="48"/>
      <c r="BG3684" s="48"/>
      <c r="BH3684" s="48"/>
      <c r="BI3684" s="48"/>
      <c r="BJ3684" s="48"/>
      <c r="BK3684" s="48"/>
      <c r="BL3684" s="48"/>
      <c r="BM3684" s="48"/>
      <c r="BN3684" s="48"/>
      <c r="BO3684" s="48"/>
      <c r="BP3684" s="48"/>
      <c r="BQ3684" s="48"/>
      <c r="BR3684" s="48"/>
      <c r="BS3684" s="48"/>
      <c r="BT3684" s="48"/>
      <c r="BU3684" s="48"/>
      <c r="BV3684" s="48"/>
      <c r="BW3684" s="48"/>
      <c r="BX3684" s="48"/>
      <c r="BY3684" s="48"/>
      <c r="BZ3684" s="48"/>
      <c r="CA3684" s="48"/>
      <c r="CB3684" s="48"/>
      <c r="CC3684" s="48"/>
      <c r="CD3684" s="48"/>
      <c r="CE3684" s="48"/>
      <c r="CF3684" s="48"/>
      <c r="CG3684" s="48"/>
      <c r="CH3684" s="48"/>
      <c r="CI3684" s="48"/>
      <c r="CJ3684" s="48"/>
      <c r="CK3684" s="48"/>
      <c r="CL3684" s="48"/>
      <c r="CM3684" s="48"/>
      <c r="CN3684" s="48"/>
      <c r="CO3684" s="48"/>
      <c r="CP3684" s="48"/>
      <c r="CQ3684" s="48"/>
      <c r="CR3684" s="48"/>
      <c r="CS3684" s="48"/>
      <c r="CT3684" s="48"/>
      <c r="CU3684" s="48"/>
      <c r="CV3684" s="48"/>
      <c r="CW3684" s="48"/>
      <c r="CX3684" s="48"/>
      <c r="CY3684" s="48"/>
      <c r="CZ3684" s="48"/>
    </row>
    <row r="3685" spans="27:104" s="4" customFormat="1" x14ac:dyDescent="0.3">
      <c r="AA3685" s="48"/>
      <c r="AB3685" s="48"/>
      <c r="AC3685" s="48"/>
      <c r="AD3685" s="48"/>
      <c r="AE3685" s="48"/>
      <c r="AF3685" s="48"/>
      <c r="AG3685" s="48"/>
      <c r="AH3685" s="48"/>
      <c r="AI3685" s="48"/>
      <c r="AJ3685" s="48"/>
      <c r="AK3685" s="48"/>
      <c r="AL3685" s="48"/>
      <c r="AM3685" s="48"/>
      <c r="AN3685" s="48"/>
      <c r="AO3685" s="48"/>
      <c r="AP3685" s="48"/>
      <c r="AQ3685" s="48"/>
      <c r="AR3685" s="48"/>
      <c r="AS3685" s="48"/>
      <c r="AT3685" s="48"/>
      <c r="AU3685" s="48"/>
      <c r="AV3685" s="48"/>
      <c r="AW3685" s="48"/>
      <c r="AX3685" s="48"/>
      <c r="AY3685" s="48"/>
      <c r="AZ3685" s="48"/>
      <c r="BA3685" s="48"/>
      <c r="BB3685" s="14"/>
      <c r="BC3685" s="48"/>
      <c r="BD3685" s="48"/>
      <c r="BE3685" s="48"/>
      <c r="BF3685" s="48"/>
      <c r="BG3685" s="48"/>
      <c r="BH3685" s="48"/>
      <c r="BI3685" s="48"/>
      <c r="BJ3685" s="48"/>
      <c r="BK3685" s="48"/>
      <c r="BL3685" s="48"/>
      <c r="BM3685" s="48"/>
      <c r="BN3685" s="48"/>
      <c r="BO3685" s="48"/>
      <c r="BP3685" s="48"/>
      <c r="BQ3685" s="48"/>
      <c r="BR3685" s="48"/>
      <c r="BS3685" s="48"/>
      <c r="BT3685" s="48"/>
      <c r="BU3685" s="48"/>
      <c r="BV3685" s="48"/>
      <c r="BW3685" s="48"/>
      <c r="BX3685" s="48"/>
      <c r="BY3685" s="48"/>
      <c r="BZ3685" s="48"/>
      <c r="CA3685" s="48"/>
      <c r="CB3685" s="48"/>
      <c r="CC3685" s="48"/>
      <c r="CD3685" s="48"/>
      <c r="CE3685" s="48"/>
      <c r="CF3685" s="48"/>
      <c r="CG3685" s="48"/>
      <c r="CH3685" s="48"/>
      <c r="CI3685" s="48"/>
      <c r="CJ3685" s="48"/>
      <c r="CK3685" s="48"/>
      <c r="CL3685" s="48"/>
      <c r="CM3685" s="48"/>
      <c r="CN3685" s="48"/>
      <c r="CO3685" s="48"/>
      <c r="CP3685" s="48"/>
      <c r="CQ3685" s="48"/>
      <c r="CR3685" s="48"/>
      <c r="CS3685" s="48"/>
      <c r="CT3685" s="48"/>
      <c r="CU3685" s="48"/>
      <c r="CV3685" s="48"/>
      <c r="CW3685" s="48"/>
      <c r="CX3685" s="48"/>
      <c r="CY3685" s="48"/>
      <c r="CZ3685" s="48"/>
    </row>
    <row r="3686" spans="27:104" s="4" customFormat="1" x14ac:dyDescent="0.3">
      <c r="AA3686" s="48"/>
      <c r="AB3686" s="48"/>
      <c r="AC3686" s="48"/>
      <c r="AD3686" s="48"/>
      <c r="AE3686" s="48"/>
      <c r="AF3686" s="48"/>
      <c r="AG3686" s="48"/>
      <c r="AH3686" s="48"/>
      <c r="AI3686" s="48"/>
      <c r="AJ3686" s="48"/>
      <c r="AK3686" s="48"/>
      <c r="AL3686" s="48"/>
      <c r="AM3686" s="48"/>
      <c r="AN3686" s="48"/>
      <c r="AO3686" s="48"/>
      <c r="AP3686" s="48"/>
      <c r="AQ3686" s="48"/>
      <c r="AR3686" s="48"/>
      <c r="AS3686" s="48"/>
      <c r="AT3686" s="48"/>
      <c r="AU3686" s="48"/>
      <c r="AV3686" s="48"/>
      <c r="AW3686" s="48"/>
      <c r="AX3686" s="48"/>
      <c r="AY3686" s="48"/>
      <c r="AZ3686" s="48"/>
      <c r="BA3686" s="48"/>
      <c r="BB3686" s="14"/>
      <c r="BC3686" s="48"/>
      <c r="BD3686" s="48"/>
      <c r="BE3686" s="48"/>
      <c r="BF3686" s="48"/>
      <c r="BG3686" s="48"/>
      <c r="BH3686" s="48"/>
      <c r="BI3686" s="48"/>
      <c r="BJ3686" s="48"/>
      <c r="BK3686" s="48"/>
      <c r="BL3686" s="48"/>
      <c r="BM3686" s="48"/>
      <c r="BN3686" s="48"/>
      <c r="BO3686" s="48"/>
      <c r="BP3686" s="48"/>
      <c r="BQ3686" s="48"/>
      <c r="BR3686" s="48"/>
      <c r="BS3686" s="48"/>
      <c r="BT3686" s="48"/>
      <c r="BU3686" s="48"/>
      <c r="BV3686" s="48"/>
      <c r="BW3686" s="48"/>
      <c r="BX3686" s="48"/>
      <c r="BY3686" s="48"/>
      <c r="BZ3686" s="48"/>
      <c r="CA3686" s="48"/>
      <c r="CB3686" s="48"/>
      <c r="CC3686" s="48"/>
      <c r="CD3686" s="48"/>
      <c r="CE3686" s="48"/>
      <c r="CF3686" s="48"/>
      <c r="CG3686" s="48"/>
      <c r="CH3686" s="48"/>
      <c r="CI3686" s="48"/>
      <c r="CJ3686" s="48"/>
      <c r="CK3686" s="48"/>
      <c r="CL3686" s="48"/>
      <c r="CM3686" s="48"/>
      <c r="CN3686" s="48"/>
      <c r="CO3686" s="48"/>
      <c r="CP3686" s="48"/>
      <c r="CQ3686" s="48"/>
      <c r="CR3686" s="48"/>
      <c r="CS3686" s="48"/>
      <c r="CT3686" s="48"/>
      <c r="CU3686" s="48"/>
      <c r="CV3686" s="48"/>
      <c r="CW3686" s="48"/>
      <c r="CX3686" s="48"/>
      <c r="CY3686" s="48"/>
      <c r="CZ3686" s="48"/>
    </row>
    <row r="3687" spans="27:104" s="4" customFormat="1" x14ac:dyDescent="0.3">
      <c r="AA3687" s="48"/>
      <c r="AB3687" s="48"/>
      <c r="AC3687" s="48"/>
      <c r="AD3687" s="48"/>
      <c r="AE3687" s="48"/>
      <c r="AF3687" s="48"/>
      <c r="AG3687" s="48"/>
      <c r="AH3687" s="48"/>
      <c r="AI3687" s="48"/>
      <c r="AJ3687" s="48"/>
      <c r="AK3687" s="48"/>
      <c r="AL3687" s="48"/>
      <c r="AM3687" s="48"/>
      <c r="AN3687" s="48"/>
      <c r="AO3687" s="48"/>
      <c r="AP3687" s="48"/>
      <c r="AQ3687" s="48"/>
      <c r="AR3687" s="48"/>
      <c r="AS3687" s="48"/>
      <c r="AT3687" s="48"/>
      <c r="AU3687" s="48"/>
      <c r="AV3687" s="48"/>
      <c r="AW3687" s="48"/>
      <c r="AX3687" s="48"/>
      <c r="AY3687" s="48"/>
      <c r="AZ3687" s="48"/>
      <c r="BA3687" s="48"/>
      <c r="BB3687" s="14"/>
      <c r="BC3687" s="48"/>
      <c r="BD3687" s="48"/>
      <c r="BE3687" s="48"/>
      <c r="BF3687" s="48"/>
      <c r="BG3687" s="48"/>
      <c r="BH3687" s="48"/>
      <c r="BI3687" s="48"/>
      <c r="BJ3687" s="48"/>
      <c r="BK3687" s="48"/>
      <c r="BL3687" s="48"/>
      <c r="BM3687" s="48"/>
      <c r="BN3687" s="48"/>
      <c r="BO3687" s="48"/>
      <c r="BP3687" s="48"/>
      <c r="BQ3687" s="48"/>
      <c r="BR3687" s="48"/>
      <c r="BS3687" s="48"/>
      <c r="BT3687" s="48"/>
      <c r="BU3687" s="48"/>
      <c r="BV3687" s="48"/>
      <c r="BW3687" s="48"/>
      <c r="BX3687" s="48"/>
      <c r="BY3687" s="48"/>
      <c r="BZ3687" s="48"/>
      <c r="CA3687" s="48"/>
      <c r="CB3687" s="48"/>
      <c r="CC3687" s="48"/>
      <c r="CD3687" s="48"/>
      <c r="CE3687" s="48"/>
      <c r="CF3687" s="48"/>
      <c r="CG3687" s="48"/>
      <c r="CH3687" s="48"/>
      <c r="CI3687" s="48"/>
      <c r="CJ3687" s="48"/>
      <c r="CK3687" s="48"/>
      <c r="CL3687" s="48"/>
      <c r="CM3687" s="48"/>
      <c r="CN3687" s="48"/>
      <c r="CO3687" s="48"/>
      <c r="CP3687" s="48"/>
      <c r="CQ3687" s="48"/>
      <c r="CR3687" s="48"/>
      <c r="CS3687" s="48"/>
      <c r="CT3687" s="48"/>
      <c r="CU3687" s="48"/>
      <c r="CV3687" s="48"/>
      <c r="CW3687" s="48"/>
      <c r="CX3687" s="48"/>
      <c r="CY3687" s="48"/>
      <c r="CZ3687" s="48"/>
    </row>
    <row r="3688" spans="27:104" s="4" customFormat="1" x14ac:dyDescent="0.3">
      <c r="AA3688" s="48"/>
      <c r="AB3688" s="48"/>
      <c r="AC3688" s="48"/>
      <c r="AD3688" s="48"/>
      <c r="AE3688" s="48"/>
      <c r="AF3688" s="48"/>
      <c r="AG3688" s="48"/>
      <c r="AH3688" s="48"/>
      <c r="AI3688" s="48"/>
      <c r="AJ3688" s="48"/>
      <c r="AK3688" s="48"/>
      <c r="AL3688" s="48"/>
      <c r="AM3688" s="48"/>
      <c r="AN3688" s="48"/>
      <c r="AO3688" s="48"/>
      <c r="AP3688" s="48"/>
      <c r="AQ3688" s="48"/>
      <c r="AR3688" s="48"/>
      <c r="AS3688" s="48"/>
      <c r="AT3688" s="48"/>
      <c r="AU3688" s="48"/>
      <c r="AV3688" s="48"/>
      <c r="AW3688" s="48"/>
      <c r="AX3688" s="48"/>
      <c r="AY3688" s="48"/>
      <c r="AZ3688" s="48"/>
      <c r="BA3688" s="48"/>
      <c r="BB3688" s="14"/>
      <c r="BC3688" s="48"/>
      <c r="BD3688" s="48"/>
      <c r="BE3688" s="48"/>
      <c r="BF3688" s="48"/>
      <c r="BG3688" s="48"/>
      <c r="BH3688" s="48"/>
      <c r="BI3688" s="48"/>
      <c r="BJ3688" s="48"/>
      <c r="BK3688" s="48"/>
      <c r="BL3688" s="48"/>
      <c r="BM3688" s="48"/>
      <c r="BN3688" s="48"/>
      <c r="BO3688" s="48"/>
      <c r="BP3688" s="48"/>
      <c r="BQ3688" s="48"/>
      <c r="BR3688" s="48"/>
      <c r="BS3688" s="48"/>
      <c r="BT3688" s="48"/>
      <c r="BU3688" s="48"/>
      <c r="BV3688" s="48"/>
      <c r="BW3688" s="48"/>
      <c r="BX3688" s="48"/>
      <c r="BY3688" s="48"/>
      <c r="BZ3688" s="48"/>
      <c r="CA3688" s="48"/>
      <c r="CB3688" s="48"/>
      <c r="CC3688" s="48"/>
      <c r="CD3688" s="48"/>
      <c r="CE3688" s="48"/>
      <c r="CF3688" s="48"/>
      <c r="CG3688" s="48"/>
      <c r="CH3688" s="48"/>
      <c r="CI3688" s="48"/>
      <c r="CJ3688" s="48"/>
      <c r="CK3688" s="48"/>
      <c r="CL3688" s="48"/>
      <c r="CM3688" s="48"/>
      <c r="CN3688" s="48"/>
      <c r="CO3688" s="48"/>
      <c r="CP3688" s="48"/>
      <c r="CQ3688" s="48"/>
      <c r="CR3688" s="48"/>
      <c r="CS3688" s="48"/>
      <c r="CT3688" s="48"/>
      <c r="CU3688" s="48"/>
      <c r="CV3688" s="48"/>
      <c r="CW3688" s="48"/>
      <c r="CX3688" s="48"/>
      <c r="CY3688" s="48"/>
      <c r="CZ3688" s="48"/>
    </row>
    <row r="3689" spans="27:104" s="4" customFormat="1" x14ac:dyDescent="0.3">
      <c r="AA3689" s="48"/>
      <c r="AB3689" s="48"/>
      <c r="AC3689" s="48"/>
      <c r="AD3689" s="48"/>
      <c r="AE3689" s="48"/>
      <c r="AF3689" s="48"/>
      <c r="AG3689" s="48"/>
      <c r="AH3689" s="48"/>
      <c r="AI3689" s="48"/>
      <c r="AJ3689" s="48"/>
      <c r="AK3689" s="48"/>
      <c r="AL3689" s="48"/>
      <c r="AM3689" s="48"/>
      <c r="AN3689" s="48"/>
      <c r="AO3689" s="48"/>
      <c r="AP3689" s="48"/>
      <c r="AQ3689" s="48"/>
      <c r="AR3689" s="48"/>
      <c r="AS3689" s="48"/>
      <c r="AT3689" s="48"/>
      <c r="AU3689" s="48"/>
      <c r="AV3689" s="48"/>
      <c r="AW3689" s="48"/>
      <c r="AX3689" s="48"/>
      <c r="AY3689" s="48"/>
      <c r="AZ3689" s="48"/>
      <c r="BA3689" s="48"/>
      <c r="BB3689" s="14"/>
      <c r="BC3689" s="48"/>
      <c r="BD3689" s="48"/>
      <c r="BE3689" s="48"/>
      <c r="BF3689" s="48"/>
      <c r="BG3689" s="48"/>
      <c r="BH3689" s="48"/>
      <c r="BI3689" s="48"/>
      <c r="BJ3689" s="48"/>
      <c r="BK3689" s="48"/>
      <c r="BL3689" s="48"/>
      <c r="BM3689" s="48"/>
      <c r="BN3689" s="48"/>
      <c r="BO3689" s="48"/>
      <c r="BP3689" s="48"/>
      <c r="BQ3689" s="48"/>
      <c r="BR3689" s="48"/>
      <c r="BS3689" s="48"/>
      <c r="BT3689" s="48"/>
      <c r="BU3689" s="48"/>
      <c r="BV3689" s="48"/>
      <c r="BW3689" s="48"/>
      <c r="BX3689" s="48"/>
      <c r="BY3689" s="48"/>
      <c r="BZ3689" s="48"/>
      <c r="CA3689" s="48"/>
      <c r="CB3689" s="48"/>
      <c r="CC3689" s="48"/>
      <c r="CD3689" s="48"/>
      <c r="CE3689" s="48"/>
      <c r="CF3689" s="48"/>
      <c r="CG3689" s="48"/>
      <c r="CH3689" s="48"/>
      <c r="CI3689" s="48"/>
      <c r="CJ3689" s="48"/>
      <c r="CK3689" s="48"/>
      <c r="CL3689" s="48"/>
      <c r="CM3689" s="48"/>
      <c r="CN3689" s="48"/>
      <c r="CO3689" s="48"/>
      <c r="CP3689" s="48"/>
      <c r="CQ3689" s="48"/>
      <c r="CR3689" s="48"/>
      <c r="CS3689" s="48"/>
      <c r="CT3689" s="48"/>
      <c r="CU3689" s="48"/>
      <c r="CV3689" s="48"/>
      <c r="CW3689" s="48"/>
      <c r="CX3689" s="48"/>
      <c r="CY3689" s="48"/>
      <c r="CZ3689" s="48"/>
    </row>
    <row r="3690" spans="27:104" s="4" customFormat="1" x14ac:dyDescent="0.3">
      <c r="AA3690" s="48"/>
      <c r="AB3690" s="48"/>
      <c r="AC3690" s="48"/>
      <c r="AD3690" s="48"/>
      <c r="AE3690" s="48"/>
      <c r="AF3690" s="48"/>
      <c r="AG3690" s="48"/>
      <c r="AH3690" s="48"/>
      <c r="AI3690" s="48"/>
      <c r="AJ3690" s="48"/>
      <c r="AK3690" s="48"/>
      <c r="AL3690" s="48"/>
      <c r="AM3690" s="48"/>
      <c r="AN3690" s="48"/>
      <c r="AO3690" s="48"/>
      <c r="AP3690" s="48"/>
      <c r="AQ3690" s="48"/>
      <c r="AR3690" s="48"/>
      <c r="AS3690" s="48"/>
      <c r="AT3690" s="48"/>
      <c r="AU3690" s="48"/>
      <c r="AV3690" s="48"/>
      <c r="AW3690" s="48"/>
      <c r="AX3690" s="48"/>
      <c r="AY3690" s="48"/>
      <c r="AZ3690" s="48"/>
      <c r="BA3690" s="48"/>
      <c r="BB3690" s="14"/>
      <c r="BC3690" s="48"/>
      <c r="BD3690" s="48"/>
      <c r="BE3690" s="48"/>
      <c r="BF3690" s="48"/>
      <c r="BG3690" s="48"/>
      <c r="BH3690" s="48"/>
      <c r="BI3690" s="48"/>
      <c r="BJ3690" s="48"/>
      <c r="BK3690" s="48"/>
      <c r="BL3690" s="48"/>
      <c r="BM3690" s="48"/>
      <c r="BN3690" s="48"/>
      <c r="BO3690" s="48"/>
      <c r="BP3690" s="48"/>
      <c r="BQ3690" s="48"/>
      <c r="BR3690" s="48"/>
      <c r="BS3690" s="48"/>
      <c r="BT3690" s="48"/>
      <c r="BU3690" s="48"/>
      <c r="BV3690" s="48"/>
      <c r="BW3690" s="48"/>
      <c r="BX3690" s="48"/>
      <c r="BY3690" s="48"/>
      <c r="BZ3690" s="48"/>
      <c r="CA3690" s="48"/>
      <c r="CB3690" s="48"/>
      <c r="CC3690" s="48"/>
      <c r="CD3690" s="48"/>
      <c r="CE3690" s="48"/>
      <c r="CF3690" s="48"/>
      <c r="CG3690" s="48"/>
      <c r="CH3690" s="48"/>
      <c r="CI3690" s="48"/>
      <c r="CJ3690" s="48"/>
      <c r="CK3690" s="48"/>
      <c r="CL3690" s="48"/>
      <c r="CM3690" s="48"/>
      <c r="CN3690" s="48"/>
      <c r="CO3690" s="48"/>
      <c r="CP3690" s="48"/>
      <c r="CQ3690" s="48"/>
      <c r="CR3690" s="48"/>
      <c r="CS3690" s="48"/>
      <c r="CT3690" s="48"/>
      <c r="CU3690" s="48"/>
      <c r="CV3690" s="48"/>
      <c r="CW3690" s="48"/>
      <c r="CX3690" s="48"/>
      <c r="CY3690" s="48"/>
      <c r="CZ3690" s="48"/>
    </row>
    <row r="3691" spans="27:104" s="4" customFormat="1" x14ac:dyDescent="0.3">
      <c r="AA3691" s="48"/>
      <c r="AB3691" s="48"/>
      <c r="AC3691" s="48"/>
      <c r="AD3691" s="48"/>
      <c r="AE3691" s="48"/>
      <c r="AF3691" s="48"/>
      <c r="AG3691" s="48"/>
      <c r="AH3691" s="48"/>
      <c r="AI3691" s="48"/>
      <c r="AJ3691" s="48"/>
      <c r="AK3691" s="48"/>
      <c r="AL3691" s="48"/>
      <c r="AM3691" s="48"/>
      <c r="AN3691" s="48"/>
      <c r="AO3691" s="48"/>
      <c r="AP3691" s="48"/>
      <c r="AQ3691" s="48"/>
      <c r="AR3691" s="48"/>
      <c r="AS3691" s="48"/>
      <c r="AT3691" s="48"/>
      <c r="AU3691" s="48"/>
      <c r="AV3691" s="48"/>
      <c r="AW3691" s="48"/>
      <c r="AX3691" s="48"/>
      <c r="AY3691" s="48"/>
      <c r="AZ3691" s="48"/>
      <c r="BA3691" s="48"/>
      <c r="BB3691" s="14"/>
      <c r="BC3691" s="48"/>
      <c r="BD3691" s="48"/>
      <c r="BE3691" s="48"/>
      <c r="BF3691" s="48"/>
      <c r="BG3691" s="48"/>
      <c r="BH3691" s="48"/>
      <c r="BI3691" s="48"/>
      <c r="BJ3691" s="48"/>
      <c r="BK3691" s="48"/>
      <c r="BL3691" s="48"/>
      <c r="BM3691" s="48"/>
      <c r="BN3691" s="48"/>
      <c r="BO3691" s="48"/>
      <c r="BP3691" s="48"/>
      <c r="BQ3691" s="48"/>
      <c r="BR3691" s="48"/>
      <c r="BS3691" s="48"/>
      <c r="BT3691" s="48"/>
      <c r="BU3691" s="48"/>
      <c r="BV3691" s="48"/>
      <c r="BW3691" s="48"/>
      <c r="BX3691" s="48"/>
      <c r="BY3691" s="48"/>
      <c r="BZ3691" s="48"/>
      <c r="CA3691" s="48"/>
      <c r="CB3691" s="48"/>
      <c r="CC3691" s="48"/>
      <c r="CD3691" s="48"/>
      <c r="CE3691" s="48"/>
      <c r="CF3691" s="48"/>
      <c r="CG3691" s="48"/>
      <c r="CH3691" s="48"/>
      <c r="CI3691" s="48"/>
      <c r="CJ3691" s="48"/>
      <c r="CK3691" s="48"/>
      <c r="CL3691" s="48"/>
      <c r="CM3691" s="48"/>
      <c r="CN3691" s="48"/>
      <c r="CO3691" s="48"/>
      <c r="CP3691" s="48"/>
      <c r="CQ3691" s="48"/>
      <c r="CR3691" s="48"/>
      <c r="CS3691" s="48"/>
      <c r="CT3691" s="48"/>
      <c r="CU3691" s="48"/>
      <c r="CV3691" s="48"/>
      <c r="CW3691" s="48"/>
      <c r="CX3691" s="48"/>
      <c r="CY3691" s="48"/>
      <c r="CZ3691" s="48"/>
    </row>
    <row r="3692" spans="27:104" s="4" customFormat="1" x14ac:dyDescent="0.3">
      <c r="AA3692" s="48"/>
      <c r="AB3692" s="48"/>
      <c r="AC3692" s="48"/>
      <c r="AD3692" s="48"/>
      <c r="AE3692" s="48"/>
      <c r="AF3692" s="48"/>
      <c r="AG3692" s="48"/>
      <c r="AH3692" s="48"/>
      <c r="AI3692" s="48"/>
      <c r="AJ3692" s="48"/>
      <c r="AK3692" s="48"/>
      <c r="AL3692" s="48"/>
      <c r="AM3692" s="48"/>
      <c r="AN3692" s="48"/>
      <c r="AO3692" s="48"/>
      <c r="AP3692" s="48"/>
      <c r="AQ3692" s="48"/>
      <c r="AR3692" s="48"/>
      <c r="AS3692" s="48"/>
      <c r="AT3692" s="48"/>
      <c r="AU3692" s="48"/>
      <c r="AV3692" s="48"/>
      <c r="AW3692" s="48"/>
      <c r="AX3692" s="48"/>
      <c r="AY3692" s="48"/>
      <c r="AZ3692" s="48"/>
      <c r="BA3692" s="48"/>
      <c r="BB3692" s="14"/>
      <c r="BC3692" s="48"/>
      <c r="BD3692" s="48"/>
      <c r="BE3692" s="48"/>
      <c r="BF3692" s="48"/>
      <c r="BG3692" s="48"/>
      <c r="BH3692" s="48"/>
      <c r="BI3692" s="48"/>
      <c r="BJ3692" s="48"/>
      <c r="BK3692" s="48"/>
      <c r="BL3692" s="48"/>
      <c r="BM3692" s="48"/>
      <c r="BN3692" s="48"/>
      <c r="BO3692" s="48"/>
      <c r="BP3692" s="48"/>
      <c r="BQ3692" s="48"/>
      <c r="BR3692" s="48"/>
      <c r="BS3692" s="48"/>
      <c r="BT3692" s="48"/>
      <c r="BU3692" s="48"/>
      <c r="BV3692" s="48"/>
      <c r="BW3692" s="48"/>
      <c r="BX3692" s="48"/>
      <c r="BY3692" s="48"/>
      <c r="BZ3692" s="48"/>
      <c r="CA3692" s="48"/>
      <c r="CB3692" s="48"/>
      <c r="CC3692" s="48"/>
      <c r="CD3692" s="48"/>
      <c r="CE3692" s="48"/>
      <c r="CF3692" s="48"/>
      <c r="CG3692" s="48"/>
      <c r="CH3692" s="48"/>
      <c r="CI3692" s="48"/>
      <c r="CJ3692" s="48"/>
      <c r="CK3692" s="48"/>
      <c r="CL3692" s="48"/>
      <c r="CM3692" s="48"/>
      <c r="CN3692" s="48"/>
      <c r="CO3692" s="48"/>
      <c r="CP3692" s="48"/>
      <c r="CQ3692" s="48"/>
      <c r="CR3692" s="48"/>
      <c r="CS3692" s="48"/>
      <c r="CT3692" s="48"/>
      <c r="CU3692" s="48"/>
      <c r="CV3692" s="48"/>
      <c r="CW3692" s="48"/>
      <c r="CX3692" s="48"/>
      <c r="CY3692" s="48"/>
      <c r="CZ3692" s="48"/>
    </row>
    <row r="3693" spans="27:104" s="4" customFormat="1" x14ac:dyDescent="0.3">
      <c r="AA3693" s="48"/>
      <c r="AB3693" s="48"/>
      <c r="AC3693" s="48"/>
      <c r="AD3693" s="48"/>
      <c r="AE3693" s="48"/>
      <c r="AF3693" s="48"/>
      <c r="AG3693" s="48"/>
      <c r="AH3693" s="48"/>
      <c r="AI3693" s="48"/>
      <c r="AJ3693" s="48"/>
      <c r="AK3693" s="48"/>
      <c r="AL3693" s="48"/>
      <c r="AM3693" s="48"/>
      <c r="AN3693" s="48"/>
      <c r="AO3693" s="48"/>
      <c r="AP3693" s="48"/>
      <c r="AQ3693" s="48"/>
      <c r="AR3693" s="48"/>
      <c r="AS3693" s="48"/>
      <c r="AT3693" s="48"/>
      <c r="AU3693" s="48"/>
      <c r="AV3693" s="48"/>
      <c r="AW3693" s="48"/>
      <c r="AX3693" s="48"/>
      <c r="AY3693" s="48"/>
      <c r="AZ3693" s="48"/>
      <c r="BA3693" s="48"/>
      <c r="BB3693" s="14"/>
      <c r="BC3693" s="48"/>
      <c r="BD3693" s="48"/>
      <c r="BE3693" s="48"/>
      <c r="BF3693" s="48"/>
      <c r="BG3693" s="48"/>
      <c r="BH3693" s="48"/>
      <c r="BI3693" s="48"/>
      <c r="BJ3693" s="48"/>
      <c r="BK3693" s="48"/>
      <c r="BL3693" s="48"/>
      <c r="BM3693" s="48"/>
      <c r="BN3693" s="48"/>
      <c r="BO3693" s="48"/>
      <c r="BP3693" s="48"/>
      <c r="BQ3693" s="48"/>
      <c r="BR3693" s="48"/>
      <c r="BS3693" s="48"/>
      <c r="BT3693" s="48"/>
      <c r="BU3693" s="48"/>
      <c r="BV3693" s="48"/>
      <c r="BW3693" s="48"/>
      <c r="BX3693" s="48"/>
      <c r="BY3693" s="48"/>
      <c r="BZ3693" s="48"/>
      <c r="CA3693" s="48"/>
      <c r="CB3693" s="48"/>
      <c r="CC3693" s="48"/>
      <c r="CD3693" s="48"/>
      <c r="CE3693" s="48"/>
      <c r="CF3693" s="48"/>
      <c r="CG3693" s="48"/>
      <c r="CH3693" s="48"/>
      <c r="CI3693" s="48"/>
      <c r="CJ3693" s="48"/>
      <c r="CK3693" s="48"/>
      <c r="CL3693" s="48"/>
      <c r="CM3693" s="48"/>
      <c r="CN3693" s="48"/>
      <c r="CO3693" s="48"/>
      <c r="CP3693" s="48"/>
      <c r="CQ3693" s="48"/>
      <c r="CR3693" s="48"/>
      <c r="CS3693" s="48"/>
      <c r="CT3693" s="48"/>
      <c r="CU3693" s="48"/>
      <c r="CV3693" s="48"/>
      <c r="CW3693" s="48"/>
      <c r="CX3693" s="48"/>
      <c r="CY3693" s="48"/>
      <c r="CZ3693" s="48"/>
    </row>
    <row r="3694" spans="27:104" s="4" customFormat="1" x14ac:dyDescent="0.3">
      <c r="AA3694" s="48"/>
      <c r="AB3694" s="48"/>
      <c r="AC3694" s="48"/>
      <c r="AD3694" s="48"/>
      <c r="AE3694" s="48"/>
      <c r="AF3694" s="48"/>
      <c r="AG3694" s="48"/>
      <c r="AH3694" s="48"/>
      <c r="AI3694" s="48"/>
      <c r="AJ3694" s="48"/>
      <c r="AK3694" s="48"/>
      <c r="AL3694" s="48"/>
      <c r="AM3694" s="48"/>
      <c r="AN3694" s="48"/>
      <c r="AO3694" s="48"/>
      <c r="AP3694" s="48"/>
      <c r="AQ3694" s="48"/>
      <c r="AR3694" s="48"/>
      <c r="AS3694" s="48"/>
      <c r="AT3694" s="48"/>
      <c r="AU3694" s="48"/>
      <c r="AV3694" s="48"/>
      <c r="AW3694" s="48"/>
      <c r="AX3694" s="48"/>
      <c r="AY3694" s="48"/>
      <c r="AZ3694" s="48"/>
      <c r="BA3694" s="48"/>
      <c r="BB3694" s="14"/>
      <c r="BC3694" s="48"/>
      <c r="BD3694" s="48"/>
      <c r="BE3694" s="48"/>
      <c r="BF3694" s="48"/>
      <c r="BG3694" s="48"/>
      <c r="BH3694" s="48"/>
      <c r="BI3694" s="48"/>
      <c r="BJ3694" s="48"/>
      <c r="BK3694" s="48"/>
      <c r="BL3694" s="48"/>
      <c r="BM3694" s="48"/>
      <c r="BN3694" s="48"/>
      <c r="BO3694" s="48"/>
      <c r="BP3694" s="48"/>
      <c r="BQ3694" s="48"/>
      <c r="BR3694" s="48"/>
      <c r="BS3694" s="48"/>
      <c r="BT3694" s="48"/>
      <c r="BU3694" s="48"/>
      <c r="BV3694" s="48"/>
      <c r="BW3694" s="48"/>
      <c r="BX3694" s="48"/>
      <c r="BY3694" s="48"/>
      <c r="BZ3694" s="48"/>
      <c r="CA3694" s="48"/>
      <c r="CB3694" s="48"/>
      <c r="CC3694" s="48"/>
      <c r="CD3694" s="48"/>
      <c r="CE3694" s="48"/>
      <c r="CF3694" s="48"/>
      <c r="CG3694" s="48"/>
      <c r="CH3694" s="48"/>
      <c r="CI3694" s="48"/>
      <c r="CJ3694" s="48"/>
      <c r="CK3694" s="48"/>
      <c r="CL3694" s="48"/>
      <c r="CM3694" s="48"/>
      <c r="CN3694" s="48"/>
      <c r="CO3694" s="48"/>
      <c r="CP3694" s="48"/>
      <c r="CQ3694" s="48"/>
      <c r="CR3694" s="48"/>
      <c r="CS3694" s="48"/>
      <c r="CT3694" s="48"/>
      <c r="CU3694" s="48"/>
      <c r="CV3694" s="48"/>
      <c r="CW3694" s="48"/>
      <c r="CX3694" s="48"/>
      <c r="CY3694" s="48"/>
      <c r="CZ3694" s="48"/>
    </row>
    <row r="3695" spans="27:104" s="4" customFormat="1" x14ac:dyDescent="0.3">
      <c r="AA3695" s="48"/>
      <c r="AB3695" s="48"/>
      <c r="AC3695" s="48"/>
      <c r="AD3695" s="48"/>
      <c r="AE3695" s="48"/>
      <c r="AF3695" s="48"/>
      <c r="AG3695" s="48"/>
      <c r="AH3695" s="48"/>
      <c r="AI3695" s="48"/>
      <c r="AJ3695" s="48"/>
      <c r="AK3695" s="48"/>
      <c r="AL3695" s="48"/>
      <c r="AM3695" s="48"/>
      <c r="AN3695" s="48"/>
      <c r="AO3695" s="48"/>
      <c r="AP3695" s="48"/>
      <c r="AQ3695" s="48"/>
      <c r="AR3695" s="48"/>
      <c r="AS3695" s="48"/>
      <c r="AT3695" s="48"/>
      <c r="AU3695" s="48"/>
      <c r="AV3695" s="48"/>
      <c r="AW3695" s="48"/>
      <c r="AX3695" s="48"/>
      <c r="AY3695" s="48"/>
      <c r="AZ3695" s="48"/>
      <c r="BA3695" s="48"/>
      <c r="BB3695" s="14"/>
      <c r="BC3695" s="48"/>
      <c r="BD3695" s="48"/>
      <c r="BE3695" s="48"/>
      <c r="BF3695" s="48"/>
      <c r="BG3695" s="48"/>
      <c r="BH3695" s="48"/>
      <c r="BI3695" s="48"/>
      <c r="BJ3695" s="48"/>
      <c r="BK3695" s="48"/>
      <c r="BL3695" s="48"/>
      <c r="BM3695" s="48"/>
      <c r="BN3695" s="48"/>
      <c r="BO3695" s="48"/>
      <c r="BP3695" s="48"/>
      <c r="BQ3695" s="48"/>
      <c r="BR3695" s="48"/>
      <c r="BS3695" s="48"/>
      <c r="BT3695" s="48"/>
      <c r="BU3695" s="48"/>
      <c r="BV3695" s="48"/>
      <c r="BW3695" s="48"/>
      <c r="BX3695" s="48"/>
      <c r="BY3695" s="48"/>
      <c r="BZ3695" s="48"/>
      <c r="CA3695" s="48"/>
      <c r="CB3695" s="48"/>
      <c r="CC3695" s="48"/>
      <c r="CD3695" s="48"/>
      <c r="CE3695" s="48"/>
      <c r="CF3695" s="48"/>
      <c r="CG3695" s="48"/>
      <c r="CH3695" s="48"/>
      <c r="CI3695" s="48"/>
      <c r="CJ3695" s="48"/>
      <c r="CK3695" s="48"/>
      <c r="CL3695" s="48"/>
      <c r="CM3695" s="48"/>
      <c r="CN3695" s="48"/>
      <c r="CO3695" s="48"/>
      <c r="CP3695" s="48"/>
      <c r="CQ3695" s="48"/>
      <c r="CR3695" s="48"/>
      <c r="CS3695" s="48"/>
      <c r="CT3695" s="48"/>
      <c r="CU3695" s="48"/>
      <c r="CV3695" s="48"/>
      <c r="CW3695" s="48"/>
      <c r="CX3695" s="48"/>
      <c r="CY3695" s="48"/>
      <c r="CZ3695" s="48"/>
    </row>
    <row r="3696" spans="27:104" s="4" customFormat="1" x14ac:dyDescent="0.3">
      <c r="AA3696" s="48"/>
      <c r="AB3696" s="48"/>
      <c r="AC3696" s="48"/>
      <c r="AD3696" s="48"/>
      <c r="AE3696" s="48"/>
      <c r="AF3696" s="48"/>
      <c r="AG3696" s="48"/>
      <c r="AH3696" s="48"/>
      <c r="AI3696" s="48"/>
      <c r="AJ3696" s="48"/>
      <c r="AK3696" s="48"/>
      <c r="AL3696" s="48"/>
      <c r="AM3696" s="48"/>
      <c r="AN3696" s="48"/>
      <c r="AO3696" s="48"/>
      <c r="AP3696" s="48"/>
      <c r="AQ3696" s="48"/>
      <c r="AR3696" s="48"/>
      <c r="AS3696" s="48"/>
      <c r="AT3696" s="48"/>
      <c r="AU3696" s="48"/>
      <c r="AV3696" s="48"/>
      <c r="AW3696" s="48"/>
      <c r="AX3696" s="48"/>
      <c r="AY3696" s="48"/>
      <c r="AZ3696" s="48"/>
      <c r="BA3696" s="48"/>
      <c r="BB3696" s="14"/>
      <c r="BC3696" s="48"/>
      <c r="BD3696" s="48"/>
      <c r="BE3696" s="48"/>
      <c r="BF3696" s="48"/>
      <c r="BG3696" s="48"/>
      <c r="BH3696" s="48"/>
      <c r="BI3696" s="48"/>
      <c r="BJ3696" s="48"/>
      <c r="BK3696" s="48"/>
      <c r="BL3696" s="48"/>
      <c r="BM3696" s="48"/>
      <c r="BN3696" s="48"/>
      <c r="BO3696" s="48"/>
      <c r="BP3696" s="48"/>
      <c r="BQ3696" s="48"/>
      <c r="BR3696" s="48"/>
      <c r="BS3696" s="48"/>
      <c r="BT3696" s="48"/>
      <c r="BU3696" s="48"/>
      <c r="BV3696" s="48"/>
      <c r="BW3696" s="48"/>
      <c r="BX3696" s="48"/>
      <c r="BY3696" s="48"/>
      <c r="BZ3696" s="48"/>
      <c r="CA3696" s="48"/>
      <c r="CB3696" s="48"/>
      <c r="CC3696" s="48"/>
      <c r="CD3696" s="48"/>
      <c r="CE3696" s="48"/>
      <c r="CF3696" s="48"/>
      <c r="CG3696" s="48"/>
      <c r="CH3696" s="48"/>
      <c r="CI3696" s="48"/>
      <c r="CJ3696" s="48"/>
      <c r="CK3696" s="48"/>
      <c r="CL3696" s="48"/>
      <c r="CM3696" s="48"/>
      <c r="CN3696" s="48"/>
      <c r="CO3696" s="48"/>
      <c r="CP3696" s="48"/>
      <c r="CQ3696" s="48"/>
      <c r="CR3696" s="48"/>
      <c r="CS3696" s="48"/>
      <c r="CT3696" s="48"/>
      <c r="CU3696" s="48"/>
      <c r="CV3696" s="48"/>
      <c r="CW3696" s="48"/>
      <c r="CX3696" s="48"/>
      <c r="CY3696" s="48"/>
      <c r="CZ3696" s="48"/>
    </row>
    <row r="3697" spans="27:104" s="4" customFormat="1" x14ac:dyDescent="0.3">
      <c r="AA3697" s="48"/>
      <c r="AB3697" s="48"/>
      <c r="AC3697" s="48"/>
      <c r="AD3697" s="48"/>
      <c r="AE3697" s="48"/>
      <c r="AF3697" s="48"/>
      <c r="AG3697" s="48"/>
      <c r="AH3697" s="48"/>
      <c r="AI3697" s="48"/>
      <c r="AJ3697" s="48"/>
      <c r="AK3697" s="48"/>
      <c r="AL3697" s="48"/>
      <c r="AM3697" s="48"/>
      <c r="AN3697" s="48"/>
      <c r="AO3697" s="48"/>
      <c r="AP3697" s="48"/>
      <c r="AQ3697" s="48"/>
      <c r="AR3697" s="48"/>
      <c r="AS3697" s="48"/>
      <c r="AT3697" s="48"/>
      <c r="AU3697" s="48"/>
      <c r="AV3697" s="48"/>
      <c r="AW3697" s="48"/>
      <c r="AX3697" s="48"/>
      <c r="AY3697" s="48"/>
      <c r="AZ3697" s="48"/>
      <c r="BA3697" s="48"/>
      <c r="BB3697" s="14"/>
      <c r="BC3697" s="48"/>
      <c r="BD3697" s="48"/>
      <c r="BE3697" s="48"/>
      <c r="BF3697" s="48"/>
      <c r="BG3697" s="48"/>
      <c r="BH3697" s="48"/>
      <c r="BI3697" s="48"/>
      <c r="BJ3697" s="48"/>
      <c r="BK3697" s="48"/>
      <c r="BL3697" s="48"/>
      <c r="BM3697" s="48"/>
      <c r="BN3697" s="48"/>
      <c r="BO3697" s="48"/>
      <c r="BP3697" s="48"/>
      <c r="BQ3697" s="48"/>
      <c r="BR3697" s="48"/>
      <c r="BS3697" s="48"/>
      <c r="BT3697" s="48"/>
      <c r="BU3697" s="48"/>
      <c r="BV3697" s="48"/>
      <c r="BW3697" s="48"/>
      <c r="BX3697" s="48"/>
      <c r="BY3697" s="48"/>
      <c r="BZ3697" s="48"/>
      <c r="CA3697" s="48"/>
      <c r="CB3697" s="48"/>
      <c r="CC3697" s="48"/>
      <c r="CD3697" s="48"/>
      <c r="CE3697" s="48"/>
      <c r="CF3697" s="48"/>
      <c r="CG3697" s="48"/>
      <c r="CH3697" s="48"/>
      <c r="CI3697" s="48"/>
      <c r="CJ3697" s="48"/>
      <c r="CK3697" s="48"/>
      <c r="CL3697" s="48"/>
      <c r="CM3697" s="48"/>
      <c r="CN3697" s="48"/>
      <c r="CO3697" s="48"/>
      <c r="CP3697" s="48"/>
      <c r="CQ3697" s="48"/>
      <c r="CR3697" s="48"/>
      <c r="CS3697" s="48"/>
      <c r="CT3697" s="48"/>
      <c r="CU3697" s="48"/>
      <c r="CV3697" s="48"/>
      <c r="CW3697" s="48"/>
      <c r="CX3697" s="48"/>
      <c r="CY3697" s="48"/>
      <c r="CZ3697" s="48"/>
    </row>
    <row r="3698" spans="27:104" s="4" customFormat="1" x14ac:dyDescent="0.3">
      <c r="AA3698" s="48"/>
      <c r="AB3698" s="48"/>
      <c r="AC3698" s="48"/>
      <c r="AD3698" s="48"/>
      <c r="AE3698" s="48"/>
      <c r="AF3698" s="48"/>
      <c r="AG3698" s="48"/>
      <c r="AH3698" s="48"/>
      <c r="AI3698" s="48"/>
      <c r="AJ3698" s="48"/>
      <c r="AK3698" s="48"/>
      <c r="AL3698" s="48"/>
      <c r="AM3698" s="48"/>
      <c r="AN3698" s="48"/>
      <c r="AO3698" s="48"/>
      <c r="AP3698" s="48"/>
      <c r="AQ3698" s="48"/>
      <c r="AR3698" s="48"/>
      <c r="AS3698" s="48"/>
      <c r="AT3698" s="48"/>
      <c r="AU3698" s="48"/>
      <c r="AV3698" s="48"/>
      <c r="AW3698" s="48"/>
      <c r="AX3698" s="48"/>
      <c r="AY3698" s="48"/>
      <c r="AZ3698" s="48"/>
      <c r="BA3698" s="48"/>
      <c r="BB3698" s="14"/>
      <c r="BC3698" s="48"/>
      <c r="BD3698" s="48"/>
      <c r="BE3698" s="48"/>
      <c r="BF3698" s="48"/>
      <c r="BG3698" s="48"/>
      <c r="BH3698" s="48"/>
      <c r="BI3698" s="48"/>
      <c r="BJ3698" s="48"/>
      <c r="BK3698" s="48"/>
      <c r="BL3698" s="48"/>
      <c r="BM3698" s="48"/>
      <c r="BN3698" s="48"/>
      <c r="BO3698" s="48"/>
      <c r="BP3698" s="48"/>
      <c r="BQ3698" s="48"/>
      <c r="BR3698" s="48"/>
      <c r="BS3698" s="48"/>
      <c r="BT3698" s="48"/>
      <c r="BU3698" s="48"/>
      <c r="BV3698" s="48"/>
      <c r="BW3698" s="48"/>
      <c r="BX3698" s="48"/>
      <c r="BY3698" s="48"/>
      <c r="BZ3698" s="48"/>
      <c r="CA3698" s="48"/>
      <c r="CB3698" s="48"/>
      <c r="CC3698" s="48"/>
      <c r="CD3698" s="48"/>
      <c r="CE3698" s="48"/>
      <c r="CF3698" s="48"/>
      <c r="CG3698" s="48"/>
      <c r="CH3698" s="48"/>
      <c r="CI3698" s="48"/>
      <c r="CJ3698" s="48"/>
      <c r="CK3698" s="48"/>
      <c r="CL3698" s="48"/>
      <c r="CM3698" s="48"/>
      <c r="CN3698" s="48"/>
      <c r="CO3698" s="48"/>
      <c r="CP3698" s="48"/>
      <c r="CQ3698" s="48"/>
      <c r="CR3698" s="48"/>
      <c r="CS3698" s="48"/>
      <c r="CT3698" s="48"/>
      <c r="CU3698" s="48"/>
      <c r="CV3698" s="48"/>
      <c r="CW3698" s="48"/>
      <c r="CX3698" s="48"/>
      <c r="CY3698" s="48"/>
      <c r="CZ3698" s="48"/>
    </row>
    <row r="3699" spans="27:104" s="4" customFormat="1" x14ac:dyDescent="0.3">
      <c r="AA3699" s="48"/>
      <c r="AB3699" s="48"/>
      <c r="AC3699" s="48"/>
      <c r="AD3699" s="48"/>
      <c r="AE3699" s="48"/>
      <c r="AF3699" s="48"/>
      <c r="AG3699" s="48"/>
      <c r="AH3699" s="48"/>
      <c r="AI3699" s="48"/>
      <c r="AJ3699" s="48"/>
      <c r="AK3699" s="48"/>
      <c r="AL3699" s="48"/>
      <c r="AM3699" s="48"/>
      <c r="AN3699" s="48"/>
      <c r="AO3699" s="48"/>
      <c r="AP3699" s="48"/>
      <c r="AQ3699" s="48"/>
      <c r="AR3699" s="48"/>
      <c r="AS3699" s="48"/>
      <c r="AT3699" s="48"/>
      <c r="AU3699" s="48"/>
      <c r="AV3699" s="48"/>
      <c r="AW3699" s="48"/>
      <c r="AX3699" s="48"/>
      <c r="AY3699" s="48"/>
      <c r="AZ3699" s="48"/>
      <c r="BA3699" s="48"/>
      <c r="BB3699" s="14"/>
      <c r="BC3699" s="48"/>
      <c r="BD3699" s="48"/>
      <c r="BE3699" s="48"/>
      <c r="BF3699" s="48"/>
      <c r="BG3699" s="48"/>
      <c r="BH3699" s="48"/>
      <c r="BI3699" s="48"/>
      <c r="BJ3699" s="48"/>
      <c r="BK3699" s="48"/>
      <c r="BL3699" s="48"/>
      <c r="BM3699" s="48"/>
      <c r="BN3699" s="48"/>
      <c r="BO3699" s="48"/>
      <c r="BP3699" s="48"/>
      <c r="BQ3699" s="48"/>
      <c r="BR3699" s="48"/>
      <c r="BS3699" s="48"/>
      <c r="BT3699" s="48"/>
      <c r="BU3699" s="48"/>
      <c r="BV3699" s="48"/>
      <c r="BW3699" s="48"/>
      <c r="BX3699" s="48"/>
      <c r="BY3699" s="48"/>
      <c r="BZ3699" s="48"/>
      <c r="CA3699" s="48"/>
      <c r="CB3699" s="48"/>
      <c r="CC3699" s="48"/>
      <c r="CD3699" s="48"/>
      <c r="CE3699" s="48"/>
      <c r="CF3699" s="48"/>
      <c r="CG3699" s="48"/>
      <c r="CH3699" s="48"/>
      <c r="CI3699" s="48"/>
      <c r="CJ3699" s="48"/>
      <c r="CK3699" s="48"/>
      <c r="CL3699" s="48"/>
      <c r="CM3699" s="48"/>
      <c r="CN3699" s="48"/>
      <c r="CO3699" s="48"/>
      <c r="CP3699" s="48"/>
      <c r="CQ3699" s="48"/>
      <c r="CR3699" s="48"/>
      <c r="CS3699" s="48"/>
      <c r="CT3699" s="48"/>
      <c r="CU3699" s="48"/>
      <c r="CV3699" s="48"/>
      <c r="CW3699" s="48"/>
      <c r="CX3699" s="48"/>
      <c r="CY3699" s="48"/>
      <c r="CZ3699" s="48"/>
    </row>
    <row r="3700" spans="27:104" s="4" customFormat="1" x14ac:dyDescent="0.3">
      <c r="AA3700" s="48"/>
      <c r="AB3700" s="48"/>
      <c r="AC3700" s="48"/>
      <c r="AD3700" s="48"/>
      <c r="AE3700" s="48"/>
      <c r="AF3700" s="48"/>
      <c r="AG3700" s="48"/>
      <c r="AH3700" s="48"/>
      <c r="AI3700" s="48"/>
      <c r="AJ3700" s="48"/>
      <c r="AK3700" s="48"/>
      <c r="AL3700" s="48"/>
      <c r="AM3700" s="48"/>
      <c r="AN3700" s="48"/>
      <c r="AO3700" s="48"/>
      <c r="AP3700" s="48"/>
      <c r="AQ3700" s="48"/>
      <c r="AR3700" s="48"/>
      <c r="AS3700" s="48"/>
      <c r="AT3700" s="48"/>
      <c r="AU3700" s="48"/>
      <c r="AV3700" s="48"/>
      <c r="AW3700" s="48"/>
      <c r="AX3700" s="48"/>
      <c r="AY3700" s="48"/>
      <c r="AZ3700" s="48"/>
      <c r="BA3700" s="48"/>
      <c r="BB3700" s="14"/>
      <c r="BC3700" s="48"/>
      <c r="BD3700" s="48"/>
      <c r="BE3700" s="48"/>
      <c r="BF3700" s="48"/>
      <c r="BG3700" s="48"/>
      <c r="BH3700" s="48"/>
      <c r="BI3700" s="48"/>
      <c r="BJ3700" s="48"/>
      <c r="BK3700" s="48"/>
      <c r="BL3700" s="48"/>
      <c r="BM3700" s="48"/>
      <c r="BN3700" s="48"/>
      <c r="BO3700" s="48"/>
      <c r="BP3700" s="48"/>
      <c r="BQ3700" s="48"/>
      <c r="BR3700" s="48"/>
      <c r="BS3700" s="48"/>
      <c r="BT3700" s="48"/>
      <c r="BU3700" s="48"/>
      <c r="BV3700" s="48"/>
      <c r="BW3700" s="48"/>
      <c r="BX3700" s="48"/>
      <c r="BY3700" s="48"/>
      <c r="BZ3700" s="48"/>
      <c r="CA3700" s="48"/>
      <c r="CB3700" s="48"/>
      <c r="CC3700" s="48"/>
      <c r="CD3700" s="48"/>
      <c r="CE3700" s="48"/>
      <c r="CF3700" s="48"/>
      <c r="CG3700" s="48"/>
      <c r="CH3700" s="48"/>
      <c r="CI3700" s="48"/>
      <c r="CJ3700" s="48"/>
      <c r="CK3700" s="48"/>
      <c r="CL3700" s="48"/>
      <c r="CM3700" s="48"/>
      <c r="CN3700" s="48"/>
      <c r="CO3700" s="48"/>
      <c r="CP3700" s="48"/>
      <c r="CQ3700" s="48"/>
      <c r="CR3700" s="48"/>
      <c r="CS3700" s="48"/>
      <c r="CT3700" s="48"/>
      <c r="CU3700" s="48"/>
      <c r="CV3700" s="48"/>
      <c r="CW3700" s="48"/>
      <c r="CX3700" s="48"/>
      <c r="CY3700" s="48"/>
      <c r="CZ3700" s="48"/>
    </row>
    <row r="3701" spans="27:104" s="4" customFormat="1" x14ac:dyDescent="0.3">
      <c r="AA3701" s="48"/>
      <c r="AB3701" s="48"/>
      <c r="AC3701" s="48"/>
      <c r="AD3701" s="48"/>
      <c r="AE3701" s="48"/>
      <c r="AF3701" s="48"/>
      <c r="AG3701" s="48"/>
      <c r="AH3701" s="48"/>
      <c r="AI3701" s="48"/>
      <c r="AJ3701" s="48"/>
      <c r="AK3701" s="48"/>
      <c r="AL3701" s="48"/>
      <c r="AM3701" s="48"/>
      <c r="AN3701" s="48"/>
      <c r="AO3701" s="48"/>
      <c r="AP3701" s="48"/>
      <c r="AQ3701" s="48"/>
      <c r="AR3701" s="48"/>
      <c r="AS3701" s="48"/>
      <c r="AT3701" s="48"/>
      <c r="AU3701" s="48"/>
      <c r="AV3701" s="48"/>
      <c r="AW3701" s="48"/>
      <c r="AX3701" s="48"/>
      <c r="AY3701" s="48"/>
      <c r="AZ3701" s="48"/>
      <c r="BA3701" s="48"/>
      <c r="BB3701" s="14"/>
      <c r="BC3701" s="48"/>
      <c r="BD3701" s="48"/>
      <c r="BE3701" s="48"/>
      <c r="BF3701" s="48"/>
      <c r="BG3701" s="48"/>
      <c r="BH3701" s="48"/>
      <c r="BI3701" s="48"/>
      <c r="BJ3701" s="48"/>
      <c r="BK3701" s="48"/>
      <c r="BL3701" s="48"/>
      <c r="BM3701" s="48"/>
      <c r="BN3701" s="48"/>
      <c r="BO3701" s="48"/>
      <c r="BP3701" s="48"/>
      <c r="BQ3701" s="48"/>
      <c r="BR3701" s="48"/>
      <c r="BS3701" s="48"/>
      <c r="BT3701" s="48"/>
      <c r="BU3701" s="48"/>
      <c r="BV3701" s="48"/>
      <c r="BW3701" s="48"/>
      <c r="BX3701" s="48"/>
      <c r="BY3701" s="48"/>
      <c r="BZ3701" s="48"/>
      <c r="CA3701" s="48"/>
      <c r="CB3701" s="48"/>
      <c r="CC3701" s="48"/>
      <c r="CD3701" s="48"/>
      <c r="CE3701" s="48"/>
      <c r="CF3701" s="48"/>
      <c r="CG3701" s="48"/>
      <c r="CH3701" s="48"/>
      <c r="CI3701" s="48"/>
      <c r="CJ3701" s="48"/>
      <c r="CK3701" s="48"/>
      <c r="CL3701" s="48"/>
      <c r="CM3701" s="48"/>
      <c r="CN3701" s="48"/>
      <c r="CO3701" s="48"/>
      <c r="CP3701" s="48"/>
      <c r="CQ3701" s="48"/>
      <c r="CR3701" s="48"/>
      <c r="CS3701" s="48"/>
      <c r="CT3701" s="48"/>
      <c r="CU3701" s="48"/>
      <c r="CV3701" s="48"/>
      <c r="CW3701" s="48"/>
      <c r="CX3701" s="48"/>
      <c r="CY3701" s="48"/>
      <c r="CZ3701" s="48"/>
    </row>
    <row r="3702" spans="27:104" s="4" customFormat="1" x14ac:dyDescent="0.3">
      <c r="AA3702" s="48"/>
      <c r="AB3702" s="48"/>
      <c r="AC3702" s="48"/>
      <c r="AD3702" s="48"/>
      <c r="AE3702" s="48"/>
      <c r="AF3702" s="48"/>
      <c r="AG3702" s="48"/>
      <c r="AH3702" s="48"/>
      <c r="AI3702" s="48"/>
      <c r="AJ3702" s="48"/>
      <c r="AK3702" s="48"/>
      <c r="AL3702" s="48"/>
      <c r="AM3702" s="48"/>
      <c r="AN3702" s="48"/>
      <c r="AO3702" s="48"/>
      <c r="AP3702" s="48"/>
      <c r="AQ3702" s="48"/>
      <c r="AR3702" s="48"/>
      <c r="AS3702" s="48"/>
      <c r="AT3702" s="48"/>
      <c r="AU3702" s="48"/>
      <c r="AV3702" s="48"/>
      <c r="AW3702" s="48"/>
      <c r="AX3702" s="48"/>
      <c r="AY3702" s="48"/>
      <c r="AZ3702" s="48"/>
      <c r="BA3702" s="48"/>
      <c r="BB3702" s="14"/>
      <c r="BC3702" s="48"/>
      <c r="BD3702" s="48"/>
      <c r="BE3702" s="48"/>
      <c r="BF3702" s="48"/>
      <c r="BG3702" s="48"/>
      <c r="BH3702" s="48"/>
      <c r="BI3702" s="48"/>
      <c r="BJ3702" s="48"/>
      <c r="BK3702" s="48"/>
      <c r="BL3702" s="48"/>
      <c r="BM3702" s="48"/>
      <c r="BN3702" s="48"/>
      <c r="BO3702" s="48"/>
      <c r="BP3702" s="48"/>
      <c r="BQ3702" s="48"/>
      <c r="BR3702" s="48"/>
      <c r="BS3702" s="48"/>
      <c r="BT3702" s="48"/>
      <c r="BU3702" s="48"/>
      <c r="BV3702" s="48"/>
      <c r="BW3702" s="48"/>
      <c r="BX3702" s="48"/>
      <c r="BY3702" s="48"/>
      <c r="BZ3702" s="48"/>
      <c r="CA3702" s="48"/>
      <c r="CB3702" s="48"/>
      <c r="CC3702" s="48"/>
      <c r="CD3702" s="48"/>
      <c r="CE3702" s="48"/>
      <c r="CF3702" s="48"/>
      <c r="CG3702" s="48"/>
      <c r="CH3702" s="48"/>
      <c r="CI3702" s="48"/>
      <c r="CJ3702" s="48"/>
      <c r="CK3702" s="48"/>
      <c r="CL3702" s="48"/>
      <c r="CM3702" s="48"/>
      <c r="CN3702" s="48"/>
      <c r="CO3702" s="48"/>
      <c r="CP3702" s="48"/>
      <c r="CQ3702" s="48"/>
      <c r="CR3702" s="48"/>
      <c r="CS3702" s="48"/>
      <c r="CT3702" s="48"/>
      <c r="CU3702" s="48"/>
      <c r="CV3702" s="48"/>
      <c r="CW3702" s="48"/>
      <c r="CX3702" s="48"/>
      <c r="CY3702" s="48"/>
      <c r="CZ3702" s="48"/>
    </row>
    <row r="3703" spans="27:104" s="4" customFormat="1" x14ac:dyDescent="0.3">
      <c r="AA3703" s="48"/>
      <c r="AB3703" s="48"/>
      <c r="AC3703" s="48"/>
      <c r="AD3703" s="48"/>
      <c r="AE3703" s="48"/>
      <c r="AF3703" s="48"/>
      <c r="AG3703" s="48"/>
      <c r="AH3703" s="48"/>
      <c r="AI3703" s="48"/>
      <c r="AJ3703" s="48"/>
      <c r="AK3703" s="48"/>
      <c r="AL3703" s="48"/>
      <c r="AM3703" s="48"/>
      <c r="AN3703" s="48"/>
      <c r="AO3703" s="48"/>
      <c r="AP3703" s="48"/>
      <c r="AQ3703" s="48"/>
      <c r="AR3703" s="48"/>
      <c r="AS3703" s="48"/>
      <c r="AT3703" s="48"/>
      <c r="AU3703" s="48"/>
      <c r="AV3703" s="48"/>
      <c r="AW3703" s="48"/>
      <c r="AX3703" s="48"/>
      <c r="AY3703" s="48"/>
      <c r="AZ3703" s="48"/>
      <c r="BA3703" s="48"/>
      <c r="BB3703" s="14"/>
      <c r="BC3703" s="48"/>
      <c r="BD3703" s="48"/>
      <c r="BE3703" s="48"/>
      <c r="BF3703" s="48"/>
      <c r="BG3703" s="48"/>
      <c r="BH3703" s="48"/>
      <c r="BI3703" s="48"/>
      <c r="BJ3703" s="48"/>
      <c r="BK3703" s="48"/>
      <c r="BL3703" s="48"/>
      <c r="BM3703" s="48"/>
      <c r="BN3703" s="48"/>
      <c r="BO3703" s="48"/>
      <c r="BP3703" s="48"/>
      <c r="BQ3703" s="48"/>
      <c r="BR3703" s="48"/>
      <c r="BS3703" s="48"/>
      <c r="BT3703" s="48"/>
      <c r="BU3703" s="48"/>
      <c r="BV3703" s="48"/>
      <c r="BW3703" s="48"/>
      <c r="BX3703" s="48"/>
      <c r="BY3703" s="48"/>
      <c r="BZ3703" s="48"/>
      <c r="CA3703" s="48"/>
      <c r="CB3703" s="48"/>
      <c r="CC3703" s="48"/>
      <c r="CD3703" s="48"/>
      <c r="CE3703" s="48"/>
      <c r="CF3703" s="48"/>
      <c r="CG3703" s="48"/>
      <c r="CH3703" s="48"/>
      <c r="CI3703" s="48"/>
      <c r="CJ3703" s="48"/>
      <c r="CK3703" s="48"/>
      <c r="CL3703" s="48"/>
      <c r="CM3703" s="48"/>
      <c r="CN3703" s="48"/>
      <c r="CO3703" s="48"/>
      <c r="CP3703" s="48"/>
      <c r="CQ3703" s="48"/>
      <c r="CR3703" s="48"/>
      <c r="CS3703" s="48"/>
      <c r="CT3703" s="48"/>
      <c r="CU3703" s="48"/>
      <c r="CV3703" s="48"/>
      <c r="CW3703" s="48"/>
      <c r="CX3703" s="48"/>
      <c r="CY3703" s="48"/>
      <c r="CZ3703" s="48"/>
    </row>
    <row r="3704" spans="27:104" s="4" customFormat="1" x14ac:dyDescent="0.3">
      <c r="AA3704" s="48"/>
      <c r="AB3704" s="48"/>
      <c r="AC3704" s="48"/>
      <c r="AD3704" s="48"/>
      <c r="AE3704" s="48"/>
      <c r="AF3704" s="48"/>
      <c r="AG3704" s="48"/>
      <c r="AH3704" s="48"/>
      <c r="AI3704" s="48"/>
      <c r="AJ3704" s="48"/>
      <c r="AK3704" s="48"/>
      <c r="AL3704" s="48"/>
      <c r="AM3704" s="48"/>
      <c r="AN3704" s="48"/>
      <c r="AO3704" s="48"/>
      <c r="AP3704" s="48"/>
      <c r="AQ3704" s="48"/>
      <c r="AR3704" s="48"/>
      <c r="AS3704" s="48"/>
      <c r="AT3704" s="48"/>
      <c r="AU3704" s="48"/>
      <c r="AV3704" s="48"/>
      <c r="AW3704" s="48"/>
      <c r="AX3704" s="48"/>
      <c r="AY3704" s="48"/>
      <c r="AZ3704" s="48"/>
      <c r="BA3704" s="48"/>
      <c r="BB3704" s="14"/>
      <c r="BC3704" s="48"/>
      <c r="BD3704" s="48"/>
      <c r="BE3704" s="48"/>
      <c r="BF3704" s="48"/>
      <c r="BG3704" s="48"/>
      <c r="BH3704" s="48"/>
      <c r="BI3704" s="48"/>
      <c r="BJ3704" s="48"/>
      <c r="BK3704" s="48"/>
      <c r="BL3704" s="48"/>
      <c r="BM3704" s="48"/>
      <c r="BN3704" s="48"/>
      <c r="BO3704" s="48"/>
      <c r="BP3704" s="48"/>
      <c r="BQ3704" s="48"/>
      <c r="BR3704" s="48"/>
      <c r="BS3704" s="48"/>
      <c r="BT3704" s="48"/>
      <c r="BU3704" s="48"/>
      <c r="BV3704" s="48"/>
      <c r="BW3704" s="48"/>
      <c r="BX3704" s="48"/>
      <c r="BY3704" s="48"/>
      <c r="BZ3704" s="48"/>
      <c r="CA3704" s="48"/>
      <c r="CB3704" s="48"/>
      <c r="CC3704" s="48"/>
      <c r="CD3704" s="48"/>
      <c r="CE3704" s="48"/>
      <c r="CF3704" s="48"/>
      <c r="CG3704" s="48"/>
      <c r="CH3704" s="48"/>
      <c r="CI3704" s="48"/>
      <c r="CJ3704" s="48"/>
      <c r="CK3704" s="48"/>
      <c r="CL3704" s="48"/>
      <c r="CM3704" s="48"/>
      <c r="CN3704" s="48"/>
      <c r="CO3704" s="48"/>
      <c r="CP3704" s="48"/>
      <c r="CQ3704" s="48"/>
      <c r="CR3704" s="48"/>
      <c r="CS3704" s="48"/>
      <c r="CT3704" s="48"/>
      <c r="CU3704" s="48"/>
      <c r="CV3704" s="48"/>
      <c r="CW3704" s="48"/>
      <c r="CX3704" s="48"/>
      <c r="CY3704" s="48"/>
      <c r="CZ3704" s="48"/>
    </row>
    <row r="3705" spans="27:104" s="4" customFormat="1" x14ac:dyDescent="0.3">
      <c r="AA3705" s="48"/>
      <c r="AB3705" s="48"/>
      <c r="AC3705" s="48"/>
      <c r="AD3705" s="48"/>
      <c r="AE3705" s="48"/>
      <c r="AF3705" s="48"/>
      <c r="AG3705" s="48"/>
      <c r="AH3705" s="48"/>
      <c r="AI3705" s="48"/>
      <c r="AJ3705" s="48"/>
      <c r="AK3705" s="48"/>
      <c r="AL3705" s="48"/>
      <c r="AM3705" s="48"/>
      <c r="AN3705" s="48"/>
      <c r="AO3705" s="48"/>
      <c r="AP3705" s="48"/>
      <c r="AQ3705" s="48"/>
      <c r="AR3705" s="48"/>
      <c r="AS3705" s="48"/>
      <c r="AT3705" s="48"/>
      <c r="AU3705" s="48"/>
      <c r="AV3705" s="48"/>
      <c r="AW3705" s="48"/>
      <c r="AX3705" s="48"/>
      <c r="AY3705" s="48"/>
      <c r="AZ3705" s="48"/>
      <c r="BA3705" s="48"/>
      <c r="BB3705" s="14"/>
      <c r="BC3705" s="48"/>
      <c r="BD3705" s="48"/>
      <c r="BE3705" s="48"/>
      <c r="BF3705" s="48"/>
      <c r="BG3705" s="48"/>
      <c r="BH3705" s="48"/>
      <c r="BI3705" s="48"/>
      <c r="BJ3705" s="48"/>
      <c r="BK3705" s="48"/>
      <c r="BL3705" s="48"/>
      <c r="BM3705" s="48"/>
      <c r="BN3705" s="48"/>
      <c r="BO3705" s="48"/>
      <c r="BP3705" s="48"/>
      <c r="BQ3705" s="48"/>
      <c r="BR3705" s="48"/>
      <c r="BS3705" s="48"/>
      <c r="BT3705" s="48"/>
      <c r="BU3705" s="48"/>
      <c r="BV3705" s="48"/>
      <c r="BW3705" s="48"/>
      <c r="BX3705" s="48"/>
      <c r="BY3705" s="48"/>
      <c r="BZ3705" s="48"/>
      <c r="CA3705" s="48"/>
      <c r="CB3705" s="48"/>
      <c r="CC3705" s="48"/>
      <c r="CD3705" s="48"/>
      <c r="CE3705" s="48"/>
      <c r="CF3705" s="48"/>
      <c r="CG3705" s="48"/>
      <c r="CH3705" s="48"/>
      <c r="CI3705" s="48"/>
      <c r="CJ3705" s="48"/>
      <c r="CK3705" s="48"/>
      <c r="CL3705" s="48"/>
      <c r="CM3705" s="48"/>
      <c r="CN3705" s="48"/>
      <c r="CO3705" s="48"/>
      <c r="CP3705" s="48"/>
      <c r="CQ3705" s="48"/>
      <c r="CR3705" s="48"/>
      <c r="CS3705" s="48"/>
      <c r="CT3705" s="48"/>
      <c r="CU3705" s="48"/>
      <c r="CV3705" s="48"/>
      <c r="CW3705" s="48"/>
      <c r="CX3705" s="48"/>
      <c r="CY3705" s="48"/>
      <c r="CZ3705" s="48"/>
    </row>
    <row r="3706" spans="27:104" s="4" customFormat="1" x14ac:dyDescent="0.3">
      <c r="AA3706" s="48"/>
      <c r="AB3706" s="48"/>
      <c r="AC3706" s="48"/>
      <c r="AD3706" s="48"/>
      <c r="AE3706" s="48"/>
      <c r="AF3706" s="48"/>
      <c r="AG3706" s="48"/>
      <c r="AH3706" s="48"/>
      <c r="AI3706" s="48"/>
      <c r="AJ3706" s="48"/>
      <c r="AK3706" s="48"/>
      <c r="AL3706" s="48"/>
      <c r="AM3706" s="48"/>
      <c r="AN3706" s="48"/>
      <c r="AO3706" s="48"/>
      <c r="AP3706" s="48"/>
      <c r="AQ3706" s="48"/>
      <c r="AR3706" s="48"/>
      <c r="AS3706" s="48"/>
      <c r="AT3706" s="48"/>
      <c r="AU3706" s="48"/>
      <c r="AV3706" s="48"/>
      <c r="AW3706" s="48"/>
      <c r="AX3706" s="48"/>
      <c r="AY3706" s="48"/>
      <c r="AZ3706" s="48"/>
      <c r="BA3706" s="48"/>
      <c r="BB3706" s="14"/>
      <c r="BC3706" s="48"/>
      <c r="BD3706" s="48"/>
      <c r="BE3706" s="48"/>
      <c r="BF3706" s="48"/>
      <c r="BG3706" s="48"/>
      <c r="BH3706" s="48"/>
      <c r="BI3706" s="48"/>
      <c r="BJ3706" s="48"/>
      <c r="BK3706" s="48"/>
      <c r="BL3706" s="48"/>
      <c r="BM3706" s="48"/>
      <c r="BN3706" s="48"/>
      <c r="BO3706" s="48"/>
      <c r="BP3706" s="48"/>
      <c r="BQ3706" s="48"/>
      <c r="BR3706" s="48"/>
      <c r="BS3706" s="48"/>
      <c r="BT3706" s="48"/>
      <c r="BU3706" s="48"/>
      <c r="BV3706" s="48"/>
      <c r="BW3706" s="48"/>
      <c r="BX3706" s="48"/>
      <c r="BY3706" s="48"/>
      <c r="BZ3706" s="48"/>
      <c r="CA3706" s="48"/>
      <c r="CB3706" s="48"/>
      <c r="CC3706" s="48"/>
      <c r="CD3706" s="48"/>
      <c r="CE3706" s="48"/>
      <c r="CF3706" s="48"/>
      <c r="CG3706" s="48"/>
      <c r="CH3706" s="48"/>
      <c r="CI3706" s="48"/>
      <c r="CJ3706" s="48"/>
      <c r="CK3706" s="48"/>
      <c r="CL3706" s="48"/>
      <c r="CM3706" s="48"/>
      <c r="CN3706" s="48"/>
      <c r="CO3706" s="48"/>
      <c r="CP3706" s="48"/>
      <c r="CQ3706" s="48"/>
      <c r="CR3706" s="48"/>
      <c r="CS3706" s="48"/>
      <c r="CT3706" s="48"/>
      <c r="CU3706" s="48"/>
      <c r="CV3706" s="48"/>
      <c r="CW3706" s="48"/>
      <c r="CX3706" s="48"/>
      <c r="CY3706" s="48"/>
      <c r="CZ3706" s="48"/>
    </row>
    <row r="3707" spans="27:104" s="4" customFormat="1" x14ac:dyDescent="0.3">
      <c r="AA3707" s="48"/>
      <c r="AB3707" s="48"/>
      <c r="AC3707" s="48"/>
      <c r="AD3707" s="48"/>
      <c r="AE3707" s="48"/>
      <c r="AF3707" s="48"/>
      <c r="AG3707" s="48"/>
      <c r="AH3707" s="48"/>
      <c r="AI3707" s="48"/>
      <c r="AJ3707" s="48"/>
      <c r="AK3707" s="48"/>
      <c r="AL3707" s="48"/>
      <c r="AM3707" s="48"/>
      <c r="AN3707" s="48"/>
      <c r="AO3707" s="48"/>
      <c r="AP3707" s="48"/>
      <c r="AQ3707" s="48"/>
      <c r="AR3707" s="48"/>
      <c r="AS3707" s="48"/>
      <c r="AT3707" s="48"/>
      <c r="AU3707" s="48"/>
      <c r="AV3707" s="48"/>
      <c r="AW3707" s="48"/>
      <c r="AX3707" s="48"/>
      <c r="AY3707" s="48"/>
      <c r="AZ3707" s="48"/>
      <c r="BA3707" s="48"/>
      <c r="BB3707" s="14"/>
      <c r="BC3707" s="48"/>
      <c r="BD3707" s="48"/>
      <c r="BE3707" s="48"/>
      <c r="BF3707" s="48"/>
      <c r="BG3707" s="48"/>
      <c r="BH3707" s="48"/>
      <c r="BI3707" s="48"/>
      <c r="BJ3707" s="48"/>
      <c r="BK3707" s="48"/>
      <c r="BL3707" s="48"/>
      <c r="BM3707" s="48"/>
      <c r="BN3707" s="48"/>
      <c r="BO3707" s="48"/>
      <c r="BP3707" s="48"/>
      <c r="BQ3707" s="48"/>
      <c r="BR3707" s="48"/>
      <c r="BS3707" s="48"/>
      <c r="BT3707" s="48"/>
      <c r="BU3707" s="48"/>
      <c r="BV3707" s="48"/>
      <c r="BW3707" s="48"/>
      <c r="BX3707" s="48"/>
      <c r="BY3707" s="48"/>
      <c r="BZ3707" s="48"/>
      <c r="CA3707" s="48"/>
      <c r="CB3707" s="48"/>
      <c r="CC3707" s="48"/>
      <c r="CD3707" s="48"/>
      <c r="CE3707" s="48"/>
      <c r="CF3707" s="48"/>
      <c r="CG3707" s="48"/>
      <c r="CH3707" s="48"/>
      <c r="CI3707" s="48"/>
      <c r="CJ3707" s="48"/>
      <c r="CK3707" s="48"/>
      <c r="CL3707" s="48"/>
      <c r="CM3707" s="48"/>
      <c r="CN3707" s="48"/>
      <c r="CO3707" s="48"/>
      <c r="CP3707" s="48"/>
      <c r="CQ3707" s="48"/>
      <c r="CR3707" s="48"/>
      <c r="CS3707" s="48"/>
      <c r="CT3707" s="48"/>
      <c r="CU3707" s="48"/>
      <c r="CV3707" s="48"/>
      <c r="CW3707" s="48"/>
      <c r="CX3707" s="48"/>
      <c r="CY3707" s="48"/>
      <c r="CZ3707" s="48"/>
    </row>
    <row r="3708" spans="27:104" s="4" customFormat="1" x14ac:dyDescent="0.3">
      <c r="AA3708" s="48"/>
      <c r="AB3708" s="48"/>
      <c r="AC3708" s="48"/>
      <c r="AD3708" s="48"/>
      <c r="AE3708" s="48"/>
      <c r="AF3708" s="48"/>
      <c r="AG3708" s="48"/>
      <c r="AH3708" s="48"/>
      <c r="AI3708" s="48"/>
      <c r="AJ3708" s="48"/>
      <c r="AK3708" s="48"/>
      <c r="AL3708" s="48"/>
      <c r="AM3708" s="48"/>
      <c r="AN3708" s="48"/>
      <c r="AO3708" s="48"/>
      <c r="AP3708" s="48"/>
      <c r="AQ3708" s="48"/>
      <c r="AR3708" s="48"/>
      <c r="AS3708" s="48"/>
      <c r="AT3708" s="48"/>
      <c r="AU3708" s="48"/>
      <c r="AV3708" s="48"/>
      <c r="AW3708" s="48"/>
      <c r="AX3708" s="48"/>
      <c r="AY3708" s="48"/>
      <c r="AZ3708" s="48"/>
      <c r="BA3708" s="48"/>
      <c r="BB3708" s="14"/>
      <c r="BC3708" s="48"/>
      <c r="BD3708" s="48"/>
      <c r="BE3708" s="48"/>
      <c r="BF3708" s="48"/>
      <c r="BG3708" s="48"/>
      <c r="BH3708" s="48"/>
      <c r="BI3708" s="48"/>
      <c r="BJ3708" s="48"/>
      <c r="BK3708" s="48"/>
      <c r="BL3708" s="48"/>
      <c r="BM3708" s="48"/>
      <c r="BN3708" s="48"/>
      <c r="BO3708" s="48"/>
      <c r="BP3708" s="48"/>
      <c r="BQ3708" s="48"/>
      <c r="BR3708" s="48"/>
      <c r="BS3708" s="48"/>
      <c r="BT3708" s="48"/>
      <c r="BU3708" s="48"/>
      <c r="BV3708" s="48"/>
      <c r="BW3708" s="48"/>
      <c r="BX3708" s="48"/>
      <c r="BY3708" s="48"/>
      <c r="BZ3708" s="48"/>
      <c r="CA3708" s="48"/>
      <c r="CB3708" s="48"/>
      <c r="CC3708" s="48"/>
      <c r="CD3708" s="48"/>
      <c r="CE3708" s="48"/>
      <c r="CF3708" s="48"/>
      <c r="CG3708" s="48"/>
      <c r="CH3708" s="48"/>
      <c r="CI3708" s="48"/>
      <c r="CJ3708" s="48"/>
      <c r="CK3708" s="48"/>
      <c r="CL3708" s="48"/>
      <c r="CM3708" s="48"/>
      <c r="CN3708" s="48"/>
      <c r="CO3708" s="48"/>
      <c r="CP3708" s="48"/>
      <c r="CQ3708" s="48"/>
      <c r="CR3708" s="48"/>
      <c r="CS3708" s="48"/>
      <c r="CT3708" s="48"/>
      <c r="CU3708" s="48"/>
      <c r="CV3708" s="48"/>
      <c r="CW3708" s="48"/>
      <c r="CX3708" s="48"/>
      <c r="CY3708" s="48"/>
      <c r="CZ3708" s="48"/>
    </row>
    <row r="3709" spans="27:104" s="4" customFormat="1" x14ac:dyDescent="0.3">
      <c r="AA3709" s="48"/>
      <c r="AB3709" s="48"/>
      <c r="AC3709" s="48"/>
      <c r="AD3709" s="48"/>
      <c r="AE3709" s="48"/>
      <c r="AF3709" s="48"/>
      <c r="AG3709" s="48"/>
      <c r="AH3709" s="48"/>
      <c r="AI3709" s="48"/>
      <c r="AJ3709" s="48"/>
      <c r="AK3709" s="48"/>
      <c r="AL3709" s="48"/>
      <c r="AM3709" s="48"/>
      <c r="AN3709" s="48"/>
      <c r="AO3709" s="48"/>
      <c r="AP3709" s="48"/>
      <c r="AQ3709" s="48"/>
      <c r="AR3709" s="48"/>
      <c r="AS3709" s="48"/>
      <c r="AT3709" s="48"/>
      <c r="AU3709" s="48"/>
      <c r="AV3709" s="48"/>
      <c r="AW3709" s="48"/>
      <c r="AX3709" s="48"/>
      <c r="AY3709" s="48"/>
      <c r="AZ3709" s="48"/>
      <c r="BA3709" s="48"/>
      <c r="BB3709" s="14"/>
      <c r="BC3709" s="48"/>
      <c r="BD3709" s="48"/>
      <c r="BE3709" s="48"/>
      <c r="BF3709" s="48"/>
      <c r="BG3709" s="48"/>
      <c r="BH3709" s="48"/>
      <c r="BI3709" s="48"/>
      <c r="BJ3709" s="48"/>
      <c r="BK3709" s="48"/>
      <c r="BL3709" s="48"/>
      <c r="BM3709" s="48"/>
      <c r="BN3709" s="48"/>
      <c r="BO3709" s="48"/>
      <c r="BP3709" s="48"/>
      <c r="BQ3709" s="48"/>
      <c r="BR3709" s="48"/>
      <c r="BS3709" s="48"/>
      <c r="BT3709" s="48"/>
      <c r="BU3709" s="48"/>
      <c r="BV3709" s="48"/>
      <c r="BW3709" s="48"/>
      <c r="BX3709" s="48"/>
      <c r="BY3709" s="48"/>
      <c r="BZ3709" s="48"/>
      <c r="CA3709" s="48"/>
      <c r="CB3709" s="48"/>
      <c r="CC3709" s="48"/>
      <c r="CD3709" s="48"/>
      <c r="CE3709" s="48"/>
      <c r="CF3709" s="48"/>
      <c r="CG3709" s="48"/>
      <c r="CH3709" s="48"/>
      <c r="CI3709" s="48"/>
      <c r="CJ3709" s="48"/>
      <c r="CK3709" s="48"/>
      <c r="CL3709" s="48"/>
      <c r="CM3709" s="48"/>
      <c r="CN3709" s="48"/>
      <c r="CO3709" s="48"/>
      <c r="CP3709" s="48"/>
      <c r="CQ3709" s="48"/>
      <c r="CR3709" s="48"/>
      <c r="CS3709" s="48"/>
      <c r="CT3709" s="48"/>
      <c r="CU3709" s="48"/>
      <c r="CV3709" s="48"/>
      <c r="CW3709" s="48"/>
      <c r="CX3709" s="48"/>
      <c r="CY3709" s="48"/>
      <c r="CZ3709" s="48"/>
    </row>
    <row r="3710" spans="27:104" s="4" customFormat="1" x14ac:dyDescent="0.3">
      <c r="AA3710" s="48"/>
      <c r="AB3710" s="48"/>
      <c r="AC3710" s="48"/>
      <c r="AD3710" s="48"/>
      <c r="AE3710" s="48"/>
      <c r="AF3710" s="48"/>
      <c r="AG3710" s="48"/>
      <c r="AH3710" s="48"/>
      <c r="AI3710" s="48"/>
      <c r="AJ3710" s="48"/>
      <c r="AK3710" s="48"/>
      <c r="AL3710" s="48"/>
      <c r="AM3710" s="48"/>
      <c r="AN3710" s="48"/>
      <c r="AO3710" s="48"/>
      <c r="AP3710" s="48"/>
      <c r="AQ3710" s="48"/>
      <c r="AR3710" s="48"/>
      <c r="AS3710" s="48"/>
      <c r="AT3710" s="48"/>
      <c r="AU3710" s="48"/>
      <c r="AV3710" s="48"/>
      <c r="AW3710" s="48"/>
      <c r="AX3710" s="48"/>
      <c r="AY3710" s="48"/>
      <c r="AZ3710" s="48"/>
      <c r="BA3710" s="48"/>
      <c r="BB3710" s="14"/>
      <c r="BC3710" s="48"/>
      <c r="BD3710" s="48"/>
      <c r="BE3710" s="48"/>
      <c r="BF3710" s="48"/>
      <c r="BG3710" s="48"/>
      <c r="BH3710" s="48"/>
      <c r="BI3710" s="48"/>
      <c r="BJ3710" s="48"/>
      <c r="BK3710" s="48"/>
      <c r="BL3710" s="48"/>
      <c r="BM3710" s="48"/>
      <c r="BN3710" s="48"/>
      <c r="BO3710" s="48"/>
      <c r="BP3710" s="48"/>
      <c r="BQ3710" s="48"/>
      <c r="BR3710" s="48"/>
      <c r="BS3710" s="48"/>
      <c r="BT3710" s="48"/>
      <c r="BU3710" s="48"/>
      <c r="BV3710" s="48"/>
      <c r="BW3710" s="48"/>
      <c r="BX3710" s="48"/>
      <c r="BY3710" s="48"/>
      <c r="BZ3710" s="48"/>
      <c r="CA3710" s="48"/>
      <c r="CB3710" s="48"/>
      <c r="CC3710" s="48"/>
      <c r="CD3710" s="48"/>
      <c r="CE3710" s="48"/>
      <c r="CF3710" s="48"/>
      <c r="CG3710" s="48"/>
      <c r="CH3710" s="48"/>
      <c r="CI3710" s="48"/>
      <c r="CJ3710" s="48"/>
      <c r="CK3710" s="48"/>
      <c r="CL3710" s="48"/>
      <c r="CM3710" s="48"/>
      <c r="CN3710" s="48"/>
      <c r="CO3710" s="48"/>
      <c r="CP3710" s="48"/>
      <c r="CQ3710" s="48"/>
      <c r="CR3710" s="48"/>
      <c r="CS3710" s="48"/>
      <c r="CT3710" s="48"/>
      <c r="CU3710" s="48"/>
      <c r="CV3710" s="48"/>
      <c r="CW3710" s="48"/>
      <c r="CX3710" s="48"/>
      <c r="CY3710" s="48"/>
      <c r="CZ3710" s="48"/>
    </row>
    <row r="3711" spans="27:104" s="4" customFormat="1" x14ac:dyDescent="0.3">
      <c r="AA3711" s="48"/>
      <c r="AB3711" s="48"/>
      <c r="AC3711" s="48"/>
      <c r="AD3711" s="48"/>
      <c r="AE3711" s="48"/>
      <c r="AF3711" s="48"/>
      <c r="AG3711" s="48"/>
      <c r="AH3711" s="48"/>
      <c r="AI3711" s="48"/>
      <c r="AJ3711" s="48"/>
      <c r="AK3711" s="48"/>
      <c r="AL3711" s="48"/>
      <c r="AM3711" s="48"/>
      <c r="AN3711" s="48"/>
      <c r="AO3711" s="48"/>
      <c r="AP3711" s="48"/>
      <c r="AQ3711" s="48"/>
      <c r="AR3711" s="48"/>
      <c r="AS3711" s="48"/>
      <c r="AT3711" s="48"/>
      <c r="AU3711" s="48"/>
      <c r="AV3711" s="48"/>
      <c r="AW3711" s="48"/>
      <c r="AX3711" s="48"/>
      <c r="AY3711" s="48"/>
      <c r="AZ3711" s="48"/>
      <c r="BA3711" s="48"/>
      <c r="BB3711" s="14"/>
      <c r="BC3711" s="48"/>
      <c r="BD3711" s="48"/>
      <c r="BE3711" s="48"/>
      <c r="BF3711" s="48"/>
      <c r="BG3711" s="48"/>
      <c r="BH3711" s="48"/>
      <c r="BI3711" s="48"/>
      <c r="BJ3711" s="48"/>
      <c r="BK3711" s="48"/>
      <c r="BL3711" s="48"/>
      <c r="BM3711" s="48"/>
      <c r="BN3711" s="48"/>
      <c r="BO3711" s="48"/>
      <c r="BP3711" s="48"/>
      <c r="BQ3711" s="48"/>
      <c r="BR3711" s="48"/>
      <c r="BS3711" s="48"/>
      <c r="BT3711" s="48"/>
      <c r="BU3711" s="48"/>
      <c r="BV3711" s="48"/>
      <c r="BW3711" s="48"/>
      <c r="BX3711" s="48"/>
      <c r="BY3711" s="48"/>
      <c r="BZ3711" s="48"/>
      <c r="CA3711" s="48"/>
      <c r="CB3711" s="48"/>
      <c r="CC3711" s="48"/>
      <c r="CD3711" s="48"/>
      <c r="CE3711" s="48"/>
      <c r="CF3711" s="48"/>
      <c r="CG3711" s="48"/>
      <c r="CH3711" s="48"/>
      <c r="CI3711" s="48"/>
      <c r="CJ3711" s="48"/>
      <c r="CK3711" s="48"/>
      <c r="CL3711" s="48"/>
      <c r="CM3711" s="48"/>
      <c r="CN3711" s="48"/>
      <c r="CO3711" s="48"/>
      <c r="CP3711" s="48"/>
      <c r="CQ3711" s="48"/>
      <c r="CR3711" s="48"/>
      <c r="CS3711" s="48"/>
      <c r="CT3711" s="48"/>
      <c r="CU3711" s="48"/>
      <c r="CV3711" s="48"/>
      <c r="CW3711" s="48"/>
      <c r="CX3711" s="48"/>
      <c r="CY3711" s="48"/>
      <c r="CZ3711" s="48"/>
    </row>
    <row r="3712" spans="27:104" s="4" customFormat="1" x14ac:dyDescent="0.3">
      <c r="AA3712" s="48"/>
      <c r="AB3712" s="48"/>
      <c r="AC3712" s="48"/>
      <c r="AD3712" s="48"/>
      <c r="AE3712" s="48"/>
      <c r="AF3712" s="48"/>
      <c r="AG3712" s="48"/>
      <c r="AH3712" s="48"/>
      <c r="AI3712" s="48"/>
      <c r="AJ3712" s="48"/>
      <c r="AK3712" s="48"/>
      <c r="AL3712" s="48"/>
      <c r="AM3712" s="48"/>
      <c r="AN3712" s="48"/>
      <c r="AO3712" s="48"/>
      <c r="AP3712" s="48"/>
      <c r="AQ3712" s="48"/>
      <c r="AR3712" s="48"/>
      <c r="AS3712" s="48"/>
      <c r="AT3712" s="48"/>
      <c r="AU3712" s="48"/>
      <c r="AV3712" s="48"/>
      <c r="AW3712" s="48"/>
      <c r="AX3712" s="48"/>
      <c r="AY3712" s="48"/>
      <c r="AZ3712" s="48"/>
      <c r="BA3712" s="48"/>
      <c r="BB3712" s="14"/>
      <c r="BC3712" s="48"/>
      <c r="BD3712" s="48"/>
      <c r="BE3712" s="48"/>
      <c r="BF3712" s="48"/>
      <c r="BG3712" s="48"/>
      <c r="BH3712" s="48"/>
      <c r="BI3712" s="48"/>
      <c r="BJ3712" s="48"/>
      <c r="BK3712" s="48"/>
      <c r="BL3712" s="48"/>
      <c r="BM3712" s="48"/>
      <c r="BN3712" s="48"/>
      <c r="BO3712" s="48"/>
      <c r="BP3712" s="48"/>
      <c r="BQ3712" s="48"/>
      <c r="BR3712" s="48"/>
      <c r="BS3712" s="48"/>
      <c r="BT3712" s="48"/>
      <c r="BU3712" s="48"/>
      <c r="BV3712" s="48"/>
      <c r="BW3712" s="48"/>
      <c r="BX3712" s="48"/>
      <c r="BY3712" s="48"/>
      <c r="BZ3712" s="48"/>
      <c r="CA3712" s="48"/>
      <c r="CB3712" s="48"/>
      <c r="CC3712" s="48"/>
      <c r="CD3712" s="48"/>
      <c r="CE3712" s="48"/>
      <c r="CF3712" s="48"/>
      <c r="CG3712" s="48"/>
      <c r="CH3712" s="48"/>
      <c r="CI3712" s="48"/>
      <c r="CJ3712" s="48"/>
      <c r="CK3712" s="48"/>
      <c r="CL3712" s="48"/>
      <c r="CM3712" s="48"/>
      <c r="CN3712" s="48"/>
      <c r="CO3712" s="48"/>
      <c r="CP3712" s="48"/>
      <c r="CQ3712" s="48"/>
      <c r="CR3712" s="48"/>
      <c r="CS3712" s="48"/>
      <c r="CT3712" s="48"/>
      <c r="CU3712" s="48"/>
      <c r="CV3712" s="48"/>
      <c r="CW3712" s="48"/>
      <c r="CX3712" s="48"/>
      <c r="CY3712" s="48"/>
      <c r="CZ3712" s="48"/>
    </row>
    <row r="3713" spans="27:104" s="4" customFormat="1" x14ac:dyDescent="0.3">
      <c r="AA3713" s="48"/>
      <c r="AB3713" s="48"/>
      <c r="AC3713" s="48"/>
      <c r="AD3713" s="48"/>
      <c r="AE3713" s="48"/>
      <c r="AF3713" s="48"/>
      <c r="AG3713" s="48"/>
      <c r="AH3713" s="48"/>
      <c r="AI3713" s="48"/>
      <c r="AJ3713" s="48"/>
      <c r="AK3713" s="48"/>
      <c r="AL3713" s="48"/>
      <c r="AM3713" s="48"/>
      <c r="AN3713" s="48"/>
      <c r="AO3713" s="48"/>
      <c r="AP3713" s="48"/>
      <c r="AQ3713" s="48"/>
      <c r="AR3713" s="48"/>
      <c r="AS3713" s="48"/>
      <c r="AT3713" s="48"/>
      <c r="AU3713" s="48"/>
      <c r="AV3713" s="48"/>
      <c r="AW3713" s="48"/>
      <c r="AX3713" s="48"/>
      <c r="AY3713" s="48"/>
      <c r="AZ3713" s="48"/>
      <c r="BA3713" s="48"/>
      <c r="BB3713" s="14"/>
      <c r="BC3713" s="48"/>
      <c r="BD3713" s="48"/>
      <c r="BE3713" s="48"/>
      <c r="BF3713" s="48"/>
      <c r="BG3713" s="48"/>
      <c r="BH3713" s="48"/>
      <c r="BI3713" s="48"/>
      <c r="BJ3713" s="48"/>
      <c r="BK3713" s="48"/>
      <c r="BL3713" s="48"/>
      <c r="BM3713" s="48"/>
      <c r="BN3713" s="48"/>
      <c r="BO3713" s="48"/>
      <c r="BP3713" s="48"/>
      <c r="BQ3713" s="48"/>
      <c r="BR3713" s="48"/>
      <c r="BS3713" s="48"/>
      <c r="BT3713" s="48"/>
      <c r="BU3713" s="48"/>
      <c r="BV3713" s="48"/>
      <c r="BW3713" s="48"/>
      <c r="BX3713" s="48"/>
      <c r="BY3713" s="48"/>
      <c r="BZ3713" s="48"/>
      <c r="CA3713" s="48"/>
      <c r="CB3713" s="48"/>
      <c r="CC3713" s="48"/>
      <c r="CD3713" s="48"/>
      <c r="CE3713" s="48"/>
      <c r="CF3713" s="48"/>
      <c r="CG3713" s="48"/>
      <c r="CH3713" s="48"/>
      <c r="CI3713" s="48"/>
      <c r="CJ3713" s="48"/>
      <c r="CK3713" s="48"/>
      <c r="CL3713" s="48"/>
      <c r="CM3713" s="48"/>
      <c r="CN3713" s="48"/>
      <c r="CO3713" s="48"/>
      <c r="CP3713" s="48"/>
      <c r="CQ3713" s="48"/>
      <c r="CR3713" s="48"/>
      <c r="CS3713" s="48"/>
      <c r="CT3713" s="48"/>
      <c r="CU3713" s="48"/>
      <c r="CV3713" s="48"/>
      <c r="CW3713" s="48"/>
      <c r="CX3713" s="48"/>
      <c r="CY3713" s="48"/>
      <c r="CZ3713" s="48"/>
    </row>
    <row r="3714" spans="27:104" s="4" customFormat="1" x14ac:dyDescent="0.3">
      <c r="AA3714" s="48"/>
      <c r="AB3714" s="48"/>
      <c r="AC3714" s="48"/>
      <c r="AD3714" s="48"/>
      <c r="AE3714" s="48"/>
      <c r="AF3714" s="48"/>
      <c r="AG3714" s="48"/>
      <c r="AH3714" s="48"/>
      <c r="AI3714" s="48"/>
      <c r="AJ3714" s="48"/>
      <c r="AK3714" s="48"/>
      <c r="AL3714" s="48"/>
      <c r="AM3714" s="48"/>
      <c r="AN3714" s="48"/>
      <c r="AO3714" s="48"/>
      <c r="AP3714" s="48"/>
      <c r="AQ3714" s="48"/>
      <c r="AR3714" s="48"/>
      <c r="AS3714" s="48"/>
      <c r="AT3714" s="48"/>
      <c r="AU3714" s="48"/>
      <c r="AV3714" s="48"/>
      <c r="AW3714" s="48"/>
      <c r="AX3714" s="48"/>
      <c r="AY3714" s="48"/>
      <c r="AZ3714" s="48"/>
      <c r="BA3714" s="48"/>
      <c r="BB3714" s="14"/>
      <c r="BC3714" s="48"/>
      <c r="BD3714" s="48"/>
      <c r="BE3714" s="48"/>
      <c r="BF3714" s="48"/>
      <c r="BG3714" s="48"/>
      <c r="BH3714" s="48"/>
      <c r="BI3714" s="48"/>
      <c r="BJ3714" s="48"/>
      <c r="BK3714" s="48"/>
      <c r="BL3714" s="48"/>
      <c r="BM3714" s="48"/>
      <c r="BN3714" s="48"/>
      <c r="BO3714" s="48"/>
      <c r="BP3714" s="48"/>
      <c r="BQ3714" s="48"/>
      <c r="BR3714" s="48"/>
      <c r="BS3714" s="48"/>
      <c r="BT3714" s="48"/>
      <c r="BU3714" s="48"/>
      <c r="BV3714" s="48"/>
      <c r="BW3714" s="48"/>
      <c r="BX3714" s="48"/>
      <c r="BY3714" s="48"/>
      <c r="BZ3714" s="48"/>
      <c r="CA3714" s="48"/>
      <c r="CB3714" s="48"/>
      <c r="CC3714" s="48"/>
      <c r="CD3714" s="48"/>
      <c r="CE3714" s="48"/>
      <c r="CF3714" s="48"/>
      <c r="CG3714" s="48"/>
      <c r="CH3714" s="48"/>
      <c r="CI3714" s="48"/>
      <c r="CJ3714" s="48"/>
      <c r="CK3714" s="48"/>
      <c r="CL3714" s="48"/>
      <c r="CM3714" s="48"/>
      <c r="CN3714" s="48"/>
      <c r="CO3714" s="48"/>
      <c r="CP3714" s="48"/>
      <c r="CQ3714" s="48"/>
      <c r="CR3714" s="48"/>
      <c r="CS3714" s="48"/>
      <c r="CT3714" s="48"/>
      <c r="CU3714" s="48"/>
      <c r="CV3714" s="48"/>
      <c r="CW3714" s="48"/>
      <c r="CX3714" s="48"/>
      <c r="CY3714" s="48"/>
      <c r="CZ3714" s="48"/>
    </row>
    <row r="3715" spans="27:104" s="4" customFormat="1" x14ac:dyDescent="0.3">
      <c r="AA3715" s="48"/>
      <c r="AB3715" s="48"/>
      <c r="AC3715" s="48"/>
      <c r="AD3715" s="48"/>
      <c r="AE3715" s="48"/>
      <c r="AF3715" s="48"/>
      <c r="AG3715" s="48"/>
      <c r="AH3715" s="48"/>
      <c r="AI3715" s="48"/>
      <c r="AJ3715" s="48"/>
      <c r="AK3715" s="48"/>
      <c r="AL3715" s="48"/>
      <c r="AM3715" s="48"/>
      <c r="AN3715" s="48"/>
      <c r="AO3715" s="48"/>
      <c r="AP3715" s="48"/>
      <c r="AQ3715" s="48"/>
      <c r="AR3715" s="48"/>
      <c r="AS3715" s="48"/>
      <c r="AT3715" s="48"/>
      <c r="AU3715" s="48"/>
      <c r="AV3715" s="48"/>
      <c r="AW3715" s="48"/>
      <c r="AX3715" s="48"/>
      <c r="AY3715" s="48"/>
      <c r="AZ3715" s="48"/>
      <c r="BA3715" s="48"/>
      <c r="BB3715" s="14"/>
      <c r="BC3715" s="48"/>
      <c r="BD3715" s="48"/>
      <c r="BE3715" s="48"/>
      <c r="BF3715" s="48"/>
      <c r="BG3715" s="48"/>
      <c r="BH3715" s="48"/>
      <c r="BI3715" s="48"/>
      <c r="BJ3715" s="48"/>
      <c r="BK3715" s="48"/>
      <c r="BL3715" s="48"/>
      <c r="BM3715" s="48"/>
      <c r="BN3715" s="48"/>
      <c r="BO3715" s="48"/>
      <c r="BP3715" s="48"/>
      <c r="BQ3715" s="48"/>
      <c r="BR3715" s="48"/>
      <c r="BS3715" s="48"/>
      <c r="BT3715" s="48"/>
      <c r="BU3715" s="48"/>
      <c r="BV3715" s="48"/>
      <c r="BW3715" s="48"/>
      <c r="BX3715" s="48"/>
      <c r="BY3715" s="48"/>
      <c r="BZ3715" s="48"/>
      <c r="CA3715" s="48"/>
      <c r="CB3715" s="48"/>
      <c r="CC3715" s="48"/>
      <c r="CD3715" s="48"/>
      <c r="CE3715" s="48"/>
      <c r="CF3715" s="48"/>
      <c r="CG3715" s="48"/>
      <c r="CH3715" s="48"/>
      <c r="CI3715" s="48"/>
      <c r="CJ3715" s="48"/>
      <c r="CK3715" s="48"/>
      <c r="CL3715" s="48"/>
      <c r="CM3715" s="48"/>
      <c r="CN3715" s="48"/>
      <c r="CO3715" s="48"/>
      <c r="CP3715" s="48"/>
      <c r="CQ3715" s="48"/>
      <c r="CR3715" s="48"/>
      <c r="CS3715" s="48"/>
      <c r="CT3715" s="48"/>
      <c r="CU3715" s="48"/>
      <c r="CV3715" s="48"/>
      <c r="CW3715" s="48"/>
      <c r="CX3715" s="48"/>
      <c r="CY3715" s="48"/>
      <c r="CZ3715" s="48"/>
    </row>
    <row r="3716" spans="27:104" s="4" customFormat="1" x14ac:dyDescent="0.3">
      <c r="AA3716" s="48"/>
      <c r="AB3716" s="48"/>
      <c r="AC3716" s="48"/>
      <c r="AD3716" s="48"/>
      <c r="AE3716" s="48"/>
      <c r="AF3716" s="48"/>
      <c r="AG3716" s="48"/>
      <c r="AH3716" s="48"/>
      <c r="AI3716" s="48"/>
      <c r="AJ3716" s="48"/>
      <c r="AK3716" s="48"/>
      <c r="AL3716" s="48"/>
      <c r="AM3716" s="48"/>
      <c r="AN3716" s="48"/>
      <c r="AO3716" s="48"/>
      <c r="AP3716" s="48"/>
      <c r="AQ3716" s="48"/>
      <c r="AR3716" s="48"/>
      <c r="AS3716" s="48"/>
      <c r="AT3716" s="48"/>
      <c r="AU3716" s="48"/>
      <c r="AV3716" s="48"/>
      <c r="AW3716" s="48"/>
      <c r="AX3716" s="48"/>
      <c r="AY3716" s="48"/>
      <c r="AZ3716" s="48"/>
      <c r="BA3716" s="48"/>
      <c r="BB3716" s="14"/>
      <c r="BC3716" s="48"/>
      <c r="BD3716" s="48"/>
      <c r="BE3716" s="48"/>
      <c r="BF3716" s="48"/>
      <c r="BG3716" s="48"/>
      <c r="BH3716" s="48"/>
      <c r="BI3716" s="48"/>
      <c r="BJ3716" s="48"/>
      <c r="BK3716" s="48"/>
      <c r="BL3716" s="48"/>
      <c r="BM3716" s="48"/>
      <c r="BN3716" s="48"/>
      <c r="BO3716" s="48"/>
      <c r="BP3716" s="48"/>
      <c r="BQ3716" s="48"/>
      <c r="BR3716" s="48"/>
      <c r="BS3716" s="48"/>
      <c r="BT3716" s="48"/>
      <c r="BU3716" s="48"/>
      <c r="BV3716" s="48"/>
      <c r="BW3716" s="48"/>
      <c r="BX3716" s="48"/>
      <c r="BY3716" s="48"/>
      <c r="BZ3716" s="48"/>
      <c r="CA3716" s="48"/>
      <c r="CB3716" s="48"/>
      <c r="CC3716" s="48"/>
      <c r="CD3716" s="48"/>
      <c r="CE3716" s="48"/>
      <c r="CF3716" s="48"/>
      <c r="CG3716" s="48"/>
      <c r="CH3716" s="48"/>
      <c r="CI3716" s="48"/>
      <c r="CJ3716" s="48"/>
      <c r="CK3716" s="48"/>
      <c r="CL3716" s="48"/>
      <c r="CM3716" s="48"/>
      <c r="CN3716" s="48"/>
      <c r="CO3716" s="48"/>
      <c r="CP3716" s="48"/>
      <c r="CQ3716" s="48"/>
      <c r="CR3716" s="48"/>
      <c r="CS3716" s="48"/>
      <c r="CT3716" s="48"/>
      <c r="CU3716" s="48"/>
      <c r="CV3716" s="48"/>
      <c r="CW3716" s="48"/>
      <c r="CX3716" s="48"/>
      <c r="CY3716" s="48"/>
      <c r="CZ3716" s="48"/>
    </row>
    <row r="3717" spans="27:104" s="4" customFormat="1" x14ac:dyDescent="0.3">
      <c r="AA3717" s="48"/>
      <c r="AB3717" s="48"/>
      <c r="AC3717" s="48"/>
      <c r="AD3717" s="48"/>
      <c r="AE3717" s="48"/>
      <c r="AF3717" s="48"/>
      <c r="AG3717" s="48"/>
      <c r="AH3717" s="48"/>
      <c r="AI3717" s="48"/>
      <c r="AJ3717" s="48"/>
      <c r="AK3717" s="48"/>
      <c r="AL3717" s="48"/>
      <c r="AM3717" s="48"/>
      <c r="AN3717" s="48"/>
      <c r="AO3717" s="48"/>
      <c r="AP3717" s="48"/>
      <c r="AQ3717" s="48"/>
      <c r="AR3717" s="48"/>
      <c r="AS3717" s="48"/>
      <c r="AT3717" s="48"/>
      <c r="AU3717" s="48"/>
      <c r="AV3717" s="48"/>
      <c r="AW3717" s="48"/>
      <c r="AX3717" s="48"/>
      <c r="AY3717" s="48"/>
      <c r="AZ3717" s="48"/>
      <c r="BA3717" s="48"/>
      <c r="BB3717" s="14"/>
      <c r="BC3717" s="48"/>
      <c r="BD3717" s="48"/>
      <c r="BE3717" s="48"/>
      <c r="BF3717" s="48"/>
      <c r="BG3717" s="48"/>
      <c r="BH3717" s="48"/>
      <c r="BI3717" s="48"/>
      <c r="BJ3717" s="48"/>
      <c r="BK3717" s="48"/>
      <c r="BL3717" s="48"/>
      <c r="BM3717" s="48"/>
      <c r="BN3717" s="48"/>
      <c r="BO3717" s="48"/>
      <c r="BP3717" s="48"/>
      <c r="BQ3717" s="48"/>
      <c r="BR3717" s="48"/>
      <c r="BS3717" s="48"/>
      <c r="BT3717" s="48"/>
      <c r="BU3717" s="48"/>
      <c r="BV3717" s="48"/>
      <c r="BW3717" s="48"/>
      <c r="BX3717" s="48"/>
      <c r="BY3717" s="48"/>
      <c r="BZ3717" s="48"/>
      <c r="CA3717" s="48"/>
      <c r="CB3717" s="48"/>
      <c r="CC3717" s="48"/>
      <c r="CD3717" s="48"/>
      <c r="CE3717" s="48"/>
      <c r="CF3717" s="48"/>
      <c r="CG3717" s="48"/>
      <c r="CH3717" s="48"/>
      <c r="CI3717" s="48"/>
      <c r="CJ3717" s="48"/>
      <c r="CK3717" s="48"/>
      <c r="CL3717" s="48"/>
      <c r="CM3717" s="48"/>
      <c r="CN3717" s="48"/>
      <c r="CO3717" s="48"/>
      <c r="CP3717" s="48"/>
      <c r="CQ3717" s="48"/>
      <c r="CR3717" s="48"/>
      <c r="CS3717" s="48"/>
      <c r="CT3717" s="48"/>
      <c r="CU3717" s="48"/>
      <c r="CV3717" s="48"/>
      <c r="CW3717" s="48"/>
      <c r="CX3717" s="48"/>
      <c r="CY3717" s="48"/>
      <c r="CZ3717" s="48"/>
    </row>
    <row r="3718" spans="27:104" s="4" customFormat="1" x14ac:dyDescent="0.3">
      <c r="AA3718" s="48"/>
      <c r="AB3718" s="48"/>
      <c r="AC3718" s="48"/>
      <c r="AD3718" s="48"/>
      <c r="AE3718" s="48"/>
      <c r="AF3718" s="48"/>
      <c r="AG3718" s="48"/>
      <c r="AH3718" s="48"/>
      <c r="AI3718" s="48"/>
      <c r="AJ3718" s="48"/>
      <c r="AK3718" s="48"/>
      <c r="AL3718" s="48"/>
      <c r="AM3718" s="48"/>
      <c r="AN3718" s="48"/>
      <c r="AO3718" s="48"/>
      <c r="AP3718" s="48"/>
      <c r="AQ3718" s="48"/>
      <c r="AR3718" s="48"/>
      <c r="AS3718" s="48"/>
      <c r="AT3718" s="48"/>
      <c r="AU3718" s="48"/>
      <c r="AV3718" s="48"/>
      <c r="AW3718" s="48"/>
      <c r="AX3718" s="48"/>
      <c r="AY3718" s="48"/>
      <c r="AZ3718" s="48"/>
      <c r="BA3718" s="48"/>
      <c r="BB3718" s="14"/>
      <c r="BC3718" s="48"/>
      <c r="BD3718" s="48"/>
      <c r="BE3718" s="48"/>
      <c r="BF3718" s="48"/>
      <c r="BG3718" s="48"/>
      <c r="BH3718" s="48"/>
      <c r="BI3718" s="48"/>
      <c r="BJ3718" s="48"/>
      <c r="BK3718" s="48"/>
      <c r="BL3718" s="48"/>
      <c r="BM3718" s="48"/>
      <c r="BN3718" s="48"/>
      <c r="BO3718" s="48"/>
      <c r="BP3718" s="48"/>
      <c r="BQ3718" s="48"/>
      <c r="BR3718" s="48"/>
      <c r="BS3718" s="48"/>
      <c r="BT3718" s="48"/>
      <c r="BU3718" s="48"/>
      <c r="BV3718" s="48"/>
      <c r="BW3718" s="48"/>
      <c r="BX3718" s="48"/>
      <c r="BY3718" s="48"/>
      <c r="BZ3718" s="48"/>
      <c r="CA3718" s="48"/>
      <c r="CB3718" s="48"/>
      <c r="CC3718" s="48"/>
      <c r="CD3718" s="48"/>
      <c r="CE3718" s="48"/>
      <c r="CF3718" s="48"/>
      <c r="CG3718" s="48"/>
      <c r="CH3718" s="48"/>
      <c r="CI3718" s="48"/>
      <c r="CJ3718" s="48"/>
      <c r="CK3718" s="48"/>
      <c r="CL3718" s="48"/>
      <c r="CM3718" s="48"/>
      <c r="CN3718" s="48"/>
      <c r="CO3718" s="48"/>
      <c r="CP3718" s="48"/>
      <c r="CQ3718" s="48"/>
      <c r="CR3718" s="48"/>
      <c r="CS3718" s="48"/>
      <c r="CT3718" s="48"/>
      <c r="CU3718" s="48"/>
      <c r="CV3718" s="48"/>
      <c r="CW3718" s="48"/>
      <c r="CX3718" s="48"/>
      <c r="CY3718" s="48"/>
      <c r="CZ3718" s="48"/>
    </row>
    <row r="3719" spans="27:104" s="4" customFormat="1" x14ac:dyDescent="0.3">
      <c r="AA3719" s="48"/>
      <c r="AB3719" s="48"/>
      <c r="AC3719" s="48"/>
      <c r="AD3719" s="48"/>
      <c r="AE3719" s="48"/>
      <c r="AF3719" s="48"/>
      <c r="AG3719" s="48"/>
      <c r="AH3719" s="48"/>
      <c r="AI3719" s="48"/>
      <c r="AJ3719" s="48"/>
      <c r="AK3719" s="48"/>
      <c r="AL3719" s="48"/>
      <c r="AM3719" s="48"/>
      <c r="AN3719" s="48"/>
      <c r="AO3719" s="48"/>
      <c r="AP3719" s="48"/>
      <c r="AQ3719" s="48"/>
      <c r="AR3719" s="48"/>
      <c r="AS3719" s="48"/>
      <c r="AT3719" s="48"/>
      <c r="AU3719" s="48"/>
      <c r="AV3719" s="48"/>
      <c r="AW3719" s="48"/>
      <c r="AX3719" s="48"/>
      <c r="AY3719" s="48"/>
      <c r="AZ3719" s="48"/>
      <c r="BA3719" s="48"/>
      <c r="BB3719" s="14"/>
      <c r="BC3719" s="48"/>
      <c r="BD3719" s="48"/>
      <c r="BE3719" s="48"/>
      <c r="BF3719" s="48"/>
      <c r="BG3719" s="48"/>
      <c r="BH3719" s="48"/>
      <c r="BI3719" s="48"/>
      <c r="BJ3719" s="48"/>
      <c r="BK3719" s="48"/>
      <c r="BL3719" s="48"/>
      <c r="BM3719" s="48"/>
      <c r="BN3719" s="48"/>
      <c r="BO3719" s="48"/>
      <c r="BP3719" s="48"/>
      <c r="BQ3719" s="48"/>
      <c r="BR3719" s="48"/>
      <c r="BS3719" s="48"/>
      <c r="BT3719" s="48"/>
      <c r="BU3719" s="48"/>
      <c r="BV3719" s="48"/>
      <c r="BW3719" s="48"/>
      <c r="BX3719" s="48"/>
      <c r="BY3719" s="48"/>
      <c r="BZ3719" s="48"/>
      <c r="CA3719" s="48"/>
      <c r="CB3719" s="48"/>
      <c r="CC3719" s="48"/>
      <c r="CD3719" s="48"/>
      <c r="CE3719" s="48"/>
      <c r="CF3719" s="48"/>
      <c r="CG3719" s="48"/>
      <c r="CH3719" s="48"/>
      <c r="CI3719" s="48"/>
      <c r="CJ3719" s="48"/>
      <c r="CK3719" s="48"/>
      <c r="CL3719" s="48"/>
      <c r="CM3719" s="48"/>
      <c r="CN3719" s="48"/>
      <c r="CO3719" s="48"/>
      <c r="CP3719" s="48"/>
      <c r="CQ3719" s="48"/>
      <c r="CR3719" s="48"/>
      <c r="CS3719" s="48"/>
      <c r="CT3719" s="48"/>
      <c r="CU3719" s="48"/>
      <c r="CV3719" s="48"/>
      <c r="CW3719" s="48"/>
      <c r="CX3719" s="48"/>
      <c r="CY3719" s="48"/>
      <c r="CZ3719" s="48"/>
    </row>
    <row r="3720" spans="27:104" s="4" customFormat="1" x14ac:dyDescent="0.3">
      <c r="AA3720" s="48"/>
      <c r="AB3720" s="48"/>
      <c r="AC3720" s="48"/>
      <c r="AD3720" s="48"/>
      <c r="AE3720" s="48"/>
      <c r="AF3720" s="48"/>
      <c r="AG3720" s="48"/>
      <c r="AH3720" s="48"/>
      <c r="AI3720" s="48"/>
      <c r="AJ3720" s="48"/>
      <c r="AK3720" s="48"/>
      <c r="AL3720" s="48"/>
      <c r="AM3720" s="48"/>
      <c r="AN3720" s="48"/>
      <c r="AO3720" s="48"/>
      <c r="AP3720" s="48"/>
      <c r="AQ3720" s="48"/>
      <c r="AR3720" s="48"/>
      <c r="AS3720" s="48"/>
      <c r="AT3720" s="48"/>
      <c r="AU3720" s="48"/>
      <c r="AV3720" s="48"/>
      <c r="AW3720" s="48"/>
      <c r="AX3720" s="48"/>
      <c r="AY3720" s="48"/>
      <c r="AZ3720" s="48"/>
      <c r="BA3720" s="48"/>
      <c r="BB3720" s="14"/>
      <c r="BC3720" s="48"/>
      <c r="BD3720" s="48"/>
      <c r="BE3720" s="48"/>
      <c r="BF3720" s="48"/>
      <c r="BG3720" s="48"/>
      <c r="BH3720" s="48"/>
      <c r="BI3720" s="48"/>
      <c r="BJ3720" s="48"/>
      <c r="BK3720" s="48"/>
      <c r="BL3720" s="48"/>
      <c r="BM3720" s="48"/>
      <c r="BN3720" s="48"/>
      <c r="BO3720" s="48"/>
      <c r="BP3720" s="48"/>
      <c r="BQ3720" s="48"/>
      <c r="BR3720" s="48"/>
      <c r="BS3720" s="48"/>
      <c r="BT3720" s="48"/>
      <c r="BU3720" s="48"/>
      <c r="BV3720" s="48"/>
      <c r="BW3720" s="48"/>
      <c r="BX3720" s="48"/>
      <c r="BY3720" s="48"/>
      <c r="BZ3720" s="48"/>
      <c r="CA3720" s="48"/>
      <c r="CB3720" s="48"/>
      <c r="CC3720" s="48"/>
      <c r="CD3720" s="48"/>
      <c r="CE3720" s="48"/>
      <c r="CF3720" s="48"/>
      <c r="CG3720" s="48"/>
      <c r="CH3720" s="48"/>
      <c r="CI3720" s="48"/>
      <c r="CJ3720" s="48"/>
      <c r="CK3720" s="48"/>
      <c r="CL3720" s="48"/>
      <c r="CM3720" s="48"/>
      <c r="CN3720" s="48"/>
      <c r="CO3720" s="48"/>
      <c r="CP3720" s="48"/>
      <c r="CQ3720" s="48"/>
      <c r="CR3720" s="48"/>
      <c r="CS3720" s="48"/>
      <c r="CT3720" s="48"/>
      <c r="CU3720" s="48"/>
      <c r="CV3720" s="48"/>
      <c r="CW3720" s="48"/>
      <c r="CX3720" s="48"/>
      <c r="CY3720" s="48"/>
      <c r="CZ3720" s="48"/>
    </row>
    <row r="3721" spans="27:104" s="4" customFormat="1" x14ac:dyDescent="0.3">
      <c r="AA3721" s="48"/>
      <c r="AB3721" s="48"/>
      <c r="AC3721" s="48"/>
      <c r="AD3721" s="48"/>
      <c r="AE3721" s="48"/>
      <c r="AF3721" s="48"/>
      <c r="AG3721" s="48"/>
      <c r="AH3721" s="48"/>
      <c r="AI3721" s="48"/>
      <c r="AJ3721" s="48"/>
      <c r="AK3721" s="48"/>
      <c r="AL3721" s="48"/>
      <c r="AM3721" s="48"/>
      <c r="AN3721" s="48"/>
      <c r="AO3721" s="48"/>
      <c r="AP3721" s="48"/>
      <c r="AQ3721" s="48"/>
      <c r="AR3721" s="48"/>
      <c r="AS3721" s="48"/>
      <c r="AT3721" s="48"/>
      <c r="AU3721" s="48"/>
      <c r="AV3721" s="48"/>
      <c r="AW3721" s="48"/>
      <c r="AX3721" s="48"/>
      <c r="AY3721" s="48"/>
      <c r="AZ3721" s="48"/>
      <c r="BA3721" s="48"/>
      <c r="BB3721" s="14"/>
      <c r="BC3721" s="48"/>
      <c r="BD3721" s="48"/>
      <c r="BE3721" s="48"/>
      <c r="BF3721" s="48"/>
      <c r="BG3721" s="48"/>
      <c r="BH3721" s="48"/>
      <c r="BI3721" s="48"/>
      <c r="BJ3721" s="48"/>
      <c r="BK3721" s="48"/>
      <c r="BL3721" s="48"/>
      <c r="BM3721" s="48"/>
      <c r="BN3721" s="48"/>
      <c r="BO3721" s="48"/>
      <c r="BP3721" s="48"/>
      <c r="BQ3721" s="48"/>
      <c r="BR3721" s="48"/>
      <c r="BS3721" s="48"/>
      <c r="BT3721" s="48"/>
      <c r="BU3721" s="48"/>
      <c r="BV3721" s="48"/>
      <c r="BW3721" s="48"/>
      <c r="BX3721" s="48"/>
      <c r="BY3721" s="48"/>
      <c r="BZ3721" s="48"/>
      <c r="CA3721" s="48"/>
      <c r="CB3721" s="48"/>
      <c r="CC3721" s="48"/>
      <c r="CD3721" s="48"/>
      <c r="CE3721" s="48"/>
      <c r="CF3721" s="48"/>
      <c r="CG3721" s="48"/>
      <c r="CH3721" s="48"/>
      <c r="CI3721" s="48"/>
      <c r="CJ3721" s="48"/>
      <c r="CK3721" s="48"/>
      <c r="CL3721" s="48"/>
      <c r="CM3721" s="48"/>
      <c r="CN3721" s="48"/>
      <c r="CO3721" s="48"/>
      <c r="CP3721" s="48"/>
      <c r="CQ3721" s="48"/>
      <c r="CR3721" s="48"/>
      <c r="CS3721" s="48"/>
      <c r="CT3721" s="48"/>
      <c r="CU3721" s="48"/>
      <c r="CV3721" s="48"/>
      <c r="CW3721" s="48"/>
      <c r="CX3721" s="48"/>
      <c r="CY3721" s="48"/>
      <c r="CZ3721" s="48"/>
    </row>
    <row r="3722" spans="27:104" s="4" customFormat="1" x14ac:dyDescent="0.3">
      <c r="AA3722" s="48"/>
      <c r="AB3722" s="48"/>
      <c r="AC3722" s="48"/>
      <c r="AD3722" s="48"/>
      <c r="AE3722" s="48"/>
      <c r="AF3722" s="48"/>
      <c r="AG3722" s="48"/>
      <c r="AH3722" s="48"/>
      <c r="AI3722" s="48"/>
      <c r="AJ3722" s="48"/>
      <c r="AK3722" s="48"/>
      <c r="AL3722" s="48"/>
      <c r="AM3722" s="48"/>
      <c r="AN3722" s="48"/>
      <c r="AO3722" s="48"/>
      <c r="AP3722" s="48"/>
      <c r="AQ3722" s="48"/>
      <c r="AR3722" s="48"/>
      <c r="AS3722" s="48"/>
      <c r="AT3722" s="48"/>
      <c r="AU3722" s="48"/>
      <c r="AV3722" s="48"/>
      <c r="AW3722" s="48"/>
      <c r="AX3722" s="48"/>
      <c r="AY3722" s="48"/>
      <c r="AZ3722" s="48"/>
      <c r="BA3722" s="48"/>
      <c r="BB3722" s="14"/>
      <c r="BC3722" s="48"/>
      <c r="BD3722" s="48"/>
      <c r="BE3722" s="48"/>
      <c r="BF3722" s="48"/>
      <c r="BG3722" s="48"/>
      <c r="BH3722" s="48"/>
      <c r="BI3722" s="48"/>
      <c r="BJ3722" s="48"/>
      <c r="BK3722" s="48"/>
      <c r="BL3722" s="48"/>
      <c r="BM3722" s="48"/>
      <c r="BN3722" s="48"/>
      <c r="BO3722" s="48"/>
      <c r="BP3722" s="48"/>
      <c r="BQ3722" s="48"/>
      <c r="BR3722" s="48"/>
      <c r="BS3722" s="48"/>
      <c r="BT3722" s="48"/>
      <c r="BU3722" s="48"/>
      <c r="BV3722" s="48"/>
      <c r="BW3722" s="48"/>
      <c r="BX3722" s="48"/>
      <c r="BY3722" s="48"/>
      <c r="BZ3722" s="48"/>
      <c r="CA3722" s="48"/>
      <c r="CB3722" s="48"/>
      <c r="CC3722" s="48"/>
      <c r="CD3722" s="48"/>
      <c r="CE3722" s="48"/>
      <c r="CF3722" s="48"/>
      <c r="CG3722" s="48"/>
      <c r="CH3722" s="48"/>
      <c r="CI3722" s="48"/>
      <c r="CJ3722" s="48"/>
      <c r="CK3722" s="48"/>
      <c r="CL3722" s="48"/>
      <c r="CM3722" s="48"/>
      <c r="CN3722" s="48"/>
      <c r="CO3722" s="48"/>
      <c r="CP3722" s="48"/>
      <c r="CQ3722" s="48"/>
      <c r="CR3722" s="48"/>
      <c r="CS3722" s="48"/>
      <c r="CT3722" s="48"/>
      <c r="CU3722" s="48"/>
      <c r="CV3722" s="48"/>
      <c r="CW3722" s="48"/>
      <c r="CX3722" s="48"/>
      <c r="CY3722" s="48"/>
      <c r="CZ3722" s="48"/>
    </row>
    <row r="3723" spans="27:104" s="4" customFormat="1" x14ac:dyDescent="0.3">
      <c r="AA3723" s="48"/>
      <c r="AB3723" s="48"/>
      <c r="AC3723" s="48"/>
      <c r="AD3723" s="48"/>
      <c r="AE3723" s="48"/>
      <c r="AF3723" s="48"/>
      <c r="AG3723" s="48"/>
      <c r="AH3723" s="48"/>
      <c r="AI3723" s="48"/>
      <c r="AJ3723" s="48"/>
      <c r="AK3723" s="48"/>
      <c r="AL3723" s="48"/>
      <c r="AM3723" s="48"/>
      <c r="AN3723" s="48"/>
      <c r="AO3723" s="48"/>
      <c r="AP3723" s="48"/>
      <c r="AQ3723" s="48"/>
      <c r="AR3723" s="48"/>
      <c r="AS3723" s="48"/>
      <c r="AT3723" s="48"/>
      <c r="AU3723" s="48"/>
      <c r="AV3723" s="48"/>
      <c r="AW3723" s="48"/>
      <c r="AX3723" s="48"/>
      <c r="AY3723" s="48"/>
      <c r="AZ3723" s="48"/>
      <c r="BA3723" s="48"/>
      <c r="BB3723" s="14"/>
      <c r="BC3723" s="48"/>
      <c r="BD3723" s="48"/>
      <c r="BE3723" s="48"/>
      <c r="BF3723" s="48"/>
      <c r="BG3723" s="48"/>
      <c r="BH3723" s="48"/>
      <c r="BI3723" s="48"/>
      <c r="BJ3723" s="48"/>
      <c r="BK3723" s="48"/>
      <c r="BL3723" s="48"/>
      <c r="BM3723" s="48"/>
      <c r="BN3723" s="48"/>
      <c r="BO3723" s="48"/>
      <c r="BP3723" s="48"/>
      <c r="BQ3723" s="48"/>
      <c r="BR3723" s="48"/>
      <c r="BS3723" s="48"/>
      <c r="BT3723" s="48"/>
      <c r="BU3723" s="48"/>
      <c r="BV3723" s="48"/>
      <c r="BW3723" s="48"/>
      <c r="BX3723" s="48"/>
      <c r="BY3723" s="48"/>
      <c r="BZ3723" s="48"/>
      <c r="CA3723" s="48"/>
      <c r="CB3723" s="48"/>
      <c r="CC3723" s="48"/>
      <c r="CD3723" s="48"/>
      <c r="CE3723" s="48"/>
      <c r="CF3723" s="48"/>
      <c r="CG3723" s="48"/>
      <c r="CH3723" s="48"/>
      <c r="CI3723" s="48"/>
      <c r="CJ3723" s="48"/>
      <c r="CK3723" s="48"/>
      <c r="CL3723" s="48"/>
      <c r="CM3723" s="48"/>
      <c r="CN3723" s="48"/>
      <c r="CO3723" s="48"/>
      <c r="CP3723" s="48"/>
      <c r="CQ3723" s="48"/>
      <c r="CR3723" s="48"/>
      <c r="CS3723" s="48"/>
      <c r="CT3723" s="48"/>
      <c r="CU3723" s="48"/>
      <c r="CV3723" s="48"/>
      <c r="CW3723" s="48"/>
      <c r="CX3723" s="48"/>
      <c r="CY3723" s="48"/>
      <c r="CZ3723" s="48"/>
    </row>
    <row r="3724" spans="27:104" s="4" customFormat="1" x14ac:dyDescent="0.3">
      <c r="AA3724" s="48"/>
      <c r="AB3724" s="48"/>
      <c r="AC3724" s="48"/>
      <c r="AD3724" s="48"/>
      <c r="AE3724" s="48"/>
      <c r="AF3724" s="48"/>
      <c r="AG3724" s="48"/>
      <c r="AH3724" s="48"/>
      <c r="AI3724" s="48"/>
      <c r="AJ3724" s="48"/>
      <c r="AK3724" s="48"/>
      <c r="AL3724" s="48"/>
      <c r="AM3724" s="48"/>
      <c r="AN3724" s="48"/>
      <c r="AO3724" s="48"/>
      <c r="AP3724" s="48"/>
      <c r="AQ3724" s="48"/>
      <c r="AR3724" s="48"/>
      <c r="AS3724" s="48"/>
      <c r="AT3724" s="48"/>
      <c r="AU3724" s="48"/>
      <c r="AV3724" s="48"/>
      <c r="AW3724" s="48"/>
      <c r="AX3724" s="48"/>
      <c r="AY3724" s="48"/>
      <c r="AZ3724" s="48"/>
      <c r="BA3724" s="48"/>
      <c r="BB3724" s="14"/>
      <c r="BC3724" s="48"/>
      <c r="BD3724" s="48"/>
      <c r="BE3724" s="48"/>
      <c r="BF3724" s="48"/>
      <c r="BG3724" s="48"/>
      <c r="BH3724" s="48"/>
      <c r="BI3724" s="48"/>
      <c r="BJ3724" s="48"/>
      <c r="BK3724" s="48"/>
      <c r="BL3724" s="48"/>
      <c r="BM3724" s="48"/>
      <c r="BN3724" s="48"/>
      <c r="BO3724" s="48"/>
      <c r="BP3724" s="48"/>
      <c r="BQ3724" s="48"/>
      <c r="BR3724" s="48"/>
      <c r="BS3724" s="48"/>
      <c r="BT3724" s="48"/>
      <c r="BU3724" s="48"/>
      <c r="BV3724" s="48"/>
      <c r="BW3724" s="48"/>
      <c r="BX3724" s="48"/>
      <c r="BY3724" s="48"/>
      <c r="BZ3724" s="48"/>
      <c r="CA3724" s="48"/>
      <c r="CB3724" s="48"/>
      <c r="CC3724" s="48"/>
      <c r="CD3724" s="48"/>
      <c r="CE3724" s="48"/>
      <c r="CF3724" s="48"/>
      <c r="CG3724" s="48"/>
      <c r="CH3724" s="48"/>
      <c r="CI3724" s="48"/>
      <c r="CJ3724" s="48"/>
      <c r="CK3724" s="48"/>
      <c r="CL3724" s="48"/>
      <c r="CM3724" s="48"/>
      <c r="CN3724" s="48"/>
      <c r="CO3724" s="48"/>
      <c r="CP3724" s="48"/>
      <c r="CQ3724" s="48"/>
      <c r="CR3724" s="48"/>
      <c r="CS3724" s="48"/>
      <c r="CT3724" s="48"/>
      <c r="CU3724" s="48"/>
      <c r="CV3724" s="48"/>
      <c r="CW3724" s="48"/>
      <c r="CX3724" s="48"/>
      <c r="CY3724" s="48"/>
      <c r="CZ3724" s="48"/>
    </row>
    <row r="3725" spans="27:104" s="4" customFormat="1" x14ac:dyDescent="0.3">
      <c r="AA3725" s="48"/>
      <c r="AB3725" s="48"/>
      <c r="AC3725" s="48"/>
      <c r="AD3725" s="48"/>
      <c r="AE3725" s="48"/>
      <c r="AF3725" s="48"/>
      <c r="AG3725" s="48"/>
      <c r="AH3725" s="48"/>
      <c r="AI3725" s="48"/>
      <c r="AJ3725" s="48"/>
      <c r="AK3725" s="48"/>
      <c r="AL3725" s="48"/>
      <c r="AM3725" s="48"/>
      <c r="AN3725" s="48"/>
      <c r="AO3725" s="48"/>
      <c r="AP3725" s="48"/>
      <c r="AQ3725" s="48"/>
      <c r="AR3725" s="48"/>
      <c r="AS3725" s="48"/>
      <c r="AT3725" s="48"/>
      <c r="AU3725" s="48"/>
      <c r="AV3725" s="48"/>
      <c r="AW3725" s="48"/>
      <c r="AX3725" s="48"/>
      <c r="AY3725" s="48"/>
      <c r="AZ3725" s="48"/>
      <c r="BA3725" s="48"/>
      <c r="BB3725" s="14"/>
      <c r="BC3725" s="48"/>
      <c r="BD3725" s="48"/>
      <c r="BE3725" s="48"/>
      <c r="BF3725" s="48"/>
      <c r="BG3725" s="48"/>
      <c r="BH3725" s="48"/>
      <c r="BI3725" s="48"/>
      <c r="BJ3725" s="48"/>
      <c r="BK3725" s="48"/>
      <c r="BL3725" s="48"/>
      <c r="BM3725" s="48"/>
      <c r="BN3725" s="48"/>
      <c r="BO3725" s="48"/>
      <c r="BP3725" s="48"/>
      <c r="BQ3725" s="48"/>
      <c r="BR3725" s="48"/>
      <c r="BS3725" s="48"/>
      <c r="BT3725" s="48"/>
      <c r="BU3725" s="48"/>
      <c r="BV3725" s="48"/>
      <c r="BW3725" s="48"/>
      <c r="BX3725" s="48"/>
      <c r="BY3725" s="48"/>
      <c r="BZ3725" s="48"/>
      <c r="CA3725" s="48"/>
      <c r="CB3725" s="48"/>
      <c r="CC3725" s="48"/>
      <c r="CD3725" s="48"/>
      <c r="CE3725" s="48"/>
      <c r="CF3725" s="48"/>
      <c r="CG3725" s="48"/>
      <c r="CH3725" s="48"/>
      <c r="CI3725" s="48"/>
      <c r="CJ3725" s="48"/>
      <c r="CK3725" s="48"/>
      <c r="CL3725" s="48"/>
      <c r="CM3725" s="48"/>
      <c r="CN3725" s="48"/>
      <c r="CO3725" s="48"/>
      <c r="CP3725" s="48"/>
      <c r="CQ3725" s="48"/>
      <c r="CR3725" s="48"/>
      <c r="CS3725" s="48"/>
      <c r="CT3725" s="48"/>
      <c r="CU3725" s="48"/>
      <c r="CV3725" s="48"/>
      <c r="CW3725" s="48"/>
      <c r="CX3725" s="48"/>
      <c r="CY3725" s="48"/>
      <c r="CZ3725" s="48"/>
    </row>
    <row r="3726" spans="27:104" s="4" customFormat="1" x14ac:dyDescent="0.3">
      <c r="AA3726" s="48"/>
      <c r="AB3726" s="48"/>
      <c r="AC3726" s="48"/>
      <c r="AD3726" s="48"/>
      <c r="AE3726" s="48"/>
      <c r="AF3726" s="48"/>
      <c r="AG3726" s="48"/>
      <c r="AH3726" s="48"/>
      <c r="AI3726" s="48"/>
      <c r="AJ3726" s="48"/>
      <c r="AK3726" s="48"/>
      <c r="AL3726" s="48"/>
      <c r="AM3726" s="48"/>
      <c r="AN3726" s="48"/>
      <c r="AO3726" s="48"/>
      <c r="AP3726" s="48"/>
      <c r="AQ3726" s="48"/>
      <c r="AR3726" s="48"/>
      <c r="AS3726" s="48"/>
      <c r="AT3726" s="48"/>
      <c r="AU3726" s="48"/>
      <c r="AV3726" s="48"/>
      <c r="AW3726" s="48"/>
      <c r="AX3726" s="48"/>
      <c r="AY3726" s="48"/>
      <c r="AZ3726" s="48"/>
      <c r="BA3726" s="48"/>
      <c r="BB3726" s="14"/>
      <c r="BC3726" s="48"/>
      <c r="BD3726" s="48"/>
      <c r="BE3726" s="48"/>
      <c r="BF3726" s="48"/>
      <c r="BG3726" s="48"/>
      <c r="BH3726" s="48"/>
      <c r="BI3726" s="48"/>
      <c r="BJ3726" s="48"/>
      <c r="BK3726" s="48"/>
      <c r="BL3726" s="48"/>
      <c r="BM3726" s="48"/>
      <c r="BN3726" s="48"/>
      <c r="BO3726" s="48"/>
      <c r="BP3726" s="48"/>
      <c r="BQ3726" s="48"/>
      <c r="BR3726" s="48"/>
      <c r="BS3726" s="48"/>
      <c r="BT3726" s="48"/>
      <c r="BU3726" s="48"/>
      <c r="BV3726" s="48"/>
      <c r="BW3726" s="48"/>
      <c r="BX3726" s="48"/>
      <c r="BY3726" s="48"/>
      <c r="BZ3726" s="48"/>
      <c r="CA3726" s="48"/>
      <c r="CB3726" s="48"/>
      <c r="CC3726" s="48"/>
      <c r="CD3726" s="48"/>
      <c r="CE3726" s="48"/>
      <c r="CF3726" s="48"/>
      <c r="CG3726" s="48"/>
      <c r="CH3726" s="48"/>
      <c r="CI3726" s="48"/>
      <c r="CJ3726" s="48"/>
      <c r="CK3726" s="48"/>
      <c r="CL3726" s="48"/>
      <c r="CM3726" s="48"/>
      <c r="CN3726" s="48"/>
      <c r="CO3726" s="48"/>
      <c r="CP3726" s="48"/>
      <c r="CQ3726" s="48"/>
      <c r="CR3726" s="48"/>
      <c r="CS3726" s="48"/>
      <c r="CT3726" s="48"/>
      <c r="CU3726" s="48"/>
      <c r="CV3726" s="48"/>
      <c r="CW3726" s="48"/>
      <c r="CX3726" s="48"/>
      <c r="CY3726" s="48"/>
      <c r="CZ3726" s="48"/>
    </row>
    <row r="3727" spans="27:104" s="4" customFormat="1" x14ac:dyDescent="0.3">
      <c r="AA3727" s="48"/>
      <c r="AB3727" s="48"/>
      <c r="AC3727" s="48"/>
      <c r="AD3727" s="48"/>
      <c r="AE3727" s="48"/>
      <c r="AF3727" s="48"/>
      <c r="AG3727" s="48"/>
      <c r="AH3727" s="48"/>
      <c r="AI3727" s="48"/>
      <c r="AJ3727" s="48"/>
      <c r="AK3727" s="48"/>
      <c r="AL3727" s="48"/>
      <c r="AM3727" s="48"/>
      <c r="AN3727" s="48"/>
      <c r="AO3727" s="48"/>
      <c r="AP3727" s="48"/>
      <c r="AQ3727" s="48"/>
      <c r="AR3727" s="48"/>
      <c r="AS3727" s="48"/>
      <c r="AT3727" s="48"/>
      <c r="AU3727" s="48"/>
      <c r="AV3727" s="48"/>
      <c r="AW3727" s="48"/>
      <c r="AX3727" s="48"/>
      <c r="AY3727" s="48"/>
      <c r="AZ3727" s="48"/>
      <c r="BA3727" s="48"/>
      <c r="BB3727" s="14"/>
      <c r="BC3727" s="48"/>
      <c r="BD3727" s="48"/>
      <c r="BE3727" s="48"/>
      <c r="BF3727" s="48"/>
      <c r="BG3727" s="48"/>
      <c r="BH3727" s="48"/>
      <c r="BI3727" s="48"/>
      <c r="BJ3727" s="48"/>
      <c r="BK3727" s="48"/>
      <c r="BL3727" s="48"/>
      <c r="BM3727" s="48"/>
      <c r="BN3727" s="48"/>
      <c r="BO3727" s="48"/>
      <c r="BP3727" s="48"/>
      <c r="BQ3727" s="48"/>
      <c r="BR3727" s="48"/>
      <c r="BS3727" s="48"/>
      <c r="BT3727" s="48"/>
      <c r="BU3727" s="48"/>
      <c r="BV3727" s="48"/>
      <c r="BW3727" s="48"/>
      <c r="BX3727" s="48"/>
      <c r="BY3727" s="48"/>
      <c r="BZ3727" s="48"/>
      <c r="CA3727" s="48"/>
      <c r="CB3727" s="48"/>
      <c r="CC3727" s="48"/>
      <c r="CD3727" s="48"/>
      <c r="CE3727" s="48"/>
      <c r="CF3727" s="48"/>
      <c r="CG3727" s="48"/>
      <c r="CH3727" s="48"/>
      <c r="CI3727" s="48"/>
      <c r="CJ3727" s="48"/>
      <c r="CK3727" s="48"/>
      <c r="CL3727" s="48"/>
      <c r="CM3727" s="48"/>
      <c r="CN3727" s="48"/>
      <c r="CO3727" s="48"/>
      <c r="CP3727" s="48"/>
      <c r="CQ3727" s="48"/>
      <c r="CR3727" s="48"/>
      <c r="CS3727" s="48"/>
      <c r="CT3727" s="48"/>
      <c r="CU3727" s="48"/>
      <c r="CV3727" s="48"/>
      <c r="CW3727" s="48"/>
      <c r="CX3727" s="48"/>
      <c r="CY3727" s="48"/>
      <c r="CZ3727" s="48"/>
    </row>
    <row r="3728" spans="27:104" s="4" customFormat="1" x14ac:dyDescent="0.3">
      <c r="AA3728" s="48"/>
      <c r="AB3728" s="48"/>
      <c r="AC3728" s="48"/>
      <c r="AD3728" s="48"/>
      <c r="AE3728" s="48"/>
      <c r="AF3728" s="48"/>
      <c r="AG3728" s="48"/>
      <c r="AH3728" s="48"/>
      <c r="AI3728" s="48"/>
      <c r="AJ3728" s="48"/>
      <c r="AK3728" s="48"/>
      <c r="AL3728" s="48"/>
      <c r="AM3728" s="48"/>
      <c r="AN3728" s="48"/>
      <c r="AO3728" s="48"/>
      <c r="AP3728" s="48"/>
      <c r="AQ3728" s="48"/>
      <c r="AR3728" s="48"/>
      <c r="AS3728" s="48"/>
      <c r="AT3728" s="48"/>
      <c r="AU3728" s="48"/>
      <c r="AV3728" s="48"/>
      <c r="AW3728" s="48"/>
      <c r="AX3728" s="48"/>
      <c r="AY3728" s="48"/>
      <c r="AZ3728" s="48"/>
      <c r="BA3728" s="48"/>
      <c r="BB3728" s="14"/>
      <c r="BC3728" s="48"/>
      <c r="BD3728" s="48"/>
      <c r="BE3728" s="48"/>
      <c r="BF3728" s="48"/>
      <c r="BG3728" s="48"/>
      <c r="BH3728" s="48"/>
      <c r="BI3728" s="48"/>
      <c r="BJ3728" s="48"/>
      <c r="BK3728" s="48"/>
      <c r="BL3728" s="48"/>
      <c r="BM3728" s="48"/>
      <c r="BN3728" s="48"/>
      <c r="BO3728" s="48"/>
      <c r="BP3728" s="48"/>
      <c r="BQ3728" s="48"/>
      <c r="BR3728" s="48"/>
      <c r="BS3728" s="48"/>
      <c r="BT3728" s="48"/>
      <c r="BU3728" s="48"/>
      <c r="BV3728" s="48"/>
      <c r="BW3728" s="48"/>
      <c r="BX3728" s="48"/>
      <c r="BY3728" s="48"/>
      <c r="BZ3728" s="48"/>
      <c r="CA3728" s="48"/>
      <c r="CB3728" s="48"/>
      <c r="CC3728" s="48"/>
      <c r="CD3728" s="48"/>
      <c r="CE3728" s="48"/>
      <c r="CF3728" s="48"/>
      <c r="CG3728" s="48"/>
      <c r="CH3728" s="48"/>
      <c r="CI3728" s="48"/>
      <c r="CJ3728" s="48"/>
      <c r="CK3728" s="48"/>
      <c r="CL3728" s="48"/>
      <c r="CM3728" s="48"/>
      <c r="CN3728" s="48"/>
      <c r="CO3728" s="48"/>
      <c r="CP3728" s="48"/>
      <c r="CQ3728" s="48"/>
      <c r="CR3728" s="48"/>
      <c r="CS3728" s="48"/>
      <c r="CT3728" s="48"/>
      <c r="CU3728" s="48"/>
      <c r="CV3728" s="48"/>
      <c r="CW3728" s="48"/>
      <c r="CX3728" s="48"/>
      <c r="CY3728" s="48"/>
      <c r="CZ3728" s="48"/>
    </row>
    <row r="3729" spans="27:104" s="4" customFormat="1" x14ac:dyDescent="0.3">
      <c r="AA3729" s="48"/>
      <c r="AB3729" s="48"/>
      <c r="AC3729" s="48"/>
      <c r="AD3729" s="48"/>
      <c r="AE3729" s="48"/>
      <c r="AF3729" s="48"/>
      <c r="AG3729" s="48"/>
      <c r="AH3729" s="48"/>
      <c r="AI3729" s="48"/>
      <c r="AJ3729" s="48"/>
      <c r="AK3729" s="48"/>
      <c r="AL3729" s="48"/>
      <c r="AM3729" s="48"/>
      <c r="AN3729" s="48"/>
      <c r="AO3729" s="48"/>
      <c r="AP3729" s="48"/>
      <c r="AQ3729" s="48"/>
      <c r="AR3729" s="48"/>
      <c r="AS3729" s="48"/>
      <c r="AT3729" s="48"/>
      <c r="AU3729" s="48"/>
      <c r="AV3729" s="48"/>
      <c r="AW3729" s="48"/>
      <c r="AX3729" s="48"/>
      <c r="AY3729" s="48"/>
      <c r="AZ3729" s="48"/>
      <c r="BA3729" s="48"/>
      <c r="BB3729" s="14"/>
      <c r="BC3729" s="48"/>
      <c r="BD3729" s="48"/>
      <c r="BE3729" s="48"/>
      <c r="BF3729" s="48"/>
      <c r="BG3729" s="48"/>
      <c r="BH3729" s="48"/>
      <c r="BI3729" s="48"/>
      <c r="BJ3729" s="48"/>
      <c r="BK3729" s="48"/>
      <c r="BL3729" s="48"/>
      <c r="BM3729" s="48"/>
      <c r="BN3729" s="48"/>
      <c r="BO3729" s="48"/>
      <c r="BP3729" s="48"/>
      <c r="BQ3729" s="48"/>
      <c r="BR3729" s="48"/>
      <c r="BS3729" s="48"/>
      <c r="BT3729" s="48"/>
      <c r="BU3729" s="48"/>
      <c r="BV3729" s="48"/>
      <c r="BW3729" s="48"/>
      <c r="BX3729" s="48"/>
      <c r="BY3729" s="48"/>
      <c r="BZ3729" s="48"/>
      <c r="CA3729" s="48"/>
      <c r="CB3729" s="48"/>
      <c r="CC3729" s="48"/>
      <c r="CD3729" s="48"/>
      <c r="CE3729" s="48"/>
      <c r="CF3729" s="48"/>
      <c r="CG3729" s="48"/>
      <c r="CH3729" s="48"/>
      <c r="CI3729" s="48"/>
      <c r="CJ3729" s="48"/>
      <c r="CK3729" s="48"/>
      <c r="CL3729" s="48"/>
      <c r="CM3729" s="48"/>
      <c r="CN3729" s="48"/>
      <c r="CO3729" s="48"/>
      <c r="CP3729" s="48"/>
      <c r="CQ3729" s="48"/>
      <c r="CR3729" s="48"/>
      <c r="CS3729" s="48"/>
      <c r="CT3729" s="48"/>
      <c r="CU3729" s="48"/>
      <c r="CV3729" s="48"/>
      <c r="CW3729" s="48"/>
      <c r="CX3729" s="48"/>
      <c r="CY3729" s="48"/>
      <c r="CZ3729" s="48"/>
    </row>
    <row r="3730" spans="27:104" s="4" customFormat="1" x14ac:dyDescent="0.3">
      <c r="AA3730" s="48"/>
      <c r="AB3730" s="48"/>
      <c r="AC3730" s="48"/>
      <c r="AD3730" s="48"/>
      <c r="AE3730" s="48"/>
      <c r="AF3730" s="48"/>
      <c r="AG3730" s="48"/>
      <c r="AH3730" s="48"/>
      <c r="AI3730" s="48"/>
      <c r="AJ3730" s="48"/>
      <c r="AK3730" s="48"/>
      <c r="AL3730" s="48"/>
      <c r="AM3730" s="48"/>
      <c r="AN3730" s="48"/>
      <c r="AO3730" s="48"/>
      <c r="AP3730" s="48"/>
      <c r="AQ3730" s="48"/>
      <c r="AR3730" s="48"/>
      <c r="AS3730" s="48"/>
      <c r="AT3730" s="48"/>
      <c r="AU3730" s="48"/>
      <c r="AV3730" s="48"/>
      <c r="AW3730" s="48"/>
      <c r="AX3730" s="48"/>
      <c r="AY3730" s="48"/>
      <c r="AZ3730" s="48"/>
      <c r="BA3730" s="48"/>
      <c r="BB3730" s="14"/>
      <c r="BC3730" s="48"/>
      <c r="BD3730" s="48"/>
      <c r="BE3730" s="48"/>
      <c r="BF3730" s="48"/>
      <c r="BG3730" s="48"/>
      <c r="BH3730" s="48"/>
      <c r="BI3730" s="48"/>
      <c r="BJ3730" s="48"/>
      <c r="BK3730" s="48"/>
      <c r="BL3730" s="48"/>
      <c r="BM3730" s="48"/>
      <c r="BN3730" s="48"/>
      <c r="BO3730" s="48"/>
      <c r="BP3730" s="48"/>
      <c r="BQ3730" s="48"/>
      <c r="BR3730" s="48"/>
      <c r="BS3730" s="48"/>
      <c r="BT3730" s="48"/>
      <c r="BU3730" s="48"/>
      <c r="BV3730" s="48"/>
      <c r="BW3730" s="48"/>
      <c r="BX3730" s="48"/>
      <c r="BY3730" s="48"/>
      <c r="BZ3730" s="48"/>
      <c r="CA3730" s="48"/>
      <c r="CB3730" s="48"/>
      <c r="CC3730" s="48"/>
      <c r="CD3730" s="48"/>
      <c r="CE3730" s="48"/>
      <c r="CF3730" s="48"/>
      <c r="CG3730" s="48"/>
      <c r="CH3730" s="48"/>
      <c r="CI3730" s="48"/>
      <c r="CJ3730" s="48"/>
      <c r="CK3730" s="48"/>
      <c r="CL3730" s="48"/>
      <c r="CM3730" s="48"/>
      <c r="CN3730" s="48"/>
      <c r="CO3730" s="48"/>
      <c r="CP3730" s="48"/>
      <c r="CQ3730" s="48"/>
      <c r="CR3730" s="48"/>
      <c r="CS3730" s="48"/>
      <c r="CT3730" s="48"/>
      <c r="CU3730" s="48"/>
      <c r="CV3730" s="48"/>
      <c r="CW3730" s="48"/>
      <c r="CX3730" s="48"/>
      <c r="CY3730" s="48"/>
      <c r="CZ3730" s="48"/>
    </row>
    <row r="3731" spans="27:104" s="4" customFormat="1" x14ac:dyDescent="0.3">
      <c r="AA3731" s="48"/>
      <c r="AB3731" s="48"/>
      <c r="AC3731" s="48"/>
      <c r="AD3731" s="48"/>
      <c r="AE3731" s="48"/>
      <c r="AF3731" s="48"/>
      <c r="AG3731" s="48"/>
      <c r="AH3731" s="48"/>
      <c r="AI3731" s="48"/>
      <c r="AJ3731" s="48"/>
      <c r="AK3731" s="48"/>
      <c r="AL3731" s="48"/>
      <c r="AM3731" s="48"/>
      <c r="AN3731" s="48"/>
      <c r="AO3731" s="48"/>
      <c r="AP3731" s="48"/>
      <c r="AQ3731" s="48"/>
      <c r="AR3731" s="48"/>
      <c r="AS3731" s="48"/>
      <c r="AT3731" s="48"/>
      <c r="AU3731" s="48"/>
      <c r="AV3731" s="48"/>
      <c r="AW3731" s="48"/>
      <c r="AX3731" s="48"/>
      <c r="AY3731" s="48"/>
      <c r="AZ3731" s="48"/>
      <c r="BA3731" s="48"/>
      <c r="BB3731" s="14"/>
      <c r="BC3731" s="48"/>
      <c r="BD3731" s="48"/>
      <c r="BE3731" s="48"/>
      <c r="BF3731" s="48"/>
      <c r="BG3731" s="48"/>
      <c r="BH3731" s="48"/>
      <c r="BI3731" s="48"/>
      <c r="BJ3731" s="48"/>
      <c r="BK3731" s="48"/>
      <c r="BL3731" s="48"/>
      <c r="BM3731" s="48"/>
      <c r="BN3731" s="48"/>
      <c r="BO3731" s="48"/>
      <c r="BP3731" s="48"/>
      <c r="BQ3731" s="48"/>
      <c r="BR3731" s="48"/>
      <c r="BS3731" s="48"/>
      <c r="BT3731" s="48"/>
      <c r="BU3731" s="48"/>
      <c r="BV3731" s="48"/>
      <c r="BW3731" s="48"/>
      <c r="BX3731" s="48"/>
      <c r="BY3731" s="48"/>
      <c r="BZ3731" s="48"/>
      <c r="CA3731" s="48"/>
      <c r="CB3731" s="48"/>
      <c r="CC3731" s="48"/>
      <c r="CD3731" s="48"/>
      <c r="CE3731" s="48"/>
      <c r="CF3731" s="48"/>
      <c r="CG3731" s="48"/>
      <c r="CH3731" s="48"/>
      <c r="CI3731" s="48"/>
      <c r="CJ3731" s="48"/>
      <c r="CK3731" s="48"/>
      <c r="CL3731" s="48"/>
      <c r="CM3731" s="48"/>
      <c r="CN3731" s="48"/>
      <c r="CO3731" s="48"/>
      <c r="CP3731" s="48"/>
      <c r="CQ3731" s="48"/>
      <c r="CR3731" s="48"/>
      <c r="CS3731" s="48"/>
      <c r="CT3731" s="48"/>
      <c r="CU3731" s="48"/>
      <c r="CV3731" s="48"/>
      <c r="CW3731" s="48"/>
      <c r="CX3731" s="48"/>
      <c r="CY3731" s="48"/>
      <c r="CZ3731" s="48"/>
    </row>
    <row r="3732" spans="27:104" s="4" customFormat="1" x14ac:dyDescent="0.3">
      <c r="AA3732" s="48"/>
      <c r="AB3732" s="48"/>
      <c r="AC3732" s="48"/>
      <c r="AD3732" s="48"/>
      <c r="AE3732" s="48"/>
      <c r="AF3732" s="48"/>
      <c r="AG3732" s="48"/>
      <c r="AH3732" s="48"/>
      <c r="AI3732" s="48"/>
      <c r="AJ3732" s="48"/>
      <c r="AK3732" s="48"/>
      <c r="AL3732" s="48"/>
      <c r="AM3732" s="48"/>
      <c r="AN3732" s="48"/>
      <c r="AO3732" s="48"/>
      <c r="AP3732" s="48"/>
      <c r="AQ3732" s="48"/>
      <c r="AR3732" s="48"/>
      <c r="AS3732" s="48"/>
      <c r="AT3732" s="48"/>
      <c r="AU3732" s="48"/>
      <c r="AV3732" s="48"/>
      <c r="AW3732" s="48"/>
      <c r="AX3732" s="48"/>
      <c r="AY3732" s="48"/>
      <c r="AZ3732" s="48"/>
      <c r="BA3732" s="48"/>
      <c r="BB3732" s="14"/>
      <c r="BC3732" s="48"/>
      <c r="BD3732" s="48"/>
      <c r="BE3732" s="48"/>
      <c r="BF3732" s="48"/>
      <c r="BG3732" s="48"/>
      <c r="BH3732" s="48"/>
      <c r="BI3732" s="48"/>
      <c r="BJ3732" s="48"/>
      <c r="BK3732" s="48"/>
      <c r="BL3732" s="48"/>
      <c r="BM3732" s="48"/>
      <c r="BN3732" s="48"/>
      <c r="BO3732" s="48"/>
      <c r="BP3732" s="48"/>
      <c r="BQ3732" s="48"/>
      <c r="BR3732" s="48"/>
      <c r="BS3732" s="48"/>
      <c r="BT3732" s="48"/>
      <c r="BU3732" s="48"/>
      <c r="BV3732" s="48"/>
      <c r="BW3732" s="48"/>
      <c r="BX3732" s="48"/>
      <c r="BY3732" s="48"/>
      <c r="BZ3732" s="48"/>
      <c r="CA3732" s="48"/>
      <c r="CB3732" s="48"/>
      <c r="CC3732" s="48"/>
      <c r="CD3732" s="48"/>
      <c r="CE3732" s="48"/>
      <c r="CF3732" s="48"/>
      <c r="CG3732" s="48"/>
      <c r="CH3732" s="48"/>
      <c r="CI3732" s="48"/>
      <c r="CJ3732" s="48"/>
      <c r="CK3732" s="48"/>
      <c r="CL3732" s="48"/>
      <c r="CM3732" s="48"/>
      <c r="CN3732" s="48"/>
      <c r="CO3732" s="48"/>
      <c r="CP3732" s="48"/>
      <c r="CQ3732" s="48"/>
      <c r="CR3732" s="48"/>
      <c r="CS3732" s="48"/>
      <c r="CT3732" s="48"/>
      <c r="CU3732" s="48"/>
      <c r="CV3732" s="48"/>
      <c r="CW3732" s="48"/>
      <c r="CX3732" s="48"/>
      <c r="CY3732" s="48"/>
      <c r="CZ3732" s="48"/>
    </row>
    <row r="3733" spans="27:104" s="4" customFormat="1" x14ac:dyDescent="0.3">
      <c r="AA3733" s="48"/>
      <c r="AB3733" s="48"/>
      <c r="AC3733" s="48"/>
      <c r="AD3733" s="48"/>
      <c r="AE3733" s="48"/>
      <c r="AF3733" s="48"/>
      <c r="AG3733" s="48"/>
      <c r="AH3733" s="48"/>
      <c r="AI3733" s="48"/>
      <c r="AJ3733" s="48"/>
      <c r="AK3733" s="48"/>
      <c r="AL3733" s="48"/>
      <c r="AM3733" s="48"/>
      <c r="AN3733" s="48"/>
      <c r="AO3733" s="48"/>
      <c r="AP3733" s="48"/>
      <c r="AQ3733" s="48"/>
      <c r="AR3733" s="48"/>
      <c r="AS3733" s="48"/>
      <c r="AT3733" s="48"/>
      <c r="AU3733" s="48"/>
      <c r="AV3733" s="48"/>
      <c r="AW3733" s="48"/>
      <c r="AX3733" s="48"/>
      <c r="AY3733" s="48"/>
      <c r="AZ3733" s="48"/>
      <c r="BA3733" s="48"/>
      <c r="BB3733" s="14"/>
      <c r="BC3733" s="48"/>
      <c r="BD3733" s="48"/>
      <c r="BE3733" s="48"/>
      <c r="BF3733" s="48"/>
      <c r="BG3733" s="48"/>
      <c r="BH3733" s="48"/>
      <c r="BI3733" s="48"/>
      <c r="BJ3733" s="48"/>
      <c r="BK3733" s="48"/>
      <c r="BL3733" s="48"/>
      <c r="BM3733" s="48"/>
      <c r="BN3733" s="48"/>
      <c r="BO3733" s="48"/>
      <c r="BP3733" s="48"/>
      <c r="BQ3733" s="48"/>
      <c r="BR3733" s="48"/>
      <c r="BS3733" s="48"/>
      <c r="BT3733" s="48"/>
      <c r="BU3733" s="48"/>
      <c r="BV3733" s="48"/>
      <c r="BW3733" s="48"/>
      <c r="BX3733" s="48"/>
      <c r="BY3733" s="48"/>
      <c r="BZ3733" s="48"/>
      <c r="CA3733" s="48"/>
      <c r="CB3733" s="48"/>
      <c r="CC3733" s="48"/>
      <c r="CD3733" s="48"/>
      <c r="CE3733" s="48"/>
      <c r="CF3733" s="48"/>
      <c r="CG3733" s="48"/>
      <c r="CH3733" s="48"/>
      <c r="CI3733" s="48"/>
      <c r="CJ3733" s="48"/>
      <c r="CK3733" s="48"/>
      <c r="CL3733" s="48"/>
      <c r="CM3733" s="48"/>
      <c r="CN3733" s="48"/>
      <c r="CO3733" s="48"/>
      <c r="CP3733" s="48"/>
      <c r="CQ3733" s="48"/>
      <c r="CR3733" s="48"/>
      <c r="CS3733" s="48"/>
      <c r="CT3733" s="48"/>
      <c r="CU3733" s="48"/>
      <c r="CV3733" s="48"/>
      <c r="CW3733" s="48"/>
      <c r="CX3733" s="48"/>
      <c r="CY3733" s="48"/>
      <c r="CZ3733" s="48"/>
    </row>
    <row r="3734" spans="27:104" s="4" customFormat="1" x14ac:dyDescent="0.3">
      <c r="AA3734" s="48"/>
      <c r="AB3734" s="48"/>
      <c r="AC3734" s="48"/>
      <c r="AD3734" s="48"/>
      <c r="AE3734" s="48"/>
      <c r="AF3734" s="48"/>
      <c r="AG3734" s="48"/>
      <c r="AH3734" s="48"/>
      <c r="AI3734" s="48"/>
      <c r="AJ3734" s="48"/>
      <c r="AK3734" s="48"/>
      <c r="AL3734" s="48"/>
      <c r="AM3734" s="48"/>
      <c r="AN3734" s="48"/>
      <c r="AO3734" s="48"/>
      <c r="AP3734" s="48"/>
      <c r="AQ3734" s="48"/>
      <c r="AR3734" s="48"/>
      <c r="AS3734" s="48"/>
      <c r="AT3734" s="48"/>
      <c r="AU3734" s="48"/>
      <c r="AV3734" s="48"/>
      <c r="AW3734" s="48"/>
      <c r="AX3734" s="48"/>
      <c r="AY3734" s="48"/>
      <c r="AZ3734" s="48"/>
      <c r="BA3734" s="48"/>
      <c r="BB3734" s="14"/>
      <c r="BC3734" s="48"/>
      <c r="BD3734" s="48"/>
      <c r="BE3734" s="48"/>
      <c r="BF3734" s="48"/>
      <c r="BG3734" s="48"/>
      <c r="BH3734" s="48"/>
      <c r="BI3734" s="48"/>
      <c r="BJ3734" s="48"/>
      <c r="BK3734" s="48"/>
      <c r="BL3734" s="48"/>
      <c r="BM3734" s="48"/>
      <c r="BN3734" s="48"/>
      <c r="BO3734" s="48"/>
      <c r="BP3734" s="48"/>
      <c r="BQ3734" s="48"/>
      <c r="BR3734" s="48"/>
      <c r="BS3734" s="48"/>
      <c r="BT3734" s="48"/>
      <c r="BU3734" s="48"/>
      <c r="BV3734" s="48"/>
      <c r="BW3734" s="48"/>
      <c r="BX3734" s="48"/>
      <c r="BY3734" s="48"/>
      <c r="BZ3734" s="48"/>
      <c r="CA3734" s="48"/>
      <c r="CB3734" s="48"/>
      <c r="CC3734" s="48"/>
      <c r="CD3734" s="48"/>
      <c r="CE3734" s="48"/>
      <c r="CF3734" s="48"/>
      <c r="CG3734" s="48"/>
      <c r="CH3734" s="48"/>
      <c r="CI3734" s="48"/>
      <c r="CJ3734" s="48"/>
      <c r="CK3734" s="48"/>
      <c r="CL3734" s="48"/>
      <c r="CM3734" s="48"/>
      <c r="CN3734" s="48"/>
      <c r="CO3734" s="48"/>
      <c r="CP3734" s="48"/>
      <c r="CQ3734" s="48"/>
      <c r="CR3734" s="48"/>
      <c r="CS3734" s="48"/>
      <c r="CT3734" s="48"/>
      <c r="CU3734" s="48"/>
      <c r="CV3734" s="48"/>
      <c r="CW3734" s="48"/>
      <c r="CX3734" s="48"/>
      <c r="CY3734" s="48"/>
      <c r="CZ3734" s="48"/>
    </row>
    <row r="3735" spans="27:104" s="4" customFormat="1" x14ac:dyDescent="0.3">
      <c r="AA3735" s="48"/>
      <c r="AB3735" s="48"/>
      <c r="AC3735" s="48"/>
      <c r="AD3735" s="48"/>
      <c r="AE3735" s="48"/>
      <c r="AF3735" s="48"/>
      <c r="AG3735" s="48"/>
      <c r="AH3735" s="48"/>
      <c r="AI3735" s="48"/>
      <c r="AJ3735" s="48"/>
      <c r="AK3735" s="48"/>
      <c r="AL3735" s="48"/>
      <c r="AM3735" s="48"/>
      <c r="AN3735" s="48"/>
      <c r="AO3735" s="48"/>
      <c r="AP3735" s="48"/>
      <c r="AQ3735" s="48"/>
      <c r="AR3735" s="48"/>
      <c r="AS3735" s="48"/>
      <c r="AT3735" s="48"/>
      <c r="AU3735" s="48"/>
      <c r="AV3735" s="48"/>
      <c r="AW3735" s="48"/>
      <c r="AX3735" s="48"/>
      <c r="AY3735" s="48"/>
      <c r="AZ3735" s="48"/>
      <c r="BA3735" s="48"/>
      <c r="BB3735" s="14"/>
      <c r="BC3735" s="48"/>
      <c r="BD3735" s="48"/>
      <c r="BE3735" s="48"/>
      <c r="BF3735" s="48"/>
      <c r="BG3735" s="48"/>
      <c r="BH3735" s="48"/>
      <c r="BI3735" s="48"/>
      <c r="BJ3735" s="48"/>
      <c r="BK3735" s="48"/>
      <c r="BL3735" s="48"/>
      <c r="BM3735" s="48"/>
      <c r="BN3735" s="48"/>
      <c r="BO3735" s="48"/>
      <c r="BP3735" s="48"/>
      <c r="BQ3735" s="48"/>
      <c r="BR3735" s="48"/>
      <c r="BS3735" s="48"/>
      <c r="BT3735" s="48"/>
      <c r="BU3735" s="48"/>
      <c r="BV3735" s="48"/>
      <c r="BW3735" s="48"/>
      <c r="BX3735" s="48"/>
      <c r="BY3735" s="48"/>
      <c r="BZ3735" s="48"/>
      <c r="CA3735" s="48"/>
      <c r="CB3735" s="48"/>
      <c r="CC3735" s="48"/>
      <c r="CD3735" s="48"/>
      <c r="CE3735" s="48"/>
      <c r="CF3735" s="48"/>
      <c r="CG3735" s="48"/>
      <c r="CH3735" s="48"/>
      <c r="CI3735" s="48"/>
      <c r="CJ3735" s="48"/>
      <c r="CK3735" s="48"/>
      <c r="CL3735" s="48"/>
      <c r="CM3735" s="48"/>
      <c r="CN3735" s="48"/>
      <c r="CO3735" s="48"/>
      <c r="CP3735" s="48"/>
      <c r="CQ3735" s="48"/>
      <c r="CR3735" s="48"/>
      <c r="CS3735" s="48"/>
      <c r="CT3735" s="48"/>
      <c r="CU3735" s="48"/>
      <c r="CV3735" s="48"/>
      <c r="CW3735" s="48"/>
      <c r="CX3735" s="48"/>
      <c r="CY3735" s="48"/>
      <c r="CZ3735" s="48"/>
    </row>
    <row r="3736" spans="27:104" s="4" customFormat="1" x14ac:dyDescent="0.3">
      <c r="AA3736" s="48"/>
      <c r="AB3736" s="48"/>
      <c r="AC3736" s="48"/>
      <c r="AD3736" s="48"/>
      <c r="AE3736" s="48"/>
      <c r="AF3736" s="48"/>
      <c r="AG3736" s="48"/>
      <c r="AH3736" s="48"/>
      <c r="AI3736" s="48"/>
      <c r="AJ3736" s="48"/>
      <c r="AK3736" s="48"/>
      <c r="AL3736" s="48"/>
      <c r="AM3736" s="48"/>
      <c r="AN3736" s="48"/>
      <c r="AO3736" s="48"/>
      <c r="AP3736" s="48"/>
      <c r="AQ3736" s="48"/>
      <c r="AR3736" s="48"/>
      <c r="AS3736" s="48"/>
      <c r="AT3736" s="48"/>
      <c r="AU3736" s="48"/>
      <c r="AV3736" s="48"/>
      <c r="AW3736" s="48"/>
      <c r="AX3736" s="48"/>
      <c r="AY3736" s="48"/>
      <c r="AZ3736" s="48"/>
      <c r="BA3736" s="48"/>
      <c r="BB3736" s="14"/>
      <c r="BC3736" s="48"/>
      <c r="BD3736" s="48"/>
      <c r="BE3736" s="48"/>
      <c r="BF3736" s="48"/>
      <c r="BG3736" s="48"/>
      <c r="BH3736" s="48"/>
      <c r="BI3736" s="48"/>
      <c r="BJ3736" s="48"/>
      <c r="BK3736" s="48"/>
      <c r="BL3736" s="48"/>
      <c r="BM3736" s="48"/>
      <c r="BN3736" s="48"/>
      <c r="BO3736" s="48"/>
      <c r="BP3736" s="48"/>
      <c r="BQ3736" s="48"/>
      <c r="BR3736" s="48"/>
      <c r="BS3736" s="48"/>
      <c r="BT3736" s="48"/>
      <c r="BU3736" s="48"/>
      <c r="BV3736" s="48"/>
      <c r="BW3736" s="48"/>
      <c r="BX3736" s="48"/>
      <c r="BY3736" s="48"/>
      <c r="BZ3736" s="48"/>
      <c r="CA3736" s="48"/>
      <c r="CB3736" s="48"/>
      <c r="CC3736" s="48"/>
      <c r="CD3736" s="48"/>
      <c r="CE3736" s="48"/>
      <c r="CF3736" s="48"/>
      <c r="CG3736" s="48"/>
      <c r="CH3736" s="48"/>
      <c r="CI3736" s="48"/>
      <c r="CJ3736" s="48"/>
      <c r="CK3736" s="48"/>
      <c r="CL3736" s="48"/>
      <c r="CM3736" s="48"/>
      <c r="CN3736" s="48"/>
      <c r="CO3736" s="48"/>
      <c r="CP3736" s="48"/>
      <c r="CQ3736" s="48"/>
      <c r="CR3736" s="48"/>
      <c r="CS3736" s="48"/>
      <c r="CT3736" s="48"/>
      <c r="CU3736" s="48"/>
      <c r="CV3736" s="48"/>
      <c r="CW3736" s="48"/>
      <c r="CX3736" s="48"/>
      <c r="CY3736" s="48"/>
      <c r="CZ3736" s="48"/>
    </row>
    <row r="3737" spans="27:104" s="4" customFormat="1" x14ac:dyDescent="0.3">
      <c r="AA3737" s="48"/>
      <c r="AB3737" s="48"/>
      <c r="AC3737" s="48"/>
      <c r="AD3737" s="48"/>
      <c r="AE3737" s="48"/>
      <c r="AF3737" s="48"/>
      <c r="AG3737" s="48"/>
      <c r="AH3737" s="48"/>
      <c r="AI3737" s="48"/>
      <c r="AJ3737" s="48"/>
      <c r="AK3737" s="48"/>
      <c r="AL3737" s="48"/>
      <c r="AM3737" s="48"/>
      <c r="AN3737" s="48"/>
      <c r="AO3737" s="48"/>
      <c r="AP3737" s="48"/>
      <c r="AQ3737" s="48"/>
      <c r="AR3737" s="48"/>
      <c r="AS3737" s="48"/>
      <c r="AT3737" s="48"/>
      <c r="AU3737" s="48"/>
      <c r="AV3737" s="48"/>
      <c r="AW3737" s="48"/>
      <c r="AX3737" s="48"/>
      <c r="AY3737" s="48"/>
      <c r="AZ3737" s="48"/>
      <c r="BA3737" s="48"/>
      <c r="BB3737" s="14"/>
      <c r="BC3737" s="48"/>
      <c r="BD3737" s="48"/>
      <c r="BE3737" s="48"/>
      <c r="BF3737" s="48"/>
      <c r="BG3737" s="48"/>
      <c r="BH3737" s="48"/>
      <c r="BI3737" s="48"/>
      <c r="BJ3737" s="48"/>
      <c r="BK3737" s="48"/>
      <c r="BL3737" s="48"/>
      <c r="BM3737" s="48"/>
      <c r="BN3737" s="48"/>
      <c r="BO3737" s="48"/>
      <c r="BP3737" s="48"/>
      <c r="BQ3737" s="48"/>
      <c r="BR3737" s="48"/>
      <c r="BS3737" s="48"/>
      <c r="BT3737" s="48"/>
      <c r="BU3737" s="48"/>
      <c r="BV3737" s="48"/>
      <c r="BW3737" s="48"/>
      <c r="BX3737" s="48"/>
      <c r="BY3737" s="48"/>
      <c r="BZ3737" s="48"/>
      <c r="CA3737" s="48"/>
      <c r="CB3737" s="48"/>
      <c r="CC3737" s="48"/>
      <c r="CD3737" s="48"/>
      <c r="CE3737" s="48"/>
      <c r="CF3737" s="48"/>
      <c r="CG3737" s="48"/>
      <c r="CH3737" s="48"/>
      <c r="CI3737" s="48"/>
      <c r="CJ3737" s="48"/>
      <c r="CK3737" s="48"/>
      <c r="CL3737" s="48"/>
      <c r="CM3737" s="48"/>
      <c r="CN3737" s="48"/>
      <c r="CO3737" s="48"/>
      <c r="CP3737" s="48"/>
      <c r="CQ3737" s="48"/>
      <c r="CR3737" s="48"/>
      <c r="CS3737" s="48"/>
      <c r="CT3737" s="48"/>
      <c r="CU3737" s="48"/>
      <c r="CV3737" s="48"/>
      <c r="CW3737" s="48"/>
      <c r="CX3737" s="48"/>
      <c r="CY3737" s="48"/>
      <c r="CZ3737" s="48"/>
    </row>
    <row r="3738" spans="27:104" s="4" customFormat="1" x14ac:dyDescent="0.3">
      <c r="AA3738" s="48"/>
      <c r="AB3738" s="48"/>
      <c r="AC3738" s="48"/>
      <c r="AD3738" s="48"/>
      <c r="AE3738" s="48"/>
      <c r="AF3738" s="48"/>
      <c r="AG3738" s="48"/>
      <c r="AH3738" s="48"/>
      <c r="AI3738" s="48"/>
      <c r="AJ3738" s="48"/>
      <c r="AK3738" s="48"/>
      <c r="AL3738" s="48"/>
      <c r="AM3738" s="48"/>
      <c r="AN3738" s="48"/>
      <c r="AO3738" s="48"/>
      <c r="AP3738" s="48"/>
      <c r="AQ3738" s="48"/>
      <c r="AR3738" s="48"/>
      <c r="AS3738" s="48"/>
      <c r="AT3738" s="48"/>
      <c r="AU3738" s="48"/>
      <c r="AV3738" s="48"/>
      <c r="AW3738" s="48"/>
      <c r="AX3738" s="48"/>
      <c r="AY3738" s="48"/>
      <c r="AZ3738" s="48"/>
      <c r="BA3738" s="48"/>
      <c r="BB3738" s="14"/>
      <c r="BC3738" s="48"/>
      <c r="BD3738" s="48"/>
      <c r="BE3738" s="48"/>
      <c r="BF3738" s="48"/>
      <c r="BG3738" s="48"/>
      <c r="BH3738" s="48"/>
      <c r="BI3738" s="48"/>
      <c r="BJ3738" s="48"/>
      <c r="BK3738" s="48"/>
      <c r="BL3738" s="48"/>
      <c r="BM3738" s="48"/>
      <c r="BN3738" s="48"/>
      <c r="BO3738" s="48"/>
      <c r="BP3738" s="48"/>
      <c r="BQ3738" s="48"/>
      <c r="BR3738" s="48"/>
      <c r="BS3738" s="48"/>
      <c r="BT3738" s="48"/>
      <c r="BU3738" s="48"/>
      <c r="BV3738" s="48"/>
      <c r="BW3738" s="48"/>
      <c r="BX3738" s="48"/>
      <c r="BY3738" s="48"/>
      <c r="BZ3738" s="48"/>
      <c r="CA3738" s="48"/>
      <c r="CB3738" s="48"/>
      <c r="CC3738" s="48"/>
      <c r="CD3738" s="48"/>
      <c r="CE3738" s="48"/>
      <c r="CF3738" s="48"/>
      <c r="CG3738" s="48"/>
      <c r="CH3738" s="48"/>
      <c r="CI3738" s="48"/>
      <c r="CJ3738" s="48"/>
      <c r="CK3738" s="48"/>
      <c r="CL3738" s="48"/>
      <c r="CM3738" s="48"/>
      <c r="CN3738" s="48"/>
      <c r="CO3738" s="48"/>
      <c r="CP3738" s="48"/>
      <c r="CQ3738" s="48"/>
      <c r="CR3738" s="48"/>
      <c r="CS3738" s="48"/>
      <c r="CT3738" s="48"/>
      <c r="CU3738" s="48"/>
      <c r="CV3738" s="48"/>
      <c r="CW3738" s="48"/>
      <c r="CX3738" s="48"/>
      <c r="CY3738" s="48"/>
      <c r="CZ3738" s="48"/>
    </row>
    <row r="3739" spans="27:104" s="4" customFormat="1" x14ac:dyDescent="0.3">
      <c r="AA3739" s="48"/>
      <c r="AB3739" s="48"/>
      <c r="AC3739" s="48"/>
      <c r="AD3739" s="48"/>
      <c r="AE3739" s="48"/>
      <c r="AF3739" s="48"/>
      <c r="AG3739" s="48"/>
      <c r="AH3739" s="48"/>
      <c r="AI3739" s="48"/>
      <c r="AJ3739" s="48"/>
      <c r="AK3739" s="48"/>
      <c r="AL3739" s="48"/>
      <c r="AM3739" s="48"/>
      <c r="AN3739" s="48"/>
      <c r="AO3739" s="48"/>
      <c r="AP3739" s="48"/>
      <c r="AQ3739" s="48"/>
      <c r="AR3739" s="48"/>
      <c r="AS3739" s="48"/>
      <c r="AT3739" s="48"/>
      <c r="AU3739" s="48"/>
      <c r="AV3739" s="48"/>
      <c r="AW3739" s="48"/>
      <c r="AX3739" s="48"/>
      <c r="AY3739" s="48"/>
      <c r="AZ3739" s="48"/>
      <c r="BA3739" s="48"/>
      <c r="BB3739" s="14"/>
      <c r="BC3739" s="48"/>
      <c r="BD3739" s="48"/>
      <c r="BE3739" s="48"/>
      <c r="BF3739" s="48"/>
      <c r="BG3739" s="48"/>
      <c r="BH3739" s="48"/>
      <c r="BI3739" s="48"/>
      <c r="BJ3739" s="48"/>
      <c r="BK3739" s="48"/>
      <c r="BL3739" s="48"/>
      <c r="BM3739" s="48"/>
      <c r="BN3739" s="48"/>
      <c r="BO3739" s="48"/>
      <c r="BP3739" s="48"/>
      <c r="BQ3739" s="48"/>
      <c r="BR3739" s="48"/>
      <c r="BS3739" s="48"/>
      <c r="BT3739" s="48"/>
      <c r="BU3739" s="48"/>
      <c r="BV3739" s="48"/>
      <c r="BW3739" s="48"/>
      <c r="BX3739" s="48"/>
      <c r="BY3739" s="48"/>
      <c r="BZ3739" s="48"/>
      <c r="CA3739" s="48"/>
      <c r="CB3739" s="48"/>
      <c r="CC3739" s="48"/>
      <c r="CD3739" s="48"/>
      <c r="CE3739" s="48"/>
      <c r="CF3739" s="48"/>
      <c r="CG3739" s="48"/>
      <c r="CH3739" s="48"/>
      <c r="CI3739" s="48"/>
      <c r="CJ3739" s="48"/>
      <c r="CK3739" s="48"/>
      <c r="CL3739" s="48"/>
      <c r="CM3739" s="48"/>
      <c r="CN3739" s="48"/>
      <c r="CO3739" s="48"/>
      <c r="CP3739" s="48"/>
      <c r="CQ3739" s="48"/>
      <c r="CR3739" s="48"/>
      <c r="CS3739" s="48"/>
      <c r="CT3739" s="48"/>
      <c r="CU3739" s="48"/>
      <c r="CV3739" s="48"/>
      <c r="CW3739" s="48"/>
      <c r="CX3739" s="48"/>
      <c r="CY3739" s="48"/>
      <c r="CZ3739" s="48"/>
    </row>
    <row r="3740" spans="27:104" s="4" customFormat="1" x14ac:dyDescent="0.3">
      <c r="AA3740" s="48"/>
      <c r="AB3740" s="48"/>
      <c r="AC3740" s="48"/>
      <c r="AD3740" s="48"/>
      <c r="AE3740" s="48"/>
      <c r="AF3740" s="48"/>
      <c r="AG3740" s="48"/>
      <c r="AH3740" s="48"/>
      <c r="AI3740" s="48"/>
      <c r="AJ3740" s="48"/>
      <c r="AK3740" s="48"/>
      <c r="AL3740" s="48"/>
      <c r="AM3740" s="48"/>
      <c r="AN3740" s="48"/>
      <c r="AO3740" s="48"/>
      <c r="AP3740" s="48"/>
      <c r="AQ3740" s="48"/>
      <c r="AR3740" s="48"/>
      <c r="AS3740" s="48"/>
      <c r="AT3740" s="48"/>
      <c r="AU3740" s="48"/>
      <c r="AV3740" s="48"/>
      <c r="AW3740" s="48"/>
      <c r="AX3740" s="48"/>
      <c r="AY3740" s="48"/>
      <c r="AZ3740" s="48"/>
      <c r="BA3740" s="48"/>
      <c r="BB3740" s="14"/>
      <c r="BC3740" s="48"/>
      <c r="BD3740" s="48"/>
      <c r="BE3740" s="48"/>
      <c r="BF3740" s="48"/>
      <c r="BG3740" s="48"/>
      <c r="BH3740" s="48"/>
      <c r="BI3740" s="48"/>
      <c r="BJ3740" s="48"/>
      <c r="BK3740" s="48"/>
      <c r="BL3740" s="48"/>
      <c r="BM3740" s="48"/>
      <c r="BN3740" s="48"/>
      <c r="BO3740" s="48"/>
      <c r="BP3740" s="48"/>
      <c r="BQ3740" s="48"/>
      <c r="BR3740" s="48"/>
      <c r="BS3740" s="48"/>
      <c r="BT3740" s="48"/>
      <c r="BU3740" s="48"/>
      <c r="BV3740" s="48"/>
      <c r="BW3740" s="48"/>
      <c r="BX3740" s="48"/>
      <c r="BY3740" s="48"/>
      <c r="BZ3740" s="48"/>
      <c r="CA3740" s="48"/>
      <c r="CB3740" s="48"/>
      <c r="CC3740" s="48"/>
      <c r="CD3740" s="48"/>
      <c r="CE3740" s="48"/>
      <c r="CF3740" s="48"/>
      <c r="CG3740" s="48"/>
      <c r="CH3740" s="48"/>
      <c r="CI3740" s="48"/>
      <c r="CJ3740" s="48"/>
      <c r="CK3740" s="48"/>
      <c r="CL3740" s="48"/>
      <c r="CM3740" s="48"/>
      <c r="CN3740" s="48"/>
      <c r="CO3740" s="48"/>
      <c r="CP3740" s="48"/>
      <c r="CQ3740" s="48"/>
      <c r="CR3740" s="48"/>
      <c r="CS3740" s="48"/>
      <c r="CT3740" s="48"/>
      <c r="CU3740" s="48"/>
      <c r="CV3740" s="48"/>
      <c r="CW3740" s="48"/>
      <c r="CX3740" s="48"/>
      <c r="CY3740" s="48"/>
      <c r="CZ3740" s="48"/>
    </row>
    <row r="3741" spans="27:104" s="4" customFormat="1" x14ac:dyDescent="0.3">
      <c r="AA3741" s="48"/>
      <c r="AB3741" s="48"/>
      <c r="AC3741" s="48"/>
      <c r="AD3741" s="48"/>
      <c r="AE3741" s="48"/>
      <c r="AF3741" s="48"/>
      <c r="AG3741" s="48"/>
      <c r="AH3741" s="48"/>
      <c r="AI3741" s="48"/>
      <c r="AJ3741" s="48"/>
      <c r="AK3741" s="48"/>
      <c r="AL3741" s="48"/>
      <c r="AM3741" s="48"/>
      <c r="AN3741" s="48"/>
      <c r="AO3741" s="48"/>
      <c r="AP3741" s="48"/>
      <c r="AQ3741" s="48"/>
      <c r="AR3741" s="48"/>
      <c r="AS3741" s="48"/>
      <c r="AT3741" s="48"/>
      <c r="AU3741" s="48"/>
      <c r="AV3741" s="48"/>
      <c r="AW3741" s="48"/>
      <c r="AX3741" s="48"/>
      <c r="AY3741" s="48"/>
      <c r="AZ3741" s="48"/>
      <c r="BA3741" s="48"/>
      <c r="BB3741" s="14"/>
      <c r="BC3741" s="48"/>
      <c r="BD3741" s="48"/>
      <c r="BE3741" s="48"/>
      <c r="BF3741" s="48"/>
      <c r="BG3741" s="48"/>
      <c r="BH3741" s="48"/>
      <c r="BI3741" s="48"/>
      <c r="BJ3741" s="48"/>
      <c r="BK3741" s="48"/>
      <c r="BL3741" s="48"/>
      <c r="BM3741" s="48"/>
      <c r="BN3741" s="48"/>
      <c r="BO3741" s="48"/>
      <c r="BP3741" s="48"/>
      <c r="BQ3741" s="48"/>
      <c r="BR3741" s="48"/>
      <c r="BS3741" s="48"/>
      <c r="BT3741" s="48"/>
      <c r="BU3741" s="48"/>
      <c r="BV3741" s="48"/>
      <c r="BW3741" s="48"/>
      <c r="BX3741" s="48"/>
      <c r="BY3741" s="48"/>
      <c r="BZ3741" s="48"/>
      <c r="CA3741" s="48"/>
      <c r="CB3741" s="48"/>
      <c r="CC3741" s="48"/>
      <c r="CD3741" s="48"/>
      <c r="CE3741" s="48"/>
      <c r="CF3741" s="48"/>
      <c r="CG3741" s="48"/>
      <c r="CH3741" s="48"/>
      <c r="CI3741" s="48"/>
      <c r="CJ3741" s="48"/>
      <c r="CK3741" s="48"/>
      <c r="CL3741" s="48"/>
      <c r="CM3741" s="48"/>
      <c r="CN3741" s="48"/>
      <c r="CO3741" s="48"/>
      <c r="CP3741" s="48"/>
      <c r="CQ3741" s="48"/>
      <c r="CR3741" s="48"/>
      <c r="CS3741" s="48"/>
      <c r="CT3741" s="48"/>
      <c r="CU3741" s="48"/>
      <c r="CV3741" s="48"/>
      <c r="CW3741" s="48"/>
      <c r="CX3741" s="48"/>
      <c r="CY3741" s="48"/>
      <c r="CZ3741" s="48"/>
    </row>
    <row r="3742" spans="27:104" s="4" customFormat="1" x14ac:dyDescent="0.3">
      <c r="AA3742" s="48"/>
      <c r="AB3742" s="48"/>
      <c r="AC3742" s="48"/>
      <c r="AD3742" s="48"/>
      <c r="AE3742" s="48"/>
      <c r="AF3742" s="48"/>
      <c r="AG3742" s="48"/>
      <c r="AH3742" s="48"/>
      <c r="AI3742" s="48"/>
      <c r="AJ3742" s="48"/>
      <c r="AK3742" s="48"/>
      <c r="AL3742" s="48"/>
      <c r="AM3742" s="48"/>
      <c r="AN3742" s="48"/>
      <c r="AO3742" s="48"/>
      <c r="AP3742" s="48"/>
      <c r="AQ3742" s="48"/>
      <c r="AR3742" s="48"/>
      <c r="AS3742" s="48"/>
      <c r="AT3742" s="48"/>
      <c r="AU3742" s="48"/>
      <c r="AV3742" s="48"/>
      <c r="AW3742" s="48"/>
      <c r="AX3742" s="48"/>
      <c r="AY3742" s="48"/>
      <c r="AZ3742" s="48"/>
      <c r="BA3742" s="48"/>
      <c r="BB3742" s="14"/>
      <c r="BC3742" s="48"/>
      <c r="BD3742" s="48"/>
      <c r="BE3742" s="48"/>
      <c r="BF3742" s="48"/>
      <c r="BG3742" s="48"/>
      <c r="BH3742" s="48"/>
      <c r="BI3742" s="48"/>
      <c r="BJ3742" s="48"/>
      <c r="BK3742" s="48"/>
      <c r="BL3742" s="48"/>
      <c r="BM3742" s="48"/>
      <c r="BN3742" s="48"/>
      <c r="BO3742" s="48"/>
      <c r="BP3742" s="48"/>
      <c r="BQ3742" s="48"/>
      <c r="BR3742" s="48"/>
      <c r="BS3742" s="48"/>
      <c r="BT3742" s="48"/>
      <c r="BU3742" s="48"/>
      <c r="BV3742" s="48"/>
      <c r="BW3742" s="48"/>
      <c r="BX3742" s="48"/>
      <c r="BY3742" s="48"/>
      <c r="BZ3742" s="48"/>
      <c r="CA3742" s="48"/>
      <c r="CB3742" s="48"/>
      <c r="CC3742" s="48"/>
      <c r="CD3742" s="48"/>
      <c r="CE3742" s="48"/>
      <c r="CF3742" s="48"/>
      <c r="CG3742" s="48"/>
      <c r="CH3742" s="48"/>
      <c r="CI3742" s="48"/>
      <c r="CJ3742" s="48"/>
      <c r="CK3742" s="48"/>
      <c r="CL3742" s="48"/>
      <c r="CM3742" s="48"/>
      <c r="CN3742" s="48"/>
      <c r="CO3742" s="48"/>
      <c r="CP3742" s="48"/>
      <c r="CQ3742" s="48"/>
      <c r="CR3742" s="48"/>
      <c r="CS3742" s="48"/>
      <c r="CT3742" s="48"/>
      <c r="CU3742" s="48"/>
      <c r="CV3742" s="48"/>
      <c r="CW3742" s="48"/>
      <c r="CX3742" s="48"/>
      <c r="CY3742" s="48"/>
      <c r="CZ3742" s="48"/>
    </row>
    <row r="3743" spans="27:104" s="4" customFormat="1" x14ac:dyDescent="0.3">
      <c r="AA3743" s="48"/>
      <c r="AB3743" s="48"/>
      <c r="AC3743" s="48"/>
      <c r="AD3743" s="48"/>
      <c r="AE3743" s="48"/>
      <c r="AF3743" s="48"/>
      <c r="AG3743" s="48"/>
      <c r="AH3743" s="48"/>
      <c r="AI3743" s="48"/>
      <c r="AJ3743" s="48"/>
      <c r="AK3743" s="48"/>
      <c r="AL3743" s="48"/>
      <c r="AM3743" s="48"/>
      <c r="AN3743" s="48"/>
      <c r="AO3743" s="48"/>
      <c r="AP3743" s="48"/>
      <c r="AQ3743" s="48"/>
      <c r="AR3743" s="48"/>
      <c r="AS3743" s="48"/>
      <c r="AT3743" s="48"/>
      <c r="AU3743" s="48"/>
      <c r="AV3743" s="48"/>
      <c r="AW3743" s="48"/>
      <c r="AX3743" s="48"/>
      <c r="AY3743" s="48"/>
      <c r="AZ3743" s="48"/>
      <c r="BA3743" s="48"/>
      <c r="BB3743" s="14"/>
      <c r="BC3743" s="48"/>
      <c r="BD3743" s="48"/>
      <c r="BE3743" s="48"/>
      <c r="BF3743" s="48"/>
      <c r="BG3743" s="48"/>
      <c r="BH3743" s="48"/>
      <c r="BI3743" s="48"/>
      <c r="BJ3743" s="48"/>
      <c r="BK3743" s="48"/>
      <c r="BL3743" s="48"/>
      <c r="BM3743" s="48"/>
      <c r="BN3743" s="48"/>
      <c r="BO3743" s="48"/>
      <c r="BP3743" s="48"/>
      <c r="BQ3743" s="48"/>
      <c r="BR3743" s="48"/>
      <c r="BS3743" s="48"/>
      <c r="BT3743" s="48"/>
      <c r="BU3743" s="48"/>
      <c r="BV3743" s="48"/>
      <c r="BW3743" s="48"/>
      <c r="BX3743" s="48"/>
      <c r="BY3743" s="48"/>
      <c r="BZ3743" s="48"/>
      <c r="CA3743" s="48"/>
      <c r="CB3743" s="48"/>
      <c r="CC3743" s="48"/>
      <c r="CD3743" s="48"/>
      <c r="CE3743" s="48"/>
      <c r="CF3743" s="48"/>
      <c r="CG3743" s="48"/>
      <c r="CH3743" s="48"/>
      <c r="CI3743" s="48"/>
      <c r="CJ3743" s="48"/>
      <c r="CK3743" s="48"/>
      <c r="CL3743" s="48"/>
      <c r="CM3743" s="48"/>
      <c r="CN3743" s="48"/>
      <c r="CO3743" s="48"/>
      <c r="CP3743" s="48"/>
      <c r="CQ3743" s="48"/>
      <c r="CR3743" s="48"/>
      <c r="CS3743" s="48"/>
      <c r="CT3743" s="48"/>
      <c r="CU3743" s="48"/>
      <c r="CV3743" s="48"/>
      <c r="CW3743" s="48"/>
      <c r="CX3743" s="48"/>
      <c r="CY3743" s="48"/>
      <c r="CZ3743" s="48"/>
    </row>
    <row r="3744" spans="27:104" s="4" customFormat="1" x14ac:dyDescent="0.3">
      <c r="AA3744" s="48"/>
      <c r="AB3744" s="48"/>
      <c r="AC3744" s="48"/>
      <c r="AD3744" s="48"/>
      <c r="AE3744" s="48"/>
      <c r="AF3744" s="48"/>
      <c r="AG3744" s="48"/>
      <c r="AH3744" s="48"/>
      <c r="AI3744" s="48"/>
      <c r="AJ3744" s="48"/>
      <c r="AK3744" s="48"/>
      <c r="AL3744" s="48"/>
      <c r="AM3744" s="48"/>
      <c r="AN3744" s="48"/>
      <c r="AO3744" s="48"/>
      <c r="AP3744" s="48"/>
      <c r="AQ3744" s="48"/>
      <c r="AR3744" s="48"/>
      <c r="AS3744" s="48"/>
      <c r="AT3744" s="48"/>
      <c r="AU3744" s="48"/>
      <c r="AV3744" s="48"/>
      <c r="AW3744" s="48"/>
      <c r="AX3744" s="48"/>
      <c r="AY3744" s="48"/>
      <c r="AZ3744" s="48"/>
      <c r="BA3744" s="48"/>
      <c r="BB3744" s="14"/>
      <c r="BC3744" s="48"/>
      <c r="BD3744" s="48"/>
      <c r="BE3744" s="48"/>
      <c r="BF3744" s="48"/>
      <c r="BG3744" s="48"/>
      <c r="BH3744" s="48"/>
      <c r="BI3744" s="48"/>
      <c r="BJ3744" s="48"/>
      <c r="BK3744" s="48"/>
      <c r="BL3744" s="48"/>
      <c r="BM3744" s="48"/>
      <c r="BN3744" s="48"/>
      <c r="BO3744" s="48"/>
      <c r="BP3744" s="48"/>
      <c r="BQ3744" s="48"/>
      <c r="BR3744" s="48"/>
      <c r="BS3744" s="48"/>
      <c r="BT3744" s="48"/>
      <c r="BU3744" s="48"/>
      <c r="BV3744" s="48"/>
      <c r="BW3744" s="48"/>
      <c r="BX3744" s="48"/>
      <c r="BY3744" s="48"/>
      <c r="BZ3744" s="48"/>
      <c r="CA3744" s="48"/>
      <c r="CB3744" s="48"/>
      <c r="CC3744" s="48"/>
      <c r="CD3744" s="48"/>
      <c r="CE3744" s="48"/>
      <c r="CF3744" s="48"/>
      <c r="CG3744" s="48"/>
      <c r="CH3744" s="48"/>
      <c r="CI3744" s="48"/>
      <c r="CJ3744" s="48"/>
      <c r="CK3744" s="48"/>
      <c r="CL3744" s="48"/>
      <c r="CM3744" s="48"/>
      <c r="CN3744" s="48"/>
      <c r="CO3744" s="48"/>
      <c r="CP3744" s="48"/>
      <c r="CQ3744" s="48"/>
      <c r="CR3744" s="48"/>
      <c r="CS3744" s="48"/>
      <c r="CT3744" s="48"/>
      <c r="CU3744" s="48"/>
      <c r="CV3744" s="48"/>
      <c r="CW3744" s="48"/>
      <c r="CX3744" s="48"/>
      <c r="CY3744" s="48"/>
      <c r="CZ3744" s="48"/>
    </row>
    <row r="3745" spans="27:104" s="4" customFormat="1" x14ac:dyDescent="0.3">
      <c r="AA3745" s="48"/>
      <c r="AB3745" s="48"/>
      <c r="AC3745" s="48"/>
      <c r="AD3745" s="48"/>
      <c r="AE3745" s="48"/>
      <c r="AF3745" s="48"/>
      <c r="AG3745" s="48"/>
      <c r="AH3745" s="48"/>
      <c r="AI3745" s="48"/>
      <c r="AJ3745" s="48"/>
      <c r="AK3745" s="48"/>
      <c r="AL3745" s="48"/>
      <c r="AM3745" s="48"/>
      <c r="AN3745" s="48"/>
      <c r="AO3745" s="48"/>
      <c r="AP3745" s="48"/>
      <c r="AQ3745" s="48"/>
      <c r="AR3745" s="48"/>
      <c r="AS3745" s="48"/>
      <c r="AT3745" s="48"/>
      <c r="AU3745" s="48"/>
      <c r="AV3745" s="48"/>
      <c r="AW3745" s="48"/>
      <c r="AX3745" s="48"/>
      <c r="AY3745" s="48"/>
      <c r="AZ3745" s="48"/>
      <c r="BA3745" s="48"/>
      <c r="BB3745" s="14"/>
      <c r="BC3745" s="48"/>
      <c r="BD3745" s="48"/>
      <c r="BE3745" s="48"/>
      <c r="BF3745" s="48"/>
      <c r="BG3745" s="48"/>
      <c r="BH3745" s="48"/>
      <c r="BI3745" s="48"/>
      <c r="BJ3745" s="48"/>
      <c r="BK3745" s="48"/>
      <c r="BL3745" s="48"/>
      <c r="BM3745" s="48"/>
      <c r="BN3745" s="48"/>
      <c r="BO3745" s="48"/>
      <c r="BP3745" s="48"/>
      <c r="BQ3745" s="48"/>
      <c r="BR3745" s="48"/>
      <c r="BS3745" s="48"/>
      <c r="BT3745" s="48"/>
      <c r="BU3745" s="48"/>
      <c r="BV3745" s="48"/>
      <c r="BW3745" s="48"/>
      <c r="BX3745" s="48"/>
      <c r="BY3745" s="48"/>
      <c r="BZ3745" s="48"/>
      <c r="CA3745" s="48"/>
      <c r="CB3745" s="48"/>
      <c r="CC3745" s="48"/>
      <c r="CD3745" s="48"/>
      <c r="CE3745" s="48"/>
      <c r="CF3745" s="48"/>
      <c r="CG3745" s="48"/>
      <c r="CH3745" s="48"/>
      <c r="CI3745" s="48"/>
      <c r="CJ3745" s="48"/>
      <c r="CK3745" s="48"/>
      <c r="CL3745" s="48"/>
      <c r="CM3745" s="48"/>
      <c r="CN3745" s="48"/>
      <c r="CO3745" s="48"/>
      <c r="CP3745" s="48"/>
      <c r="CQ3745" s="48"/>
      <c r="CR3745" s="48"/>
      <c r="CS3745" s="48"/>
      <c r="CT3745" s="48"/>
      <c r="CU3745" s="48"/>
      <c r="CV3745" s="48"/>
      <c r="CW3745" s="48"/>
      <c r="CX3745" s="48"/>
      <c r="CY3745" s="48"/>
      <c r="CZ3745" s="48"/>
    </row>
    <row r="3746" spans="27:104" s="4" customFormat="1" x14ac:dyDescent="0.3">
      <c r="AA3746" s="48"/>
      <c r="AB3746" s="48"/>
      <c r="AC3746" s="48"/>
      <c r="AD3746" s="48"/>
      <c r="AE3746" s="48"/>
      <c r="AF3746" s="48"/>
      <c r="AG3746" s="48"/>
      <c r="AH3746" s="48"/>
      <c r="AI3746" s="48"/>
      <c r="AJ3746" s="48"/>
      <c r="AK3746" s="48"/>
      <c r="AL3746" s="48"/>
      <c r="AM3746" s="48"/>
      <c r="AN3746" s="48"/>
      <c r="AO3746" s="48"/>
      <c r="AP3746" s="48"/>
      <c r="AQ3746" s="48"/>
      <c r="AR3746" s="48"/>
      <c r="AS3746" s="48"/>
      <c r="AT3746" s="48"/>
      <c r="AU3746" s="48"/>
      <c r="AV3746" s="48"/>
      <c r="AW3746" s="48"/>
      <c r="AX3746" s="48"/>
      <c r="AY3746" s="48"/>
      <c r="AZ3746" s="48"/>
      <c r="BA3746" s="48"/>
      <c r="BB3746" s="14"/>
      <c r="BC3746" s="48"/>
      <c r="BD3746" s="48"/>
      <c r="BE3746" s="48"/>
      <c r="BF3746" s="48"/>
      <c r="BG3746" s="48"/>
      <c r="BH3746" s="48"/>
      <c r="BI3746" s="48"/>
      <c r="BJ3746" s="48"/>
      <c r="BK3746" s="48"/>
      <c r="BL3746" s="48"/>
      <c r="BM3746" s="48"/>
      <c r="BN3746" s="48"/>
      <c r="BO3746" s="48"/>
      <c r="BP3746" s="48"/>
      <c r="BQ3746" s="48"/>
      <c r="BR3746" s="48"/>
      <c r="BS3746" s="48"/>
      <c r="BT3746" s="48"/>
      <c r="BU3746" s="48"/>
      <c r="BV3746" s="48"/>
      <c r="BW3746" s="48"/>
      <c r="BX3746" s="48"/>
      <c r="BY3746" s="48"/>
      <c r="BZ3746" s="48"/>
      <c r="CA3746" s="48"/>
      <c r="CB3746" s="48"/>
      <c r="CC3746" s="48"/>
      <c r="CD3746" s="48"/>
      <c r="CE3746" s="48"/>
      <c r="CF3746" s="48"/>
      <c r="CG3746" s="48"/>
      <c r="CH3746" s="48"/>
      <c r="CI3746" s="48"/>
      <c r="CJ3746" s="48"/>
      <c r="CK3746" s="48"/>
      <c r="CL3746" s="48"/>
      <c r="CM3746" s="48"/>
      <c r="CN3746" s="48"/>
      <c r="CO3746" s="48"/>
      <c r="CP3746" s="48"/>
      <c r="CQ3746" s="48"/>
      <c r="CR3746" s="48"/>
      <c r="CS3746" s="48"/>
      <c r="CT3746" s="48"/>
      <c r="CU3746" s="48"/>
      <c r="CV3746" s="48"/>
      <c r="CW3746" s="48"/>
      <c r="CX3746" s="48"/>
      <c r="CY3746" s="48"/>
      <c r="CZ3746" s="48"/>
    </row>
    <row r="3747" spans="27:104" s="4" customFormat="1" x14ac:dyDescent="0.3">
      <c r="AA3747" s="48"/>
      <c r="AB3747" s="48"/>
      <c r="AC3747" s="48"/>
      <c r="AD3747" s="48"/>
      <c r="AE3747" s="48"/>
      <c r="AF3747" s="48"/>
      <c r="AG3747" s="48"/>
      <c r="AH3747" s="48"/>
      <c r="AI3747" s="48"/>
      <c r="AJ3747" s="48"/>
      <c r="AK3747" s="48"/>
      <c r="AL3747" s="48"/>
      <c r="AM3747" s="48"/>
      <c r="AN3747" s="48"/>
      <c r="AO3747" s="48"/>
      <c r="AP3747" s="48"/>
      <c r="AQ3747" s="48"/>
      <c r="AR3747" s="48"/>
      <c r="AS3747" s="48"/>
      <c r="AT3747" s="48"/>
      <c r="AU3747" s="48"/>
      <c r="AV3747" s="48"/>
      <c r="AW3747" s="48"/>
      <c r="AX3747" s="48"/>
      <c r="AY3747" s="48"/>
      <c r="AZ3747" s="48"/>
      <c r="BA3747" s="48"/>
      <c r="BB3747" s="14"/>
      <c r="BC3747" s="48"/>
      <c r="BD3747" s="48"/>
      <c r="BE3747" s="48"/>
      <c r="BF3747" s="48"/>
      <c r="BG3747" s="48"/>
      <c r="BH3747" s="48"/>
      <c r="BI3747" s="48"/>
      <c r="BJ3747" s="48"/>
      <c r="BK3747" s="48"/>
      <c r="BL3747" s="48"/>
      <c r="BM3747" s="48"/>
      <c r="BN3747" s="48"/>
      <c r="BO3747" s="48"/>
      <c r="BP3747" s="48"/>
      <c r="BQ3747" s="48"/>
      <c r="BR3747" s="48"/>
      <c r="BS3747" s="48"/>
      <c r="BT3747" s="48"/>
      <c r="BU3747" s="48"/>
      <c r="BV3747" s="48"/>
      <c r="BW3747" s="48"/>
      <c r="BX3747" s="48"/>
      <c r="BY3747" s="48"/>
      <c r="BZ3747" s="48"/>
      <c r="CA3747" s="48"/>
      <c r="CB3747" s="48"/>
      <c r="CC3747" s="48"/>
      <c r="CD3747" s="48"/>
      <c r="CE3747" s="48"/>
      <c r="CF3747" s="48"/>
      <c r="CG3747" s="48"/>
      <c r="CH3747" s="48"/>
      <c r="CI3747" s="48"/>
      <c r="CJ3747" s="48"/>
      <c r="CK3747" s="48"/>
      <c r="CL3747" s="48"/>
      <c r="CM3747" s="48"/>
      <c r="CN3747" s="48"/>
      <c r="CO3747" s="48"/>
      <c r="CP3747" s="48"/>
      <c r="CQ3747" s="48"/>
      <c r="CR3747" s="48"/>
      <c r="CS3747" s="48"/>
      <c r="CT3747" s="48"/>
      <c r="CU3747" s="48"/>
      <c r="CV3747" s="48"/>
      <c r="CW3747" s="48"/>
      <c r="CX3747" s="48"/>
      <c r="CY3747" s="48"/>
      <c r="CZ3747" s="48"/>
    </row>
    <row r="3748" spans="27:104" s="4" customFormat="1" x14ac:dyDescent="0.3">
      <c r="AA3748" s="48"/>
      <c r="AB3748" s="48"/>
      <c r="AC3748" s="48"/>
      <c r="AD3748" s="48"/>
      <c r="AE3748" s="48"/>
      <c r="AF3748" s="48"/>
      <c r="AG3748" s="48"/>
      <c r="AH3748" s="48"/>
      <c r="AI3748" s="48"/>
      <c r="AJ3748" s="48"/>
      <c r="AK3748" s="48"/>
      <c r="AL3748" s="48"/>
      <c r="AM3748" s="48"/>
      <c r="AN3748" s="48"/>
      <c r="AO3748" s="48"/>
      <c r="AP3748" s="48"/>
      <c r="AQ3748" s="48"/>
      <c r="AR3748" s="48"/>
      <c r="AS3748" s="48"/>
      <c r="AT3748" s="48"/>
      <c r="AU3748" s="48"/>
      <c r="AV3748" s="48"/>
      <c r="AW3748" s="48"/>
      <c r="AX3748" s="48"/>
      <c r="AY3748" s="48"/>
      <c r="AZ3748" s="48"/>
      <c r="BA3748" s="48"/>
      <c r="BB3748" s="14"/>
      <c r="BC3748" s="48"/>
      <c r="BD3748" s="48"/>
      <c r="BE3748" s="48"/>
      <c r="BF3748" s="48"/>
      <c r="BG3748" s="48"/>
      <c r="BH3748" s="48"/>
      <c r="BI3748" s="48"/>
      <c r="BJ3748" s="48"/>
      <c r="BK3748" s="48"/>
      <c r="BL3748" s="48"/>
      <c r="BM3748" s="48"/>
      <c r="BN3748" s="48"/>
      <c r="BO3748" s="48"/>
      <c r="BP3748" s="48"/>
      <c r="BQ3748" s="48"/>
      <c r="BR3748" s="48"/>
      <c r="BS3748" s="48"/>
      <c r="BT3748" s="48"/>
      <c r="BU3748" s="48"/>
      <c r="BV3748" s="48"/>
      <c r="BW3748" s="48"/>
      <c r="BX3748" s="48"/>
      <c r="BY3748" s="48"/>
      <c r="BZ3748" s="48"/>
      <c r="CA3748" s="48"/>
      <c r="CB3748" s="48"/>
      <c r="CC3748" s="48"/>
      <c r="CD3748" s="48"/>
      <c r="CE3748" s="48"/>
      <c r="CF3748" s="48"/>
      <c r="CG3748" s="48"/>
      <c r="CH3748" s="48"/>
      <c r="CI3748" s="48"/>
      <c r="CJ3748" s="48"/>
      <c r="CK3748" s="48"/>
      <c r="CL3748" s="48"/>
      <c r="CM3748" s="48"/>
      <c r="CN3748" s="48"/>
      <c r="CO3748" s="48"/>
      <c r="CP3748" s="48"/>
      <c r="CQ3748" s="48"/>
      <c r="CR3748" s="48"/>
      <c r="CS3748" s="48"/>
      <c r="CT3748" s="48"/>
      <c r="CU3748" s="48"/>
      <c r="CV3748" s="48"/>
      <c r="CW3748" s="48"/>
      <c r="CX3748" s="48"/>
      <c r="CY3748" s="48"/>
      <c r="CZ3748" s="48"/>
    </row>
    <row r="3749" spans="27:104" s="4" customFormat="1" x14ac:dyDescent="0.3">
      <c r="AA3749" s="48"/>
      <c r="AB3749" s="48"/>
      <c r="AC3749" s="48"/>
      <c r="AD3749" s="48"/>
      <c r="AE3749" s="48"/>
      <c r="AF3749" s="48"/>
      <c r="AG3749" s="48"/>
      <c r="AH3749" s="48"/>
      <c r="AI3749" s="48"/>
      <c r="AJ3749" s="48"/>
      <c r="AK3749" s="48"/>
      <c r="AL3749" s="48"/>
      <c r="AM3749" s="48"/>
      <c r="AN3749" s="48"/>
      <c r="AO3749" s="48"/>
      <c r="AP3749" s="48"/>
      <c r="AQ3749" s="48"/>
      <c r="AR3749" s="48"/>
      <c r="AS3749" s="48"/>
      <c r="AT3749" s="48"/>
      <c r="AU3749" s="48"/>
      <c r="AV3749" s="48"/>
      <c r="AW3749" s="48"/>
      <c r="AX3749" s="48"/>
      <c r="AY3749" s="48"/>
      <c r="AZ3749" s="48"/>
      <c r="BA3749" s="48"/>
      <c r="BB3749" s="14"/>
      <c r="BC3749" s="48"/>
      <c r="BD3749" s="48"/>
      <c r="BE3749" s="48"/>
      <c r="BF3749" s="48"/>
      <c r="BG3749" s="48"/>
      <c r="BH3749" s="48"/>
      <c r="BI3749" s="48"/>
      <c r="BJ3749" s="48"/>
      <c r="BK3749" s="48"/>
      <c r="BL3749" s="48"/>
      <c r="BM3749" s="48"/>
      <c r="BN3749" s="48"/>
      <c r="BO3749" s="48"/>
      <c r="BP3749" s="48"/>
      <c r="BQ3749" s="48"/>
      <c r="BR3749" s="48"/>
      <c r="BS3749" s="48"/>
      <c r="BT3749" s="48"/>
      <c r="BU3749" s="48"/>
      <c r="BV3749" s="48"/>
      <c r="BW3749" s="48"/>
      <c r="BX3749" s="48"/>
      <c r="BY3749" s="48"/>
      <c r="BZ3749" s="48"/>
      <c r="CA3749" s="48"/>
      <c r="CB3749" s="48"/>
      <c r="CC3749" s="48"/>
      <c r="CD3749" s="48"/>
      <c r="CE3749" s="48"/>
      <c r="CF3749" s="48"/>
      <c r="CG3749" s="48"/>
      <c r="CH3749" s="48"/>
      <c r="CI3749" s="48"/>
      <c r="CJ3749" s="48"/>
      <c r="CK3749" s="48"/>
      <c r="CL3749" s="48"/>
      <c r="CM3749" s="48"/>
      <c r="CN3749" s="48"/>
      <c r="CO3749" s="48"/>
      <c r="CP3749" s="48"/>
      <c r="CQ3749" s="48"/>
      <c r="CR3749" s="48"/>
      <c r="CS3749" s="48"/>
      <c r="CT3749" s="48"/>
      <c r="CU3749" s="48"/>
      <c r="CV3749" s="48"/>
      <c r="CW3749" s="48"/>
      <c r="CX3749" s="48"/>
      <c r="CY3749" s="48"/>
      <c r="CZ3749" s="48"/>
    </row>
    <row r="3750" spans="27:104" s="4" customFormat="1" x14ac:dyDescent="0.3">
      <c r="AA3750" s="48"/>
      <c r="AB3750" s="48"/>
      <c r="AC3750" s="48"/>
      <c r="AD3750" s="48"/>
      <c r="AE3750" s="48"/>
      <c r="AF3750" s="48"/>
      <c r="AG3750" s="48"/>
      <c r="AH3750" s="48"/>
      <c r="AI3750" s="48"/>
      <c r="AJ3750" s="48"/>
      <c r="AK3750" s="48"/>
      <c r="AL3750" s="48"/>
      <c r="AM3750" s="48"/>
      <c r="AN3750" s="48"/>
      <c r="AO3750" s="48"/>
      <c r="AP3750" s="48"/>
      <c r="AQ3750" s="48"/>
      <c r="AR3750" s="48"/>
      <c r="AS3750" s="48"/>
      <c r="AT3750" s="48"/>
      <c r="AU3750" s="48"/>
      <c r="AV3750" s="48"/>
      <c r="AW3750" s="48"/>
      <c r="AX3750" s="48"/>
      <c r="AY3750" s="48"/>
      <c r="AZ3750" s="48"/>
      <c r="BA3750" s="48"/>
      <c r="BB3750" s="14"/>
      <c r="BC3750" s="48"/>
      <c r="BD3750" s="48"/>
      <c r="BE3750" s="48"/>
      <c r="BF3750" s="48"/>
      <c r="BG3750" s="48"/>
      <c r="BH3750" s="48"/>
      <c r="BI3750" s="48"/>
      <c r="BJ3750" s="48"/>
      <c r="BK3750" s="48"/>
      <c r="BL3750" s="48"/>
      <c r="BM3750" s="48"/>
      <c r="BN3750" s="48"/>
      <c r="BO3750" s="48"/>
      <c r="BP3750" s="48"/>
      <c r="BQ3750" s="48"/>
      <c r="BR3750" s="48"/>
      <c r="BS3750" s="48"/>
      <c r="BT3750" s="48"/>
      <c r="BU3750" s="48"/>
      <c r="BV3750" s="48"/>
      <c r="BW3750" s="48"/>
      <c r="BX3750" s="48"/>
      <c r="BY3750" s="48"/>
      <c r="BZ3750" s="48"/>
      <c r="CA3750" s="48"/>
      <c r="CB3750" s="48"/>
      <c r="CC3750" s="48"/>
      <c r="CD3750" s="48"/>
      <c r="CE3750" s="48"/>
      <c r="CF3750" s="48"/>
      <c r="CG3750" s="48"/>
      <c r="CH3750" s="48"/>
      <c r="CI3750" s="48"/>
      <c r="CJ3750" s="48"/>
      <c r="CK3750" s="48"/>
      <c r="CL3750" s="48"/>
      <c r="CM3750" s="48"/>
      <c r="CN3750" s="48"/>
      <c r="CO3750" s="48"/>
      <c r="CP3750" s="48"/>
      <c r="CQ3750" s="48"/>
      <c r="CR3750" s="48"/>
      <c r="CS3750" s="48"/>
      <c r="CT3750" s="48"/>
      <c r="CU3750" s="48"/>
      <c r="CV3750" s="48"/>
      <c r="CW3750" s="48"/>
      <c r="CX3750" s="48"/>
      <c r="CY3750" s="48"/>
      <c r="CZ3750" s="48"/>
    </row>
    <row r="3751" spans="27:104" s="4" customFormat="1" x14ac:dyDescent="0.3">
      <c r="AA3751" s="48"/>
      <c r="AB3751" s="48"/>
      <c r="AC3751" s="48"/>
      <c r="AD3751" s="48"/>
      <c r="AE3751" s="48"/>
      <c r="AF3751" s="48"/>
      <c r="AG3751" s="48"/>
      <c r="AH3751" s="48"/>
      <c r="AI3751" s="48"/>
      <c r="AJ3751" s="48"/>
      <c r="AK3751" s="48"/>
      <c r="AL3751" s="48"/>
      <c r="AM3751" s="48"/>
      <c r="AN3751" s="48"/>
      <c r="AO3751" s="48"/>
      <c r="AP3751" s="48"/>
      <c r="AQ3751" s="48"/>
      <c r="AR3751" s="48"/>
      <c r="AS3751" s="48"/>
      <c r="AT3751" s="48"/>
      <c r="AU3751" s="48"/>
      <c r="AV3751" s="48"/>
      <c r="AW3751" s="48"/>
      <c r="AX3751" s="48"/>
      <c r="AY3751" s="48"/>
      <c r="AZ3751" s="48"/>
      <c r="BA3751" s="48"/>
      <c r="BB3751" s="14"/>
      <c r="BC3751" s="48"/>
      <c r="BD3751" s="48"/>
      <c r="BE3751" s="48"/>
      <c r="BF3751" s="48"/>
      <c r="BG3751" s="48"/>
      <c r="BH3751" s="48"/>
      <c r="BI3751" s="48"/>
      <c r="BJ3751" s="48"/>
      <c r="BK3751" s="48"/>
      <c r="BL3751" s="48"/>
      <c r="BM3751" s="48"/>
      <c r="BN3751" s="48"/>
      <c r="BO3751" s="48"/>
      <c r="BP3751" s="48"/>
      <c r="BQ3751" s="48"/>
      <c r="BR3751" s="48"/>
      <c r="BS3751" s="48"/>
      <c r="BT3751" s="48"/>
      <c r="BU3751" s="48"/>
      <c r="BV3751" s="48"/>
      <c r="BW3751" s="48"/>
      <c r="BX3751" s="48"/>
      <c r="BY3751" s="48"/>
      <c r="BZ3751" s="48"/>
      <c r="CA3751" s="48"/>
      <c r="CB3751" s="48"/>
      <c r="CC3751" s="48"/>
      <c r="CD3751" s="48"/>
      <c r="CE3751" s="48"/>
      <c r="CF3751" s="48"/>
      <c r="CG3751" s="48"/>
      <c r="CH3751" s="48"/>
      <c r="CI3751" s="48"/>
      <c r="CJ3751" s="48"/>
      <c r="CK3751" s="48"/>
      <c r="CL3751" s="48"/>
      <c r="CM3751" s="48"/>
      <c r="CN3751" s="48"/>
      <c r="CO3751" s="48"/>
      <c r="CP3751" s="48"/>
      <c r="CQ3751" s="48"/>
      <c r="CR3751" s="48"/>
      <c r="CS3751" s="48"/>
      <c r="CT3751" s="48"/>
      <c r="CU3751" s="48"/>
      <c r="CV3751" s="48"/>
      <c r="CW3751" s="48"/>
      <c r="CX3751" s="48"/>
      <c r="CY3751" s="48"/>
      <c r="CZ3751" s="48"/>
    </row>
    <row r="3752" spans="27:104" s="4" customFormat="1" x14ac:dyDescent="0.3">
      <c r="AA3752" s="48"/>
      <c r="AB3752" s="48"/>
      <c r="AC3752" s="48"/>
      <c r="AD3752" s="48"/>
      <c r="AE3752" s="48"/>
      <c r="AF3752" s="48"/>
      <c r="AG3752" s="48"/>
      <c r="AH3752" s="48"/>
      <c r="AI3752" s="48"/>
      <c r="AJ3752" s="48"/>
      <c r="AK3752" s="48"/>
      <c r="AL3752" s="48"/>
      <c r="AM3752" s="48"/>
      <c r="AN3752" s="48"/>
      <c r="AO3752" s="48"/>
      <c r="AP3752" s="48"/>
      <c r="AQ3752" s="48"/>
      <c r="AR3752" s="48"/>
      <c r="AS3752" s="48"/>
      <c r="AT3752" s="48"/>
      <c r="AU3752" s="48"/>
      <c r="AV3752" s="48"/>
      <c r="AW3752" s="48"/>
      <c r="AX3752" s="48"/>
      <c r="AY3752" s="48"/>
      <c r="AZ3752" s="48"/>
      <c r="BA3752" s="48"/>
      <c r="BB3752" s="14"/>
      <c r="BC3752" s="48"/>
      <c r="BD3752" s="48"/>
      <c r="BE3752" s="48"/>
      <c r="BF3752" s="48"/>
      <c r="BG3752" s="48"/>
      <c r="BH3752" s="48"/>
      <c r="BI3752" s="48"/>
      <c r="BJ3752" s="48"/>
      <c r="BK3752" s="48"/>
      <c r="BL3752" s="48"/>
      <c r="BM3752" s="48"/>
      <c r="BN3752" s="48"/>
      <c r="BO3752" s="48"/>
      <c r="BP3752" s="48"/>
      <c r="BQ3752" s="48"/>
      <c r="BR3752" s="48"/>
      <c r="BS3752" s="48"/>
      <c r="BT3752" s="48"/>
      <c r="BU3752" s="48"/>
      <c r="BV3752" s="48"/>
      <c r="BW3752" s="48"/>
      <c r="BX3752" s="48"/>
      <c r="BY3752" s="48"/>
      <c r="BZ3752" s="48"/>
      <c r="CA3752" s="48"/>
      <c r="CB3752" s="48"/>
      <c r="CC3752" s="48"/>
      <c r="CD3752" s="48"/>
      <c r="CE3752" s="48"/>
      <c r="CF3752" s="48"/>
      <c r="CG3752" s="48"/>
      <c r="CH3752" s="48"/>
      <c r="CI3752" s="48"/>
      <c r="CJ3752" s="48"/>
      <c r="CK3752" s="48"/>
      <c r="CL3752" s="48"/>
      <c r="CM3752" s="48"/>
      <c r="CN3752" s="48"/>
      <c r="CO3752" s="48"/>
      <c r="CP3752" s="48"/>
      <c r="CQ3752" s="48"/>
      <c r="CR3752" s="48"/>
      <c r="CS3752" s="48"/>
      <c r="CT3752" s="48"/>
      <c r="CU3752" s="48"/>
      <c r="CV3752" s="48"/>
      <c r="CW3752" s="48"/>
      <c r="CX3752" s="48"/>
      <c r="CY3752" s="48"/>
      <c r="CZ3752" s="48"/>
    </row>
    <row r="3753" spans="27:104" s="4" customFormat="1" x14ac:dyDescent="0.3">
      <c r="AA3753" s="48"/>
      <c r="AB3753" s="48"/>
      <c r="AC3753" s="48"/>
      <c r="AD3753" s="48"/>
      <c r="AE3753" s="48"/>
      <c r="AF3753" s="48"/>
      <c r="AG3753" s="48"/>
      <c r="AH3753" s="48"/>
      <c r="AI3753" s="48"/>
      <c r="AJ3753" s="48"/>
      <c r="AK3753" s="48"/>
      <c r="AL3753" s="48"/>
      <c r="AM3753" s="48"/>
      <c r="AN3753" s="48"/>
      <c r="AO3753" s="48"/>
      <c r="AP3753" s="48"/>
      <c r="AQ3753" s="48"/>
      <c r="AR3753" s="48"/>
      <c r="AS3753" s="48"/>
      <c r="AT3753" s="48"/>
      <c r="AU3753" s="48"/>
      <c r="AV3753" s="48"/>
      <c r="AW3753" s="48"/>
      <c r="AX3753" s="48"/>
      <c r="AY3753" s="48"/>
      <c r="AZ3753" s="48"/>
      <c r="BA3753" s="48"/>
      <c r="BB3753" s="14"/>
      <c r="BC3753" s="48"/>
      <c r="BD3753" s="48"/>
      <c r="BE3753" s="48"/>
      <c r="BF3753" s="48"/>
      <c r="BG3753" s="48"/>
      <c r="BH3753" s="48"/>
      <c r="BI3753" s="48"/>
      <c r="BJ3753" s="48"/>
      <c r="BK3753" s="48"/>
      <c r="BL3753" s="48"/>
      <c r="BM3753" s="48"/>
      <c r="BN3753" s="48"/>
      <c r="BO3753" s="48"/>
      <c r="BP3753" s="48"/>
      <c r="BQ3753" s="48"/>
      <c r="BR3753" s="48"/>
      <c r="BS3753" s="48"/>
      <c r="BT3753" s="48"/>
      <c r="BU3753" s="48"/>
      <c r="BV3753" s="48"/>
      <c r="BW3753" s="48"/>
      <c r="BX3753" s="48"/>
      <c r="BY3753" s="48"/>
      <c r="BZ3753" s="48"/>
      <c r="CA3753" s="48"/>
      <c r="CB3753" s="48"/>
      <c r="CC3753" s="48"/>
      <c r="CD3753" s="48"/>
      <c r="CE3753" s="48"/>
      <c r="CF3753" s="48"/>
      <c r="CG3753" s="48"/>
      <c r="CH3753" s="48"/>
      <c r="CI3753" s="48"/>
      <c r="CJ3753" s="48"/>
      <c r="CK3753" s="48"/>
      <c r="CL3753" s="48"/>
      <c r="CM3753" s="48"/>
      <c r="CN3753" s="48"/>
      <c r="CO3753" s="48"/>
      <c r="CP3753" s="48"/>
      <c r="CQ3753" s="48"/>
      <c r="CR3753" s="48"/>
      <c r="CS3753" s="48"/>
      <c r="CT3753" s="48"/>
      <c r="CU3753" s="48"/>
      <c r="CV3753" s="48"/>
      <c r="CW3753" s="48"/>
      <c r="CX3753" s="48"/>
      <c r="CY3753" s="48"/>
      <c r="CZ3753" s="48"/>
    </row>
    <row r="3754" spans="27:104" s="4" customFormat="1" x14ac:dyDescent="0.3">
      <c r="AA3754" s="48"/>
      <c r="AB3754" s="48"/>
      <c r="AC3754" s="48"/>
      <c r="AD3754" s="48"/>
      <c r="AE3754" s="48"/>
      <c r="AF3754" s="48"/>
      <c r="AG3754" s="48"/>
      <c r="AH3754" s="48"/>
      <c r="AI3754" s="48"/>
      <c r="AJ3754" s="48"/>
      <c r="AK3754" s="48"/>
      <c r="AL3754" s="48"/>
      <c r="AM3754" s="48"/>
      <c r="AN3754" s="48"/>
      <c r="AO3754" s="48"/>
      <c r="AP3754" s="48"/>
      <c r="AQ3754" s="48"/>
      <c r="AR3754" s="48"/>
      <c r="AS3754" s="48"/>
      <c r="AT3754" s="48"/>
      <c r="AU3754" s="48"/>
      <c r="AV3754" s="48"/>
      <c r="AW3754" s="48"/>
      <c r="AX3754" s="48"/>
      <c r="AY3754" s="48"/>
      <c r="AZ3754" s="48"/>
      <c r="BA3754" s="48"/>
      <c r="BB3754" s="14"/>
      <c r="BC3754" s="48"/>
      <c r="BD3754" s="48"/>
      <c r="BE3754" s="48"/>
      <c r="BF3754" s="48"/>
      <c r="BG3754" s="48"/>
      <c r="BH3754" s="48"/>
      <c r="BI3754" s="48"/>
      <c r="BJ3754" s="48"/>
      <c r="BK3754" s="48"/>
      <c r="BL3754" s="48"/>
      <c r="BM3754" s="48"/>
      <c r="BN3754" s="48"/>
      <c r="BO3754" s="48"/>
      <c r="BP3754" s="48"/>
      <c r="BQ3754" s="48"/>
      <c r="BR3754" s="48"/>
      <c r="BS3754" s="48"/>
      <c r="BT3754" s="48"/>
      <c r="BU3754" s="48"/>
      <c r="BV3754" s="48"/>
      <c r="BW3754" s="48"/>
      <c r="BX3754" s="48"/>
      <c r="BY3754" s="48"/>
      <c r="BZ3754" s="48"/>
      <c r="CA3754" s="48"/>
      <c r="CB3754" s="48"/>
      <c r="CC3754" s="48"/>
      <c r="CD3754" s="48"/>
      <c r="CE3754" s="48"/>
      <c r="CF3754" s="48"/>
      <c r="CG3754" s="48"/>
      <c r="CH3754" s="48"/>
      <c r="CI3754" s="48"/>
      <c r="CJ3754" s="48"/>
      <c r="CK3754" s="48"/>
      <c r="CL3754" s="48"/>
      <c r="CM3754" s="48"/>
      <c r="CN3754" s="48"/>
      <c r="CO3754" s="48"/>
      <c r="CP3754" s="48"/>
      <c r="CQ3754" s="48"/>
      <c r="CR3754" s="48"/>
      <c r="CS3754" s="48"/>
      <c r="CT3754" s="48"/>
      <c r="CU3754" s="48"/>
      <c r="CV3754" s="48"/>
      <c r="CW3754" s="48"/>
      <c r="CX3754" s="48"/>
      <c r="CY3754" s="48"/>
      <c r="CZ3754" s="48"/>
    </row>
    <row r="3755" spans="27:104" s="4" customFormat="1" x14ac:dyDescent="0.3">
      <c r="AA3755" s="48"/>
      <c r="AB3755" s="48"/>
      <c r="AC3755" s="48"/>
      <c r="AD3755" s="48"/>
      <c r="AE3755" s="48"/>
      <c r="AF3755" s="48"/>
      <c r="AG3755" s="48"/>
      <c r="AH3755" s="48"/>
      <c r="AI3755" s="48"/>
      <c r="AJ3755" s="48"/>
      <c r="AK3755" s="48"/>
      <c r="AL3755" s="48"/>
      <c r="AM3755" s="48"/>
      <c r="AN3755" s="48"/>
      <c r="AO3755" s="48"/>
      <c r="AP3755" s="48"/>
      <c r="AQ3755" s="48"/>
      <c r="AR3755" s="48"/>
      <c r="AS3755" s="48"/>
      <c r="AT3755" s="48"/>
      <c r="AU3755" s="48"/>
      <c r="AV3755" s="48"/>
      <c r="AW3755" s="48"/>
      <c r="AX3755" s="48"/>
      <c r="AY3755" s="48"/>
      <c r="AZ3755" s="48"/>
      <c r="BA3755" s="48"/>
      <c r="BB3755" s="14"/>
      <c r="BC3755" s="48"/>
      <c r="BD3755" s="48"/>
      <c r="BE3755" s="48"/>
      <c r="BF3755" s="48"/>
      <c r="BG3755" s="48"/>
      <c r="BH3755" s="48"/>
      <c r="BI3755" s="48"/>
      <c r="BJ3755" s="48"/>
      <c r="BK3755" s="48"/>
      <c r="BL3755" s="48"/>
      <c r="BM3755" s="48"/>
      <c r="BN3755" s="48"/>
      <c r="BO3755" s="48"/>
      <c r="BP3755" s="48"/>
      <c r="BQ3755" s="48"/>
      <c r="BR3755" s="48"/>
      <c r="BS3755" s="48"/>
      <c r="BT3755" s="48"/>
      <c r="BU3755" s="48"/>
      <c r="BV3755" s="48"/>
      <c r="BW3755" s="48"/>
      <c r="BX3755" s="48"/>
      <c r="BY3755" s="48"/>
      <c r="BZ3755" s="48"/>
      <c r="CA3755" s="48"/>
      <c r="CB3755" s="48"/>
      <c r="CC3755" s="48"/>
      <c r="CD3755" s="48"/>
      <c r="CE3755" s="48"/>
      <c r="CF3755" s="48"/>
      <c r="CG3755" s="48"/>
      <c r="CH3755" s="48"/>
      <c r="CI3755" s="48"/>
      <c r="CJ3755" s="48"/>
      <c r="CK3755" s="48"/>
      <c r="CL3755" s="48"/>
      <c r="CM3755" s="48"/>
      <c r="CN3755" s="48"/>
      <c r="CO3755" s="48"/>
      <c r="CP3755" s="48"/>
      <c r="CQ3755" s="48"/>
      <c r="CR3755" s="48"/>
      <c r="CS3755" s="48"/>
      <c r="CT3755" s="48"/>
      <c r="CU3755" s="48"/>
      <c r="CV3755" s="48"/>
      <c r="CW3755" s="48"/>
      <c r="CX3755" s="48"/>
      <c r="CY3755" s="48"/>
      <c r="CZ3755" s="48"/>
    </row>
    <row r="3756" spans="27:104" s="4" customFormat="1" x14ac:dyDescent="0.3">
      <c r="AA3756" s="48"/>
      <c r="AB3756" s="48"/>
      <c r="AC3756" s="48"/>
      <c r="AD3756" s="48"/>
      <c r="AE3756" s="48"/>
      <c r="AF3756" s="48"/>
      <c r="AG3756" s="48"/>
      <c r="AH3756" s="48"/>
      <c r="AI3756" s="48"/>
      <c r="AJ3756" s="48"/>
      <c r="AK3756" s="48"/>
      <c r="AL3756" s="48"/>
      <c r="AM3756" s="48"/>
      <c r="AN3756" s="48"/>
      <c r="AO3756" s="48"/>
      <c r="AP3756" s="48"/>
      <c r="AQ3756" s="48"/>
      <c r="AR3756" s="48"/>
      <c r="AS3756" s="48"/>
      <c r="AT3756" s="48"/>
      <c r="AU3756" s="48"/>
      <c r="AV3756" s="48"/>
      <c r="AW3756" s="48"/>
      <c r="AX3756" s="48"/>
      <c r="AY3756" s="48"/>
      <c r="AZ3756" s="48"/>
      <c r="BA3756" s="48"/>
      <c r="BB3756" s="14"/>
      <c r="BC3756" s="48"/>
      <c r="BD3756" s="48"/>
      <c r="BE3756" s="48"/>
      <c r="BF3756" s="48"/>
      <c r="BG3756" s="48"/>
      <c r="BH3756" s="48"/>
      <c r="BI3756" s="48"/>
      <c r="BJ3756" s="48"/>
      <c r="BK3756" s="48"/>
      <c r="BL3756" s="48"/>
      <c r="BM3756" s="48"/>
      <c r="BN3756" s="48"/>
      <c r="BO3756" s="48"/>
      <c r="BP3756" s="48"/>
      <c r="BQ3756" s="48"/>
      <c r="BR3756" s="48"/>
      <c r="BS3756" s="48"/>
      <c r="BT3756" s="48"/>
      <c r="BU3756" s="48"/>
      <c r="BV3756" s="48"/>
      <c r="BW3756" s="48"/>
      <c r="BX3756" s="48"/>
      <c r="BY3756" s="48"/>
      <c r="BZ3756" s="48"/>
      <c r="CA3756" s="48"/>
      <c r="CB3756" s="48"/>
      <c r="CC3756" s="48"/>
      <c r="CD3756" s="48"/>
      <c r="CE3756" s="48"/>
      <c r="CF3756" s="48"/>
      <c r="CG3756" s="48"/>
      <c r="CH3756" s="48"/>
      <c r="CI3756" s="48"/>
      <c r="CJ3756" s="48"/>
      <c r="CK3756" s="48"/>
      <c r="CL3756" s="48"/>
      <c r="CM3756" s="48"/>
      <c r="CN3756" s="48"/>
      <c r="CO3756" s="48"/>
      <c r="CP3756" s="48"/>
      <c r="CQ3756" s="48"/>
      <c r="CR3756" s="48"/>
      <c r="CS3756" s="48"/>
      <c r="CT3756" s="48"/>
      <c r="CU3756" s="48"/>
      <c r="CV3756" s="48"/>
      <c r="CW3756" s="48"/>
      <c r="CX3756" s="48"/>
      <c r="CY3756" s="48"/>
      <c r="CZ3756" s="48"/>
    </row>
    <row r="3757" spans="27:104" s="4" customFormat="1" x14ac:dyDescent="0.3">
      <c r="AA3757" s="48"/>
      <c r="AB3757" s="48"/>
      <c r="AC3757" s="48"/>
      <c r="AD3757" s="48"/>
      <c r="AE3757" s="48"/>
      <c r="AF3757" s="48"/>
      <c r="AG3757" s="48"/>
      <c r="AH3757" s="48"/>
      <c r="AI3757" s="48"/>
      <c r="AJ3757" s="48"/>
      <c r="AK3757" s="48"/>
      <c r="AL3757" s="48"/>
      <c r="AM3757" s="48"/>
      <c r="AN3757" s="48"/>
      <c r="AO3757" s="48"/>
      <c r="AP3757" s="48"/>
      <c r="AQ3757" s="48"/>
      <c r="AR3757" s="48"/>
      <c r="AS3757" s="48"/>
      <c r="AT3757" s="48"/>
      <c r="AU3757" s="48"/>
      <c r="AV3757" s="48"/>
      <c r="AW3757" s="48"/>
      <c r="AX3757" s="48"/>
      <c r="AY3757" s="48"/>
      <c r="AZ3757" s="48"/>
      <c r="BA3757" s="48"/>
      <c r="BB3757" s="14"/>
      <c r="BC3757" s="48"/>
      <c r="BD3757" s="48"/>
      <c r="BE3757" s="48"/>
      <c r="BF3757" s="48"/>
      <c r="BG3757" s="48"/>
      <c r="BH3757" s="48"/>
      <c r="BI3757" s="48"/>
      <c r="BJ3757" s="48"/>
      <c r="BK3757" s="48"/>
      <c r="BL3757" s="48"/>
      <c r="BM3757" s="48"/>
      <c r="BN3757" s="48"/>
      <c r="BO3757" s="48"/>
      <c r="BP3757" s="48"/>
      <c r="BQ3757" s="48"/>
      <c r="BR3757" s="48"/>
      <c r="BS3757" s="48"/>
      <c r="BT3757" s="48"/>
      <c r="BU3757" s="48"/>
      <c r="BV3757" s="48"/>
      <c r="BW3757" s="48"/>
      <c r="BX3757" s="48"/>
      <c r="BY3757" s="48"/>
      <c r="BZ3757" s="48"/>
      <c r="CA3757" s="48"/>
      <c r="CB3757" s="48"/>
      <c r="CC3757" s="48"/>
      <c r="CD3757" s="48"/>
      <c r="CE3757" s="48"/>
      <c r="CF3757" s="48"/>
      <c r="CG3757" s="48"/>
      <c r="CH3757" s="48"/>
      <c r="CI3757" s="48"/>
      <c r="CJ3757" s="48"/>
      <c r="CK3757" s="48"/>
      <c r="CL3757" s="48"/>
      <c r="CM3757" s="48"/>
      <c r="CN3757" s="48"/>
      <c r="CO3757" s="48"/>
      <c r="CP3757" s="48"/>
      <c r="CQ3757" s="48"/>
      <c r="CR3757" s="48"/>
      <c r="CS3757" s="48"/>
      <c r="CT3757" s="48"/>
      <c r="CU3757" s="48"/>
      <c r="CV3757" s="48"/>
      <c r="CW3757" s="48"/>
      <c r="CX3757" s="48"/>
      <c r="CY3757" s="48"/>
      <c r="CZ3757" s="48"/>
    </row>
    <row r="3758" spans="27:104" s="4" customFormat="1" x14ac:dyDescent="0.3">
      <c r="AA3758" s="48"/>
      <c r="AB3758" s="48"/>
      <c r="AC3758" s="48"/>
      <c r="AD3758" s="48"/>
      <c r="AE3758" s="48"/>
      <c r="AF3758" s="48"/>
      <c r="AG3758" s="48"/>
      <c r="AH3758" s="48"/>
      <c r="AI3758" s="48"/>
      <c r="AJ3758" s="48"/>
      <c r="AK3758" s="48"/>
      <c r="AL3758" s="48"/>
      <c r="AM3758" s="48"/>
      <c r="AN3758" s="48"/>
      <c r="AO3758" s="48"/>
      <c r="AP3758" s="48"/>
      <c r="AQ3758" s="48"/>
      <c r="AR3758" s="48"/>
      <c r="AS3758" s="48"/>
      <c r="AT3758" s="48"/>
      <c r="AU3758" s="48"/>
      <c r="AV3758" s="48"/>
      <c r="AW3758" s="48"/>
      <c r="AX3758" s="48"/>
      <c r="AY3758" s="48"/>
      <c r="AZ3758" s="48"/>
      <c r="BA3758" s="48"/>
      <c r="BB3758" s="14"/>
      <c r="BC3758" s="48"/>
      <c r="BD3758" s="48"/>
      <c r="BE3758" s="48"/>
      <c r="BF3758" s="48"/>
      <c r="BG3758" s="48"/>
      <c r="BH3758" s="48"/>
      <c r="BI3758" s="48"/>
      <c r="BJ3758" s="48"/>
      <c r="BK3758" s="48"/>
      <c r="BL3758" s="48"/>
      <c r="BM3758" s="48"/>
      <c r="BN3758" s="48"/>
      <c r="BO3758" s="48"/>
      <c r="BP3758" s="48"/>
      <c r="BQ3758" s="48"/>
      <c r="BR3758" s="48"/>
      <c r="BS3758" s="48"/>
      <c r="BT3758" s="48"/>
      <c r="BU3758" s="48"/>
      <c r="BV3758" s="48"/>
      <c r="BW3758" s="48"/>
      <c r="BX3758" s="48"/>
      <c r="BY3758" s="48"/>
      <c r="BZ3758" s="48"/>
      <c r="CA3758" s="48"/>
      <c r="CB3758" s="48"/>
      <c r="CC3758" s="48"/>
      <c r="CD3758" s="48"/>
      <c r="CE3758" s="48"/>
      <c r="CF3758" s="48"/>
      <c r="CG3758" s="48"/>
      <c r="CH3758" s="48"/>
      <c r="CI3758" s="48"/>
      <c r="CJ3758" s="48"/>
      <c r="CK3758" s="48"/>
      <c r="CL3758" s="48"/>
      <c r="CM3758" s="48"/>
      <c r="CN3758" s="48"/>
      <c r="CO3758" s="48"/>
      <c r="CP3758" s="48"/>
      <c r="CQ3758" s="48"/>
      <c r="CR3758" s="48"/>
      <c r="CS3758" s="48"/>
      <c r="CT3758" s="48"/>
      <c r="CU3758" s="48"/>
      <c r="CV3758" s="48"/>
      <c r="CW3758" s="48"/>
      <c r="CX3758" s="48"/>
      <c r="CY3758" s="48"/>
      <c r="CZ3758" s="48"/>
    </row>
    <row r="3759" spans="27:104" s="4" customFormat="1" x14ac:dyDescent="0.3">
      <c r="AA3759" s="48"/>
      <c r="AB3759" s="48"/>
      <c r="AC3759" s="48"/>
      <c r="AD3759" s="48"/>
      <c r="AE3759" s="48"/>
      <c r="AF3759" s="48"/>
      <c r="AG3759" s="48"/>
      <c r="AH3759" s="48"/>
      <c r="AI3759" s="48"/>
      <c r="AJ3759" s="48"/>
      <c r="AK3759" s="48"/>
      <c r="AL3759" s="48"/>
      <c r="AM3759" s="48"/>
      <c r="AN3759" s="48"/>
      <c r="AO3759" s="48"/>
      <c r="AP3759" s="48"/>
      <c r="AQ3759" s="48"/>
      <c r="AR3759" s="48"/>
      <c r="AS3759" s="48"/>
      <c r="AT3759" s="48"/>
      <c r="AU3759" s="48"/>
      <c r="AV3759" s="48"/>
      <c r="AW3759" s="48"/>
      <c r="AX3759" s="48"/>
      <c r="AY3759" s="48"/>
      <c r="AZ3759" s="48"/>
      <c r="BA3759" s="48"/>
      <c r="BB3759" s="14"/>
      <c r="BC3759" s="48"/>
      <c r="BD3759" s="48"/>
      <c r="BE3759" s="48"/>
      <c r="BF3759" s="48"/>
      <c r="BG3759" s="48"/>
      <c r="BH3759" s="48"/>
      <c r="BI3759" s="48"/>
      <c r="BJ3759" s="48"/>
      <c r="BK3759" s="48"/>
      <c r="BL3759" s="48"/>
      <c r="BM3759" s="48"/>
      <c r="BN3759" s="48"/>
      <c r="BO3759" s="48"/>
      <c r="BP3759" s="48"/>
      <c r="BQ3759" s="48"/>
      <c r="BR3759" s="48"/>
      <c r="BS3759" s="48"/>
      <c r="BT3759" s="48"/>
      <c r="BU3759" s="48"/>
      <c r="BV3759" s="48"/>
      <c r="BW3759" s="48"/>
      <c r="BX3759" s="48"/>
      <c r="BY3759" s="48"/>
      <c r="BZ3759" s="48"/>
      <c r="CA3759" s="48"/>
      <c r="CB3759" s="48"/>
      <c r="CC3759" s="48"/>
      <c r="CD3759" s="48"/>
      <c r="CE3759" s="48"/>
      <c r="CF3759" s="48"/>
      <c r="CG3759" s="48"/>
      <c r="CH3759" s="48"/>
      <c r="CI3759" s="48"/>
      <c r="CJ3759" s="48"/>
      <c r="CK3759" s="48"/>
      <c r="CL3759" s="48"/>
      <c r="CM3759" s="48"/>
      <c r="CN3759" s="48"/>
      <c r="CO3759" s="48"/>
      <c r="CP3759" s="48"/>
      <c r="CQ3759" s="48"/>
      <c r="CR3759" s="48"/>
      <c r="CS3759" s="48"/>
      <c r="CT3759" s="48"/>
      <c r="CU3759" s="48"/>
      <c r="CV3759" s="48"/>
      <c r="CW3759" s="48"/>
      <c r="CX3759" s="48"/>
      <c r="CY3759" s="48"/>
      <c r="CZ3759" s="48"/>
    </row>
    <row r="3760" spans="27:104" s="4" customFormat="1" x14ac:dyDescent="0.3">
      <c r="AA3760" s="48"/>
      <c r="AB3760" s="48"/>
      <c r="AC3760" s="48"/>
      <c r="AD3760" s="48"/>
      <c r="AE3760" s="48"/>
      <c r="AF3760" s="48"/>
      <c r="AG3760" s="48"/>
      <c r="AH3760" s="48"/>
      <c r="AI3760" s="48"/>
      <c r="AJ3760" s="48"/>
      <c r="AK3760" s="48"/>
      <c r="AL3760" s="48"/>
      <c r="AM3760" s="48"/>
      <c r="AN3760" s="48"/>
      <c r="AO3760" s="48"/>
      <c r="AP3760" s="48"/>
      <c r="AQ3760" s="48"/>
      <c r="AR3760" s="48"/>
      <c r="AS3760" s="48"/>
      <c r="AT3760" s="48"/>
      <c r="AU3760" s="48"/>
      <c r="AV3760" s="48"/>
      <c r="AW3760" s="48"/>
      <c r="AX3760" s="48"/>
      <c r="AY3760" s="48"/>
      <c r="AZ3760" s="48"/>
      <c r="BA3760" s="48"/>
      <c r="BB3760" s="14"/>
      <c r="BC3760" s="48"/>
      <c r="BD3760" s="48"/>
      <c r="BE3760" s="48"/>
      <c r="BF3760" s="48"/>
      <c r="BG3760" s="48"/>
      <c r="BH3760" s="48"/>
      <c r="BI3760" s="48"/>
      <c r="BJ3760" s="48"/>
      <c r="BK3760" s="48"/>
      <c r="BL3760" s="48"/>
      <c r="BM3760" s="48"/>
      <c r="BN3760" s="48"/>
      <c r="BO3760" s="48"/>
      <c r="BP3760" s="48"/>
      <c r="BQ3760" s="48"/>
      <c r="BR3760" s="48"/>
      <c r="BS3760" s="48"/>
      <c r="BT3760" s="48"/>
      <c r="BU3760" s="48"/>
      <c r="BV3760" s="48"/>
      <c r="BW3760" s="48"/>
      <c r="BX3760" s="48"/>
      <c r="BY3760" s="48"/>
      <c r="BZ3760" s="48"/>
      <c r="CA3760" s="48"/>
      <c r="CB3760" s="48"/>
      <c r="CC3760" s="48"/>
      <c r="CD3760" s="48"/>
      <c r="CE3760" s="48"/>
      <c r="CF3760" s="48"/>
      <c r="CG3760" s="48"/>
      <c r="CH3760" s="48"/>
      <c r="CI3760" s="48"/>
      <c r="CJ3760" s="48"/>
      <c r="CK3760" s="48"/>
      <c r="CL3760" s="48"/>
      <c r="CM3760" s="48"/>
      <c r="CN3760" s="48"/>
      <c r="CO3760" s="48"/>
      <c r="CP3760" s="48"/>
      <c r="CQ3760" s="48"/>
      <c r="CR3760" s="48"/>
      <c r="CS3760" s="48"/>
      <c r="CT3760" s="48"/>
      <c r="CU3760" s="48"/>
      <c r="CV3760" s="48"/>
      <c r="CW3760" s="48"/>
      <c r="CX3760" s="48"/>
      <c r="CY3760" s="48"/>
      <c r="CZ3760" s="48"/>
    </row>
    <row r="3761" spans="27:104" s="4" customFormat="1" x14ac:dyDescent="0.3">
      <c r="AA3761" s="48"/>
      <c r="AB3761" s="48"/>
      <c r="AC3761" s="48"/>
      <c r="AD3761" s="48"/>
      <c r="AE3761" s="48"/>
      <c r="AF3761" s="48"/>
      <c r="AG3761" s="48"/>
      <c r="AH3761" s="48"/>
      <c r="AI3761" s="48"/>
      <c r="AJ3761" s="48"/>
      <c r="AK3761" s="48"/>
      <c r="AL3761" s="48"/>
      <c r="AM3761" s="48"/>
      <c r="AN3761" s="48"/>
      <c r="AO3761" s="48"/>
      <c r="AP3761" s="48"/>
      <c r="AQ3761" s="48"/>
      <c r="AR3761" s="48"/>
      <c r="AS3761" s="48"/>
      <c r="AT3761" s="48"/>
      <c r="AU3761" s="48"/>
      <c r="AV3761" s="48"/>
      <c r="AW3761" s="48"/>
      <c r="AX3761" s="48"/>
      <c r="AY3761" s="48"/>
      <c r="AZ3761" s="48"/>
      <c r="BA3761" s="48"/>
      <c r="BB3761" s="14"/>
      <c r="BC3761" s="48"/>
      <c r="BD3761" s="48"/>
      <c r="BE3761" s="48"/>
      <c r="BF3761" s="48"/>
      <c r="BG3761" s="48"/>
      <c r="BH3761" s="48"/>
      <c r="BI3761" s="48"/>
      <c r="BJ3761" s="48"/>
      <c r="BK3761" s="48"/>
      <c r="BL3761" s="48"/>
      <c r="BM3761" s="48"/>
      <c r="BN3761" s="48"/>
      <c r="BO3761" s="48"/>
      <c r="BP3761" s="48"/>
      <c r="BQ3761" s="48"/>
      <c r="BR3761" s="48"/>
      <c r="BS3761" s="48"/>
      <c r="BT3761" s="48"/>
      <c r="BU3761" s="48"/>
      <c r="BV3761" s="48"/>
      <c r="BW3761" s="48"/>
      <c r="BX3761" s="48"/>
      <c r="BY3761" s="48"/>
      <c r="BZ3761" s="48"/>
      <c r="CA3761" s="48"/>
      <c r="CB3761" s="48"/>
      <c r="CC3761" s="48"/>
      <c r="CD3761" s="48"/>
      <c r="CE3761" s="48"/>
      <c r="CF3761" s="48"/>
      <c r="CG3761" s="48"/>
      <c r="CH3761" s="48"/>
      <c r="CI3761" s="48"/>
      <c r="CJ3761" s="48"/>
      <c r="CK3761" s="48"/>
      <c r="CL3761" s="48"/>
      <c r="CM3761" s="48"/>
      <c r="CN3761" s="48"/>
      <c r="CO3761" s="48"/>
      <c r="CP3761" s="48"/>
      <c r="CQ3761" s="48"/>
      <c r="CR3761" s="48"/>
      <c r="CS3761" s="48"/>
      <c r="CT3761" s="48"/>
      <c r="CU3761" s="48"/>
      <c r="CV3761" s="48"/>
      <c r="CW3761" s="48"/>
      <c r="CX3761" s="48"/>
      <c r="CY3761" s="48"/>
      <c r="CZ3761" s="48"/>
    </row>
    <row r="3762" spans="27:104" s="4" customFormat="1" x14ac:dyDescent="0.3">
      <c r="AA3762" s="48"/>
      <c r="AB3762" s="48"/>
      <c r="AC3762" s="48"/>
      <c r="AD3762" s="48"/>
      <c r="AE3762" s="48"/>
      <c r="AF3762" s="48"/>
      <c r="AG3762" s="48"/>
      <c r="AH3762" s="48"/>
      <c r="AI3762" s="48"/>
      <c r="AJ3762" s="48"/>
      <c r="AK3762" s="48"/>
      <c r="AL3762" s="48"/>
      <c r="AM3762" s="48"/>
      <c r="AN3762" s="48"/>
      <c r="AO3762" s="48"/>
      <c r="AP3762" s="48"/>
      <c r="AQ3762" s="48"/>
      <c r="AR3762" s="48"/>
      <c r="AS3762" s="48"/>
      <c r="AT3762" s="48"/>
      <c r="AU3762" s="48"/>
      <c r="AV3762" s="48"/>
      <c r="AW3762" s="48"/>
      <c r="AX3762" s="48"/>
      <c r="AY3762" s="48"/>
      <c r="AZ3762" s="48"/>
      <c r="BA3762" s="48"/>
      <c r="BB3762" s="14"/>
      <c r="BC3762" s="48"/>
      <c r="BD3762" s="48"/>
      <c r="BE3762" s="48"/>
      <c r="BF3762" s="48"/>
      <c r="BG3762" s="48"/>
      <c r="BH3762" s="48"/>
      <c r="BI3762" s="48"/>
      <c r="BJ3762" s="48"/>
      <c r="BK3762" s="48"/>
      <c r="BL3762" s="48"/>
      <c r="BM3762" s="48"/>
      <c r="BN3762" s="48"/>
      <c r="BO3762" s="48"/>
      <c r="BP3762" s="48"/>
      <c r="BQ3762" s="48"/>
      <c r="BR3762" s="48"/>
      <c r="BS3762" s="48"/>
      <c r="BT3762" s="48"/>
      <c r="BU3762" s="48"/>
      <c r="BV3762" s="48"/>
      <c r="BW3762" s="48"/>
      <c r="BX3762" s="48"/>
      <c r="BY3762" s="48"/>
      <c r="BZ3762" s="48"/>
      <c r="CA3762" s="48"/>
      <c r="CB3762" s="48"/>
      <c r="CC3762" s="48"/>
      <c r="CD3762" s="48"/>
      <c r="CE3762" s="48"/>
      <c r="CF3762" s="48"/>
      <c r="CG3762" s="48"/>
      <c r="CH3762" s="48"/>
      <c r="CI3762" s="48"/>
      <c r="CJ3762" s="48"/>
      <c r="CK3762" s="48"/>
      <c r="CL3762" s="48"/>
      <c r="CM3762" s="48"/>
      <c r="CN3762" s="48"/>
      <c r="CO3762" s="48"/>
      <c r="CP3762" s="48"/>
      <c r="CQ3762" s="48"/>
      <c r="CR3762" s="48"/>
      <c r="CS3762" s="48"/>
      <c r="CT3762" s="48"/>
      <c r="CU3762" s="48"/>
      <c r="CV3762" s="48"/>
      <c r="CW3762" s="48"/>
      <c r="CX3762" s="48"/>
      <c r="CY3762" s="48"/>
      <c r="CZ3762" s="48"/>
    </row>
    <row r="3763" spans="27:104" s="4" customFormat="1" x14ac:dyDescent="0.3">
      <c r="AA3763" s="48"/>
      <c r="AB3763" s="48"/>
      <c r="AC3763" s="48"/>
      <c r="AD3763" s="48"/>
      <c r="AE3763" s="48"/>
      <c r="AF3763" s="48"/>
      <c r="AG3763" s="48"/>
      <c r="AH3763" s="48"/>
      <c r="AI3763" s="48"/>
      <c r="AJ3763" s="48"/>
      <c r="AK3763" s="48"/>
      <c r="AL3763" s="48"/>
      <c r="AM3763" s="48"/>
      <c r="AN3763" s="48"/>
      <c r="AO3763" s="48"/>
      <c r="AP3763" s="48"/>
      <c r="AQ3763" s="48"/>
      <c r="AR3763" s="48"/>
      <c r="AS3763" s="48"/>
      <c r="AT3763" s="48"/>
      <c r="AU3763" s="48"/>
      <c r="AV3763" s="48"/>
      <c r="AW3763" s="48"/>
      <c r="AX3763" s="48"/>
      <c r="AY3763" s="48"/>
      <c r="AZ3763" s="48"/>
      <c r="BA3763" s="48"/>
      <c r="BB3763" s="14"/>
      <c r="BC3763" s="48"/>
      <c r="BD3763" s="48"/>
      <c r="BE3763" s="48"/>
      <c r="BF3763" s="48"/>
      <c r="BG3763" s="48"/>
      <c r="BH3763" s="48"/>
      <c r="BI3763" s="48"/>
      <c r="BJ3763" s="48"/>
      <c r="BK3763" s="48"/>
      <c r="BL3763" s="48"/>
      <c r="BM3763" s="48"/>
      <c r="BN3763" s="48"/>
      <c r="BO3763" s="48"/>
      <c r="BP3763" s="48"/>
      <c r="BQ3763" s="48"/>
      <c r="BR3763" s="48"/>
      <c r="BS3763" s="48"/>
      <c r="BT3763" s="48"/>
      <c r="BU3763" s="48"/>
      <c r="BV3763" s="48"/>
      <c r="BW3763" s="48"/>
      <c r="BX3763" s="48"/>
      <c r="BY3763" s="48"/>
      <c r="BZ3763" s="48"/>
      <c r="CA3763" s="48"/>
      <c r="CB3763" s="48"/>
      <c r="CC3763" s="48"/>
      <c r="CD3763" s="48"/>
      <c r="CE3763" s="48"/>
      <c r="CF3763" s="48"/>
      <c r="CG3763" s="48"/>
      <c r="CH3763" s="48"/>
      <c r="CI3763" s="48"/>
      <c r="CJ3763" s="48"/>
      <c r="CK3763" s="48"/>
      <c r="CL3763" s="48"/>
      <c r="CM3763" s="48"/>
      <c r="CN3763" s="48"/>
      <c r="CO3763" s="48"/>
      <c r="CP3763" s="48"/>
      <c r="CQ3763" s="48"/>
      <c r="CR3763" s="48"/>
      <c r="CS3763" s="48"/>
      <c r="CT3763" s="48"/>
      <c r="CU3763" s="48"/>
      <c r="CV3763" s="48"/>
      <c r="CW3763" s="48"/>
      <c r="CX3763" s="48"/>
      <c r="CY3763" s="48"/>
      <c r="CZ3763" s="48"/>
    </row>
    <row r="3764" spans="27:104" s="4" customFormat="1" x14ac:dyDescent="0.3">
      <c r="AA3764" s="48"/>
      <c r="AB3764" s="48"/>
      <c r="AC3764" s="48"/>
      <c r="AD3764" s="48"/>
      <c r="AE3764" s="48"/>
      <c r="AF3764" s="48"/>
      <c r="AG3764" s="48"/>
      <c r="AH3764" s="48"/>
      <c r="AI3764" s="48"/>
      <c r="AJ3764" s="48"/>
      <c r="AK3764" s="48"/>
      <c r="AL3764" s="48"/>
      <c r="AM3764" s="48"/>
      <c r="AN3764" s="48"/>
      <c r="AO3764" s="48"/>
      <c r="AP3764" s="48"/>
      <c r="AQ3764" s="48"/>
      <c r="AR3764" s="48"/>
      <c r="AS3764" s="48"/>
      <c r="AT3764" s="48"/>
      <c r="AU3764" s="48"/>
      <c r="AV3764" s="48"/>
      <c r="AW3764" s="48"/>
      <c r="AX3764" s="48"/>
      <c r="AY3764" s="48"/>
      <c r="AZ3764" s="48"/>
      <c r="BA3764" s="48"/>
      <c r="BB3764" s="14"/>
      <c r="BC3764" s="48"/>
      <c r="BD3764" s="48"/>
      <c r="BE3764" s="48"/>
      <c r="BF3764" s="48"/>
      <c r="BG3764" s="48"/>
      <c r="BH3764" s="48"/>
      <c r="BI3764" s="48"/>
      <c r="BJ3764" s="48"/>
      <c r="BK3764" s="48"/>
      <c r="BL3764" s="48"/>
      <c r="BM3764" s="48"/>
      <c r="BN3764" s="48"/>
      <c r="BO3764" s="48"/>
      <c r="BP3764" s="48"/>
      <c r="BQ3764" s="48"/>
      <c r="BR3764" s="48"/>
      <c r="BS3764" s="48"/>
      <c r="BT3764" s="48"/>
      <c r="BU3764" s="48"/>
      <c r="BV3764" s="48"/>
      <c r="BW3764" s="48"/>
      <c r="BX3764" s="48"/>
      <c r="BY3764" s="48"/>
      <c r="BZ3764" s="48"/>
      <c r="CA3764" s="48"/>
      <c r="CB3764" s="48"/>
      <c r="CC3764" s="48"/>
      <c r="CD3764" s="48"/>
      <c r="CE3764" s="48"/>
      <c r="CF3764" s="48"/>
      <c r="CG3764" s="48"/>
      <c r="CH3764" s="48"/>
      <c r="CI3764" s="48"/>
      <c r="CJ3764" s="48"/>
      <c r="CK3764" s="48"/>
      <c r="CL3764" s="48"/>
      <c r="CM3764" s="48"/>
      <c r="CN3764" s="48"/>
      <c r="CO3764" s="48"/>
      <c r="CP3764" s="48"/>
      <c r="CQ3764" s="48"/>
      <c r="CR3764" s="48"/>
      <c r="CS3764" s="48"/>
      <c r="CT3764" s="48"/>
      <c r="CU3764" s="48"/>
      <c r="CV3764" s="48"/>
      <c r="CW3764" s="48"/>
      <c r="CX3764" s="48"/>
      <c r="CY3764" s="48"/>
      <c r="CZ3764" s="48"/>
    </row>
    <row r="3765" spans="27:104" s="4" customFormat="1" x14ac:dyDescent="0.3">
      <c r="AA3765" s="48"/>
      <c r="AB3765" s="48"/>
      <c r="AC3765" s="48"/>
      <c r="AD3765" s="48"/>
      <c r="AE3765" s="48"/>
      <c r="AF3765" s="48"/>
      <c r="AG3765" s="48"/>
      <c r="AH3765" s="48"/>
      <c r="AI3765" s="48"/>
      <c r="AJ3765" s="48"/>
      <c r="AK3765" s="48"/>
      <c r="AL3765" s="48"/>
      <c r="AM3765" s="48"/>
      <c r="AN3765" s="48"/>
      <c r="AO3765" s="48"/>
      <c r="AP3765" s="48"/>
      <c r="AQ3765" s="48"/>
      <c r="AR3765" s="48"/>
      <c r="AS3765" s="48"/>
      <c r="AT3765" s="48"/>
      <c r="AU3765" s="48"/>
      <c r="AV3765" s="48"/>
      <c r="AW3765" s="48"/>
      <c r="AX3765" s="48"/>
      <c r="AY3765" s="48"/>
      <c r="AZ3765" s="48"/>
      <c r="BA3765" s="48"/>
      <c r="BB3765" s="14"/>
      <c r="BC3765" s="48"/>
      <c r="BD3765" s="48"/>
      <c r="BE3765" s="48"/>
      <c r="BF3765" s="48"/>
      <c r="BG3765" s="48"/>
      <c r="BH3765" s="48"/>
      <c r="BI3765" s="48"/>
      <c r="BJ3765" s="48"/>
      <c r="BK3765" s="48"/>
      <c r="BL3765" s="48"/>
      <c r="BM3765" s="48"/>
      <c r="BN3765" s="48"/>
      <c r="BO3765" s="48"/>
      <c r="BP3765" s="48"/>
      <c r="BQ3765" s="48"/>
      <c r="BR3765" s="48"/>
      <c r="BS3765" s="48"/>
      <c r="BT3765" s="48"/>
      <c r="BU3765" s="48"/>
      <c r="BV3765" s="48"/>
      <c r="BW3765" s="48"/>
      <c r="BX3765" s="48"/>
      <c r="BY3765" s="48"/>
      <c r="BZ3765" s="48"/>
      <c r="CA3765" s="48"/>
      <c r="CB3765" s="48"/>
      <c r="CC3765" s="48"/>
      <c r="CD3765" s="48"/>
      <c r="CE3765" s="48"/>
      <c r="CF3765" s="48"/>
      <c r="CG3765" s="48"/>
      <c r="CH3765" s="48"/>
      <c r="CI3765" s="48"/>
      <c r="CJ3765" s="48"/>
      <c r="CK3765" s="48"/>
      <c r="CL3765" s="48"/>
      <c r="CM3765" s="48"/>
      <c r="CN3765" s="48"/>
      <c r="CO3765" s="48"/>
      <c r="CP3765" s="48"/>
      <c r="CQ3765" s="48"/>
      <c r="CR3765" s="48"/>
      <c r="CS3765" s="48"/>
      <c r="CT3765" s="48"/>
      <c r="CU3765" s="48"/>
      <c r="CV3765" s="48"/>
      <c r="CW3765" s="48"/>
      <c r="CX3765" s="48"/>
      <c r="CY3765" s="48"/>
      <c r="CZ3765" s="48"/>
    </row>
    <row r="3766" spans="27:104" s="4" customFormat="1" x14ac:dyDescent="0.3">
      <c r="AA3766" s="48"/>
      <c r="AB3766" s="48"/>
      <c r="AC3766" s="48"/>
      <c r="AD3766" s="48"/>
      <c r="AE3766" s="48"/>
      <c r="AF3766" s="48"/>
      <c r="AG3766" s="48"/>
      <c r="AH3766" s="48"/>
      <c r="AI3766" s="48"/>
      <c r="AJ3766" s="48"/>
      <c r="AK3766" s="48"/>
      <c r="AL3766" s="48"/>
      <c r="AM3766" s="48"/>
      <c r="AN3766" s="48"/>
      <c r="AO3766" s="48"/>
      <c r="AP3766" s="48"/>
      <c r="AQ3766" s="48"/>
      <c r="AR3766" s="48"/>
      <c r="AS3766" s="48"/>
      <c r="AT3766" s="48"/>
      <c r="AU3766" s="48"/>
      <c r="AV3766" s="48"/>
      <c r="AW3766" s="48"/>
      <c r="AX3766" s="48"/>
      <c r="AY3766" s="48"/>
      <c r="AZ3766" s="48"/>
      <c r="BA3766" s="48"/>
      <c r="BB3766" s="14"/>
      <c r="BC3766" s="48"/>
      <c r="BD3766" s="48"/>
      <c r="BE3766" s="48"/>
      <c r="BF3766" s="48"/>
      <c r="BG3766" s="48"/>
      <c r="BH3766" s="48"/>
      <c r="BI3766" s="48"/>
      <c r="BJ3766" s="48"/>
      <c r="BK3766" s="48"/>
      <c r="BL3766" s="48"/>
      <c r="BM3766" s="48"/>
      <c r="BN3766" s="48"/>
      <c r="BO3766" s="48"/>
      <c r="BP3766" s="48"/>
      <c r="BQ3766" s="48"/>
      <c r="BR3766" s="48"/>
      <c r="BS3766" s="48"/>
      <c r="BT3766" s="48"/>
      <c r="BU3766" s="48"/>
      <c r="BV3766" s="48"/>
      <c r="BW3766" s="48"/>
      <c r="BX3766" s="48"/>
      <c r="BY3766" s="48"/>
      <c r="BZ3766" s="48"/>
      <c r="CA3766" s="48"/>
      <c r="CB3766" s="48"/>
      <c r="CC3766" s="48"/>
      <c r="CD3766" s="48"/>
      <c r="CE3766" s="48"/>
      <c r="CF3766" s="48"/>
      <c r="CG3766" s="48"/>
      <c r="CH3766" s="48"/>
      <c r="CI3766" s="48"/>
      <c r="CJ3766" s="48"/>
      <c r="CK3766" s="48"/>
      <c r="CL3766" s="48"/>
      <c r="CM3766" s="48"/>
      <c r="CN3766" s="48"/>
      <c r="CO3766" s="48"/>
      <c r="CP3766" s="48"/>
      <c r="CQ3766" s="48"/>
      <c r="CR3766" s="48"/>
      <c r="CS3766" s="48"/>
      <c r="CT3766" s="48"/>
      <c r="CU3766" s="48"/>
      <c r="CV3766" s="48"/>
      <c r="CW3766" s="48"/>
      <c r="CX3766" s="48"/>
      <c r="CY3766" s="48"/>
      <c r="CZ3766" s="48"/>
    </row>
    <row r="3767" spans="27:104" s="4" customFormat="1" x14ac:dyDescent="0.3">
      <c r="AA3767" s="48"/>
      <c r="AB3767" s="48"/>
      <c r="AC3767" s="48"/>
      <c r="AD3767" s="48"/>
      <c r="AE3767" s="48"/>
      <c r="AF3767" s="48"/>
      <c r="AG3767" s="48"/>
      <c r="AH3767" s="48"/>
      <c r="AI3767" s="48"/>
      <c r="AJ3767" s="48"/>
      <c r="AK3767" s="48"/>
      <c r="AL3767" s="48"/>
      <c r="AM3767" s="48"/>
      <c r="AN3767" s="48"/>
      <c r="AO3767" s="48"/>
      <c r="AP3767" s="48"/>
      <c r="AQ3767" s="48"/>
      <c r="AR3767" s="48"/>
      <c r="AS3767" s="48"/>
      <c r="AT3767" s="48"/>
      <c r="AU3767" s="48"/>
      <c r="AV3767" s="48"/>
      <c r="AW3767" s="48"/>
      <c r="AX3767" s="48"/>
      <c r="AY3767" s="48"/>
      <c r="AZ3767" s="48"/>
      <c r="BA3767" s="48"/>
      <c r="BB3767" s="14"/>
      <c r="BC3767" s="48"/>
      <c r="BD3767" s="48"/>
      <c r="BE3767" s="48"/>
      <c r="BF3767" s="48"/>
      <c r="BG3767" s="48"/>
      <c r="BH3767" s="48"/>
      <c r="BI3767" s="48"/>
      <c r="BJ3767" s="48"/>
      <c r="BK3767" s="48"/>
      <c r="BL3767" s="48"/>
      <c r="BM3767" s="48"/>
      <c r="BN3767" s="48"/>
      <c r="BO3767" s="48"/>
      <c r="BP3767" s="48"/>
      <c r="BQ3767" s="48"/>
      <c r="BR3767" s="48"/>
      <c r="BS3767" s="48"/>
      <c r="BT3767" s="48"/>
      <c r="BU3767" s="48"/>
      <c r="BV3767" s="48"/>
      <c r="BW3767" s="48"/>
      <c r="BX3767" s="48"/>
      <c r="BY3767" s="48"/>
      <c r="BZ3767" s="48"/>
      <c r="CA3767" s="48"/>
      <c r="CB3767" s="48"/>
      <c r="CC3767" s="48"/>
      <c r="CD3767" s="48"/>
      <c r="CE3767" s="48"/>
      <c r="CF3767" s="48"/>
      <c r="CG3767" s="48"/>
      <c r="CH3767" s="48"/>
      <c r="CI3767" s="48"/>
      <c r="CJ3767" s="48"/>
      <c r="CK3767" s="48"/>
      <c r="CL3767" s="48"/>
      <c r="CM3767" s="48"/>
      <c r="CN3767" s="48"/>
      <c r="CO3767" s="48"/>
      <c r="CP3767" s="48"/>
      <c r="CQ3767" s="48"/>
      <c r="CR3767" s="48"/>
      <c r="CS3767" s="48"/>
      <c r="CT3767" s="48"/>
      <c r="CU3767" s="48"/>
      <c r="CV3767" s="48"/>
      <c r="CW3767" s="48"/>
      <c r="CX3767" s="48"/>
      <c r="CY3767" s="48"/>
      <c r="CZ3767" s="48"/>
    </row>
    <row r="3768" spans="27:104" s="4" customFormat="1" x14ac:dyDescent="0.3">
      <c r="AA3768" s="48"/>
      <c r="AB3768" s="48"/>
      <c r="AC3768" s="48"/>
      <c r="AD3768" s="48"/>
      <c r="AE3768" s="48"/>
      <c r="AF3768" s="48"/>
      <c r="AG3768" s="48"/>
      <c r="AH3768" s="48"/>
      <c r="AI3768" s="48"/>
      <c r="AJ3768" s="48"/>
      <c r="AK3768" s="48"/>
      <c r="AL3768" s="48"/>
      <c r="AM3768" s="48"/>
      <c r="AN3768" s="48"/>
      <c r="AO3768" s="48"/>
      <c r="AP3768" s="48"/>
      <c r="AQ3768" s="48"/>
      <c r="AR3768" s="48"/>
      <c r="AS3768" s="48"/>
      <c r="AT3768" s="48"/>
      <c r="AU3768" s="48"/>
      <c r="AV3768" s="48"/>
      <c r="AW3768" s="48"/>
      <c r="AX3768" s="48"/>
      <c r="AY3768" s="48"/>
      <c r="AZ3768" s="48"/>
      <c r="BA3768" s="48"/>
      <c r="BB3768" s="14"/>
      <c r="BC3768" s="48"/>
      <c r="BD3768" s="48"/>
      <c r="BE3768" s="48"/>
      <c r="BF3768" s="48"/>
      <c r="BG3768" s="48"/>
      <c r="BH3768" s="48"/>
      <c r="BI3768" s="48"/>
      <c r="BJ3768" s="48"/>
      <c r="BK3768" s="48"/>
      <c r="BL3768" s="48"/>
      <c r="BM3768" s="48"/>
      <c r="BN3768" s="48"/>
      <c r="BO3768" s="48"/>
      <c r="BP3768" s="48"/>
      <c r="BQ3768" s="48"/>
      <c r="BR3768" s="48"/>
      <c r="BS3768" s="48"/>
      <c r="BT3768" s="48"/>
      <c r="BU3768" s="48"/>
      <c r="BV3768" s="48"/>
      <c r="BW3768" s="48"/>
      <c r="BX3768" s="48"/>
      <c r="BY3768" s="48"/>
      <c r="BZ3768" s="48"/>
      <c r="CA3768" s="48"/>
      <c r="CB3768" s="48"/>
      <c r="CC3768" s="48"/>
      <c r="CD3768" s="48"/>
      <c r="CE3768" s="48"/>
      <c r="CF3768" s="48"/>
      <c r="CG3768" s="48"/>
      <c r="CH3768" s="48"/>
      <c r="CI3768" s="48"/>
      <c r="CJ3768" s="48"/>
      <c r="CK3768" s="48"/>
      <c r="CL3768" s="48"/>
      <c r="CM3768" s="48"/>
      <c r="CN3768" s="48"/>
      <c r="CO3768" s="48"/>
      <c r="CP3768" s="48"/>
      <c r="CQ3768" s="48"/>
      <c r="CR3768" s="48"/>
      <c r="CS3768" s="48"/>
      <c r="CT3768" s="48"/>
      <c r="CU3768" s="48"/>
      <c r="CV3768" s="48"/>
      <c r="CW3768" s="48"/>
      <c r="CX3768" s="48"/>
      <c r="CY3768" s="48"/>
      <c r="CZ3768" s="48"/>
    </row>
    <row r="3769" spans="27:104" s="4" customFormat="1" x14ac:dyDescent="0.3">
      <c r="AA3769" s="48"/>
      <c r="AB3769" s="48"/>
      <c r="AC3769" s="48"/>
      <c r="AD3769" s="48"/>
      <c r="AE3769" s="48"/>
      <c r="AF3769" s="48"/>
      <c r="AG3769" s="48"/>
      <c r="AH3769" s="48"/>
      <c r="AI3769" s="48"/>
      <c r="AJ3769" s="48"/>
      <c r="AK3769" s="48"/>
      <c r="AL3769" s="48"/>
      <c r="AM3769" s="48"/>
      <c r="AN3769" s="48"/>
      <c r="AO3769" s="48"/>
      <c r="AP3769" s="48"/>
      <c r="AQ3769" s="48"/>
      <c r="AR3769" s="48"/>
      <c r="AS3769" s="48"/>
      <c r="AT3769" s="48"/>
      <c r="AU3769" s="48"/>
      <c r="AV3769" s="48"/>
      <c r="AW3769" s="48"/>
      <c r="AX3769" s="48"/>
      <c r="AY3769" s="48"/>
      <c r="AZ3769" s="48"/>
      <c r="BA3769" s="48"/>
      <c r="BB3769" s="14"/>
      <c r="BC3769" s="48"/>
      <c r="BD3769" s="48"/>
      <c r="BE3769" s="48"/>
      <c r="BF3769" s="48"/>
      <c r="BG3769" s="48"/>
      <c r="BH3769" s="48"/>
      <c r="BI3769" s="48"/>
      <c r="BJ3769" s="48"/>
      <c r="BK3769" s="48"/>
      <c r="BL3769" s="48"/>
      <c r="BM3769" s="48"/>
      <c r="BN3769" s="48"/>
      <c r="BO3769" s="48"/>
      <c r="BP3769" s="48"/>
      <c r="BQ3769" s="48"/>
      <c r="BR3769" s="48"/>
      <c r="BS3769" s="48"/>
      <c r="BT3769" s="48"/>
      <c r="BU3769" s="48"/>
      <c r="BV3769" s="48"/>
      <c r="BW3769" s="48"/>
      <c r="BX3769" s="48"/>
      <c r="BY3769" s="48"/>
      <c r="BZ3769" s="48"/>
      <c r="CA3769" s="48"/>
      <c r="CB3769" s="48"/>
      <c r="CC3769" s="48"/>
      <c r="CD3769" s="48"/>
      <c r="CE3769" s="48"/>
      <c r="CF3769" s="48"/>
      <c r="CG3769" s="48"/>
      <c r="CH3769" s="48"/>
      <c r="CI3769" s="48"/>
      <c r="CJ3769" s="48"/>
      <c r="CK3769" s="48"/>
      <c r="CL3769" s="48"/>
      <c r="CM3769" s="48"/>
      <c r="CN3769" s="48"/>
      <c r="CO3769" s="48"/>
      <c r="CP3769" s="48"/>
      <c r="CQ3769" s="48"/>
      <c r="CR3769" s="48"/>
      <c r="CS3769" s="48"/>
      <c r="CT3769" s="48"/>
      <c r="CU3769" s="48"/>
      <c r="CV3769" s="48"/>
      <c r="CW3769" s="48"/>
      <c r="CX3769" s="48"/>
      <c r="CY3769" s="48"/>
      <c r="CZ3769" s="48"/>
    </row>
    <row r="3770" spans="27:104" s="4" customFormat="1" x14ac:dyDescent="0.3">
      <c r="AA3770" s="48"/>
      <c r="AB3770" s="48"/>
      <c r="AC3770" s="48"/>
      <c r="AD3770" s="48"/>
      <c r="AE3770" s="48"/>
      <c r="AF3770" s="48"/>
      <c r="AG3770" s="48"/>
      <c r="AH3770" s="48"/>
      <c r="AI3770" s="48"/>
      <c r="AJ3770" s="48"/>
      <c r="AK3770" s="48"/>
      <c r="AL3770" s="48"/>
      <c r="AM3770" s="48"/>
      <c r="AN3770" s="48"/>
      <c r="AO3770" s="48"/>
      <c r="AP3770" s="48"/>
      <c r="AQ3770" s="48"/>
      <c r="AR3770" s="48"/>
      <c r="AS3770" s="48"/>
      <c r="AT3770" s="48"/>
      <c r="AU3770" s="48"/>
      <c r="AV3770" s="48"/>
      <c r="AW3770" s="48"/>
      <c r="AX3770" s="48"/>
      <c r="AY3770" s="48"/>
      <c r="AZ3770" s="48"/>
      <c r="BA3770" s="48"/>
      <c r="BB3770" s="14"/>
      <c r="BC3770" s="48"/>
      <c r="BD3770" s="48"/>
      <c r="BE3770" s="48"/>
      <c r="BF3770" s="48"/>
      <c r="BG3770" s="48"/>
      <c r="BH3770" s="48"/>
      <c r="BI3770" s="48"/>
      <c r="BJ3770" s="48"/>
      <c r="BK3770" s="48"/>
      <c r="BL3770" s="48"/>
      <c r="BM3770" s="48"/>
      <c r="BN3770" s="48"/>
      <c r="BO3770" s="48"/>
      <c r="BP3770" s="48"/>
      <c r="BQ3770" s="48"/>
      <c r="BR3770" s="48"/>
      <c r="BS3770" s="48"/>
      <c r="BT3770" s="48"/>
      <c r="BU3770" s="48"/>
      <c r="BV3770" s="48"/>
      <c r="BW3770" s="48"/>
      <c r="BX3770" s="48"/>
      <c r="BY3770" s="48"/>
      <c r="BZ3770" s="48"/>
      <c r="CA3770" s="48"/>
      <c r="CB3770" s="48"/>
      <c r="CC3770" s="48"/>
      <c r="CD3770" s="48"/>
      <c r="CE3770" s="48"/>
      <c r="CF3770" s="48"/>
      <c r="CG3770" s="48"/>
      <c r="CH3770" s="48"/>
      <c r="CI3770" s="48"/>
      <c r="CJ3770" s="48"/>
      <c r="CK3770" s="48"/>
      <c r="CL3770" s="48"/>
      <c r="CM3770" s="48"/>
      <c r="CN3770" s="48"/>
      <c r="CO3770" s="48"/>
      <c r="CP3770" s="48"/>
      <c r="CQ3770" s="48"/>
      <c r="CR3770" s="48"/>
      <c r="CS3770" s="48"/>
      <c r="CT3770" s="48"/>
      <c r="CU3770" s="48"/>
      <c r="CV3770" s="48"/>
      <c r="CW3770" s="48"/>
      <c r="CX3770" s="48"/>
      <c r="CY3770" s="48"/>
      <c r="CZ3770" s="48"/>
    </row>
    <row r="3771" spans="27:104" s="4" customFormat="1" x14ac:dyDescent="0.3">
      <c r="AA3771" s="48"/>
      <c r="AB3771" s="48"/>
      <c r="AC3771" s="48"/>
      <c r="AD3771" s="48"/>
      <c r="AE3771" s="48"/>
      <c r="AF3771" s="48"/>
      <c r="AG3771" s="48"/>
      <c r="AH3771" s="48"/>
      <c r="AI3771" s="48"/>
      <c r="AJ3771" s="48"/>
      <c r="AK3771" s="48"/>
      <c r="AL3771" s="48"/>
      <c r="AM3771" s="48"/>
      <c r="AN3771" s="48"/>
      <c r="AO3771" s="48"/>
      <c r="AP3771" s="48"/>
      <c r="AQ3771" s="48"/>
      <c r="AR3771" s="48"/>
      <c r="AS3771" s="48"/>
      <c r="AT3771" s="48"/>
      <c r="AU3771" s="48"/>
      <c r="AV3771" s="48"/>
      <c r="AW3771" s="48"/>
      <c r="AX3771" s="48"/>
      <c r="AY3771" s="48"/>
      <c r="AZ3771" s="48"/>
      <c r="BA3771" s="48"/>
      <c r="BB3771" s="14"/>
      <c r="BC3771" s="48"/>
      <c r="BD3771" s="48"/>
      <c r="BE3771" s="48"/>
      <c r="BF3771" s="48"/>
      <c r="BG3771" s="48"/>
      <c r="BH3771" s="48"/>
      <c r="BI3771" s="48"/>
      <c r="BJ3771" s="48"/>
      <c r="BK3771" s="48"/>
      <c r="BL3771" s="48"/>
      <c r="BM3771" s="48"/>
      <c r="BN3771" s="48"/>
      <c r="BO3771" s="48"/>
      <c r="BP3771" s="48"/>
      <c r="BQ3771" s="48"/>
      <c r="BR3771" s="48"/>
      <c r="BS3771" s="48"/>
      <c r="BT3771" s="48"/>
      <c r="BU3771" s="48"/>
      <c r="BV3771" s="48"/>
      <c r="BW3771" s="48"/>
      <c r="BX3771" s="48"/>
      <c r="BY3771" s="48"/>
      <c r="BZ3771" s="48"/>
      <c r="CA3771" s="48"/>
      <c r="CB3771" s="48"/>
      <c r="CC3771" s="48"/>
      <c r="CD3771" s="48"/>
      <c r="CE3771" s="48"/>
      <c r="CF3771" s="48"/>
      <c r="CG3771" s="48"/>
      <c r="CH3771" s="48"/>
      <c r="CI3771" s="48"/>
      <c r="CJ3771" s="48"/>
      <c r="CK3771" s="48"/>
      <c r="CL3771" s="48"/>
      <c r="CM3771" s="48"/>
      <c r="CN3771" s="48"/>
      <c r="CO3771" s="48"/>
      <c r="CP3771" s="48"/>
      <c r="CQ3771" s="48"/>
      <c r="CR3771" s="48"/>
      <c r="CS3771" s="48"/>
      <c r="CT3771" s="48"/>
      <c r="CU3771" s="48"/>
      <c r="CV3771" s="48"/>
      <c r="CW3771" s="48"/>
      <c r="CX3771" s="48"/>
      <c r="CY3771" s="48"/>
      <c r="CZ3771" s="48"/>
    </row>
    <row r="3772" spans="27:104" s="4" customFormat="1" x14ac:dyDescent="0.3">
      <c r="AA3772" s="48"/>
      <c r="AB3772" s="48"/>
      <c r="AC3772" s="48"/>
      <c r="AD3772" s="48"/>
      <c r="AE3772" s="48"/>
      <c r="AF3772" s="48"/>
      <c r="AG3772" s="48"/>
      <c r="AH3772" s="48"/>
      <c r="AI3772" s="48"/>
      <c r="AJ3772" s="48"/>
      <c r="AK3772" s="48"/>
      <c r="AL3772" s="48"/>
      <c r="AM3772" s="48"/>
      <c r="AN3772" s="48"/>
      <c r="AO3772" s="48"/>
      <c r="AP3772" s="48"/>
      <c r="AQ3772" s="48"/>
      <c r="AR3772" s="48"/>
      <c r="AS3772" s="48"/>
      <c r="AT3772" s="48"/>
      <c r="AU3772" s="48"/>
      <c r="AV3772" s="48"/>
      <c r="AW3772" s="48"/>
      <c r="AX3772" s="48"/>
      <c r="AY3772" s="48"/>
      <c r="AZ3772" s="48"/>
      <c r="BA3772" s="48"/>
      <c r="BB3772" s="14"/>
      <c r="BC3772" s="48"/>
      <c r="BD3772" s="48"/>
      <c r="BE3772" s="48"/>
      <c r="BF3772" s="48"/>
      <c r="BG3772" s="48"/>
      <c r="BH3772" s="48"/>
      <c r="BI3772" s="48"/>
      <c r="BJ3772" s="48"/>
      <c r="BK3772" s="48"/>
      <c r="BL3772" s="48"/>
      <c r="BM3772" s="48"/>
      <c r="BN3772" s="48"/>
      <c r="BO3772" s="48"/>
      <c r="BP3772" s="48"/>
      <c r="BQ3772" s="48"/>
      <c r="BR3772" s="48"/>
      <c r="BS3772" s="48"/>
      <c r="BT3772" s="48"/>
      <c r="BU3772" s="48"/>
      <c r="BV3772" s="48"/>
      <c r="BW3772" s="48"/>
      <c r="BX3772" s="48"/>
      <c r="BY3772" s="48"/>
      <c r="BZ3772" s="48"/>
      <c r="CA3772" s="48"/>
      <c r="CB3772" s="48"/>
      <c r="CC3772" s="48"/>
      <c r="CD3772" s="48"/>
      <c r="CE3772" s="48"/>
      <c r="CF3772" s="48"/>
      <c r="CG3772" s="48"/>
      <c r="CH3772" s="48"/>
      <c r="CI3772" s="48"/>
      <c r="CJ3772" s="48"/>
      <c r="CK3772" s="48"/>
      <c r="CL3772" s="48"/>
      <c r="CM3772" s="48"/>
      <c r="CN3772" s="48"/>
      <c r="CO3772" s="48"/>
      <c r="CP3772" s="48"/>
      <c r="CQ3772" s="48"/>
      <c r="CR3772" s="48"/>
      <c r="CS3772" s="48"/>
      <c r="CT3772" s="48"/>
      <c r="CU3772" s="48"/>
      <c r="CV3772" s="48"/>
      <c r="CW3772" s="48"/>
      <c r="CX3772" s="48"/>
      <c r="CY3772" s="48"/>
      <c r="CZ3772" s="48"/>
    </row>
    <row r="3773" spans="27:104" s="4" customFormat="1" x14ac:dyDescent="0.3">
      <c r="AA3773" s="48"/>
      <c r="AB3773" s="48"/>
      <c r="AC3773" s="48"/>
      <c r="AD3773" s="48"/>
      <c r="AE3773" s="48"/>
      <c r="AF3773" s="48"/>
      <c r="AG3773" s="48"/>
      <c r="AH3773" s="48"/>
      <c r="AI3773" s="48"/>
      <c r="AJ3773" s="48"/>
      <c r="AK3773" s="48"/>
      <c r="AL3773" s="48"/>
      <c r="AM3773" s="48"/>
      <c r="AN3773" s="48"/>
      <c r="AO3773" s="48"/>
      <c r="AP3773" s="48"/>
      <c r="AQ3773" s="48"/>
      <c r="AR3773" s="48"/>
      <c r="AS3773" s="48"/>
      <c r="AT3773" s="48"/>
      <c r="AU3773" s="48"/>
      <c r="AV3773" s="48"/>
      <c r="AW3773" s="48"/>
      <c r="AX3773" s="48"/>
      <c r="AY3773" s="48"/>
      <c r="AZ3773" s="48"/>
      <c r="BA3773" s="48"/>
      <c r="BB3773" s="14"/>
      <c r="BC3773" s="48"/>
      <c r="BD3773" s="48"/>
      <c r="BE3773" s="48"/>
      <c r="BF3773" s="48"/>
      <c r="BG3773" s="48"/>
      <c r="BH3773" s="48"/>
      <c r="BI3773" s="48"/>
      <c r="BJ3773" s="48"/>
      <c r="BK3773" s="48"/>
      <c r="BL3773" s="48"/>
      <c r="BM3773" s="48"/>
      <c r="BN3773" s="48"/>
      <c r="BO3773" s="48"/>
      <c r="BP3773" s="48"/>
      <c r="BQ3773" s="48"/>
      <c r="BR3773" s="48"/>
      <c r="BS3773" s="48"/>
      <c r="BT3773" s="48"/>
      <c r="BU3773" s="48"/>
      <c r="BV3773" s="48"/>
      <c r="BW3773" s="48"/>
      <c r="BX3773" s="48"/>
      <c r="BY3773" s="48"/>
      <c r="BZ3773" s="48"/>
      <c r="CA3773" s="48"/>
      <c r="CB3773" s="48"/>
      <c r="CC3773" s="48"/>
      <c r="CD3773" s="48"/>
      <c r="CE3773" s="48"/>
      <c r="CF3773" s="48"/>
      <c r="CG3773" s="48"/>
      <c r="CH3773" s="48"/>
      <c r="CI3773" s="48"/>
      <c r="CJ3773" s="48"/>
      <c r="CK3773" s="48"/>
      <c r="CL3773" s="48"/>
      <c r="CM3773" s="48"/>
      <c r="CN3773" s="48"/>
      <c r="CO3773" s="48"/>
      <c r="CP3773" s="48"/>
      <c r="CQ3773" s="48"/>
      <c r="CR3773" s="48"/>
      <c r="CS3773" s="48"/>
      <c r="CT3773" s="48"/>
      <c r="CU3773" s="48"/>
      <c r="CV3773" s="48"/>
      <c r="CW3773" s="48"/>
      <c r="CX3773" s="48"/>
      <c r="CY3773" s="48"/>
      <c r="CZ3773" s="48"/>
    </row>
    <row r="3774" spans="27:104" s="4" customFormat="1" x14ac:dyDescent="0.3">
      <c r="AA3774" s="48"/>
      <c r="AB3774" s="48"/>
      <c r="AC3774" s="48"/>
      <c r="AD3774" s="48"/>
      <c r="AE3774" s="48"/>
      <c r="AF3774" s="48"/>
      <c r="AG3774" s="48"/>
      <c r="AH3774" s="48"/>
      <c r="AI3774" s="48"/>
      <c r="AJ3774" s="48"/>
      <c r="AK3774" s="48"/>
      <c r="AL3774" s="48"/>
      <c r="AM3774" s="48"/>
      <c r="AN3774" s="48"/>
      <c r="AO3774" s="48"/>
      <c r="AP3774" s="48"/>
      <c r="AQ3774" s="48"/>
      <c r="AR3774" s="48"/>
      <c r="AS3774" s="48"/>
      <c r="AT3774" s="48"/>
      <c r="AU3774" s="48"/>
      <c r="AV3774" s="48"/>
      <c r="AW3774" s="48"/>
      <c r="AX3774" s="48"/>
      <c r="AY3774" s="48"/>
      <c r="AZ3774" s="48"/>
      <c r="BA3774" s="48"/>
      <c r="BB3774" s="14"/>
      <c r="BC3774" s="48"/>
      <c r="BD3774" s="48"/>
      <c r="BE3774" s="48"/>
      <c r="BF3774" s="48"/>
      <c r="BG3774" s="48"/>
      <c r="BH3774" s="48"/>
      <c r="BI3774" s="48"/>
      <c r="BJ3774" s="48"/>
      <c r="BK3774" s="48"/>
      <c r="BL3774" s="48"/>
      <c r="BM3774" s="48"/>
      <c r="BN3774" s="48"/>
      <c r="BO3774" s="48"/>
      <c r="BP3774" s="48"/>
      <c r="BQ3774" s="48"/>
      <c r="BR3774" s="48"/>
      <c r="BS3774" s="48"/>
      <c r="BT3774" s="48"/>
      <c r="BU3774" s="48"/>
      <c r="BV3774" s="48"/>
      <c r="BW3774" s="48"/>
      <c r="BX3774" s="48"/>
      <c r="BY3774" s="48"/>
      <c r="BZ3774" s="48"/>
      <c r="CA3774" s="48"/>
      <c r="CB3774" s="48"/>
      <c r="CC3774" s="48"/>
      <c r="CD3774" s="48"/>
      <c r="CE3774" s="48"/>
      <c r="CF3774" s="48"/>
      <c r="CG3774" s="48"/>
      <c r="CH3774" s="48"/>
      <c r="CI3774" s="48"/>
      <c r="CJ3774" s="48"/>
      <c r="CK3774" s="48"/>
      <c r="CL3774" s="48"/>
      <c r="CM3774" s="48"/>
      <c r="CN3774" s="48"/>
      <c r="CO3774" s="48"/>
      <c r="CP3774" s="48"/>
      <c r="CQ3774" s="48"/>
      <c r="CR3774" s="48"/>
      <c r="CS3774" s="48"/>
      <c r="CT3774" s="48"/>
      <c r="CU3774" s="48"/>
      <c r="CV3774" s="48"/>
      <c r="CW3774" s="48"/>
      <c r="CX3774" s="48"/>
      <c r="CY3774" s="48"/>
      <c r="CZ3774" s="48"/>
    </row>
    <row r="3775" spans="27:104" s="4" customFormat="1" x14ac:dyDescent="0.3">
      <c r="AA3775" s="48"/>
      <c r="AB3775" s="48"/>
      <c r="AC3775" s="48"/>
      <c r="AD3775" s="48"/>
      <c r="AE3775" s="48"/>
      <c r="AF3775" s="48"/>
      <c r="AG3775" s="48"/>
      <c r="AH3775" s="48"/>
      <c r="AI3775" s="48"/>
      <c r="AJ3775" s="48"/>
      <c r="AK3775" s="48"/>
      <c r="AL3775" s="48"/>
      <c r="AM3775" s="48"/>
      <c r="AN3775" s="48"/>
      <c r="AO3775" s="48"/>
      <c r="AP3775" s="48"/>
      <c r="AQ3775" s="48"/>
      <c r="AR3775" s="48"/>
      <c r="AS3775" s="48"/>
      <c r="AT3775" s="48"/>
      <c r="AU3775" s="48"/>
      <c r="AV3775" s="48"/>
      <c r="AW3775" s="48"/>
      <c r="AX3775" s="48"/>
      <c r="AY3775" s="48"/>
      <c r="AZ3775" s="48"/>
      <c r="BA3775" s="48"/>
      <c r="BB3775" s="14"/>
      <c r="BC3775" s="48"/>
      <c r="BD3775" s="48"/>
      <c r="BE3775" s="48"/>
      <c r="BF3775" s="48"/>
      <c r="BG3775" s="48"/>
      <c r="BH3775" s="48"/>
      <c r="BI3775" s="48"/>
      <c r="BJ3775" s="48"/>
      <c r="BK3775" s="48"/>
      <c r="BL3775" s="48"/>
      <c r="BM3775" s="48"/>
      <c r="BN3775" s="48"/>
      <c r="BO3775" s="48"/>
      <c r="BP3775" s="48"/>
      <c r="BQ3775" s="48"/>
      <c r="BR3775" s="48"/>
      <c r="BS3775" s="48"/>
      <c r="BT3775" s="48"/>
      <c r="BU3775" s="48"/>
      <c r="BV3775" s="48"/>
      <c r="BW3775" s="48"/>
      <c r="BX3775" s="48"/>
      <c r="BY3775" s="48"/>
      <c r="BZ3775" s="48"/>
      <c r="CA3775" s="48"/>
      <c r="CB3775" s="48"/>
      <c r="CC3775" s="48"/>
      <c r="CD3775" s="48"/>
      <c r="CE3775" s="48"/>
      <c r="CF3775" s="48"/>
      <c r="CG3775" s="48"/>
      <c r="CH3775" s="48"/>
      <c r="CI3775" s="48"/>
      <c r="CJ3775" s="48"/>
      <c r="CK3775" s="48"/>
      <c r="CL3775" s="48"/>
      <c r="CM3775" s="48"/>
      <c r="CN3775" s="48"/>
      <c r="CO3775" s="48"/>
      <c r="CP3775" s="48"/>
      <c r="CQ3775" s="48"/>
      <c r="CR3775" s="48"/>
      <c r="CS3775" s="48"/>
      <c r="CT3775" s="48"/>
      <c r="CU3775" s="48"/>
      <c r="CV3775" s="48"/>
      <c r="CW3775" s="48"/>
      <c r="CX3775" s="48"/>
      <c r="CY3775" s="48"/>
      <c r="CZ3775" s="48"/>
    </row>
    <row r="3776" spans="27:104" s="4" customFormat="1" x14ac:dyDescent="0.3">
      <c r="AA3776" s="48"/>
      <c r="AB3776" s="48"/>
      <c r="AC3776" s="48"/>
      <c r="AD3776" s="48"/>
      <c r="AE3776" s="48"/>
      <c r="AF3776" s="48"/>
      <c r="AG3776" s="48"/>
      <c r="AH3776" s="48"/>
      <c r="AI3776" s="48"/>
      <c r="AJ3776" s="48"/>
      <c r="AK3776" s="48"/>
      <c r="AL3776" s="48"/>
      <c r="AM3776" s="48"/>
      <c r="AN3776" s="48"/>
      <c r="AO3776" s="48"/>
      <c r="AP3776" s="48"/>
      <c r="AQ3776" s="48"/>
      <c r="AR3776" s="48"/>
      <c r="AS3776" s="48"/>
      <c r="AT3776" s="48"/>
      <c r="AU3776" s="48"/>
      <c r="AV3776" s="48"/>
      <c r="AW3776" s="48"/>
      <c r="AX3776" s="48"/>
      <c r="AY3776" s="48"/>
      <c r="AZ3776" s="48"/>
      <c r="BA3776" s="48"/>
      <c r="BB3776" s="14"/>
      <c r="BC3776" s="48"/>
      <c r="BD3776" s="48"/>
      <c r="BE3776" s="48"/>
      <c r="BF3776" s="48"/>
      <c r="BG3776" s="48"/>
      <c r="BH3776" s="48"/>
      <c r="BI3776" s="48"/>
      <c r="BJ3776" s="48"/>
      <c r="BK3776" s="48"/>
      <c r="BL3776" s="48"/>
      <c r="BM3776" s="48"/>
      <c r="BN3776" s="48"/>
      <c r="BO3776" s="48"/>
      <c r="BP3776" s="48"/>
      <c r="BQ3776" s="48"/>
      <c r="BR3776" s="48"/>
      <c r="BS3776" s="48"/>
      <c r="BT3776" s="48"/>
      <c r="BU3776" s="48"/>
      <c r="BV3776" s="48"/>
      <c r="BW3776" s="48"/>
      <c r="BX3776" s="48"/>
      <c r="BY3776" s="48"/>
      <c r="BZ3776" s="48"/>
      <c r="CA3776" s="48"/>
      <c r="CB3776" s="48"/>
      <c r="CC3776" s="48"/>
      <c r="CD3776" s="48"/>
      <c r="CE3776" s="48"/>
      <c r="CF3776" s="48"/>
      <c r="CG3776" s="48"/>
      <c r="CH3776" s="48"/>
      <c r="CI3776" s="48"/>
      <c r="CJ3776" s="48"/>
      <c r="CK3776" s="48"/>
      <c r="CL3776" s="48"/>
      <c r="CM3776" s="48"/>
      <c r="CN3776" s="48"/>
      <c r="CO3776" s="48"/>
      <c r="CP3776" s="48"/>
      <c r="CQ3776" s="48"/>
      <c r="CR3776" s="48"/>
      <c r="CS3776" s="48"/>
      <c r="CT3776" s="48"/>
      <c r="CU3776" s="48"/>
      <c r="CV3776" s="48"/>
      <c r="CW3776" s="48"/>
      <c r="CX3776" s="48"/>
      <c r="CY3776" s="48"/>
      <c r="CZ3776" s="48"/>
    </row>
    <row r="3777" spans="27:104" s="4" customFormat="1" x14ac:dyDescent="0.3">
      <c r="AA3777" s="48"/>
      <c r="AB3777" s="48"/>
      <c r="AC3777" s="48"/>
      <c r="AD3777" s="48"/>
      <c r="AE3777" s="48"/>
      <c r="AF3777" s="48"/>
      <c r="AG3777" s="48"/>
      <c r="AH3777" s="48"/>
      <c r="AI3777" s="48"/>
      <c r="AJ3777" s="48"/>
      <c r="AK3777" s="48"/>
      <c r="AL3777" s="48"/>
      <c r="AM3777" s="48"/>
      <c r="AN3777" s="48"/>
      <c r="AO3777" s="48"/>
      <c r="AP3777" s="48"/>
      <c r="AQ3777" s="48"/>
      <c r="AR3777" s="48"/>
      <c r="AS3777" s="48"/>
      <c r="AT3777" s="48"/>
      <c r="AU3777" s="48"/>
      <c r="AV3777" s="48"/>
      <c r="AW3777" s="48"/>
      <c r="AX3777" s="48"/>
      <c r="AY3777" s="48"/>
      <c r="AZ3777" s="48"/>
      <c r="BA3777" s="48"/>
      <c r="BB3777" s="14"/>
      <c r="BC3777" s="48"/>
      <c r="BD3777" s="48"/>
      <c r="BE3777" s="48"/>
      <c r="BF3777" s="48"/>
      <c r="BG3777" s="48"/>
      <c r="BH3777" s="48"/>
      <c r="BI3777" s="48"/>
      <c r="BJ3777" s="48"/>
      <c r="BK3777" s="48"/>
      <c r="BL3777" s="48"/>
      <c r="BM3777" s="48"/>
      <c r="BN3777" s="48"/>
      <c r="BO3777" s="48"/>
      <c r="BP3777" s="48"/>
      <c r="BQ3777" s="48"/>
      <c r="BR3777" s="48"/>
      <c r="BS3777" s="48"/>
      <c r="BT3777" s="48"/>
      <c r="BU3777" s="48"/>
      <c r="BV3777" s="48"/>
      <c r="BW3777" s="48"/>
      <c r="BX3777" s="48"/>
      <c r="BY3777" s="48"/>
      <c r="BZ3777" s="48"/>
      <c r="CA3777" s="48"/>
      <c r="CB3777" s="48"/>
      <c r="CC3777" s="48"/>
      <c r="CD3777" s="48"/>
      <c r="CE3777" s="48"/>
      <c r="CF3777" s="48"/>
      <c r="CG3777" s="48"/>
      <c r="CH3777" s="48"/>
      <c r="CI3777" s="48"/>
      <c r="CJ3777" s="48"/>
      <c r="CK3777" s="48"/>
      <c r="CL3777" s="48"/>
      <c r="CM3777" s="48"/>
      <c r="CN3777" s="48"/>
      <c r="CO3777" s="48"/>
      <c r="CP3777" s="48"/>
      <c r="CQ3777" s="48"/>
      <c r="CR3777" s="48"/>
      <c r="CS3777" s="48"/>
      <c r="CT3777" s="48"/>
      <c r="CU3777" s="48"/>
      <c r="CV3777" s="48"/>
      <c r="CW3777" s="48"/>
      <c r="CX3777" s="48"/>
      <c r="CY3777" s="48"/>
      <c r="CZ3777" s="48"/>
    </row>
    <row r="3778" spans="27:104" s="4" customFormat="1" x14ac:dyDescent="0.3">
      <c r="AA3778" s="48"/>
      <c r="AB3778" s="48"/>
      <c r="AC3778" s="48"/>
      <c r="AD3778" s="48"/>
      <c r="AE3778" s="48"/>
      <c r="AF3778" s="48"/>
      <c r="AG3778" s="48"/>
      <c r="AH3778" s="48"/>
      <c r="AI3778" s="48"/>
      <c r="AJ3778" s="48"/>
      <c r="AK3778" s="48"/>
      <c r="AL3778" s="48"/>
      <c r="AM3778" s="48"/>
      <c r="AN3778" s="48"/>
      <c r="AO3778" s="48"/>
      <c r="AP3778" s="48"/>
      <c r="AQ3778" s="48"/>
      <c r="AR3778" s="48"/>
      <c r="AS3778" s="48"/>
      <c r="AT3778" s="48"/>
      <c r="AU3778" s="48"/>
      <c r="AV3778" s="48"/>
      <c r="AW3778" s="48"/>
      <c r="AX3778" s="48"/>
      <c r="AY3778" s="48"/>
      <c r="AZ3778" s="48"/>
      <c r="BA3778" s="48"/>
      <c r="BB3778" s="14"/>
      <c r="BC3778" s="48"/>
      <c r="BD3778" s="48"/>
      <c r="BE3778" s="48"/>
      <c r="BF3778" s="48"/>
      <c r="BG3778" s="48"/>
      <c r="BH3778" s="48"/>
      <c r="BI3778" s="48"/>
      <c r="BJ3778" s="48"/>
      <c r="BK3778" s="48"/>
      <c r="BL3778" s="48"/>
      <c r="BM3778" s="48"/>
      <c r="BN3778" s="48"/>
      <c r="BO3778" s="48"/>
      <c r="BP3778" s="48"/>
      <c r="BQ3778" s="48"/>
      <c r="BR3778" s="48"/>
      <c r="BS3778" s="48"/>
      <c r="BT3778" s="48"/>
      <c r="BU3778" s="48"/>
      <c r="BV3778" s="48"/>
      <c r="BW3778" s="48"/>
      <c r="BX3778" s="48"/>
      <c r="BY3778" s="48"/>
      <c r="BZ3778" s="48"/>
      <c r="CA3778" s="48"/>
      <c r="CB3778" s="48"/>
      <c r="CC3778" s="48"/>
      <c r="CD3778" s="48"/>
      <c r="CE3778" s="48"/>
      <c r="CF3778" s="48"/>
      <c r="CG3778" s="48"/>
      <c r="CH3778" s="48"/>
      <c r="CI3778" s="48"/>
      <c r="CJ3778" s="48"/>
      <c r="CK3778" s="48"/>
      <c r="CL3778" s="48"/>
      <c r="CM3778" s="48"/>
      <c r="CN3778" s="48"/>
      <c r="CO3778" s="48"/>
      <c r="CP3778" s="48"/>
      <c r="CQ3778" s="48"/>
      <c r="CR3778" s="48"/>
      <c r="CS3778" s="48"/>
      <c r="CT3778" s="48"/>
      <c r="CU3778" s="48"/>
      <c r="CV3778" s="48"/>
      <c r="CW3778" s="48"/>
      <c r="CX3778" s="48"/>
      <c r="CY3778" s="48"/>
      <c r="CZ3778" s="48"/>
    </row>
    <row r="3779" spans="27:104" s="4" customFormat="1" x14ac:dyDescent="0.3">
      <c r="AA3779" s="48"/>
      <c r="AB3779" s="48"/>
      <c r="AC3779" s="48"/>
      <c r="AD3779" s="48"/>
      <c r="AE3779" s="48"/>
      <c r="AF3779" s="48"/>
      <c r="AG3779" s="48"/>
      <c r="AH3779" s="48"/>
      <c r="AI3779" s="48"/>
      <c r="AJ3779" s="48"/>
      <c r="AK3779" s="48"/>
      <c r="AL3779" s="48"/>
      <c r="AM3779" s="48"/>
      <c r="AN3779" s="48"/>
      <c r="AO3779" s="48"/>
      <c r="AP3779" s="48"/>
      <c r="AQ3779" s="48"/>
      <c r="AR3779" s="48"/>
      <c r="AS3779" s="48"/>
      <c r="AT3779" s="48"/>
      <c r="AU3779" s="48"/>
      <c r="AV3779" s="48"/>
      <c r="AW3779" s="48"/>
      <c r="AX3779" s="48"/>
      <c r="AY3779" s="48"/>
      <c r="AZ3779" s="48"/>
      <c r="BA3779" s="48"/>
      <c r="BB3779" s="14"/>
      <c r="BC3779" s="48"/>
      <c r="BD3779" s="48"/>
      <c r="BE3779" s="48"/>
      <c r="BF3779" s="48"/>
      <c r="BG3779" s="48"/>
      <c r="BH3779" s="48"/>
      <c r="BI3779" s="48"/>
      <c r="BJ3779" s="48"/>
      <c r="BK3779" s="48"/>
      <c r="BL3779" s="48"/>
      <c r="BM3779" s="48"/>
      <c r="BN3779" s="48"/>
      <c r="BO3779" s="48"/>
      <c r="BP3779" s="48"/>
      <c r="BQ3779" s="48"/>
      <c r="BR3779" s="48"/>
      <c r="BS3779" s="48"/>
      <c r="BT3779" s="48"/>
      <c r="BU3779" s="48"/>
      <c r="BV3779" s="48"/>
      <c r="BW3779" s="48"/>
      <c r="BX3779" s="48"/>
      <c r="BY3779" s="48"/>
      <c r="BZ3779" s="48"/>
      <c r="CA3779" s="48"/>
      <c r="CB3779" s="48"/>
      <c r="CC3779" s="48"/>
      <c r="CD3779" s="48"/>
      <c r="CE3779" s="48"/>
      <c r="CF3779" s="48"/>
      <c r="CG3779" s="48"/>
      <c r="CH3779" s="48"/>
      <c r="CI3779" s="48"/>
      <c r="CJ3779" s="48"/>
      <c r="CK3779" s="48"/>
      <c r="CL3779" s="48"/>
      <c r="CM3779" s="48"/>
      <c r="CN3779" s="48"/>
      <c r="CO3779" s="48"/>
      <c r="CP3779" s="48"/>
      <c r="CQ3779" s="48"/>
      <c r="CR3779" s="48"/>
      <c r="CS3779" s="48"/>
      <c r="CT3779" s="48"/>
      <c r="CU3779" s="48"/>
      <c r="CV3779" s="48"/>
      <c r="CW3779" s="48"/>
      <c r="CX3779" s="48"/>
      <c r="CY3779" s="48"/>
      <c r="CZ3779" s="48"/>
    </row>
    <row r="3780" spans="27:104" s="4" customFormat="1" x14ac:dyDescent="0.3">
      <c r="AA3780" s="48"/>
      <c r="AB3780" s="48"/>
      <c r="AC3780" s="48"/>
      <c r="AD3780" s="48"/>
      <c r="AE3780" s="48"/>
      <c r="AF3780" s="48"/>
      <c r="AG3780" s="48"/>
      <c r="AH3780" s="48"/>
      <c r="AI3780" s="48"/>
      <c r="AJ3780" s="48"/>
      <c r="AK3780" s="48"/>
      <c r="AL3780" s="48"/>
      <c r="AM3780" s="48"/>
      <c r="AN3780" s="48"/>
      <c r="AO3780" s="48"/>
      <c r="AP3780" s="48"/>
      <c r="AQ3780" s="48"/>
      <c r="AR3780" s="48"/>
      <c r="AS3780" s="48"/>
      <c r="AT3780" s="48"/>
      <c r="AU3780" s="48"/>
      <c r="AV3780" s="48"/>
      <c r="AW3780" s="48"/>
      <c r="AX3780" s="48"/>
      <c r="AY3780" s="48"/>
      <c r="AZ3780" s="48"/>
      <c r="BA3780" s="48"/>
      <c r="BB3780" s="14"/>
      <c r="BC3780" s="48"/>
      <c r="BD3780" s="48"/>
      <c r="BE3780" s="48"/>
      <c r="BF3780" s="48"/>
      <c r="BG3780" s="48"/>
      <c r="BH3780" s="48"/>
      <c r="BI3780" s="48"/>
      <c r="BJ3780" s="48"/>
      <c r="BK3780" s="48"/>
      <c r="BL3780" s="48"/>
      <c r="BM3780" s="48"/>
      <c r="BN3780" s="48"/>
      <c r="BO3780" s="48"/>
      <c r="BP3780" s="48"/>
      <c r="BQ3780" s="48"/>
      <c r="BR3780" s="48"/>
      <c r="BS3780" s="48"/>
      <c r="BT3780" s="48"/>
      <c r="BU3780" s="48"/>
      <c r="BV3780" s="48"/>
      <c r="BW3780" s="48"/>
      <c r="BX3780" s="48"/>
      <c r="BY3780" s="48"/>
      <c r="BZ3780" s="48"/>
      <c r="CA3780" s="48"/>
      <c r="CB3780" s="48"/>
      <c r="CC3780" s="48"/>
      <c r="CD3780" s="48"/>
      <c r="CE3780" s="48"/>
      <c r="CF3780" s="48"/>
      <c r="CG3780" s="48"/>
      <c r="CH3780" s="48"/>
      <c r="CI3780" s="48"/>
      <c r="CJ3780" s="48"/>
      <c r="CK3780" s="48"/>
      <c r="CL3780" s="48"/>
      <c r="CM3780" s="48"/>
      <c r="CN3780" s="48"/>
      <c r="CO3780" s="48"/>
      <c r="CP3780" s="48"/>
      <c r="CQ3780" s="48"/>
      <c r="CR3780" s="48"/>
      <c r="CS3780" s="48"/>
      <c r="CT3780" s="48"/>
      <c r="CU3780" s="48"/>
      <c r="CV3780" s="48"/>
      <c r="CW3780" s="48"/>
      <c r="CX3780" s="48"/>
      <c r="CY3780" s="48"/>
      <c r="CZ3780" s="48"/>
    </row>
    <row r="3781" spans="27:104" s="4" customFormat="1" x14ac:dyDescent="0.3">
      <c r="AA3781" s="48"/>
      <c r="AB3781" s="48"/>
      <c r="AC3781" s="48"/>
      <c r="AD3781" s="48"/>
      <c r="AE3781" s="48"/>
      <c r="AF3781" s="48"/>
      <c r="AG3781" s="48"/>
      <c r="AH3781" s="48"/>
      <c r="AI3781" s="48"/>
      <c r="AJ3781" s="48"/>
      <c r="AK3781" s="48"/>
      <c r="AL3781" s="48"/>
      <c r="AM3781" s="48"/>
      <c r="AN3781" s="48"/>
      <c r="AO3781" s="48"/>
      <c r="AP3781" s="48"/>
      <c r="AQ3781" s="48"/>
      <c r="AR3781" s="48"/>
      <c r="AS3781" s="48"/>
      <c r="AT3781" s="48"/>
      <c r="AU3781" s="48"/>
      <c r="AV3781" s="48"/>
      <c r="AW3781" s="48"/>
      <c r="AX3781" s="48"/>
      <c r="AY3781" s="48"/>
      <c r="AZ3781" s="48"/>
      <c r="BA3781" s="48"/>
      <c r="BB3781" s="14"/>
      <c r="BC3781" s="48"/>
      <c r="BD3781" s="48"/>
      <c r="BE3781" s="48"/>
      <c r="BF3781" s="48"/>
      <c r="BG3781" s="48"/>
      <c r="BH3781" s="48"/>
      <c r="BI3781" s="48"/>
      <c r="BJ3781" s="48"/>
      <c r="BK3781" s="48"/>
      <c r="BL3781" s="48"/>
      <c r="BM3781" s="48"/>
      <c r="BN3781" s="48"/>
      <c r="BO3781" s="48"/>
      <c r="BP3781" s="48"/>
      <c r="BQ3781" s="48"/>
      <c r="BR3781" s="48"/>
      <c r="BS3781" s="48"/>
      <c r="BT3781" s="48"/>
      <c r="BU3781" s="48"/>
      <c r="BV3781" s="48"/>
      <c r="BW3781" s="48"/>
      <c r="BX3781" s="48"/>
      <c r="BY3781" s="48"/>
      <c r="BZ3781" s="48"/>
      <c r="CA3781" s="48"/>
      <c r="CB3781" s="48"/>
      <c r="CC3781" s="48"/>
      <c r="CD3781" s="48"/>
      <c r="CE3781" s="48"/>
      <c r="CF3781" s="48"/>
      <c r="CG3781" s="48"/>
      <c r="CH3781" s="48"/>
      <c r="CI3781" s="48"/>
      <c r="CJ3781" s="48"/>
      <c r="CK3781" s="48"/>
      <c r="CL3781" s="48"/>
      <c r="CM3781" s="48"/>
      <c r="CN3781" s="48"/>
      <c r="CO3781" s="48"/>
      <c r="CP3781" s="48"/>
      <c r="CQ3781" s="48"/>
      <c r="CR3781" s="48"/>
      <c r="CS3781" s="48"/>
      <c r="CT3781" s="48"/>
      <c r="CU3781" s="48"/>
      <c r="CV3781" s="48"/>
      <c r="CW3781" s="48"/>
      <c r="CX3781" s="48"/>
      <c r="CY3781" s="48"/>
      <c r="CZ3781" s="48"/>
    </row>
    <row r="3782" spans="27:104" s="4" customFormat="1" x14ac:dyDescent="0.3">
      <c r="AA3782" s="48"/>
      <c r="AB3782" s="48"/>
      <c r="AC3782" s="48"/>
      <c r="AD3782" s="48"/>
      <c r="AE3782" s="48"/>
      <c r="AF3782" s="48"/>
      <c r="AG3782" s="48"/>
      <c r="AH3782" s="48"/>
      <c r="AI3782" s="48"/>
      <c r="AJ3782" s="48"/>
      <c r="AK3782" s="48"/>
      <c r="AL3782" s="48"/>
      <c r="AM3782" s="48"/>
      <c r="AN3782" s="48"/>
      <c r="AO3782" s="48"/>
      <c r="AP3782" s="48"/>
      <c r="AQ3782" s="48"/>
      <c r="AR3782" s="48"/>
      <c r="AS3782" s="48"/>
      <c r="AT3782" s="48"/>
      <c r="AU3782" s="48"/>
      <c r="AV3782" s="48"/>
      <c r="AW3782" s="48"/>
      <c r="AX3782" s="48"/>
      <c r="AY3782" s="48"/>
      <c r="AZ3782" s="48"/>
      <c r="BA3782" s="48"/>
      <c r="BB3782" s="14"/>
      <c r="BC3782" s="48"/>
      <c r="BD3782" s="48"/>
      <c r="BE3782" s="48"/>
      <c r="BF3782" s="48"/>
      <c r="BG3782" s="48"/>
      <c r="BH3782" s="48"/>
      <c r="BI3782" s="48"/>
      <c r="BJ3782" s="48"/>
      <c r="BK3782" s="48"/>
      <c r="BL3782" s="48"/>
      <c r="BM3782" s="48"/>
      <c r="BN3782" s="48"/>
      <c r="BO3782" s="48"/>
      <c r="BP3782" s="48"/>
      <c r="BQ3782" s="48"/>
      <c r="BR3782" s="48"/>
      <c r="BS3782" s="48"/>
      <c r="BT3782" s="48"/>
      <c r="BU3782" s="48"/>
      <c r="BV3782" s="48"/>
      <c r="BW3782" s="48"/>
      <c r="BX3782" s="48"/>
      <c r="BY3782" s="48"/>
      <c r="BZ3782" s="48"/>
      <c r="CA3782" s="48"/>
      <c r="CB3782" s="48"/>
      <c r="CC3782" s="48"/>
      <c r="CD3782" s="48"/>
      <c r="CE3782" s="48"/>
      <c r="CF3782" s="48"/>
      <c r="CG3782" s="48"/>
      <c r="CH3782" s="48"/>
      <c r="CI3782" s="48"/>
      <c r="CJ3782" s="48"/>
      <c r="CK3782" s="48"/>
      <c r="CL3782" s="48"/>
      <c r="CM3782" s="48"/>
      <c r="CN3782" s="48"/>
      <c r="CO3782" s="48"/>
      <c r="CP3782" s="48"/>
      <c r="CQ3782" s="48"/>
      <c r="CR3782" s="48"/>
      <c r="CS3782" s="48"/>
      <c r="CT3782" s="48"/>
      <c r="CU3782" s="48"/>
      <c r="CV3782" s="48"/>
      <c r="CW3782" s="48"/>
      <c r="CX3782" s="48"/>
      <c r="CY3782" s="48"/>
      <c r="CZ3782" s="48"/>
    </row>
    <row r="3783" spans="27:104" s="4" customFormat="1" x14ac:dyDescent="0.3">
      <c r="AA3783" s="48"/>
      <c r="AB3783" s="48"/>
      <c r="AC3783" s="48"/>
      <c r="AD3783" s="48"/>
      <c r="AE3783" s="48"/>
      <c r="AF3783" s="48"/>
      <c r="AG3783" s="48"/>
      <c r="AH3783" s="48"/>
      <c r="AI3783" s="48"/>
      <c r="AJ3783" s="48"/>
      <c r="AK3783" s="48"/>
      <c r="AL3783" s="48"/>
      <c r="AM3783" s="48"/>
      <c r="AN3783" s="48"/>
      <c r="AO3783" s="48"/>
      <c r="AP3783" s="48"/>
      <c r="AQ3783" s="48"/>
      <c r="AR3783" s="48"/>
      <c r="AS3783" s="48"/>
      <c r="AT3783" s="48"/>
      <c r="AU3783" s="48"/>
      <c r="AV3783" s="48"/>
      <c r="AW3783" s="48"/>
      <c r="AX3783" s="48"/>
      <c r="AY3783" s="48"/>
      <c r="AZ3783" s="48"/>
      <c r="BA3783" s="48"/>
      <c r="BB3783" s="14"/>
      <c r="BC3783" s="48"/>
      <c r="BD3783" s="48"/>
      <c r="BE3783" s="48"/>
      <c r="BF3783" s="48"/>
      <c r="BG3783" s="48"/>
      <c r="BH3783" s="48"/>
      <c r="BI3783" s="48"/>
      <c r="BJ3783" s="48"/>
      <c r="BK3783" s="48"/>
      <c r="BL3783" s="48"/>
      <c r="BM3783" s="48"/>
      <c r="BN3783" s="48"/>
      <c r="BO3783" s="48"/>
      <c r="BP3783" s="48"/>
      <c r="BQ3783" s="48"/>
      <c r="BR3783" s="48"/>
      <c r="BS3783" s="48"/>
      <c r="BT3783" s="48"/>
      <c r="BU3783" s="48"/>
      <c r="BV3783" s="48"/>
      <c r="BW3783" s="48"/>
      <c r="BX3783" s="48"/>
      <c r="BY3783" s="48"/>
      <c r="BZ3783" s="48"/>
      <c r="CA3783" s="48"/>
      <c r="CB3783" s="48"/>
      <c r="CC3783" s="48"/>
      <c r="CD3783" s="48"/>
      <c r="CE3783" s="48"/>
      <c r="CF3783" s="48"/>
      <c r="CG3783" s="48"/>
      <c r="CH3783" s="48"/>
      <c r="CI3783" s="48"/>
      <c r="CJ3783" s="48"/>
      <c r="CK3783" s="48"/>
      <c r="CL3783" s="48"/>
      <c r="CM3783" s="48"/>
      <c r="CN3783" s="48"/>
      <c r="CO3783" s="48"/>
      <c r="CP3783" s="48"/>
      <c r="CQ3783" s="48"/>
      <c r="CR3783" s="48"/>
      <c r="CS3783" s="48"/>
      <c r="CT3783" s="48"/>
      <c r="CU3783" s="48"/>
      <c r="CV3783" s="48"/>
      <c r="CW3783" s="48"/>
      <c r="CX3783" s="48"/>
      <c r="CY3783" s="48"/>
      <c r="CZ3783" s="48"/>
    </row>
    <row r="3784" spans="27:104" s="4" customFormat="1" x14ac:dyDescent="0.3">
      <c r="AA3784" s="48"/>
      <c r="AB3784" s="48"/>
      <c r="AC3784" s="48"/>
      <c r="AD3784" s="48"/>
      <c r="AE3784" s="48"/>
      <c r="AF3784" s="48"/>
      <c r="AG3784" s="48"/>
      <c r="AH3784" s="48"/>
      <c r="AI3784" s="48"/>
      <c r="AJ3784" s="48"/>
      <c r="AK3784" s="48"/>
      <c r="AL3784" s="48"/>
      <c r="AM3784" s="48"/>
      <c r="AN3784" s="48"/>
      <c r="AO3784" s="48"/>
      <c r="AP3784" s="48"/>
      <c r="AQ3784" s="48"/>
      <c r="AR3784" s="48"/>
      <c r="AS3784" s="48"/>
      <c r="AT3784" s="48"/>
      <c r="AU3784" s="48"/>
      <c r="AV3784" s="48"/>
      <c r="AW3784" s="48"/>
      <c r="AX3784" s="48"/>
      <c r="AY3784" s="48"/>
      <c r="AZ3784" s="48"/>
      <c r="BA3784" s="48"/>
      <c r="BB3784" s="14"/>
      <c r="BC3784" s="48"/>
      <c r="BD3784" s="48"/>
      <c r="BE3784" s="48"/>
      <c r="BF3784" s="48"/>
      <c r="BG3784" s="48"/>
      <c r="BH3784" s="48"/>
      <c r="BI3784" s="48"/>
      <c r="BJ3784" s="48"/>
      <c r="BK3784" s="48"/>
      <c r="BL3784" s="48"/>
      <c r="BM3784" s="48"/>
      <c r="BN3784" s="48"/>
      <c r="BO3784" s="48"/>
      <c r="BP3784" s="48"/>
      <c r="BQ3784" s="48"/>
      <c r="BR3784" s="48"/>
      <c r="BS3784" s="48"/>
      <c r="BT3784" s="48"/>
      <c r="BU3784" s="48"/>
      <c r="BV3784" s="48"/>
      <c r="BW3784" s="48"/>
      <c r="BX3784" s="48"/>
      <c r="BY3784" s="48"/>
      <c r="BZ3784" s="48"/>
      <c r="CA3784" s="48"/>
      <c r="CB3784" s="48"/>
      <c r="CC3784" s="48"/>
      <c r="CD3784" s="48"/>
      <c r="CE3784" s="48"/>
      <c r="CF3784" s="48"/>
      <c r="CG3784" s="48"/>
      <c r="CH3784" s="48"/>
      <c r="CI3784" s="48"/>
      <c r="CJ3784" s="48"/>
      <c r="CK3784" s="48"/>
      <c r="CL3784" s="48"/>
      <c r="CM3784" s="48"/>
      <c r="CN3784" s="48"/>
      <c r="CO3784" s="48"/>
      <c r="CP3784" s="48"/>
      <c r="CQ3784" s="48"/>
      <c r="CR3784" s="48"/>
      <c r="CS3784" s="48"/>
      <c r="CT3784" s="48"/>
      <c r="CU3784" s="48"/>
      <c r="CV3784" s="48"/>
      <c r="CW3784" s="48"/>
      <c r="CX3784" s="48"/>
      <c r="CY3784" s="48"/>
      <c r="CZ3784" s="48"/>
    </row>
    <row r="3785" spans="27:104" s="4" customFormat="1" x14ac:dyDescent="0.3">
      <c r="AA3785" s="48"/>
      <c r="AB3785" s="48"/>
      <c r="AC3785" s="48"/>
      <c r="AD3785" s="48"/>
      <c r="AE3785" s="48"/>
      <c r="AF3785" s="48"/>
      <c r="AG3785" s="48"/>
      <c r="AH3785" s="48"/>
      <c r="AI3785" s="48"/>
      <c r="AJ3785" s="48"/>
      <c r="AK3785" s="48"/>
      <c r="AL3785" s="48"/>
      <c r="AM3785" s="48"/>
      <c r="AN3785" s="48"/>
      <c r="AO3785" s="48"/>
      <c r="AP3785" s="48"/>
      <c r="AQ3785" s="48"/>
      <c r="AR3785" s="48"/>
      <c r="AS3785" s="48"/>
      <c r="AT3785" s="48"/>
      <c r="AU3785" s="48"/>
      <c r="AV3785" s="48"/>
      <c r="AW3785" s="48"/>
      <c r="AX3785" s="48"/>
      <c r="AY3785" s="48"/>
      <c r="AZ3785" s="48"/>
      <c r="BA3785" s="48"/>
      <c r="BB3785" s="14"/>
      <c r="BC3785" s="48"/>
      <c r="BD3785" s="48"/>
      <c r="BE3785" s="48"/>
      <c r="BF3785" s="48"/>
      <c r="BG3785" s="48"/>
      <c r="BH3785" s="48"/>
      <c r="BI3785" s="48"/>
      <c r="BJ3785" s="48"/>
      <c r="BK3785" s="48"/>
      <c r="BL3785" s="48"/>
      <c r="BM3785" s="48"/>
      <c r="BN3785" s="48"/>
      <c r="BO3785" s="48"/>
      <c r="BP3785" s="48"/>
      <c r="BQ3785" s="48"/>
      <c r="BR3785" s="48"/>
      <c r="BS3785" s="48"/>
      <c r="BT3785" s="48"/>
      <c r="BU3785" s="48"/>
      <c r="BV3785" s="48"/>
      <c r="BW3785" s="48"/>
      <c r="BX3785" s="48"/>
      <c r="BY3785" s="48"/>
      <c r="BZ3785" s="48"/>
      <c r="CA3785" s="48"/>
      <c r="CB3785" s="48"/>
      <c r="CC3785" s="48"/>
      <c r="CD3785" s="48"/>
      <c r="CE3785" s="48"/>
      <c r="CF3785" s="48"/>
      <c r="CG3785" s="48"/>
      <c r="CH3785" s="48"/>
      <c r="CI3785" s="48"/>
      <c r="CJ3785" s="48"/>
      <c r="CK3785" s="48"/>
      <c r="CL3785" s="48"/>
      <c r="CM3785" s="48"/>
      <c r="CN3785" s="48"/>
      <c r="CO3785" s="48"/>
      <c r="CP3785" s="48"/>
      <c r="CQ3785" s="48"/>
      <c r="CR3785" s="48"/>
      <c r="CS3785" s="48"/>
      <c r="CT3785" s="48"/>
      <c r="CU3785" s="48"/>
      <c r="CV3785" s="48"/>
      <c r="CW3785" s="48"/>
      <c r="CX3785" s="48"/>
      <c r="CY3785" s="48"/>
      <c r="CZ3785" s="48"/>
    </row>
    <row r="3786" spans="27:104" s="4" customFormat="1" x14ac:dyDescent="0.3">
      <c r="AA3786" s="48"/>
      <c r="AB3786" s="48"/>
      <c r="AC3786" s="48"/>
      <c r="AD3786" s="48"/>
      <c r="AE3786" s="48"/>
      <c r="AF3786" s="48"/>
      <c r="AG3786" s="48"/>
      <c r="AH3786" s="48"/>
      <c r="AI3786" s="48"/>
      <c r="AJ3786" s="48"/>
      <c r="AK3786" s="48"/>
      <c r="AL3786" s="48"/>
      <c r="AM3786" s="48"/>
      <c r="AN3786" s="48"/>
      <c r="AO3786" s="48"/>
      <c r="AP3786" s="48"/>
      <c r="AQ3786" s="48"/>
      <c r="AR3786" s="48"/>
      <c r="AS3786" s="48"/>
      <c r="AT3786" s="48"/>
      <c r="AU3786" s="48"/>
      <c r="AV3786" s="48"/>
      <c r="AW3786" s="48"/>
      <c r="AX3786" s="48"/>
      <c r="AY3786" s="48"/>
      <c r="AZ3786" s="48"/>
      <c r="BA3786" s="48"/>
      <c r="BB3786" s="14"/>
      <c r="BC3786" s="48"/>
      <c r="BD3786" s="48"/>
      <c r="BE3786" s="48"/>
      <c r="BF3786" s="48"/>
      <c r="BG3786" s="48"/>
      <c r="BH3786" s="48"/>
      <c r="BI3786" s="48"/>
      <c r="BJ3786" s="48"/>
      <c r="BK3786" s="48"/>
      <c r="BL3786" s="48"/>
      <c r="BM3786" s="48"/>
      <c r="BN3786" s="48"/>
      <c r="BO3786" s="48"/>
      <c r="BP3786" s="48"/>
      <c r="BQ3786" s="48"/>
      <c r="BR3786" s="48"/>
      <c r="BS3786" s="48"/>
      <c r="BT3786" s="48"/>
      <c r="BU3786" s="48"/>
      <c r="BV3786" s="48"/>
      <c r="BW3786" s="48"/>
      <c r="BX3786" s="48"/>
      <c r="BY3786" s="48"/>
      <c r="BZ3786" s="48"/>
      <c r="CA3786" s="48"/>
      <c r="CB3786" s="48"/>
      <c r="CC3786" s="48"/>
      <c r="CD3786" s="48"/>
      <c r="CE3786" s="48"/>
      <c r="CF3786" s="48"/>
      <c r="CG3786" s="48"/>
      <c r="CH3786" s="48"/>
      <c r="CI3786" s="48"/>
      <c r="CJ3786" s="48"/>
      <c r="CK3786" s="48"/>
      <c r="CL3786" s="48"/>
      <c r="CM3786" s="48"/>
      <c r="CN3786" s="48"/>
      <c r="CO3786" s="48"/>
      <c r="CP3786" s="48"/>
      <c r="CQ3786" s="48"/>
      <c r="CR3786" s="48"/>
      <c r="CS3786" s="48"/>
      <c r="CT3786" s="48"/>
      <c r="CU3786" s="48"/>
      <c r="CV3786" s="48"/>
      <c r="CW3786" s="48"/>
      <c r="CX3786" s="48"/>
      <c r="CY3786" s="48"/>
      <c r="CZ3786" s="48"/>
    </row>
    <row r="3787" spans="27:104" s="4" customFormat="1" x14ac:dyDescent="0.3">
      <c r="AA3787" s="48"/>
      <c r="AB3787" s="48"/>
      <c r="AC3787" s="48"/>
      <c r="AD3787" s="48"/>
      <c r="AE3787" s="48"/>
      <c r="AF3787" s="48"/>
      <c r="AG3787" s="48"/>
      <c r="AH3787" s="48"/>
      <c r="AI3787" s="48"/>
      <c r="AJ3787" s="48"/>
      <c r="AK3787" s="48"/>
      <c r="AL3787" s="48"/>
      <c r="AM3787" s="48"/>
      <c r="AN3787" s="48"/>
      <c r="AO3787" s="48"/>
      <c r="AP3787" s="48"/>
      <c r="AQ3787" s="48"/>
      <c r="AR3787" s="48"/>
      <c r="AS3787" s="48"/>
      <c r="AT3787" s="48"/>
      <c r="AU3787" s="48"/>
      <c r="AV3787" s="48"/>
      <c r="AW3787" s="48"/>
      <c r="AX3787" s="48"/>
      <c r="AY3787" s="48"/>
      <c r="AZ3787" s="48"/>
      <c r="BA3787" s="48"/>
      <c r="BB3787" s="14"/>
      <c r="BC3787" s="48"/>
      <c r="BD3787" s="48"/>
      <c r="BE3787" s="48"/>
      <c r="BF3787" s="48"/>
      <c r="BG3787" s="48"/>
      <c r="BH3787" s="48"/>
      <c r="BI3787" s="48"/>
      <c r="BJ3787" s="48"/>
      <c r="BK3787" s="48"/>
      <c r="BL3787" s="48"/>
      <c r="BM3787" s="48"/>
      <c r="BN3787" s="48"/>
      <c r="BO3787" s="48"/>
      <c r="BP3787" s="48"/>
      <c r="BQ3787" s="48"/>
      <c r="BR3787" s="48"/>
      <c r="BS3787" s="48"/>
      <c r="BT3787" s="48"/>
      <c r="BU3787" s="48"/>
      <c r="BV3787" s="48"/>
      <c r="BW3787" s="48"/>
      <c r="BX3787" s="48"/>
      <c r="BY3787" s="48"/>
      <c r="BZ3787" s="48"/>
      <c r="CA3787" s="48"/>
      <c r="CB3787" s="48"/>
      <c r="CC3787" s="48"/>
      <c r="CD3787" s="48"/>
      <c r="CE3787" s="48"/>
      <c r="CF3787" s="48"/>
      <c r="CG3787" s="48"/>
      <c r="CH3787" s="48"/>
      <c r="CI3787" s="48"/>
      <c r="CJ3787" s="48"/>
      <c r="CK3787" s="48"/>
      <c r="CL3787" s="48"/>
      <c r="CM3787" s="48"/>
      <c r="CN3787" s="48"/>
      <c r="CO3787" s="48"/>
      <c r="CP3787" s="48"/>
      <c r="CQ3787" s="48"/>
      <c r="CR3787" s="48"/>
      <c r="CS3787" s="48"/>
      <c r="CT3787" s="48"/>
      <c r="CU3787" s="48"/>
      <c r="CV3787" s="48"/>
      <c r="CW3787" s="48"/>
      <c r="CX3787" s="48"/>
      <c r="CY3787" s="48"/>
      <c r="CZ3787" s="48"/>
    </row>
    <row r="3788" spans="27:104" s="4" customFormat="1" x14ac:dyDescent="0.3">
      <c r="AA3788" s="48"/>
      <c r="AB3788" s="48"/>
      <c r="AC3788" s="48"/>
      <c r="AD3788" s="48"/>
      <c r="AE3788" s="48"/>
      <c r="AF3788" s="48"/>
      <c r="AG3788" s="48"/>
      <c r="AH3788" s="48"/>
      <c r="AI3788" s="48"/>
      <c r="AJ3788" s="48"/>
      <c r="AK3788" s="48"/>
      <c r="AL3788" s="48"/>
      <c r="AM3788" s="48"/>
      <c r="AN3788" s="48"/>
      <c r="AO3788" s="48"/>
      <c r="AP3788" s="48"/>
      <c r="AQ3788" s="48"/>
      <c r="AR3788" s="48"/>
      <c r="AS3788" s="48"/>
      <c r="AT3788" s="48"/>
      <c r="AU3788" s="48"/>
      <c r="AV3788" s="48"/>
      <c r="AW3788" s="48"/>
      <c r="AX3788" s="48"/>
      <c r="AY3788" s="48"/>
      <c r="AZ3788" s="48"/>
      <c r="BA3788" s="48"/>
      <c r="BB3788" s="14"/>
      <c r="BC3788" s="48"/>
      <c r="BD3788" s="48"/>
      <c r="BE3788" s="48"/>
      <c r="BF3788" s="48"/>
      <c r="BG3788" s="48"/>
      <c r="BH3788" s="48"/>
      <c r="BI3788" s="48"/>
      <c r="BJ3788" s="48"/>
      <c r="BK3788" s="48"/>
      <c r="BL3788" s="48"/>
      <c r="BM3788" s="48"/>
      <c r="BN3788" s="48"/>
      <c r="BO3788" s="48"/>
      <c r="BP3788" s="48"/>
      <c r="BQ3788" s="48"/>
      <c r="BR3788" s="48"/>
      <c r="BS3788" s="48"/>
      <c r="BT3788" s="48"/>
      <c r="BU3788" s="48"/>
      <c r="BV3788" s="48"/>
      <c r="BW3788" s="48"/>
      <c r="BX3788" s="48"/>
      <c r="BY3788" s="48"/>
      <c r="BZ3788" s="48"/>
      <c r="CA3788" s="48"/>
      <c r="CB3788" s="48"/>
      <c r="CC3788" s="48"/>
      <c r="CD3788" s="48"/>
      <c r="CE3788" s="48"/>
      <c r="CF3788" s="48"/>
      <c r="CG3788" s="48"/>
      <c r="CH3788" s="48"/>
      <c r="CI3788" s="48"/>
      <c r="CJ3788" s="48"/>
      <c r="CK3788" s="48"/>
      <c r="CL3788" s="48"/>
      <c r="CM3788" s="48"/>
      <c r="CN3788" s="48"/>
      <c r="CO3788" s="48"/>
      <c r="CP3788" s="48"/>
      <c r="CQ3788" s="48"/>
      <c r="CR3788" s="48"/>
      <c r="CS3788" s="48"/>
      <c r="CT3788" s="48"/>
      <c r="CU3788" s="48"/>
      <c r="CV3788" s="48"/>
      <c r="CW3788" s="48"/>
      <c r="CX3788" s="48"/>
      <c r="CY3788" s="48"/>
      <c r="CZ3788" s="48"/>
    </row>
    <row r="3789" spans="27:104" s="4" customFormat="1" x14ac:dyDescent="0.3">
      <c r="AA3789" s="48"/>
      <c r="AB3789" s="48"/>
      <c r="AC3789" s="48"/>
      <c r="AD3789" s="48"/>
      <c r="AE3789" s="48"/>
      <c r="AF3789" s="48"/>
      <c r="AG3789" s="48"/>
      <c r="AH3789" s="48"/>
      <c r="AI3789" s="48"/>
      <c r="AJ3789" s="48"/>
      <c r="AK3789" s="48"/>
      <c r="AL3789" s="48"/>
      <c r="AM3789" s="48"/>
      <c r="AN3789" s="48"/>
      <c r="AO3789" s="48"/>
      <c r="AP3789" s="48"/>
      <c r="AQ3789" s="48"/>
      <c r="AR3789" s="48"/>
      <c r="AS3789" s="48"/>
      <c r="AT3789" s="48"/>
      <c r="AU3789" s="48"/>
      <c r="AV3789" s="48"/>
      <c r="AW3789" s="48"/>
      <c r="AX3789" s="48"/>
      <c r="AY3789" s="48"/>
      <c r="AZ3789" s="48"/>
      <c r="BA3789" s="48"/>
      <c r="BB3789" s="14"/>
      <c r="BC3789" s="48"/>
      <c r="BD3789" s="48"/>
      <c r="BE3789" s="48"/>
      <c r="BF3789" s="48"/>
      <c r="BG3789" s="48"/>
      <c r="BH3789" s="48"/>
      <c r="BI3789" s="48"/>
      <c r="BJ3789" s="48"/>
      <c r="BK3789" s="48"/>
      <c r="BL3789" s="48"/>
      <c r="BM3789" s="48"/>
      <c r="BN3789" s="48"/>
      <c r="BO3789" s="48"/>
      <c r="BP3789" s="48"/>
      <c r="BQ3789" s="48"/>
      <c r="BR3789" s="48"/>
      <c r="BS3789" s="48"/>
      <c r="BT3789" s="48"/>
      <c r="BU3789" s="48"/>
      <c r="BV3789" s="48"/>
      <c r="BW3789" s="48"/>
      <c r="BX3789" s="48"/>
      <c r="BY3789" s="48"/>
      <c r="BZ3789" s="48"/>
      <c r="CA3789" s="48"/>
      <c r="CB3789" s="48"/>
      <c r="CC3789" s="48"/>
      <c r="CD3789" s="48"/>
      <c r="CE3789" s="48"/>
      <c r="CF3789" s="48"/>
      <c r="CG3789" s="48"/>
      <c r="CH3789" s="48"/>
      <c r="CI3789" s="48"/>
      <c r="CJ3789" s="48"/>
      <c r="CK3789" s="48"/>
      <c r="CL3789" s="48"/>
      <c r="CM3789" s="48"/>
      <c r="CN3789" s="48"/>
      <c r="CO3789" s="48"/>
      <c r="CP3789" s="48"/>
      <c r="CQ3789" s="48"/>
      <c r="CR3789" s="48"/>
      <c r="CS3789" s="48"/>
      <c r="CT3789" s="48"/>
      <c r="CU3789" s="48"/>
      <c r="CV3789" s="48"/>
      <c r="CW3789" s="48"/>
      <c r="CX3789" s="48"/>
      <c r="CY3789" s="48"/>
      <c r="CZ3789" s="48"/>
    </row>
    <row r="3790" spans="27:104" s="4" customFormat="1" x14ac:dyDescent="0.3">
      <c r="AA3790" s="48"/>
      <c r="AB3790" s="48"/>
      <c r="AC3790" s="48"/>
      <c r="AD3790" s="48"/>
      <c r="AE3790" s="48"/>
      <c r="AF3790" s="48"/>
      <c r="AG3790" s="48"/>
      <c r="AH3790" s="48"/>
      <c r="AI3790" s="48"/>
      <c r="AJ3790" s="48"/>
      <c r="AK3790" s="48"/>
      <c r="AL3790" s="48"/>
      <c r="AM3790" s="48"/>
      <c r="AN3790" s="48"/>
      <c r="AO3790" s="48"/>
      <c r="AP3790" s="48"/>
      <c r="AQ3790" s="48"/>
      <c r="AR3790" s="48"/>
      <c r="AS3790" s="48"/>
      <c r="AT3790" s="48"/>
      <c r="AU3790" s="48"/>
      <c r="AV3790" s="48"/>
      <c r="AW3790" s="48"/>
      <c r="AX3790" s="48"/>
      <c r="AY3790" s="48"/>
      <c r="AZ3790" s="48"/>
      <c r="BA3790" s="48"/>
      <c r="BB3790" s="14"/>
      <c r="BC3790" s="48"/>
      <c r="BD3790" s="48"/>
      <c r="BE3790" s="48"/>
      <c r="BF3790" s="48"/>
      <c r="BG3790" s="48"/>
      <c r="BH3790" s="48"/>
      <c r="BI3790" s="48"/>
      <c r="BJ3790" s="48"/>
      <c r="BK3790" s="48"/>
      <c r="BL3790" s="48"/>
      <c r="BM3790" s="48"/>
      <c r="BN3790" s="48"/>
      <c r="BO3790" s="48"/>
      <c r="BP3790" s="48"/>
      <c r="BQ3790" s="48"/>
      <c r="BR3790" s="48"/>
      <c r="BS3790" s="48"/>
      <c r="BT3790" s="48"/>
      <c r="BU3790" s="48"/>
      <c r="BV3790" s="48"/>
      <c r="BW3790" s="48"/>
      <c r="BX3790" s="48"/>
      <c r="BY3790" s="48"/>
      <c r="BZ3790" s="48"/>
      <c r="CA3790" s="48"/>
      <c r="CB3790" s="48"/>
      <c r="CC3790" s="48"/>
      <c r="CD3790" s="48"/>
      <c r="CE3790" s="48"/>
      <c r="CF3790" s="48"/>
      <c r="CG3790" s="48"/>
      <c r="CH3790" s="48"/>
      <c r="CI3790" s="48"/>
      <c r="CJ3790" s="48"/>
      <c r="CK3790" s="48"/>
      <c r="CL3790" s="48"/>
      <c r="CM3790" s="48"/>
      <c r="CN3790" s="48"/>
      <c r="CO3790" s="48"/>
      <c r="CP3790" s="48"/>
      <c r="CQ3790" s="48"/>
      <c r="CR3790" s="48"/>
      <c r="CS3790" s="48"/>
      <c r="CT3790" s="48"/>
      <c r="CU3790" s="48"/>
      <c r="CV3790" s="48"/>
      <c r="CW3790" s="48"/>
      <c r="CX3790" s="48"/>
      <c r="CY3790" s="48"/>
      <c r="CZ3790" s="48"/>
    </row>
    <row r="3791" spans="27:104" s="4" customFormat="1" x14ac:dyDescent="0.3">
      <c r="AA3791" s="48"/>
      <c r="AB3791" s="48"/>
      <c r="AC3791" s="48"/>
      <c r="AD3791" s="48"/>
      <c r="AE3791" s="48"/>
      <c r="AF3791" s="48"/>
      <c r="AG3791" s="48"/>
      <c r="AH3791" s="48"/>
      <c r="AI3791" s="48"/>
      <c r="AJ3791" s="48"/>
      <c r="AK3791" s="48"/>
      <c r="AL3791" s="48"/>
      <c r="AM3791" s="48"/>
      <c r="AN3791" s="48"/>
      <c r="AO3791" s="48"/>
      <c r="AP3791" s="48"/>
      <c r="AQ3791" s="48"/>
      <c r="AR3791" s="48"/>
      <c r="AS3791" s="48"/>
      <c r="AT3791" s="48"/>
      <c r="AU3791" s="48"/>
      <c r="AV3791" s="48"/>
      <c r="AW3791" s="48"/>
      <c r="AX3791" s="48"/>
      <c r="AY3791" s="48"/>
      <c r="AZ3791" s="48"/>
      <c r="BA3791" s="48"/>
      <c r="BB3791" s="14"/>
      <c r="BC3791" s="48"/>
      <c r="BD3791" s="48"/>
      <c r="BE3791" s="48"/>
      <c r="BF3791" s="48"/>
      <c r="BG3791" s="48"/>
      <c r="BH3791" s="48"/>
      <c r="BI3791" s="48"/>
      <c r="BJ3791" s="48"/>
      <c r="BK3791" s="48"/>
      <c r="BL3791" s="48"/>
      <c r="BM3791" s="48"/>
      <c r="BN3791" s="48"/>
      <c r="BO3791" s="48"/>
      <c r="BP3791" s="48"/>
      <c r="BQ3791" s="48"/>
      <c r="BR3791" s="48"/>
      <c r="BS3791" s="48"/>
      <c r="BT3791" s="48"/>
      <c r="BU3791" s="48"/>
      <c r="BV3791" s="48"/>
      <c r="BW3791" s="48"/>
      <c r="BX3791" s="48"/>
      <c r="BY3791" s="48"/>
      <c r="BZ3791" s="48"/>
      <c r="CA3791" s="48"/>
      <c r="CB3791" s="48"/>
      <c r="CC3791" s="48"/>
      <c r="CD3791" s="48"/>
      <c r="CE3791" s="48"/>
      <c r="CF3791" s="48"/>
      <c r="CG3791" s="48"/>
      <c r="CH3791" s="48"/>
      <c r="CI3791" s="48"/>
      <c r="CJ3791" s="48"/>
      <c r="CK3791" s="48"/>
      <c r="CL3791" s="48"/>
      <c r="CM3791" s="48"/>
      <c r="CN3791" s="48"/>
      <c r="CO3791" s="48"/>
      <c r="CP3791" s="48"/>
      <c r="CQ3791" s="48"/>
      <c r="CR3791" s="48"/>
      <c r="CS3791" s="48"/>
      <c r="CT3791" s="48"/>
      <c r="CU3791" s="48"/>
      <c r="CV3791" s="48"/>
      <c r="CW3791" s="48"/>
      <c r="CX3791" s="48"/>
      <c r="CY3791" s="48"/>
      <c r="CZ3791" s="48"/>
    </row>
    <row r="3792" spans="27:104" s="4" customFormat="1" x14ac:dyDescent="0.3">
      <c r="AA3792" s="48"/>
      <c r="AB3792" s="48"/>
      <c r="AC3792" s="48"/>
      <c r="AD3792" s="48"/>
      <c r="AE3792" s="48"/>
      <c r="AF3792" s="48"/>
      <c r="AG3792" s="48"/>
      <c r="AH3792" s="48"/>
      <c r="AI3792" s="48"/>
      <c r="AJ3792" s="48"/>
      <c r="AK3792" s="48"/>
      <c r="AL3792" s="48"/>
      <c r="AM3792" s="48"/>
      <c r="AN3792" s="48"/>
      <c r="AO3792" s="48"/>
      <c r="AP3792" s="48"/>
      <c r="AQ3792" s="48"/>
      <c r="AR3792" s="48"/>
      <c r="AS3792" s="48"/>
      <c r="AT3792" s="48"/>
      <c r="AU3792" s="48"/>
      <c r="AV3792" s="48"/>
      <c r="AW3792" s="48"/>
      <c r="AX3792" s="48"/>
      <c r="AY3792" s="48"/>
      <c r="AZ3792" s="48"/>
      <c r="BA3792" s="48"/>
      <c r="BB3792" s="14"/>
      <c r="BC3792" s="48"/>
      <c r="BD3792" s="48"/>
      <c r="BE3792" s="48"/>
      <c r="BF3792" s="48"/>
      <c r="BG3792" s="48"/>
      <c r="BH3792" s="48"/>
      <c r="BI3792" s="48"/>
      <c r="BJ3792" s="48"/>
      <c r="BK3792" s="48"/>
      <c r="BL3792" s="48"/>
      <c r="BM3792" s="48"/>
      <c r="BN3792" s="48"/>
      <c r="BO3792" s="48"/>
      <c r="BP3792" s="48"/>
      <c r="BQ3792" s="48"/>
      <c r="BR3792" s="48"/>
      <c r="BS3792" s="48"/>
      <c r="BT3792" s="48"/>
      <c r="BU3792" s="48"/>
      <c r="BV3792" s="48"/>
      <c r="BW3792" s="48"/>
      <c r="BX3792" s="48"/>
      <c r="BY3792" s="48"/>
      <c r="BZ3792" s="48"/>
      <c r="CA3792" s="48"/>
      <c r="CB3792" s="48"/>
      <c r="CC3792" s="48"/>
      <c r="CD3792" s="48"/>
      <c r="CE3792" s="48"/>
      <c r="CF3792" s="48"/>
      <c r="CG3792" s="48"/>
      <c r="CH3792" s="48"/>
      <c r="CI3792" s="48"/>
      <c r="CJ3792" s="48"/>
      <c r="CK3792" s="48"/>
      <c r="CL3792" s="48"/>
      <c r="CM3792" s="48"/>
      <c r="CN3792" s="48"/>
      <c r="CO3792" s="48"/>
      <c r="CP3792" s="48"/>
      <c r="CQ3792" s="48"/>
      <c r="CR3792" s="48"/>
      <c r="CS3792" s="48"/>
      <c r="CT3792" s="48"/>
      <c r="CU3792" s="48"/>
      <c r="CV3792" s="48"/>
      <c r="CW3792" s="48"/>
      <c r="CX3792" s="48"/>
      <c r="CY3792" s="48"/>
      <c r="CZ3792" s="48"/>
    </row>
    <row r="3793" spans="27:104" s="4" customFormat="1" x14ac:dyDescent="0.3">
      <c r="AA3793" s="48"/>
      <c r="AB3793" s="48"/>
      <c r="AC3793" s="48"/>
      <c r="AD3793" s="48"/>
      <c r="AE3793" s="48"/>
      <c r="AF3793" s="48"/>
      <c r="AG3793" s="48"/>
      <c r="AH3793" s="48"/>
      <c r="AI3793" s="48"/>
      <c r="AJ3793" s="48"/>
      <c r="AK3793" s="48"/>
      <c r="AL3793" s="48"/>
      <c r="AM3793" s="48"/>
      <c r="AN3793" s="48"/>
      <c r="AO3793" s="48"/>
      <c r="AP3793" s="48"/>
      <c r="AQ3793" s="48"/>
      <c r="AR3793" s="48"/>
      <c r="AS3793" s="48"/>
      <c r="AT3793" s="48"/>
      <c r="AU3793" s="48"/>
      <c r="AV3793" s="48"/>
      <c r="AW3793" s="48"/>
      <c r="AX3793" s="48"/>
      <c r="AY3793" s="48"/>
      <c r="AZ3793" s="48"/>
      <c r="BA3793" s="48"/>
      <c r="BB3793" s="14"/>
      <c r="BC3793" s="48"/>
      <c r="BD3793" s="48"/>
      <c r="BE3793" s="48"/>
      <c r="BF3793" s="48"/>
      <c r="BG3793" s="48"/>
      <c r="BH3793" s="48"/>
      <c r="BI3793" s="48"/>
      <c r="BJ3793" s="48"/>
      <c r="BK3793" s="48"/>
      <c r="BL3793" s="48"/>
      <c r="BM3793" s="48"/>
      <c r="BN3793" s="48"/>
      <c r="BO3793" s="48"/>
      <c r="BP3793" s="48"/>
      <c r="BQ3793" s="48"/>
      <c r="BR3793" s="48"/>
      <c r="BS3793" s="48"/>
      <c r="BT3793" s="48"/>
      <c r="BU3793" s="48"/>
      <c r="BV3793" s="48"/>
      <c r="BW3793" s="48"/>
      <c r="BX3793" s="48"/>
      <c r="BY3793" s="48"/>
      <c r="BZ3793" s="48"/>
      <c r="CA3793" s="48"/>
      <c r="CB3793" s="48"/>
      <c r="CC3793" s="48"/>
      <c r="CD3793" s="48"/>
      <c r="CE3793" s="48"/>
      <c r="CF3793" s="48"/>
      <c r="CG3793" s="48"/>
      <c r="CH3793" s="48"/>
      <c r="CI3793" s="48"/>
      <c r="CJ3793" s="48"/>
      <c r="CK3793" s="48"/>
      <c r="CL3793" s="48"/>
      <c r="CM3793" s="48"/>
      <c r="CN3793" s="48"/>
      <c r="CO3793" s="48"/>
      <c r="CP3793" s="48"/>
      <c r="CQ3793" s="48"/>
      <c r="CR3793" s="48"/>
      <c r="CS3793" s="48"/>
      <c r="CT3793" s="48"/>
      <c r="CU3793" s="48"/>
      <c r="CV3793" s="48"/>
      <c r="CW3793" s="48"/>
      <c r="CX3793" s="48"/>
      <c r="CY3793" s="48"/>
      <c r="CZ3793" s="48"/>
    </row>
    <row r="3794" spans="27:104" s="4" customFormat="1" x14ac:dyDescent="0.3">
      <c r="AA3794" s="48"/>
      <c r="AB3794" s="48"/>
      <c r="AC3794" s="48"/>
      <c r="AD3794" s="48"/>
      <c r="AE3794" s="48"/>
      <c r="AF3794" s="48"/>
      <c r="AG3794" s="48"/>
      <c r="AH3794" s="48"/>
      <c r="AI3794" s="48"/>
      <c r="AJ3794" s="48"/>
      <c r="AK3794" s="48"/>
      <c r="AL3794" s="48"/>
      <c r="AM3794" s="48"/>
      <c r="AN3794" s="48"/>
      <c r="AO3794" s="48"/>
      <c r="AP3794" s="48"/>
      <c r="AQ3794" s="48"/>
      <c r="AR3794" s="48"/>
      <c r="AS3794" s="48"/>
      <c r="AT3794" s="48"/>
      <c r="AU3794" s="48"/>
      <c r="AV3794" s="48"/>
      <c r="AW3794" s="48"/>
      <c r="AX3794" s="48"/>
      <c r="AY3794" s="48"/>
      <c r="AZ3794" s="48"/>
      <c r="BA3794" s="48"/>
      <c r="BB3794" s="14"/>
      <c r="BC3794" s="48"/>
      <c r="BD3794" s="48"/>
      <c r="BE3794" s="48"/>
      <c r="BF3794" s="48"/>
      <c r="BG3794" s="48"/>
      <c r="BH3794" s="48"/>
      <c r="BI3794" s="48"/>
      <c r="BJ3794" s="48"/>
      <c r="BK3794" s="48"/>
      <c r="BL3794" s="48"/>
      <c r="BM3794" s="48"/>
      <c r="BN3794" s="48"/>
      <c r="BO3794" s="48"/>
      <c r="BP3794" s="48"/>
      <c r="BQ3794" s="48"/>
      <c r="BR3794" s="48"/>
      <c r="BS3794" s="48"/>
      <c r="BT3794" s="48"/>
      <c r="BU3794" s="48"/>
      <c r="BV3794" s="48"/>
      <c r="BW3794" s="48"/>
      <c r="BX3794" s="48"/>
      <c r="BY3794" s="48"/>
      <c r="BZ3794" s="48"/>
      <c r="CA3794" s="48"/>
      <c r="CB3794" s="48"/>
      <c r="CC3794" s="48"/>
      <c r="CD3794" s="48"/>
      <c r="CE3794" s="48"/>
      <c r="CF3794" s="48"/>
      <c r="CG3794" s="48"/>
      <c r="CH3794" s="48"/>
      <c r="CI3794" s="48"/>
      <c r="CJ3794" s="48"/>
      <c r="CK3794" s="48"/>
      <c r="CL3794" s="48"/>
      <c r="CM3794" s="48"/>
      <c r="CN3794" s="48"/>
      <c r="CO3794" s="48"/>
      <c r="CP3794" s="48"/>
      <c r="CQ3794" s="48"/>
      <c r="CR3794" s="48"/>
      <c r="CS3794" s="48"/>
      <c r="CT3794" s="48"/>
      <c r="CU3794" s="48"/>
      <c r="CV3794" s="48"/>
      <c r="CW3794" s="48"/>
      <c r="CX3794" s="48"/>
      <c r="CY3794" s="48"/>
      <c r="CZ3794" s="48"/>
    </row>
    <row r="3795" spans="27:104" s="4" customFormat="1" x14ac:dyDescent="0.3">
      <c r="AA3795" s="48"/>
      <c r="AB3795" s="48"/>
      <c r="AC3795" s="48"/>
      <c r="AD3795" s="48"/>
      <c r="AE3795" s="48"/>
      <c r="AF3795" s="48"/>
      <c r="AG3795" s="48"/>
      <c r="AH3795" s="48"/>
      <c r="AI3795" s="48"/>
      <c r="AJ3795" s="48"/>
      <c r="AK3795" s="48"/>
      <c r="AL3795" s="48"/>
      <c r="AM3795" s="48"/>
      <c r="AN3795" s="48"/>
      <c r="AO3795" s="48"/>
      <c r="AP3795" s="48"/>
      <c r="AQ3795" s="48"/>
      <c r="AR3795" s="48"/>
      <c r="AS3795" s="48"/>
      <c r="AT3795" s="48"/>
      <c r="AU3795" s="48"/>
      <c r="AV3795" s="48"/>
      <c r="AW3795" s="48"/>
      <c r="AX3795" s="48"/>
      <c r="AY3795" s="48"/>
      <c r="AZ3795" s="48"/>
      <c r="BA3795" s="48"/>
      <c r="BB3795" s="14"/>
      <c r="BC3795" s="48"/>
      <c r="BD3795" s="48"/>
      <c r="BE3795" s="48"/>
      <c r="BF3795" s="48"/>
      <c r="BG3795" s="48"/>
      <c r="BH3795" s="48"/>
      <c r="BI3795" s="48"/>
      <c r="BJ3795" s="48"/>
      <c r="BK3795" s="48"/>
      <c r="BL3795" s="48"/>
      <c r="BM3795" s="48"/>
      <c r="BN3795" s="48"/>
      <c r="BO3795" s="48"/>
      <c r="BP3795" s="48"/>
      <c r="BQ3795" s="48"/>
      <c r="BR3795" s="48"/>
      <c r="BS3795" s="48"/>
      <c r="BT3795" s="48"/>
      <c r="BU3795" s="48"/>
      <c r="BV3795" s="48"/>
      <c r="BW3795" s="48"/>
      <c r="BX3795" s="48"/>
      <c r="BY3795" s="48"/>
      <c r="BZ3795" s="48"/>
      <c r="CA3795" s="48"/>
      <c r="CB3795" s="48"/>
      <c r="CC3795" s="48"/>
      <c r="CD3795" s="48"/>
      <c r="CE3795" s="48"/>
      <c r="CF3795" s="48"/>
      <c r="CG3795" s="48"/>
      <c r="CH3795" s="48"/>
      <c r="CI3795" s="48"/>
      <c r="CJ3795" s="48"/>
      <c r="CK3795" s="48"/>
      <c r="CL3795" s="48"/>
      <c r="CM3795" s="48"/>
      <c r="CN3795" s="48"/>
      <c r="CO3795" s="48"/>
      <c r="CP3795" s="48"/>
      <c r="CQ3795" s="48"/>
      <c r="CR3795" s="48"/>
      <c r="CS3795" s="48"/>
      <c r="CT3795" s="48"/>
      <c r="CU3795" s="48"/>
      <c r="CV3795" s="48"/>
      <c r="CW3795" s="48"/>
      <c r="CX3795" s="48"/>
      <c r="CY3795" s="48"/>
      <c r="CZ3795" s="48"/>
    </row>
    <row r="3796" spans="27:104" s="4" customFormat="1" x14ac:dyDescent="0.3">
      <c r="AA3796" s="48"/>
      <c r="AB3796" s="48"/>
      <c r="AC3796" s="48"/>
      <c r="AD3796" s="48"/>
      <c r="AE3796" s="48"/>
      <c r="AF3796" s="48"/>
      <c r="AG3796" s="48"/>
      <c r="AH3796" s="48"/>
      <c r="AI3796" s="48"/>
      <c r="AJ3796" s="48"/>
      <c r="AK3796" s="48"/>
      <c r="AL3796" s="48"/>
      <c r="AM3796" s="48"/>
      <c r="AN3796" s="48"/>
      <c r="AO3796" s="48"/>
      <c r="AP3796" s="48"/>
      <c r="AQ3796" s="48"/>
      <c r="AR3796" s="48"/>
      <c r="AS3796" s="48"/>
      <c r="AT3796" s="48"/>
      <c r="AU3796" s="48"/>
      <c r="AV3796" s="48"/>
      <c r="AW3796" s="48"/>
      <c r="AX3796" s="48"/>
      <c r="AY3796" s="48"/>
      <c r="AZ3796" s="48"/>
      <c r="BA3796" s="48"/>
      <c r="BB3796" s="14"/>
      <c r="BC3796" s="48"/>
      <c r="BD3796" s="48"/>
      <c r="BE3796" s="48"/>
      <c r="BF3796" s="48"/>
      <c r="BG3796" s="48"/>
      <c r="BH3796" s="48"/>
      <c r="BI3796" s="48"/>
      <c r="BJ3796" s="48"/>
      <c r="BK3796" s="48"/>
      <c r="BL3796" s="48"/>
      <c r="BM3796" s="48"/>
      <c r="BN3796" s="48"/>
      <c r="BO3796" s="48"/>
      <c r="BP3796" s="48"/>
      <c r="BQ3796" s="48"/>
      <c r="BR3796" s="48"/>
      <c r="BS3796" s="48"/>
      <c r="BT3796" s="48"/>
      <c r="BU3796" s="48"/>
      <c r="BV3796" s="48"/>
      <c r="BW3796" s="48"/>
      <c r="BX3796" s="48"/>
      <c r="BY3796" s="48"/>
      <c r="BZ3796" s="48"/>
      <c r="CA3796" s="48"/>
      <c r="CB3796" s="48"/>
      <c r="CC3796" s="48"/>
      <c r="CD3796" s="48"/>
      <c r="CE3796" s="48"/>
      <c r="CF3796" s="48"/>
      <c r="CG3796" s="48"/>
      <c r="CH3796" s="48"/>
      <c r="CI3796" s="48"/>
      <c r="CJ3796" s="48"/>
      <c r="CK3796" s="48"/>
      <c r="CL3796" s="48"/>
      <c r="CM3796" s="48"/>
      <c r="CN3796" s="48"/>
      <c r="CO3796" s="48"/>
      <c r="CP3796" s="48"/>
      <c r="CQ3796" s="48"/>
      <c r="CR3796" s="48"/>
      <c r="CS3796" s="48"/>
      <c r="CT3796" s="48"/>
      <c r="CU3796" s="48"/>
      <c r="CV3796" s="48"/>
      <c r="CW3796" s="48"/>
      <c r="CX3796" s="48"/>
      <c r="CY3796" s="48"/>
      <c r="CZ3796" s="48"/>
    </row>
    <row r="3797" spans="27:104" s="4" customFormat="1" x14ac:dyDescent="0.3">
      <c r="AA3797" s="48"/>
      <c r="AB3797" s="48"/>
      <c r="AC3797" s="48"/>
      <c r="AD3797" s="48"/>
      <c r="AE3797" s="48"/>
      <c r="AF3797" s="48"/>
      <c r="AG3797" s="48"/>
      <c r="AH3797" s="48"/>
      <c r="AI3797" s="48"/>
      <c r="AJ3797" s="48"/>
      <c r="AK3797" s="48"/>
      <c r="AL3797" s="48"/>
      <c r="AM3797" s="48"/>
      <c r="AN3797" s="48"/>
      <c r="AO3797" s="48"/>
      <c r="AP3797" s="48"/>
      <c r="AQ3797" s="48"/>
      <c r="AR3797" s="48"/>
      <c r="AS3797" s="48"/>
      <c r="AT3797" s="48"/>
      <c r="AU3797" s="48"/>
      <c r="AV3797" s="48"/>
      <c r="AW3797" s="48"/>
      <c r="AX3797" s="48"/>
      <c r="AY3797" s="48"/>
      <c r="AZ3797" s="48"/>
      <c r="BA3797" s="48"/>
      <c r="BB3797" s="14"/>
      <c r="BC3797" s="48"/>
      <c r="BD3797" s="48"/>
      <c r="BE3797" s="48"/>
      <c r="BF3797" s="48"/>
      <c r="BG3797" s="48"/>
      <c r="BH3797" s="48"/>
      <c r="BI3797" s="48"/>
      <c r="BJ3797" s="48"/>
      <c r="BK3797" s="48"/>
      <c r="BL3797" s="48"/>
      <c r="BM3797" s="48"/>
      <c r="BN3797" s="48"/>
      <c r="BO3797" s="48"/>
      <c r="BP3797" s="48"/>
      <c r="BQ3797" s="48"/>
      <c r="BR3797" s="48"/>
      <c r="BS3797" s="48"/>
      <c r="BT3797" s="48"/>
      <c r="BU3797" s="48"/>
      <c r="BV3797" s="48"/>
      <c r="BW3797" s="48"/>
      <c r="BX3797" s="48"/>
      <c r="BY3797" s="48"/>
      <c r="BZ3797" s="48"/>
      <c r="CA3797" s="48"/>
      <c r="CB3797" s="48"/>
      <c r="CC3797" s="48"/>
      <c r="CD3797" s="48"/>
      <c r="CE3797" s="48"/>
      <c r="CF3797" s="48"/>
      <c r="CG3797" s="48"/>
      <c r="CH3797" s="48"/>
      <c r="CI3797" s="48"/>
      <c r="CJ3797" s="48"/>
      <c r="CK3797" s="48"/>
      <c r="CL3797" s="48"/>
      <c r="CM3797" s="48"/>
      <c r="CN3797" s="48"/>
      <c r="CO3797" s="48"/>
      <c r="CP3797" s="48"/>
      <c r="CQ3797" s="48"/>
      <c r="CR3797" s="48"/>
      <c r="CS3797" s="48"/>
      <c r="CT3797" s="48"/>
      <c r="CU3797" s="48"/>
      <c r="CV3797" s="48"/>
      <c r="CW3797" s="48"/>
      <c r="CX3797" s="48"/>
      <c r="CY3797" s="48"/>
      <c r="CZ3797" s="48"/>
    </row>
    <row r="3798" spans="27:104" s="4" customFormat="1" x14ac:dyDescent="0.3">
      <c r="AA3798" s="48"/>
      <c r="AB3798" s="48"/>
      <c r="AC3798" s="48"/>
      <c r="AD3798" s="48"/>
      <c r="AE3798" s="48"/>
      <c r="AF3798" s="48"/>
      <c r="AG3798" s="48"/>
      <c r="AH3798" s="48"/>
      <c r="AI3798" s="48"/>
      <c r="AJ3798" s="48"/>
      <c r="AK3798" s="48"/>
      <c r="AL3798" s="48"/>
      <c r="AM3798" s="48"/>
      <c r="AN3798" s="48"/>
      <c r="AO3798" s="48"/>
      <c r="AP3798" s="48"/>
      <c r="AQ3798" s="48"/>
      <c r="AR3798" s="48"/>
      <c r="AS3798" s="48"/>
      <c r="AT3798" s="48"/>
      <c r="AU3798" s="48"/>
      <c r="AV3798" s="48"/>
      <c r="AW3798" s="48"/>
      <c r="AX3798" s="48"/>
      <c r="AY3798" s="48"/>
      <c r="AZ3798" s="48"/>
      <c r="BA3798" s="48"/>
      <c r="BB3798" s="14"/>
      <c r="BC3798" s="48"/>
      <c r="BD3798" s="48"/>
      <c r="BE3798" s="48"/>
      <c r="BF3798" s="48"/>
      <c r="BG3798" s="48"/>
      <c r="BH3798" s="48"/>
      <c r="BI3798" s="48"/>
      <c r="BJ3798" s="48"/>
      <c r="BK3798" s="48"/>
      <c r="BL3798" s="48"/>
      <c r="BM3798" s="48"/>
      <c r="BN3798" s="48"/>
      <c r="BO3798" s="48"/>
      <c r="BP3798" s="48"/>
      <c r="BQ3798" s="48"/>
      <c r="BR3798" s="48"/>
      <c r="BS3798" s="48"/>
      <c r="BT3798" s="48"/>
      <c r="BU3798" s="48"/>
      <c r="BV3798" s="48"/>
      <c r="BW3798" s="48"/>
      <c r="BX3798" s="48"/>
      <c r="BY3798" s="48"/>
      <c r="BZ3798" s="48"/>
      <c r="CA3798" s="48"/>
      <c r="CB3798" s="48"/>
      <c r="CC3798" s="48"/>
      <c r="CD3798" s="48"/>
      <c r="CE3798" s="48"/>
      <c r="CF3798" s="48"/>
      <c r="CG3798" s="48"/>
      <c r="CH3798" s="48"/>
      <c r="CI3798" s="48"/>
      <c r="CJ3798" s="48"/>
      <c r="CK3798" s="48"/>
      <c r="CL3798" s="48"/>
      <c r="CM3798" s="48"/>
      <c r="CN3798" s="48"/>
      <c r="CO3798" s="48"/>
      <c r="CP3798" s="48"/>
      <c r="CQ3798" s="48"/>
      <c r="CR3798" s="48"/>
      <c r="CS3798" s="48"/>
      <c r="CT3798" s="48"/>
      <c r="CU3798" s="48"/>
      <c r="CV3798" s="48"/>
      <c r="CW3798" s="48"/>
      <c r="CX3798" s="48"/>
      <c r="CY3798" s="48"/>
      <c r="CZ3798" s="48"/>
    </row>
    <row r="3799" spans="27:104" s="4" customFormat="1" x14ac:dyDescent="0.3">
      <c r="AA3799" s="48"/>
      <c r="AB3799" s="48"/>
      <c r="AC3799" s="48"/>
      <c r="AD3799" s="48"/>
      <c r="AE3799" s="48"/>
      <c r="AF3799" s="48"/>
      <c r="AG3799" s="48"/>
      <c r="AH3799" s="48"/>
      <c r="AI3799" s="48"/>
      <c r="AJ3799" s="48"/>
      <c r="AK3799" s="48"/>
      <c r="AL3799" s="48"/>
      <c r="AM3799" s="48"/>
      <c r="AN3799" s="48"/>
      <c r="AO3799" s="48"/>
      <c r="AP3799" s="48"/>
      <c r="AQ3799" s="48"/>
      <c r="AR3799" s="48"/>
      <c r="AS3799" s="48"/>
      <c r="AT3799" s="48"/>
      <c r="AU3799" s="48"/>
      <c r="AV3799" s="48"/>
      <c r="AW3799" s="48"/>
      <c r="AX3799" s="48"/>
      <c r="AY3799" s="48"/>
      <c r="AZ3799" s="48"/>
      <c r="BA3799" s="48"/>
      <c r="BB3799" s="14"/>
      <c r="BC3799" s="48"/>
      <c r="BD3799" s="48"/>
      <c r="BE3799" s="48"/>
      <c r="BF3799" s="48"/>
      <c r="BG3799" s="48"/>
      <c r="BH3799" s="48"/>
      <c r="BI3799" s="48"/>
      <c r="BJ3799" s="48"/>
      <c r="BK3799" s="48"/>
      <c r="BL3799" s="48"/>
      <c r="BM3799" s="48"/>
      <c r="BN3799" s="48"/>
      <c r="BO3799" s="48"/>
      <c r="BP3799" s="48"/>
      <c r="BQ3799" s="48"/>
      <c r="BR3799" s="48"/>
      <c r="BS3799" s="48"/>
      <c r="BT3799" s="48"/>
      <c r="BU3799" s="48"/>
      <c r="BV3799" s="48"/>
      <c r="BW3799" s="48"/>
      <c r="BX3799" s="48"/>
      <c r="BY3799" s="48"/>
      <c r="BZ3799" s="48"/>
      <c r="CA3799" s="48"/>
      <c r="CB3799" s="48"/>
      <c r="CC3799" s="48"/>
      <c r="CD3799" s="48"/>
      <c r="CE3799" s="48"/>
      <c r="CF3799" s="48"/>
      <c r="CG3799" s="48"/>
      <c r="CH3799" s="48"/>
      <c r="CI3799" s="48"/>
      <c r="CJ3799" s="48"/>
      <c r="CK3799" s="48"/>
      <c r="CL3799" s="48"/>
      <c r="CM3799" s="48"/>
      <c r="CN3799" s="48"/>
      <c r="CO3799" s="48"/>
      <c r="CP3799" s="48"/>
      <c r="CQ3799" s="48"/>
      <c r="CR3799" s="48"/>
      <c r="CS3799" s="48"/>
      <c r="CT3799" s="48"/>
      <c r="CU3799" s="48"/>
      <c r="CV3799" s="48"/>
      <c r="CW3799" s="48"/>
      <c r="CX3799" s="48"/>
      <c r="CY3799" s="48"/>
      <c r="CZ3799" s="48"/>
    </row>
    <row r="3800" spans="27:104" s="4" customFormat="1" x14ac:dyDescent="0.3">
      <c r="AA3800" s="48"/>
      <c r="AB3800" s="48"/>
      <c r="AC3800" s="48"/>
      <c r="AD3800" s="48"/>
      <c r="AE3800" s="48"/>
      <c r="AF3800" s="48"/>
      <c r="AG3800" s="48"/>
      <c r="AH3800" s="48"/>
      <c r="AI3800" s="48"/>
      <c r="AJ3800" s="48"/>
      <c r="AK3800" s="48"/>
      <c r="AL3800" s="48"/>
      <c r="AM3800" s="48"/>
      <c r="AN3800" s="48"/>
      <c r="AO3800" s="48"/>
      <c r="AP3800" s="48"/>
      <c r="AQ3800" s="48"/>
      <c r="AR3800" s="48"/>
      <c r="AS3800" s="48"/>
      <c r="AT3800" s="48"/>
      <c r="AU3800" s="48"/>
      <c r="AV3800" s="48"/>
      <c r="AW3800" s="48"/>
      <c r="AX3800" s="48"/>
      <c r="AY3800" s="48"/>
      <c r="AZ3800" s="48"/>
      <c r="BA3800" s="48"/>
      <c r="BB3800" s="14"/>
      <c r="BC3800" s="48"/>
      <c r="BD3800" s="48"/>
      <c r="BE3800" s="48"/>
      <c r="BF3800" s="48"/>
      <c r="BG3800" s="48"/>
      <c r="BH3800" s="48"/>
      <c r="BI3800" s="48"/>
      <c r="BJ3800" s="48"/>
      <c r="BK3800" s="48"/>
      <c r="BL3800" s="48"/>
      <c r="BM3800" s="48"/>
      <c r="BN3800" s="48"/>
      <c r="BO3800" s="48"/>
      <c r="BP3800" s="48"/>
      <c r="BQ3800" s="48"/>
      <c r="BR3800" s="48"/>
      <c r="BS3800" s="48"/>
      <c r="BT3800" s="48"/>
      <c r="BU3800" s="48"/>
      <c r="BV3800" s="48"/>
      <c r="BW3800" s="48"/>
      <c r="BX3800" s="48"/>
      <c r="BY3800" s="48"/>
      <c r="BZ3800" s="48"/>
      <c r="CA3800" s="48"/>
      <c r="CB3800" s="48"/>
      <c r="CC3800" s="48"/>
      <c r="CD3800" s="48"/>
      <c r="CE3800" s="48"/>
      <c r="CF3800" s="48"/>
      <c r="CG3800" s="48"/>
      <c r="CH3800" s="48"/>
      <c r="CI3800" s="48"/>
      <c r="CJ3800" s="48"/>
      <c r="CK3800" s="48"/>
      <c r="CL3800" s="48"/>
      <c r="CM3800" s="48"/>
      <c r="CN3800" s="48"/>
      <c r="CO3800" s="48"/>
      <c r="CP3800" s="48"/>
      <c r="CQ3800" s="48"/>
      <c r="CR3800" s="48"/>
      <c r="CS3800" s="48"/>
      <c r="CT3800" s="48"/>
      <c r="CU3800" s="48"/>
      <c r="CV3800" s="48"/>
      <c r="CW3800" s="48"/>
      <c r="CX3800" s="48"/>
      <c r="CY3800" s="48"/>
      <c r="CZ3800" s="48"/>
    </row>
    <row r="3801" spans="27:104" s="4" customFormat="1" x14ac:dyDescent="0.3">
      <c r="AA3801" s="48"/>
      <c r="AB3801" s="48"/>
      <c r="AC3801" s="48"/>
      <c r="AD3801" s="48"/>
      <c r="AE3801" s="48"/>
      <c r="AF3801" s="48"/>
      <c r="AG3801" s="48"/>
      <c r="AH3801" s="48"/>
      <c r="AI3801" s="48"/>
      <c r="AJ3801" s="48"/>
      <c r="AK3801" s="48"/>
      <c r="AL3801" s="48"/>
      <c r="AM3801" s="48"/>
      <c r="AN3801" s="48"/>
      <c r="AO3801" s="48"/>
      <c r="AP3801" s="48"/>
      <c r="AQ3801" s="48"/>
      <c r="AR3801" s="48"/>
      <c r="AS3801" s="48"/>
      <c r="AT3801" s="48"/>
      <c r="AU3801" s="48"/>
      <c r="AV3801" s="48"/>
      <c r="AW3801" s="48"/>
      <c r="AX3801" s="48"/>
      <c r="AY3801" s="48"/>
      <c r="AZ3801" s="48"/>
      <c r="BA3801" s="48"/>
      <c r="BB3801" s="14"/>
      <c r="BC3801" s="48"/>
      <c r="BD3801" s="48"/>
      <c r="BE3801" s="48"/>
      <c r="BF3801" s="48"/>
      <c r="BG3801" s="48"/>
      <c r="BH3801" s="48"/>
      <c r="BI3801" s="48"/>
      <c r="BJ3801" s="48"/>
      <c r="BK3801" s="48"/>
      <c r="BL3801" s="48"/>
      <c r="BM3801" s="48"/>
      <c r="BN3801" s="48"/>
      <c r="BO3801" s="48"/>
      <c r="BP3801" s="48"/>
      <c r="BQ3801" s="48"/>
      <c r="BR3801" s="48"/>
      <c r="BS3801" s="48"/>
      <c r="BT3801" s="48"/>
      <c r="BU3801" s="48"/>
      <c r="BV3801" s="48"/>
      <c r="BW3801" s="48"/>
      <c r="BX3801" s="48"/>
      <c r="BY3801" s="48"/>
      <c r="BZ3801" s="48"/>
      <c r="CA3801" s="48"/>
      <c r="CB3801" s="48"/>
      <c r="CC3801" s="48"/>
      <c r="CD3801" s="48"/>
      <c r="CE3801" s="48"/>
      <c r="CF3801" s="48"/>
      <c r="CG3801" s="48"/>
      <c r="CH3801" s="48"/>
      <c r="CI3801" s="48"/>
      <c r="CJ3801" s="48"/>
      <c r="CK3801" s="48"/>
      <c r="CL3801" s="48"/>
      <c r="CM3801" s="48"/>
      <c r="CN3801" s="48"/>
      <c r="CO3801" s="48"/>
      <c r="CP3801" s="48"/>
      <c r="CQ3801" s="48"/>
      <c r="CR3801" s="48"/>
      <c r="CS3801" s="48"/>
      <c r="CT3801" s="48"/>
      <c r="CU3801" s="48"/>
      <c r="CV3801" s="48"/>
      <c r="CW3801" s="48"/>
      <c r="CX3801" s="48"/>
      <c r="CY3801" s="48"/>
      <c r="CZ3801" s="48"/>
    </row>
    <row r="3802" spans="27:104" s="4" customFormat="1" x14ac:dyDescent="0.3">
      <c r="AA3802" s="48"/>
      <c r="AB3802" s="48"/>
      <c r="AC3802" s="48"/>
      <c r="AD3802" s="48"/>
      <c r="AE3802" s="48"/>
      <c r="AF3802" s="48"/>
      <c r="AG3802" s="48"/>
      <c r="AH3802" s="48"/>
      <c r="AI3802" s="48"/>
      <c r="AJ3802" s="48"/>
      <c r="AK3802" s="48"/>
      <c r="AL3802" s="48"/>
      <c r="AM3802" s="48"/>
      <c r="AN3802" s="48"/>
      <c r="AO3802" s="48"/>
      <c r="AP3802" s="48"/>
      <c r="AQ3802" s="48"/>
      <c r="AR3802" s="48"/>
      <c r="AS3802" s="48"/>
      <c r="AT3802" s="48"/>
      <c r="AU3802" s="48"/>
      <c r="AV3802" s="48"/>
      <c r="AW3802" s="48"/>
      <c r="AX3802" s="48"/>
      <c r="AY3802" s="48"/>
      <c r="AZ3802" s="48"/>
      <c r="BA3802" s="48"/>
      <c r="BB3802" s="14"/>
      <c r="BC3802" s="48"/>
      <c r="BD3802" s="48"/>
      <c r="BE3802" s="48"/>
      <c r="BF3802" s="48"/>
      <c r="BG3802" s="48"/>
      <c r="BH3802" s="48"/>
      <c r="BI3802" s="48"/>
      <c r="BJ3802" s="48"/>
      <c r="BK3802" s="48"/>
      <c r="BL3802" s="48"/>
      <c r="BM3802" s="48"/>
      <c r="BN3802" s="48"/>
      <c r="BO3802" s="48"/>
      <c r="BP3802" s="48"/>
      <c r="BQ3802" s="48"/>
      <c r="BR3802" s="48"/>
      <c r="BS3802" s="48"/>
      <c r="BT3802" s="48"/>
      <c r="BU3802" s="48"/>
      <c r="BV3802" s="48"/>
      <c r="BW3802" s="48"/>
      <c r="BX3802" s="48"/>
      <c r="BY3802" s="48"/>
      <c r="BZ3802" s="48"/>
      <c r="CA3802" s="48"/>
      <c r="CB3802" s="48"/>
      <c r="CC3802" s="48"/>
      <c r="CD3802" s="48"/>
      <c r="CE3802" s="48"/>
      <c r="CF3802" s="48"/>
      <c r="CG3802" s="48"/>
      <c r="CH3802" s="48"/>
      <c r="CI3802" s="48"/>
      <c r="CJ3802" s="48"/>
      <c r="CK3802" s="48"/>
      <c r="CL3802" s="48"/>
      <c r="CM3802" s="48"/>
      <c r="CN3802" s="48"/>
      <c r="CO3802" s="48"/>
      <c r="CP3802" s="48"/>
      <c r="CQ3802" s="48"/>
      <c r="CR3802" s="48"/>
      <c r="CS3802" s="48"/>
      <c r="CT3802" s="48"/>
      <c r="CU3802" s="48"/>
      <c r="CV3802" s="48"/>
      <c r="CW3802" s="48"/>
      <c r="CX3802" s="48"/>
      <c r="CY3802" s="48"/>
      <c r="CZ3802" s="48"/>
    </row>
    <row r="3803" spans="27:104" s="4" customFormat="1" x14ac:dyDescent="0.3">
      <c r="AA3803" s="48"/>
      <c r="AB3803" s="48"/>
      <c r="AC3803" s="48"/>
      <c r="AD3803" s="48"/>
      <c r="AE3803" s="48"/>
      <c r="AF3803" s="48"/>
      <c r="AG3803" s="48"/>
      <c r="AH3803" s="48"/>
      <c r="AI3803" s="48"/>
      <c r="AJ3803" s="48"/>
      <c r="AK3803" s="48"/>
      <c r="AL3803" s="48"/>
      <c r="AM3803" s="48"/>
      <c r="AN3803" s="48"/>
      <c r="AO3803" s="48"/>
      <c r="AP3803" s="48"/>
      <c r="AQ3803" s="48"/>
      <c r="AR3803" s="48"/>
      <c r="AS3803" s="48"/>
      <c r="AT3803" s="48"/>
      <c r="AU3803" s="48"/>
      <c r="AV3803" s="48"/>
      <c r="AW3803" s="48"/>
      <c r="AX3803" s="48"/>
      <c r="AY3803" s="48"/>
      <c r="AZ3803" s="48"/>
      <c r="BA3803" s="48"/>
      <c r="BB3803" s="14"/>
      <c r="BC3803" s="48"/>
      <c r="BD3803" s="48"/>
      <c r="BE3803" s="48"/>
      <c r="BF3803" s="48"/>
      <c r="BG3803" s="48"/>
      <c r="BH3803" s="48"/>
      <c r="BI3803" s="48"/>
      <c r="BJ3803" s="48"/>
      <c r="BK3803" s="48"/>
      <c r="BL3803" s="48"/>
      <c r="BM3803" s="48"/>
      <c r="BN3803" s="48"/>
      <c r="BO3803" s="48"/>
      <c r="BP3803" s="48"/>
      <c r="BQ3803" s="48"/>
      <c r="BR3803" s="48"/>
      <c r="BS3803" s="48"/>
      <c r="BT3803" s="48"/>
      <c r="BU3803" s="48"/>
      <c r="BV3803" s="48"/>
      <c r="BW3803" s="48"/>
      <c r="BX3803" s="48"/>
      <c r="BY3803" s="48"/>
      <c r="BZ3803" s="48"/>
      <c r="CA3803" s="48"/>
      <c r="CB3803" s="48"/>
      <c r="CC3803" s="48"/>
      <c r="CD3803" s="48"/>
      <c r="CE3803" s="48"/>
      <c r="CF3803" s="48"/>
      <c r="CG3803" s="48"/>
      <c r="CH3803" s="48"/>
      <c r="CI3803" s="48"/>
      <c r="CJ3803" s="48"/>
      <c r="CK3803" s="48"/>
      <c r="CL3803" s="48"/>
      <c r="CM3803" s="48"/>
      <c r="CN3803" s="48"/>
      <c r="CO3803" s="48"/>
      <c r="CP3803" s="48"/>
      <c r="CQ3803" s="48"/>
      <c r="CR3803" s="48"/>
      <c r="CS3803" s="48"/>
      <c r="CT3803" s="48"/>
      <c r="CU3803" s="48"/>
      <c r="CV3803" s="48"/>
      <c r="CW3803" s="48"/>
      <c r="CX3803" s="48"/>
      <c r="CY3803" s="48"/>
      <c r="CZ3803" s="48"/>
    </row>
    <row r="3804" spans="27:104" s="4" customFormat="1" x14ac:dyDescent="0.3">
      <c r="AA3804" s="48"/>
      <c r="AB3804" s="48"/>
      <c r="AC3804" s="48"/>
      <c r="AD3804" s="48"/>
      <c r="AE3804" s="48"/>
      <c r="AF3804" s="48"/>
      <c r="AG3804" s="48"/>
      <c r="AH3804" s="48"/>
      <c r="AI3804" s="48"/>
      <c r="AJ3804" s="48"/>
      <c r="AK3804" s="48"/>
      <c r="AL3804" s="48"/>
      <c r="AM3804" s="48"/>
      <c r="AN3804" s="48"/>
      <c r="AO3804" s="48"/>
      <c r="AP3804" s="48"/>
      <c r="AQ3804" s="48"/>
      <c r="AR3804" s="48"/>
      <c r="AS3804" s="48"/>
      <c r="AT3804" s="48"/>
      <c r="AU3804" s="48"/>
      <c r="AV3804" s="48"/>
      <c r="AW3804" s="48"/>
      <c r="AX3804" s="48"/>
      <c r="AY3804" s="48"/>
      <c r="AZ3804" s="48"/>
      <c r="BA3804" s="48"/>
      <c r="BB3804" s="14"/>
      <c r="BC3804" s="48"/>
      <c r="BD3804" s="48"/>
      <c r="BE3804" s="48"/>
      <c r="BF3804" s="48"/>
      <c r="BG3804" s="48"/>
      <c r="BH3804" s="48"/>
      <c r="BI3804" s="48"/>
      <c r="BJ3804" s="48"/>
      <c r="BK3804" s="48"/>
      <c r="BL3804" s="48"/>
      <c r="BM3804" s="48"/>
      <c r="BN3804" s="48"/>
      <c r="BO3804" s="48"/>
      <c r="BP3804" s="48"/>
      <c r="BQ3804" s="48"/>
      <c r="BR3804" s="48"/>
      <c r="BS3804" s="48"/>
      <c r="BT3804" s="48"/>
      <c r="BU3804" s="48"/>
      <c r="BV3804" s="48"/>
      <c r="BW3804" s="48"/>
      <c r="BX3804" s="48"/>
      <c r="BY3804" s="48"/>
      <c r="BZ3804" s="48"/>
      <c r="CA3804" s="48"/>
      <c r="CB3804" s="48"/>
      <c r="CC3804" s="48"/>
      <c r="CD3804" s="48"/>
      <c r="CE3804" s="48"/>
      <c r="CF3804" s="48"/>
      <c r="CG3804" s="48"/>
      <c r="CH3804" s="48"/>
      <c r="CI3804" s="48"/>
      <c r="CJ3804" s="48"/>
      <c r="CK3804" s="48"/>
      <c r="CL3804" s="48"/>
      <c r="CM3804" s="48"/>
      <c r="CN3804" s="48"/>
      <c r="CO3804" s="48"/>
      <c r="CP3804" s="48"/>
      <c r="CQ3804" s="48"/>
      <c r="CR3804" s="48"/>
      <c r="CS3804" s="48"/>
      <c r="CT3804" s="48"/>
      <c r="CU3804" s="48"/>
      <c r="CV3804" s="48"/>
      <c r="CW3804" s="48"/>
      <c r="CX3804" s="48"/>
      <c r="CY3804" s="48"/>
      <c r="CZ3804" s="48"/>
    </row>
    <row r="3805" spans="27:104" s="4" customFormat="1" x14ac:dyDescent="0.3">
      <c r="AA3805" s="48"/>
      <c r="AB3805" s="48"/>
      <c r="AC3805" s="48"/>
      <c r="AD3805" s="48"/>
      <c r="AE3805" s="48"/>
      <c r="AF3805" s="48"/>
      <c r="AG3805" s="48"/>
      <c r="AH3805" s="48"/>
      <c r="AI3805" s="48"/>
      <c r="AJ3805" s="48"/>
      <c r="AK3805" s="48"/>
      <c r="AL3805" s="48"/>
      <c r="AM3805" s="48"/>
      <c r="AN3805" s="48"/>
      <c r="AO3805" s="48"/>
      <c r="AP3805" s="48"/>
      <c r="AQ3805" s="48"/>
      <c r="AR3805" s="48"/>
      <c r="AS3805" s="48"/>
      <c r="AT3805" s="48"/>
      <c r="AU3805" s="48"/>
      <c r="AV3805" s="48"/>
      <c r="AW3805" s="48"/>
      <c r="AX3805" s="48"/>
      <c r="AY3805" s="48"/>
      <c r="AZ3805" s="48"/>
      <c r="BA3805" s="48"/>
      <c r="BB3805" s="14"/>
      <c r="BC3805" s="48"/>
      <c r="BD3805" s="48"/>
      <c r="BE3805" s="48"/>
      <c r="BF3805" s="48"/>
      <c r="BG3805" s="48"/>
      <c r="BH3805" s="48"/>
      <c r="BI3805" s="48"/>
      <c r="BJ3805" s="48"/>
      <c r="BK3805" s="48"/>
      <c r="BL3805" s="48"/>
      <c r="BM3805" s="48"/>
      <c r="BN3805" s="48"/>
      <c r="BO3805" s="48"/>
      <c r="BP3805" s="48"/>
      <c r="BQ3805" s="48"/>
      <c r="BR3805" s="48"/>
      <c r="BS3805" s="48"/>
      <c r="BT3805" s="48"/>
      <c r="BU3805" s="48"/>
      <c r="BV3805" s="48"/>
      <c r="BW3805" s="48"/>
      <c r="BX3805" s="48"/>
      <c r="BY3805" s="48"/>
      <c r="BZ3805" s="48"/>
      <c r="CA3805" s="48"/>
      <c r="CB3805" s="48"/>
      <c r="CC3805" s="48"/>
      <c r="CD3805" s="48"/>
      <c r="CE3805" s="48"/>
      <c r="CF3805" s="48"/>
      <c r="CG3805" s="48"/>
      <c r="CH3805" s="48"/>
      <c r="CI3805" s="48"/>
      <c r="CJ3805" s="48"/>
      <c r="CK3805" s="48"/>
      <c r="CL3805" s="48"/>
      <c r="CM3805" s="48"/>
      <c r="CN3805" s="48"/>
      <c r="CO3805" s="48"/>
      <c r="CP3805" s="48"/>
      <c r="CQ3805" s="48"/>
      <c r="CR3805" s="48"/>
      <c r="CS3805" s="48"/>
      <c r="CT3805" s="48"/>
      <c r="CU3805" s="48"/>
      <c r="CV3805" s="48"/>
      <c r="CW3805" s="48"/>
      <c r="CX3805" s="48"/>
      <c r="CY3805" s="48"/>
      <c r="CZ3805" s="48"/>
    </row>
    <row r="3806" spans="27:104" s="4" customFormat="1" x14ac:dyDescent="0.3">
      <c r="AA3806" s="48"/>
      <c r="AB3806" s="48"/>
      <c r="AC3806" s="48"/>
      <c r="AD3806" s="48"/>
      <c r="AE3806" s="48"/>
      <c r="AF3806" s="48"/>
      <c r="AG3806" s="48"/>
      <c r="AH3806" s="48"/>
      <c r="AI3806" s="48"/>
      <c r="AJ3806" s="48"/>
      <c r="AK3806" s="48"/>
      <c r="AL3806" s="48"/>
      <c r="AM3806" s="48"/>
      <c r="AN3806" s="48"/>
      <c r="AO3806" s="48"/>
      <c r="AP3806" s="48"/>
      <c r="AQ3806" s="48"/>
      <c r="AR3806" s="48"/>
      <c r="AS3806" s="48"/>
      <c r="AT3806" s="48"/>
      <c r="AU3806" s="48"/>
      <c r="AV3806" s="48"/>
      <c r="AW3806" s="48"/>
      <c r="AX3806" s="48"/>
      <c r="AY3806" s="48"/>
      <c r="AZ3806" s="48"/>
      <c r="BA3806" s="48"/>
      <c r="BB3806" s="14"/>
      <c r="BC3806" s="48"/>
      <c r="BD3806" s="48"/>
      <c r="BE3806" s="48"/>
      <c r="BF3806" s="48"/>
      <c r="BG3806" s="48"/>
      <c r="BH3806" s="48"/>
      <c r="BI3806" s="48"/>
      <c r="BJ3806" s="48"/>
      <c r="BK3806" s="48"/>
      <c r="BL3806" s="48"/>
      <c r="BM3806" s="48"/>
      <c r="BN3806" s="48"/>
      <c r="BO3806" s="48"/>
      <c r="BP3806" s="48"/>
      <c r="BQ3806" s="48"/>
      <c r="BR3806" s="48"/>
      <c r="BS3806" s="48"/>
      <c r="BT3806" s="48"/>
      <c r="BU3806" s="48"/>
      <c r="BV3806" s="48"/>
      <c r="BW3806" s="48"/>
      <c r="BX3806" s="48"/>
      <c r="BY3806" s="48"/>
      <c r="BZ3806" s="48"/>
      <c r="CA3806" s="48"/>
      <c r="CB3806" s="48"/>
      <c r="CC3806" s="48"/>
      <c r="CD3806" s="48"/>
      <c r="CE3806" s="48"/>
      <c r="CF3806" s="48"/>
      <c r="CG3806" s="48"/>
      <c r="CH3806" s="48"/>
      <c r="CI3806" s="48"/>
      <c r="CJ3806" s="48"/>
      <c r="CK3806" s="48"/>
      <c r="CL3806" s="48"/>
      <c r="CM3806" s="48"/>
      <c r="CN3806" s="48"/>
      <c r="CO3806" s="48"/>
      <c r="CP3806" s="48"/>
      <c r="CQ3806" s="48"/>
      <c r="CR3806" s="48"/>
      <c r="CS3806" s="48"/>
      <c r="CT3806" s="48"/>
      <c r="CU3806" s="48"/>
      <c r="CV3806" s="48"/>
      <c r="CW3806" s="48"/>
      <c r="CX3806" s="48"/>
      <c r="CY3806" s="48"/>
      <c r="CZ3806" s="48"/>
    </row>
    <row r="3807" spans="27:104" s="4" customFormat="1" x14ac:dyDescent="0.3">
      <c r="AA3807" s="48"/>
      <c r="AB3807" s="48"/>
      <c r="AC3807" s="48"/>
      <c r="AD3807" s="48"/>
      <c r="AE3807" s="48"/>
      <c r="AF3807" s="48"/>
      <c r="AG3807" s="48"/>
      <c r="AH3807" s="48"/>
      <c r="AI3807" s="48"/>
      <c r="AJ3807" s="48"/>
      <c r="AK3807" s="48"/>
      <c r="AL3807" s="48"/>
      <c r="AM3807" s="48"/>
      <c r="AN3807" s="48"/>
      <c r="AO3807" s="48"/>
      <c r="AP3807" s="48"/>
      <c r="AQ3807" s="48"/>
      <c r="AR3807" s="48"/>
      <c r="AS3807" s="48"/>
      <c r="AT3807" s="48"/>
      <c r="AU3807" s="48"/>
      <c r="AV3807" s="48"/>
      <c r="AW3807" s="48"/>
      <c r="AX3807" s="48"/>
      <c r="AY3807" s="48"/>
      <c r="AZ3807" s="48"/>
      <c r="BA3807" s="48"/>
      <c r="BB3807" s="14"/>
      <c r="BC3807" s="48"/>
      <c r="BD3807" s="48"/>
      <c r="BE3807" s="48"/>
      <c r="BF3807" s="48"/>
      <c r="BG3807" s="48"/>
      <c r="BH3807" s="48"/>
      <c r="BI3807" s="48"/>
      <c r="BJ3807" s="48"/>
      <c r="BK3807" s="48"/>
      <c r="BL3807" s="48"/>
      <c r="BM3807" s="48"/>
      <c r="BN3807" s="48"/>
      <c r="BO3807" s="48"/>
      <c r="BP3807" s="48"/>
      <c r="BQ3807" s="48"/>
      <c r="BR3807" s="48"/>
      <c r="BS3807" s="48"/>
      <c r="BT3807" s="48"/>
      <c r="BU3807" s="48"/>
      <c r="BV3807" s="48"/>
      <c r="BW3807" s="48"/>
      <c r="BX3807" s="48"/>
      <c r="BY3807" s="48"/>
      <c r="BZ3807" s="48"/>
      <c r="CA3807" s="48"/>
      <c r="CB3807" s="48"/>
      <c r="CC3807" s="48"/>
      <c r="CD3807" s="48"/>
      <c r="CE3807" s="48"/>
      <c r="CF3807" s="48"/>
      <c r="CG3807" s="48"/>
      <c r="CH3807" s="48"/>
      <c r="CI3807" s="48"/>
      <c r="CJ3807" s="48"/>
      <c r="CK3807" s="48"/>
      <c r="CL3807" s="48"/>
      <c r="CM3807" s="48"/>
      <c r="CN3807" s="48"/>
      <c r="CO3807" s="48"/>
      <c r="CP3807" s="48"/>
      <c r="CQ3807" s="48"/>
      <c r="CR3807" s="48"/>
      <c r="CS3807" s="48"/>
      <c r="CT3807" s="48"/>
      <c r="CU3807" s="48"/>
      <c r="CV3807" s="48"/>
      <c r="CW3807" s="48"/>
      <c r="CX3807" s="48"/>
      <c r="CY3807" s="48"/>
      <c r="CZ3807" s="48"/>
    </row>
    <row r="3808" spans="27:104" s="4" customFormat="1" x14ac:dyDescent="0.3">
      <c r="AA3808" s="48"/>
      <c r="AB3808" s="48"/>
      <c r="AC3808" s="48"/>
      <c r="AD3808" s="48"/>
      <c r="AE3808" s="48"/>
      <c r="AF3808" s="48"/>
      <c r="AG3808" s="48"/>
      <c r="AH3808" s="48"/>
      <c r="AI3808" s="48"/>
      <c r="AJ3808" s="48"/>
      <c r="AK3808" s="48"/>
      <c r="AL3808" s="48"/>
      <c r="AM3808" s="48"/>
      <c r="AN3808" s="48"/>
      <c r="AO3808" s="48"/>
      <c r="AP3808" s="48"/>
      <c r="AQ3808" s="48"/>
      <c r="AR3808" s="48"/>
      <c r="AS3808" s="48"/>
      <c r="AT3808" s="48"/>
      <c r="AU3808" s="48"/>
      <c r="AV3808" s="48"/>
      <c r="AW3808" s="48"/>
      <c r="AX3808" s="48"/>
      <c r="AY3808" s="48"/>
      <c r="AZ3808" s="48"/>
      <c r="BA3808" s="48"/>
      <c r="BB3808" s="14"/>
      <c r="BC3808" s="48"/>
      <c r="BD3808" s="48"/>
      <c r="BE3808" s="48"/>
      <c r="BF3808" s="48"/>
      <c r="BG3808" s="48"/>
      <c r="BH3808" s="48"/>
      <c r="BI3808" s="48"/>
      <c r="BJ3808" s="48"/>
      <c r="BK3808" s="48"/>
      <c r="BL3808" s="48"/>
      <c r="BM3808" s="48"/>
      <c r="BN3808" s="48"/>
      <c r="BO3808" s="48"/>
      <c r="BP3808" s="48"/>
      <c r="BQ3808" s="48"/>
      <c r="BR3808" s="48"/>
      <c r="BS3808" s="48"/>
      <c r="BT3808" s="48"/>
      <c r="BU3808" s="48"/>
      <c r="BV3808" s="48"/>
      <c r="BW3808" s="48"/>
      <c r="BX3808" s="48"/>
      <c r="BY3808" s="48"/>
      <c r="BZ3808" s="48"/>
      <c r="CA3808" s="48"/>
      <c r="CB3808" s="48"/>
      <c r="CC3808" s="48"/>
      <c r="CD3808" s="48"/>
      <c r="CE3808" s="48"/>
      <c r="CF3808" s="48"/>
      <c r="CG3808" s="48"/>
      <c r="CH3808" s="48"/>
      <c r="CI3808" s="48"/>
      <c r="CJ3808" s="48"/>
      <c r="CK3808" s="48"/>
      <c r="CL3808" s="48"/>
      <c r="CM3808" s="48"/>
      <c r="CN3808" s="48"/>
      <c r="CO3808" s="48"/>
      <c r="CP3808" s="48"/>
      <c r="CQ3808" s="48"/>
      <c r="CR3808" s="48"/>
      <c r="CS3808" s="48"/>
      <c r="CT3808" s="48"/>
      <c r="CU3808" s="48"/>
      <c r="CV3808" s="48"/>
      <c r="CW3808" s="48"/>
      <c r="CX3808" s="48"/>
      <c r="CY3808" s="48"/>
      <c r="CZ3808" s="48"/>
    </row>
    <row r="3809" spans="27:104" s="4" customFormat="1" x14ac:dyDescent="0.3">
      <c r="AA3809" s="48"/>
      <c r="AB3809" s="48"/>
      <c r="AC3809" s="48"/>
      <c r="AD3809" s="48"/>
      <c r="AE3809" s="48"/>
      <c r="AF3809" s="48"/>
      <c r="AG3809" s="48"/>
      <c r="AH3809" s="48"/>
      <c r="AI3809" s="48"/>
      <c r="AJ3809" s="48"/>
      <c r="AK3809" s="48"/>
      <c r="AL3809" s="48"/>
      <c r="AM3809" s="48"/>
      <c r="AN3809" s="48"/>
      <c r="AO3809" s="48"/>
      <c r="AP3809" s="48"/>
      <c r="AQ3809" s="48"/>
      <c r="AR3809" s="48"/>
      <c r="AS3809" s="48"/>
      <c r="AT3809" s="48"/>
      <c r="AU3809" s="48"/>
      <c r="AV3809" s="48"/>
      <c r="AW3809" s="48"/>
      <c r="AX3809" s="48"/>
      <c r="AY3809" s="48"/>
      <c r="AZ3809" s="48"/>
      <c r="BA3809" s="48"/>
      <c r="BB3809" s="14"/>
      <c r="BC3809" s="48"/>
      <c r="BD3809" s="48"/>
      <c r="BE3809" s="48"/>
      <c r="BF3809" s="48"/>
      <c r="BG3809" s="48"/>
      <c r="BH3809" s="48"/>
      <c r="BI3809" s="48"/>
      <c r="BJ3809" s="48"/>
      <c r="BK3809" s="48"/>
      <c r="BL3809" s="48"/>
      <c r="BM3809" s="48"/>
      <c r="BN3809" s="48"/>
      <c r="BO3809" s="48"/>
      <c r="BP3809" s="48"/>
      <c r="BQ3809" s="48"/>
      <c r="BR3809" s="48"/>
      <c r="BS3809" s="48"/>
      <c r="BT3809" s="48"/>
      <c r="BU3809" s="48"/>
      <c r="BV3809" s="48"/>
      <c r="BW3809" s="48"/>
      <c r="BX3809" s="48"/>
      <c r="BY3809" s="48"/>
      <c r="BZ3809" s="48"/>
      <c r="CA3809" s="48"/>
      <c r="CB3809" s="48"/>
      <c r="CC3809" s="48"/>
      <c r="CD3809" s="48"/>
      <c r="CE3809" s="48"/>
      <c r="CF3809" s="48"/>
      <c r="CG3809" s="48"/>
      <c r="CH3809" s="48"/>
      <c r="CI3809" s="48"/>
      <c r="CJ3809" s="48"/>
      <c r="CK3809" s="48"/>
      <c r="CL3809" s="48"/>
      <c r="CM3809" s="48"/>
      <c r="CN3809" s="48"/>
      <c r="CO3809" s="48"/>
      <c r="CP3809" s="48"/>
      <c r="CQ3809" s="48"/>
      <c r="CR3809" s="48"/>
      <c r="CS3809" s="48"/>
      <c r="CT3809" s="48"/>
      <c r="CU3809" s="48"/>
      <c r="CV3809" s="48"/>
      <c r="CW3809" s="48"/>
      <c r="CX3809" s="48"/>
      <c r="CY3809" s="48"/>
      <c r="CZ3809" s="48"/>
    </row>
    <row r="3810" spans="27:104" s="4" customFormat="1" x14ac:dyDescent="0.3">
      <c r="AA3810" s="48"/>
      <c r="AB3810" s="48"/>
      <c r="AC3810" s="48"/>
      <c r="AD3810" s="48"/>
      <c r="AE3810" s="48"/>
      <c r="AF3810" s="48"/>
      <c r="AG3810" s="48"/>
      <c r="AH3810" s="48"/>
      <c r="AI3810" s="48"/>
      <c r="AJ3810" s="48"/>
      <c r="AK3810" s="48"/>
      <c r="AL3810" s="48"/>
      <c r="AM3810" s="48"/>
      <c r="AN3810" s="48"/>
      <c r="AO3810" s="48"/>
      <c r="AP3810" s="48"/>
      <c r="AQ3810" s="48"/>
      <c r="AR3810" s="48"/>
      <c r="AS3810" s="48"/>
      <c r="AT3810" s="48"/>
      <c r="AU3810" s="48"/>
      <c r="AV3810" s="48"/>
      <c r="AW3810" s="48"/>
      <c r="AX3810" s="48"/>
      <c r="AY3810" s="48"/>
      <c r="AZ3810" s="48"/>
      <c r="BA3810" s="48"/>
      <c r="BB3810" s="14"/>
      <c r="BC3810" s="48"/>
      <c r="BD3810" s="48"/>
      <c r="BE3810" s="48"/>
      <c r="BF3810" s="48"/>
      <c r="BG3810" s="48"/>
      <c r="BH3810" s="48"/>
      <c r="BI3810" s="48"/>
      <c r="BJ3810" s="48"/>
      <c r="BK3810" s="48"/>
      <c r="BL3810" s="48"/>
      <c r="BM3810" s="48"/>
      <c r="BN3810" s="48"/>
      <c r="BO3810" s="48"/>
      <c r="BP3810" s="48"/>
      <c r="BQ3810" s="48"/>
      <c r="BR3810" s="48"/>
      <c r="BS3810" s="48"/>
      <c r="BT3810" s="48"/>
      <c r="BU3810" s="48"/>
      <c r="BV3810" s="48"/>
      <c r="BW3810" s="48"/>
      <c r="BX3810" s="48"/>
      <c r="BY3810" s="48"/>
      <c r="BZ3810" s="48"/>
      <c r="CA3810" s="48"/>
      <c r="CB3810" s="48"/>
      <c r="CC3810" s="48"/>
      <c r="CD3810" s="48"/>
      <c r="CE3810" s="48"/>
      <c r="CF3810" s="48"/>
      <c r="CG3810" s="48"/>
      <c r="CH3810" s="48"/>
      <c r="CI3810" s="48"/>
      <c r="CJ3810" s="48"/>
      <c r="CK3810" s="48"/>
      <c r="CL3810" s="48"/>
      <c r="CM3810" s="48"/>
      <c r="CN3810" s="48"/>
      <c r="CO3810" s="48"/>
      <c r="CP3810" s="48"/>
      <c r="CQ3810" s="48"/>
      <c r="CR3810" s="48"/>
      <c r="CS3810" s="48"/>
      <c r="CT3810" s="48"/>
      <c r="CU3810" s="48"/>
      <c r="CV3810" s="48"/>
      <c r="CW3810" s="48"/>
      <c r="CX3810" s="48"/>
      <c r="CY3810" s="48"/>
      <c r="CZ3810" s="48"/>
    </row>
    <row r="3811" spans="27:104" s="4" customFormat="1" x14ac:dyDescent="0.3">
      <c r="AA3811" s="48"/>
      <c r="AB3811" s="48"/>
      <c r="AC3811" s="48"/>
      <c r="AD3811" s="48"/>
      <c r="AE3811" s="48"/>
      <c r="AF3811" s="48"/>
      <c r="AG3811" s="48"/>
      <c r="AH3811" s="48"/>
      <c r="AI3811" s="48"/>
      <c r="AJ3811" s="48"/>
      <c r="AK3811" s="48"/>
      <c r="AL3811" s="48"/>
      <c r="AM3811" s="48"/>
      <c r="AN3811" s="48"/>
      <c r="AO3811" s="48"/>
      <c r="AP3811" s="48"/>
      <c r="AQ3811" s="48"/>
      <c r="AR3811" s="48"/>
      <c r="AS3811" s="48"/>
      <c r="AT3811" s="48"/>
      <c r="AU3811" s="48"/>
      <c r="AV3811" s="48"/>
      <c r="AW3811" s="48"/>
      <c r="AX3811" s="48"/>
      <c r="AY3811" s="48"/>
      <c r="AZ3811" s="48"/>
      <c r="BA3811" s="48"/>
      <c r="BB3811" s="14"/>
      <c r="BC3811" s="48"/>
      <c r="BD3811" s="48"/>
      <c r="BE3811" s="48"/>
      <c r="BF3811" s="48"/>
      <c r="BG3811" s="48"/>
      <c r="BH3811" s="48"/>
      <c r="BI3811" s="48"/>
      <c r="BJ3811" s="48"/>
      <c r="BK3811" s="48"/>
      <c r="BL3811" s="48"/>
      <c r="BM3811" s="48"/>
      <c r="BN3811" s="48"/>
      <c r="BO3811" s="48"/>
      <c r="BP3811" s="48"/>
      <c r="BQ3811" s="48"/>
      <c r="BR3811" s="48"/>
      <c r="BS3811" s="48"/>
      <c r="BT3811" s="48"/>
      <c r="BU3811" s="48"/>
      <c r="BV3811" s="48"/>
      <c r="BW3811" s="48"/>
      <c r="BX3811" s="48"/>
      <c r="BY3811" s="48"/>
      <c r="BZ3811" s="48"/>
      <c r="CA3811" s="48"/>
      <c r="CB3811" s="48"/>
      <c r="CC3811" s="48"/>
      <c r="CD3811" s="48"/>
      <c r="CE3811" s="48"/>
      <c r="CF3811" s="48"/>
      <c r="CG3811" s="48"/>
      <c r="CH3811" s="48"/>
      <c r="CI3811" s="48"/>
      <c r="CJ3811" s="48"/>
      <c r="CK3811" s="48"/>
      <c r="CL3811" s="48"/>
      <c r="CM3811" s="48"/>
      <c r="CN3811" s="48"/>
      <c r="CO3811" s="48"/>
      <c r="CP3811" s="48"/>
      <c r="CQ3811" s="48"/>
      <c r="CR3811" s="48"/>
      <c r="CS3811" s="48"/>
      <c r="CT3811" s="48"/>
      <c r="CU3811" s="48"/>
      <c r="CV3811" s="48"/>
      <c r="CW3811" s="48"/>
      <c r="CX3811" s="48"/>
      <c r="CY3811" s="48"/>
      <c r="CZ3811" s="48"/>
    </row>
    <row r="3812" spans="27:104" s="4" customFormat="1" x14ac:dyDescent="0.3">
      <c r="AA3812" s="48"/>
      <c r="AB3812" s="48"/>
      <c r="AC3812" s="48"/>
      <c r="AD3812" s="48"/>
      <c r="AE3812" s="48"/>
      <c r="AF3812" s="48"/>
      <c r="AG3812" s="48"/>
      <c r="AH3812" s="48"/>
      <c r="AI3812" s="48"/>
      <c r="AJ3812" s="48"/>
      <c r="AK3812" s="48"/>
      <c r="AL3812" s="48"/>
      <c r="AM3812" s="48"/>
      <c r="AN3812" s="48"/>
      <c r="AO3812" s="48"/>
      <c r="AP3812" s="48"/>
      <c r="AQ3812" s="48"/>
      <c r="AR3812" s="48"/>
      <c r="AS3812" s="48"/>
      <c r="AT3812" s="48"/>
      <c r="AU3812" s="48"/>
      <c r="AV3812" s="48"/>
      <c r="AW3812" s="48"/>
      <c r="AX3812" s="48"/>
      <c r="AY3812" s="48"/>
      <c r="AZ3812" s="48"/>
      <c r="BA3812" s="48"/>
      <c r="BB3812" s="14"/>
      <c r="BC3812" s="48"/>
      <c r="BD3812" s="48"/>
      <c r="BE3812" s="48"/>
      <c r="BF3812" s="48"/>
      <c r="BG3812" s="48"/>
      <c r="BH3812" s="48"/>
      <c r="BI3812" s="48"/>
      <c r="BJ3812" s="48"/>
      <c r="BK3812" s="48"/>
      <c r="BL3812" s="48"/>
      <c r="BM3812" s="48"/>
      <c r="BN3812" s="48"/>
      <c r="BO3812" s="48"/>
      <c r="BP3812" s="48"/>
      <c r="BQ3812" s="48"/>
      <c r="BR3812" s="48"/>
      <c r="BS3812" s="48"/>
      <c r="BT3812" s="48"/>
      <c r="BU3812" s="48"/>
      <c r="BV3812" s="48"/>
      <c r="BW3812" s="48"/>
      <c r="BX3812" s="48"/>
      <c r="BY3812" s="48"/>
      <c r="BZ3812" s="48"/>
      <c r="CA3812" s="48"/>
      <c r="CB3812" s="48"/>
      <c r="CC3812" s="48"/>
      <c r="CD3812" s="48"/>
      <c r="CE3812" s="48"/>
      <c r="CF3812" s="48"/>
      <c r="CG3812" s="48"/>
      <c r="CH3812" s="48"/>
      <c r="CI3812" s="48"/>
      <c r="CJ3812" s="48"/>
      <c r="CK3812" s="48"/>
      <c r="CL3812" s="48"/>
      <c r="CM3812" s="48"/>
      <c r="CN3812" s="48"/>
      <c r="CO3812" s="48"/>
      <c r="CP3812" s="48"/>
      <c r="CQ3812" s="48"/>
      <c r="CR3812" s="48"/>
      <c r="CS3812" s="48"/>
      <c r="CT3812" s="48"/>
      <c r="CU3812" s="48"/>
      <c r="CV3812" s="48"/>
      <c r="CW3812" s="48"/>
      <c r="CX3812" s="48"/>
      <c r="CY3812" s="48"/>
      <c r="CZ3812" s="48"/>
    </row>
    <row r="3813" spans="27:104" s="4" customFormat="1" x14ac:dyDescent="0.3">
      <c r="AA3813" s="48"/>
      <c r="AB3813" s="48"/>
      <c r="AC3813" s="48"/>
      <c r="AD3813" s="48"/>
      <c r="AE3813" s="48"/>
      <c r="AF3813" s="48"/>
      <c r="AG3813" s="48"/>
      <c r="AH3813" s="48"/>
      <c r="AI3813" s="48"/>
      <c r="AJ3813" s="48"/>
      <c r="AK3813" s="48"/>
      <c r="AL3813" s="48"/>
      <c r="AM3813" s="48"/>
      <c r="AN3813" s="48"/>
      <c r="AO3813" s="48"/>
      <c r="AP3813" s="48"/>
      <c r="AQ3813" s="48"/>
      <c r="AR3813" s="48"/>
      <c r="AS3813" s="48"/>
      <c r="AT3813" s="48"/>
      <c r="AU3813" s="48"/>
      <c r="AV3813" s="48"/>
      <c r="AW3813" s="48"/>
      <c r="AX3813" s="48"/>
      <c r="AY3813" s="48"/>
      <c r="AZ3813" s="48"/>
      <c r="BA3813" s="48"/>
      <c r="BB3813" s="14"/>
      <c r="BC3813" s="48"/>
      <c r="BD3813" s="48"/>
      <c r="BE3813" s="48"/>
      <c r="BF3813" s="48"/>
      <c r="BG3813" s="48"/>
      <c r="BH3813" s="48"/>
      <c r="BI3813" s="48"/>
      <c r="BJ3813" s="48"/>
      <c r="BK3813" s="48"/>
      <c r="BL3813" s="48"/>
      <c r="BM3813" s="48"/>
      <c r="BN3813" s="48"/>
      <c r="BO3813" s="48"/>
      <c r="BP3813" s="48"/>
      <c r="BQ3813" s="48"/>
      <c r="BR3813" s="48"/>
      <c r="BS3813" s="48"/>
      <c r="BT3813" s="48"/>
      <c r="BU3813" s="48"/>
      <c r="BV3813" s="48"/>
      <c r="BW3813" s="48"/>
      <c r="BX3813" s="48"/>
      <c r="BY3813" s="48"/>
      <c r="BZ3813" s="48"/>
      <c r="CA3813" s="48"/>
      <c r="CB3813" s="48"/>
      <c r="CC3813" s="48"/>
      <c r="CD3813" s="48"/>
      <c r="CE3813" s="48"/>
      <c r="CF3813" s="48"/>
      <c r="CG3813" s="48"/>
      <c r="CH3813" s="48"/>
      <c r="CI3813" s="48"/>
      <c r="CJ3813" s="48"/>
      <c r="CK3813" s="48"/>
      <c r="CL3813" s="48"/>
      <c r="CM3813" s="48"/>
      <c r="CN3813" s="48"/>
      <c r="CO3813" s="48"/>
      <c r="CP3813" s="48"/>
      <c r="CQ3813" s="48"/>
      <c r="CR3813" s="48"/>
      <c r="CS3813" s="48"/>
      <c r="CT3813" s="48"/>
      <c r="CU3813" s="48"/>
      <c r="CV3813" s="48"/>
      <c r="CW3813" s="48"/>
      <c r="CX3813" s="48"/>
      <c r="CY3813" s="48"/>
      <c r="CZ3813" s="48"/>
    </row>
    <row r="3814" spans="27:104" s="4" customFormat="1" x14ac:dyDescent="0.3">
      <c r="AA3814" s="48"/>
      <c r="AB3814" s="48"/>
      <c r="AC3814" s="48"/>
      <c r="AD3814" s="48"/>
      <c r="AE3814" s="48"/>
      <c r="AF3814" s="48"/>
      <c r="AG3814" s="48"/>
      <c r="AH3814" s="48"/>
      <c r="AI3814" s="48"/>
      <c r="AJ3814" s="48"/>
      <c r="AK3814" s="48"/>
      <c r="AL3814" s="48"/>
      <c r="AM3814" s="48"/>
      <c r="AN3814" s="48"/>
      <c r="AO3814" s="48"/>
      <c r="AP3814" s="48"/>
      <c r="AQ3814" s="48"/>
      <c r="AR3814" s="48"/>
      <c r="AS3814" s="48"/>
      <c r="AT3814" s="48"/>
      <c r="AU3814" s="48"/>
      <c r="AV3814" s="48"/>
      <c r="AW3814" s="48"/>
      <c r="AX3814" s="48"/>
      <c r="AY3814" s="48"/>
      <c r="AZ3814" s="48"/>
      <c r="BA3814" s="48"/>
      <c r="BB3814" s="14"/>
      <c r="BC3814" s="48"/>
      <c r="BD3814" s="48"/>
      <c r="BE3814" s="48"/>
      <c r="BF3814" s="48"/>
      <c r="BG3814" s="48"/>
      <c r="BH3814" s="48"/>
      <c r="BI3814" s="48"/>
      <c r="BJ3814" s="48"/>
      <c r="BK3814" s="48"/>
      <c r="BL3814" s="48"/>
      <c r="BM3814" s="48"/>
      <c r="BN3814" s="48"/>
      <c r="BO3814" s="48"/>
      <c r="BP3814" s="48"/>
      <c r="BQ3814" s="48"/>
      <c r="BR3814" s="48"/>
      <c r="BS3814" s="48"/>
      <c r="BT3814" s="48"/>
      <c r="BU3814" s="48"/>
      <c r="BV3814" s="48"/>
      <c r="BW3814" s="48"/>
      <c r="BX3814" s="48"/>
      <c r="BY3814" s="48"/>
      <c r="BZ3814" s="48"/>
      <c r="CA3814" s="48"/>
      <c r="CB3814" s="48"/>
      <c r="CC3814" s="48"/>
      <c r="CD3814" s="48"/>
      <c r="CE3814" s="48"/>
      <c r="CF3814" s="48"/>
      <c r="CG3814" s="48"/>
      <c r="CH3814" s="48"/>
      <c r="CI3814" s="48"/>
      <c r="CJ3814" s="48"/>
      <c r="CK3814" s="48"/>
      <c r="CL3814" s="48"/>
      <c r="CM3814" s="48"/>
      <c r="CN3814" s="48"/>
      <c r="CO3814" s="48"/>
      <c r="CP3814" s="48"/>
      <c r="CQ3814" s="48"/>
      <c r="CR3814" s="48"/>
      <c r="CS3814" s="48"/>
      <c r="CT3814" s="48"/>
      <c r="CU3814" s="48"/>
      <c r="CV3814" s="48"/>
      <c r="CW3814" s="48"/>
      <c r="CX3814" s="48"/>
      <c r="CY3814" s="48"/>
      <c r="CZ3814" s="48"/>
    </row>
    <row r="3815" spans="27:104" s="4" customFormat="1" x14ac:dyDescent="0.3">
      <c r="AA3815" s="48"/>
      <c r="AB3815" s="48"/>
      <c r="AC3815" s="48"/>
      <c r="AD3815" s="48"/>
      <c r="AE3815" s="48"/>
      <c r="AF3815" s="48"/>
      <c r="AG3815" s="48"/>
      <c r="AH3815" s="48"/>
      <c r="AI3815" s="48"/>
      <c r="AJ3815" s="48"/>
      <c r="AK3815" s="48"/>
      <c r="AL3815" s="48"/>
      <c r="AM3815" s="48"/>
      <c r="AN3815" s="48"/>
      <c r="AO3815" s="48"/>
      <c r="AP3815" s="48"/>
      <c r="AQ3815" s="48"/>
      <c r="AR3815" s="48"/>
      <c r="AS3815" s="48"/>
      <c r="AT3815" s="48"/>
      <c r="AU3815" s="48"/>
      <c r="AV3815" s="48"/>
      <c r="AW3815" s="48"/>
      <c r="AX3815" s="48"/>
      <c r="AY3815" s="48"/>
      <c r="AZ3815" s="48"/>
      <c r="BA3815" s="48"/>
      <c r="BB3815" s="14"/>
      <c r="BC3815" s="48"/>
      <c r="BD3815" s="48"/>
      <c r="BE3815" s="48"/>
      <c r="BF3815" s="48"/>
      <c r="BG3815" s="48"/>
      <c r="BH3815" s="48"/>
      <c r="BI3815" s="48"/>
      <c r="BJ3815" s="48"/>
      <c r="BK3815" s="48"/>
      <c r="BL3815" s="48"/>
      <c r="BM3815" s="48"/>
      <c r="BN3815" s="48"/>
      <c r="BO3815" s="48"/>
      <c r="BP3815" s="48"/>
      <c r="BQ3815" s="48"/>
      <c r="BR3815" s="48"/>
      <c r="BS3815" s="48"/>
      <c r="BT3815" s="48"/>
      <c r="BU3815" s="48"/>
      <c r="BV3815" s="48"/>
      <c r="BW3815" s="48"/>
      <c r="BX3815" s="48"/>
      <c r="BY3815" s="48"/>
      <c r="BZ3815" s="48"/>
      <c r="CA3815" s="48"/>
      <c r="CB3815" s="48"/>
      <c r="CC3815" s="48"/>
      <c r="CD3815" s="48"/>
      <c r="CE3815" s="48"/>
      <c r="CF3815" s="48"/>
      <c r="CG3815" s="48"/>
      <c r="CH3815" s="48"/>
      <c r="CI3815" s="48"/>
      <c r="CJ3815" s="48"/>
      <c r="CK3815" s="48"/>
      <c r="CL3815" s="48"/>
      <c r="CM3815" s="48"/>
      <c r="CN3815" s="48"/>
      <c r="CO3815" s="48"/>
      <c r="CP3815" s="48"/>
      <c r="CQ3815" s="48"/>
      <c r="CR3815" s="48"/>
      <c r="CS3815" s="48"/>
      <c r="CT3815" s="48"/>
      <c r="CU3815" s="48"/>
      <c r="CV3815" s="48"/>
      <c r="CW3815" s="48"/>
      <c r="CX3815" s="48"/>
      <c r="CY3815" s="48"/>
      <c r="CZ3815" s="48"/>
    </row>
    <row r="3816" spans="27:104" s="4" customFormat="1" x14ac:dyDescent="0.3">
      <c r="AA3816" s="48"/>
      <c r="AB3816" s="48"/>
      <c r="AC3816" s="48"/>
      <c r="AD3816" s="48"/>
      <c r="AE3816" s="48"/>
      <c r="AF3816" s="48"/>
      <c r="AG3816" s="48"/>
      <c r="AH3816" s="48"/>
      <c r="AI3816" s="48"/>
      <c r="AJ3816" s="48"/>
      <c r="AK3816" s="48"/>
      <c r="AL3816" s="48"/>
      <c r="AM3816" s="48"/>
      <c r="AN3816" s="48"/>
      <c r="AO3816" s="48"/>
      <c r="AP3816" s="48"/>
      <c r="AQ3816" s="48"/>
      <c r="AR3816" s="48"/>
      <c r="AS3816" s="48"/>
      <c r="AT3816" s="48"/>
      <c r="AU3816" s="48"/>
      <c r="AV3816" s="48"/>
      <c r="AW3816" s="48"/>
      <c r="AX3816" s="48"/>
      <c r="AY3816" s="48"/>
      <c r="AZ3816" s="48"/>
      <c r="BA3816" s="48"/>
      <c r="BB3816" s="14"/>
      <c r="BC3816" s="48"/>
      <c r="BD3816" s="48"/>
      <c r="BE3816" s="48"/>
      <c r="BF3816" s="48"/>
      <c r="BG3816" s="48"/>
      <c r="BH3816" s="48"/>
      <c r="BI3816" s="48"/>
      <c r="BJ3816" s="48"/>
      <c r="BK3816" s="48"/>
      <c r="BL3816" s="48"/>
      <c r="BM3816" s="48"/>
      <c r="BN3816" s="48"/>
      <c r="BO3816" s="48"/>
      <c r="BP3816" s="48"/>
      <c r="BQ3816" s="48"/>
      <c r="BR3816" s="48"/>
      <c r="BS3816" s="48"/>
      <c r="BT3816" s="48"/>
      <c r="BU3816" s="48"/>
      <c r="BV3816" s="48"/>
      <c r="BW3816" s="48"/>
      <c r="BX3816" s="48"/>
      <c r="BY3816" s="48"/>
      <c r="BZ3816" s="48"/>
      <c r="CA3816" s="48"/>
      <c r="CB3816" s="48"/>
      <c r="CC3816" s="48"/>
      <c r="CD3816" s="48"/>
      <c r="CE3816" s="48"/>
      <c r="CF3816" s="48"/>
      <c r="CG3816" s="48"/>
      <c r="CH3816" s="48"/>
      <c r="CI3816" s="48"/>
      <c r="CJ3816" s="48"/>
      <c r="CK3816" s="48"/>
      <c r="CL3816" s="48"/>
      <c r="CM3816" s="48"/>
      <c r="CN3816" s="48"/>
      <c r="CO3816" s="48"/>
      <c r="CP3816" s="48"/>
      <c r="CQ3816" s="48"/>
      <c r="CR3816" s="48"/>
      <c r="CS3816" s="48"/>
      <c r="CT3816" s="48"/>
      <c r="CU3816" s="48"/>
      <c r="CV3816" s="48"/>
      <c r="CW3816" s="48"/>
      <c r="CX3816" s="48"/>
      <c r="CY3816" s="48"/>
      <c r="CZ3816" s="48"/>
    </row>
    <row r="3817" spans="27:104" s="4" customFormat="1" x14ac:dyDescent="0.3">
      <c r="AA3817" s="48"/>
      <c r="AB3817" s="48"/>
      <c r="AC3817" s="48"/>
      <c r="AD3817" s="48"/>
      <c r="AE3817" s="48"/>
      <c r="AF3817" s="48"/>
      <c r="AG3817" s="48"/>
      <c r="AH3817" s="48"/>
      <c r="AI3817" s="48"/>
      <c r="AJ3817" s="48"/>
      <c r="AK3817" s="48"/>
      <c r="AL3817" s="48"/>
      <c r="AM3817" s="48"/>
      <c r="AN3817" s="48"/>
      <c r="AO3817" s="48"/>
      <c r="AP3817" s="48"/>
      <c r="AQ3817" s="48"/>
      <c r="AR3817" s="48"/>
      <c r="AS3817" s="48"/>
      <c r="AT3817" s="48"/>
      <c r="AU3817" s="48"/>
      <c r="AV3817" s="48"/>
      <c r="AW3817" s="48"/>
      <c r="AX3817" s="48"/>
      <c r="AY3817" s="48"/>
      <c r="AZ3817" s="48"/>
      <c r="BA3817" s="48"/>
      <c r="BB3817" s="14"/>
      <c r="BC3817" s="48"/>
      <c r="BD3817" s="48"/>
      <c r="BE3817" s="48"/>
      <c r="BF3817" s="48"/>
      <c r="BG3817" s="48"/>
      <c r="BH3817" s="48"/>
      <c r="BI3817" s="48"/>
      <c r="BJ3817" s="48"/>
      <c r="BK3817" s="48"/>
      <c r="BL3817" s="48"/>
      <c r="BM3817" s="48"/>
      <c r="BN3817" s="48"/>
      <c r="BO3817" s="48"/>
      <c r="BP3817" s="48"/>
      <c r="BQ3817" s="48"/>
      <c r="BR3817" s="48"/>
      <c r="BS3817" s="48"/>
      <c r="BT3817" s="48"/>
      <c r="BU3817" s="48"/>
      <c r="BV3817" s="48"/>
      <c r="BW3817" s="48"/>
      <c r="BX3817" s="48"/>
      <c r="BY3817" s="48"/>
      <c r="BZ3817" s="48"/>
      <c r="CA3817" s="48"/>
      <c r="CB3817" s="48"/>
      <c r="CC3817" s="48"/>
      <c r="CD3817" s="48"/>
      <c r="CE3817" s="48"/>
      <c r="CF3817" s="48"/>
      <c r="CG3817" s="48"/>
      <c r="CH3817" s="48"/>
      <c r="CI3817" s="48"/>
      <c r="CJ3817" s="48"/>
      <c r="CK3817" s="48"/>
      <c r="CL3817" s="48"/>
      <c r="CM3817" s="48"/>
      <c r="CN3817" s="48"/>
      <c r="CO3817" s="48"/>
      <c r="CP3817" s="48"/>
      <c r="CQ3817" s="48"/>
      <c r="CR3817" s="48"/>
      <c r="CS3817" s="48"/>
      <c r="CT3817" s="48"/>
      <c r="CU3817" s="48"/>
      <c r="CV3817" s="48"/>
      <c r="CW3817" s="48"/>
      <c r="CX3817" s="48"/>
      <c r="CY3817" s="48"/>
      <c r="CZ3817" s="48"/>
    </row>
    <row r="3818" spans="27:104" s="4" customFormat="1" x14ac:dyDescent="0.3">
      <c r="AA3818" s="48"/>
      <c r="AB3818" s="48"/>
      <c r="AC3818" s="48"/>
      <c r="AD3818" s="48"/>
      <c r="AE3818" s="48"/>
      <c r="AF3818" s="48"/>
      <c r="AG3818" s="48"/>
      <c r="AH3818" s="48"/>
      <c r="AI3818" s="48"/>
      <c r="AJ3818" s="48"/>
      <c r="AK3818" s="48"/>
      <c r="AL3818" s="48"/>
      <c r="AM3818" s="48"/>
      <c r="AN3818" s="48"/>
      <c r="AO3818" s="48"/>
      <c r="AP3818" s="48"/>
      <c r="AQ3818" s="48"/>
      <c r="AR3818" s="48"/>
      <c r="AS3818" s="48"/>
      <c r="AT3818" s="48"/>
      <c r="AU3818" s="48"/>
      <c r="AV3818" s="48"/>
      <c r="AW3818" s="48"/>
      <c r="AX3818" s="48"/>
      <c r="AY3818" s="48"/>
      <c r="AZ3818" s="48"/>
      <c r="BA3818" s="48"/>
      <c r="BB3818" s="14"/>
      <c r="BC3818" s="48"/>
      <c r="BD3818" s="48"/>
      <c r="BE3818" s="48"/>
      <c r="BF3818" s="48"/>
      <c r="BG3818" s="48"/>
      <c r="BH3818" s="48"/>
      <c r="BI3818" s="48"/>
      <c r="BJ3818" s="48"/>
      <c r="BK3818" s="48"/>
      <c r="BL3818" s="48"/>
      <c r="BM3818" s="48"/>
      <c r="BN3818" s="48"/>
      <c r="BO3818" s="48"/>
      <c r="BP3818" s="48"/>
      <c r="BQ3818" s="48"/>
      <c r="BR3818" s="48"/>
      <c r="BS3818" s="48"/>
      <c r="BT3818" s="48"/>
      <c r="BU3818" s="48"/>
      <c r="BV3818" s="48"/>
      <c r="BW3818" s="48"/>
      <c r="BX3818" s="48"/>
      <c r="BY3818" s="48"/>
      <c r="BZ3818" s="48"/>
      <c r="CA3818" s="48"/>
      <c r="CB3818" s="48"/>
      <c r="CC3818" s="48"/>
      <c r="CD3818" s="48"/>
      <c r="CE3818" s="48"/>
      <c r="CF3818" s="48"/>
      <c r="CG3818" s="48"/>
      <c r="CH3818" s="48"/>
      <c r="CI3818" s="48"/>
      <c r="CJ3818" s="48"/>
      <c r="CK3818" s="48"/>
      <c r="CL3818" s="48"/>
      <c r="CM3818" s="48"/>
      <c r="CN3818" s="48"/>
      <c r="CO3818" s="48"/>
      <c r="CP3818" s="48"/>
      <c r="CQ3818" s="48"/>
      <c r="CR3818" s="48"/>
      <c r="CS3818" s="48"/>
      <c r="CT3818" s="48"/>
      <c r="CU3818" s="48"/>
      <c r="CV3818" s="48"/>
      <c r="CW3818" s="48"/>
      <c r="CX3818" s="48"/>
      <c r="CY3818" s="48"/>
      <c r="CZ3818" s="48"/>
    </row>
    <row r="3819" spans="27:104" s="4" customFormat="1" x14ac:dyDescent="0.3">
      <c r="AA3819" s="48"/>
      <c r="AB3819" s="48"/>
      <c r="AC3819" s="48"/>
      <c r="AD3819" s="48"/>
      <c r="AE3819" s="48"/>
      <c r="AF3819" s="48"/>
      <c r="AG3819" s="48"/>
      <c r="AH3819" s="48"/>
      <c r="AI3819" s="48"/>
      <c r="AJ3819" s="48"/>
      <c r="AK3819" s="48"/>
      <c r="AL3819" s="48"/>
      <c r="AM3819" s="48"/>
      <c r="AN3819" s="48"/>
      <c r="AO3819" s="48"/>
      <c r="AP3819" s="48"/>
      <c r="AQ3819" s="48"/>
      <c r="AR3819" s="48"/>
      <c r="AS3819" s="48"/>
      <c r="AT3819" s="48"/>
      <c r="AU3819" s="48"/>
      <c r="AV3819" s="48"/>
      <c r="AW3819" s="48"/>
      <c r="AX3819" s="48"/>
      <c r="AY3819" s="48"/>
      <c r="AZ3819" s="48"/>
      <c r="BA3819" s="48"/>
      <c r="BB3819" s="14"/>
      <c r="BC3819" s="48"/>
      <c r="BD3819" s="48"/>
      <c r="BE3819" s="48"/>
      <c r="BF3819" s="48"/>
      <c r="BG3819" s="48"/>
      <c r="BH3819" s="48"/>
      <c r="BI3819" s="48"/>
      <c r="BJ3819" s="48"/>
      <c r="BK3819" s="48"/>
      <c r="BL3819" s="48"/>
      <c r="BM3819" s="48"/>
      <c r="BN3819" s="48"/>
      <c r="BO3819" s="48"/>
      <c r="BP3819" s="48"/>
      <c r="BQ3819" s="48"/>
      <c r="BR3819" s="48"/>
      <c r="BS3819" s="48"/>
      <c r="BT3819" s="48"/>
      <c r="BU3819" s="48"/>
      <c r="BV3819" s="48"/>
      <c r="BW3819" s="48"/>
      <c r="BX3819" s="48"/>
      <c r="BY3819" s="48"/>
      <c r="BZ3819" s="48"/>
      <c r="CA3819" s="48"/>
      <c r="CB3819" s="48"/>
      <c r="CC3819" s="48"/>
      <c r="CD3819" s="48"/>
      <c r="CE3819" s="48"/>
      <c r="CF3819" s="48"/>
      <c r="CG3819" s="48"/>
      <c r="CH3819" s="48"/>
      <c r="CI3819" s="48"/>
      <c r="CJ3819" s="48"/>
      <c r="CK3819" s="48"/>
      <c r="CL3819" s="48"/>
      <c r="CM3819" s="48"/>
      <c r="CN3819" s="48"/>
      <c r="CO3819" s="48"/>
      <c r="CP3819" s="48"/>
      <c r="CQ3819" s="48"/>
      <c r="CR3819" s="48"/>
      <c r="CS3819" s="48"/>
      <c r="CT3819" s="48"/>
      <c r="CU3819" s="48"/>
      <c r="CV3819" s="48"/>
      <c r="CW3819" s="48"/>
      <c r="CX3819" s="48"/>
      <c r="CY3819" s="48"/>
      <c r="CZ3819" s="48"/>
    </row>
    <row r="3820" spans="27:104" s="4" customFormat="1" x14ac:dyDescent="0.3">
      <c r="AA3820" s="48"/>
      <c r="AB3820" s="48"/>
      <c r="AC3820" s="48"/>
      <c r="AD3820" s="48"/>
      <c r="AE3820" s="48"/>
      <c r="AF3820" s="48"/>
      <c r="AG3820" s="48"/>
      <c r="AH3820" s="48"/>
      <c r="AI3820" s="48"/>
      <c r="AJ3820" s="48"/>
      <c r="AK3820" s="48"/>
      <c r="AL3820" s="48"/>
      <c r="AM3820" s="48"/>
      <c r="AN3820" s="48"/>
      <c r="AO3820" s="48"/>
      <c r="AP3820" s="48"/>
      <c r="AQ3820" s="48"/>
      <c r="AR3820" s="48"/>
      <c r="AS3820" s="48"/>
      <c r="AT3820" s="48"/>
      <c r="AU3820" s="48"/>
      <c r="AV3820" s="48"/>
      <c r="AW3820" s="48"/>
      <c r="AX3820" s="48"/>
      <c r="AY3820" s="48"/>
      <c r="AZ3820" s="48"/>
      <c r="BA3820" s="48"/>
      <c r="BB3820" s="14"/>
      <c r="BC3820" s="48"/>
      <c r="BD3820" s="48"/>
      <c r="BE3820" s="48"/>
      <c r="BF3820" s="48"/>
      <c r="BG3820" s="48"/>
      <c r="BH3820" s="48"/>
      <c r="BI3820" s="48"/>
      <c r="BJ3820" s="48"/>
      <c r="BK3820" s="48"/>
      <c r="BL3820" s="48"/>
      <c r="BM3820" s="48"/>
      <c r="BN3820" s="48"/>
      <c r="BO3820" s="48"/>
      <c r="BP3820" s="48"/>
      <c r="BQ3820" s="48"/>
      <c r="BR3820" s="48"/>
      <c r="BS3820" s="48"/>
      <c r="BT3820" s="48"/>
      <c r="BU3820" s="48"/>
      <c r="BV3820" s="48"/>
      <c r="BW3820" s="48"/>
      <c r="BX3820" s="48"/>
      <c r="BY3820" s="48"/>
      <c r="BZ3820" s="48"/>
      <c r="CA3820" s="48"/>
      <c r="CB3820" s="48"/>
      <c r="CC3820" s="48"/>
      <c r="CD3820" s="48"/>
      <c r="CE3820" s="48"/>
      <c r="CF3820" s="48"/>
      <c r="CG3820" s="48"/>
      <c r="CH3820" s="48"/>
      <c r="CI3820" s="48"/>
      <c r="CJ3820" s="48"/>
      <c r="CK3820" s="48"/>
      <c r="CL3820" s="48"/>
      <c r="CM3820" s="48"/>
      <c r="CN3820" s="48"/>
      <c r="CO3820" s="48"/>
      <c r="CP3820" s="48"/>
      <c r="CQ3820" s="48"/>
      <c r="CR3820" s="48"/>
      <c r="CS3820" s="48"/>
      <c r="CT3820" s="48"/>
      <c r="CU3820" s="48"/>
      <c r="CV3820" s="48"/>
      <c r="CW3820" s="48"/>
      <c r="CX3820" s="48"/>
      <c r="CY3820" s="48"/>
      <c r="CZ3820" s="48"/>
    </row>
    <row r="3821" spans="27:104" s="4" customFormat="1" x14ac:dyDescent="0.3">
      <c r="AA3821" s="48"/>
      <c r="AB3821" s="48"/>
      <c r="AC3821" s="48"/>
      <c r="AD3821" s="48"/>
      <c r="AE3821" s="48"/>
      <c r="AF3821" s="48"/>
      <c r="AG3821" s="48"/>
      <c r="AH3821" s="48"/>
      <c r="AI3821" s="48"/>
      <c r="AJ3821" s="48"/>
      <c r="AK3821" s="48"/>
      <c r="AL3821" s="48"/>
      <c r="AM3821" s="48"/>
      <c r="AN3821" s="48"/>
      <c r="AO3821" s="48"/>
      <c r="AP3821" s="48"/>
      <c r="AQ3821" s="48"/>
      <c r="AR3821" s="48"/>
      <c r="AS3821" s="48"/>
      <c r="AT3821" s="48"/>
      <c r="AU3821" s="48"/>
      <c r="AV3821" s="48"/>
      <c r="AW3821" s="48"/>
      <c r="AX3821" s="48"/>
      <c r="AY3821" s="48"/>
      <c r="AZ3821" s="48"/>
      <c r="BA3821" s="48"/>
      <c r="BB3821" s="14"/>
      <c r="BC3821" s="48"/>
      <c r="BD3821" s="48"/>
      <c r="BE3821" s="48"/>
      <c r="BF3821" s="48"/>
      <c r="BG3821" s="48"/>
      <c r="BH3821" s="48"/>
      <c r="BI3821" s="48"/>
      <c r="BJ3821" s="48"/>
      <c r="BK3821" s="48"/>
      <c r="BL3821" s="48"/>
      <c r="BM3821" s="48"/>
      <c r="BN3821" s="48"/>
      <c r="BO3821" s="48"/>
      <c r="BP3821" s="48"/>
      <c r="BQ3821" s="48"/>
      <c r="BR3821" s="48"/>
      <c r="BS3821" s="48"/>
      <c r="BT3821" s="48"/>
      <c r="BU3821" s="48"/>
      <c r="BV3821" s="48"/>
      <c r="BW3821" s="48"/>
      <c r="BX3821" s="48"/>
      <c r="BY3821" s="48"/>
      <c r="BZ3821" s="48"/>
      <c r="CA3821" s="48"/>
      <c r="CB3821" s="48"/>
      <c r="CC3821" s="48"/>
      <c r="CD3821" s="48"/>
      <c r="CE3821" s="48"/>
      <c r="CF3821" s="48"/>
      <c r="CG3821" s="48"/>
      <c r="CH3821" s="48"/>
      <c r="CI3821" s="48"/>
      <c r="CJ3821" s="48"/>
      <c r="CK3821" s="48"/>
      <c r="CL3821" s="48"/>
      <c r="CM3821" s="48"/>
      <c r="CN3821" s="48"/>
      <c r="CO3821" s="48"/>
      <c r="CP3821" s="48"/>
      <c r="CQ3821" s="48"/>
      <c r="CR3821" s="48"/>
      <c r="CS3821" s="48"/>
      <c r="CT3821" s="48"/>
      <c r="CU3821" s="48"/>
      <c r="CV3821" s="48"/>
      <c r="CW3821" s="48"/>
      <c r="CX3821" s="48"/>
      <c r="CY3821" s="48"/>
      <c r="CZ3821" s="48"/>
    </row>
    <row r="3822" spans="27:104" s="4" customFormat="1" x14ac:dyDescent="0.3">
      <c r="AA3822" s="48"/>
      <c r="AB3822" s="48"/>
      <c r="AC3822" s="48"/>
      <c r="AD3822" s="48"/>
      <c r="AE3822" s="48"/>
      <c r="AF3822" s="48"/>
      <c r="AG3822" s="48"/>
      <c r="AH3822" s="48"/>
      <c r="AI3822" s="48"/>
      <c r="AJ3822" s="48"/>
      <c r="AK3822" s="48"/>
      <c r="AL3822" s="48"/>
      <c r="AM3822" s="48"/>
      <c r="AN3822" s="48"/>
      <c r="AO3822" s="48"/>
      <c r="AP3822" s="48"/>
      <c r="AQ3822" s="48"/>
      <c r="AR3822" s="48"/>
      <c r="AS3822" s="48"/>
      <c r="AT3822" s="48"/>
      <c r="AU3822" s="48"/>
      <c r="AV3822" s="48"/>
      <c r="AW3822" s="48"/>
      <c r="AX3822" s="48"/>
      <c r="AY3822" s="48"/>
      <c r="AZ3822" s="48"/>
      <c r="BA3822" s="48"/>
      <c r="BB3822" s="14"/>
      <c r="BC3822" s="48"/>
      <c r="BD3822" s="48"/>
      <c r="BE3822" s="48"/>
      <c r="BF3822" s="48"/>
      <c r="BG3822" s="48"/>
      <c r="BH3822" s="48"/>
      <c r="BI3822" s="48"/>
      <c r="BJ3822" s="48"/>
      <c r="BK3822" s="48"/>
      <c r="BL3822" s="48"/>
      <c r="BM3822" s="48"/>
      <c r="BN3822" s="48"/>
      <c r="BO3822" s="48"/>
      <c r="BP3822" s="48"/>
      <c r="BQ3822" s="48"/>
      <c r="BR3822" s="48"/>
      <c r="BS3822" s="48"/>
      <c r="BT3822" s="48"/>
      <c r="BU3822" s="48"/>
      <c r="BV3822" s="48"/>
      <c r="BW3822" s="48"/>
      <c r="BX3822" s="48"/>
      <c r="BY3822" s="48"/>
      <c r="BZ3822" s="48"/>
      <c r="CA3822" s="48"/>
      <c r="CB3822" s="48"/>
      <c r="CC3822" s="48"/>
      <c r="CD3822" s="48"/>
      <c r="CE3822" s="48"/>
      <c r="CF3822" s="48"/>
      <c r="CG3822" s="48"/>
      <c r="CH3822" s="48"/>
      <c r="CI3822" s="48"/>
      <c r="CJ3822" s="48"/>
      <c r="CK3822" s="48"/>
      <c r="CL3822" s="48"/>
      <c r="CM3822" s="48"/>
      <c r="CN3822" s="48"/>
      <c r="CO3822" s="48"/>
      <c r="CP3822" s="48"/>
      <c r="CQ3822" s="48"/>
      <c r="CR3822" s="48"/>
      <c r="CS3822" s="48"/>
      <c r="CT3822" s="48"/>
      <c r="CU3822" s="48"/>
      <c r="CV3822" s="48"/>
      <c r="CW3822" s="48"/>
      <c r="CX3822" s="48"/>
      <c r="CY3822" s="48"/>
      <c r="CZ3822" s="48"/>
    </row>
    <row r="3823" spans="27:104" s="4" customFormat="1" x14ac:dyDescent="0.3">
      <c r="AA3823" s="48"/>
      <c r="AB3823" s="48"/>
      <c r="AC3823" s="48"/>
      <c r="AD3823" s="48"/>
      <c r="AE3823" s="48"/>
      <c r="AF3823" s="48"/>
      <c r="AG3823" s="48"/>
      <c r="AH3823" s="48"/>
      <c r="AI3823" s="48"/>
      <c r="AJ3823" s="48"/>
      <c r="AK3823" s="48"/>
      <c r="AL3823" s="48"/>
      <c r="AM3823" s="48"/>
      <c r="AN3823" s="48"/>
      <c r="AO3823" s="48"/>
      <c r="AP3823" s="48"/>
      <c r="AQ3823" s="48"/>
      <c r="AR3823" s="48"/>
      <c r="AS3823" s="48"/>
      <c r="AT3823" s="48"/>
      <c r="AU3823" s="48"/>
      <c r="AV3823" s="48"/>
      <c r="AW3823" s="48"/>
      <c r="AX3823" s="48"/>
      <c r="AY3823" s="48"/>
      <c r="AZ3823" s="48"/>
      <c r="BA3823" s="48"/>
      <c r="BB3823" s="14"/>
      <c r="BC3823" s="48"/>
      <c r="BD3823" s="48"/>
      <c r="BE3823" s="48"/>
      <c r="BF3823" s="48"/>
      <c r="BG3823" s="48"/>
      <c r="BH3823" s="48"/>
      <c r="BI3823" s="48"/>
      <c r="BJ3823" s="48"/>
      <c r="BK3823" s="48"/>
      <c r="BL3823" s="48"/>
      <c r="BM3823" s="48"/>
      <c r="BN3823" s="48"/>
      <c r="BO3823" s="48"/>
      <c r="BP3823" s="48"/>
      <c r="BQ3823" s="48"/>
      <c r="BR3823" s="48"/>
      <c r="BS3823" s="48"/>
      <c r="BT3823" s="48"/>
      <c r="BU3823" s="48"/>
      <c r="BV3823" s="48"/>
      <c r="BW3823" s="48"/>
      <c r="BX3823" s="48"/>
      <c r="BY3823" s="48"/>
      <c r="BZ3823" s="48"/>
      <c r="CA3823" s="48"/>
      <c r="CB3823" s="48"/>
      <c r="CC3823" s="48"/>
      <c r="CD3823" s="48"/>
      <c r="CE3823" s="48"/>
      <c r="CF3823" s="48"/>
      <c r="CG3823" s="48"/>
      <c r="CH3823" s="48"/>
      <c r="CI3823" s="48"/>
      <c r="CJ3823" s="48"/>
      <c r="CK3823" s="48"/>
      <c r="CL3823" s="48"/>
      <c r="CM3823" s="48"/>
      <c r="CN3823" s="48"/>
      <c r="CO3823" s="48"/>
      <c r="CP3823" s="48"/>
      <c r="CQ3823" s="48"/>
      <c r="CR3823" s="48"/>
      <c r="CS3823" s="48"/>
      <c r="CT3823" s="48"/>
      <c r="CU3823" s="48"/>
      <c r="CV3823" s="48"/>
      <c r="CW3823" s="48"/>
      <c r="CX3823" s="48"/>
      <c r="CY3823" s="48"/>
      <c r="CZ3823" s="48"/>
    </row>
    <row r="3824" spans="27:104" s="4" customFormat="1" x14ac:dyDescent="0.3">
      <c r="AA3824" s="48"/>
      <c r="AB3824" s="48"/>
      <c r="AC3824" s="48"/>
      <c r="AD3824" s="48"/>
      <c r="AE3824" s="48"/>
      <c r="AF3824" s="48"/>
      <c r="AG3824" s="48"/>
      <c r="AH3824" s="48"/>
      <c r="AI3824" s="48"/>
      <c r="AJ3824" s="48"/>
      <c r="AK3824" s="48"/>
      <c r="AL3824" s="48"/>
      <c r="AM3824" s="48"/>
      <c r="AN3824" s="48"/>
      <c r="AO3824" s="48"/>
      <c r="AP3824" s="48"/>
      <c r="AQ3824" s="48"/>
      <c r="AR3824" s="48"/>
      <c r="AS3824" s="48"/>
      <c r="AT3824" s="48"/>
      <c r="AU3824" s="48"/>
      <c r="AV3824" s="48"/>
      <c r="AW3824" s="48"/>
      <c r="AX3824" s="48"/>
      <c r="AY3824" s="48"/>
      <c r="AZ3824" s="48"/>
      <c r="BA3824" s="48"/>
      <c r="BB3824" s="14"/>
      <c r="BC3824" s="48"/>
      <c r="BD3824" s="48"/>
      <c r="BE3824" s="48"/>
      <c r="BF3824" s="48"/>
      <c r="BG3824" s="48"/>
      <c r="BH3824" s="48"/>
      <c r="BI3824" s="48"/>
      <c r="BJ3824" s="48"/>
      <c r="BK3824" s="48"/>
      <c r="BL3824" s="48"/>
      <c r="BM3824" s="48"/>
      <c r="BN3824" s="48"/>
      <c r="BO3824" s="48"/>
      <c r="BP3824" s="48"/>
      <c r="BQ3824" s="48"/>
      <c r="BR3824" s="48"/>
      <c r="BS3824" s="48"/>
      <c r="BT3824" s="48"/>
      <c r="BU3824" s="48"/>
      <c r="BV3824" s="48"/>
      <c r="BW3824" s="48"/>
      <c r="BX3824" s="48"/>
      <c r="BY3824" s="48"/>
      <c r="BZ3824" s="48"/>
      <c r="CA3824" s="48"/>
      <c r="CB3824" s="48"/>
      <c r="CC3824" s="48"/>
      <c r="CD3824" s="48"/>
      <c r="CE3824" s="48"/>
      <c r="CF3824" s="48"/>
      <c r="CG3824" s="48"/>
      <c r="CH3824" s="48"/>
      <c r="CI3824" s="48"/>
      <c r="CJ3824" s="48"/>
      <c r="CK3824" s="48"/>
      <c r="CL3824" s="48"/>
      <c r="CM3824" s="48"/>
      <c r="CN3824" s="48"/>
      <c r="CO3824" s="48"/>
      <c r="CP3824" s="48"/>
      <c r="CQ3824" s="48"/>
      <c r="CR3824" s="48"/>
      <c r="CS3824" s="48"/>
      <c r="CT3824" s="48"/>
      <c r="CU3824" s="48"/>
      <c r="CV3824" s="48"/>
      <c r="CW3824" s="48"/>
      <c r="CX3824" s="48"/>
      <c r="CY3824" s="48"/>
      <c r="CZ3824" s="48"/>
    </row>
    <row r="3825" spans="27:104" s="4" customFormat="1" x14ac:dyDescent="0.3">
      <c r="AA3825" s="48"/>
      <c r="AB3825" s="48"/>
      <c r="AC3825" s="48"/>
      <c r="AD3825" s="48"/>
      <c r="AE3825" s="48"/>
      <c r="AF3825" s="48"/>
      <c r="AG3825" s="48"/>
      <c r="AH3825" s="48"/>
      <c r="AI3825" s="48"/>
      <c r="AJ3825" s="48"/>
      <c r="AK3825" s="48"/>
      <c r="AL3825" s="48"/>
      <c r="AM3825" s="48"/>
      <c r="AN3825" s="48"/>
      <c r="AO3825" s="48"/>
      <c r="AP3825" s="48"/>
      <c r="AQ3825" s="48"/>
      <c r="AR3825" s="48"/>
      <c r="AS3825" s="48"/>
      <c r="AT3825" s="48"/>
      <c r="AU3825" s="48"/>
      <c r="AV3825" s="48"/>
      <c r="AW3825" s="48"/>
      <c r="AX3825" s="48"/>
      <c r="AY3825" s="48"/>
      <c r="AZ3825" s="48"/>
      <c r="BA3825" s="48"/>
      <c r="BB3825" s="14"/>
      <c r="BC3825" s="48"/>
      <c r="BD3825" s="48"/>
      <c r="BE3825" s="48"/>
      <c r="BF3825" s="48"/>
      <c r="BG3825" s="48"/>
      <c r="BH3825" s="48"/>
      <c r="BI3825" s="48"/>
      <c r="BJ3825" s="48"/>
      <c r="BK3825" s="48"/>
      <c r="BL3825" s="48"/>
      <c r="BM3825" s="48"/>
      <c r="BN3825" s="48"/>
      <c r="BO3825" s="48"/>
      <c r="BP3825" s="48"/>
      <c r="BQ3825" s="48"/>
      <c r="BR3825" s="48"/>
      <c r="BS3825" s="48"/>
      <c r="BT3825" s="48"/>
      <c r="BU3825" s="48"/>
      <c r="BV3825" s="48"/>
      <c r="BW3825" s="48"/>
      <c r="BX3825" s="48"/>
      <c r="BY3825" s="48"/>
      <c r="BZ3825" s="48"/>
      <c r="CA3825" s="48"/>
      <c r="CB3825" s="48"/>
      <c r="CC3825" s="48"/>
      <c r="CD3825" s="48"/>
      <c r="CE3825" s="48"/>
      <c r="CF3825" s="48"/>
      <c r="CG3825" s="48"/>
      <c r="CH3825" s="48"/>
      <c r="CI3825" s="48"/>
      <c r="CJ3825" s="48"/>
      <c r="CK3825" s="48"/>
      <c r="CL3825" s="48"/>
      <c r="CM3825" s="48"/>
      <c r="CN3825" s="48"/>
      <c r="CO3825" s="48"/>
      <c r="CP3825" s="48"/>
      <c r="CQ3825" s="48"/>
      <c r="CR3825" s="48"/>
      <c r="CS3825" s="48"/>
      <c r="CT3825" s="48"/>
      <c r="CU3825" s="48"/>
      <c r="CV3825" s="48"/>
      <c r="CW3825" s="48"/>
      <c r="CX3825" s="48"/>
      <c r="CY3825" s="48"/>
      <c r="CZ3825" s="48"/>
    </row>
    <row r="3826" spans="27:104" s="4" customFormat="1" x14ac:dyDescent="0.3">
      <c r="AA3826" s="48"/>
      <c r="AB3826" s="48"/>
      <c r="AC3826" s="48"/>
      <c r="AD3826" s="48"/>
      <c r="AE3826" s="48"/>
      <c r="AF3826" s="48"/>
      <c r="AG3826" s="48"/>
      <c r="AH3826" s="48"/>
      <c r="AI3826" s="48"/>
      <c r="AJ3826" s="48"/>
      <c r="AK3826" s="48"/>
      <c r="AL3826" s="48"/>
      <c r="AM3826" s="48"/>
      <c r="AN3826" s="48"/>
      <c r="AO3826" s="48"/>
      <c r="AP3826" s="48"/>
      <c r="AQ3826" s="48"/>
      <c r="AR3826" s="48"/>
      <c r="AS3826" s="48"/>
      <c r="AT3826" s="48"/>
      <c r="AU3826" s="48"/>
      <c r="AV3826" s="48"/>
      <c r="AW3826" s="48"/>
      <c r="AX3826" s="48"/>
      <c r="AY3826" s="48"/>
      <c r="AZ3826" s="48"/>
      <c r="BA3826" s="48"/>
      <c r="BB3826" s="14"/>
      <c r="BC3826" s="48"/>
      <c r="BD3826" s="48"/>
      <c r="BE3826" s="48"/>
      <c r="BF3826" s="48"/>
      <c r="BG3826" s="48"/>
      <c r="BH3826" s="48"/>
      <c r="BI3826" s="48"/>
      <c r="BJ3826" s="48"/>
      <c r="BK3826" s="48"/>
      <c r="BL3826" s="48"/>
      <c r="BM3826" s="48"/>
      <c r="BN3826" s="48"/>
      <c r="BO3826" s="48"/>
      <c r="BP3826" s="48"/>
      <c r="BQ3826" s="48"/>
      <c r="BR3826" s="48"/>
      <c r="BS3826" s="48"/>
      <c r="BT3826" s="48"/>
      <c r="BU3826" s="48"/>
      <c r="BV3826" s="48"/>
      <c r="BW3826" s="48"/>
      <c r="BX3826" s="48"/>
      <c r="BY3826" s="48"/>
      <c r="BZ3826" s="48"/>
      <c r="CA3826" s="48"/>
      <c r="CB3826" s="48"/>
      <c r="CC3826" s="48"/>
      <c r="CD3826" s="48"/>
      <c r="CE3826" s="48"/>
      <c r="CF3826" s="48"/>
      <c r="CG3826" s="48"/>
      <c r="CH3826" s="48"/>
      <c r="CI3826" s="48"/>
      <c r="CJ3826" s="48"/>
      <c r="CK3826" s="48"/>
      <c r="CL3826" s="48"/>
      <c r="CM3826" s="48"/>
      <c r="CN3826" s="48"/>
      <c r="CO3826" s="48"/>
      <c r="CP3826" s="48"/>
      <c r="CQ3826" s="48"/>
      <c r="CR3826" s="48"/>
      <c r="CS3826" s="48"/>
      <c r="CT3826" s="48"/>
      <c r="CU3826" s="48"/>
      <c r="CV3826" s="48"/>
      <c r="CW3826" s="48"/>
      <c r="CX3826" s="48"/>
      <c r="CY3826" s="48"/>
      <c r="CZ3826" s="48"/>
    </row>
    <row r="3827" spans="27:104" s="4" customFormat="1" x14ac:dyDescent="0.3">
      <c r="AA3827" s="48"/>
      <c r="AB3827" s="48"/>
      <c r="AC3827" s="48"/>
      <c r="AD3827" s="48"/>
      <c r="AE3827" s="48"/>
      <c r="AF3827" s="48"/>
      <c r="AG3827" s="48"/>
      <c r="AH3827" s="48"/>
      <c r="AI3827" s="48"/>
      <c r="AJ3827" s="48"/>
      <c r="AK3827" s="48"/>
      <c r="AL3827" s="48"/>
      <c r="AM3827" s="48"/>
      <c r="AN3827" s="48"/>
      <c r="AO3827" s="48"/>
      <c r="AP3827" s="48"/>
      <c r="AQ3827" s="48"/>
      <c r="AR3827" s="48"/>
      <c r="AS3827" s="48"/>
      <c r="AT3827" s="48"/>
      <c r="AU3827" s="48"/>
      <c r="AV3827" s="48"/>
      <c r="AW3827" s="48"/>
      <c r="AX3827" s="48"/>
      <c r="AY3827" s="48"/>
      <c r="AZ3827" s="48"/>
      <c r="BA3827" s="48"/>
      <c r="BB3827" s="14"/>
      <c r="BC3827" s="48"/>
      <c r="BD3827" s="48"/>
      <c r="BE3827" s="48"/>
      <c r="BF3827" s="48"/>
      <c r="BG3827" s="48"/>
      <c r="BH3827" s="48"/>
      <c r="BI3827" s="48"/>
      <c r="BJ3827" s="48"/>
      <c r="BK3827" s="48"/>
      <c r="BL3827" s="48"/>
      <c r="BM3827" s="48"/>
      <c r="BN3827" s="48"/>
      <c r="BO3827" s="48"/>
      <c r="BP3827" s="48"/>
      <c r="BQ3827" s="48"/>
      <c r="BR3827" s="48"/>
      <c r="BS3827" s="48"/>
      <c r="BT3827" s="48"/>
      <c r="BU3827" s="48"/>
      <c r="BV3827" s="48"/>
      <c r="BW3827" s="48"/>
      <c r="BX3827" s="48"/>
      <c r="BY3827" s="48"/>
      <c r="BZ3827" s="48"/>
      <c r="CA3827" s="48"/>
      <c r="CB3827" s="48"/>
      <c r="CC3827" s="48"/>
      <c r="CD3827" s="48"/>
      <c r="CE3827" s="48"/>
      <c r="CF3827" s="48"/>
      <c r="CG3827" s="48"/>
      <c r="CH3827" s="48"/>
      <c r="CI3827" s="48"/>
      <c r="CJ3827" s="48"/>
      <c r="CK3827" s="48"/>
      <c r="CL3827" s="48"/>
      <c r="CM3827" s="48"/>
      <c r="CN3827" s="48"/>
      <c r="CO3827" s="48"/>
      <c r="CP3827" s="48"/>
      <c r="CQ3827" s="48"/>
      <c r="CR3827" s="48"/>
      <c r="CS3827" s="48"/>
      <c r="CT3827" s="48"/>
      <c r="CU3827" s="48"/>
      <c r="CV3827" s="48"/>
      <c r="CW3827" s="48"/>
      <c r="CX3827" s="48"/>
      <c r="CY3827" s="48"/>
      <c r="CZ3827" s="48"/>
    </row>
    <row r="3828" spans="27:104" s="4" customFormat="1" x14ac:dyDescent="0.3">
      <c r="AA3828" s="48"/>
      <c r="AB3828" s="48"/>
      <c r="AC3828" s="48"/>
      <c r="AD3828" s="48"/>
      <c r="AE3828" s="48"/>
      <c r="AF3828" s="48"/>
      <c r="AG3828" s="48"/>
      <c r="AH3828" s="48"/>
      <c r="AI3828" s="48"/>
      <c r="AJ3828" s="48"/>
      <c r="AK3828" s="48"/>
      <c r="AL3828" s="48"/>
      <c r="AM3828" s="48"/>
      <c r="AN3828" s="48"/>
      <c r="AO3828" s="48"/>
      <c r="AP3828" s="48"/>
      <c r="AQ3828" s="48"/>
      <c r="AR3828" s="48"/>
      <c r="AS3828" s="48"/>
      <c r="AT3828" s="48"/>
      <c r="AU3828" s="48"/>
      <c r="AV3828" s="48"/>
      <c r="AW3828" s="48"/>
      <c r="AX3828" s="48"/>
      <c r="AY3828" s="48"/>
      <c r="AZ3828" s="48"/>
      <c r="BA3828" s="48"/>
      <c r="BB3828" s="14"/>
      <c r="BC3828" s="48"/>
      <c r="BD3828" s="48"/>
      <c r="BE3828" s="48"/>
      <c r="BF3828" s="48"/>
      <c r="BG3828" s="48"/>
      <c r="BH3828" s="48"/>
      <c r="BI3828" s="48"/>
      <c r="BJ3828" s="48"/>
      <c r="BK3828" s="48"/>
      <c r="BL3828" s="48"/>
      <c r="BM3828" s="48"/>
      <c r="BN3828" s="48"/>
      <c r="BO3828" s="48"/>
      <c r="BP3828" s="48"/>
      <c r="BQ3828" s="48"/>
      <c r="BR3828" s="48"/>
      <c r="BS3828" s="48"/>
      <c r="BT3828" s="48"/>
      <c r="BU3828" s="48"/>
      <c r="BV3828" s="48"/>
      <c r="BW3828" s="48"/>
      <c r="BX3828" s="48"/>
      <c r="BY3828" s="48"/>
      <c r="BZ3828" s="48"/>
      <c r="CA3828" s="48"/>
      <c r="CB3828" s="48"/>
      <c r="CC3828" s="48"/>
      <c r="CD3828" s="48"/>
      <c r="CE3828" s="48"/>
      <c r="CF3828" s="48"/>
      <c r="CG3828" s="48"/>
      <c r="CH3828" s="48"/>
      <c r="CI3828" s="48"/>
      <c r="CJ3828" s="48"/>
      <c r="CK3828" s="48"/>
      <c r="CL3828" s="48"/>
      <c r="CM3828" s="48"/>
      <c r="CN3828" s="48"/>
      <c r="CO3828" s="48"/>
      <c r="CP3828" s="48"/>
      <c r="CQ3828" s="48"/>
      <c r="CR3828" s="48"/>
      <c r="CS3828" s="48"/>
      <c r="CT3828" s="48"/>
      <c r="CU3828" s="48"/>
      <c r="CV3828" s="48"/>
      <c r="CW3828" s="48"/>
      <c r="CX3828" s="48"/>
      <c r="CY3828" s="48"/>
      <c r="CZ3828" s="48"/>
    </row>
    <row r="3829" spans="27:104" s="4" customFormat="1" x14ac:dyDescent="0.3">
      <c r="AA3829" s="48"/>
      <c r="AB3829" s="48"/>
      <c r="AC3829" s="48"/>
      <c r="AD3829" s="48"/>
      <c r="AE3829" s="48"/>
      <c r="AF3829" s="48"/>
      <c r="AG3829" s="48"/>
      <c r="AH3829" s="48"/>
      <c r="AI3829" s="48"/>
      <c r="AJ3829" s="48"/>
      <c r="AK3829" s="48"/>
      <c r="AL3829" s="48"/>
      <c r="AM3829" s="48"/>
      <c r="AN3829" s="48"/>
      <c r="AO3829" s="48"/>
      <c r="AP3829" s="48"/>
      <c r="AQ3829" s="48"/>
      <c r="AR3829" s="48"/>
      <c r="AS3829" s="48"/>
      <c r="AT3829" s="48"/>
      <c r="AU3829" s="48"/>
      <c r="AV3829" s="48"/>
      <c r="AW3829" s="48"/>
      <c r="AX3829" s="48"/>
      <c r="AY3829" s="48"/>
      <c r="AZ3829" s="48"/>
      <c r="BA3829" s="48"/>
      <c r="BB3829" s="14"/>
      <c r="BC3829" s="48"/>
      <c r="BD3829" s="48"/>
      <c r="BE3829" s="48"/>
      <c r="BF3829" s="48"/>
      <c r="BG3829" s="48"/>
      <c r="BH3829" s="48"/>
      <c r="BI3829" s="48"/>
      <c r="BJ3829" s="48"/>
      <c r="BK3829" s="48"/>
      <c r="BL3829" s="48"/>
      <c r="BM3829" s="48"/>
      <c r="BN3829" s="48"/>
      <c r="BO3829" s="48"/>
      <c r="BP3829" s="48"/>
      <c r="BQ3829" s="48"/>
      <c r="BR3829" s="48"/>
      <c r="BS3829" s="48"/>
      <c r="BT3829" s="48"/>
      <c r="BU3829" s="48"/>
      <c r="BV3829" s="48"/>
      <c r="BW3829" s="48"/>
      <c r="BX3829" s="48"/>
      <c r="BY3829" s="48"/>
      <c r="BZ3829" s="48"/>
      <c r="CA3829" s="48"/>
      <c r="CB3829" s="48"/>
      <c r="CC3829" s="48"/>
      <c r="CD3829" s="48"/>
      <c r="CE3829" s="48"/>
      <c r="CF3829" s="48"/>
      <c r="CG3829" s="48"/>
      <c r="CH3829" s="48"/>
      <c r="CI3829" s="48"/>
      <c r="CJ3829" s="48"/>
      <c r="CK3829" s="48"/>
      <c r="CL3829" s="48"/>
      <c r="CM3829" s="48"/>
      <c r="CN3829" s="48"/>
      <c r="CO3829" s="48"/>
      <c r="CP3829" s="48"/>
      <c r="CQ3829" s="48"/>
      <c r="CR3829" s="48"/>
      <c r="CS3829" s="48"/>
      <c r="CT3829" s="48"/>
      <c r="CU3829" s="48"/>
      <c r="CV3829" s="48"/>
      <c r="CW3829" s="48"/>
      <c r="CX3829" s="48"/>
      <c r="CY3829" s="48"/>
      <c r="CZ3829" s="48"/>
    </row>
    <row r="3830" spans="27:104" s="4" customFormat="1" x14ac:dyDescent="0.3">
      <c r="AA3830" s="48"/>
      <c r="AB3830" s="48"/>
      <c r="AC3830" s="48"/>
      <c r="AD3830" s="48"/>
      <c r="AE3830" s="48"/>
      <c r="AF3830" s="48"/>
      <c r="AG3830" s="48"/>
      <c r="AH3830" s="48"/>
      <c r="AI3830" s="48"/>
      <c r="AJ3830" s="48"/>
      <c r="AK3830" s="48"/>
      <c r="AL3830" s="48"/>
      <c r="AM3830" s="48"/>
      <c r="AN3830" s="48"/>
      <c r="AO3830" s="48"/>
      <c r="AP3830" s="48"/>
      <c r="AQ3830" s="48"/>
      <c r="AR3830" s="48"/>
      <c r="AS3830" s="48"/>
      <c r="AT3830" s="48"/>
      <c r="AU3830" s="48"/>
      <c r="AV3830" s="48"/>
      <c r="AW3830" s="48"/>
      <c r="AX3830" s="48"/>
      <c r="AY3830" s="48"/>
      <c r="AZ3830" s="48"/>
      <c r="BA3830" s="48"/>
      <c r="BB3830" s="14"/>
      <c r="BC3830" s="48"/>
      <c r="BD3830" s="48"/>
      <c r="BE3830" s="48"/>
      <c r="BF3830" s="48"/>
      <c r="BG3830" s="48"/>
      <c r="BH3830" s="48"/>
      <c r="BI3830" s="48"/>
      <c r="BJ3830" s="48"/>
      <c r="BK3830" s="48"/>
      <c r="BL3830" s="48"/>
      <c r="BM3830" s="48"/>
      <c r="BN3830" s="48"/>
      <c r="BO3830" s="48"/>
      <c r="BP3830" s="48"/>
      <c r="BQ3830" s="48"/>
      <c r="BR3830" s="48"/>
      <c r="BS3830" s="48"/>
      <c r="BT3830" s="48"/>
      <c r="BU3830" s="48"/>
      <c r="BV3830" s="48"/>
      <c r="BW3830" s="48"/>
      <c r="BX3830" s="48"/>
      <c r="BY3830" s="48"/>
      <c r="BZ3830" s="48"/>
      <c r="CA3830" s="48"/>
      <c r="CB3830" s="48"/>
      <c r="CC3830" s="48"/>
      <c r="CD3830" s="48"/>
      <c r="CE3830" s="48"/>
      <c r="CF3830" s="48"/>
      <c r="CG3830" s="48"/>
      <c r="CH3830" s="48"/>
      <c r="CI3830" s="48"/>
      <c r="CJ3830" s="48"/>
      <c r="CK3830" s="48"/>
      <c r="CL3830" s="48"/>
      <c r="CM3830" s="48"/>
      <c r="CN3830" s="48"/>
      <c r="CO3830" s="48"/>
      <c r="CP3830" s="48"/>
      <c r="CQ3830" s="48"/>
      <c r="CR3830" s="48"/>
      <c r="CS3830" s="48"/>
      <c r="CT3830" s="48"/>
      <c r="CU3830" s="48"/>
      <c r="CV3830" s="48"/>
      <c r="CW3830" s="48"/>
      <c r="CX3830" s="48"/>
      <c r="CY3830" s="48"/>
      <c r="CZ3830" s="48"/>
    </row>
    <row r="3831" spans="27:104" s="4" customFormat="1" x14ac:dyDescent="0.3">
      <c r="AA3831" s="48"/>
      <c r="AB3831" s="48"/>
      <c r="AC3831" s="48"/>
      <c r="AD3831" s="48"/>
      <c r="AE3831" s="48"/>
      <c r="AF3831" s="48"/>
      <c r="AG3831" s="48"/>
      <c r="AH3831" s="48"/>
      <c r="AI3831" s="48"/>
      <c r="AJ3831" s="48"/>
      <c r="AK3831" s="48"/>
      <c r="AL3831" s="48"/>
      <c r="AM3831" s="48"/>
      <c r="AN3831" s="48"/>
      <c r="AO3831" s="48"/>
      <c r="AP3831" s="48"/>
      <c r="AQ3831" s="48"/>
      <c r="AR3831" s="48"/>
      <c r="AS3831" s="48"/>
      <c r="AT3831" s="48"/>
      <c r="AU3831" s="48"/>
      <c r="AV3831" s="48"/>
      <c r="AW3831" s="48"/>
      <c r="AX3831" s="48"/>
      <c r="AY3831" s="48"/>
      <c r="AZ3831" s="48"/>
      <c r="BA3831" s="48"/>
      <c r="BB3831" s="14"/>
      <c r="BC3831" s="48"/>
      <c r="BD3831" s="48"/>
      <c r="BE3831" s="48"/>
      <c r="BF3831" s="48"/>
      <c r="BG3831" s="48"/>
      <c r="BH3831" s="48"/>
      <c r="BI3831" s="48"/>
      <c r="BJ3831" s="48"/>
      <c r="BK3831" s="48"/>
      <c r="BL3831" s="48"/>
      <c r="BM3831" s="48"/>
      <c r="BN3831" s="48"/>
      <c r="BO3831" s="48"/>
      <c r="BP3831" s="48"/>
      <c r="BQ3831" s="48"/>
      <c r="BR3831" s="48"/>
      <c r="BS3831" s="48"/>
      <c r="BT3831" s="48"/>
      <c r="BU3831" s="48"/>
      <c r="BV3831" s="48"/>
      <c r="BW3831" s="48"/>
      <c r="BX3831" s="48"/>
      <c r="BY3831" s="48"/>
      <c r="BZ3831" s="48"/>
      <c r="CA3831" s="48"/>
      <c r="CB3831" s="48"/>
      <c r="CC3831" s="48"/>
      <c r="CD3831" s="48"/>
      <c r="CE3831" s="48"/>
      <c r="CF3831" s="48"/>
      <c r="CG3831" s="48"/>
      <c r="CH3831" s="48"/>
      <c r="CI3831" s="48"/>
      <c r="CJ3831" s="48"/>
      <c r="CK3831" s="48"/>
      <c r="CL3831" s="48"/>
      <c r="CM3831" s="48"/>
      <c r="CN3831" s="48"/>
      <c r="CO3831" s="48"/>
      <c r="CP3831" s="48"/>
      <c r="CQ3831" s="48"/>
      <c r="CR3831" s="48"/>
      <c r="CS3831" s="48"/>
      <c r="CT3831" s="48"/>
      <c r="CU3831" s="48"/>
      <c r="CV3831" s="48"/>
      <c r="CW3831" s="48"/>
      <c r="CX3831" s="48"/>
      <c r="CY3831" s="48"/>
      <c r="CZ3831" s="48"/>
    </row>
    <row r="3832" spans="27:104" s="4" customFormat="1" x14ac:dyDescent="0.3">
      <c r="AA3832" s="48"/>
      <c r="AB3832" s="48"/>
      <c r="AC3832" s="48"/>
      <c r="AD3832" s="48"/>
      <c r="AE3832" s="48"/>
      <c r="AF3832" s="48"/>
      <c r="AG3832" s="48"/>
      <c r="AH3832" s="48"/>
      <c r="AI3832" s="48"/>
      <c r="AJ3832" s="48"/>
      <c r="AK3832" s="48"/>
      <c r="AL3832" s="48"/>
      <c r="AM3832" s="48"/>
      <c r="AN3832" s="48"/>
      <c r="AO3832" s="48"/>
      <c r="AP3832" s="48"/>
      <c r="AQ3832" s="48"/>
      <c r="AR3832" s="48"/>
      <c r="AS3832" s="48"/>
      <c r="AT3832" s="48"/>
      <c r="AU3832" s="48"/>
      <c r="AV3832" s="48"/>
      <c r="AW3832" s="48"/>
      <c r="AX3832" s="48"/>
      <c r="AY3832" s="48"/>
      <c r="AZ3832" s="48"/>
      <c r="BA3832" s="48"/>
      <c r="BB3832" s="14"/>
      <c r="BC3832" s="48"/>
      <c r="BD3832" s="48"/>
      <c r="BE3832" s="48"/>
      <c r="BF3832" s="48"/>
      <c r="BG3832" s="48"/>
      <c r="BH3832" s="48"/>
      <c r="BI3832" s="48"/>
      <c r="BJ3832" s="48"/>
      <c r="BK3832" s="48"/>
      <c r="BL3832" s="48"/>
      <c r="BM3832" s="48"/>
      <c r="BN3832" s="48"/>
      <c r="BO3832" s="48"/>
      <c r="BP3832" s="48"/>
      <c r="BQ3832" s="48"/>
      <c r="BR3832" s="48"/>
      <c r="BS3832" s="48"/>
      <c r="BT3832" s="48"/>
      <c r="BU3832" s="48"/>
      <c r="BV3832" s="48"/>
      <c r="BW3832" s="48"/>
      <c r="BX3832" s="48"/>
      <c r="BY3832" s="48"/>
      <c r="BZ3832" s="48"/>
      <c r="CA3832" s="48"/>
      <c r="CB3832" s="48"/>
      <c r="CC3832" s="48"/>
      <c r="CD3832" s="48"/>
      <c r="CE3832" s="48"/>
      <c r="CF3832" s="48"/>
      <c r="CG3832" s="48"/>
      <c r="CH3832" s="48"/>
      <c r="CI3832" s="48"/>
      <c r="CJ3832" s="48"/>
      <c r="CK3832" s="48"/>
      <c r="CL3832" s="48"/>
      <c r="CM3832" s="48"/>
      <c r="CN3832" s="48"/>
      <c r="CO3832" s="48"/>
      <c r="CP3832" s="48"/>
      <c r="CQ3832" s="48"/>
      <c r="CR3832" s="48"/>
      <c r="CS3832" s="48"/>
      <c r="CT3832" s="48"/>
      <c r="CU3832" s="48"/>
      <c r="CV3832" s="48"/>
      <c r="CW3832" s="48"/>
      <c r="CX3832" s="48"/>
      <c r="CY3832" s="48"/>
      <c r="CZ3832" s="48"/>
    </row>
    <row r="3833" spans="27:104" s="4" customFormat="1" x14ac:dyDescent="0.3">
      <c r="AA3833" s="48"/>
      <c r="AB3833" s="48"/>
      <c r="AC3833" s="48"/>
      <c r="AD3833" s="48"/>
      <c r="AE3833" s="48"/>
      <c r="AF3833" s="48"/>
      <c r="AG3833" s="48"/>
      <c r="AH3833" s="48"/>
      <c r="AI3833" s="48"/>
      <c r="AJ3833" s="48"/>
      <c r="AK3833" s="48"/>
      <c r="AL3833" s="48"/>
      <c r="AM3833" s="48"/>
      <c r="AN3833" s="48"/>
      <c r="AO3833" s="48"/>
      <c r="AP3833" s="48"/>
      <c r="AQ3833" s="48"/>
      <c r="AR3833" s="48"/>
      <c r="AS3833" s="48"/>
      <c r="AT3833" s="48"/>
      <c r="AU3833" s="48"/>
      <c r="AV3833" s="48"/>
      <c r="AW3833" s="48"/>
      <c r="AX3833" s="48"/>
      <c r="AY3833" s="48"/>
      <c r="AZ3833" s="48"/>
      <c r="BA3833" s="48"/>
      <c r="BB3833" s="14"/>
      <c r="BC3833" s="48"/>
      <c r="BD3833" s="48"/>
      <c r="BE3833" s="48"/>
      <c r="BF3833" s="48"/>
      <c r="BG3833" s="48"/>
      <c r="BH3833" s="48"/>
      <c r="BI3833" s="48"/>
      <c r="BJ3833" s="48"/>
      <c r="BK3833" s="48"/>
      <c r="BL3833" s="48"/>
      <c r="BM3833" s="48"/>
      <c r="BN3833" s="48"/>
      <c r="BO3833" s="48"/>
      <c r="BP3833" s="48"/>
      <c r="BQ3833" s="48"/>
      <c r="BR3833" s="48"/>
      <c r="BS3833" s="48"/>
      <c r="BT3833" s="48"/>
      <c r="BU3833" s="48"/>
      <c r="BV3833" s="48"/>
      <c r="BW3833" s="48"/>
      <c r="BX3833" s="48"/>
      <c r="BY3833" s="48"/>
      <c r="BZ3833" s="48"/>
      <c r="CA3833" s="48"/>
      <c r="CB3833" s="48"/>
      <c r="CC3833" s="48"/>
      <c r="CD3833" s="48"/>
      <c r="CE3833" s="48"/>
      <c r="CF3833" s="48"/>
      <c r="CG3833" s="48"/>
      <c r="CH3833" s="48"/>
      <c r="CI3833" s="48"/>
      <c r="CJ3833" s="48"/>
      <c r="CK3833" s="48"/>
      <c r="CL3833" s="48"/>
      <c r="CM3833" s="48"/>
      <c r="CN3833" s="48"/>
      <c r="CO3833" s="48"/>
      <c r="CP3833" s="48"/>
      <c r="CQ3833" s="48"/>
      <c r="CR3833" s="48"/>
      <c r="CS3833" s="48"/>
      <c r="CT3833" s="48"/>
      <c r="CU3833" s="48"/>
      <c r="CV3833" s="48"/>
      <c r="CW3833" s="48"/>
      <c r="CX3833" s="48"/>
      <c r="CY3833" s="48"/>
      <c r="CZ3833" s="48"/>
    </row>
    <row r="3834" spans="27:104" s="4" customFormat="1" x14ac:dyDescent="0.3">
      <c r="AA3834" s="48"/>
      <c r="AB3834" s="48"/>
      <c r="AC3834" s="48"/>
      <c r="AD3834" s="48"/>
      <c r="AE3834" s="48"/>
      <c r="AF3834" s="48"/>
      <c r="AG3834" s="48"/>
      <c r="AH3834" s="48"/>
      <c r="AI3834" s="48"/>
      <c r="AJ3834" s="48"/>
      <c r="AK3834" s="48"/>
      <c r="AL3834" s="48"/>
      <c r="AM3834" s="48"/>
      <c r="AN3834" s="48"/>
      <c r="AO3834" s="48"/>
      <c r="AP3834" s="48"/>
      <c r="AQ3834" s="48"/>
      <c r="AR3834" s="48"/>
      <c r="AS3834" s="48"/>
      <c r="AT3834" s="48"/>
      <c r="AU3834" s="48"/>
      <c r="AV3834" s="48"/>
      <c r="AW3834" s="48"/>
      <c r="AX3834" s="48"/>
      <c r="AY3834" s="48"/>
      <c r="AZ3834" s="48"/>
      <c r="BA3834" s="48"/>
      <c r="BB3834" s="14"/>
      <c r="BC3834" s="48"/>
      <c r="BD3834" s="48"/>
      <c r="BE3834" s="48"/>
      <c r="BF3834" s="48"/>
      <c r="BG3834" s="48"/>
      <c r="BH3834" s="48"/>
      <c r="BI3834" s="48"/>
      <c r="BJ3834" s="48"/>
      <c r="BK3834" s="48"/>
      <c r="BL3834" s="48"/>
      <c r="BM3834" s="48"/>
      <c r="BN3834" s="48"/>
      <c r="BO3834" s="48"/>
      <c r="BP3834" s="48"/>
      <c r="BQ3834" s="48"/>
      <c r="BR3834" s="48"/>
      <c r="BS3834" s="48"/>
      <c r="BT3834" s="48"/>
      <c r="BU3834" s="48"/>
      <c r="BV3834" s="48"/>
      <c r="BW3834" s="48"/>
      <c r="BX3834" s="48"/>
      <c r="BY3834" s="48"/>
      <c r="BZ3834" s="48"/>
      <c r="CA3834" s="48"/>
      <c r="CB3834" s="48"/>
      <c r="CC3834" s="48"/>
      <c r="CD3834" s="48"/>
      <c r="CE3834" s="48"/>
      <c r="CF3834" s="48"/>
      <c r="CG3834" s="48"/>
      <c r="CH3834" s="48"/>
      <c r="CI3834" s="48"/>
      <c r="CJ3834" s="48"/>
      <c r="CK3834" s="48"/>
      <c r="CL3834" s="48"/>
      <c r="CM3834" s="48"/>
      <c r="CN3834" s="48"/>
      <c r="CO3834" s="48"/>
      <c r="CP3834" s="48"/>
      <c r="CQ3834" s="48"/>
      <c r="CR3834" s="48"/>
      <c r="CS3834" s="48"/>
      <c r="CT3834" s="48"/>
      <c r="CU3834" s="48"/>
      <c r="CV3834" s="48"/>
      <c r="CW3834" s="48"/>
      <c r="CX3834" s="48"/>
      <c r="CY3834" s="48"/>
      <c r="CZ3834" s="48"/>
    </row>
    <row r="3835" spans="27:104" s="4" customFormat="1" x14ac:dyDescent="0.3">
      <c r="AA3835" s="48"/>
      <c r="AB3835" s="48"/>
      <c r="AC3835" s="48"/>
      <c r="AD3835" s="48"/>
      <c r="AE3835" s="48"/>
      <c r="AF3835" s="48"/>
      <c r="AG3835" s="48"/>
      <c r="AH3835" s="48"/>
      <c r="AI3835" s="48"/>
      <c r="AJ3835" s="48"/>
      <c r="AK3835" s="48"/>
      <c r="AL3835" s="48"/>
      <c r="AM3835" s="48"/>
      <c r="AN3835" s="48"/>
      <c r="AO3835" s="48"/>
      <c r="AP3835" s="48"/>
      <c r="AQ3835" s="48"/>
      <c r="AR3835" s="48"/>
      <c r="AS3835" s="48"/>
      <c r="AT3835" s="48"/>
      <c r="AU3835" s="48"/>
      <c r="AV3835" s="48"/>
      <c r="AW3835" s="48"/>
      <c r="AX3835" s="48"/>
      <c r="AY3835" s="48"/>
      <c r="AZ3835" s="48"/>
      <c r="BA3835" s="48"/>
      <c r="BB3835" s="14"/>
      <c r="BC3835" s="48"/>
      <c r="BD3835" s="48"/>
      <c r="BE3835" s="48"/>
      <c r="BF3835" s="48"/>
      <c r="BG3835" s="48"/>
      <c r="BH3835" s="48"/>
      <c r="BI3835" s="48"/>
      <c r="BJ3835" s="48"/>
      <c r="BK3835" s="48"/>
      <c r="BL3835" s="48"/>
      <c r="BM3835" s="48"/>
      <c r="BN3835" s="48"/>
      <c r="BO3835" s="48"/>
      <c r="BP3835" s="48"/>
      <c r="BQ3835" s="48"/>
      <c r="BR3835" s="48"/>
      <c r="BS3835" s="48"/>
      <c r="BT3835" s="48"/>
      <c r="BU3835" s="48"/>
      <c r="BV3835" s="48"/>
      <c r="BW3835" s="48"/>
      <c r="BX3835" s="48"/>
      <c r="BY3835" s="48"/>
      <c r="BZ3835" s="48"/>
      <c r="CA3835" s="48"/>
      <c r="CB3835" s="48"/>
      <c r="CC3835" s="48"/>
      <c r="CD3835" s="48"/>
      <c r="CE3835" s="48"/>
      <c r="CF3835" s="48"/>
      <c r="CG3835" s="48"/>
      <c r="CH3835" s="48"/>
      <c r="CI3835" s="48"/>
      <c r="CJ3835" s="48"/>
      <c r="CK3835" s="48"/>
      <c r="CL3835" s="48"/>
      <c r="CM3835" s="48"/>
      <c r="CN3835" s="48"/>
      <c r="CO3835" s="48"/>
      <c r="CP3835" s="48"/>
      <c r="CQ3835" s="48"/>
      <c r="CR3835" s="48"/>
      <c r="CS3835" s="48"/>
      <c r="CT3835" s="48"/>
      <c r="CU3835" s="48"/>
      <c r="CV3835" s="48"/>
      <c r="CW3835" s="48"/>
      <c r="CX3835" s="48"/>
      <c r="CY3835" s="48"/>
      <c r="CZ3835" s="48"/>
    </row>
    <row r="3836" spans="27:104" s="4" customFormat="1" x14ac:dyDescent="0.3">
      <c r="AA3836" s="48"/>
      <c r="AB3836" s="48"/>
      <c r="AC3836" s="48"/>
      <c r="AD3836" s="48"/>
      <c r="AE3836" s="48"/>
      <c r="AF3836" s="48"/>
      <c r="AG3836" s="48"/>
      <c r="AH3836" s="48"/>
      <c r="AI3836" s="48"/>
      <c r="AJ3836" s="48"/>
      <c r="AK3836" s="48"/>
      <c r="AL3836" s="48"/>
      <c r="AM3836" s="48"/>
      <c r="AN3836" s="48"/>
      <c r="AO3836" s="48"/>
      <c r="AP3836" s="48"/>
      <c r="AQ3836" s="48"/>
      <c r="AR3836" s="48"/>
      <c r="AS3836" s="48"/>
      <c r="AT3836" s="48"/>
      <c r="AU3836" s="48"/>
      <c r="AV3836" s="48"/>
      <c r="AW3836" s="48"/>
      <c r="AX3836" s="48"/>
      <c r="AY3836" s="48"/>
      <c r="AZ3836" s="48"/>
      <c r="BA3836" s="48"/>
      <c r="BB3836" s="14"/>
      <c r="BC3836" s="48"/>
      <c r="BD3836" s="48"/>
      <c r="BE3836" s="48"/>
      <c r="BF3836" s="48"/>
      <c r="BG3836" s="48"/>
      <c r="BH3836" s="48"/>
      <c r="BI3836" s="48"/>
      <c r="BJ3836" s="48"/>
      <c r="BK3836" s="48"/>
      <c r="BL3836" s="48"/>
      <c r="BM3836" s="48"/>
      <c r="BN3836" s="48"/>
      <c r="BO3836" s="48"/>
      <c r="BP3836" s="48"/>
      <c r="BQ3836" s="48"/>
      <c r="BR3836" s="48"/>
      <c r="BS3836" s="48"/>
      <c r="BT3836" s="48"/>
      <c r="BU3836" s="48"/>
      <c r="BV3836" s="48"/>
      <c r="BW3836" s="48"/>
      <c r="BX3836" s="48"/>
      <c r="BY3836" s="48"/>
      <c r="BZ3836" s="48"/>
      <c r="CA3836" s="48"/>
      <c r="CB3836" s="48"/>
      <c r="CC3836" s="48"/>
      <c r="CD3836" s="48"/>
      <c r="CE3836" s="48"/>
      <c r="CF3836" s="48"/>
      <c r="CG3836" s="48"/>
      <c r="CH3836" s="48"/>
      <c r="CI3836" s="48"/>
      <c r="CJ3836" s="48"/>
      <c r="CK3836" s="48"/>
      <c r="CL3836" s="48"/>
      <c r="CM3836" s="48"/>
      <c r="CN3836" s="48"/>
      <c r="CO3836" s="48"/>
      <c r="CP3836" s="48"/>
      <c r="CQ3836" s="48"/>
      <c r="CR3836" s="48"/>
      <c r="CS3836" s="48"/>
      <c r="CT3836" s="48"/>
      <c r="CU3836" s="48"/>
      <c r="CV3836" s="48"/>
      <c r="CW3836" s="48"/>
      <c r="CX3836" s="48"/>
      <c r="CY3836" s="48"/>
      <c r="CZ3836" s="48"/>
    </row>
    <row r="3837" spans="27:104" s="4" customFormat="1" x14ac:dyDescent="0.3">
      <c r="AA3837" s="48"/>
      <c r="AB3837" s="48"/>
      <c r="AC3837" s="48"/>
      <c r="AD3837" s="48"/>
      <c r="AE3837" s="48"/>
      <c r="AF3837" s="48"/>
      <c r="AG3837" s="48"/>
      <c r="AH3837" s="48"/>
      <c r="AI3837" s="48"/>
      <c r="AJ3837" s="48"/>
      <c r="AK3837" s="48"/>
      <c r="AL3837" s="48"/>
      <c r="AM3837" s="48"/>
      <c r="AN3837" s="48"/>
      <c r="AO3837" s="48"/>
      <c r="AP3837" s="48"/>
      <c r="AQ3837" s="48"/>
      <c r="AR3837" s="48"/>
      <c r="AS3837" s="48"/>
      <c r="AT3837" s="48"/>
      <c r="AU3837" s="48"/>
      <c r="AV3837" s="48"/>
      <c r="AW3837" s="48"/>
      <c r="AX3837" s="48"/>
      <c r="AY3837" s="48"/>
      <c r="AZ3837" s="48"/>
      <c r="BA3837" s="48"/>
      <c r="BB3837" s="14"/>
      <c r="BC3837" s="48"/>
      <c r="BD3837" s="48"/>
      <c r="BE3837" s="48"/>
      <c r="BF3837" s="48"/>
      <c r="BG3837" s="48"/>
      <c r="BH3837" s="48"/>
      <c r="BI3837" s="48"/>
      <c r="BJ3837" s="48"/>
      <c r="BK3837" s="48"/>
      <c r="BL3837" s="48"/>
      <c r="BM3837" s="48"/>
      <c r="BN3837" s="48"/>
      <c r="BO3837" s="48"/>
      <c r="BP3837" s="48"/>
      <c r="BQ3837" s="48"/>
      <c r="BR3837" s="48"/>
      <c r="BS3837" s="48"/>
      <c r="BT3837" s="48"/>
      <c r="BU3837" s="48"/>
      <c r="BV3837" s="48"/>
      <c r="BW3837" s="48"/>
      <c r="BX3837" s="48"/>
      <c r="BY3837" s="48"/>
      <c r="BZ3837" s="48"/>
      <c r="CA3837" s="48"/>
      <c r="CB3837" s="48"/>
      <c r="CC3837" s="48"/>
      <c r="CD3837" s="48"/>
      <c r="CE3837" s="48"/>
      <c r="CF3837" s="48"/>
      <c r="CG3837" s="48"/>
      <c r="CH3837" s="48"/>
      <c r="CI3837" s="48"/>
      <c r="CJ3837" s="48"/>
      <c r="CK3837" s="48"/>
      <c r="CL3837" s="48"/>
      <c r="CM3837" s="48"/>
      <c r="CN3837" s="48"/>
      <c r="CO3837" s="48"/>
      <c r="CP3837" s="48"/>
      <c r="CQ3837" s="48"/>
      <c r="CR3837" s="48"/>
      <c r="CS3837" s="48"/>
      <c r="CT3837" s="48"/>
      <c r="CU3837" s="48"/>
      <c r="CV3837" s="48"/>
      <c r="CW3837" s="48"/>
      <c r="CX3837" s="48"/>
      <c r="CY3837" s="48"/>
      <c r="CZ3837" s="48"/>
    </row>
    <row r="3838" spans="27:104" s="4" customFormat="1" x14ac:dyDescent="0.3">
      <c r="AA3838" s="48"/>
      <c r="AB3838" s="48"/>
      <c r="AC3838" s="48"/>
      <c r="AD3838" s="48"/>
      <c r="AE3838" s="48"/>
      <c r="AF3838" s="48"/>
      <c r="AG3838" s="48"/>
      <c r="AH3838" s="48"/>
      <c r="AI3838" s="48"/>
      <c r="AJ3838" s="48"/>
      <c r="AK3838" s="48"/>
      <c r="AL3838" s="48"/>
      <c r="AM3838" s="48"/>
      <c r="AN3838" s="48"/>
      <c r="AO3838" s="48"/>
      <c r="AP3838" s="48"/>
      <c r="AQ3838" s="48"/>
      <c r="AR3838" s="48"/>
      <c r="AS3838" s="48"/>
      <c r="AT3838" s="48"/>
      <c r="AU3838" s="48"/>
      <c r="AV3838" s="48"/>
      <c r="AW3838" s="48"/>
      <c r="AX3838" s="48"/>
      <c r="AY3838" s="48"/>
      <c r="AZ3838" s="48"/>
      <c r="BA3838" s="48"/>
      <c r="BB3838" s="14"/>
      <c r="BC3838" s="48"/>
      <c r="BD3838" s="48"/>
      <c r="BE3838" s="48"/>
      <c r="BF3838" s="48"/>
      <c r="BG3838" s="48"/>
      <c r="BH3838" s="48"/>
      <c r="BI3838" s="48"/>
      <c r="BJ3838" s="48"/>
      <c r="BK3838" s="48"/>
      <c r="BL3838" s="48"/>
      <c r="BM3838" s="48"/>
      <c r="BN3838" s="48"/>
      <c r="BO3838" s="48"/>
      <c r="BP3838" s="48"/>
      <c r="BQ3838" s="48"/>
      <c r="BR3838" s="48"/>
      <c r="BS3838" s="48"/>
      <c r="BT3838" s="48"/>
      <c r="BU3838" s="48"/>
      <c r="BV3838" s="48"/>
      <c r="BW3838" s="48"/>
      <c r="BX3838" s="48"/>
      <c r="BY3838" s="48"/>
      <c r="BZ3838" s="48"/>
      <c r="CA3838" s="48"/>
      <c r="CB3838" s="48"/>
      <c r="CC3838" s="48"/>
      <c r="CD3838" s="48"/>
      <c r="CE3838" s="48"/>
      <c r="CF3838" s="48"/>
      <c r="CG3838" s="48"/>
      <c r="CH3838" s="48"/>
      <c r="CI3838" s="48"/>
      <c r="CJ3838" s="48"/>
      <c r="CK3838" s="48"/>
      <c r="CL3838" s="48"/>
      <c r="CM3838" s="48"/>
      <c r="CN3838" s="48"/>
      <c r="CO3838" s="48"/>
      <c r="CP3838" s="48"/>
      <c r="CQ3838" s="48"/>
      <c r="CR3838" s="48"/>
      <c r="CS3838" s="48"/>
      <c r="CT3838" s="48"/>
      <c r="CU3838" s="48"/>
      <c r="CV3838" s="48"/>
      <c r="CW3838" s="48"/>
      <c r="CX3838" s="48"/>
      <c r="CY3838" s="48"/>
      <c r="CZ3838" s="48"/>
    </row>
    <row r="3839" spans="27:104" s="4" customFormat="1" x14ac:dyDescent="0.3">
      <c r="AA3839" s="48"/>
      <c r="AB3839" s="48"/>
      <c r="AC3839" s="48"/>
      <c r="AD3839" s="48"/>
      <c r="AE3839" s="48"/>
      <c r="AF3839" s="48"/>
      <c r="AG3839" s="48"/>
      <c r="AH3839" s="48"/>
      <c r="AI3839" s="48"/>
      <c r="AJ3839" s="48"/>
      <c r="AK3839" s="48"/>
      <c r="AL3839" s="48"/>
      <c r="AM3839" s="48"/>
      <c r="AN3839" s="48"/>
      <c r="AO3839" s="48"/>
      <c r="AP3839" s="48"/>
      <c r="AQ3839" s="48"/>
      <c r="AR3839" s="48"/>
      <c r="AS3839" s="48"/>
      <c r="AT3839" s="48"/>
      <c r="AU3839" s="48"/>
      <c r="AV3839" s="48"/>
      <c r="AW3839" s="48"/>
      <c r="AX3839" s="48"/>
      <c r="AY3839" s="48"/>
      <c r="AZ3839" s="48"/>
      <c r="BA3839" s="48"/>
      <c r="BB3839" s="14"/>
      <c r="BC3839" s="48"/>
      <c r="BD3839" s="48"/>
      <c r="BE3839" s="48"/>
      <c r="BF3839" s="48"/>
      <c r="BG3839" s="48"/>
      <c r="BH3839" s="48"/>
      <c r="BI3839" s="48"/>
      <c r="BJ3839" s="48"/>
      <c r="BK3839" s="48"/>
      <c r="BL3839" s="48"/>
      <c r="BM3839" s="48"/>
      <c r="BN3839" s="48"/>
      <c r="BO3839" s="48"/>
      <c r="BP3839" s="48"/>
      <c r="BQ3839" s="48"/>
      <c r="BR3839" s="48"/>
      <c r="BS3839" s="48"/>
      <c r="BT3839" s="48"/>
      <c r="BU3839" s="48"/>
      <c r="BV3839" s="48"/>
      <c r="BW3839" s="48"/>
      <c r="BX3839" s="48"/>
      <c r="BY3839" s="48"/>
      <c r="BZ3839" s="48"/>
      <c r="CA3839" s="48"/>
      <c r="CB3839" s="48"/>
      <c r="CC3839" s="48"/>
      <c r="CD3839" s="48"/>
      <c r="CE3839" s="48"/>
      <c r="CF3839" s="48"/>
      <c r="CG3839" s="48"/>
      <c r="CH3839" s="48"/>
      <c r="CI3839" s="48"/>
      <c r="CJ3839" s="48"/>
      <c r="CK3839" s="48"/>
      <c r="CL3839" s="48"/>
      <c r="CM3839" s="48"/>
      <c r="CN3839" s="48"/>
      <c r="CO3839" s="48"/>
      <c r="CP3839" s="48"/>
      <c r="CQ3839" s="48"/>
      <c r="CR3839" s="48"/>
      <c r="CS3839" s="48"/>
      <c r="CT3839" s="48"/>
      <c r="CU3839" s="48"/>
      <c r="CV3839" s="48"/>
      <c r="CW3839" s="48"/>
      <c r="CX3839" s="48"/>
      <c r="CY3839" s="48"/>
      <c r="CZ3839" s="48"/>
    </row>
    <row r="3840" spans="27:104" s="4" customFormat="1" x14ac:dyDescent="0.3">
      <c r="AA3840" s="48"/>
      <c r="AB3840" s="48"/>
      <c r="AC3840" s="48"/>
      <c r="AD3840" s="48"/>
      <c r="AE3840" s="48"/>
      <c r="AF3840" s="48"/>
      <c r="AG3840" s="48"/>
      <c r="AH3840" s="48"/>
      <c r="AI3840" s="48"/>
      <c r="AJ3840" s="48"/>
      <c r="AK3840" s="48"/>
      <c r="AL3840" s="48"/>
      <c r="AM3840" s="48"/>
      <c r="AN3840" s="48"/>
      <c r="AO3840" s="48"/>
      <c r="AP3840" s="48"/>
      <c r="AQ3840" s="48"/>
      <c r="AR3840" s="48"/>
      <c r="AS3840" s="48"/>
      <c r="AT3840" s="48"/>
      <c r="AU3840" s="48"/>
      <c r="AV3840" s="48"/>
      <c r="AW3840" s="48"/>
      <c r="AX3840" s="48"/>
      <c r="AY3840" s="48"/>
      <c r="AZ3840" s="48"/>
      <c r="BA3840" s="48"/>
      <c r="BB3840" s="14"/>
      <c r="BC3840" s="48"/>
      <c r="BD3840" s="48"/>
      <c r="BE3840" s="48"/>
      <c r="BF3840" s="48"/>
      <c r="BG3840" s="48"/>
      <c r="BH3840" s="48"/>
      <c r="BI3840" s="48"/>
      <c r="BJ3840" s="48"/>
      <c r="BK3840" s="48"/>
      <c r="BL3840" s="48"/>
      <c r="BM3840" s="48"/>
      <c r="BN3840" s="48"/>
      <c r="BO3840" s="48"/>
      <c r="BP3840" s="48"/>
      <c r="BQ3840" s="48"/>
      <c r="BR3840" s="48"/>
      <c r="BS3840" s="48"/>
      <c r="BT3840" s="48"/>
      <c r="BU3840" s="48"/>
      <c r="BV3840" s="48"/>
      <c r="BW3840" s="48"/>
      <c r="BX3840" s="48"/>
      <c r="BY3840" s="48"/>
      <c r="BZ3840" s="48"/>
      <c r="CA3840" s="48"/>
      <c r="CB3840" s="48"/>
      <c r="CC3840" s="48"/>
      <c r="CD3840" s="48"/>
      <c r="CE3840" s="48"/>
      <c r="CF3840" s="48"/>
      <c r="CG3840" s="48"/>
      <c r="CH3840" s="48"/>
      <c r="CI3840" s="48"/>
      <c r="CJ3840" s="48"/>
      <c r="CK3840" s="48"/>
      <c r="CL3840" s="48"/>
      <c r="CM3840" s="48"/>
      <c r="CN3840" s="48"/>
      <c r="CO3840" s="48"/>
      <c r="CP3840" s="48"/>
      <c r="CQ3840" s="48"/>
      <c r="CR3840" s="48"/>
      <c r="CS3840" s="48"/>
      <c r="CT3840" s="48"/>
      <c r="CU3840" s="48"/>
      <c r="CV3840" s="48"/>
      <c r="CW3840" s="48"/>
      <c r="CX3840" s="48"/>
      <c r="CY3840" s="48"/>
      <c r="CZ3840" s="48"/>
    </row>
    <row r="3841" spans="27:104" s="4" customFormat="1" x14ac:dyDescent="0.3">
      <c r="AA3841" s="48"/>
      <c r="AB3841" s="48"/>
      <c r="AC3841" s="48"/>
      <c r="AD3841" s="48"/>
      <c r="AE3841" s="48"/>
      <c r="AF3841" s="48"/>
      <c r="AG3841" s="48"/>
      <c r="AH3841" s="48"/>
      <c r="AI3841" s="48"/>
      <c r="AJ3841" s="48"/>
      <c r="AK3841" s="48"/>
      <c r="AL3841" s="48"/>
      <c r="AM3841" s="48"/>
      <c r="AN3841" s="48"/>
      <c r="AO3841" s="48"/>
      <c r="AP3841" s="48"/>
      <c r="AQ3841" s="48"/>
      <c r="AR3841" s="48"/>
      <c r="AS3841" s="48"/>
      <c r="AT3841" s="48"/>
      <c r="AU3841" s="48"/>
      <c r="AV3841" s="48"/>
      <c r="AW3841" s="48"/>
      <c r="AX3841" s="48"/>
      <c r="AY3841" s="48"/>
      <c r="AZ3841" s="48"/>
      <c r="BA3841" s="48"/>
      <c r="BB3841" s="14"/>
      <c r="BC3841" s="48"/>
      <c r="BD3841" s="48"/>
      <c r="BE3841" s="48"/>
      <c r="BF3841" s="48"/>
      <c r="BG3841" s="48"/>
      <c r="BH3841" s="48"/>
      <c r="BI3841" s="48"/>
      <c r="BJ3841" s="48"/>
      <c r="BK3841" s="48"/>
      <c r="BL3841" s="48"/>
      <c r="BM3841" s="48"/>
      <c r="BN3841" s="48"/>
      <c r="BO3841" s="48"/>
      <c r="BP3841" s="48"/>
      <c r="BQ3841" s="48"/>
      <c r="BR3841" s="48"/>
      <c r="BS3841" s="48"/>
      <c r="BT3841" s="48"/>
      <c r="BU3841" s="48"/>
      <c r="BV3841" s="48"/>
      <c r="BW3841" s="48"/>
      <c r="BX3841" s="48"/>
      <c r="BY3841" s="48"/>
      <c r="BZ3841" s="48"/>
      <c r="CA3841" s="48"/>
      <c r="CB3841" s="48"/>
      <c r="CC3841" s="48"/>
      <c r="CD3841" s="48"/>
      <c r="CE3841" s="48"/>
      <c r="CF3841" s="48"/>
      <c r="CG3841" s="48"/>
      <c r="CH3841" s="48"/>
      <c r="CI3841" s="48"/>
      <c r="CJ3841" s="48"/>
      <c r="CK3841" s="48"/>
      <c r="CL3841" s="48"/>
      <c r="CM3841" s="48"/>
      <c r="CN3841" s="48"/>
      <c r="CO3841" s="48"/>
      <c r="CP3841" s="48"/>
      <c r="CQ3841" s="48"/>
      <c r="CR3841" s="48"/>
      <c r="CS3841" s="48"/>
      <c r="CT3841" s="48"/>
      <c r="CU3841" s="48"/>
      <c r="CV3841" s="48"/>
      <c r="CW3841" s="48"/>
      <c r="CX3841" s="48"/>
      <c r="CY3841" s="48"/>
      <c r="CZ3841" s="48"/>
    </row>
    <row r="3842" spans="27:104" s="4" customFormat="1" x14ac:dyDescent="0.3">
      <c r="AA3842" s="48"/>
      <c r="AB3842" s="48"/>
      <c r="AC3842" s="48"/>
      <c r="AD3842" s="48"/>
      <c r="AE3842" s="48"/>
      <c r="AF3842" s="48"/>
      <c r="AG3842" s="48"/>
      <c r="AH3842" s="48"/>
      <c r="AI3842" s="48"/>
      <c r="AJ3842" s="48"/>
      <c r="AK3842" s="48"/>
      <c r="AL3842" s="48"/>
      <c r="AM3842" s="48"/>
      <c r="AN3842" s="48"/>
      <c r="AO3842" s="48"/>
      <c r="AP3842" s="48"/>
      <c r="AQ3842" s="48"/>
      <c r="AR3842" s="48"/>
      <c r="AS3842" s="48"/>
      <c r="AT3842" s="48"/>
      <c r="AU3842" s="48"/>
      <c r="AV3842" s="48"/>
      <c r="AW3842" s="48"/>
      <c r="AX3842" s="48"/>
      <c r="AY3842" s="48"/>
      <c r="AZ3842" s="48"/>
      <c r="BA3842" s="48"/>
      <c r="BB3842" s="14"/>
      <c r="BC3842" s="48"/>
      <c r="BD3842" s="48"/>
      <c r="BE3842" s="48"/>
      <c r="BF3842" s="48"/>
      <c r="BG3842" s="48"/>
      <c r="BH3842" s="48"/>
      <c r="BI3842" s="48"/>
      <c r="BJ3842" s="48"/>
      <c r="BK3842" s="48"/>
      <c r="BL3842" s="48"/>
      <c r="BM3842" s="48"/>
      <c r="BN3842" s="48"/>
      <c r="BO3842" s="48"/>
      <c r="BP3842" s="48"/>
      <c r="BQ3842" s="48"/>
      <c r="BR3842" s="48"/>
      <c r="BS3842" s="48"/>
      <c r="BT3842" s="48"/>
      <c r="BU3842" s="48"/>
      <c r="BV3842" s="48"/>
      <c r="BW3842" s="48"/>
      <c r="BX3842" s="48"/>
      <c r="BY3842" s="48"/>
      <c r="BZ3842" s="48"/>
      <c r="CA3842" s="48"/>
      <c r="CB3842" s="48"/>
      <c r="CC3842" s="48"/>
      <c r="CD3842" s="48"/>
      <c r="CE3842" s="48"/>
      <c r="CF3842" s="48"/>
      <c r="CG3842" s="48"/>
      <c r="CH3842" s="48"/>
      <c r="CI3842" s="48"/>
      <c r="CJ3842" s="48"/>
      <c r="CK3842" s="48"/>
      <c r="CL3842" s="48"/>
      <c r="CM3842" s="48"/>
      <c r="CN3842" s="48"/>
      <c r="CO3842" s="48"/>
      <c r="CP3842" s="48"/>
      <c r="CQ3842" s="48"/>
      <c r="CR3842" s="48"/>
      <c r="CS3842" s="48"/>
      <c r="CT3842" s="48"/>
      <c r="CU3842" s="48"/>
      <c r="CV3842" s="48"/>
      <c r="CW3842" s="48"/>
      <c r="CX3842" s="48"/>
      <c r="CY3842" s="48"/>
      <c r="CZ3842" s="48"/>
    </row>
    <row r="3843" spans="27:104" s="4" customFormat="1" x14ac:dyDescent="0.3">
      <c r="AA3843" s="48"/>
      <c r="AB3843" s="48"/>
      <c r="AC3843" s="48"/>
      <c r="AD3843" s="48"/>
      <c r="AE3843" s="48"/>
      <c r="AF3843" s="48"/>
      <c r="AG3843" s="48"/>
      <c r="AH3843" s="48"/>
      <c r="AI3843" s="48"/>
      <c r="AJ3843" s="48"/>
      <c r="AK3843" s="48"/>
      <c r="AL3843" s="48"/>
      <c r="AM3843" s="48"/>
      <c r="AN3843" s="48"/>
      <c r="AO3843" s="48"/>
      <c r="AP3843" s="48"/>
      <c r="AQ3843" s="48"/>
      <c r="AR3843" s="48"/>
      <c r="AS3843" s="48"/>
      <c r="AT3843" s="48"/>
      <c r="AU3843" s="48"/>
      <c r="AV3843" s="48"/>
      <c r="AW3843" s="48"/>
      <c r="AX3843" s="48"/>
      <c r="AY3843" s="48"/>
      <c r="AZ3843" s="48"/>
      <c r="BA3843" s="48"/>
      <c r="BB3843" s="14"/>
      <c r="BC3843" s="48"/>
      <c r="BD3843" s="48"/>
      <c r="BE3843" s="48"/>
      <c r="BF3843" s="48"/>
      <c r="BG3843" s="48"/>
      <c r="BH3843" s="48"/>
      <c r="BI3843" s="48"/>
      <c r="BJ3843" s="48"/>
      <c r="BK3843" s="48"/>
      <c r="BL3843" s="48"/>
      <c r="BM3843" s="48"/>
      <c r="BN3843" s="48"/>
      <c r="BO3843" s="48"/>
      <c r="BP3843" s="48"/>
      <c r="BQ3843" s="48"/>
      <c r="BR3843" s="48"/>
      <c r="BS3843" s="48"/>
      <c r="BT3843" s="48"/>
      <c r="BU3843" s="48"/>
      <c r="BV3843" s="48"/>
      <c r="BW3843" s="48"/>
      <c r="BX3843" s="48"/>
      <c r="BY3843" s="48"/>
      <c r="BZ3843" s="48"/>
      <c r="CA3843" s="48"/>
      <c r="CB3843" s="48"/>
      <c r="CC3843" s="48"/>
      <c r="CD3843" s="48"/>
      <c r="CE3843" s="48"/>
      <c r="CF3843" s="48"/>
      <c r="CG3843" s="48"/>
      <c r="CH3843" s="48"/>
      <c r="CI3843" s="48"/>
      <c r="CJ3843" s="48"/>
      <c r="CK3843" s="48"/>
      <c r="CL3843" s="48"/>
      <c r="CM3843" s="48"/>
      <c r="CN3843" s="48"/>
      <c r="CO3843" s="48"/>
      <c r="CP3843" s="48"/>
      <c r="CQ3843" s="48"/>
      <c r="CR3843" s="48"/>
      <c r="CS3843" s="48"/>
      <c r="CT3843" s="48"/>
      <c r="CU3843" s="48"/>
      <c r="CV3843" s="48"/>
      <c r="CW3843" s="48"/>
      <c r="CX3843" s="48"/>
      <c r="CY3843" s="48"/>
      <c r="CZ3843" s="48"/>
    </row>
    <row r="3844" spans="27:104" s="4" customFormat="1" x14ac:dyDescent="0.3">
      <c r="AA3844" s="48"/>
      <c r="AB3844" s="48"/>
      <c r="AC3844" s="48"/>
      <c r="AD3844" s="48"/>
      <c r="AE3844" s="48"/>
      <c r="AF3844" s="48"/>
      <c r="AG3844" s="48"/>
      <c r="AH3844" s="48"/>
      <c r="AI3844" s="48"/>
      <c r="AJ3844" s="48"/>
      <c r="AK3844" s="48"/>
      <c r="AL3844" s="48"/>
      <c r="AM3844" s="48"/>
      <c r="AN3844" s="48"/>
      <c r="AO3844" s="48"/>
      <c r="AP3844" s="48"/>
      <c r="AQ3844" s="48"/>
      <c r="AR3844" s="48"/>
      <c r="AS3844" s="48"/>
      <c r="AT3844" s="48"/>
      <c r="AU3844" s="48"/>
      <c r="AV3844" s="48"/>
      <c r="AW3844" s="48"/>
      <c r="AX3844" s="48"/>
      <c r="AY3844" s="48"/>
      <c r="AZ3844" s="48"/>
      <c r="BA3844" s="48"/>
      <c r="BB3844" s="14"/>
      <c r="BC3844" s="48"/>
      <c r="BD3844" s="48"/>
      <c r="BE3844" s="48"/>
      <c r="BF3844" s="48"/>
      <c r="BG3844" s="48"/>
      <c r="BH3844" s="48"/>
      <c r="BI3844" s="48"/>
      <c r="BJ3844" s="48"/>
      <c r="BK3844" s="48"/>
      <c r="BL3844" s="48"/>
      <c r="BM3844" s="48"/>
      <c r="BN3844" s="48"/>
      <c r="BO3844" s="48"/>
      <c r="BP3844" s="48"/>
      <c r="BQ3844" s="48"/>
      <c r="BR3844" s="48"/>
      <c r="BS3844" s="48"/>
      <c r="BT3844" s="48"/>
      <c r="BU3844" s="48"/>
      <c r="BV3844" s="48"/>
      <c r="BW3844" s="48"/>
      <c r="BX3844" s="48"/>
      <c r="BY3844" s="48"/>
      <c r="BZ3844" s="48"/>
      <c r="CA3844" s="48"/>
      <c r="CB3844" s="48"/>
      <c r="CC3844" s="48"/>
      <c r="CD3844" s="48"/>
      <c r="CE3844" s="48"/>
      <c r="CF3844" s="48"/>
      <c r="CG3844" s="48"/>
      <c r="CH3844" s="48"/>
      <c r="CI3844" s="48"/>
      <c r="CJ3844" s="48"/>
      <c r="CK3844" s="48"/>
      <c r="CL3844" s="48"/>
      <c r="CM3844" s="48"/>
      <c r="CN3844" s="48"/>
      <c r="CO3844" s="48"/>
      <c r="CP3844" s="48"/>
      <c r="CQ3844" s="48"/>
      <c r="CR3844" s="48"/>
      <c r="CS3844" s="48"/>
      <c r="CT3844" s="48"/>
      <c r="CU3844" s="48"/>
      <c r="CV3844" s="48"/>
      <c r="CW3844" s="48"/>
      <c r="CX3844" s="48"/>
      <c r="CY3844" s="48"/>
      <c r="CZ3844" s="48"/>
    </row>
    <row r="3845" spans="27:104" s="4" customFormat="1" x14ac:dyDescent="0.3">
      <c r="AA3845" s="48"/>
      <c r="AB3845" s="48"/>
      <c r="AC3845" s="48"/>
      <c r="AD3845" s="48"/>
      <c r="AE3845" s="48"/>
      <c r="AF3845" s="48"/>
      <c r="AG3845" s="48"/>
      <c r="AH3845" s="48"/>
      <c r="AI3845" s="48"/>
      <c r="AJ3845" s="48"/>
      <c r="AK3845" s="48"/>
      <c r="AL3845" s="48"/>
      <c r="AM3845" s="48"/>
      <c r="AN3845" s="48"/>
      <c r="AO3845" s="48"/>
      <c r="AP3845" s="48"/>
      <c r="AQ3845" s="48"/>
      <c r="AR3845" s="48"/>
      <c r="AS3845" s="48"/>
      <c r="AT3845" s="48"/>
      <c r="AU3845" s="48"/>
      <c r="AV3845" s="48"/>
      <c r="AW3845" s="48"/>
      <c r="AX3845" s="48"/>
      <c r="AY3845" s="48"/>
      <c r="AZ3845" s="48"/>
      <c r="BA3845" s="48"/>
      <c r="BB3845" s="14"/>
      <c r="BC3845" s="48"/>
      <c r="BD3845" s="48"/>
      <c r="BE3845" s="48"/>
      <c r="BF3845" s="48"/>
      <c r="BG3845" s="48"/>
      <c r="BH3845" s="48"/>
      <c r="BI3845" s="48"/>
      <c r="BJ3845" s="48"/>
      <c r="BK3845" s="48"/>
      <c r="BL3845" s="48"/>
      <c r="BM3845" s="48"/>
      <c r="BN3845" s="48"/>
      <c r="BO3845" s="48"/>
      <c r="BP3845" s="48"/>
      <c r="BQ3845" s="48"/>
      <c r="BR3845" s="48"/>
      <c r="BS3845" s="48"/>
      <c r="BT3845" s="48"/>
      <c r="BU3845" s="48"/>
      <c r="BV3845" s="48"/>
      <c r="BW3845" s="48"/>
      <c r="BX3845" s="48"/>
      <c r="BY3845" s="48"/>
      <c r="BZ3845" s="48"/>
      <c r="CA3845" s="48"/>
      <c r="CB3845" s="48"/>
      <c r="CC3845" s="48"/>
      <c r="CD3845" s="48"/>
      <c r="CE3845" s="48"/>
      <c r="CF3845" s="48"/>
      <c r="CG3845" s="48"/>
      <c r="CH3845" s="48"/>
      <c r="CI3845" s="48"/>
      <c r="CJ3845" s="48"/>
      <c r="CK3845" s="48"/>
      <c r="CL3845" s="48"/>
      <c r="CM3845" s="48"/>
      <c r="CN3845" s="48"/>
      <c r="CO3845" s="48"/>
      <c r="CP3845" s="48"/>
      <c r="CQ3845" s="48"/>
      <c r="CR3845" s="48"/>
      <c r="CS3845" s="48"/>
      <c r="CT3845" s="48"/>
      <c r="CU3845" s="48"/>
      <c r="CV3845" s="48"/>
      <c r="CW3845" s="48"/>
      <c r="CX3845" s="48"/>
      <c r="CY3845" s="48"/>
      <c r="CZ3845" s="48"/>
    </row>
    <row r="3846" spans="27:104" s="4" customFormat="1" x14ac:dyDescent="0.3">
      <c r="AA3846" s="48"/>
      <c r="AB3846" s="48"/>
      <c r="AC3846" s="48"/>
      <c r="AD3846" s="48"/>
      <c r="AE3846" s="48"/>
      <c r="AF3846" s="48"/>
      <c r="AG3846" s="48"/>
      <c r="AH3846" s="48"/>
      <c r="AI3846" s="48"/>
      <c r="AJ3846" s="48"/>
      <c r="AK3846" s="48"/>
      <c r="AL3846" s="48"/>
      <c r="AM3846" s="48"/>
      <c r="AN3846" s="48"/>
      <c r="AO3846" s="48"/>
      <c r="AP3846" s="48"/>
      <c r="AQ3846" s="48"/>
      <c r="AR3846" s="48"/>
      <c r="AS3846" s="48"/>
      <c r="AT3846" s="48"/>
      <c r="AU3846" s="48"/>
      <c r="AV3846" s="48"/>
      <c r="AW3846" s="48"/>
      <c r="AX3846" s="48"/>
      <c r="AY3846" s="48"/>
      <c r="AZ3846" s="48"/>
      <c r="BA3846" s="48"/>
      <c r="BB3846" s="14"/>
      <c r="BC3846" s="48"/>
      <c r="BD3846" s="48"/>
      <c r="BE3846" s="48"/>
      <c r="BF3846" s="48"/>
      <c r="BG3846" s="48"/>
      <c r="BH3846" s="48"/>
      <c r="BI3846" s="48"/>
      <c r="BJ3846" s="48"/>
      <c r="BK3846" s="48"/>
      <c r="BL3846" s="48"/>
      <c r="BM3846" s="48"/>
      <c r="BN3846" s="48"/>
      <c r="BO3846" s="48"/>
      <c r="BP3846" s="48"/>
      <c r="BQ3846" s="48"/>
      <c r="BR3846" s="48"/>
      <c r="BS3846" s="48"/>
      <c r="BT3846" s="48"/>
      <c r="BU3846" s="48"/>
      <c r="BV3846" s="48"/>
      <c r="BW3846" s="48"/>
      <c r="BX3846" s="48"/>
      <c r="BY3846" s="48"/>
      <c r="BZ3846" s="48"/>
      <c r="CA3846" s="48"/>
      <c r="CB3846" s="48"/>
      <c r="CC3846" s="48"/>
      <c r="CD3846" s="48"/>
      <c r="CE3846" s="48"/>
      <c r="CF3846" s="48"/>
      <c r="CG3846" s="48"/>
      <c r="CH3846" s="48"/>
      <c r="CI3846" s="48"/>
      <c r="CJ3846" s="48"/>
      <c r="CK3846" s="48"/>
      <c r="CL3846" s="48"/>
      <c r="CM3846" s="48"/>
      <c r="CN3846" s="48"/>
      <c r="CO3846" s="48"/>
      <c r="CP3846" s="48"/>
      <c r="CQ3846" s="48"/>
      <c r="CR3846" s="48"/>
      <c r="CS3846" s="48"/>
      <c r="CT3846" s="48"/>
      <c r="CU3846" s="48"/>
      <c r="CV3846" s="48"/>
      <c r="CW3846" s="48"/>
      <c r="CX3846" s="48"/>
      <c r="CY3846" s="48"/>
      <c r="CZ3846" s="48"/>
    </row>
    <row r="3847" spans="27:104" s="4" customFormat="1" x14ac:dyDescent="0.3">
      <c r="AA3847" s="48"/>
      <c r="AB3847" s="48"/>
      <c r="AC3847" s="48"/>
      <c r="AD3847" s="48"/>
      <c r="AE3847" s="48"/>
      <c r="AF3847" s="48"/>
      <c r="AG3847" s="48"/>
      <c r="AH3847" s="48"/>
      <c r="AI3847" s="48"/>
      <c r="AJ3847" s="48"/>
      <c r="AK3847" s="48"/>
      <c r="AL3847" s="48"/>
      <c r="AM3847" s="48"/>
      <c r="AN3847" s="48"/>
      <c r="AO3847" s="48"/>
      <c r="AP3847" s="48"/>
      <c r="AQ3847" s="48"/>
      <c r="AR3847" s="48"/>
      <c r="AS3847" s="48"/>
      <c r="AT3847" s="48"/>
      <c r="AU3847" s="48"/>
      <c r="AV3847" s="48"/>
      <c r="AW3847" s="48"/>
      <c r="AX3847" s="48"/>
      <c r="AY3847" s="48"/>
      <c r="AZ3847" s="48"/>
      <c r="BA3847" s="48"/>
      <c r="BB3847" s="14"/>
      <c r="BC3847" s="48"/>
      <c r="BD3847" s="48"/>
      <c r="BE3847" s="48"/>
      <c r="BF3847" s="48"/>
      <c r="BG3847" s="48"/>
      <c r="BH3847" s="48"/>
      <c r="BI3847" s="48"/>
      <c r="BJ3847" s="48"/>
      <c r="BK3847" s="48"/>
      <c r="BL3847" s="48"/>
      <c r="BM3847" s="48"/>
      <c r="BN3847" s="48"/>
      <c r="BO3847" s="48"/>
      <c r="BP3847" s="48"/>
      <c r="BQ3847" s="48"/>
      <c r="BR3847" s="48"/>
      <c r="BS3847" s="48"/>
      <c r="BT3847" s="48"/>
      <c r="BU3847" s="48"/>
      <c r="BV3847" s="48"/>
      <c r="BW3847" s="48"/>
      <c r="BX3847" s="48"/>
      <c r="BY3847" s="48"/>
      <c r="BZ3847" s="48"/>
      <c r="CA3847" s="48"/>
      <c r="CB3847" s="48"/>
      <c r="CC3847" s="48"/>
      <c r="CD3847" s="48"/>
      <c r="CE3847" s="48"/>
      <c r="CF3847" s="48"/>
      <c r="CG3847" s="48"/>
      <c r="CH3847" s="48"/>
      <c r="CI3847" s="48"/>
      <c r="CJ3847" s="48"/>
      <c r="CK3847" s="48"/>
      <c r="CL3847" s="48"/>
      <c r="CM3847" s="48"/>
      <c r="CN3847" s="48"/>
      <c r="CO3847" s="48"/>
      <c r="CP3847" s="48"/>
      <c r="CQ3847" s="48"/>
      <c r="CR3847" s="48"/>
      <c r="CS3847" s="48"/>
      <c r="CT3847" s="48"/>
      <c r="CU3847" s="48"/>
      <c r="CV3847" s="48"/>
      <c r="CW3847" s="48"/>
      <c r="CX3847" s="48"/>
      <c r="CY3847" s="48"/>
      <c r="CZ3847" s="48"/>
    </row>
    <row r="3848" spans="27:104" s="4" customFormat="1" x14ac:dyDescent="0.3">
      <c r="AA3848" s="48"/>
      <c r="AB3848" s="48"/>
      <c r="AC3848" s="48"/>
      <c r="AD3848" s="48"/>
      <c r="AE3848" s="48"/>
      <c r="AF3848" s="48"/>
      <c r="AG3848" s="48"/>
      <c r="AH3848" s="48"/>
      <c r="AI3848" s="48"/>
      <c r="AJ3848" s="48"/>
      <c r="AK3848" s="48"/>
      <c r="AL3848" s="48"/>
      <c r="AM3848" s="48"/>
      <c r="AN3848" s="48"/>
      <c r="AO3848" s="48"/>
      <c r="AP3848" s="48"/>
      <c r="AQ3848" s="48"/>
      <c r="AR3848" s="48"/>
      <c r="AS3848" s="48"/>
      <c r="AT3848" s="48"/>
      <c r="AU3848" s="48"/>
      <c r="AV3848" s="48"/>
      <c r="AW3848" s="48"/>
      <c r="AX3848" s="48"/>
      <c r="AY3848" s="48"/>
      <c r="AZ3848" s="48"/>
      <c r="BA3848" s="48"/>
      <c r="BB3848" s="14"/>
      <c r="BC3848" s="48"/>
      <c r="BD3848" s="48"/>
      <c r="BE3848" s="48"/>
      <c r="BF3848" s="48"/>
      <c r="BG3848" s="48"/>
      <c r="BH3848" s="48"/>
      <c r="BI3848" s="48"/>
      <c r="BJ3848" s="48"/>
      <c r="BK3848" s="48"/>
      <c r="BL3848" s="48"/>
      <c r="BM3848" s="48"/>
      <c r="BN3848" s="48"/>
      <c r="BO3848" s="48"/>
      <c r="BP3848" s="48"/>
      <c r="BQ3848" s="48"/>
      <c r="BR3848" s="48"/>
      <c r="BS3848" s="48"/>
      <c r="BT3848" s="48"/>
      <c r="BU3848" s="48"/>
      <c r="BV3848" s="48"/>
      <c r="BW3848" s="48"/>
      <c r="BX3848" s="48"/>
      <c r="BY3848" s="48"/>
      <c r="BZ3848" s="48"/>
      <c r="CA3848" s="48"/>
      <c r="CB3848" s="48"/>
      <c r="CC3848" s="48"/>
      <c r="CD3848" s="48"/>
      <c r="CE3848" s="48"/>
      <c r="CF3848" s="48"/>
      <c r="CG3848" s="48"/>
      <c r="CH3848" s="48"/>
      <c r="CI3848" s="48"/>
      <c r="CJ3848" s="48"/>
      <c r="CK3848" s="48"/>
      <c r="CL3848" s="48"/>
      <c r="CM3848" s="48"/>
      <c r="CN3848" s="48"/>
      <c r="CO3848" s="48"/>
      <c r="CP3848" s="48"/>
      <c r="CQ3848" s="48"/>
      <c r="CR3848" s="48"/>
      <c r="CS3848" s="48"/>
      <c r="CT3848" s="48"/>
      <c r="CU3848" s="48"/>
      <c r="CV3848" s="48"/>
      <c r="CW3848" s="48"/>
      <c r="CX3848" s="48"/>
      <c r="CY3848" s="48"/>
      <c r="CZ3848" s="48"/>
    </row>
    <row r="3849" spans="27:104" s="4" customFormat="1" x14ac:dyDescent="0.3">
      <c r="AA3849" s="48"/>
      <c r="AB3849" s="48"/>
      <c r="AC3849" s="48"/>
      <c r="AD3849" s="48"/>
      <c r="AE3849" s="48"/>
      <c r="AF3849" s="48"/>
      <c r="AG3849" s="48"/>
      <c r="AH3849" s="48"/>
      <c r="AI3849" s="48"/>
      <c r="AJ3849" s="48"/>
      <c r="AK3849" s="48"/>
      <c r="AL3849" s="48"/>
      <c r="AM3849" s="48"/>
      <c r="AN3849" s="48"/>
      <c r="AO3849" s="48"/>
      <c r="AP3849" s="48"/>
      <c r="AQ3849" s="48"/>
      <c r="AR3849" s="48"/>
      <c r="AS3849" s="48"/>
      <c r="AT3849" s="48"/>
      <c r="AU3849" s="48"/>
      <c r="AV3849" s="48"/>
      <c r="AW3849" s="48"/>
      <c r="AX3849" s="48"/>
      <c r="AY3849" s="48"/>
      <c r="AZ3849" s="48"/>
      <c r="BA3849" s="48"/>
      <c r="BB3849" s="14"/>
      <c r="BC3849" s="48"/>
      <c r="BD3849" s="48"/>
      <c r="BE3849" s="48"/>
      <c r="BF3849" s="48"/>
      <c r="BG3849" s="48"/>
      <c r="BH3849" s="48"/>
      <c r="BI3849" s="48"/>
      <c r="BJ3849" s="48"/>
      <c r="BK3849" s="48"/>
      <c r="BL3849" s="48"/>
      <c r="BM3849" s="48"/>
      <c r="BN3849" s="48"/>
      <c r="BO3849" s="48"/>
      <c r="BP3849" s="48"/>
      <c r="BQ3849" s="48"/>
      <c r="BR3849" s="48"/>
      <c r="BS3849" s="48"/>
      <c r="BT3849" s="48"/>
      <c r="BU3849" s="48"/>
      <c r="BV3849" s="48"/>
      <c r="BW3849" s="48"/>
      <c r="BX3849" s="48"/>
      <c r="BY3849" s="48"/>
      <c r="BZ3849" s="48"/>
      <c r="CA3849" s="48"/>
      <c r="CB3849" s="48"/>
      <c r="CC3849" s="48"/>
      <c r="CD3849" s="48"/>
      <c r="CE3849" s="48"/>
      <c r="CF3849" s="48"/>
      <c r="CG3849" s="48"/>
      <c r="CH3849" s="48"/>
      <c r="CI3849" s="48"/>
      <c r="CJ3849" s="48"/>
      <c r="CK3849" s="48"/>
      <c r="CL3849" s="48"/>
      <c r="CM3849" s="48"/>
      <c r="CN3849" s="48"/>
      <c r="CO3849" s="48"/>
      <c r="CP3849" s="48"/>
      <c r="CQ3849" s="48"/>
      <c r="CR3849" s="48"/>
      <c r="CS3849" s="48"/>
      <c r="CT3849" s="48"/>
      <c r="CU3849" s="48"/>
      <c r="CV3849" s="48"/>
      <c r="CW3849" s="48"/>
      <c r="CX3849" s="48"/>
      <c r="CY3849" s="48"/>
      <c r="CZ3849" s="48"/>
    </row>
    <row r="3850" spans="27:104" s="4" customFormat="1" x14ac:dyDescent="0.3">
      <c r="AA3850" s="48"/>
      <c r="AB3850" s="48"/>
      <c r="AC3850" s="48"/>
      <c r="AD3850" s="48"/>
      <c r="AE3850" s="48"/>
      <c r="AF3850" s="48"/>
      <c r="AG3850" s="48"/>
      <c r="AH3850" s="48"/>
      <c r="AI3850" s="48"/>
      <c r="AJ3850" s="48"/>
      <c r="AK3850" s="48"/>
      <c r="AL3850" s="48"/>
      <c r="AM3850" s="48"/>
      <c r="AN3850" s="48"/>
      <c r="AO3850" s="48"/>
      <c r="AP3850" s="48"/>
      <c r="AQ3850" s="48"/>
      <c r="AR3850" s="48"/>
      <c r="AS3850" s="48"/>
      <c r="AT3850" s="48"/>
      <c r="AU3850" s="48"/>
      <c r="AV3850" s="48"/>
      <c r="AW3850" s="48"/>
      <c r="AX3850" s="48"/>
      <c r="AY3850" s="48"/>
      <c r="AZ3850" s="48"/>
      <c r="BA3850" s="48"/>
      <c r="BB3850" s="14"/>
      <c r="BC3850" s="48"/>
      <c r="BD3850" s="48"/>
      <c r="BE3850" s="48"/>
      <c r="BF3850" s="48"/>
      <c r="BG3850" s="48"/>
      <c r="BH3850" s="48"/>
      <c r="BI3850" s="48"/>
      <c r="BJ3850" s="48"/>
      <c r="BK3850" s="48"/>
      <c r="BL3850" s="48"/>
      <c r="BM3850" s="48"/>
      <c r="BN3850" s="48"/>
      <c r="BO3850" s="48"/>
      <c r="BP3850" s="48"/>
      <c r="BQ3850" s="48"/>
      <c r="BR3850" s="48"/>
      <c r="BS3850" s="48"/>
      <c r="BT3850" s="48"/>
      <c r="BU3850" s="48"/>
      <c r="BV3850" s="48"/>
      <c r="BW3850" s="48"/>
      <c r="BX3850" s="48"/>
      <c r="BY3850" s="48"/>
      <c r="BZ3850" s="48"/>
      <c r="CA3850" s="48"/>
      <c r="CB3850" s="48"/>
      <c r="CC3850" s="48"/>
      <c r="CD3850" s="48"/>
      <c r="CE3850" s="48"/>
      <c r="CF3850" s="48"/>
      <c r="CG3850" s="48"/>
      <c r="CH3850" s="48"/>
      <c r="CI3850" s="48"/>
      <c r="CJ3850" s="48"/>
      <c r="CK3850" s="48"/>
      <c r="CL3850" s="48"/>
      <c r="CM3850" s="48"/>
      <c r="CN3850" s="48"/>
      <c r="CO3850" s="48"/>
      <c r="CP3850" s="48"/>
      <c r="CQ3850" s="48"/>
      <c r="CR3850" s="48"/>
      <c r="CS3850" s="48"/>
      <c r="CT3850" s="48"/>
      <c r="CU3850" s="48"/>
      <c r="CV3850" s="48"/>
      <c r="CW3850" s="48"/>
      <c r="CX3850" s="48"/>
      <c r="CY3850" s="48"/>
      <c r="CZ3850" s="48"/>
    </row>
    <row r="3851" spans="27:104" s="4" customFormat="1" x14ac:dyDescent="0.3">
      <c r="AA3851" s="48"/>
      <c r="AB3851" s="48"/>
      <c r="AC3851" s="48"/>
      <c r="AD3851" s="48"/>
      <c r="AE3851" s="48"/>
      <c r="AF3851" s="48"/>
      <c r="AG3851" s="48"/>
      <c r="AH3851" s="48"/>
      <c r="AI3851" s="48"/>
      <c r="AJ3851" s="48"/>
      <c r="AK3851" s="48"/>
      <c r="AL3851" s="48"/>
      <c r="AM3851" s="48"/>
      <c r="AN3851" s="48"/>
      <c r="AO3851" s="48"/>
      <c r="AP3851" s="48"/>
      <c r="AQ3851" s="48"/>
      <c r="AR3851" s="48"/>
      <c r="AS3851" s="48"/>
      <c r="AT3851" s="48"/>
      <c r="AU3851" s="48"/>
      <c r="AV3851" s="48"/>
      <c r="AW3851" s="48"/>
      <c r="AX3851" s="48"/>
      <c r="AY3851" s="48"/>
      <c r="AZ3851" s="48"/>
      <c r="BA3851" s="48"/>
      <c r="BB3851" s="14"/>
      <c r="BC3851" s="48"/>
      <c r="BD3851" s="48"/>
      <c r="BE3851" s="48"/>
      <c r="BF3851" s="48"/>
      <c r="BG3851" s="48"/>
      <c r="BH3851" s="48"/>
      <c r="BI3851" s="48"/>
      <c r="BJ3851" s="48"/>
      <c r="BK3851" s="48"/>
      <c r="BL3851" s="48"/>
      <c r="BM3851" s="48"/>
      <c r="BN3851" s="48"/>
      <c r="BO3851" s="48"/>
      <c r="BP3851" s="48"/>
      <c r="BQ3851" s="48"/>
      <c r="BR3851" s="48"/>
      <c r="BS3851" s="48"/>
      <c r="BT3851" s="48"/>
      <c r="BU3851" s="48"/>
      <c r="BV3851" s="48"/>
      <c r="BW3851" s="48"/>
      <c r="BX3851" s="48"/>
      <c r="BY3851" s="48"/>
      <c r="BZ3851" s="48"/>
      <c r="CA3851" s="48"/>
      <c r="CB3851" s="48"/>
      <c r="CC3851" s="48"/>
      <c r="CD3851" s="48"/>
      <c r="CE3851" s="48"/>
      <c r="CF3851" s="48"/>
      <c r="CG3851" s="48"/>
      <c r="CH3851" s="48"/>
      <c r="CI3851" s="48"/>
      <c r="CJ3851" s="48"/>
      <c r="CK3851" s="48"/>
      <c r="CL3851" s="48"/>
      <c r="CM3851" s="48"/>
      <c r="CN3851" s="48"/>
      <c r="CO3851" s="48"/>
      <c r="CP3851" s="48"/>
      <c r="CQ3851" s="48"/>
      <c r="CR3851" s="48"/>
      <c r="CS3851" s="48"/>
      <c r="CT3851" s="48"/>
      <c r="CU3851" s="48"/>
      <c r="CV3851" s="48"/>
      <c r="CW3851" s="48"/>
      <c r="CX3851" s="48"/>
      <c r="CY3851" s="48"/>
      <c r="CZ3851" s="48"/>
    </row>
    <row r="3852" spans="27:104" s="4" customFormat="1" x14ac:dyDescent="0.3">
      <c r="AA3852" s="48"/>
      <c r="AB3852" s="48"/>
      <c r="AC3852" s="48"/>
      <c r="AD3852" s="48"/>
      <c r="AE3852" s="48"/>
      <c r="AF3852" s="48"/>
      <c r="AG3852" s="48"/>
      <c r="AH3852" s="48"/>
      <c r="AI3852" s="48"/>
      <c r="AJ3852" s="48"/>
      <c r="AK3852" s="48"/>
      <c r="AL3852" s="48"/>
      <c r="AM3852" s="48"/>
      <c r="AN3852" s="48"/>
      <c r="AO3852" s="48"/>
      <c r="AP3852" s="48"/>
      <c r="AQ3852" s="48"/>
      <c r="AR3852" s="48"/>
      <c r="AS3852" s="48"/>
      <c r="AT3852" s="48"/>
      <c r="AU3852" s="48"/>
      <c r="AV3852" s="48"/>
      <c r="AW3852" s="48"/>
      <c r="AX3852" s="48"/>
      <c r="AY3852" s="48"/>
      <c r="AZ3852" s="48"/>
      <c r="BA3852" s="48"/>
      <c r="BB3852" s="14"/>
      <c r="BC3852" s="48"/>
      <c r="BD3852" s="48"/>
      <c r="BE3852" s="48"/>
      <c r="BF3852" s="48"/>
      <c r="BG3852" s="48"/>
      <c r="BH3852" s="48"/>
      <c r="BI3852" s="48"/>
      <c r="BJ3852" s="48"/>
      <c r="BK3852" s="48"/>
      <c r="BL3852" s="48"/>
      <c r="BM3852" s="48"/>
      <c r="BN3852" s="48"/>
      <c r="BO3852" s="48"/>
      <c r="BP3852" s="48"/>
      <c r="BQ3852" s="48"/>
      <c r="BR3852" s="48"/>
      <c r="BS3852" s="48"/>
      <c r="BT3852" s="48"/>
      <c r="BU3852" s="48"/>
      <c r="BV3852" s="48"/>
      <c r="BW3852" s="48"/>
      <c r="BX3852" s="48"/>
      <c r="BY3852" s="48"/>
      <c r="BZ3852" s="48"/>
      <c r="CA3852" s="48"/>
      <c r="CB3852" s="48"/>
      <c r="CC3852" s="48"/>
      <c r="CD3852" s="48"/>
      <c r="CE3852" s="48"/>
      <c r="CF3852" s="48"/>
      <c r="CG3852" s="48"/>
      <c r="CH3852" s="48"/>
      <c r="CI3852" s="48"/>
      <c r="CJ3852" s="48"/>
      <c r="CK3852" s="48"/>
      <c r="CL3852" s="48"/>
      <c r="CM3852" s="48"/>
      <c r="CN3852" s="48"/>
      <c r="CO3852" s="48"/>
      <c r="CP3852" s="48"/>
      <c r="CQ3852" s="48"/>
      <c r="CR3852" s="48"/>
      <c r="CS3852" s="48"/>
      <c r="CT3852" s="48"/>
      <c r="CU3852" s="48"/>
      <c r="CV3852" s="48"/>
      <c r="CW3852" s="48"/>
      <c r="CX3852" s="48"/>
      <c r="CY3852" s="48"/>
      <c r="CZ3852" s="48"/>
    </row>
    <row r="3853" spans="27:104" s="4" customFormat="1" x14ac:dyDescent="0.3">
      <c r="AA3853" s="48"/>
      <c r="AB3853" s="48"/>
      <c r="AC3853" s="48"/>
      <c r="AD3853" s="48"/>
      <c r="AE3853" s="48"/>
      <c r="AF3853" s="48"/>
      <c r="AG3853" s="48"/>
      <c r="AH3853" s="48"/>
      <c r="AI3853" s="48"/>
      <c r="AJ3853" s="48"/>
      <c r="AK3853" s="48"/>
      <c r="AL3853" s="48"/>
      <c r="AM3853" s="48"/>
      <c r="AN3853" s="48"/>
      <c r="AO3853" s="48"/>
      <c r="AP3853" s="48"/>
      <c r="AQ3853" s="48"/>
      <c r="AR3853" s="48"/>
      <c r="AS3853" s="48"/>
      <c r="AT3853" s="48"/>
      <c r="AU3853" s="48"/>
      <c r="AV3853" s="48"/>
      <c r="AW3853" s="48"/>
      <c r="AX3853" s="48"/>
      <c r="AY3853" s="48"/>
      <c r="AZ3853" s="48"/>
      <c r="BA3853" s="48"/>
      <c r="BB3853" s="14"/>
      <c r="BC3853" s="48"/>
      <c r="BD3853" s="48"/>
      <c r="BE3853" s="48"/>
      <c r="BF3853" s="48"/>
      <c r="BG3853" s="48"/>
      <c r="BH3853" s="48"/>
      <c r="BI3853" s="48"/>
      <c r="BJ3853" s="48"/>
      <c r="BK3853" s="48"/>
      <c r="BL3853" s="48"/>
      <c r="BM3853" s="48"/>
      <c r="BN3853" s="48"/>
      <c r="BO3853" s="48"/>
      <c r="BP3853" s="48"/>
      <c r="BQ3853" s="48"/>
      <c r="BR3853" s="48"/>
      <c r="BS3853" s="48"/>
      <c r="BT3853" s="48"/>
      <c r="BU3853" s="48"/>
      <c r="BV3853" s="48"/>
      <c r="BW3853" s="48"/>
      <c r="BX3853" s="48"/>
      <c r="BY3853" s="48"/>
      <c r="BZ3853" s="48"/>
      <c r="CA3853" s="48"/>
      <c r="CB3853" s="48"/>
      <c r="CC3853" s="48"/>
      <c r="CD3853" s="48"/>
      <c r="CE3853" s="48"/>
      <c r="CF3853" s="48"/>
      <c r="CG3853" s="48"/>
      <c r="CH3853" s="48"/>
      <c r="CI3853" s="48"/>
      <c r="CJ3853" s="48"/>
      <c r="CK3853" s="48"/>
      <c r="CL3853" s="48"/>
      <c r="CM3853" s="48"/>
      <c r="CN3853" s="48"/>
      <c r="CO3853" s="48"/>
      <c r="CP3853" s="48"/>
      <c r="CQ3853" s="48"/>
      <c r="CR3853" s="48"/>
      <c r="CS3853" s="48"/>
      <c r="CT3853" s="48"/>
      <c r="CU3853" s="48"/>
      <c r="CV3853" s="48"/>
      <c r="CW3853" s="48"/>
      <c r="CX3853" s="48"/>
      <c r="CY3853" s="48"/>
      <c r="CZ3853" s="48"/>
    </row>
    <row r="3854" spans="27:104" s="4" customFormat="1" x14ac:dyDescent="0.3">
      <c r="AA3854" s="48"/>
      <c r="AB3854" s="48"/>
      <c r="AC3854" s="48"/>
      <c r="AD3854" s="48"/>
      <c r="AE3854" s="48"/>
      <c r="AF3854" s="48"/>
      <c r="AG3854" s="48"/>
      <c r="AH3854" s="48"/>
      <c r="AI3854" s="48"/>
      <c r="AJ3854" s="48"/>
      <c r="AK3854" s="48"/>
      <c r="AL3854" s="48"/>
      <c r="AM3854" s="48"/>
      <c r="AN3854" s="48"/>
      <c r="AO3854" s="48"/>
      <c r="AP3854" s="48"/>
      <c r="AQ3854" s="48"/>
      <c r="AR3854" s="48"/>
      <c r="AS3854" s="48"/>
      <c r="AT3854" s="48"/>
      <c r="AU3854" s="48"/>
      <c r="AV3854" s="48"/>
      <c r="AW3854" s="48"/>
      <c r="AX3854" s="48"/>
      <c r="AY3854" s="48"/>
      <c r="AZ3854" s="48"/>
      <c r="BA3854" s="48"/>
      <c r="BB3854" s="14"/>
      <c r="BC3854" s="48"/>
      <c r="BD3854" s="48"/>
      <c r="BE3854" s="48"/>
      <c r="BF3854" s="48"/>
      <c r="BG3854" s="48"/>
      <c r="BH3854" s="48"/>
      <c r="BI3854" s="48"/>
      <c r="BJ3854" s="48"/>
      <c r="BK3854" s="48"/>
      <c r="BL3854" s="48"/>
      <c r="BM3854" s="48"/>
      <c r="BN3854" s="48"/>
      <c r="BO3854" s="48"/>
      <c r="BP3854" s="48"/>
      <c r="BQ3854" s="48"/>
      <c r="BR3854" s="48"/>
      <c r="BS3854" s="48"/>
      <c r="BT3854" s="48"/>
      <c r="BU3854" s="48"/>
      <c r="BV3854" s="48"/>
      <c r="BW3854" s="48"/>
      <c r="BX3854" s="48"/>
      <c r="BY3854" s="48"/>
      <c r="BZ3854" s="48"/>
      <c r="CA3854" s="48"/>
      <c r="CB3854" s="48"/>
      <c r="CC3854" s="48"/>
      <c r="CD3854" s="48"/>
      <c r="CE3854" s="48"/>
      <c r="CF3854" s="48"/>
      <c r="CG3854" s="48"/>
      <c r="CH3854" s="48"/>
      <c r="CI3854" s="48"/>
      <c r="CJ3854" s="48"/>
      <c r="CK3854" s="48"/>
      <c r="CL3854" s="48"/>
      <c r="CM3854" s="48"/>
      <c r="CN3854" s="48"/>
      <c r="CO3854" s="48"/>
      <c r="CP3854" s="48"/>
      <c r="CQ3854" s="48"/>
      <c r="CR3854" s="48"/>
      <c r="CS3854" s="48"/>
      <c r="CT3854" s="48"/>
      <c r="CU3854" s="48"/>
      <c r="CV3854" s="48"/>
      <c r="CW3854" s="48"/>
      <c r="CX3854" s="48"/>
      <c r="CY3854" s="48"/>
      <c r="CZ3854" s="48"/>
    </row>
    <row r="3855" spans="27:104" s="4" customFormat="1" x14ac:dyDescent="0.3">
      <c r="AA3855" s="48"/>
      <c r="AB3855" s="48"/>
      <c r="AC3855" s="48"/>
      <c r="AD3855" s="48"/>
      <c r="AE3855" s="48"/>
      <c r="AF3855" s="48"/>
      <c r="AG3855" s="48"/>
      <c r="AH3855" s="48"/>
      <c r="AI3855" s="48"/>
      <c r="AJ3855" s="48"/>
      <c r="AK3855" s="48"/>
      <c r="AL3855" s="48"/>
      <c r="AM3855" s="48"/>
      <c r="AN3855" s="48"/>
      <c r="AO3855" s="48"/>
      <c r="AP3855" s="48"/>
      <c r="AQ3855" s="48"/>
      <c r="AR3855" s="48"/>
      <c r="AS3855" s="48"/>
      <c r="AT3855" s="48"/>
      <c r="AU3855" s="48"/>
      <c r="AV3855" s="48"/>
      <c r="AW3855" s="48"/>
      <c r="AX3855" s="48"/>
      <c r="AY3855" s="48"/>
      <c r="AZ3855" s="48"/>
      <c r="BA3855" s="48"/>
      <c r="BB3855" s="14"/>
      <c r="BC3855" s="48"/>
      <c r="BD3855" s="48"/>
      <c r="BE3855" s="48"/>
      <c r="BF3855" s="48"/>
      <c r="BG3855" s="48"/>
      <c r="BH3855" s="48"/>
      <c r="BI3855" s="48"/>
      <c r="BJ3855" s="48"/>
      <c r="BK3855" s="48"/>
      <c r="BL3855" s="48"/>
      <c r="BM3855" s="48"/>
      <c r="BN3855" s="48"/>
      <c r="BO3855" s="48"/>
      <c r="BP3855" s="48"/>
      <c r="BQ3855" s="48"/>
      <c r="BR3855" s="48"/>
      <c r="BS3855" s="48"/>
      <c r="BT3855" s="48"/>
      <c r="BU3855" s="48"/>
      <c r="BV3855" s="48"/>
      <c r="BW3855" s="48"/>
      <c r="BX3855" s="48"/>
      <c r="BY3855" s="48"/>
      <c r="BZ3855" s="48"/>
      <c r="CA3855" s="48"/>
      <c r="CB3855" s="48"/>
      <c r="CC3855" s="48"/>
      <c r="CD3855" s="48"/>
      <c r="CE3855" s="48"/>
      <c r="CF3855" s="48"/>
      <c r="CG3855" s="48"/>
      <c r="CH3855" s="48"/>
      <c r="CI3855" s="48"/>
      <c r="CJ3855" s="48"/>
      <c r="CK3855" s="48"/>
      <c r="CL3855" s="48"/>
      <c r="CM3855" s="48"/>
      <c r="CN3855" s="48"/>
      <c r="CO3855" s="48"/>
      <c r="CP3855" s="48"/>
      <c r="CQ3855" s="48"/>
      <c r="CR3855" s="48"/>
      <c r="CS3855" s="48"/>
      <c r="CT3855" s="48"/>
      <c r="CU3855" s="48"/>
      <c r="CV3855" s="48"/>
      <c r="CW3855" s="48"/>
      <c r="CX3855" s="48"/>
      <c r="CY3855" s="48"/>
      <c r="CZ3855" s="48"/>
    </row>
    <row r="3856" spans="27:104" s="4" customFormat="1" x14ac:dyDescent="0.3">
      <c r="AA3856" s="48"/>
      <c r="AB3856" s="48"/>
      <c r="AC3856" s="48"/>
      <c r="AD3856" s="48"/>
      <c r="AE3856" s="48"/>
      <c r="AF3856" s="48"/>
      <c r="AG3856" s="48"/>
      <c r="AH3856" s="48"/>
      <c r="AI3856" s="48"/>
      <c r="AJ3856" s="48"/>
      <c r="AK3856" s="48"/>
      <c r="AL3856" s="48"/>
      <c r="AM3856" s="48"/>
      <c r="AN3856" s="48"/>
      <c r="AO3856" s="48"/>
      <c r="AP3856" s="48"/>
      <c r="AQ3856" s="48"/>
      <c r="AR3856" s="48"/>
      <c r="AS3856" s="48"/>
      <c r="AT3856" s="48"/>
      <c r="AU3856" s="48"/>
      <c r="AV3856" s="48"/>
      <c r="AW3856" s="48"/>
      <c r="AX3856" s="48"/>
      <c r="AY3856" s="48"/>
      <c r="AZ3856" s="48"/>
      <c r="BA3856" s="48"/>
      <c r="BB3856" s="14"/>
      <c r="BC3856" s="48"/>
      <c r="BD3856" s="48"/>
      <c r="BE3856" s="48"/>
      <c r="BF3856" s="48"/>
      <c r="BG3856" s="48"/>
      <c r="BH3856" s="48"/>
      <c r="BI3856" s="48"/>
      <c r="BJ3856" s="48"/>
      <c r="BK3856" s="48"/>
      <c r="BL3856" s="48"/>
      <c r="BM3856" s="48"/>
      <c r="BN3856" s="48"/>
      <c r="BO3856" s="48"/>
      <c r="BP3856" s="48"/>
      <c r="BQ3856" s="48"/>
      <c r="BR3856" s="48"/>
      <c r="BS3856" s="48"/>
      <c r="BT3856" s="48"/>
      <c r="BU3856" s="48"/>
      <c r="BV3856" s="48"/>
      <c r="BW3856" s="48"/>
      <c r="BX3856" s="48"/>
      <c r="BY3856" s="48"/>
      <c r="BZ3856" s="48"/>
      <c r="CA3856" s="48"/>
      <c r="CB3856" s="48"/>
      <c r="CC3856" s="48"/>
      <c r="CD3856" s="48"/>
      <c r="CE3856" s="48"/>
      <c r="CF3856" s="48"/>
      <c r="CG3856" s="48"/>
      <c r="CH3856" s="48"/>
      <c r="CI3856" s="48"/>
      <c r="CJ3856" s="48"/>
      <c r="CK3856" s="48"/>
      <c r="CL3856" s="48"/>
      <c r="CM3856" s="48"/>
      <c r="CN3856" s="48"/>
      <c r="CO3856" s="48"/>
      <c r="CP3856" s="48"/>
      <c r="CQ3856" s="48"/>
      <c r="CR3856" s="48"/>
      <c r="CS3856" s="48"/>
      <c r="CT3856" s="48"/>
      <c r="CU3856" s="48"/>
      <c r="CV3856" s="48"/>
      <c r="CW3856" s="48"/>
      <c r="CX3856" s="48"/>
      <c r="CY3856" s="48"/>
      <c r="CZ3856" s="48"/>
    </row>
    <row r="3857" spans="27:104" s="4" customFormat="1" x14ac:dyDescent="0.3">
      <c r="AA3857" s="48"/>
      <c r="AB3857" s="48"/>
      <c r="AC3857" s="48"/>
      <c r="AD3857" s="48"/>
      <c r="AE3857" s="48"/>
      <c r="AF3857" s="48"/>
      <c r="AG3857" s="48"/>
      <c r="AH3857" s="48"/>
      <c r="AI3857" s="48"/>
      <c r="AJ3857" s="48"/>
      <c r="AK3857" s="48"/>
      <c r="AL3857" s="48"/>
      <c r="AM3857" s="48"/>
      <c r="AN3857" s="48"/>
      <c r="AO3857" s="48"/>
      <c r="AP3857" s="48"/>
      <c r="AQ3857" s="48"/>
      <c r="AR3857" s="48"/>
      <c r="AS3857" s="48"/>
      <c r="AT3857" s="48"/>
      <c r="AU3857" s="48"/>
      <c r="AV3857" s="48"/>
      <c r="AW3857" s="48"/>
      <c r="AX3857" s="48"/>
      <c r="AY3857" s="48"/>
      <c r="AZ3857" s="48"/>
      <c r="BA3857" s="48"/>
      <c r="BB3857" s="14"/>
      <c r="BC3857" s="48"/>
      <c r="BD3857" s="48"/>
      <c r="BE3857" s="48"/>
      <c r="BF3857" s="48"/>
      <c r="BG3857" s="48"/>
      <c r="BH3857" s="48"/>
      <c r="BI3857" s="48"/>
      <c r="BJ3857" s="48"/>
      <c r="BK3857" s="48"/>
      <c r="BL3857" s="48"/>
      <c r="BM3857" s="48"/>
      <c r="BN3857" s="48"/>
      <c r="BO3857" s="48"/>
      <c r="BP3857" s="48"/>
      <c r="BQ3857" s="48"/>
      <c r="BR3857" s="48"/>
      <c r="BS3857" s="48"/>
      <c r="BT3857" s="48"/>
      <c r="BU3857" s="48"/>
      <c r="BV3857" s="48"/>
      <c r="BW3857" s="48"/>
      <c r="BX3857" s="48"/>
      <c r="BY3857" s="48"/>
      <c r="BZ3857" s="48"/>
      <c r="CA3857" s="48"/>
      <c r="CB3857" s="48"/>
      <c r="CC3857" s="48"/>
      <c r="CD3857" s="48"/>
      <c r="CE3857" s="48"/>
      <c r="CF3857" s="48"/>
      <c r="CG3857" s="48"/>
      <c r="CH3857" s="48"/>
      <c r="CI3857" s="48"/>
      <c r="CJ3857" s="48"/>
      <c r="CK3857" s="48"/>
      <c r="CL3857" s="48"/>
      <c r="CM3857" s="48"/>
      <c r="CN3857" s="48"/>
      <c r="CO3857" s="48"/>
      <c r="CP3857" s="48"/>
      <c r="CQ3857" s="48"/>
      <c r="CR3857" s="48"/>
      <c r="CS3857" s="48"/>
      <c r="CT3857" s="48"/>
      <c r="CU3857" s="48"/>
      <c r="CV3857" s="48"/>
      <c r="CW3857" s="48"/>
      <c r="CX3857" s="48"/>
      <c r="CY3857" s="48"/>
      <c r="CZ3857" s="48"/>
    </row>
    <row r="3858" spans="27:104" s="4" customFormat="1" x14ac:dyDescent="0.3">
      <c r="AA3858" s="48"/>
      <c r="AB3858" s="48"/>
      <c r="AC3858" s="48"/>
      <c r="AD3858" s="48"/>
      <c r="AE3858" s="48"/>
      <c r="AF3858" s="48"/>
      <c r="AG3858" s="48"/>
      <c r="AH3858" s="48"/>
      <c r="AI3858" s="48"/>
      <c r="AJ3858" s="48"/>
      <c r="AK3858" s="48"/>
      <c r="AL3858" s="48"/>
      <c r="AM3858" s="48"/>
      <c r="AN3858" s="48"/>
      <c r="AO3858" s="48"/>
      <c r="AP3858" s="48"/>
      <c r="AQ3858" s="48"/>
      <c r="AR3858" s="48"/>
      <c r="AS3858" s="48"/>
      <c r="AT3858" s="48"/>
      <c r="AU3858" s="48"/>
      <c r="AV3858" s="48"/>
      <c r="AW3858" s="48"/>
      <c r="AX3858" s="48"/>
      <c r="AY3858" s="48"/>
      <c r="AZ3858" s="48"/>
      <c r="BA3858" s="48"/>
      <c r="BB3858" s="14"/>
      <c r="BC3858" s="48"/>
      <c r="BD3858" s="48"/>
      <c r="BE3858" s="48"/>
      <c r="BF3858" s="48"/>
      <c r="BG3858" s="48"/>
      <c r="BH3858" s="48"/>
      <c r="BI3858" s="48"/>
      <c r="BJ3858" s="48"/>
      <c r="BK3858" s="48"/>
      <c r="BL3858" s="48"/>
      <c r="BM3858" s="48"/>
      <c r="BN3858" s="48"/>
      <c r="BO3858" s="48"/>
      <c r="BP3858" s="48"/>
      <c r="BQ3858" s="48"/>
      <c r="BR3858" s="48"/>
      <c r="BS3858" s="48"/>
      <c r="BT3858" s="48"/>
      <c r="BU3858" s="48"/>
      <c r="BV3858" s="48"/>
      <c r="BW3858" s="48"/>
      <c r="BX3858" s="48"/>
      <c r="BY3858" s="48"/>
      <c r="BZ3858" s="48"/>
      <c r="CA3858" s="48"/>
      <c r="CB3858" s="48"/>
      <c r="CC3858" s="48"/>
      <c r="CD3858" s="48"/>
      <c r="CE3858" s="48"/>
      <c r="CF3858" s="48"/>
      <c r="CG3858" s="48"/>
      <c r="CH3858" s="48"/>
      <c r="CI3858" s="48"/>
      <c r="CJ3858" s="48"/>
      <c r="CK3858" s="48"/>
      <c r="CL3858" s="48"/>
      <c r="CM3858" s="48"/>
      <c r="CN3858" s="48"/>
      <c r="CO3858" s="48"/>
      <c r="CP3858" s="48"/>
      <c r="CQ3858" s="48"/>
      <c r="CR3858" s="48"/>
      <c r="CS3858" s="48"/>
      <c r="CT3858" s="48"/>
      <c r="CU3858" s="48"/>
      <c r="CV3858" s="48"/>
      <c r="CW3858" s="48"/>
      <c r="CX3858" s="48"/>
      <c r="CY3858" s="48"/>
      <c r="CZ3858" s="48"/>
    </row>
    <row r="3859" spans="27:104" s="4" customFormat="1" x14ac:dyDescent="0.3">
      <c r="AA3859" s="48"/>
      <c r="AB3859" s="48"/>
      <c r="AC3859" s="48"/>
      <c r="AD3859" s="48"/>
      <c r="AE3859" s="48"/>
      <c r="AF3859" s="48"/>
      <c r="AG3859" s="48"/>
      <c r="AH3859" s="48"/>
      <c r="AI3859" s="48"/>
      <c r="AJ3859" s="48"/>
      <c r="AK3859" s="48"/>
      <c r="AL3859" s="48"/>
      <c r="AM3859" s="48"/>
      <c r="AN3859" s="48"/>
      <c r="AO3859" s="48"/>
      <c r="AP3859" s="48"/>
      <c r="AQ3859" s="48"/>
      <c r="AR3859" s="48"/>
      <c r="AS3859" s="48"/>
      <c r="AT3859" s="48"/>
      <c r="AU3859" s="48"/>
      <c r="AV3859" s="48"/>
      <c r="AW3859" s="48"/>
      <c r="AX3859" s="48"/>
      <c r="AY3859" s="48"/>
      <c r="AZ3859" s="48"/>
      <c r="BA3859" s="48"/>
      <c r="BB3859" s="14"/>
      <c r="BC3859" s="48"/>
      <c r="BD3859" s="48"/>
      <c r="BE3859" s="48"/>
      <c r="BF3859" s="48"/>
      <c r="BG3859" s="48"/>
      <c r="BH3859" s="48"/>
      <c r="BI3859" s="48"/>
      <c r="BJ3859" s="48"/>
      <c r="BK3859" s="48"/>
      <c r="BL3859" s="48"/>
      <c r="BM3859" s="48"/>
      <c r="BN3859" s="48"/>
      <c r="BO3859" s="48"/>
      <c r="BP3859" s="48"/>
      <c r="BQ3859" s="48"/>
      <c r="BR3859" s="48"/>
      <c r="BS3859" s="48"/>
      <c r="BT3859" s="48"/>
      <c r="BU3859" s="48"/>
      <c r="BV3859" s="48"/>
      <c r="BW3859" s="48"/>
      <c r="BX3859" s="48"/>
      <c r="BY3859" s="48"/>
      <c r="BZ3859" s="48"/>
      <c r="CA3859" s="48"/>
      <c r="CB3859" s="48"/>
      <c r="CC3859" s="48"/>
      <c r="CD3859" s="48"/>
      <c r="CE3859" s="48"/>
      <c r="CF3859" s="48"/>
      <c r="CG3859" s="48"/>
      <c r="CH3859" s="48"/>
      <c r="CI3859" s="48"/>
      <c r="CJ3859" s="48"/>
      <c r="CK3859" s="48"/>
      <c r="CL3859" s="48"/>
      <c r="CM3859" s="48"/>
      <c r="CN3859" s="48"/>
      <c r="CO3859" s="48"/>
      <c r="CP3859" s="48"/>
      <c r="CQ3859" s="48"/>
      <c r="CR3859" s="48"/>
      <c r="CS3859" s="48"/>
      <c r="CT3859" s="48"/>
      <c r="CU3859" s="48"/>
      <c r="CV3859" s="48"/>
      <c r="CW3859" s="48"/>
      <c r="CX3859" s="48"/>
      <c r="CY3859" s="48"/>
      <c r="CZ3859" s="48"/>
    </row>
    <row r="3860" spans="27:104" s="4" customFormat="1" x14ac:dyDescent="0.3">
      <c r="AA3860" s="48"/>
      <c r="AB3860" s="48"/>
      <c r="AC3860" s="48"/>
      <c r="AD3860" s="48"/>
      <c r="AE3860" s="48"/>
      <c r="AF3860" s="48"/>
      <c r="AG3860" s="48"/>
      <c r="AH3860" s="48"/>
      <c r="AI3860" s="48"/>
      <c r="AJ3860" s="48"/>
      <c r="AK3860" s="48"/>
      <c r="AL3860" s="48"/>
      <c r="AM3860" s="48"/>
      <c r="AN3860" s="48"/>
      <c r="AO3860" s="48"/>
      <c r="AP3860" s="48"/>
      <c r="AQ3860" s="48"/>
      <c r="AR3860" s="48"/>
      <c r="AS3860" s="48"/>
      <c r="AT3860" s="48"/>
      <c r="AU3860" s="48"/>
      <c r="AV3860" s="48"/>
      <c r="AW3860" s="48"/>
      <c r="AX3860" s="48"/>
      <c r="AY3860" s="48"/>
      <c r="AZ3860" s="48"/>
      <c r="BA3860" s="48"/>
      <c r="BB3860" s="14"/>
      <c r="BC3860" s="48"/>
      <c r="BD3860" s="48"/>
      <c r="BE3860" s="48"/>
      <c r="BF3860" s="48"/>
      <c r="BG3860" s="48"/>
      <c r="BH3860" s="48"/>
      <c r="BI3860" s="48"/>
      <c r="BJ3860" s="48"/>
      <c r="BK3860" s="48"/>
      <c r="BL3860" s="48"/>
      <c r="BM3860" s="48"/>
      <c r="BN3860" s="48"/>
      <c r="BO3860" s="48"/>
      <c r="BP3860" s="48"/>
      <c r="BQ3860" s="48"/>
      <c r="BR3860" s="48"/>
      <c r="BS3860" s="48"/>
      <c r="BT3860" s="48"/>
      <c r="BU3860" s="48"/>
      <c r="BV3860" s="48"/>
      <c r="BW3860" s="48"/>
      <c r="BX3860" s="48"/>
      <c r="BY3860" s="48"/>
      <c r="BZ3860" s="48"/>
      <c r="CA3860" s="48"/>
      <c r="CB3860" s="48"/>
      <c r="CC3860" s="48"/>
      <c r="CD3860" s="48"/>
      <c r="CE3860" s="48"/>
      <c r="CF3860" s="48"/>
      <c r="CG3860" s="48"/>
      <c r="CH3860" s="48"/>
      <c r="CI3860" s="48"/>
      <c r="CJ3860" s="48"/>
      <c r="CK3860" s="48"/>
      <c r="CL3860" s="48"/>
      <c r="CM3860" s="48"/>
      <c r="CN3860" s="48"/>
      <c r="CO3860" s="48"/>
      <c r="CP3860" s="48"/>
      <c r="CQ3860" s="48"/>
      <c r="CR3860" s="48"/>
      <c r="CS3860" s="48"/>
      <c r="CT3860" s="48"/>
      <c r="CU3860" s="48"/>
      <c r="CV3860" s="48"/>
      <c r="CW3860" s="48"/>
      <c r="CX3860" s="48"/>
      <c r="CY3860" s="48"/>
      <c r="CZ3860" s="48"/>
    </row>
    <row r="3861" spans="27:104" s="4" customFormat="1" x14ac:dyDescent="0.3">
      <c r="AA3861" s="48"/>
      <c r="AB3861" s="48"/>
      <c r="AC3861" s="48"/>
      <c r="AD3861" s="48"/>
      <c r="AE3861" s="48"/>
      <c r="AF3861" s="48"/>
      <c r="AG3861" s="48"/>
      <c r="AH3861" s="48"/>
      <c r="AI3861" s="48"/>
      <c r="AJ3861" s="48"/>
      <c r="AK3861" s="48"/>
      <c r="AL3861" s="48"/>
      <c r="AM3861" s="48"/>
      <c r="AN3861" s="48"/>
      <c r="AO3861" s="48"/>
      <c r="AP3861" s="48"/>
      <c r="AQ3861" s="48"/>
      <c r="AR3861" s="48"/>
      <c r="AS3861" s="48"/>
      <c r="AT3861" s="48"/>
      <c r="AU3861" s="48"/>
      <c r="AV3861" s="48"/>
      <c r="AW3861" s="48"/>
      <c r="AX3861" s="48"/>
      <c r="AY3861" s="48"/>
      <c r="AZ3861" s="48"/>
      <c r="BA3861" s="48"/>
      <c r="BB3861" s="14"/>
      <c r="BC3861" s="48"/>
      <c r="BD3861" s="48"/>
      <c r="BE3861" s="48"/>
      <c r="BF3861" s="48"/>
      <c r="BG3861" s="48"/>
      <c r="BH3861" s="48"/>
      <c r="BI3861" s="48"/>
      <c r="BJ3861" s="48"/>
      <c r="BK3861" s="48"/>
      <c r="BL3861" s="48"/>
      <c r="BM3861" s="48"/>
      <c r="BN3861" s="48"/>
      <c r="BO3861" s="48"/>
      <c r="BP3861" s="48"/>
      <c r="BQ3861" s="48"/>
      <c r="BR3861" s="48"/>
      <c r="BS3861" s="48"/>
      <c r="BT3861" s="48"/>
      <c r="BU3861" s="48"/>
      <c r="BV3861" s="48"/>
      <c r="BW3861" s="48"/>
      <c r="BX3861" s="48"/>
      <c r="BY3861" s="48"/>
      <c r="BZ3861" s="48"/>
      <c r="CA3861" s="48"/>
      <c r="CB3861" s="48"/>
      <c r="CC3861" s="48"/>
      <c r="CD3861" s="48"/>
      <c r="CE3861" s="48"/>
      <c r="CF3861" s="48"/>
      <c r="CG3861" s="48"/>
      <c r="CH3861" s="48"/>
      <c r="CI3861" s="48"/>
      <c r="CJ3861" s="48"/>
      <c r="CK3861" s="48"/>
      <c r="CL3861" s="48"/>
      <c r="CM3861" s="48"/>
      <c r="CN3861" s="48"/>
      <c r="CO3861" s="48"/>
      <c r="CP3861" s="48"/>
      <c r="CQ3861" s="48"/>
      <c r="CR3861" s="48"/>
      <c r="CS3861" s="48"/>
      <c r="CT3861" s="48"/>
      <c r="CU3861" s="48"/>
      <c r="CV3861" s="48"/>
      <c r="CW3861" s="48"/>
      <c r="CX3861" s="48"/>
      <c r="CY3861" s="48"/>
      <c r="CZ3861" s="48"/>
    </row>
    <row r="3862" spans="27:104" s="4" customFormat="1" x14ac:dyDescent="0.3">
      <c r="AA3862" s="48"/>
      <c r="AB3862" s="48"/>
      <c r="AC3862" s="48"/>
      <c r="AD3862" s="48"/>
      <c r="AE3862" s="48"/>
      <c r="AF3862" s="48"/>
      <c r="AG3862" s="48"/>
      <c r="AH3862" s="48"/>
      <c r="AI3862" s="48"/>
      <c r="AJ3862" s="48"/>
      <c r="AK3862" s="48"/>
      <c r="AL3862" s="48"/>
      <c r="AM3862" s="48"/>
      <c r="AN3862" s="48"/>
      <c r="AO3862" s="48"/>
      <c r="AP3862" s="48"/>
      <c r="AQ3862" s="48"/>
      <c r="AR3862" s="48"/>
      <c r="AS3862" s="48"/>
      <c r="AT3862" s="48"/>
      <c r="AU3862" s="48"/>
      <c r="AV3862" s="48"/>
      <c r="AW3862" s="48"/>
      <c r="AX3862" s="48"/>
      <c r="AY3862" s="48"/>
      <c r="AZ3862" s="48"/>
      <c r="BA3862" s="48"/>
      <c r="BB3862" s="14"/>
      <c r="BC3862" s="48"/>
      <c r="BD3862" s="48"/>
      <c r="BE3862" s="48"/>
      <c r="BF3862" s="48"/>
      <c r="BG3862" s="48"/>
      <c r="BH3862" s="48"/>
      <c r="BI3862" s="48"/>
      <c r="BJ3862" s="48"/>
      <c r="BK3862" s="48"/>
      <c r="BL3862" s="48"/>
      <c r="BM3862" s="48"/>
      <c r="BN3862" s="48"/>
      <c r="BO3862" s="48"/>
      <c r="BP3862" s="48"/>
      <c r="BQ3862" s="48"/>
      <c r="BR3862" s="48"/>
      <c r="BS3862" s="48"/>
      <c r="BT3862" s="48"/>
      <c r="BU3862" s="48"/>
      <c r="BV3862" s="48"/>
      <c r="BW3862" s="48"/>
      <c r="BX3862" s="48"/>
      <c r="BY3862" s="48"/>
      <c r="BZ3862" s="48"/>
      <c r="CA3862" s="48"/>
      <c r="CB3862" s="48"/>
      <c r="CC3862" s="48"/>
      <c r="CD3862" s="48"/>
      <c r="CE3862" s="48"/>
      <c r="CF3862" s="48"/>
      <c r="CG3862" s="48"/>
      <c r="CH3862" s="48"/>
      <c r="CI3862" s="48"/>
      <c r="CJ3862" s="48"/>
      <c r="CK3862" s="48"/>
      <c r="CL3862" s="48"/>
      <c r="CM3862" s="48"/>
      <c r="CN3862" s="48"/>
      <c r="CO3862" s="48"/>
      <c r="CP3862" s="48"/>
      <c r="CQ3862" s="48"/>
      <c r="CR3862" s="48"/>
      <c r="CS3862" s="48"/>
      <c r="CT3862" s="48"/>
      <c r="CU3862" s="48"/>
      <c r="CV3862" s="48"/>
      <c r="CW3862" s="48"/>
      <c r="CX3862" s="48"/>
      <c r="CY3862" s="48"/>
      <c r="CZ3862" s="48"/>
    </row>
    <row r="3863" spans="27:104" s="4" customFormat="1" x14ac:dyDescent="0.3">
      <c r="AA3863" s="48"/>
      <c r="AB3863" s="48"/>
      <c r="AC3863" s="48"/>
      <c r="AD3863" s="48"/>
      <c r="AE3863" s="48"/>
      <c r="AF3863" s="48"/>
      <c r="AG3863" s="48"/>
      <c r="AH3863" s="48"/>
      <c r="AI3863" s="48"/>
      <c r="AJ3863" s="48"/>
      <c r="AK3863" s="48"/>
      <c r="AL3863" s="48"/>
      <c r="AM3863" s="48"/>
      <c r="AN3863" s="48"/>
      <c r="AO3863" s="48"/>
      <c r="AP3863" s="48"/>
      <c r="AQ3863" s="48"/>
      <c r="AR3863" s="48"/>
      <c r="AS3863" s="48"/>
      <c r="AT3863" s="48"/>
      <c r="AU3863" s="48"/>
      <c r="AV3863" s="48"/>
      <c r="AW3863" s="48"/>
      <c r="AX3863" s="48"/>
      <c r="AY3863" s="48"/>
      <c r="AZ3863" s="48"/>
      <c r="BA3863" s="48"/>
      <c r="BB3863" s="14"/>
      <c r="BC3863" s="48"/>
      <c r="BD3863" s="48"/>
      <c r="BE3863" s="48"/>
      <c r="BF3863" s="48"/>
      <c r="BG3863" s="48"/>
      <c r="BH3863" s="48"/>
      <c r="BI3863" s="48"/>
      <c r="BJ3863" s="48"/>
      <c r="BK3863" s="48"/>
      <c r="BL3863" s="48"/>
      <c r="BM3863" s="48"/>
      <c r="BN3863" s="48"/>
      <c r="BO3863" s="48"/>
      <c r="BP3863" s="48"/>
      <c r="BQ3863" s="48"/>
      <c r="BR3863" s="48"/>
      <c r="BS3863" s="48"/>
      <c r="BT3863" s="48"/>
      <c r="BU3863" s="48"/>
      <c r="BV3863" s="48"/>
      <c r="BW3863" s="48"/>
      <c r="BX3863" s="48"/>
      <c r="BY3863" s="48"/>
      <c r="BZ3863" s="48"/>
      <c r="CA3863" s="48"/>
      <c r="CB3863" s="48"/>
      <c r="CC3863" s="48"/>
      <c r="CD3863" s="48"/>
      <c r="CE3863" s="48"/>
      <c r="CF3863" s="48"/>
      <c r="CG3863" s="48"/>
      <c r="CH3863" s="48"/>
      <c r="CI3863" s="48"/>
      <c r="CJ3863" s="48"/>
      <c r="CK3863" s="48"/>
      <c r="CL3863" s="48"/>
      <c r="CM3863" s="48"/>
      <c r="CN3863" s="48"/>
      <c r="CO3863" s="48"/>
      <c r="CP3863" s="48"/>
      <c r="CQ3863" s="48"/>
      <c r="CR3863" s="48"/>
      <c r="CS3863" s="48"/>
      <c r="CT3863" s="48"/>
      <c r="CU3863" s="48"/>
      <c r="CV3863" s="48"/>
      <c r="CW3863" s="48"/>
      <c r="CX3863" s="48"/>
      <c r="CY3863" s="48"/>
      <c r="CZ3863" s="48"/>
    </row>
    <row r="3864" spans="27:104" s="4" customFormat="1" x14ac:dyDescent="0.3">
      <c r="AA3864" s="48"/>
      <c r="AB3864" s="48"/>
      <c r="AC3864" s="48"/>
      <c r="AD3864" s="48"/>
      <c r="AE3864" s="48"/>
      <c r="AF3864" s="48"/>
      <c r="AG3864" s="48"/>
      <c r="AH3864" s="48"/>
      <c r="AI3864" s="48"/>
      <c r="AJ3864" s="48"/>
      <c r="AK3864" s="48"/>
      <c r="AL3864" s="48"/>
      <c r="AM3864" s="48"/>
      <c r="AN3864" s="48"/>
      <c r="AO3864" s="48"/>
      <c r="AP3864" s="48"/>
      <c r="AQ3864" s="48"/>
      <c r="AR3864" s="48"/>
      <c r="AS3864" s="48"/>
      <c r="AT3864" s="48"/>
      <c r="AU3864" s="48"/>
      <c r="AV3864" s="48"/>
      <c r="AW3864" s="48"/>
      <c r="AX3864" s="48"/>
      <c r="AY3864" s="48"/>
      <c r="AZ3864" s="48"/>
      <c r="BA3864" s="48"/>
      <c r="BB3864" s="14"/>
      <c r="BC3864" s="48"/>
      <c r="BD3864" s="48"/>
      <c r="BE3864" s="48"/>
      <c r="BF3864" s="48"/>
      <c r="BG3864" s="48"/>
      <c r="BH3864" s="48"/>
      <c r="BI3864" s="48"/>
      <c r="BJ3864" s="48"/>
      <c r="BK3864" s="48"/>
      <c r="BL3864" s="48"/>
      <c r="BM3864" s="48"/>
      <c r="BN3864" s="48"/>
      <c r="BO3864" s="48"/>
      <c r="BP3864" s="48"/>
      <c r="BQ3864" s="48"/>
      <c r="BR3864" s="48"/>
      <c r="BS3864" s="48"/>
      <c r="BT3864" s="48"/>
      <c r="BU3864" s="48"/>
      <c r="BV3864" s="48"/>
      <c r="BW3864" s="48"/>
      <c r="BX3864" s="48"/>
      <c r="BY3864" s="48"/>
      <c r="BZ3864" s="48"/>
      <c r="CA3864" s="48"/>
      <c r="CB3864" s="48"/>
      <c r="CC3864" s="48"/>
      <c r="CD3864" s="48"/>
      <c r="CE3864" s="48"/>
      <c r="CF3864" s="48"/>
      <c r="CG3864" s="48"/>
      <c r="CH3864" s="48"/>
      <c r="CI3864" s="48"/>
      <c r="CJ3864" s="48"/>
      <c r="CK3864" s="48"/>
      <c r="CL3864" s="48"/>
      <c r="CM3864" s="48"/>
      <c r="CN3864" s="48"/>
      <c r="CO3864" s="48"/>
      <c r="CP3864" s="48"/>
      <c r="CQ3864" s="48"/>
      <c r="CR3864" s="48"/>
      <c r="CS3864" s="48"/>
      <c r="CT3864" s="48"/>
      <c r="CU3864" s="48"/>
      <c r="CV3864" s="48"/>
      <c r="CW3864" s="48"/>
      <c r="CX3864" s="48"/>
      <c r="CY3864" s="48"/>
      <c r="CZ3864" s="48"/>
    </row>
    <row r="3865" spans="27:104" s="4" customFormat="1" x14ac:dyDescent="0.3">
      <c r="AA3865" s="48"/>
      <c r="AB3865" s="48"/>
      <c r="AC3865" s="48"/>
      <c r="AD3865" s="48"/>
      <c r="AE3865" s="48"/>
      <c r="AF3865" s="48"/>
      <c r="AG3865" s="48"/>
      <c r="AH3865" s="48"/>
      <c r="AI3865" s="48"/>
      <c r="AJ3865" s="48"/>
      <c r="AK3865" s="48"/>
      <c r="AL3865" s="48"/>
      <c r="AM3865" s="48"/>
      <c r="AN3865" s="48"/>
      <c r="AO3865" s="48"/>
      <c r="AP3865" s="48"/>
      <c r="AQ3865" s="48"/>
      <c r="AR3865" s="48"/>
      <c r="AS3865" s="48"/>
      <c r="AT3865" s="48"/>
      <c r="AU3865" s="48"/>
      <c r="AV3865" s="48"/>
      <c r="AW3865" s="48"/>
      <c r="AX3865" s="48"/>
      <c r="AY3865" s="48"/>
      <c r="AZ3865" s="48"/>
      <c r="BA3865" s="48"/>
      <c r="BB3865" s="14"/>
      <c r="BC3865" s="48"/>
      <c r="BD3865" s="48"/>
      <c r="BE3865" s="48"/>
      <c r="BF3865" s="48"/>
      <c r="BG3865" s="48"/>
      <c r="BH3865" s="48"/>
      <c r="BI3865" s="48"/>
      <c r="BJ3865" s="48"/>
      <c r="BK3865" s="48"/>
      <c r="BL3865" s="48"/>
      <c r="BM3865" s="48"/>
      <c r="BN3865" s="48"/>
      <c r="BO3865" s="48"/>
      <c r="BP3865" s="48"/>
      <c r="BQ3865" s="48"/>
      <c r="BR3865" s="48"/>
      <c r="BS3865" s="48"/>
      <c r="BT3865" s="48"/>
      <c r="BU3865" s="48"/>
      <c r="BV3865" s="48"/>
      <c r="BW3865" s="48"/>
      <c r="BX3865" s="48"/>
      <c r="BY3865" s="48"/>
      <c r="BZ3865" s="48"/>
      <c r="CA3865" s="48"/>
      <c r="CB3865" s="48"/>
      <c r="CC3865" s="48"/>
      <c r="CD3865" s="48"/>
      <c r="CE3865" s="48"/>
      <c r="CF3865" s="48"/>
      <c r="CG3865" s="48"/>
      <c r="CH3865" s="48"/>
      <c r="CI3865" s="48"/>
      <c r="CJ3865" s="48"/>
      <c r="CK3865" s="48"/>
      <c r="CL3865" s="48"/>
      <c r="CM3865" s="48"/>
      <c r="CN3865" s="48"/>
      <c r="CO3865" s="48"/>
      <c r="CP3865" s="48"/>
      <c r="CQ3865" s="48"/>
      <c r="CR3865" s="48"/>
      <c r="CS3865" s="48"/>
      <c r="CT3865" s="48"/>
      <c r="CU3865" s="48"/>
      <c r="CV3865" s="48"/>
      <c r="CW3865" s="48"/>
      <c r="CX3865" s="48"/>
      <c r="CY3865" s="48"/>
      <c r="CZ3865" s="48"/>
    </row>
    <row r="3866" spans="27:104" s="4" customFormat="1" x14ac:dyDescent="0.3">
      <c r="AA3866" s="48"/>
      <c r="AB3866" s="48"/>
      <c r="AC3866" s="48"/>
      <c r="AD3866" s="48"/>
      <c r="AE3866" s="48"/>
      <c r="AF3866" s="48"/>
      <c r="AG3866" s="48"/>
      <c r="AH3866" s="48"/>
      <c r="AI3866" s="48"/>
      <c r="AJ3866" s="48"/>
      <c r="AK3866" s="48"/>
      <c r="AL3866" s="48"/>
      <c r="AM3866" s="48"/>
      <c r="AN3866" s="48"/>
      <c r="AO3866" s="48"/>
      <c r="AP3866" s="48"/>
      <c r="AQ3866" s="48"/>
      <c r="AR3866" s="48"/>
      <c r="AS3866" s="48"/>
      <c r="AT3866" s="48"/>
      <c r="AU3866" s="48"/>
      <c r="AV3866" s="48"/>
      <c r="AW3866" s="48"/>
      <c r="AX3866" s="48"/>
      <c r="AY3866" s="48"/>
      <c r="AZ3866" s="48"/>
      <c r="BA3866" s="48"/>
      <c r="BB3866" s="14"/>
      <c r="BC3866" s="48"/>
      <c r="BD3866" s="48"/>
      <c r="BE3866" s="48"/>
      <c r="BF3866" s="48"/>
      <c r="BG3866" s="48"/>
      <c r="BH3866" s="48"/>
      <c r="BI3866" s="48"/>
      <c r="BJ3866" s="48"/>
      <c r="BK3866" s="48"/>
      <c r="BL3866" s="48"/>
      <c r="BM3866" s="48"/>
      <c r="BN3866" s="48"/>
      <c r="BO3866" s="48"/>
      <c r="BP3866" s="48"/>
      <c r="BQ3866" s="48"/>
      <c r="BR3866" s="48"/>
      <c r="BS3866" s="48"/>
      <c r="BT3866" s="48"/>
      <c r="BU3866" s="48"/>
      <c r="BV3866" s="48"/>
      <c r="BW3866" s="48"/>
      <c r="BX3866" s="48"/>
      <c r="BY3866" s="48"/>
      <c r="BZ3866" s="48"/>
      <c r="CA3866" s="48"/>
      <c r="CB3866" s="48"/>
      <c r="CC3866" s="48"/>
      <c r="CD3866" s="48"/>
      <c r="CE3866" s="48"/>
      <c r="CF3866" s="48"/>
      <c r="CG3866" s="48"/>
      <c r="CH3866" s="48"/>
      <c r="CI3866" s="48"/>
      <c r="CJ3866" s="48"/>
      <c r="CK3866" s="48"/>
      <c r="CL3866" s="48"/>
      <c r="CM3866" s="48"/>
      <c r="CN3866" s="48"/>
      <c r="CO3866" s="48"/>
      <c r="CP3866" s="48"/>
      <c r="CQ3866" s="48"/>
      <c r="CR3866" s="48"/>
      <c r="CS3866" s="48"/>
      <c r="CT3866" s="48"/>
      <c r="CU3866" s="48"/>
      <c r="CV3866" s="48"/>
      <c r="CW3866" s="48"/>
      <c r="CX3866" s="48"/>
      <c r="CY3866" s="48"/>
      <c r="CZ3866" s="48"/>
    </row>
    <row r="3867" spans="27:104" s="4" customFormat="1" x14ac:dyDescent="0.3">
      <c r="AA3867" s="48"/>
      <c r="AB3867" s="48"/>
      <c r="AC3867" s="48"/>
      <c r="AD3867" s="48"/>
      <c r="AE3867" s="48"/>
      <c r="AF3867" s="48"/>
      <c r="AG3867" s="48"/>
      <c r="AH3867" s="48"/>
      <c r="AI3867" s="48"/>
      <c r="AJ3867" s="48"/>
      <c r="AK3867" s="48"/>
      <c r="AL3867" s="48"/>
      <c r="AM3867" s="48"/>
      <c r="AN3867" s="48"/>
      <c r="AO3867" s="48"/>
      <c r="AP3867" s="48"/>
      <c r="AQ3867" s="48"/>
      <c r="AR3867" s="48"/>
      <c r="AS3867" s="48"/>
      <c r="AT3867" s="48"/>
      <c r="AU3867" s="48"/>
      <c r="AV3867" s="48"/>
      <c r="AW3867" s="48"/>
      <c r="AX3867" s="48"/>
      <c r="AY3867" s="48"/>
      <c r="AZ3867" s="48"/>
      <c r="BA3867" s="48"/>
      <c r="BB3867" s="14"/>
      <c r="BC3867" s="48"/>
      <c r="BD3867" s="48"/>
      <c r="BE3867" s="48"/>
      <c r="BF3867" s="48"/>
      <c r="BG3867" s="48"/>
      <c r="BH3867" s="48"/>
      <c r="BI3867" s="48"/>
      <c r="BJ3867" s="48"/>
      <c r="BK3867" s="48"/>
      <c r="BL3867" s="48"/>
      <c r="BM3867" s="48"/>
      <c r="BN3867" s="48"/>
      <c r="BO3867" s="48"/>
      <c r="BP3867" s="48"/>
      <c r="BQ3867" s="48"/>
      <c r="BR3867" s="48"/>
      <c r="BS3867" s="48"/>
      <c r="BT3867" s="48"/>
      <c r="BU3867" s="48"/>
      <c r="BV3867" s="48"/>
      <c r="BW3867" s="48"/>
      <c r="BX3867" s="48"/>
      <c r="BY3867" s="48"/>
      <c r="BZ3867" s="48"/>
      <c r="CA3867" s="48"/>
      <c r="CB3867" s="48"/>
      <c r="CC3867" s="48"/>
      <c r="CD3867" s="48"/>
      <c r="CE3867" s="48"/>
      <c r="CF3867" s="48"/>
      <c r="CG3867" s="48"/>
      <c r="CH3867" s="48"/>
      <c r="CI3867" s="48"/>
      <c r="CJ3867" s="48"/>
      <c r="CK3867" s="48"/>
      <c r="CL3867" s="48"/>
      <c r="CM3867" s="48"/>
      <c r="CN3867" s="48"/>
      <c r="CO3867" s="48"/>
      <c r="CP3867" s="48"/>
      <c r="CQ3867" s="48"/>
      <c r="CR3867" s="48"/>
      <c r="CS3867" s="48"/>
      <c r="CT3867" s="48"/>
      <c r="CU3867" s="48"/>
      <c r="CV3867" s="48"/>
      <c r="CW3867" s="48"/>
      <c r="CX3867" s="48"/>
      <c r="CY3867" s="48"/>
      <c r="CZ3867" s="48"/>
    </row>
    <row r="3868" spans="27:104" s="4" customFormat="1" x14ac:dyDescent="0.3">
      <c r="AA3868" s="48"/>
      <c r="AB3868" s="48"/>
      <c r="AC3868" s="48"/>
      <c r="AD3868" s="48"/>
      <c r="AE3868" s="48"/>
      <c r="AF3868" s="48"/>
      <c r="AG3868" s="48"/>
      <c r="AH3868" s="48"/>
      <c r="AI3868" s="48"/>
      <c r="AJ3868" s="48"/>
      <c r="AK3868" s="48"/>
      <c r="AL3868" s="48"/>
      <c r="AM3868" s="48"/>
      <c r="AN3868" s="48"/>
      <c r="AO3868" s="48"/>
      <c r="AP3868" s="48"/>
      <c r="AQ3868" s="48"/>
      <c r="AR3868" s="48"/>
      <c r="AS3868" s="48"/>
      <c r="AT3868" s="48"/>
      <c r="AU3868" s="48"/>
      <c r="AV3868" s="48"/>
      <c r="AW3868" s="48"/>
      <c r="AX3868" s="48"/>
      <c r="AY3868" s="48"/>
      <c r="AZ3868" s="48"/>
      <c r="BA3868" s="48"/>
      <c r="BB3868" s="14"/>
      <c r="BC3868" s="48"/>
      <c r="BD3868" s="48"/>
      <c r="BE3868" s="48"/>
      <c r="BF3868" s="48"/>
      <c r="BG3868" s="48"/>
      <c r="BH3868" s="48"/>
      <c r="BI3868" s="48"/>
      <c r="BJ3868" s="48"/>
      <c r="BK3868" s="48"/>
      <c r="BL3868" s="48"/>
      <c r="BM3868" s="48"/>
      <c r="BN3868" s="48"/>
      <c r="BO3868" s="48"/>
      <c r="BP3868" s="48"/>
      <c r="BQ3868" s="48"/>
      <c r="BR3868" s="48"/>
      <c r="BS3868" s="48"/>
      <c r="BT3868" s="48"/>
      <c r="BU3868" s="48"/>
      <c r="BV3868" s="48"/>
      <c r="BW3868" s="48"/>
      <c r="BX3868" s="48"/>
      <c r="BY3868" s="48"/>
      <c r="BZ3868" s="48"/>
      <c r="CA3868" s="48"/>
      <c r="CB3868" s="48"/>
      <c r="CC3868" s="48"/>
      <c r="CD3868" s="48"/>
      <c r="CE3868" s="48"/>
      <c r="CF3868" s="48"/>
      <c r="CG3868" s="48"/>
      <c r="CH3868" s="48"/>
      <c r="CI3868" s="48"/>
      <c r="CJ3868" s="48"/>
      <c r="CK3868" s="48"/>
      <c r="CL3868" s="48"/>
      <c r="CM3868" s="48"/>
      <c r="CN3868" s="48"/>
      <c r="CO3868" s="48"/>
      <c r="CP3868" s="48"/>
      <c r="CQ3868" s="48"/>
      <c r="CR3868" s="48"/>
      <c r="CS3868" s="48"/>
      <c r="CT3868" s="48"/>
      <c r="CU3868" s="48"/>
      <c r="CV3868" s="48"/>
      <c r="CW3868" s="48"/>
      <c r="CX3868" s="48"/>
      <c r="CY3868" s="48"/>
      <c r="CZ3868" s="48"/>
    </row>
    <row r="3869" spans="27:104" s="4" customFormat="1" x14ac:dyDescent="0.3">
      <c r="AA3869" s="48"/>
      <c r="AB3869" s="48"/>
      <c r="AC3869" s="48"/>
      <c r="AD3869" s="48"/>
      <c r="AE3869" s="48"/>
      <c r="AF3869" s="48"/>
      <c r="AG3869" s="48"/>
      <c r="AH3869" s="48"/>
      <c r="AI3869" s="48"/>
      <c r="AJ3869" s="48"/>
      <c r="AK3869" s="48"/>
      <c r="AL3869" s="48"/>
      <c r="AM3869" s="48"/>
      <c r="AN3869" s="48"/>
      <c r="AO3869" s="48"/>
      <c r="AP3869" s="48"/>
      <c r="AQ3869" s="48"/>
      <c r="AR3869" s="48"/>
      <c r="AS3869" s="48"/>
      <c r="AT3869" s="48"/>
      <c r="AU3869" s="48"/>
      <c r="AV3869" s="48"/>
      <c r="AW3869" s="48"/>
      <c r="AX3869" s="48"/>
      <c r="AY3869" s="48"/>
      <c r="AZ3869" s="48"/>
      <c r="BA3869" s="48"/>
      <c r="BB3869" s="14"/>
      <c r="BC3869" s="48"/>
      <c r="BD3869" s="48"/>
      <c r="BE3869" s="48"/>
      <c r="BF3869" s="48"/>
      <c r="BG3869" s="48"/>
      <c r="BH3869" s="48"/>
      <c r="BI3869" s="48"/>
      <c r="BJ3869" s="48"/>
      <c r="BK3869" s="48"/>
      <c r="BL3869" s="48"/>
      <c r="BM3869" s="48"/>
      <c r="BN3869" s="48"/>
      <c r="BO3869" s="48"/>
      <c r="BP3869" s="48"/>
      <c r="BQ3869" s="48"/>
      <c r="BR3869" s="48"/>
      <c r="BS3869" s="48"/>
      <c r="BT3869" s="48"/>
      <c r="BU3869" s="48"/>
      <c r="BV3869" s="48"/>
      <c r="BW3869" s="48"/>
      <c r="BX3869" s="48"/>
      <c r="BY3869" s="48"/>
      <c r="BZ3869" s="48"/>
      <c r="CA3869" s="48"/>
      <c r="CB3869" s="48"/>
      <c r="CC3869" s="48"/>
      <c r="CD3869" s="48"/>
      <c r="CE3869" s="48"/>
      <c r="CF3869" s="48"/>
      <c r="CG3869" s="48"/>
      <c r="CH3869" s="48"/>
      <c r="CI3869" s="48"/>
      <c r="CJ3869" s="48"/>
      <c r="CK3869" s="48"/>
      <c r="CL3869" s="48"/>
      <c r="CM3869" s="48"/>
      <c r="CN3869" s="48"/>
      <c r="CO3869" s="48"/>
      <c r="CP3869" s="48"/>
      <c r="CQ3869" s="48"/>
      <c r="CR3869" s="48"/>
      <c r="CS3869" s="48"/>
      <c r="CT3869" s="48"/>
      <c r="CU3869" s="48"/>
      <c r="CV3869" s="48"/>
      <c r="CW3869" s="48"/>
      <c r="CX3869" s="48"/>
      <c r="CY3869" s="48"/>
      <c r="CZ3869" s="48"/>
    </row>
    <row r="3870" spans="27:104" s="4" customFormat="1" x14ac:dyDescent="0.3">
      <c r="AA3870" s="48"/>
      <c r="AB3870" s="48"/>
      <c r="AC3870" s="48"/>
      <c r="AD3870" s="48"/>
      <c r="AE3870" s="48"/>
      <c r="AF3870" s="48"/>
      <c r="AG3870" s="48"/>
      <c r="AH3870" s="48"/>
      <c r="AI3870" s="48"/>
      <c r="AJ3870" s="48"/>
      <c r="AK3870" s="48"/>
      <c r="AL3870" s="48"/>
      <c r="AM3870" s="48"/>
      <c r="AN3870" s="48"/>
      <c r="AO3870" s="48"/>
      <c r="AP3870" s="48"/>
      <c r="AQ3870" s="48"/>
      <c r="AR3870" s="48"/>
      <c r="AS3870" s="48"/>
      <c r="AT3870" s="48"/>
      <c r="AU3870" s="48"/>
      <c r="AV3870" s="48"/>
      <c r="AW3870" s="48"/>
      <c r="AX3870" s="48"/>
      <c r="AY3870" s="48"/>
      <c r="AZ3870" s="48"/>
      <c r="BA3870" s="48"/>
      <c r="BB3870" s="14"/>
      <c r="BC3870" s="48"/>
      <c r="BD3870" s="48"/>
      <c r="BE3870" s="48"/>
      <c r="BF3870" s="48"/>
      <c r="BG3870" s="48"/>
      <c r="BH3870" s="48"/>
      <c r="BI3870" s="48"/>
      <c r="BJ3870" s="48"/>
      <c r="BK3870" s="48"/>
      <c r="BL3870" s="48"/>
      <c r="BM3870" s="48"/>
      <c r="BN3870" s="48"/>
      <c r="BO3870" s="48"/>
      <c r="BP3870" s="48"/>
      <c r="BQ3870" s="48"/>
      <c r="BR3870" s="48"/>
      <c r="BS3870" s="48"/>
      <c r="BT3870" s="48"/>
      <c r="BU3870" s="48"/>
      <c r="BV3870" s="48"/>
      <c r="BW3870" s="48"/>
      <c r="BX3870" s="48"/>
      <c r="BY3870" s="48"/>
      <c r="BZ3870" s="48"/>
      <c r="CA3870" s="48"/>
      <c r="CB3870" s="48"/>
      <c r="CC3870" s="48"/>
      <c r="CD3870" s="48"/>
      <c r="CE3870" s="48"/>
      <c r="CF3870" s="48"/>
      <c r="CG3870" s="48"/>
      <c r="CH3870" s="48"/>
      <c r="CI3870" s="48"/>
      <c r="CJ3870" s="48"/>
      <c r="CK3870" s="48"/>
      <c r="CL3870" s="48"/>
      <c r="CM3870" s="48"/>
      <c r="CN3870" s="48"/>
      <c r="CO3870" s="48"/>
      <c r="CP3870" s="48"/>
      <c r="CQ3870" s="48"/>
      <c r="CR3870" s="48"/>
      <c r="CS3870" s="48"/>
      <c r="CT3870" s="48"/>
      <c r="CU3870" s="48"/>
      <c r="CV3870" s="48"/>
      <c r="CW3870" s="48"/>
      <c r="CX3870" s="48"/>
      <c r="CY3870" s="48"/>
      <c r="CZ3870" s="48"/>
    </row>
    <row r="3871" spans="27:104" s="4" customFormat="1" x14ac:dyDescent="0.3">
      <c r="AA3871" s="48"/>
      <c r="AB3871" s="48"/>
      <c r="AC3871" s="48"/>
      <c r="AD3871" s="48"/>
      <c r="AE3871" s="48"/>
      <c r="AF3871" s="48"/>
      <c r="AG3871" s="48"/>
      <c r="AH3871" s="48"/>
      <c r="AI3871" s="48"/>
      <c r="AJ3871" s="48"/>
      <c r="AK3871" s="48"/>
      <c r="AL3871" s="48"/>
      <c r="AM3871" s="48"/>
      <c r="AN3871" s="48"/>
      <c r="AO3871" s="48"/>
      <c r="AP3871" s="48"/>
      <c r="AQ3871" s="48"/>
      <c r="AR3871" s="48"/>
      <c r="AS3871" s="48"/>
      <c r="AT3871" s="48"/>
      <c r="AU3871" s="48"/>
      <c r="AV3871" s="48"/>
      <c r="AW3871" s="48"/>
      <c r="AX3871" s="48"/>
      <c r="AY3871" s="48"/>
      <c r="AZ3871" s="48"/>
      <c r="BA3871" s="48"/>
      <c r="BB3871" s="14"/>
      <c r="BC3871" s="48"/>
      <c r="BD3871" s="48"/>
      <c r="BE3871" s="48"/>
      <c r="BF3871" s="48"/>
      <c r="BG3871" s="48"/>
      <c r="BH3871" s="48"/>
      <c r="BI3871" s="48"/>
      <c r="BJ3871" s="48"/>
      <c r="BK3871" s="48"/>
      <c r="BL3871" s="48"/>
      <c r="BM3871" s="48"/>
      <c r="BN3871" s="48"/>
      <c r="BO3871" s="48"/>
      <c r="BP3871" s="48"/>
      <c r="BQ3871" s="48"/>
      <c r="BR3871" s="48"/>
      <c r="BS3871" s="48"/>
      <c r="BT3871" s="48"/>
      <c r="BU3871" s="48"/>
      <c r="BV3871" s="48"/>
      <c r="BW3871" s="48"/>
      <c r="BX3871" s="48"/>
      <c r="BY3871" s="48"/>
      <c r="BZ3871" s="48"/>
      <c r="CA3871" s="48"/>
      <c r="CB3871" s="48"/>
      <c r="CC3871" s="48"/>
      <c r="CD3871" s="48"/>
      <c r="CE3871" s="48"/>
      <c r="CF3871" s="48"/>
      <c r="CG3871" s="48"/>
      <c r="CH3871" s="48"/>
      <c r="CI3871" s="48"/>
      <c r="CJ3871" s="48"/>
      <c r="CK3871" s="48"/>
      <c r="CL3871" s="48"/>
      <c r="CM3871" s="48"/>
      <c r="CN3871" s="48"/>
      <c r="CO3871" s="48"/>
      <c r="CP3871" s="48"/>
      <c r="CQ3871" s="48"/>
      <c r="CR3871" s="48"/>
      <c r="CS3871" s="48"/>
      <c r="CT3871" s="48"/>
      <c r="CU3871" s="48"/>
      <c r="CV3871" s="48"/>
      <c r="CW3871" s="48"/>
      <c r="CX3871" s="48"/>
      <c r="CY3871" s="48"/>
      <c r="CZ3871" s="48"/>
    </row>
    <row r="3872" spans="27:104" s="4" customFormat="1" x14ac:dyDescent="0.3">
      <c r="AA3872" s="48"/>
      <c r="AB3872" s="48"/>
      <c r="AC3872" s="48"/>
      <c r="AD3872" s="48"/>
      <c r="AE3872" s="48"/>
      <c r="AF3872" s="48"/>
      <c r="AG3872" s="48"/>
      <c r="AH3872" s="48"/>
      <c r="AI3872" s="48"/>
      <c r="AJ3872" s="48"/>
      <c r="AK3872" s="48"/>
      <c r="AL3872" s="48"/>
      <c r="AM3872" s="48"/>
      <c r="AN3872" s="48"/>
      <c r="AO3872" s="48"/>
      <c r="AP3872" s="48"/>
      <c r="AQ3872" s="48"/>
      <c r="AR3872" s="48"/>
      <c r="AS3872" s="48"/>
      <c r="AT3872" s="48"/>
      <c r="AU3872" s="48"/>
      <c r="AV3872" s="48"/>
      <c r="AW3872" s="48"/>
      <c r="AX3872" s="48"/>
      <c r="AY3872" s="48"/>
      <c r="AZ3872" s="48"/>
      <c r="BA3872" s="48"/>
      <c r="BB3872" s="14"/>
      <c r="BC3872" s="48"/>
      <c r="BD3872" s="48"/>
      <c r="BE3872" s="48"/>
      <c r="BF3872" s="48"/>
      <c r="BG3872" s="48"/>
      <c r="BH3872" s="48"/>
      <c r="BI3872" s="48"/>
      <c r="BJ3872" s="48"/>
      <c r="BK3872" s="48"/>
      <c r="BL3872" s="48"/>
      <c r="BM3872" s="48"/>
      <c r="BN3872" s="48"/>
      <c r="BO3872" s="48"/>
      <c r="BP3872" s="48"/>
      <c r="BQ3872" s="48"/>
      <c r="BR3872" s="48"/>
      <c r="BS3872" s="48"/>
      <c r="BT3872" s="48"/>
      <c r="BU3872" s="48"/>
      <c r="BV3872" s="48"/>
      <c r="BW3872" s="48"/>
      <c r="BX3872" s="48"/>
      <c r="BY3872" s="48"/>
      <c r="BZ3872" s="48"/>
      <c r="CA3872" s="48"/>
      <c r="CB3872" s="48"/>
      <c r="CC3872" s="48"/>
      <c r="CD3872" s="48"/>
      <c r="CE3872" s="48"/>
      <c r="CF3872" s="48"/>
      <c r="CG3872" s="48"/>
      <c r="CH3872" s="48"/>
      <c r="CI3872" s="48"/>
      <c r="CJ3872" s="48"/>
      <c r="CK3872" s="48"/>
      <c r="CL3872" s="48"/>
      <c r="CM3872" s="48"/>
      <c r="CN3872" s="48"/>
      <c r="CO3872" s="48"/>
      <c r="CP3872" s="48"/>
      <c r="CQ3872" s="48"/>
      <c r="CR3872" s="48"/>
      <c r="CS3872" s="48"/>
      <c r="CT3872" s="48"/>
      <c r="CU3872" s="48"/>
      <c r="CV3872" s="48"/>
      <c r="CW3872" s="48"/>
      <c r="CX3872" s="48"/>
      <c r="CY3872" s="48"/>
      <c r="CZ3872" s="48"/>
    </row>
    <row r="3873" spans="27:104" s="4" customFormat="1" x14ac:dyDescent="0.3">
      <c r="AA3873" s="48"/>
      <c r="AB3873" s="48"/>
      <c r="AC3873" s="48"/>
      <c r="AD3873" s="48"/>
      <c r="AE3873" s="48"/>
      <c r="AF3873" s="48"/>
      <c r="AG3873" s="48"/>
      <c r="AH3873" s="48"/>
      <c r="AI3873" s="48"/>
      <c r="AJ3873" s="48"/>
      <c r="AK3873" s="48"/>
      <c r="AL3873" s="48"/>
      <c r="AM3873" s="48"/>
      <c r="AN3873" s="48"/>
      <c r="AO3873" s="48"/>
      <c r="AP3873" s="48"/>
      <c r="AQ3873" s="48"/>
      <c r="AR3873" s="48"/>
      <c r="AS3873" s="48"/>
      <c r="AT3873" s="48"/>
      <c r="AU3873" s="48"/>
      <c r="AV3873" s="48"/>
      <c r="AW3873" s="48"/>
      <c r="AX3873" s="48"/>
      <c r="AY3873" s="48"/>
      <c r="AZ3873" s="48"/>
      <c r="BA3873" s="48"/>
      <c r="BB3873" s="14"/>
      <c r="BC3873" s="48"/>
      <c r="BD3873" s="48"/>
      <c r="BE3873" s="48"/>
      <c r="BF3873" s="48"/>
      <c r="BG3873" s="48"/>
      <c r="BH3873" s="48"/>
      <c r="BI3873" s="48"/>
      <c r="BJ3873" s="48"/>
      <c r="BK3873" s="48"/>
      <c r="BL3873" s="48"/>
      <c r="BM3873" s="48"/>
      <c r="BN3873" s="48"/>
      <c r="BO3873" s="48"/>
      <c r="BP3873" s="48"/>
      <c r="BQ3873" s="48"/>
      <c r="BR3873" s="48"/>
      <c r="BS3873" s="48"/>
      <c r="BT3873" s="48"/>
      <c r="BU3873" s="48"/>
      <c r="BV3873" s="48"/>
      <c r="BW3873" s="48"/>
      <c r="BX3873" s="48"/>
      <c r="BY3873" s="48"/>
      <c r="BZ3873" s="48"/>
      <c r="CA3873" s="48"/>
      <c r="CB3873" s="48"/>
      <c r="CC3873" s="48"/>
      <c r="CD3873" s="48"/>
      <c r="CE3873" s="48"/>
      <c r="CF3873" s="48"/>
      <c r="CG3873" s="48"/>
      <c r="CH3873" s="48"/>
      <c r="CI3873" s="48"/>
      <c r="CJ3873" s="48"/>
      <c r="CK3873" s="48"/>
      <c r="CL3873" s="48"/>
      <c r="CM3873" s="48"/>
      <c r="CN3873" s="48"/>
      <c r="CO3873" s="48"/>
      <c r="CP3873" s="48"/>
      <c r="CQ3873" s="48"/>
      <c r="CR3873" s="48"/>
      <c r="CS3873" s="48"/>
      <c r="CT3873" s="48"/>
      <c r="CU3873" s="48"/>
      <c r="CV3873" s="48"/>
      <c r="CW3873" s="48"/>
      <c r="CX3873" s="48"/>
      <c r="CY3873" s="48"/>
      <c r="CZ3873" s="48"/>
    </row>
    <row r="3874" spans="27:104" s="4" customFormat="1" x14ac:dyDescent="0.3">
      <c r="AA3874" s="48"/>
      <c r="AB3874" s="48"/>
      <c r="AC3874" s="48"/>
      <c r="AD3874" s="48"/>
      <c r="AE3874" s="48"/>
      <c r="AF3874" s="48"/>
      <c r="AG3874" s="48"/>
      <c r="AH3874" s="48"/>
      <c r="AI3874" s="48"/>
      <c r="AJ3874" s="48"/>
      <c r="AK3874" s="48"/>
      <c r="AL3874" s="48"/>
      <c r="AM3874" s="48"/>
      <c r="AN3874" s="48"/>
      <c r="AO3874" s="48"/>
      <c r="AP3874" s="48"/>
      <c r="AQ3874" s="48"/>
      <c r="AR3874" s="48"/>
      <c r="AS3874" s="48"/>
      <c r="AT3874" s="48"/>
      <c r="AU3874" s="48"/>
      <c r="AV3874" s="48"/>
      <c r="AW3874" s="48"/>
      <c r="AX3874" s="48"/>
      <c r="AY3874" s="48"/>
      <c r="AZ3874" s="48"/>
      <c r="BA3874" s="48"/>
      <c r="BB3874" s="14"/>
      <c r="BC3874" s="48"/>
      <c r="BD3874" s="48"/>
      <c r="BE3874" s="48"/>
      <c r="BF3874" s="48"/>
      <c r="BG3874" s="48"/>
      <c r="BH3874" s="48"/>
      <c r="BI3874" s="48"/>
      <c r="BJ3874" s="48"/>
      <c r="BK3874" s="48"/>
      <c r="BL3874" s="48"/>
      <c r="BM3874" s="48"/>
      <c r="BN3874" s="48"/>
      <c r="BO3874" s="48"/>
      <c r="BP3874" s="48"/>
      <c r="BQ3874" s="48"/>
      <c r="BR3874" s="48"/>
      <c r="BS3874" s="48"/>
      <c r="BT3874" s="48"/>
      <c r="BU3874" s="48"/>
      <c r="BV3874" s="48"/>
      <c r="BW3874" s="48"/>
      <c r="BX3874" s="48"/>
      <c r="BY3874" s="48"/>
      <c r="BZ3874" s="48"/>
      <c r="CA3874" s="48"/>
      <c r="CB3874" s="48"/>
      <c r="CC3874" s="48"/>
      <c r="CD3874" s="48"/>
      <c r="CE3874" s="48"/>
      <c r="CF3874" s="48"/>
      <c r="CG3874" s="48"/>
      <c r="CH3874" s="48"/>
      <c r="CI3874" s="48"/>
      <c r="CJ3874" s="48"/>
      <c r="CK3874" s="48"/>
      <c r="CL3874" s="48"/>
      <c r="CM3874" s="48"/>
      <c r="CN3874" s="48"/>
      <c r="CO3874" s="48"/>
      <c r="CP3874" s="48"/>
      <c r="CQ3874" s="48"/>
      <c r="CR3874" s="48"/>
      <c r="CS3874" s="48"/>
      <c r="CT3874" s="48"/>
      <c r="CU3874" s="48"/>
      <c r="CV3874" s="48"/>
      <c r="CW3874" s="48"/>
      <c r="CX3874" s="48"/>
      <c r="CY3874" s="48"/>
      <c r="CZ3874" s="48"/>
    </row>
    <row r="3875" spans="27:104" s="4" customFormat="1" x14ac:dyDescent="0.3">
      <c r="AA3875" s="48"/>
      <c r="AB3875" s="48"/>
      <c r="AC3875" s="48"/>
      <c r="AD3875" s="48"/>
      <c r="AE3875" s="48"/>
      <c r="AF3875" s="48"/>
      <c r="AG3875" s="48"/>
      <c r="AH3875" s="48"/>
      <c r="AI3875" s="48"/>
      <c r="AJ3875" s="48"/>
      <c r="AK3875" s="48"/>
      <c r="AL3875" s="48"/>
      <c r="AM3875" s="48"/>
      <c r="AN3875" s="48"/>
      <c r="AO3875" s="48"/>
      <c r="AP3875" s="48"/>
      <c r="AQ3875" s="48"/>
      <c r="AR3875" s="48"/>
      <c r="AS3875" s="48"/>
      <c r="AT3875" s="48"/>
      <c r="AU3875" s="48"/>
      <c r="AV3875" s="48"/>
      <c r="AW3875" s="48"/>
      <c r="AX3875" s="48"/>
      <c r="AY3875" s="48"/>
      <c r="AZ3875" s="48"/>
      <c r="BA3875" s="48"/>
      <c r="BB3875" s="14"/>
      <c r="BC3875" s="48"/>
      <c r="BD3875" s="48"/>
      <c r="BE3875" s="48"/>
      <c r="BF3875" s="48"/>
      <c r="BG3875" s="48"/>
      <c r="BH3875" s="48"/>
      <c r="BI3875" s="48"/>
      <c r="BJ3875" s="48"/>
      <c r="BK3875" s="48"/>
      <c r="BL3875" s="48"/>
      <c r="BM3875" s="48"/>
      <c r="BN3875" s="48"/>
      <c r="BO3875" s="48"/>
      <c r="BP3875" s="48"/>
      <c r="BQ3875" s="48"/>
      <c r="BR3875" s="48"/>
      <c r="BS3875" s="48"/>
      <c r="BT3875" s="48"/>
      <c r="BU3875" s="48"/>
      <c r="BV3875" s="48"/>
      <c r="BW3875" s="48"/>
      <c r="BX3875" s="48"/>
      <c r="BY3875" s="48"/>
      <c r="BZ3875" s="48"/>
      <c r="CA3875" s="48"/>
      <c r="CB3875" s="48"/>
      <c r="CC3875" s="48"/>
      <c r="CD3875" s="48"/>
      <c r="CE3875" s="48"/>
      <c r="CF3875" s="48"/>
      <c r="CG3875" s="48"/>
      <c r="CH3875" s="48"/>
      <c r="CI3875" s="48"/>
      <c r="CJ3875" s="48"/>
      <c r="CK3875" s="48"/>
      <c r="CL3875" s="48"/>
      <c r="CM3875" s="48"/>
      <c r="CN3875" s="48"/>
      <c r="CO3875" s="48"/>
      <c r="CP3875" s="48"/>
      <c r="CQ3875" s="48"/>
      <c r="CR3875" s="48"/>
      <c r="CS3875" s="48"/>
      <c r="CT3875" s="48"/>
      <c r="CU3875" s="48"/>
      <c r="CV3875" s="48"/>
      <c r="CW3875" s="48"/>
      <c r="CX3875" s="48"/>
      <c r="CY3875" s="48"/>
      <c r="CZ3875" s="48"/>
    </row>
    <row r="3876" spans="27:104" s="4" customFormat="1" x14ac:dyDescent="0.3">
      <c r="AA3876" s="48"/>
      <c r="AB3876" s="48"/>
      <c r="AC3876" s="48"/>
      <c r="AD3876" s="48"/>
      <c r="AE3876" s="48"/>
      <c r="AF3876" s="48"/>
      <c r="AG3876" s="48"/>
      <c r="AH3876" s="48"/>
      <c r="AI3876" s="48"/>
      <c r="AJ3876" s="48"/>
      <c r="AK3876" s="48"/>
      <c r="AL3876" s="48"/>
      <c r="AM3876" s="48"/>
      <c r="AN3876" s="48"/>
      <c r="AO3876" s="48"/>
      <c r="AP3876" s="48"/>
      <c r="AQ3876" s="48"/>
      <c r="AR3876" s="48"/>
      <c r="AS3876" s="48"/>
      <c r="AT3876" s="48"/>
      <c r="AU3876" s="48"/>
      <c r="AV3876" s="48"/>
      <c r="AW3876" s="48"/>
      <c r="AX3876" s="48"/>
      <c r="AY3876" s="48"/>
      <c r="AZ3876" s="48"/>
      <c r="BA3876" s="48"/>
      <c r="BB3876" s="14"/>
      <c r="BC3876" s="48"/>
      <c r="BD3876" s="48"/>
      <c r="BE3876" s="48"/>
      <c r="BF3876" s="48"/>
      <c r="BG3876" s="48"/>
      <c r="BH3876" s="48"/>
      <c r="BI3876" s="48"/>
      <c r="BJ3876" s="48"/>
      <c r="BK3876" s="48"/>
      <c r="BL3876" s="48"/>
      <c r="BM3876" s="48"/>
      <c r="BN3876" s="48"/>
      <c r="BO3876" s="48"/>
      <c r="BP3876" s="48"/>
      <c r="BQ3876" s="48"/>
      <c r="BR3876" s="48"/>
      <c r="BS3876" s="48"/>
      <c r="BT3876" s="48"/>
      <c r="BU3876" s="48"/>
      <c r="BV3876" s="48"/>
      <c r="BW3876" s="48"/>
      <c r="BX3876" s="48"/>
      <c r="BY3876" s="48"/>
      <c r="BZ3876" s="48"/>
      <c r="CA3876" s="48"/>
      <c r="CB3876" s="48"/>
      <c r="CC3876" s="48"/>
      <c r="CD3876" s="48"/>
      <c r="CE3876" s="48"/>
      <c r="CF3876" s="48"/>
      <c r="CG3876" s="48"/>
      <c r="CH3876" s="48"/>
      <c r="CI3876" s="48"/>
      <c r="CJ3876" s="48"/>
      <c r="CK3876" s="48"/>
      <c r="CL3876" s="48"/>
      <c r="CM3876" s="48"/>
      <c r="CN3876" s="48"/>
      <c r="CO3876" s="48"/>
      <c r="CP3876" s="48"/>
      <c r="CQ3876" s="48"/>
      <c r="CR3876" s="48"/>
      <c r="CS3876" s="48"/>
      <c r="CT3876" s="48"/>
      <c r="CU3876" s="48"/>
      <c r="CV3876" s="48"/>
      <c r="CW3876" s="48"/>
      <c r="CX3876" s="48"/>
      <c r="CY3876" s="48"/>
      <c r="CZ3876" s="48"/>
    </row>
    <row r="3877" spans="27:104" s="4" customFormat="1" x14ac:dyDescent="0.3">
      <c r="AA3877" s="48"/>
      <c r="AB3877" s="48"/>
      <c r="AC3877" s="48"/>
      <c r="AD3877" s="48"/>
      <c r="AE3877" s="48"/>
      <c r="AF3877" s="48"/>
      <c r="AG3877" s="48"/>
      <c r="AH3877" s="48"/>
      <c r="AI3877" s="48"/>
      <c r="AJ3877" s="48"/>
      <c r="AK3877" s="48"/>
      <c r="AL3877" s="48"/>
      <c r="AM3877" s="48"/>
      <c r="AN3877" s="48"/>
      <c r="AO3877" s="48"/>
      <c r="AP3877" s="48"/>
      <c r="AQ3877" s="48"/>
      <c r="AR3877" s="48"/>
      <c r="AS3877" s="48"/>
      <c r="AT3877" s="48"/>
      <c r="AU3877" s="48"/>
      <c r="AV3877" s="48"/>
      <c r="AW3877" s="48"/>
      <c r="AX3877" s="48"/>
      <c r="AY3877" s="48"/>
      <c r="AZ3877" s="48"/>
      <c r="BA3877" s="48"/>
      <c r="BB3877" s="14"/>
      <c r="BC3877" s="48"/>
      <c r="BD3877" s="48"/>
      <c r="BE3877" s="48"/>
      <c r="BF3877" s="48"/>
      <c r="BG3877" s="48"/>
      <c r="BH3877" s="48"/>
      <c r="BI3877" s="48"/>
      <c r="BJ3877" s="48"/>
      <c r="BK3877" s="48"/>
      <c r="BL3877" s="48"/>
      <c r="BM3877" s="48"/>
      <c r="BN3877" s="48"/>
      <c r="BO3877" s="48"/>
      <c r="BP3877" s="48"/>
      <c r="BQ3877" s="48"/>
      <c r="BR3877" s="48"/>
      <c r="BS3877" s="48"/>
      <c r="BT3877" s="48"/>
      <c r="BU3877" s="48"/>
      <c r="BV3877" s="48"/>
      <c r="BW3877" s="48"/>
      <c r="BX3877" s="48"/>
      <c r="BY3877" s="48"/>
      <c r="BZ3877" s="48"/>
      <c r="CA3877" s="48"/>
      <c r="CB3877" s="48"/>
      <c r="CC3877" s="48"/>
      <c r="CD3877" s="48"/>
      <c r="CE3877" s="48"/>
      <c r="CF3877" s="48"/>
      <c r="CG3877" s="48"/>
      <c r="CH3877" s="48"/>
      <c r="CI3877" s="48"/>
      <c r="CJ3877" s="48"/>
      <c r="CK3877" s="48"/>
      <c r="CL3877" s="48"/>
      <c r="CM3877" s="48"/>
      <c r="CN3877" s="48"/>
      <c r="CO3877" s="48"/>
      <c r="CP3877" s="48"/>
      <c r="CQ3877" s="48"/>
      <c r="CR3877" s="48"/>
      <c r="CS3877" s="48"/>
      <c r="CT3877" s="48"/>
      <c r="CU3877" s="48"/>
      <c r="CV3877" s="48"/>
      <c r="CW3877" s="48"/>
      <c r="CX3877" s="48"/>
      <c r="CY3877" s="48"/>
      <c r="CZ3877" s="48"/>
    </row>
    <row r="3878" spans="27:104" s="4" customFormat="1" x14ac:dyDescent="0.3">
      <c r="AA3878" s="48"/>
      <c r="AB3878" s="48"/>
      <c r="AC3878" s="48"/>
      <c r="AD3878" s="48"/>
      <c r="AE3878" s="48"/>
      <c r="AF3878" s="48"/>
      <c r="AG3878" s="48"/>
      <c r="AH3878" s="48"/>
      <c r="AI3878" s="48"/>
      <c r="AJ3878" s="48"/>
      <c r="AK3878" s="48"/>
      <c r="AL3878" s="48"/>
      <c r="AM3878" s="48"/>
      <c r="AN3878" s="48"/>
      <c r="AO3878" s="48"/>
      <c r="AP3878" s="48"/>
      <c r="AQ3878" s="48"/>
      <c r="AR3878" s="48"/>
      <c r="AS3878" s="48"/>
      <c r="AT3878" s="48"/>
      <c r="AU3878" s="48"/>
      <c r="AV3878" s="48"/>
      <c r="AW3878" s="48"/>
      <c r="AX3878" s="48"/>
      <c r="AY3878" s="48"/>
      <c r="AZ3878" s="48"/>
      <c r="BA3878" s="48"/>
      <c r="BB3878" s="14"/>
      <c r="BC3878" s="48"/>
      <c r="BD3878" s="48"/>
      <c r="BE3878" s="48"/>
      <c r="BF3878" s="48"/>
      <c r="BG3878" s="48"/>
      <c r="BH3878" s="48"/>
      <c r="BI3878" s="48"/>
      <c r="BJ3878" s="48"/>
      <c r="BK3878" s="48"/>
      <c r="BL3878" s="48"/>
      <c r="BM3878" s="48"/>
      <c r="BN3878" s="48"/>
      <c r="BO3878" s="48"/>
      <c r="BP3878" s="48"/>
      <c r="BQ3878" s="48"/>
      <c r="BR3878" s="48"/>
      <c r="BS3878" s="48"/>
      <c r="BT3878" s="48"/>
      <c r="BU3878" s="48"/>
      <c r="BV3878" s="48"/>
      <c r="BW3878" s="48"/>
      <c r="BX3878" s="48"/>
      <c r="BY3878" s="48"/>
      <c r="BZ3878" s="48"/>
      <c r="CA3878" s="48"/>
      <c r="CB3878" s="48"/>
      <c r="CC3878" s="48"/>
      <c r="CD3878" s="48"/>
      <c r="CE3878" s="48"/>
      <c r="CF3878" s="48"/>
      <c r="CG3878" s="48"/>
      <c r="CH3878" s="48"/>
      <c r="CI3878" s="48"/>
      <c r="CJ3878" s="48"/>
      <c r="CK3878" s="48"/>
      <c r="CL3878" s="48"/>
      <c r="CM3878" s="48"/>
      <c r="CN3878" s="48"/>
      <c r="CO3878" s="48"/>
      <c r="CP3878" s="48"/>
      <c r="CQ3878" s="48"/>
      <c r="CR3878" s="48"/>
      <c r="CS3878" s="48"/>
      <c r="CT3878" s="48"/>
      <c r="CU3878" s="48"/>
      <c r="CV3878" s="48"/>
      <c r="CW3878" s="48"/>
      <c r="CX3878" s="48"/>
      <c r="CY3878" s="48"/>
      <c r="CZ3878" s="48"/>
    </row>
    <row r="3879" spans="27:104" s="4" customFormat="1" x14ac:dyDescent="0.3">
      <c r="AA3879" s="48"/>
      <c r="AB3879" s="48"/>
      <c r="AC3879" s="48"/>
      <c r="AD3879" s="48"/>
      <c r="AE3879" s="48"/>
      <c r="AF3879" s="48"/>
      <c r="AG3879" s="48"/>
      <c r="AH3879" s="48"/>
      <c r="AI3879" s="48"/>
      <c r="AJ3879" s="48"/>
      <c r="AK3879" s="48"/>
      <c r="AL3879" s="48"/>
      <c r="AM3879" s="48"/>
      <c r="AN3879" s="48"/>
      <c r="AO3879" s="48"/>
      <c r="AP3879" s="48"/>
      <c r="AQ3879" s="48"/>
      <c r="AR3879" s="48"/>
      <c r="AS3879" s="48"/>
      <c r="AT3879" s="48"/>
      <c r="AU3879" s="48"/>
      <c r="AV3879" s="48"/>
      <c r="AW3879" s="48"/>
      <c r="AX3879" s="48"/>
      <c r="AY3879" s="48"/>
      <c r="AZ3879" s="48"/>
      <c r="BA3879" s="48"/>
      <c r="BB3879" s="14"/>
      <c r="BC3879" s="48"/>
      <c r="BD3879" s="48"/>
      <c r="BE3879" s="48"/>
      <c r="BF3879" s="48"/>
      <c r="BG3879" s="48"/>
      <c r="BH3879" s="48"/>
      <c r="BI3879" s="48"/>
      <c r="BJ3879" s="48"/>
      <c r="BK3879" s="48"/>
      <c r="BL3879" s="48"/>
      <c r="BM3879" s="48"/>
      <c r="BN3879" s="48"/>
      <c r="BO3879" s="48"/>
      <c r="BP3879" s="48"/>
      <c r="BQ3879" s="48"/>
      <c r="BR3879" s="48"/>
      <c r="BS3879" s="48"/>
      <c r="BT3879" s="48"/>
      <c r="BU3879" s="48"/>
      <c r="BV3879" s="48"/>
      <c r="BW3879" s="48"/>
      <c r="BX3879" s="48"/>
      <c r="BY3879" s="48"/>
      <c r="BZ3879" s="48"/>
      <c r="CA3879" s="48"/>
      <c r="CB3879" s="48"/>
      <c r="CC3879" s="48"/>
      <c r="CD3879" s="48"/>
      <c r="CE3879" s="48"/>
      <c r="CF3879" s="48"/>
      <c r="CG3879" s="48"/>
      <c r="CH3879" s="48"/>
      <c r="CI3879" s="48"/>
      <c r="CJ3879" s="48"/>
      <c r="CK3879" s="48"/>
      <c r="CL3879" s="48"/>
      <c r="CM3879" s="48"/>
      <c r="CN3879" s="48"/>
      <c r="CO3879" s="48"/>
      <c r="CP3879" s="48"/>
      <c r="CQ3879" s="48"/>
      <c r="CR3879" s="48"/>
      <c r="CS3879" s="48"/>
      <c r="CT3879" s="48"/>
      <c r="CU3879" s="48"/>
      <c r="CV3879" s="48"/>
      <c r="CW3879" s="48"/>
      <c r="CX3879" s="48"/>
      <c r="CY3879" s="48"/>
      <c r="CZ3879" s="48"/>
    </row>
    <row r="3880" spans="27:104" s="4" customFormat="1" x14ac:dyDescent="0.3">
      <c r="AA3880" s="48"/>
      <c r="AB3880" s="48"/>
      <c r="AC3880" s="48"/>
      <c r="AD3880" s="48"/>
      <c r="AE3880" s="48"/>
      <c r="AF3880" s="48"/>
      <c r="AG3880" s="48"/>
      <c r="AH3880" s="48"/>
      <c r="AI3880" s="48"/>
      <c r="AJ3880" s="48"/>
      <c r="AK3880" s="48"/>
      <c r="AL3880" s="48"/>
      <c r="AM3880" s="48"/>
      <c r="AN3880" s="48"/>
      <c r="AO3880" s="48"/>
      <c r="AP3880" s="48"/>
      <c r="AQ3880" s="48"/>
      <c r="AR3880" s="48"/>
      <c r="AS3880" s="48"/>
      <c r="AT3880" s="48"/>
      <c r="AU3880" s="48"/>
      <c r="AV3880" s="48"/>
      <c r="AW3880" s="48"/>
      <c r="AX3880" s="48"/>
      <c r="AY3880" s="48"/>
      <c r="AZ3880" s="48"/>
      <c r="BA3880" s="48"/>
      <c r="BB3880" s="14"/>
      <c r="BC3880" s="48"/>
      <c r="BD3880" s="48"/>
      <c r="BE3880" s="48"/>
      <c r="BF3880" s="48"/>
      <c r="BG3880" s="48"/>
      <c r="BH3880" s="48"/>
      <c r="BI3880" s="48"/>
      <c r="BJ3880" s="48"/>
      <c r="BK3880" s="48"/>
      <c r="BL3880" s="48"/>
      <c r="BM3880" s="48"/>
      <c r="BN3880" s="48"/>
      <c r="BO3880" s="48"/>
      <c r="BP3880" s="48"/>
      <c r="BQ3880" s="48"/>
      <c r="BR3880" s="48"/>
      <c r="BS3880" s="48"/>
      <c r="BT3880" s="48"/>
      <c r="BU3880" s="48"/>
      <c r="BV3880" s="48"/>
      <c r="BW3880" s="48"/>
      <c r="BX3880" s="48"/>
      <c r="BY3880" s="48"/>
      <c r="BZ3880" s="48"/>
      <c r="CA3880" s="48"/>
      <c r="CB3880" s="48"/>
      <c r="CC3880" s="48"/>
      <c r="CD3880" s="48"/>
      <c r="CE3880" s="48"/>
      <c r="CF3880" s="48"/>
      <c r="CG3880" s="48"/>
      <c r="CH3880" s="48"/>
      <c r="CI3880" s="48"/>
      <c r="CJ3880" s="48"/>
      <c r="CK3880" s="48"/>
      <c r="CL3880" s="48"/>
      <c r="CM3880" s="48"/>
      <c r="CN3880" s="48"/>
      <c r="CO3880" s="48"/>
      <c r="CP3880" s="48"/>
      <c r="CQ3880" s="48"/>
      <c r="CR3880" s="48"/>
      <c r="CS3880" s="48"/>
      <c r="CT3880" s="48"/>
      <c r="CU3880" s="48"/>
      <c r="CV3880" s="48"/>
      <c r="CW3880" s="48"/>
      <c r="CX3880" s="48"/>
      <c r="CY3880" s="48"/>
      <c r="CZ3880" s="48"/>
    </row>
    <row r="3881" spans="27:104" s="4" customFormat="1" x14ac:dyDescent="0.3">
      <c r="AA3881" s="48"/>
      <c r="AB3881" s="48"/>
      <c r="AC3881" s="48"/>
      <c r="AD3881" s="48"/>
      <c r="AE3881" s="48"/>
      <c r="AF3881" s="48"/>
      <c r="AG3881" s="48"/>
      <c r="AH3881" s="48"/>
      <c r="AI3881" s="48"/>
      <c r="AJ3881" s="48"/>
      <c r="AK3881" s="48"/>
      <c r="AL3881" s="48"/>
      <c r="AM3881" s="48"/>
      <c r="AN3881" s="48"/>
      <c r="AO3881" s="48"/>
      <c r="AP3881" s="48"/>
      <c r="AQ3881" s="48"/>
      <c r="AR3881" s="48"/>
      <c r="AS3881" s="48"/>
      <c r="AT3881" s="48"/>
      <c r="AU3881" s="48"/>
      <c r="AV3881" s="48"/>
      <c r="AW3881" s="48"/>
      <c r="AX3881" s="48"/>
      <c r="AY3881" s="48"/>
      <c r="AZ3881" s="48"/>
      <c r="BA3881" s="48"/>
      <c r="BB3881" s="14"/>
      <c r="BC3881" s="48"/>
      <c r="BD3881" s="48"/>
      <c r="BE3881" s="48"/>
      <c r="BF3881" s="48"/>
      <c r="BG3881" s="48"/>
      <c r="BH3881" s="48"/>
      <c r="BI3881" s="48"/>
      <c r="BJ3881" s="48"/>
      <c r="BK3881" s="48"/>
      <c r="BL3881" s="48"/>
      <c r="BM3881" s="48"/>
      <c r="BN3881" s="48"/>
      <c r="BO3881" s="48"/>
      <c r="BP3881" s="48"/>
      <c r="BQ3881" s="48"/>
      <c r="BR3881" s="48"/>
      <c r="BS3881" s="48"/>
      <c r="BT3881" s="48"/>
      <c r="BU3881" s="48"/>
      <c r="BV3881" s="48"/>
      <c r="BW3881" s="48"/>
      <c r="BX3881" s="48"/>
      <c r="BY3881" s="48"/>
      <c r="BZ3881" s="48"/>
      <c r="CA3881" s="48"/>
      <c r="CB3881" s="48"/>
      <c r="CC3881" s="48"/>
      <c r="CD3881" s="48"/>
      <c r="CE3881" s="48"/>
      <c r="CF3881" s="48"/>
      <c r="CG3881" s="48"/>
      <c r="CH3881" s="48"/>
      <c r="CI3881" s="48"/>
      <c r="CJ3881" s="48"/>
      <c r="CK3881" s="48"/>
      <c r="CL3881" s="48"/>
      <c r="CM3881" s="48"/>
      <c r="CN3881" s="48"/>
      <c r="CO3881" s="48"/>
      <c r="CP3881" s="48"/>
      <c r="CQ3881" s="48"/>
      <c r="CR3881" s="48"/>
      <c r="CS3881" s="48"/>
      <c r="CT3881" s="48"/>
      <c r="CU3881" s="48"/>
      <c r="CV3881" s="48"/>
      <c r="CW3881" s="48"/>
      <c r="CX3881" s="48"/>
      <c r="CY3881" s="48"/>
      <c r="CZ3881" s="48"/>
    </row>
    <row r="3882" spans="27:104" s="4" customFormat="1" x14ac:dyDescent="0.3">
      <c r="AA3882" s="48"/>
      <c r="AB3882" s="48"/>
      <c r="AC3882" s="48"/>
      <c r="AD3882" s="48"/>
      <c r="AE3882" s="48"/>
      <c r="AF3882" s="48"/>
      <c r="AG3882" s="48"/>
      <c r="AH3882" s="48"/>
      <c r="AI3882" s="48"/>
      <c r="AJ3882" s="48"/>
      <c r="AK3882" s="48"/>
      <c r="AL3882" s="48"/>
      <c r="AM3882" s="48"/>
      <c r="AN3882" s="48"/>
      <c r="AO3882" s="48"/>
      <c r="AP3882" s="48"/>
      <c r="AQ3882" s="48"/>
      <c r="AR3882" s="48"/>
      <c r="AS3882" s="48"/>
      <c r="AT3882" s="48"/>
      <c r="AU3882" s="48"/>
      <c r="AV3882" s="48"/>
      <c r="AW3882" s="48"/>
      <c r="AX3882" s="48"/>
      <c r="AY3882" s="48"/>
      <c r="AZ3882" s="48"/>
      <c r="BA3882" s="48"/>
      <c r="BB3882" s="14"/>
      <c r="BC3882" s="48"/>
      <c r="BD3882" s="48"/>
      <c r="BE3882" s="48"/>
      <c r="BF3882" s="48"/>
      <c r="BG3882" s="48"/>
      <c r="BH3882" s="48"/>
      <c r="BI3882" s="48"/>
      <c r="BJ3882" s="48"/>
      <c r="BK3882" s="48"/>
      <c r="BL3882" s="48"/>
      <c r="BM3882" s="48"/>
      <c r="BN3882" s="48"/>
      <c r="BO3882" s="48"/>
      <c r="BP3882" s="48"/>
      <c r="BQ3882" s="48"/>
      <c r="BR3882" s="48"/>
      <c r="BS3882" s="48"/>
      <c r="BT3882" s="48"/>
      <c r="BU3882" s="48"/>
      <c r="BV3882" s="48"/>
      <c r="BW3882" s="48"/>
      <c r="BX3882" s="48"/>
      <c r="BY3882" s="48"/>
      <c r="BZ3882" s="48"/>
      <c r="CA3882" s="48"/>
      <c r="CB3882" s="48"/>
      <c r="CC3882" s="48"/>
      <c r="CD3882" s="48"/>
      <c r="CE3882" s="48"/>
      <c r="CF3882" s="48"/>
      <c r="CG3882" s="48"/>
      <c r="CH3882" s="48"/>
      <c r="CI3882" s="48"/>
      <c r="CJ3882" s="48"/>
      <c r="CK3882" s="48"/>
      <c r="CL3882" s="48"/>
      <c r="CM3882" s="48"/>
      <c r="CN3882" s="48"/>
      <c r="CO3882" s="48"/>
      <c r="CP3882" s="48"/>
      <c r="CQ3882" s="48"/>
      <c r="CR3882" s="48"/>
      <c r="CS3882" s="48"/>
      <c r="CT3882" s="48"/>
      <c r="CU3882" s="48"/>
      <c r="CV3882" s="48"/>
      <c r="CW3882" s="48"/>
      <c r="CX3882" s="48"/>
      <c r="CY3882" s="48"/>
      <c r="CZ3882" s="48"/>
    </row>
    <row r="3883" spans="27:104" s="4" customFormat="1" x14ac:dyDescent="0.3">
      <c r="AA3883" s="48"/>
      <c r="AB3883" s="48"/>
      <c r="AC3883" s="48"/>
      <c r="AD3883" s="48"/>
      <c r="AE3883" s="48"/>
      <c r="AF3883" s="48"/>
      <c r="AG3883" s="48"/>
      <c r="AH3883" s="48"/>
      <c r="AI3883" s="48"/>
      <c r="AJ3883" s="48"/>
      <c r="AK3883" s="48"/>
      <c r="AL3883" s="48"/>
      <c r="AM3883" s="48"/>
      <c r="AN3883" s="48"/>
      <c r="AO3883" s="48"/>
      <c r="AP3883" s="48"/>
      <c r="AQ3883" s="48"/>
      <c r="AR3883" s="48"/>
      <c r="AS3883" s="48"/>
      <c r="AT3883" s="48"/>
      <c r="AU3883" s="48"/>
      <c r="AV3883" s="48"/>
      <c r="AW3883" s="48"/>
      <c r="AX3883" s="48"/>
      <c r="AY3883" s="48"/>
      <c r="AZ3883" s="48"/>
      <c r="BA3883" s="48"/>
      <c r="BB3883" s="14"/>
      <c r="BC3883" s="48"/>
      <c r="BD3883" s="48"/>
      <c r="BE3883" s="48"/>
      <c r="BF3883" s="48"/>
      <c r="BG3883" s="48"/>
      <c r="BH3883" s="48"/>
      <c r="BI3883" s="48"/>
      <c r="BJ3883" s="48"/>
      <c r="BK3883" s="48"/>
      <c r="BL3883" s="48"/>
      <c r="BM3883" s="48"/>
      <c r="BN3883" s="48"/>
      <c r="BO3883" s="48"/>
      <c r="BP3883" s="48"/>
      <c r="BQ3883" s="48"/>
      <c r="BR3883" s="48"/>
      <c r="BS3883" s="48"/>
      <c r="BT3883" s="48"/>
      <c r="BU3883" s="48"/>
      <c r="BV3883" s="48"/>
      <c r="BW3883" s="48"/>
      <c r="BX3883" s="48"/>
      <c r="BY3883" s="48"/>
      <c r="BZ3883" s="48"/>
      <c r="CA3883" s="48"/>
      <c r="CB3883" s="48"/>
      <c r="CC3883" s="48"/>
      <c r="CD3883" s="48"/>
      <c r="CE3883" s="48"/>
      <c r="CF3883" s="48"/>
      <c r="CG3883" s="48"/>
      <c r="CH3883" s="48"/>
      <c r="CI3883" s="48"/>
      <c r="CJ3883" s="48"/>
      <c r="CK3883" s="48"/>
      <c r="CL3883" s="48"/>
      <c r="CM3883" s="48"/>
      <c r="CN3883" s="48"/>
      <c r="CO3883" s="48"/>
      <c r="CP3883" s="48"/>
      <c r="CQ3883" s="48"/>
      <c r="CR3883" s="48"/>
      <c r="CS3883" s="48"/>
      <c r="CT3883" s="48"/>
      <c r="CU3883" s="48"/>
      <c r="CV3883" s="48"/>
      <c r="CW3883" s="48"/>
      <c r="CX3883" s="48"/>
      <c r="CY3883" s="48"/>
      <c r="CZ3883" s="48"/>
    </row>
    <row r="3884" spans="27:104" s="4" customFormat="1" x14ac:dyDescent="0.3">
      <c r="AA3884" s="48"/>
      <c r="AB3884" s="48"/>
      <c r="AC3884" s="48"/>
      <c r="AD3884" s="48"/>
      <c r="AE3884" s="48"/>
      <c r="AF3884" s="48"/>
      <c r="AG3884" s="48"/>
      <c r="AH3884" s="48"/>
      <c r="AI3884" s="48"/>
      <c r="AJ3884" s="48"/>
      <c r="AK3884" s="48"/>
      <c r="AL3884" s="48"/>
      <c r="AM3884" s="48"/>
      <c r="AN3884" s="48"/>
      <c r="AO3884" s="48"/>
      <c r="AP3884" s="48"/>
      <c r="AQ3884" s="48"/>
      <c r="AR3884" s="48"/>
      <c r="AS3884" s="48"/>
      <c r="AT3884" s="48"/>
      <c r="AU3884" s="48"/>
      <c r="AV3884" s="48"/>
      <c r="AW3884" s="48"/>
      <c r="AX3884" s="48"/>
      <c r="AY3884" s="48"/>
      <c r="AZ3884" s="48"/>
      <c r="BA3884" s="48"/>
      <c r="BB3884" s="14"/>
      <c r="BC3884" s="48"/>
      <c r="BD3884" s="48"/>
      <c r="BE3884" s="48"/>
      <c r="BF3884" s="48"/>
      <c r="BG3884" s="48"/>
      <c r="BH3884" s="48"/>
      <c r="BI3884" s="48"/>
      <c r="BJ3884" s="48"/>
      <c r="BK3884" s="48"/>
      <c r="BL3884" s="48"/>
      <c r="BM3884" s="48"/>
      <c r="BN3884" s="48"/>
      <c r="BO3884" s="48"/>
      <c r="BP3884" s="48"/>
      <c r="BQ3884" s="48"/>
      <c r="BR3884" s="48"/>
      <c r="BS3884" s="48"/>
      <c r="BT3884" s="48"/>
      <c r="BU3884" s="48"/>
      <c r="BV3884" s="48"/>
      <c r="BW3884" s="48"/>
      <c r="BX3884" s="48"/>
      <c r="BY3884" s="48"/>
      <c r="BZ3884" s="48"/>
      <c r="CA3884" s="48"/>
      <c r="CB3884" s="48"/>
      <c r="CC3884" s="48"/>
      <c r="CD3884" s="48"/>
      <c r="CE3884" s="48"/>
      <c r="CF3884" s="48"/>
      <c r="CG3884" s="48"/>
      <c r="CH3884" s="48"/>
      <c r="CI3884" s="48"/>
      <c r="CJ3884" s="48"/>
      <c r="CK3884" s="48"/>
      <c r="CL3884" s="48"/>
      <c r="CM3884" s="48"/>
      <c r="CN3884" s="48"/>
      <c r="CO3884" s="48"/>
      <c r="CP3884" s="48"/>
      <c r="CQ3884" s="48"/>
      <c r="CR3884" s="48"/>
      <c r="CS3884" s="48"/>
      <c r="CT3884" s="48"/>
      <c r="CU3884" s="48"/>
      <c r="CV3884" s="48"/>
      <c r="CW3884" s="48"/>
      <c r="CX3884" s="48"/>
      <c r="CY3884" s="48"/>
      <c r="CZ3884" s="48"/>
    </row>
    <row r="3885" spans="27:104" s="4" customFormat="1" x14ac:dyDescent="0.3">
      <c r="AA3885" s="48"/>
      <c r="AB3885" s="48"/>
      <c r="AC3885" s="48"/>
      <c r="AD3885" s="48"/>
      <c r="AE3885" s="48"/>
      <c r="AF3885" s="48"/>
      <c r="AG3885" s="48"/>
      <c r="AH3885" s="48"/>
      <c r="AI3885" s="48"/>
      <c r="AJ3885" s="48"/>
      <c r="AK3885" s="48"/>
      <c r="AL3885" s="48"/>
      <c r="AM3885" s="48"/>
      <c r="AN3885" s="48"/>
      <c r="AO3885" s="48"/>
      <c r="AP3885" s="48"/>
      <c r="AQ3885" s="48"/>
      <c r="AR3885" s="48"/>
      <c r="AS3885" s="48"/>
      <c r="AT3885" s="48"/>
      <c r="AU3885" s="48"/>
      <c r="AV3885" s="48"/>
      <c r="AW3885" s="48"/>
      <c r="AX3885" s="48"/>
      <c r="AY3885" s="48"/>
      <c r="AZ3885" s="48"/>
      <c r="BA3885" s="48"/>
      <c r="BB3885" s="14"/>
      <c r="BC3885" s="48"/>
      <c r="BD3885" s="48"/>
      <c r="BE3885" s="48"/>
      <c r="BF3885" s="48"/>
      <c r="BG3885" s="48"/>
      <c r="BH3885" s="48"/>
      <c r="BI3885" s="48"/>
      <c r="BJ3885" s="48"/>
      <c r="BK3885" s="48"/>
      <c r="BL3885" s="48"/>
      <c r="BM3885" s="48"/>
      <c r="BN3885" s="48"/>
      <c r="BO3885" s="48"/>
      <c r="BP3885" s="48"/>
      <c r="BQ3885" s="48"/>
      <c r="BR3885" s="48"/>
      <c r="BS3885" s="48"/>
      <c r="BT3885" s="48"/>
      <c r="BU3885" s="48"/>
      <c r="BV3885" s="48"/>
      <c r="BW3885" s="48"/>
      <c r="BX3885" s="48"/>
      <c r="BY3885" s="48"/>
      <c r="BZ3885" s="48"/>
      <c r="CA3885" s="48"/>
      <c r="CB3885" s="48"/>
      <c r="CC3885" s="48"/>
      <c r="CD3885" s="48"/>
      <c r="CE3885" s="48"/>
      <c r="CF3885" s="48"/>
      <c r="CG3885" s="48"/>
      <c r="CH3885" s="48"/>
      <c r="CI3885" s="48"/>
      <c r="CJ3885" s="48"/>
      <c r="CK3885" s="48"/>
      <c r="CL3885" s="48"/>
      <c r="CM3885" s="48"/>
      <c r="CN3885" s="48"/>
      <c r="CO3885" s="48"/>
      <c r="CP3885" s="48"/>
      <c r="CQ3885" s="48"/>
      <c r="CR3885" s="48"/>
      <c r="CS3885" s="48"/>
      <c r="CT3885" s="48"/>
      <c r="CU3885" s="48"/>
      <c r="CV3885" s="48"/>
      <c r="CW3885" s="48"/>
      <c r="CX3885" s="48"/>
      <c r="CY3885" s="48"/>
      <c r="CZ3885" s="48"/>
    </row>
    <row r="3886" spans="27:104" s="4" customFormat="1" x14ac:dyDescent="0.3">
      <c r="AA3886" s="48"/>
      <c r="AB3886" s="48"/>
      <c r="AC3886" s="48"/>
      <c r="AD3886" s="48"/>
      <c r="AE3886" s="48"/>
      <c r="AF3886" s="48"/>
      <c r="AG3886" s="48"/>
      <c r="AH3886" s="48"/>
      <c r="AI3886" s="48"/>
      <c r="AJ3886" s="48"/>
      <c r="AK3886" s="48"/>
      <c r="AL3886" s="48"/>
      <c r="AM3886" s="48"/>
      <c r="AN3886" s="48"/>
      <c r="AO3886" s="48"/>
      <c r="AP3886" s="48"/>
      <c r="AQ3886" s="48"/>
      <c r="AR3886" s="48"/>
      <c r="AS3886" s="48"/>
      <c r="AT3886" s="48"/>
      <c r="AU3886" s="48"/>
      <c r="AV3886" s="48"/>
      <c r="AW3886" s="48"/>
      <c r="AX3886" s="48"/>
      <c r="AY3886" s="48"/>
      <c r="AZ3886" s="48"/>
      <c r="BA3886" s="48"/>
      <c r="BB3886" s="14"/>
      <c r="BC3886" s="48"/>
      <c r="BD3886" s="48"/>
      <c r="BE3886" s="48"/>
      <c r="BF3886" s="48"/>
      <c r="BG3886" s="48"/>
      <c r="BH3886" s="48"/>
      <c r="BI3886" s="48"/>
      <c r="BJ3886" s="48"/>
      <c r="BK3886" s="48"/>
      <c r="BL3886" s="48"/>
      <c r="BM3886" s="48"/>
      <c r="BN3886" s="48"/>
      <c r="BO3886" s="48"/>
      <c r="BP3886" s="48"/>
      <c r="BQ3886" s="48"/>
      <c r="BR3886" s="48"/>
      <c r="BS3886" s="48"/>
      <c r="BT3886" s="48"/>
      <c r="BU3886" s="48"/>
      <c r="BV3886" s="48"/>
      <c r="BW3886" s="48"/>
      <c r="BX3886" s="48"/>
      <c r="BY3886" s="48"/>
      <c r="BZ3886" s="48"/>
      <c r="CA3886" s="48"/>
      <c r="CB3886" s="48"/>
      <c r="CC3886" s="48"/>
      <c r="CD3886" s="48"/>
      <c r="CE3886" s="48"/>
      <c r="CF3886" s="48"/>
      <c r="CG3886" s="48"/>
      <c r="CH3886" s="48"/>
      <c r="CI3886" s="48"/>
      <c r="CJ3886" s="48"/>
      <c r="CK3886" s="48"/>
      <c r="CL3886" s="48"/>
      <c r="CM3886" s="48"/>
      <c r="CN3886" s="48"/>
      <c r="CO3886" s="48"/>
      <c r="CP3886" s="48"/>
      <c r="CQ3886" s="48"/>
      <c r="CR3886" s="48"/>
      <c r="CS3886" s="48"/>
      <c r="CT3886" s="48"/>
      <c r="CU3886" s="48"/>
      <c r="CV3886" s="48"/>
      <c r="CW3886" s="48"/>
      <c r="CX3886" s="48"/>
      <c r="CY3886" s="48"/>
      <c r="CZ3886" s="48"/>
    </row>
    <row r="3887" spans="27:104" s="4" customFormat="1" x14ac:dyDescent="0.3">
      <c r="AA3887" s="48"/>
      <c r="AB3887" s="48"/>
      <c r="AC3887" s="48"/>
      <c r="AD3887" s="48"/>
      <c r="AE3887" s="48"/>
      <c r="AF3887" s="48"/>
      <c r="AG3887" s="48"/>
      <c r="AH3887" s="48"/>
      <c r="AI3887" s="48"/>
      <c r="AJ3887" s="48"/>
      <c r="AK3887" s="48"/>
      <c r="AL3887" s="48"/>
      <c r="AM3887" s="48"/>
      <c r="AN3887" s="48"/>
      <c r="AO3887" s="48"/>
      <c r="AP3887" s="48"/>
      <c r="AQ3887" s="48"/>
      <c r="AR3887" s="48"/>
      <c r="AS3887" s="48"/>
      <c r="AT3887" s="48"/>
      <c r="AU3887" s="48"/>
      <c r="AV3887" s="48"/>
      <c r="AW3887" s="48"/>
      <c r="AX3887" s="48"/>
      <c r="AY3887" s="48"/>
      <c r="AZ3887" s="48"/>
      <c r="BA3887" s="48"/>
      <c r="BB3887" s="14"/>
      <c r="BC3887" s="48"/>
      <c r="BD3887" s="48"/>
      <c r="BE3887" s="48"/>
      <c r="BF3887" s="48"/>
      <c r="BG3887" s="48"/>
      <c r="BH3887" s="48"/>
      <c r="BI3887" s="48"/>
      <c r="BJ3887" s="48"/>
      <c r="BK3887" s="48"/>
      <c r="BL3887" s="48"/>
      <c r="BM3887" s="48"/>
      <c r="BN3887" s="48"/>
      <c r="BO3887" s="48"/>
      <c r="BP3887" s="48"/>
      <c r="BQ3887" s="48"/>
      <c r="BR3887" s="48"/>
      <c r="BS3887" s="48"/>
      <c r="BT3887" s="48"/>
      <c r="BU3887" s="48"/>
      <c r="BV3887" s="48"/>
      <c r="BW3887" s="48"/>
      <c r="BX3887" s="48"/>
      <c r="BY3887" s="48"/>
      <c r="BZ3887" s="48"/>
      <c r="CA3887" s="48"/>
      <c r="CB3887" s="48"/>
      <c r="CC3887" s="48"/>
      <c r="CD3887" s="48"/>
      <c r="CE3887" s="48"/>
      <c r="CF3887" s="48"/>
      <c r="CG3887" s="48"/>
      <c r="CH3887" s="48"/>
      <c r="CI3887" s="48"/>
      <c r="CJ3887" s="48"/>
      <c r="CK3887" s="48"/>
      <c r="CL3887" s="48"/>
      <c r="CM3887" s="48"/>
      <c r="CN3887" s="48"/>
      <c r="CO3887" s="48"/>
      <c r="CP3887" s="48"/>
      <c r="CQ3887" s="48"/>
      <c r="CR3887" s="48"/>
      <c r="CS3887" s="48"/>
      <c r="CT3887" s="48"/>
      <c r="CU3887" s="48"/>
      <c r="CV3887" s="48"/>
      <c r="CW3887" s="48"/>
      <c r="CX3887" s="48"/>
      <c r="CY3887" s="48"/>
      <c r="CZ3887" s="48"/>
    </row>
    <row r="3888" spans="27:104" s="4" customFormat="1" x14ac:dyDescent="0.3">
      <c r="AA3888" s="48"/>
      <c r="AB3888" s="48"/>
      <c r="AC3888" s="48"/>
      <c r="AD3888" s="48"/>
      <c r="AE3888" s="48"/>
      <c r="AF3888" s="48"/>
      <c r="AG3888" s="48"/>
      <c r="AH3888" s="48"/>
      <c r="AI3888" s="48"/>
      <c r="AJ3888" s="48"/>
      <c r="AK3888" s="48"/>
      <c r="AL3888" s="48"/>
      <c r="AM3888" s="48"/>
      <c r="AN3888" s="48"/>
      <c r="AO3888" s="48"/>
      <c r="AP3888" s="48"/>
      <c r="AQ3888" s="48"/>
      <c r="AR3888" s="48"/>
      <c r="AS3888" s="48"/>
      <c r="AT3888" s="48"/>
      <c r="AU3888" s="48"/>
      <c r="AV3888" s="48"/>
      <c r="AW3888" s="48"/>
      <c r="AX3888" s="48"/>
      <c r="AY3888" s="48"/>
      <c r="AZ3888" s="48"/>
      <c r="BA3888" s="48"/>
      <c r="BB3888" s="14"/>
      <c r="BC3888" s="48"/>
      <c r="BD3888" s="48"/>
      <c r="BE3888" s="48"/>
      <c r="BF3888" s="48"/>
      <c r="BG3888" s="48"/>
      <c r="BH3888" s="48"/>
      <c r="BI3888" s="48"/>
      <c r="BJ3888" s="48"/>
      <c r="BK3888" s="48"/>
      <c r="BL3888" s="48"/>
      <c r="BM3888" s="48"/>
      <c r="BN3888" s="48"/>
      <c r="BO3888" s="48"/>
      <c r="BP3888" s="48"/>
      <c r="BQ3888" s="48"/>
      <c r="BR3888" s="48"/>
      <c r="BS3888" s="48"/>
      <c r="BT3888" s="48"/>
      <c r="BU3888" s="48"/>
      <c r="BV3888" s="48"/>
      <c r="BW3888" s="48"/>
      <c r="BX3888" s="48"/>
      <c r="BY3888" s="48"/>
      <c r="BZ3888" s="48"/>
      <c r="CA3888" s="48"/>
      <c r="CB3888" s="48"/>
      <c r="CC3888" s="48"/>
      <c r="CD3888" s="48"/>
      <c r="CE3888" s="48"/>
      <c r="CF3888" s="48"/>
      <c r="CG3888" s="48"/>
      <c r="CH3888" s="48"/>
      <c r="CI3888" s="48"/>
      <c r="CJ3888" s="48"/>
      <c r="CK3888" s="48"/>
      <c r="CL3888" s="48"/>
      <c r="CM3888" s="48"/>
      <c r="CN3888" s="48"/>
      <c r="CO3888" s="48"/>
      <c r="CP3888" s="48"/>
      <c r="CQ3888" s="48"/>
      <c r="CR3888" s="48"/>
      <c r="CS3888" s="48"/>
      <c r="CT3888" s="48"/>
      <c r="CU3888" s="48"/>
      <c r="CV3888" s="48"/>
      <c r="CW3888" s="48"/>
      <c r="CX3888" s="48"/>
      <c r="CY3888" s="48"/>
      <c r="CZ3888" s="48"/>
    </row>
    <row r="3889" spans="27:104" s="4" customFormat="1" x14ac:dyDescent="0.3">
      <c r="AA3889" s="48"/>
      <c r="AB3889" s="48"/>
      <c r="AC3889" s="48"/>
      <c r="AD3889" s="48"/>
      <c r="AE3889" s="48"/>
      <c r="AF3889" s="48"/>
      <c r="AG3889" s="48"/>
      <c r="AH3889" s="48"/>
      <c r="AI3889" s="48"/>
      <c r="AJ3889" s="48"/>
      <c r="AK3889" s="48"/>
      <c r="AL3889" s="48"/>
      <c r="AM3889" s="48"/>
      <c r="AN3889" s="48"/>
      <c r="AO3889" s="48"/>
      <c r="AP3889" s="48"/>
      <c r="AQ3889" s="48"/>
      <c r="AR3889" s="48"/>
      <c r="AS3889" s="48"/>
      <c r="AT3889" s="48"/>
      <c r="AU3889" s="48"/>
      <c r="AV3889" s="48"/>
      <c r="AW3889" s="48"/>
      <c r="AX3889" s="48"/>
      <c r="AY3889" s="48"/>
      <c r="AZ3889" s="48"/>
      <c r="BA3889" s="48"/>
      <c r="BB3889" s="14"/>
      <c r="BC3889" s="48"/>
      <c r="BD3889" s="48"/>
      <c r="BE3889" s="48"/>
      <c r="BF3889" s="48"/>
      <c r="BG3889" s="48"/>
      <c r="BH3889" s="48"/>
      <c r="BI3889" s="48"/>
      <c r="BJ3889" s="48"/>
      <c r="BK3889" s="48"/>
      <c r="BL3889" s="48"/>
      <c r="BM3889" s="48"/>
      <c r="BN3889" s="48"/>
      <c r="BO3889" s="48"/>
      <c r="BP3889" s="48"/>
      <c r="BQ3889" s="48"/>
      <c r="BR3889" s="48"/>
      <c r="BS3889" s="48"/>
      <c r="BT3889" s="48"/>
      <c r="BU3889" s="48"/>
      <c r="BV3889" s="48"/>
      <c r="BW3889" s="48"/>
      <c r="BX3889" s="48"/>
      <c r="BY3889" s="48"/>
      <c r="BZ3889" s="48"/>
      <c r="CA3889" s="48"/>
      <c r="CB3889" s="48"/>
      <c r="CC3889" s="48"/>
      <c r="CD3889" s="48"/>
      <c r="CE3889" s="48"/>
      <c r="CF3889" s="48"/>
      <c r="CG3889" s="48"/>
      <c r="CH3889" s="48"/>
      <c r="CI3889" s="48"/>
      <c r="CJ3889" s="48"/>
      <c r="CK3889" s="48"/>
      <c r="CL3889" s="48"/>
      <c r="CM3889" s="48"/>
      <c r="CN3889" s="48"/>
      <c r="CO3889" s="48"/>
      <c r="CP3889" s="48"/>
      <c r="CQ3889" s="48"/>
      <c r="CR3889" s="48"/>
      <c r="CS3889" s="48"/>
      <c r="CT3889" s="48"/>
      <c r="CU3889" s="48"/>
      <c r="CV3889" s="48"/>
      <c r="CW3889" s="48"/>
      <c r="CX3889" s="48"/>
      <c r="CY3889" s="48"/>
      <c r="CZ3889" s="48"/>
    </row>
    <row r="3890" spans="27:104" s="4" customFormat="1" x14ac:dyDescent="0.3">
      <c r="AA3890" s="48"/>
      <c r="AB3890" s="48"/>
      <c r="AC3890" s="48"/>
      <c r="AD3890" s="48"/>
      <c r="AE3890" s="48"/>
      <c r="AF3890" s="48"/>
      <c r="AG3890" s="48"/>
      <c r="AH3890" s="48"/>
      <c r="AI3890" s="48"/>
      <c r="AJ3890" s="48"/>
      <c r="AK3890" s="48"/>
      <c r="AL3890" s="48"/>
      <c r="AM3890" s="48"/>
      <c r="AN3890" s="48"/>
      <c r="AO3890" s="48"/>
      <c r="AP3890" s="48"/>
      <c r="AQ3890" s="48"/>
      <c r="AR3890" s="48"/>
      <c r="AS3890" s="48"/>
      <c r="AT3890" s="48"/>
      <c r="AU3890" s="48"/>
      <c r="AV3890" s="48"/>
      <c r="AW3890" s="48"/>
      <c r="AX3890" s="48"/>
      <c r="AY3890" s="48"/>
      <c r="AZ3890" s="48"/>
      <c r="BA3890" s="48"/>
      <c r="BB3890" s="14"/>
      <c r="BC3890" s="48"/>
      <c r="BD3890" s="48"/>
      <c r="BE3890" s="48"/>
      <c r="BF3890" s="48"/>
      <c r="BG3890" s="48"/>
      <c r="BH3890" s="48"/>
      <c r="BI3890" s="48"/>
      <c r="BJ3890" s="48"/>
      <c r="BK3890" s="48"/>
      <c r="BL3890" s="48"/>
      <c r="BM3890" s="48"/>
      <c r="BN3890" s="48"/>
      <c r="BO3890" s="48"/>
      <c r="BP3890" s="48"/>
      <c r="BQ3890" s="48"/>
      <c r="BR3890" s="48"/>
      <c r="BS3890" s="48"/>
      <c r="BT3890" s="48"/>
      <c r="BU3890" s="48"/>
      <c r="BV3890" s="48"/>
      <c r="BW3890" s="48"/>
      <c r="BX3890" s="48"/>
      <c r="BY3890" s="48"/>
      <c r="BZ3890" s="48"/>
      <c r="CA3890" s="48"/>
      <c r="CB3890" s="48"/>
      <c r="CC3890" s="48"/>
      <c r="CD3890" s="48"/>
      <c r="CE3890" s="48"/>
      <c r="CF3890" s="48"/>
      <c r="CG3890" s="48"/>
      <c r="CH3890" s="48"/>
      <c r="CI3890" s="48"/>
      <c r="CJ3890" s="48"/>
      <c r="CK3890" s="48"/>
      <c r="CL3890" s="48"/>
      <c r="CM3890" s="48"/>
      <c r="CN3890" s="48"/>
      <c r="CO3890" s="48"/>
      <c r="CP3890" s="48"/>
      <c r="CQ3890" s="48"/>
      <c r="CR3890" s="48"/>
      <c r="CS3890" s="48"/>
      <c r="CT3890" s="48"/>
      <c r="CU3890" s="48"/>
      <c r="CV3890" s="48"/>
      <c r="CW3890" s="48"/>
      <c r="CX3890" s="48"/>
      <c r="CY3890" s="48"/>
      <c r="CZ3890" s="48"/>
    </row>
    <row r="3891" spans="27:104" s="4" customFormat="1" x14ac:dyDescent="0.3">
      <c r="AA3891" s="48"/>
      <c r="AB3891" s="48"/>
      <c r="AC3891" s="48"/>
      <c r="AD3891" s="48"/>
      <c r="AE3891" s="48"/>
      <c r="AF3891" s="48"/>
      <c r="AG3891" s="48"/>
      <c r="AH3891" s="48"/>
      <c r="AI3891" s="48"/>
      <c r="AJ3891" s="48"/>
      <c r="AK3891" s="48"/>
      <c r="AL3891" s="48"/>
      <c r="AM3891" s="48"/>
      <c r="AN3891" s="48"/>
      <c r="AO3891" s="48"/>
      <c r="AP3891" s="48"/>
      <c r="AQ3891" s="48"/>
      <c r="AR3891" s="48"/>
      <c r="AS3891" s="48"/>
      <c r="AT3891" s="48"/>
      <c r="AU3891" s="48"/>
      <c r="AV3891" s="48"/>
      <c r="AW3891" s="48"/>
      <c r="AX3891" s="48"/>
      <c r="AY3891" s="48"/>
      <c r="AZ3891" s="48"/>
      <c r="BA3891" s="48"/>
      <c r="BB3891" s="14"/>
      <c r="BC3891" s="48"/>
      <c r="BD3891" s="48"/>
      <c r="BE3891" s="48"/>
      <c r="BF3891" s="48"/>
      <c r="BG3891" s="48"/>
      <c r="BH3891" s="48"/>
      <c r="BI3891" s="48"/>
      <c r="BJ3891" s="48"/>
      <c r="BK3891" s="48"/>
      <c r="BL3891" s="48"/>
      <c r="BM3891" s="48"/>
      <c r="BN3891" s="48"/>
      <c r="BO3891" s="48"/>
      <c r="BP3891" s="48"/>
      <c r="BQ3891" s="48"/>
      <c r="BR3891" s="48"/>
      <c r="BS3891" s="48"/>
      <c r="BT3891" s="48"/>
      <c r="BU3891" s="48"/>
      <c r="BV3891" s="48"/>
      <c r="BW3891" s="48"/>
      <c r="BX3891" s="48"/>
      <c r="BY3891" s="48"/>
      <c r="BZ3891" s="48"/>
      <c r="CA3891" s="48"/>
      <c r="CB3891" s="48"/>
      <c r="CC3891" s="48"/>
      <c r="CD3891" s="48"/>
      <c r="CE3891" s="48"/>
      <c r="CF3891" s="48"/>
      <c r="CG3891" s="48"/>
      <c r="CH3891" s="48"/>
      <c r="CI3891" s="48"/>
      <c r="CJ3891" s="48"/>
      <c r="CK3891" s="48"/>
      <c r="CL3891" s="48"/>
      <c r="CM3891" s="48"/>
      <c r="CN3891" s="48"/>
      <c r="CO3891" s="48"/>
      <c r="CP3891" s="48"/>
      <c r="CQ3891" s="48"/>
      <c r="CR3891" s="48"/>
      <c r="CS3891" s="48"/>
      <c r="CT3891" s="48"/>
      <c r="CU3891" s="48"/>
      <c r="CV3891" s="48"/>
      <c r="CW3891" s="48"/>
      <c r="CX3891" s="48"/>
      <c r="CY3891" s="48"/>
      <c r="CZ3891" s="48"/>
    </row>
    <row r="3892" spans="27:104" s="4" customFormat="1" x14ac:dyDescent="0.3">
      <c r="AA3892" s="48"/>
      <c r="AB3892" s="48"/>
      <c r="AC3892" s="48"/>
      <c r="AD3892" s="48"/>
      <c r="AE3892" s="48"/>
      <c r="AF3892" s="48"/>
      <c r="AG3892" s="48"/>
      <c r="AH3892" s="48"/>
      <c r="AI3892" s="48"/>
      <c r="AJ3892" s="48"/>
      <c r="AK3892" s="48"/>
      <c r="AL3892" s="48"/>
      <c r="AM3892" s="48"/>
      <c r="AN3892" s="48"/>
      <c r="AO3892" s="48"/>
      <c r="AP3892" s="48"/>
      <c r="AQ3892" s="48"/>
      <c r="AR3892" s="48"/>
      <c r="AS3892" s="48"/>
      <c r="AT3892" s="48"/>
      <c r="AU3892" s="48"/>
      <c r="AV3892" s="48"/>
      <c r="AW3892" s="48"/>
      <c r="AX3892" s="48"/>
      <c r="AY3892" s="48"/>
      <c r="AZ3892" s="48"/>
      <c r="BA3892" s="48"/>
      <c r="BB3892" s="14"/>
      <c r="BC3892" s="48"/>
      <c r="BD3892" s="48"/>
      <c r="BE3892" s="48"/>
      <c r="BF3892" s="48"/>
      <c r="BG3892" s="48"/>
      <c r="BH3892" s="48"/>
      <c r="BI3892" s="48"/>
      <c r="BJ3892" s="48"/>
      <c r="BK3892" s="48"/>
      <c r="BL3892" s="48"/>
      <c r="BM3892" s="48"/>
      <c r="BN3892" s="48"/>
      <c r="BO3892" s="48"/>
      <c r="BP3892" s="48"/>
      <c r="BQ3892" s="48"/>
      <c r="BR3892" s="48"/>
      <c r="BS3892" s="48"/>
      <c r="BT3892" s="48"/>
      <c r="BU3892" s="48"/>
      <c r="BV3892" s="48"/>
      <c r="BW3892" s="48"/>
      <c r="BX3892" s="48"/>
      <c r="BY3892" s="48"/>
      <c r="BZ3892" s="48"/>
      <c r="CA3892" s="48"/>
      <c r="CB3892" s="48"/>
      <c r="CC3892" s="48"/>
      <c r="CD3892" s="48"/>
      <c r="CE3892" s="48"/>
      <c r="CF3892" s="48"/>
      <c r="CG3892" s="48"/>
      <c r="CH3892" s="48"/>
      <c r="CI3892" s="48"/>
      <c r="CJ3892" s="48"/>
      <c r="CK3892" s="48"/>
      <c r="CL3892" s="48"/>
      <c r="CM3892" s="48"/>
      <c r="CN3892" s="48"/>
      <c r="CO3892" s="48"/>
      <c r="CP3892" s="48"/>
      <c r="CQ3892" s="48"/>
      <c r="CR3892" s="48"/>
      <c r="CS3892" s="48"/>
      <c r="CT3892" s="48"/>
      <c r="CU3892" s="48"/>
      <c r="CV3892" s="48"/>
      <c r="CW3892" s="48"/>
      <c r="CX3892" s="48"/>
      <c r="CY3892" s="48"/>
      <c r="CZ3892" s="48"/>
    </row>
    <row r="3893" spans="27:104" s="4" customFormat="1" x14ac:dyDescent="0.3">
      <c r="AA3893" s="48"/>
      <c r="AB3893" s="48"/>
      <c r="AC3893" s="48"/>
      <c r="AD3893" s="48"/>
      <c r="AE3893" s="48"/>
      <c r="AF3893" s="48"/>
      <c r="AG3893" s="48"/>
      <c r="AH3893" s="48"/>
      <c r="AI3893" s="48"/>
      <c r="AJ3893" s="48"/>
      <c r="AK3893" s="48"/>
      <c r="AL3893" s="48"/>
      <c r="AM3893" s="48"/>
      <c r="AN3893" s="48"/>
      <c r="AO3893" s="48"/>
      <c r="AP3893" s="48"/>
      <c r="AQ3893" s="48"/>
      <c r="AR3893" s="48"/>
      <c r="AS3893" s="48"/>
      <c r="AT3893" s="48"/>
      <c r="AU3893" s="48"/>
      <c r="AV3893" s="48"/>
      <c r="AW3893" s="48"/>
      <c r="AX3893" s="48"/>
      <c r="AY3893" s="48"/>
      <c r="AZ3893" s="48"/>
      <c r="BA3893" s="48"/>
      <c r="BB3893" s="14"/>
      <c r="BC3893" s="48"/>
      <c r="BD3893" s="48"/>
      <c r="BE3893" s="48"/>
      <c r="BF3893" s="48"/>
      <c r="BG3893" s="48"/>
      <c r="BH3893" s="48"/>
      <c r="BI3893" s="48"/>
      <c r="BJ3893" s="48"/>
      <c r="BK3893" s="48"/>
      <c r="BL3893" s="48"/>
      <c r="BM3893" s="48"/>
      <c r="BN3893" s="48"/>
      <c r="BO3893" s="48"/>
      <c r="BP3893" s="48"/>
      <c r="BQ3893" s="48"/>
      <c r="BR3893" s="48"/>
      <c r="BS3893" s="48"/>
      <c r="BT3893" s="48"/>
      <c r="BU3893" s="48"/>
      <c r="BV3893" s="48"/>
      <c r="BW3893" s="48"/>
      <c r="BX3893" s="48"/>
      <c r="BY3893" s="48"/>
      <c r="BZ3893" s="48"/>
      <c r="CA3893" s="48"/>
      <c r="CB3893" s="48"/>
      <c r="CC3893" s="48"/>
      <c r="CD3893" s="48"/>
      <c r="CE3893" s="48"/>
      <c r="CF3893" s="48"/>
      <c r="CG3893" s="48"/>
      <c r="CH3893" s="48"/>
      <c r="CI3893" s="48"/>
      <c r="CJ3893" s="48"/>
      <c r="CK3893" s="48"/>
      <c r="CL3893" s="48"/>
      <c r="CM3893" s="48"/>
      <c r="CN3893" s="48"/>
      <c r="CO3893" s="48"/>
      <c r="CP3893" s="48"/>
      <c r="CQ3893" s="48"/>
      <c r="CR3893" s="48"/>
      <c r="CS3893" s="48"/>
      <c r="CT3893" s="48"/>
      <c r="CU3893" s="48"/>
      <c r="CV3893" s="48"/>
      <c r="CW3893" s="48"/>
      <c r="CX3893" s="48"/>
      <c r="CY3893" s="48"/>
      <c r="CZ3893" s="48"/>
    </row>
    <row r="3894" spans="27:104" s="4" customFormat="1" x14ac:dyDescent="0.3">
      <c r="AA3894" s="48"/>
      <c r="AB3894" s="48"/>
      <c r="AC3894" s="48"/>
      <c r="AD3894" s="48"/>
      <c r="AE3894" s="48"/>
      <c r="AF3894" s="48"/>
      <c r="AG3894" s="48"/>
      <c r="AH3894" s="48"/>
      <c r="AI3894" s="48"/>
      <c r="AJ3894" s="48"/>
      <c r="AK3894" s="48"/>
      <c r="AL3894" s="48"/>
      <c r="AM3894" s="48"/>
      <c r="AN3894" s="48"/>
      <c r="AO3894" s="48"/>
      <c r="AP3894" s="48"/>
      <c r="AQ3894" s="48"/>
      <c r="AR3894" s="48"/>
      <c r="AS3894" s="48"/>
      <c r="AT3894" s="48"/>
      <c r="AU3894" s="48"/>
      <c r="AV3894" s="48"/>
      <c r="AW3894" s="48"/>
      <c r="AX3894" s="48"/>
      <c r="AY3894" s="48"/>
      <c r="AZ3894" s="48"/>
      <c r="BA3894" s="48"/>
      <c r="BB3894" s="14"/>
      <c r="BC3894" s="48"/>
      <c r="BD3894" s="48"/>
      <c r="BE3894" s="48"/>
      <c r="BF3894" s="48"/>
      <c r="BG3894" s="48"/>
      <c r="BH3894" s="48"/>
      <c r="BI3894" s="48"/>
      <c r="BJ3894" s="48"/>
      <c r="BK3894" s="48"/>
      <c r="BL3894" s="48"/>
      <c r="BM3894" s="48"/>
      <c r="BN3894" s="48"/>
      <c r="BO3894" s="48"/>
      <c r="BP3894" s="48"/>
      <c r="BQ3894" s="48"/>
      <c r="BR3894" s="48"/>
      <c r="BS3894" s="48"/>
      <c r="BT3894" s="48"/>
      <c r="BU3894" s="48"/>
      <c r="BV3894" s="48"/>
      <c r="BW3894" s="48"/>
      <c r="BX3894" s="48"/>
      <c r="BY3894" s="48"/>
      <c r="BZ3894" s="48"/>
      <c r="CA3894" s="48"/>
      <c r="CB3894" s="48"/>
      <c r="CC3894" s="48"/>
      <c r="CD3894" s="48"/>
      <c r="CE3894" s="48"/>
      <c r="CF3894" s="48"/>
      <c r="CG3894" s="48"/>
      <c r="CH3894" s="48"/>
      <c r="CI3894" s="48"/>
      <c r="CJ3894" s="48"/>
      <c r="CK3894" s="48"/>
      <c r="CL3894" s="48"/>
      <c r="CM3894" s="48"/>
      <c r="CN3894" s="48"/>
      <c r="CO3894" s="48"/>
      <c r="CP3894" s="48"/>
      <c r="CQ3894" s="48"/>
      <c r="CR3894" s="48"/>
      <c r="CS3894" s="48"/>
      <c r="CT3894" s="48"/>
      <c r="CU3894" s="48"/>
      <c r="CV3894" s="48"/>
      <c r="CW3894" s="48"/>
      <c r="CX3894" s="48"/>
      <c r="CY3894" s="48"/>
      <c r="CZ3894" s="48"/>
    </row>
    <row r="3895" spans="27:104" s="4" customFormat="1" x14ac:dyDescent="0.3">
      <c r="AA3895" s="48"/>
      <c r="AB3895" s="48"/>
      <c r="AC3895" s="48"/>
      <c r="AD3895" s="48"/>
      <c r="AE3895" s="48"/>
      <c r="AF3895" s="48"/>
      <c r="AG3895" s="48"/>
      <c r="AH3895" s="48"/>
      <c r="AI3895" s="48"/>
      <c r="AJ3895" s="48"/>
      <c r="AK3895" s="48"/>
      <c r="AL3895" s="48"/>
      <c r="AM3895" s="48"/>
      <c r="AN3895" s="48"/>
      <c r="AO3895" s="48"/>
      <c r="AP3895" s="48"/>
      <c r="AQ3895" s="48"/>
      <c r="AR3895" s="48"/>
      <c r="AS3895" s="48"/>
      <c r="AT3895" s="48"/>
      <c r="AU3895" s="48"/>
      <c r="AV3895" s="48"/>
      <c r="AW3895" s="48"/>
      <c r="AX3895" s="48"/>
      <c r="AY3895" s="48"/>
      <c r="AZ3895" s="48"/>
      <c r="BA3895" s="48"/>
      <c r="BB3895" s="14"/>
      <c r="BC3895" s="48"/>
      <c r="BD3895" s="48"/>
      <c r="BE3895" s="48"/>
      <c r="BF3895" s="48"/>
      <c r="BG3895" s="48"/>
      <c r="BH3895" s="48"/>
      <c r="BI3895" s="48"/>
      <c r="BJ3895" s="48"/>
      <c r="BK3895" s="48"/>
      <c r="BL3895" s="48"/>
      <c r="BM3895" s="48"/>
      <c r="BN3895" s="48"/>
      <c r="BO3895" s="48"/>
      <c r="BP3895" s="48"/>
      <c r="BQ3895" s="48"/>
      <c r="BR3895" s="48"/>
      <c r="BS3895" s="48"/>
      <c r="BT3895" s="48"/>
      <c r="BU3895" s="48"/>
      <c r="BV3895" s="48"/>
      <c r="BW3895" s="48"/>
      <c r="BX3895" s="48"/>
      <c r="BY3895" s="48"/>
      <c r="BZ3895" s="48"/>
      <c r="CA3895" s="48"/>
      <c r="CB3895" s="48"/>
      <c r="CC3895" s="48"/>
      <c r="CD3895" s="48"/>
      <c r="CE3895" s="48"/>
      <c r="CF3895" s="48"/>
      <c r="CG3895" s="48"/>
      <c r="CH3895" s="48"/>
      <c r="CI3895" s="48"/>
      <c r="CJ3895" s="48"/>
      <c r="CK3895" s="48"/>
      <c r="CL3895" s="48"/>
      <c r="CM3895" s="48"/>
      <c r="CN3895" s="48"/>
      <c r="CO3895" s="48"/>
      <c r="CP3895" s="48"/>
      <c r="CQ3895" s="48"/>
      <c r="CR3895" s="48"/>
      <c r="CS3895" s="48"/>
      <c r="CT3895" s="48"/>
      <c r="CU3895" s="48"/>
      <c r="CV3895" s="48"/>
      <c r="CW3895" s="48"/>
      <c r="CX3895" s="48"/>
      <c r="CY3895" s="48"/>
      <c r="CZ3895" s="48"/>
    </row>
    <row r="3896" spans="27:104" s="4" customFormat="1" x14ac:dyDescent="0.3">
      <c r="AA3896" s="48"/>
      <c r="AB3896" s="48"/>
      <c r="AC3896" s="48"/>
      <c r="AD3896" s="48"/>
      <c r="AE3896" s="48"/>
      <c r="AF3896" s="48"/>
      <c r="AG3896" s="48"/>
      <c r="AH3896" s="48"/>
      <c r="AI3896" s="48"/>
      <c r="AJ3896" s="48"/>
      <c r="AK3896" s="48"/>
      <c r="AL3896" s="48"/>
      <c r="AM3896" s="48"/>
      <c r="AN3896" s="48"/>
      <c r="AO3896" s="48"/>
      <c r="AP3896" s="48"/>
      <c r="AQ3896" s="48"/>
      <c r="AR3896" s="48"/>
      <c r="AS3896" s="48"/>
      <c r="AT3896" s="48"/>
      <c r="AU3896" s="48"/>
      <c r="AV3896" s="48"/>
      <c r="AW3896" s="48"/>
      <c r="AX3896" s="48"/>
      <c r="AY3896" s="48"/>
      <c r="AZ3896" s="48"/>
      <c r="BA3896" s="48"/>
      <c r="BB3896" s="14"/>
      <c r="BC3896" s="48"/>
      <c r="BD3896" s="48"/>
      <c r="BE3896" s="48"/>
      <c r="BF3896" s="48"/>
      <c r="BG3896" s="48"/>
      <c r="BH3896" s="48"/>
      <c r="BI3896" s="48"/>
      <c r="BJ3896" s="48"/>
      <c r="BK3896" s="48"/>
      <c r="BL3896" s="48"/>
      <c r="BM3896" s="48"/>
      <c r="BN3896" s="48"/>
      <c r="BO3896" s="48"/>
      <c r="BP3896" s="48"/>
      <c r="BQ3896" s="48"/>
      <c r="BR3896" s="48"/>
      <c r="BS3896" s="48"/>
      <c r="BT3896" s="48"/>
      <c r="BU3896" s="48"/>
      <c r="BV3896" s="48"/>
      <c r="BW3896" s="48"/>
      <c r="BX3896" s="48"/>
      <c r="BY3896" s="48"/>
      <c r="BZ3896" s="48"/>
      <c r="CA3896" s="48"/>
      <c r="CB3896" s="48"/>
      <c r="CC3896" s="48"/>
      <c r="CD3896" s="48"/>
      <c r="CE3896" s="48"/>
      <c r="CF3896" s="48"/>
      <c r="CG3896" s="48"/>
      <c r="CH3896" s="48"/>
      <c r="CI3896" s="48"/>
      <c r="CJ3896" s="48"/>
      <c r="CK3896" s="48"/>
      <c r="CL3896" s="48"/>
      <c r="CM3896" s="48"/>
      <c r="CN3896" s="48"/>
      <c r="CO3896" s="48"/>
      <c r="CP3896" s="48"/>
      <c r="CQ3896" s="48"/>
      <c r="CR3896" s="48"/>
      <c r="CS3896" s="48"/>
      <c r="CT3896" s="48"/>
      <c r="CU3896" s="48"/>
      <c r="CV3896" s="48"/>
      <c r="CW3896" s="48"/>
      <c r="CX3896" s="48"/>
      <c r="CY3896" s="48"/>
      <c r="CZ3896" s="48"/>
    </row>
    <row r="3897" spans="27:104" s="4" customFormat="1" x14ac:dyDescent="0.3">
      <c r="AA3897" s="48"/>
      <c r="AB3897" s="48"/>
      <c r="AC3897" s="48"/>
      <c r="AD3897" s="48"/>
      <c r="AE3897" s="48"/>
      <c r="AF3897" s="48"/>
      <c r="AG3897" s="48"/>
      <c r="AH3897" s="48"/>
      <c r="AI3897" s="48"/>
      <c r="AJ3897" s="48"/>
      <c r="AK3897" s="48"/>
      <c r="AL3897" s="48"/>
      <c r="AM3897" s="48"/>
      <c r="AN3897" s="48"/>
      <c r="AO3897" s="48"/>
      <c r="AP3897" s="48"/>
      <c r="AQ3897" s="48"/>
      <c r="AR3897" s="48"/>
      <c r="AS3897" s="48"/>
      <c r="AT3897" s="48"/>
      <c r="AU3897" s="48"/>
      <c r="AV3897" s="48"/>
      <c r="AW3897" s="48"/>
      <c r="AX3897" s="48"/>
      <c r="AY3897" s="48"/>
      <c r="AZ3897" s="48"/>
      <c r="BA3897" s="48"/>
      <c r="BB3897" s="14"/>
      <c r="BC3897" s="48"/>
      <c r="BD3897" s="48"/>
      <c r="BE3897" s="48"/>
      <c r="BF3897" s="48"/>
      <c r="BG3897" s="48"/>
      <c r="BH3897" s="48"/>
      <c r="BI3897" s="48"/>
      <c r="BJ3897" s="48"/>
      <c r="BK3897" s="48"/>
      <c r="BL3897" s="48"/>
      <c r="BM3897" s="48"/>
      <c r="BN3897" s="48"/>
      <c r="BO3897" s="48"/>
      <c r="BP3897" s="48"/>
      <c r="BQ3897" s="48"/>
      <c r="BR3897" s="48"/>
      <c r="BS3897" s="48"/>
      <c r="BT3897" s="48"/>
      <c r="BU3897" s="48"/>
      <c r="BV3897" s="48"/>
      <c r="BW3897" s="48"/>
      <c r="BX3897" s="48"/>
      <c r="BY3897" s="48"/>
      <c r="BZ3897" s="48"/>
      <c r="CA3897" s="48"/>
      <c r="CB3897" s="48"/>
      <c r="CC3897" s="48"/>
      <c r="CD3897" s="48"/>
      <c r="CE3897" s="48"/>
      <c r="CF3897" s="48"/>
      <c r="CG3897" s="48"/>
      <c r="CH3897" s="48"/>
      <c r="CI3897" s="48"/>
      <c r="CJ3897" s="48"/>
      <c r="CK3897" s="48"/>
      <c r="CL3897" s="48"/>
      <c r="CM3897" s="48"/>
      <c r="CN3897" s="48"/>
      <c r="CO3897" s="48"/>
      <c r="CP3897" s="48"/>
      <c r="CQ3897" s="48"/>
      <c r="CR3897" s="48"/>
      <c r="CS3897" s="48"/>
      <c r="CT3897" s="48"/>
      <c r="CU3897" s="48"/>
      <c r="CV3897" s="48"/>
      <c r="CW3897" s="48"/>
      <c r="CX3897" s="48"/>
      <c r="CY3897" s="48"/>
      <c r="CZ3897" s="48"/>
    </row>
    <row r="3898" spans="27:104" s="4" customFormat="1" x14ac:dyDescent="0.3">
      <c r="AA3898" s="48"/>
      <c r="AB3898" s="48"/>
      <c r="AC3898" s="48"/>
      <c r="AD3898" s="48"/>
      <c r="AE3898" s="48"/>
      <c r="AF3898" s="48"/>
      <c r="AG3898" s="48"/>
      <c r="AH3898" s="48"/>
      <c r="AI3898" s="48"/>
      <c r="AJ3898" s="48"/>
      <c r="AK3898" s="48"/>
      <c r="AL3898" s="48"/>
      <c r="AM3898" s="48"/>
      <c r="AN3898" s="48"/>
      <c r="AO3898" s="48"/>
      <c r="AP3898" s="48"/>
      <c r="AQ3898" s="48"/>
      <c r="AR3898" s="48"/>
      <c r="AS3898" s="48"/>
      <c r="AT3898" s="48"/>
      <c r="AU3898" s="48"/>
      <c r="AV3898" s="48"/>
      <c r="AW3898" s="48"/>
      <c r="AX3898" s="48"/>
      <c r="AY3898" s="48"/>
      <c r="AZ3898" s="48"/>
      <c r="BA3898" s="48"/>
      <c r="BB3898" s="14"/>
      <c r="BC3898" s="48"/>
      <c r="BD3898" s="48"/>
      <c r="BE3898" s="48"/>
      <c r="BF3898" s="48"/>
      <c r="BG3898" s="48"/>
      <c r="BH3898" s="48"/>
      <c r="BI3898" s="48"/>
      <c r="BJ3898" s="48"/>
      <c r="BK3898" s="48"/>
      <c r="BL3898" s="48"/>
      <c r="BM3898" s="48"/>
      <c r="BN3898" s="48"/>
      <c r="BO3898" s="48"/>
      <c r="BP3898" s="48"/>
      <c r="BQ3898" s="48"/>
      <c r="BR3898" s="48"/>
      <c r="BS3898" s="48"/>
      <c r="BT3898" s="48"/>
      <c r="BU3898" s="48"/>
      <c r="BV3898" s="48"/>
      <c r="BW3898" s="48"/>
      <c r="BX3898" s="48"/>
      <c r="BY3898" s="48"/>
      <c r="BZ3898" s="48"/>
      <c r="CA3898" s="48"/>
      <c r="CB3898" s="48"/>
      <c r="CC3898" s="48"/>
      <c r="CD3898" s="48"/>
      <c r="CE3898" s="48"/>
      <c r="CF3898" s="48"/>
      <c r="CG3898" s="48"/>
      <c r="CH3898" s="48"/>
      <c r="CI3898" s="48"/>
      <c r="CJ3898" s="48"/>
      <c r="CK3898" s="48"/>
      <c r="CL3898" s="48"/>
      <c r="CM3898" s="48"/>
      <c r="CN3898" s="48"/>
      <c r="CO3898" s="48"/>
      <c r="CP3898" s="48"/>
      <c r="CQ3898" s="48"/>
      <c r="CR3898" s="48"/>
      <c r="CS3898" s="48"/>
      <c r="CT3898" s="48"/>
      <c r="CU3898" s="48"/>
      <c r="CV3898" s="48"/>
      <c r="CW3898" s="48"/>
      <c r="CX3898" s="48"/>
      <c r="CY3898" s="48"/>
      <c r="CZ3898" s="48"/>
    </row>
    <row r="3899" spans="27:104" s="4" customFormat="1" x14ac:dyDescent="0.3">
      <c r="AA3899" s="48"/>
      <c r="AB3899" s="48"/>
      <c r="AC3899" s="48"/>
      <c r="AD3899" s="48"/>
      <c r="AE3899" s="48"/>
      <c r="AF3899" s="48"/>
      <c r="AG3899" s="48"/>
      <c r="AH3899" s="48"/>
      <c r="AI3899" s="48"/>
      <c r="AJ3899" s="48"/>
      <c r="AK3899" s="48"/>
      <c r="AL3899" s="48"/>
      <c r="AM3899" s="48"/>
      <c r="AN3899" s="48"/>
      <c r="AO3899" s="48"/>
      <c r="AP3899" s="48"/>
      <c r="AQ3899" s="48"/>
      <c r="AR3899" s="48"/>
      <c r="AS3899" s="48"/>
      <c r="AT3899" s="48"/>
      <c r="AU3899" s="48"/>
      <c r="AV3899" s="48"/>
      <c r="AW3899" s="48"/>
      <c r="AX3899" s="48"/>
      <c r="AY3899" s="48"/>
      <c r="AZ3899" s="48"/>
      <c r="BA3899" s="48"/>
      <c r="BB3899" s="14"/>
      <c r="BC3899" s="48"/>
      <c r="BD3899" s="48"/>
      <c r="BE3899" s="48"/>
      <c r="BF3899" s="48"/>
      <c r="BG3899" s="48"/>
      <c r="BH3899" s="48"/>
      <c r="BI3899" s="48"/>
      <c r="BJ3899" s="48"/>
      <c r="BK3899" s="48"/>
      <c r="BL3899" s="48"/>
      <c r="BM3899" s="48"/>
      <c r="BN3899" s="48"/>
      <c r="BO3899" s="48"/>
      <c r="BP3899" s="48"/>
      <c r="BQ3899" s="48"/>
      <c r="BR3899" s="48"/>
      <c r="BS3899" s="48"/>
      <c r="BT3899" s="48"/>
      <c r="BU3899" s="48"/>
      <c r="BV3899" s="48"/>
      <c r="BW3899" s="48"/>
      <c r="BX3899" s="48"/>
      <c r="BY3899" s="48"/>
      <c r="BZ3899" s="48"/>
      <c r="CA3899" s="48"/>
      <c r="CB3899" s="48"/>
      <c r="CC3899" s="48"/>
      <c r="CD3899" s="48"/>
      <c r="CE3899" s="48"/>
      <c r="CF3899" s="48"/>
      <c r="CG3899" s="48"/>
      <c r="CH3899" s="48"/>
      <c r="CI3899" s="48"/>
      <c r="CJ3899" s="48"/>
      <c r="CK3899" s="48"/>
      <c r="CL3899" s="48"/>
      <c r="CM3899" s="48"/>
      <c r="CN3899" s="48"/>
      <c r="CO3899" s="48"/>
      <c r="CP3899" s="48"/>
      <c r="CQ3899" s="48"/>
      <c r="CR3899" s="48"/>
      <c r="CS3899" s="48"/>
      <c r="CT3899" s="48"/>
      <c r="CU3899" s="48"/>
      <c r="CV3899" s="48"/>
      <c r="CW3899" s="48"/>
      <c r="CX3899" s="48"/>
      <c r="CY3899" s="48"/>
      <c r="CZ3899" s="48"/>
    </row>
    <row r="3900" spans="27:104" s="4" customFormat="1" x14ac:dyDescent="0.3">
      <c r="AA3900" s="48"/>
      <c r="AB3900" s="48"/>
      <c r="AC3900" s="48"/>
      <c r="AD3900" s="48"/>
      <c r="AE3900" s="48"/>
      <c r="AF3900" s="48"/>
      <c r="AG3900" s="48"/>
      <c r="AH3900" s="48"/>
      <c r="AI3900" s="48"/>
      <c r="AJ3900" s="48"/>
      <c r="AK3900" s="48"/>
      <c r="AL3900" s="48"/>
      <c r="AM3900" s="48"/>
      <c r="AN3900" s="48"/>
      <c r="AO3900" s="48"/>
      <c r="AP3900" s="48"/>
      <c r="AQ3900" s="48"/>
      <c r="AR3900" s="48"/>
      <c r="AS3900" s="48"/>
      <c r="AT3900" s="48"/>
      <c r="AU3900" s="48"/>
      <c r="AV3900" s="48"/>
      <c r="AW3900" s="48"/>
      <c r="AX3900" s="48"/>
      <c r="AY3900" s="48"/>
      <c r="AZ3900" s="48"/>
      <c r="BA3900" s="48"/>
      <c r="BB3900" s="14"/>
      <c r="BC3900" s="48"/>
      <c r="BD3900" s="48"/>
      <c r="BE3900" s="48"/>
      <c r="BF3900" s="48"/>
      <c r="BG3900" s="48"/>
      <c r="BH3900" s="48"/>
      <c r="BI3900" s="48"/>
      <c r="BJ3900" s="48"/>
      <c r="BK3900" s="48"/>
      <c r="BL3900" s="48"/>
      <c r="BM3900" s="48"/>
      <c r="BN3900" s="48"/>
      <c r="BO3900" s="48"/>
      <c r="BP3900" s="48"/>
      <c r="BQ3900" s="48"/>
      <c r="BR3900" s="48"/>
      <c r="BS3900" s="48"/>
      <c r="BT3900" s="48"/>
      <c r="BU3900" s="48"/>
      <c r="BV3900" s="48"/>
      <c r="BW3900" s="48"/>
      <c r="BX3900" s="48"/>
      <c r="BY3900" s="48"/>
      <c r="BZ3900" s="48"/>
      <c r="CA3900" s="48"/>
      <c r="CB3900" s="48"/>
      <c r="CC3900" s="48"/>
      <c r="CD3900" s="48"/>
      <c r="CE3900" s="48"/>
      <c r="CF3900" s="48"/>
      <c r="CG3900" s="48"/>
      <c r="CH3900" s="48"/>
      <c r="CI3900" s="48"/>
      <c r="CJ3900" s="48"/>
      <c r="CK3900" s="48"/>
      <c r="CL3900" s="48"/>
      <c r="CM3900" s="48"/>
      <c r="CN3900" s="48"/>
      <c r="CO3900" s="48"/>
      <c r="CP3900" s="48"/>
      <c r="CQ3900" s="48"/>
      <c r="CR3900" s="48"/>
      <c r="CS3900" s="48"/>
      <c r="CT3900" s="48"/>
      <c r="CU3900" s="48"/>
      <c r="CV3900" s="48"/>
      <c r="CW3900" s="48"/>
      <c r="CX3900" s="48"/>
      <c r="CY3900" s="48"/>
      <c r="CZ3900" s="48"/>
    </row>
    <row r="3901" spans="27:104" s="4" customFormat="1" x14ac:dyDescent="0.3">
      <c r="AA3901" s="48"/>
      <c r="AB3901" s="48"/>
      <c r="AC3901" s="48"/>
      <c r="AD3901" s="48"/>
      <c r="AE3901" s="48"/>
      <c r="AF3901" s="48"/>
      <c r="AG3901" s="48"/>
      <c r="AH3901" s="48"/>
      <c r="AI3901" s="48"/>
      <c r="AJ3901" s="48"/>
      <c r="AK3901" s="48"/>
      <c r="AL3901" s="48"/>
      <c r="AM3901" s="48"/>
      <c r="AN3901" s="48"/>
      <c r="AO3901" s="48"/>
      <c r="AP3901" s="48"/>
      <c r="AQ3901" s="48"/>
      <c r="AR3901" s="48"/>
      <c r="AS3901" s="48"/>
      <c r="AT3901" s="48"/>
      <c r="AU3901" s="48"/>
      <c r="AV3901" s="48"/>
      <c r="AW3901" s="48"/>
      <c r="AX3901" s="48"/>
      <c r="AY3901" s="48"/>
      <c r="AZ3901" s="48"/>
      <c r="BA3901" s="48"/>
      <c r="BB3901" s="14"/>
      <c r="BC3901" s="48"/>
      <c r="BD3901" s="48"/>
      <c r="BE3901" s="48"/>
      <c r="BF3901" s="48"/>
      <c r="BG3901" s="48"/>
      <c r="BH3901" s="48"/>
      <c r="BI3901" s="48"/>
      <c r="BJ3901" s="48"/>
      <c r="BK3901" s="48"/>
      <c r="BL3901" s="48"/>
      <c r="BM3901" s="48"/>
      <c r="BN3901" s="48"/>
      <c r="BO3901" s="48"/>
      <c r="BP3901" s="48"/>
      <c r="BQ3901" s="48"/>
      <c r="BR3901" s="48"/>
      <c r="BS3901" s="48"/>
      <c r="BT3901" s="48"/>
      <c r="BU3901" s="48"/>
      <c r="BV3901" s="48"/>
      <c r="BW3901" s="48"/>
      <c r="BX3901" s="48"/>
      <c r="BY3901" s="48"/>
      <c r="BZ3901" s="48"/>
      <c r="CA3901" s="48"/>
      <c r="CB3901" s="48"/>
      <c r="CC3901" s="48"/>
      <c r="CD3901" s="48"/>
      <c r="CE3901" s="48"/>
      <c r="CF3901" s="48"/>
      <c r="CG3901" s="48"/>
      <c r="CH3901" s="48"/>
      <c r="CI3901" s="48"/>
      <c r="CJ3901" s="48"/>
      <c r="CK3901" s="48"/>
      <c r="CL3901" s="48"/>
      <c r="CM3901" s="48"/>
      <c r="CN3901" s="48"/>
      <c r="CO3901" s="48"/>
      <c r="CP3901" s="48"/>
      <c r="CQ3901" s="48"/>
      <c r="CR3901" s="48"/>
      <c r="CS3901" s="48"/>
      <c r="CT3901" s="48"/>
      <c r="CU3901" s="48"/>
      <c r="CV3901" s="48"/>
      <c r="CW3901" s="48"/>
      <c r="CX3901" s="48"/>
      <c r="CY3901" s="48"/>
      <c r="CZ3901" s="48"/>
    </row>
    <row r="3902" spans="27:104" s="4" customFormat="1" x14ac:dyDescent="0.3">
      <c r="AA3902" s="48"/>
      <c r="AB3902" s="48"/>
      <c r="AC3902" s="48"/>
      <c r="AD3902" s="48"/>
      <c r="AE3902" s="48"/>
      <c r="AF3902" s="48"/>
      <c r="AG3902" s="48"/>
      <c r="AH3902" s="48"/>
      <c r="AI3902" s="48"/>
      <c r="AJ3902" s="48"/>
      <c r="AK3902" s="48"/>
      <c r="AL3902" s="48"/>
      <c r="AM3902" s="48"/>
      <c r="AN3902" s="48"/>
      <c r="AO3902" s="48"/>
      <c r="AP3902" s="48"/>
      <c r="AQ3902" s="48"/>
      <c r="AR3902" s="48"/>
      <c r="AS3902" s="48"/>
      <c r="AT3902" s="48"/>
      <c r="AU3902" s="48"/>
      <c r="AV3902" s="48"/>
      <c r="AW3902" s="48"/>
      <c r="AX3902" s="48"/>
      <c r="AY3902" s="48"/>
      <c r="AZ3902" s="48"/>
      <c r="BA3902" s="48"/>
      <c r="BB3902" s="14"/>
      <c r="BC3902" s="48"/>
      <c r="BD3902" s="48"/>
      <c r="BE3902" s="48"/>
      <c r="BF3902" s="48"/>
      <c r="BG3902" s="48"/>
      <c r="BH3902" s="48"/>
      <c r="BI3902" s="48"/>
      <c r="BJ3902" s="48"/>
      <c r="BK3902" s="48"/>
      <c r="BL3902" s="48"/>
      <c r="BM3902" s="48"/>
      <c r="BN3902" s="48"/>
      <c r="BO3902" s="48"/>
      <c r="BP3902" s="48"/>
      <c r="BQ3902" s="48"/>
      <c r="BR3902" s="48"/>
      <c r="BS3902" s="48"/>
      <c r="BT3902" s="48"/>
      <c r="BU3902" s="48"/>
      <c r="BV3902" s="48"/>
      <c r="BW3902" s="48"/>
      <c r="BX3902" s="48"/>
      <c r="BY3902" s="48"/>
      <c r="BZ3902" s="48"/>
      <c r="CA3902" s="48"/>
      <c r="CB3902" s="48"/>
      <c r="CC3902" s="48"/>
      <c r="CD3902" s="48"/>
      <c r="CE3902" s="48"/>
      <c r="CF3902" s="48"/>
      <c r="CG3902" s="48"/>
      <c r="CH3902" s="48"/>
      <c r="CI3902" s="48"/>
      <c r="CJ3902" s="48"/>
      <c r="CK3902" s="48"/>
      <c r="CL3902" s="48"/>
      <c r="CM3902" s="48"/>
      <c r="CN3902" s="48"/>
      <c r="CO3902" s="48"/>
      <c r="CP3902" s="48"/>
      <c r="CQ3902" s="48"/>
      <c r="CR3902" s="48"/>
      <c r="CS3902" s="48"/>
      <c r="CT3902" s="48"/>
      <c r="CU3902" s="48"/>
      <c r="CV3902" s="48"/>
      <c r="CW3902" s="48"/>
      <c r="CX3902" s="48"/>
      <c r="CY3902" s="48"/>
      <c r="CZ3902" s="48"/>
    </row>
    <row r="3903" spans="27:104" s="4" customFormat="1" x14ac:dyDescent="0.3">
      <c r="AA3903" s="48"/>
      <c r="AB3903" s="48"/>
      <c r="AC3903" s="48"/>
      <c r="AD3903" s="48"/>
      <c r="AE3903" s="48"/>
      <c r="AF3903" s="48"/>
      <c r="AG3903" s="48"/>
      <c r="AH3903" s="48"/>
      <c r="AI3903" s="48"/>
      <c r="AJ3903" s="48"/>
      <c r="AK3903" s="48"/>
      <c r="AL3903" s="48"/>
      <c r="AM3903" s="48"/>
      <c r="AN3903" s="48"/>
      <c r="AO3903" s="48"/>
      <c r="AP3903" s="48"/>
      <c r="AQ3903" s="48"/>
      <c r="AR3903" s="48"/>
      <c r="AS3903" s="48"/>
      <c r="AT3903" s="48"/>
      <c r="AU3903" s="48"/>
      <c r="AV3903" s="48"/>
      <c r="AW3903" s="48"/>
      <c r="AX3903" s="48"/>
      <c r="AY3903" s="48"/>
      <c r="AZ3903" s="48"/>
      <c r="BA3903" s="48"/>
      <c r="BB3903" s="14"/>
      <c r="BC3903" s="48"/>
      <c r="BD3903" s="48"/>
      <c r="BE3903" s="48"/>
      <c r="BF3903" s="48"/>
      <c r="BG3903" s="48"/>
      <c r="BH3903" s="48"/>
      <c r="BI3903" s="48"/>
      <c r="BJ3903" s="48"/>
      <c r="BK3903" s="48"/>
      <c r="BL3903" s="48"/>
      <c r="BM3903" s="48"/>
      <c r="BN3903" s="48"/>
      <c r="BO3903" s="48"/>
      <c r="BP3903" s="48"/>
      <c r="BQ3903" s="48"/>
      <c r="BR3903" s="48"/>
      <c r="BS3903" s="48"/>
      <c r="BT3903" s="48"/>
      <c r="BU3903" s="48"/>
      <c r="BV3903" s="48"/>
      <c r="BW3903" s="48"/>
      <c r="BX3903" s="48"/>
      <c r="BY3903" s="48"/>
      <c r="BZ3903" s="48"/>
      <c r="CA3903" s="48"/>
      <c r="CB3903" s="48"/>
      <c r="CC3903" s="48"/>
      <c r="CD3903" s="48"/>
      <c r="CE3903" s="48"/>
      <c r="CF3903" s="48"/>
      <c r="CG3903" s="48"/>
      <c r="CH3903" s="48"/>
      <c r="CI3903" s="48"/>
      <c r="CJ3903" s="48"/>
      <c r="CK3903" s="48"/>
      <c r="CL3903" s="48"/>
      <c r="CM3903" s="48"/>
      <c r="CN3903" s="48"/>
      <c r="CO3903" s="48"/>
      <c r="CP3903" s="48"/>
      <c r="CQ3903" s="48"/>
      <c r="CR3903" s="48"/>
      <c r="CS3903" s="48"/>
      <c r="CT3903" s="48"/>
      <c r="CU3903" s="48"/>
      <c r="CV3903" s="48"/>
      <c r="CW3903" s="48"/>
      <c r="CX3903" s="48"/>
      <c r="CY3903" s="48"/>
      <c r="CZ3903" s="48"/>
    </row>
    <row r="3904" spans="27:104" s="4" customFormat="1" x14ac:dyDescent="0.3">
      <c r="AA3904" s="48"/>
      <c r="AB3904" s="48"/>
      <c r="AC3904" s="48"/>
      <c r="AD3904" s="48"/>
      <c r="AE3904" s="48"/>
      <c r="AF3904" s="48"/>
      <c r="AG3904" s="48"/>
      <c r="AH3904" s="48"/>
      <c r="AI3904" s="48"/>
      <c r="AJ3904" s="48"/>
      <c r="AK3904" s="48"/>
      <c r="AL3904" s="48"/>
      <c r="AM3904" s="48"/>
      <c r="AN3904" s="48"/>
      <c r="AO3904" s="48"/>
      <c r="AP3904" s="48"/>
      <c r="AQ3904" s="48"/>
      <c r="AR3904" s="48"/>
      <c r="AS3904" s="48"/>
      <c r="AT3904" s="48"/>
      <c r="AU3904" s="48"/>
      <c r="AV3904" s="48"/>
      <c r="AW3904" s="48"/>
      <c r="AX3904" s="48"/>
      <c r="AY3904" s="48"/>
      <c r="AZ3904" s="48"/>
      <c r="BA3904" s="48"/>
      <c r="BB3904" s="14"/>
      <c r="BC3904" s="48"/>
      <c r="BD3904" s="48"/>
      <c r="BE3904" s="48"/>
      <c r="BF3904" s="48"/>
      <c r="BG3904" s="48"/>
      <c r="BH3904" s="48"/>
      <c r="BI3904" s="48"/>
      <c r="BJ3904" s="48"/>
      <c r="BK3904" s="48"/>
      <c r="BL3904" s="48"/>
      <c r="BM3904" s="48"/>
      <c r="BN3904" s="48"/>
      <c r="BO3904" s="48"/>
      <c r="BP3904" s="48"/>
      <c r="BQ3904" s="48"/>
      <c r="BR3904" s="48"/>
      <c r="BS3904" s="48"/>
      <c r="BT3904" s="48"/>
      <c r="BU3904" s="48"/>
      <c r="BV3904" s="48"/>
      <c r="BW3904" s="48"/>
      <c r="BX3904" s="48"/>
      <c r="BY3904" s="48"/>
      <c r="BZ3904" s="48"/>
      <c r="CA3904" s="48"/>
      <c r="CB3904" s="48"/>
      <c r="CC3904" s="48"/>
      <c r="CD3904" s="48"/>
      <c r="CE3904" s="48"/>
      <c r="CF3904" s="48"/>
      <c r="CG3904" s="48"/>
      <c r="CH3904" s="48"/>
      <c r="CI3904" s="48"/>
      <c r="CJ3904" s="48"/>
      <c r="CK3904" s="48"/>
      <c r="CL3904" s="48"/>
      <c r="CM3904" s="48"/>
      <c r="CN3904" s="48"/>
      <c r="CO3904" s="48"/>
      <c r="CP3904" s="48"/>
      <c r="CQ3904" s="48"/>
      <c r="CR3904" s="48"/>
      <c r="CS3904" s="48"/>
      <c r="CT3904" s="48"/>
      <c r="CU3904" s="48"/>
      <c r="CV3904" s="48"/>
      <c r="CW3904" s="48"/>
      <c r="CX3904" s="48"/>
      <c r="CY3904" s="48"/>
      <c r="CZ3904" s="48"/>
    </row>
    <row r="3905" spans="27:104" s="4" customFormat="1" x14ac:dyDescent="0.3">
      <c r="AA3905" s="48"/>
      <c r="AB3905" s="48"/>
      <c r="AC3905" s="48"/>
      <c r="AD3905" s="48"/>
      <c r="AE3905" s="48"/>
      <c r="AF3905" s="48"/>
      <c r="AG3905" s="48"/>
      <c r="AH3905" s="48"/>
      <c r="AI3905" s="48"/>
      <c r="AJ3905" s="48"/>
      <c r="AK3905" s="48"/>
      <c r="AL3905" s="48"/>
      <c r="AM3905" s="48"/>
      <c r="AN3905" s="48"/>
      <c r="AO3905" s="48"/>
      <c r="AP3905" s="48"/>
      <c r="AQ3905" s="48"/>
      <c r="AR3905" s="48"/>
      <c r="AS3905" s="48"/>
      <c r="AT3905" s="48"/>
      <c r="AU3905" s="48"/>
      <c r="AV3905" s="48"/>
      <c r="AW3905" s="48"/>
      <c r="AX3905" s="48"/>
      <c r="AY3905" s="48"/>
      <c r="AZ3905" s="48"/>
      <c r="BA3905" s="48"/>
      <c r="BB3905" s="14"/>
      <c r="BC3905" s="48"/>
      <c r="BD3905" s="48"/>
      <c r="BE3905" s="48"/>
      <c r="BF3905" s="48"/>
      <c r="BG3905" s="48"/>
      <c r="BH3905" s="48"/>
      <c r="BI3905" s="48"/>
      <c r="BJ3905" s="48"/>
      <c r="BK3905" s="48"/>
      <c r="BL3905" s="48"/>
      <c r="BM3905" s="48"/>
      <c r="BN3905" s="48"/>
      <c r="BO3905" s="48"/>
      <c r="BP3905" s="48"/>
      <c r="BQ3905" s="48"/>
      <c r="BR3905" s="48"/>
      <c r="BS3905" s="48"/>
      <c r="BT3905" s="48"/>
      <c r="BU3905" s="48"/>
      <c r="BV3905" s="48"/>
      <c r="BW3905" s="48"/>
      <c r="BX3905" s="48"/>
      <c r="BY3905" s="48"/>
      <c r="BZ3905" s="48"/>
      <c r="CA3905" s="48"/>
      <c r="CB3905" s="48"/>
      <c r="CC3905" s="48"/>
      <c r="CD3905" s="48"/>
      <c r="CE3905" s="48"/>
      <c r="CF3905" s="48"/>
      <c r="CG3905" s="48"/>
      <c r="CH3905" s="48"/>
      <c r="CI3905" s="48"/>
      <c r="CJ3905" s="48"/>
      <c r="CK3905" s="48"/>
      <c r="CL3905" s="48"/>
      <c r="CM3905" s="48"/>
      <c r="CN3905" s="48"/>
      <c r="CO3905" s="48"/>
      <c r="CP3905" s="48"/>
      <c r="CQ3905" s="48"/>
      <c r="CR3905" s="48"/>
      <c r="CS3905" s="48"/>
      <c r="CT3905" s="48"/>
      <c r="CU3905" s="48"/>
      <c r="CV3905" s="48"/>
      <c r="CW3905" s="48"/>
      <c r="CX3905" s="48"/>
      <c r="CY3905" s="48"/>
      <c r="CZ3905" s="48"/>
    </row>
    <row r="3906" spans="27:104" s="4" customFormat="1" x14ac:dyDescent="0.3">
      <c r="AA3906" s="48"/>
      <c r="AB3906" s="48"/>
      <c r="AC3906" s="48"/>
      <c r="AD3906" s="48"/>
      <c r="AE3906" s="48"/>
      <c r="AF3906" s="48"/>
      <c r="AG3906" s="48"/>
      <c r="AH3906" s="48"/>
      <c r="AI3906" s="48"/>
      <c r="AJ3906" s="48"/>
      <c r="AK3906" s="48"/>
      <c r="AL3906" s="48"/>
      <c r="AM3906" s="48"/>
      <c r="AN3906" s="48"/>
      <c r="AO3906" s="48"/>
      <c r="AP3906" s="48"/>
      <c r="AQ3906" s="48"/>
      <c r="AR3906" s="48"/>
      <c r="AS3906" s="48"/>
      <c r="AT3906" s="48"/>
      <c r="AU3906" s="48"/>
      <c r="AV3906" s="48"/>
      <c r="AW3906" s="48"/>
      <c r="AX3906" s="48"/>
      <c r="AY3906" s="48"/>
      <c r="AZ3906" s="48"/>
      <c r="BA3906" s="48"/>
      <c r="BB3906" s="14"/>
      <c r="BC3906" s="48"/>
      <c r="BD3906" s="48"/>
      <c r="BE3906" s="48"/>
      <c r="BF3906" s="48"/>
      <c r="BG3906" s="48"/>
      <c r="BH3906" s="48"/>
      <c r="BI3906" s="48"/>
      <c r="BJ3906" s="48"/>
      <c r="BK3906" s="48"/>
      <c r="BL3906" s="48"/>
      <c r="BM3906" s="48"/>
      <c r="BN3906" s="48"/>
      <c r="BO3906" s="48"/>
      <c r="BP3906" s="48"/>
      <c r="BQ3906" s="48"/>
      <c r="BR3906" s="48"/>
      <c r="BS3906" s="48"/>
      <c r="BT3906" s="48"/>
      <c r="BU3906" s="48"/>
      <c r="BV3906" s="48"/>
      <c r="BW3906" s="48"/>
      <c r="BX3906" s="48"/>
      <c r="BY3906" s="48"/>
      <c r="BZ3906" s="48"/>
      <c r="CA3906" s="48"/>
      <c r="CB3906" s="48"/>
      <c r="CC3906" s="48"/>
      <c r="CD3906" s="48"/>
      <c r="CE3906" s="48"/>
      <c r="CF3906" s="48"/>
      <c r="CG3906" s="48"/>
      <c r="CH3906" s="48"/>
      <c r="CI3906" s="48"/>
      <c r="CJ3906" s="48"/>
      <c r="CK3906" s="48"/>
      <c r="CL3906" s="48"/>
      <c r="CM3906" s="48"/>
      <c r="CN3906" s="48"/>
      <c r="CO3906" s="48"/>
      <c r="CP3906" s="48"/>
      <c r="CQ3906" s="48"/>
      <c r="CR3906" s="48"/>
      <c r="CS3906" s="48"/>
      <c r="CT3906" s="48"/>
      <c r="CU3906" s="48"/>
      <c r="CV3906" s="48"/>
      <c r="CW3906" s="48"/>
      <c r="CX3906" s="48"/>
      <c r="CY3906" s="48"/>
      <c r="CZ3906" s="48"/>
    </row>
    <row r="3907" spans="27:104" s="4" customFormat="1" x14ac:dyDescent="0.3">
      <c r="AA3907" s="48"/>
      <c r="AB3907" s="48"/>
      <c r="AC3907" s="48"/>
      <c r="AD3907" s="48"/>
      <c r="AE3907" s="48"/>
      <c r="AF3907" s="48"/>
      <c r="AG3907" s="48"/>
      <c r="AH3907" s="48"/>
      <c r="AI3907" s="48"/>
      <c r="AJ3907" s="48"/>
      <c r="AK3907" s="48"/>
      <c r="AL3907" s="48"/>
      <c r="AM3907" s="48"/>
      <c r="AN3907" s="48"/>
      <c r="AO3907" s="48"/>
      <c r="AP3907" s="48"/>
      <c r="AQ3907" s="48"/>
      <c r="AR3907" s="48"/>
      <c r="AS3907" s="48"/>
      <c r="AT3907" s="48"/>
      <c r="AU3907" s="48"/>
      <c r="AV3907" s="48"/>
      <c r="AW3907" s="48"/>
      <c r="AX3907" s="48"/>
      <c r="AY3907" s="48"/>
      <c r="AZ3907" s="48"/>
      <c r="BA3907" s="48"/>
      <c r="BB3907" s="14"/>
      <c r="BC3907" s="48"/>
      <c r="BD3907" s="48"/>
      <c r="BE3907" s="48"/>
      <c r="BF3907" s="48"/>
      <c r="BG3907" s="48"/>
      <c r="BH3907" s="48"/>
      <c r="BI3907" s="48"/>
      <c r="BJ3907" s="48"/>
      <c r="BK3907" s="48"/>
      <c r="BL3907" s="48"/>
      <c r="BM3907" s="48"/>
      <c r="BN3907" s="48"/>
      <c r="BO3907" s="48"/>
      <c r="BP3907" s="48"/>
      <c r="BQ3907" s="48"/>
      <c r="BR3907" s="48"/>
      <c r="BS3907" s="48"/>
      <c r="BT3907" s="48"/>
      <c r="BU3907" s="48"/>
      <c r="BV3907" s="48"/>
      <c r="BW3907" s="48"/>
      <c r="BX3907" s="48"/>
      <c r="BY3907" s="48"/>
      <c r="BZ3907" s="48"/>
      <c r="CA3907" s="48"/>
      <c r="CB3907" s="48"/>
      <c r="CC3907" s="48"/>
      <c r="CD3907" s="48"/>
      <c r="CE3907" s="48"/>
      <c r="CF3907" s="48"/>
      <c r="CG3907" s="48"/>
      <c r="CH3907" s="48"/>
      <c r="CI3907" s="48"/>
      <c r="CJ3907" s="48"/>
      <c r="CK3907" s="48"/>
      <c r="CL3907" s="48"/>
      <c r="CM3907" s="48"/>
      <c r="CN3907" s="48"/>
      <c r="CO3907" s="48"/>
      <c r="CP3907" s="48"/>
      <c r="CQ3907" s="48"/>
      <c r="CR3907" s="48"/>
      <c r="CS3907" s="48"/>
      <c r="CT3907" s="48"/>
      <c r="CU3907" s="48"/>
      <c r="CV3907" s="48"/>
      <c r="CW3907" s="48"/>
      <c r="CX3907" s="48"/>
      <c r="CY3907" s="48"/>
      <c r="CZ3907" s="48"/>
    </row>
    <row r="3908" spans="27:104" s="4" customFormat="1" x14ac:dyDescent="0.3">
      <c r="AA3908" s="48"/>
      <c r="AB3908" s="48"/>
      <c r="AC3908" s="48"/>
      <c r="AD3908" s="48"/>
      <c r="AE3908" s="48"/>
      <c r="AF3908" s="48"/>
      <c r="AG3908" s="48"/>
      <c r="AH3908" s="48"/>
      <c r="AI3908" s="48"/>
      <c r="AJ3908" s="48"/>
      <c r="AK3908" s="48"/>
      <c r="AL3908" s="48"/>
      <c r="AM3908" s="48"/>
      <c r="AN3908" s="48"/>
      <c r="AO3908" s="48"/>
      <c r="AP3908" s="48"/>
      <c r="AQ3908" s="48"/>
      <c r="AR3908" s="48"/>
      <c r="AS3908" s="48"/>
      <c r="AT3908" s="48"/>
      <c r="AU3908" s="48"/>
      <c r="AV3908" s="48"/>
      <c r="AW3908" s="48"/>
      <c r="AX3908" s="48"/>
      <c r="AY3908" s="48"/>
      <c r="AZ3908" s="48"/>
      <c r="BA3908" s="48"/>
      <c r="BB3908" s="14"/>
      <c r="BC3908" s="48"/>
      <c r="BD3908" s="48"/>
      <c r="BE3908" s="48"/>
      <c r="BF3908" s="48"/>
      <c r="BG3908" s="48"/>
      <c r="BH3908" s="48"/>
      <c r="BI3908" s="48"/>
      <c r="BJ3908" s="48"/>
      <c r="BK3908" s="48"/>
      <c r="BL3908" s="48"/>
      <c r="BM3908" s="48"/>
      <c r="BN3908" s="48"/>
      <c r="BO3908" s="48"/>
      <c r="BP3908" s="48"/>
      <c r="BQ3908" s="48"/>
      <c r="BR3908" s="48"/>
      <c r="BS3908" s="48"/>
      <c r="BT3908" s="48"/>
      <c r="BU3908" s="48"/>
      <c r="BV3908" s="48"/>
      <c r="BW3908" s="48"/>
      <c r="BX3908" s="48"/>
      <c r="BY3908" s="48"/>
      <c r="BZ3908" s="48"/>
      <c r="CA3908" s="48"/>
      <c r="CB3908" s="48"/>
      <c r="CC3908" s="48"/>
      <c r="CD3908" s="48"/>
      <c r="CE3908" s="48"/>
      <c r="CF3908" s="48"/>
      <c r="CG3908" s="48"/>
      <c r="CH3908" s="48"/>
      <c r="CI3908" s="48"/>
      <c r="CJ3908" s="48"/>
      <c r="CK3908" s="48"/>
      <c r="CL3908" s="48"/>
      <c r="CM3908" s="48"/>
      <c r="CN3908" s="48"/>
      <c r="CO3908" s="48"/>
      <c r="CP3908" s="48"/>
      <c r="CQ3908" s="48"/>
      <c r="CR3908" s="48"/>
      <c r="CS3908" s="48"/>
      <c r="CT3908" s="48"/>
      <c r="CU3908" s="48"/>
      <c r="CV3908" s="48"/>
      <c r="CW3908" s="48"/>
      <c r="CX3908" s="48"/>
      <c r="CY3908" s="48"/>
      <c r="CZ3908" s="48"/>
    </row>
    <row r="3909" spans="27:104" s="4" customFormat="1" x14ac:dyDescent="0.3">
      <c r="AA3909" s="48"/>
      <c r="AB3909" s="48"/>
      <c r="AC3909" s="48"/>
      <c r="AD3909" s="48"/>
      <c r="AE3909" s="48"/>
      <c r="AF3909" s="48"/>
      <c r="AG3909" s="48"/>
      <c r="AH3909" s="48"/>
      <c r="AI3909" s="48"/>
      <c r="AJ3909" s="48"/>
      <c r="AK3909" s="48"/>
      <c r="AL3909" s="48"/>
      <c r="AM3909" s="48"/>
      <c r="AN3909" s="48"/>
      <c r="AO3909" s="48"/>
      <c r="AP3909" s="48"/>
      <c r="AQ3909" s="48"/>
      <c r="AR3909" s="48"/>
      <c r="AS3909" s="48"/>
      <c r="AT3909" s="48"/>
      <c r="AU3909" s="48"/>
      <c r="AV3909" s="48"/>
      <c r="AW3909" s="48"/>
      <c r="AX3909" s="48"/>
      <c r="AY3909" s="48"/>
      <c r="AZ3909" s="48"/>
      <c r="BA3909" s="48"/>
      <c r="BB3909" s="14"/>
      <c r="BC3909" s="48"/>
      <c r="BD3909" s="48"/>
      <c r="BE3909" s="48"/>
      <c r="BF3909" s="48"/>
      <c r="BG3909" s="48"/>
      <c r="BH3909" s="48"/>
      <c r="BI3909" s="48"/>
      <c r="BJ3909" s="48"/>
      <c r="BK3909" s="48"/>
      <c r="BL3909" s="48"/>
      <c r="BM3909" s="48"/>
      <c r="BN3909" s="48"/>
      <c r="BO3909" s="48"/>
      <c r="BP3909" s="48"/>
      <c r="BQ3909" s="48"/>
      <c r="BR3909" s="48"/>
      <c r="BS3909" s="48"/>
      <c r="BT3909" s="48"/>
      <c r="BU3909" s="48"/>
      <c r="BV3909" s="48"/>
      <c r="BW3909" s="48"/>
      <c r="BX3909" s="48"/>
      <c r="BY3909" s="48"/>
      <c r="BZ3909" s="48"/>
      <c r="CA3909" s="48"/>
      <c r="CB3909" s="48"/>
      <c r="CC3909" s="48"/>
      <c r="CD3909" s="48"/>
      <c r="CE3909" s="48"/>
      <c r="CF3909" s="48"/>
      <c r="CG3909" s="48"/>
      <c r="CH3909" s="48"/>
      <c r="CI3909" s="48"/>
      <c r="CJ3909" s="48"/>
      <c r="CK3909" s="48"/>
      <c r="CL3909" s="48"/>
      <c r="CM3909" s="48"/>
      <c r="CN3909" s="48"/>
      <c r="CO3909" s="48"/>
      <c r="CP3909" s="48"/>
      <c r="CQ3909" s="48"/>
      <c r="CR3909" s="48"/>
      <c r="CS3909" s="48"/>
      <c r="CT3909" s="48"/>
      <c r="CU3909" s="48"/>
      <c r="CV3909" s="48"/>
      <c r="CW3909" s="48"/>
      <c r="CX3909" s="48"/>
      <c r="CY3909" s="48"/>
      <c r="CZ3909" s="48"/>
    </row>
    <row r="3910" spans="27:104" s="4" customFormat="1" x14ac:dyDescent="0.3">
      <c r="AA3910" s="48"/>
      <c r="AB3910" s="48"/>
      <c r="AC3910" s="48"/>
      <c r="AD3910" s="48"/>
      <c r="AE3910" s="48"/>
      <c r="AF3910" s="48"/>
      <c r="AG3910" s="48"/>
      <c r="AH3910" s="48"/>
      <c r="AI3910" s="48"/>
      <c r="AJ3910" s="48"/>
      <c r="AK3910" s="48"/>
      <c r="AL3910" s="48"/>
      <c r="AM3910" s="48"/>
      <c r="AN3910" s="48"/>
      <c r="AO3910" s="48"/>
      <c r="AP3910" s="48"/>
      <c r="AQ3910" s="48"/>
      <c r="AR3910" s="48"/>
      <c r="AS3910" s="48"/>
      <c r="AT3910" s="48"/>
      <c r="AU3910" s="48"/>
      <c r="AV3910" s="48"/>
      <c r="AW3910" s="48"/>
      <c r="AX3910" s="48"/>
      <c r="AY3910" s="48"/>
      <c r="AZ3910" s="48"/>
      <c r="BA3910" s="48"/>
      <c r="BB3910" s="14"/>
      <c r="BC3910" s="48"/>
      <c r="BD3910" s="48"/>
      <c r="BE3910" s="48"/>
      <c r="BF3910" s="48"/>
      <c r="BG3910" s="48"/>
      <c r="BH3910" s="48"/>
      <c r="BI3910" s="48"/>
      <c r="BJ3910" s="48"/>
      <c r="BK3910" s="48"/>
      <c r="BL3910" s="48"/>
      <c r="BM3910" s="48"/>
      <c r="BN3910" s="48"/>
      <c r="BO3910" s="48"/>
      <c r="BP3910" s="48"/>
      <c r="BQ3910" s="48"/>
      <c r="BR3910" s="48"/>
      <c r="BS3910" s="48"/>
      <c r="BT3910" s="48"/>
      <c r="BU3910" s="48"/>
      <c r="BV3910" s="48"/>
      <c r="BW3910" s="48"/>
      <c r="BX3910" s="48"/>
      <c r="BY3910" s="48"/>
      <c r="BZ3910" s="48"/>
      <c r="CA3910" s="48"/>
      <c r="CB3910" s="48"/>
      <c r="CC3910" s="48"/>
      <c r="CD3910" s="48"/>
      <c r="CE3910" s="48"/>
      <c r="CF3910" s="48"/>
      <c r="CG3910" s="48"/>
      <c r="CH3910" s="48"/>
      <c r="CI3910" s="48"/>
      <c r="CJ3910" s="48"/>
      <c r="CK3910" s="48"/>
      <c r="CL3910" s="48"/>
      <c r="CM3910" s="48"/>
      <c r="CN3910" s="48"/>
      <c r="CO3910" s="48"/>
      <c r="CP3910" s="48"/>
      <c r="CQ3910" s="48"/>
      <c r="CR3910" s="48"/>
      <c r="CS3910" s="48"/>
      <c r="CT3910" s="48"/>
      <c r="CU3910" s="48"/>
      <c r="CV3910" s="48"/>
      <c r="CW3910" s="48"/>
      <c r="CX3910" s="48"/>
      <c r="CY3910" s="48"/>
      <c r="CZ3910" s="48"/>
    </row>
    <row r="3911" spans="27:104" s="4" customFormat="1" x14ac:dyDescent="0.3">
      <c r="AA3911" s="48"/>
      <c r="AB3911" s="48"/>
      <c r="AC3911" s="48"/>
      <c r="AD3911" s="48"/>
      <c r="AE3911" s="48"/>
      <c r="AF3911" s="48"/>
      <c r="AG3911" s="48"/>
      <c r="AH3911" s="48"/>
      <c r="AI3911" s="48"/>
      <c r="AJ3911" s="48"/>
      <c r="AK3911" s="48"/>
      <c r="AL3911" s="48"/>
      <c r="AM3911" s="48"/>
      <c r="AN3911" s="48"/>
      <c r="AO3911" s="48"/>
      <c r="AP3911" s="48"/>
      <c r="AQ3911" s="48"/>
      <c r="AR3911" s="48"/>
      <c r="AS3911" s="48"/>
      <c r="AT3911" s="48"/>
      <c r="AU3911" s="48"/>
      <c r="AV3911" s="48"/>
      <c r="AW3911" s="48"/>
      <c r="AX3911" s="48"/>
      <c r="AY3911" s="48"/>
      <c r="AZ3911" s="48"/>
      <c r="BA3911" s="48"/>
      <c r="BB3911" s="14"/>
      <c r="BC3911" s="48"/>
      <c r="BD3911" s="48"/>
      <c r="BE3911" s="48"/>
      <c r="BF3911" s="48"/>
      <c r="BG3911" s="48"/>
      <c r="BH3911" s="48"/>
      <c r="BI3911" s="48"/>
      <c r="BJ3911" s="48"/>
      <c r="BK3911" s="48"/>
      <c r="BL3911" s="48"/>
      <c r="BM3911" s="48"/>
      <c r="BN3911" s="48"/>
      <c r="BO3911" s="48"/>
      <c r="BP3911" s="48"/>
      <c r="BQ3911" s="48"/>
      <c r="BR3911" s="48"/>
      <c r="BS3911" s="48"/>
      <c r="BT3911" s="48"/>
      <c r="BU3911" s="48"/>
      <c r="BV3911" s="48"/>
      <c r="BW3911" s="48"/>
      <c r="BX3911" s="48"/>
      <c r="BY3911" s="48"/>
      <c r="BZ3911" s="48"/>
      <c r="CA3911" s="48"/>
      <c r="CB3911" s="48"/>
      <c r="CC3911" s="48"/>
      <c r="CD3911" s="48"/>
      <c r="CE3911" s="48"/>
      <c r="CF3911" s="48"/>
      <c r="CG3911" s="48"/>
      <c r="CH3911" s="48"/>
      <c r="CI3911" s="48"/>
      <c r="CJ3911" s="48"/>
      <c r="CK3911" s="48"/>
      <c r="CL3911" s="48"/>
      <c r="CM3911" s="48"/>
      <c r="CN3911" s="48"/>
      <c r="CO3911" s="48"/>
      <c r="CP3911" s="48"/>
      <c r="CQ3911" s="48"/>
      <c r="CR3911" s="48"/>
      <c r="CS3911" s="48"/>
      <c r="CT3911" s="48"/>
      <c r="CU3911" s="48"/>
      <c r="CV3911" s="48"/>
      <c r="CW3911" s="48"/>
      <c r="CX3911" s="48"/>
      <c r="CY3911" s="48"/>
      <c r="CZ3911" s="48"/>
    </row>
    <row r="3912" spans="27:104" s="4" customFormat="1" x14ac:dyDescent="0.3">
      <c r="AA3912" s="48"/>
      <c r="AB3912" s="48"/>
      <c r="AC3912" s="48"/>
      <c r="AD3912" s="48"/>
      <c r="AE3912" s="48"/>
      <c r="AF3912" s="48"/>
      <c r="AG3912" s="48"/>
      <c r="AH3912" s="48"/>
      <c r="AI3912" s="48"/>
      <c r="AJ3912" s="48"/>
      <c r="AK3912" s="48"/>
      <c r="AL3912" s="48"/>
      <c r="AM3912" s="48"/>
      <c r="AN3912" s="48"/>
      <c r="AO3912" s="48"/>
      <c r="AP3912" s="48"/>
      <c r="AQ3912" s="48"/>
      <c r="AR3912" s="48"/>
      <c r="AS3912" s="48"/>
      <c r="AT3912" s="48"/>
      <c r="AU3912" s="48"/>
      <c r="AV3912" s="48"/>
      <c r="AW3912" s="48"/>
      <c r="AX3912" s="48"/>
      <c r="AY3912" s="48"/>
      <c r="AZ3912" s="48"/>
      <c r="BA3912" s="48"/>
      <c r="BB3912" s="14"/>
      <c r="BC3912" s="48"/>
      <c r="BD3912" s="48"/>
      <c r="BE3912" s="48"/>
      <c r="BF3912" s="48"/>
      <c r="BG3912" s="48"/>
      <c r="BH3912" s="48"/>
      <c r="BI3912" s="48"/>
      <c r="BJ3912" s="48"/>
      <c r="BK3912" s="48"/>
      <c r="BL3912" s="48"/>
      <c r="BM3912" s="48"/>
      <c r="BN3912" s="48"/>
      <c r="BO3912" s="48"/>
      <c r="BP3912" s="48"/>
      <c r="BQ3912" s="48"/>
      <c r="BR3912" s="48"/>
      <c r="BS3912" s="48"/>
      <c r="BT3912" s="48"/>
      <c r="BU3912" s="48"/>
      <c r="BV3912" s="48"/>
      <c r="BW3912" s="48"/>
      <c r="BX3912" s="48"/>
      <c r="BY3912" s="48"/>
      <c r="BZ3912" s="48"/>
      <c r="CA3912" s="48"/>
      <c r="CB3912" s="48"/>
      <c r="CC3912" s="48"/>
      <c r="CD3912" s="48"/>
      <c r="CE3912" s="48"/>
      <c r="CF3912" s="48"/>
      <c r="CG3912" s="48"/>
      <c r="CH3912" s="48"/>
      <c r="CI3912" s="48"/>
      <c r="CJ3912" s="48"/>
      <c r="CK3912" s="48"/>
      <c r="CL3912" s="48"/>
      <c r="CM3912" s="48"/>
      <c r="CN3912" s="48"/>
      <c r="CO3912" s="48"/>
      <c r="CP3912" s="48"/>
      <c r="CQ3912" s="48"/>
      <c r="CR3912" s="48"/>
      <c r="CS3912" s="48"/>
      <c r="CT3912" s="48"/>
      <c r="CU3912" s="48"/>
      <c r="CV3912" s="48"/>
      <c r="CW3912" s="48"/>
      <c r="CX3912" s="48"/>
      <c r="CY3912" s="48"/>
      <c r="CZ3912" s="48"/>
    </row>
    <row r="3913" spans="27:104" s="4" customFormat="1" x14ac:dyDescent="0.3">
      <c r="AA3913" s="48"/>
      <c r="AB3913" s="48"/>
      <c r="AC3913" s="48"/>
      <c r="AD3913" s="48"/>
      <c r="AE3913" s="48"/>
      <c r="AF3913" s="48"/>
      <c r="AG3913" s="48"/>
      <c r="AH3913" s="48"/>
      <c r="AI3913" s="48"/>
      <c r="AJ3913" s="48"/>
      <c r="AK3913" s="48"/>
      <c r="AL3913" s="48"/>
      <c r="AM3913" s="48"/>
      <c r="AN3913" s="48"/>
      <c r="AO3913" s="48"/>
      <c r="AP3913" s="48"/>
      <c r="AQ3913" s="48"/>
      <c r="AR3913" s="48"/>
      <c r="AS3913" s="48"/>
      <c r="AT3913" s="48"/>
      <c r="AU3913" s="48"/>
      <c r="AV3913" s="48"/>
      <c r="AW3913" s="48"/>
      <c r="AX3913" s="48"/>
      <c r="AY3913" s="48"/>
      <c r="AZ3913" s="48"/>
      <c r="BA3913" s="48"/>
      <c r="BB3913" s="14"/>
      <c r="BC3913" s="48"/>
      <c r="BD3913" s="48"/>
      <c r="BE3913" s="48"/>
      <c r="BF3913" s="48"/>
      <c r="BG3913" s="48"/>
      <c r="BH3913" s="48"/>
      <c r="BI3913" s="48"/>
      <c r="BJ3913" s="48"/>
      <c r="BK3913" s="48"/>
      <c r="BL3913" s="48"/>
      <c r="BM3913" s="48"/>
      <c r="BN3913" s="48"/>
      <c r="BO3913" s="48"/>
      <c r="BP3913" s="48"/>
      <c r="BQ3913" s="48"/>
      <c r="BR3913" s="48"/>
      <c r="BS3913" s="48"/>
      <c r="BT3913" s="48"/>
      <c r="BU3913" s="48"/>
      <c r="BV3913" s="48"/>
      <c r="BW3913" s="48"/>
      <c r="BX3913" s="48"/>
      <c r="BY3913" s="48"/>
      <c r="BZ3913" s="48"/>
      <c r="CA3913" s="48"/>
      <c r="CB3913" s="48"/>
      <c r="CC3913" s="48"/>
      <c r="CD3913" s="48"/>
      <c r="CE3913" s="48"/>
      <c r="CF3913" s="48"/>
      <c r="CG3913" s="48"/>
      <c r="CH3913" s="48"/>
      <c r="CI3913" s="48"/>
      <c r="CJ3913" s="48"/>
      <c r="CK3913" s="48"/>
      <c r="CL3913" s="48"/>
      <c r="CM3913" s="48"/>
      <c r="CN3913" s="48"/>
      <c r="CO3913" s="48"/>
      <c r="CP3913" s="48"/>
      <c r="CQ3913" s="48"/>
      <c r="CR3913" s="48"/>
      <c r="CS3913" s="48"/>
      <c r="CT3913" s="48"/>
      <c r="CU3913" s="48"/>
      <c r="CV3913" s="48"/>
      <c r="CW3913" s="48"/>
      <c r="CX3913" s="48"/>
      <c r="CY3913" s="48"/>
      <c r="CZ3913" s="48"/>
    </row>
    <row r="3914" spans="27:104" s="4" customFormat="1" x14ac:dyDescent="0.3">
      <c r="AA3914" s="48"/>
      <c r="AB3914" s="48"/>
      <c r="AC3914" s="48"/>
      <c r="AD3914" s="48"/>
      <c r="AE3914" s="48"/>
      <c r="AF3914" s="48"/>
      <c r="AG3914" s="48"/>
      <c r="AH3914" s="48"/>
      <c r="AI3914" s="48"/>
      <c r="AJ3914" s="48"/>
      <c r="AK3914" s="48"/>
      <c r="AL3914" s="48"/>
      <c r="AM3914" s="48"/>
      <c r="AN3914" s="48"/>
      <c r="AO3914" s="48"/>
      <c r="AP3914" s="48"/>
      <c r="AQ3914" s="48"/>
      <c r="AR3914" s="48"/>
      <c r="AS3914" s="48"/>
      <c r="AT3914" s="48"/>
      <c r="AU3914" s="48"/>
      <c r="AV3914" s="48"/>
      <c r="AW3914" s="48"/>
      <c r="AX3914" s="48"/>
      <c r="AY3914" s="48"/>
      <c r="AZ3914" s="48"/>
      <c r="BA3914" s="48"/>
      <c r="BB3914" s="14"/>
      <c r="BC3914" s="48"/>
      <c r="BD3914" s="48"/>
      <c r="BE3914" s="48"/>
      <c r="BF3914" s="48"/>
      <c r="BG3914" s="48"/>
      <c r="BH3914" s="48"/>
      <c r="BI3914" s="48"/>
      <c r="BJ3914" s="48"/>
      <c r="BK3914" s="48"/>
      <c r="BL3914" s="48"/>
      <c r="BM3914" s="48"/>
      <c r="BN3914" s="48"/>
      <c r="BO3914" s="48"/>
      <c r="BP3914" s="48"/>
      <c r="BQ3914" s="48"/>
      <c r="BR3914" s="48"/>
      <c r="BS3914" s="48"/>
      <c r="BT3914" s="48"/>
      <c r="BU3914" s="48"/>
      <c r="BV3914" s="48"/>
      <c r="BW3914" s="48"/>
      <c r="BX3914" s="48"/>
      <c r="BY3914" s="48"/>
      <c r="BZ3914" s="48"/>
      <c r="CA3914" s="48"/>
      <c r="CB3914" s="48"/>
      <c r="CC3914" s="48"/>
      <c r="CD3914" s="48"/>
      <c r="CE3914" s="48"/>
      <c r="CF3914" s="48"/>
      <c r="CG3914" s="48"/>
      <c r="CH3914" s="48"/>
      <c r="CI3914" s="48"/>
      <c r="CJ3914" s="48"/>
      <c r="CK3914" s="48"/>
      <c r="CL3914" s="48"/>
      <c r="CM3914" s="48"/>
      <c r="CN3914" s="48"/>
      <c r="CO3914" s="48"/>
      <c r="CP3914" s="48"/>
      <c r="CQ3914" s="48"/>
      <c r="CR3914" s="48"/>
      <c r="CS3914" s="48"/>
      <c r="CT3914" s="48"/>
      <c r="CU3914" s="48"/>
      <c r="CV3914" s="48"/>
      <c r="CW3914" s="48"/>
      <c r="CX3914" s="48"/>
      <c r="CY3914" s="48"/>
      <c r="CZ3914" s="48"/>
    </row>
    <row r="3915" spans="27:104" s="4" customFormat="1" x14ac:dyDescent="0.3">
      <c r="AA3915" s="48"/>
      <c r="AB3915" s="48"/>
      <c r="AC3915" s="48"/>
      <c r="AD3915" s="48"/>
      <c r="AE3915" s="48"/>
      <c r="AF3915" s="48"/>
      <c r="AG3915" s="48"/>
      <c r="AH3915" s="48"/>
      <c r="AI3915" s="48"/>
      <c r="AJ3915" s="48"/>
      <c r="AK3915" s="48"/>
      <c r="AL3915" s="48"/>
      <c r="AM3915" s="48"/>
      <c r="AN3915" s="48"/>
      <c r="AO3915" s="48"/>
      <c r="AP3915" s="48"/>
      <c r="AQ3915" s="48"/>
      <c r="AR3915" s="48"/>
      <c r="AS3915" s="48"/>
      <c r="AT3915" s="48"/>
      <c r="AU3915" s="48"/>
      <c r="AV3915" s="48"/>
      <c r="AW3915" s="48"/>
      <c r="AX3915" s="48"/>
      <c r="AY3915" s="48"/>
      <c r="AZ3915" s="48"/>
      <c r="BA3915" s="48"/>
      <c r="BB3915" s="14"/>
      <c r="BC3915" s="48"/>
      <c r="BD3915" s="48"/>
      <c r="BE3915" s="48"/>
      <c r="BF3915" s="48"/>
      <c r="BG3915" s="48"/>
      <c r="BH3915" s="48"/>
      <c r="BI3915" s="48"/>
      <c r="BJ3915" s="48"/>
      <c r="BK3915" s="48"/>
      <c r="BL3915" s="48"/>
      <c r="BM3915" s="48"/>
      <c r="BN3915" s="48"/>
      <c r="BO3915" s="48"/>
      <c r="BP3915" s="48"/>
      <c r="BQ3915" s="48"/>
      <c r="BR3915" s="48"/>
      <c r="BS3915" s="48"/>
      <c r="BT3915" s="48"/>
      <c r="BU3915" s="48"/>
      <c r="BV3915" s="48"/>
      <c r="BW3915" s="48"/>
      <c r="BX3915" s="48"/>
      <c r="BY3915" s="48"/>
      <c r="BZ3915" s="48"/>
      <c r="CA3915" s="48"/>
      <c r="CB3915" s="48"/>
      <c r="CC3915" s="48"/>
      <c r="CD3915" s="48"/>
      <c r="CE3915" s="48"/>
      <c r="CF3915" s="48"/>
      <c r="CG3915" s="48"/>
      <c r="CH3915" s="48"/>
      <c r="CI3915" s="48"/>
      <c r="CJ3915" s="48"/>
      <c r="CK3915" s="48"/>
      <c r="CL3915" s="48"/>
      <c r="CM3915" s="48"/>
      <c r="CN3915" s="48"/>
      <c r="CO3915" s="48"/>
      <c r="CP3915" s="48"/>
      <c r="CQ3915" s="48"/>
      <c r="CR3915" s="48"/>
      <c r="CS3915" s="48"/>
      <c r="CT3915" s="48"/>
      <c r="CU3915" s="48"/>
      <c r="CV3915" s="48"/>
      <c r="CW3915" s="48"/>
      <c r="CX3915" s="48"/>
      <c r="CY3915" s="48"/>
      <c r="CZ3915" s="48"/>
    </row>
    <row r="3916" spans="27:104" s="4" customFormat="1" x14ac:dyDescent="0.3">
      <c r="AA3916" s="48"/>
      <c r="AB3916" s="48"/>
      <c r="AC3916" s="48"/>
      <c r="AD3916" s="48"/>
      <c r="AE3916" s="48"/>
      <c r="AF3916" s="48"/>
      <c r="AG3916" s="48"/>
      <c r="AH3916" s="48"/>
      <c r="AI3916" s="48"/>
      <c r="AJ3916" s="48"/>
      <c r="AK3916" s="48"/>
      <c r="AL3916" s="48"/>
      <c r="AM3916" s="48"/>
      <c r="AN3916" s="48"/>
      <c r="AO3916" s="48"/>
      <c r="AP3916" s="48"/>
      <c r="AQ3916" s="48"/>
      <c r="AR3916" s="48"/>
      <c r="AS3916" s="48"/>
      <c r="AT3916" s="48"/>
      <c r="AU3916" s="48"/>
      <c r="AV3916" s="48"/>
      <c r="AW3916" s="48"/>
      <c r="AX3916" s="48"/>
      <c r="AY3916" s="48"/>
      <c r="AZ3916" s="48"/>
      <c r="BA3916" s="48"/>
      <c r="BB3916" s="14"/>
      <c r="BC3916" s="48"/>
      <c r="BD3916" s="48"/>
      <c r="BE3916" s="48"/>
      <c r="BF3916" s="48"/>
      <c r="BG3916" s="48"/>
      <c r="BH3916" s="48"/>
      <c r="BI3916" s="48"/>
      <c r="BJ3916" s="48"/>
      <c r="BK3916" s="48"/>
      <c r="BL3916" s="48"/>
      <c r="BM3916" s="48"/>
      <c r="BN3916" s="48"/>
      <c r="BO3916" s="48"/>
      <c r="BP3916" s="48"/>
      <c r="BQ3916" s="48"/>
      <c r="BR3916" s="48"/>
      <c r="BS3916" s="48"/>
      <c r="BT3916" s="48"/>
      <c r="BU3916" s="48"/>
      <c r="BV3916" s="48"/>
      <c r="BW3916" s="48"/>
      <c r="BX3916" s="48"/>
      <c r="BY3916" s="48"/>
      <c r="BZ3916" s="48"/>
      <c r="CA3916" s="48"/>
      <c r="CB3916" s="48"/>
      <c r="CC3916" s="48"/>
      <c r="CD3916" s="48"/>
      <c r="CE3916" s="48"/>
      <c r="CF3916" s="48"/>
      <c r="CG3916" s="48"/>
      <c r="CH3916" s="48"/>
      <c r="CI3916" s="48"/>
      <c r="CJ3916" s="48"/>
      <c r="CK3916" s="48"/>
      <c r="CL3916" s="48"/>
      <c r="CM3916" s="48"/>
      <c r="CN3916" s="48"/>
      <c r="CO3916" s="48"/>
      <c r="CP3916" s="48"/>
      <c r="CQ3916" s="48"/>
      <c r="CR3916" s="48"/>
      <c r="CS3916" s="48"/>
      <c r="CT3916" s="48"/>
      <c r="CU3916" s="48"/>
      <c r="CV3916" s="48"/>
      <c r="CW3916" s="48"/>
      <c r="CX3916" s="48"/>
      <c r="CY3916" s="48"/>
      <c r="CZ3916" s="48"/>
    </row>
    <row r="3917" spans="27:104" s="4" customFormat="1" x14ac:dyDescent="0.3">
      <c r="AA3917" s="48"/>
      <c r="AB3917" s="48"/>
      <c r="AC3917" s="48"/>
      <c r="AD3917" s="48"/>
      <c r="AE3917" s="48"/>
      <c r="AF3917" s="48"/>
      <c r="AG3917" s="48"/>
      <c r="AH3917" s="48"/>
      <c r="AI3917" s="48"/>
      <c r="AJ3917" s="48"/>
      <c r="AK3917" s="48"/>
      <c r="AL3917" s="48"/>
      <c r="AM3917" s="48"/>
      <c r="AN3917" s="48"/>
      <c r="AO3917" s="48"/>
      <c r="AP3917" s="48"/>
      <c r="AQ3917" s="48"/>
      <c r="AR3917" s="48"/>
      <c r="AS3917" s="48"/>
      <c r="AT3917" s="48"/>
      <c r="AU3917" s="48"/>
      <c r="AV3917" s="48"/>
      <c r="AW3917" s="48"/>
      <c r="AX3917" s="48"/>
      <c r="AY3917" s="48"/>
      <c r="AZ3917" s="48"/>
      <c r="BA3917" s="48"/>
      <c r="BB3917" s="14"/>
      <c r="BC3917" s="48"/>
      <c r="BD3917" s="48"/>
      <c r="BE3917" s="48"/>
      <c r="BF3917" s="48"/>
      <c r="BG3917" s="48"/>
      <c r="BH3917" s="48"/>
      <c r="BI3917" s="48"/>
      <c r="BJ3917" s="48"/>
      <c r="BK3917" s="48"/>
      <c r="BL3917" s="48"/>
      <c r="BM3917" s="48"/>
      <c r="BN3917" s="48"/>
      <c r="BO3917" s="48"/>
      <c r="BP3917" s="48"/>
      <c r="BQ3917" s="48"/>
      <c r="BR3917" s="48"/>
      <c r="BS3917" s="48"/>
      <c r="BT3917" s="48"/>
      <c r="BU3917" s="48"/>
      <c r="BV3917" s="48"/>
      <c r="BW3917" s="48"/>
      <c r="BX3917" s="48"/>
      <c r="BY3917" s="48"/>
      <c r="BZ3917" s="48"/>
      <c r="CA3917" s="48"/>
      <c r="CB3917" s="48"/>
      <c r="CC3917" s="48"/>
      <c r="CD3917" s="48"/>
      <c r="CE3917" s="48"/>
      <c r="CF3917" s="48"/>
      <c r="CG3917" s="48"/>
      <c r="CH3917" s="48"/>
      <c r="CI3917" s="48"/>
      <c r="CJ3917" s="48"/>
      <c r="CK3917" s="48"/>
      <c r="CL3917" s="48"/>
      <c r="CM3917" s="48"/>
      <c r="CN3917" s="48"/>
      <c r="CO3917" s="48"/>
      <c r="CP3917" s="48"/>
      <c r="CQ3917" s="48"/>
      <c r="CR3917" s="48"/>
      <c r="CS3917" s="48"/>
      <c r="CT3917" s="48"/>
      <c r="CU3917" s="48"/>
      <c r="CV3917" s="48"/>
      <c r="CW3917" s="48"/>
      <c r="CX3917" s="48"/>
      <c r="CY3917" s="48"/>
      <c r="CZ3917" s="48"/>
    </row>
    <row r="3918" spans="27:104" s="4" customFormat="1" x14ac:dyDescent="0.3">
      <c r="AA3918" s="48"/>
      <c r="AB3918" s="48"/>
      <c r="AC3918" s="48"/>
      <c r="AD3918" s="48"/>
      <c r="AE3918" s="48"/>
      <c r="AF3918" s="48"/>
      <c r="AG3918" s="48"/>
      <c r="AH3918" s="48"/>
      <c r="AI3918" s="48"/>
      <c r="AJ3918" s="48"/>
      <c r="AK3918" s="48"/>
      <c r="AL3918" s="48"/>
      <c r="AM3918" s="48"/>
      <c r="AN3918" s="48"/>
      <c r="AO3918" s="48"/>
      <c r="AP3918" s="48"/>
      <c r="AQ3918" s="48"/>
      <c r="AR3918" s="48"/>
      <c r="AS3918" s="48"/>
      <c r="AT3918" s="48"/>
      <c r="AU3918" s="48"/>
      <c r="AV3918" s="48"/>
      <c r="AW3918" s="48"/>
      <c r="AX3918" s="48"/>
      <c r="AY3918" s="48"/>
      <c r="AZ3918" s="48"/>
      <c r="BA3918" s="48"/>
      <c r="BB3918" s="14"/>
      <c r="BC3918" s="48"/>
      <c r="BD3918" s="48"/>
      <c r="BE3918" s="48"/>
      <c r="BF3918" s="48"/>
      <c r="BG3918" s="48"/>
      <c r="BH3918" s="48"/>
      <c r="BI3918" s="48"/>
      <c r="BJ3918" s="48"/>
      <c r="BK3918" s="48"/>
      <c r="BL3918" s="48"/>
      <c r="BM3918" s="48"/>
      <c r="BN3918" s="48"/>
      <c r="BO3918" s="48"/>
      <c r="BP3918" s="48"/>
      <c r="BQ3918" s="48"/>
      <c r="BR3918" s="48"/>
      <c r="BS3918" s="48"/>
      <c r="BT3918" s="48"/>
      <c r="BU3918" s="48"/>
      <c r="BV3918" s="48"/>
      <c r="BW3918" s="48"/>
      <c r="BX3918" s="48"/>
      <c r="BY3918" s="48"/>
      <c r="BZ3918" s="48"/>
      <c r="CA3918" s="48"/>
      <c r="CB3918" s="48"/>
      <c r="CC3918" s="48"/>
      <c r="CD3918" s="48"/>
      <c r="CE3918" s="48"/>
      <c r="CF3918" s="48"/>
      <c r="CG3918" s="48"/>
      <c r="CH3918" s="48"/>
      <c r="CI3918" s="48"/>
      <c r="CJ3918" s="48"/>
      <c r="CK3918" s="48"/>
      <c r="CL3918" s="48"/>
      <c r="CM3918" s="48"/>
      <c r="CN3918" s="48"/>
      <c r="CO3918" s="48"/>
      <c r="CP3918" s="48"/>
      <c r="CQ3918" s="48"/>
      <c r="CR3918" s="48"/>
      <c r="CS3918" s="48"/>
      <c r="CT3918" s="48"/>
      <c r="CU3918" s="48"/>
      <c r="CV3918" s="48"/>
      <c r="CW3918" s="48"/>
      <c r="CX3918" s="48"/>
      <c r="CY3918" s="48"/>
      <c r="CZ3918" s="48"/>
    </row>
    <row r="3919" spans="27:104" s="4" customFormat="1" x14ac:dyDescent="0.3">
      <c r="AA3919" s="48"/>
      <c r="AB3919" s="48"/>
      <c r="AC3919" s="48"/>
      <c r="AD3919" s="48"/>
      <c r="AE3919" s="48"/>
      <c r="AF3919" s="48"/>
      <c r="AG3919" s="48"/>
      <c r="AH3919" s="48"/>
      <c r="AI3919" s="48"/>
      <c r="AJ3919" s="48"/>
      <c r="AK3919" s="48"/>
      <c r="AL3919" s="48"/>
      <c r="AM3919" s="48"/>
      <c r="AN3919" s="48"/>
      <c r="AO3919" s="48"/>
      <c r="AP3919" s="48"/>
      <c r="AQ3919" s="48"/>
      <c r="AR3919" s="48"/>
      <c r="AS3919" s="48"/>
      <c r="AT3919" s="48"/>
      <c r="AU3919" s="48"/>
      <c r="AV3919" s="48"/>
      <c r="AW3919" s="48"/>
      <c r="AX3919" s="48"/>
      <c r="AY3919" s="48"/>
      <c r="AZ3919" s="48"/>
      <c r="BA3919" s="48"/>
      <c r="BB3919" s="14"/>
      <c r="BC3919" s="48"/>
      <c r="BD3919" s="48"/>
      <c r="BE3919" s="48"/>
      <c r="BF3919" s="48"/>
      <c r="BG3919" s="48"/>
      <c r="BH3919" s="48"/>
      <c r="BI3919" s="48"/>
      <c r="BJ3919" s="48"/>
      <c r="BK3919" s="48"/>
      <c r="BL3919" s="48"/>
      <c r="BM3919" s="48"/>
      <c r="BN3919" s="48"/>
      <c r="BO3919" s="48"/>
      <c r="BP3919" s="48"/>
      <c r="BQ3919" s="48"/>
      <c r="BR3919" s="48"/>
      <c r="BS3919" s="48"/>
      <c r="BT3919" s="48"/>
      <c r="BU3919" s="48"/>
      <c r="BV3919" s="48"/>
      <c r="BW3919" s="48"/>
      <c r="BX3919" s="48"/>
      <c r="BY3919" s="48"/>
      <c r="BZ3919" s="48"/>
      <c r="CA3919" s="48"/>
      <c r="CB3919" s="48"/>
      <c r="CC3919" s="48"/>
      <c r="CD3919" s="48"/>
      <c r="CE3919" s="48"/>
      <c r="CF3919" s="48"/>
      <c r="CG3919" s="48"/>
      <c r="CH3919" s="48"/>
      <c r="CI3919" s="48"/>
      <c r="CJ3919" s="48"/>
      <c r="CK3919" s="48"/>
      <c r="CL3919" s="48"/>
      <c r="CM3919" s="48"/>
      <c r="CN3919" s="48"/>
      <c r="CO3919" s="48"/>
      <c r="CP3919" s="48"/>
      <c r="CQ3919" s="48"/>
      <c r="CR3919" s="48"/>
      <c r="CS3919" s="48"/>
      <c r="CT3919" s="48"/>
      <c r="CU3919" s="48"/>
      <c r="CV3919" s="48"/>
      <c r="CW3919" s="48"/>
      <c r="CX3919" s="48"/>
      <c r="CY3919" s="48"/>
      <c r="CZ3919" s="48"/>
    </row>
    <row r="3920" spans="27:104" s="4" customFormat="1" x14ac:dyDescent="0.3">
      <c r="AA3920" s="48"/>
      <c r="AB3920" s="48"/>
      <c r="AC3920" s="48"/>
      <c r="AD3920" s="48"/>
      <c r="AE3920" s="48"/>
      <c r="AF3920" s="48"/>
      <c r="AG3920" s="48"/>
      <c r="AH3920" s="48"/>
      <c r="AI3920" s="48"/>
      <c r="AJ3920" s="48"/>
      <c r="AK3920" s="48"/>
      <c r="AL3920" s="48"/>
      <c r="AM3920" s="48"/>
      <c r="AN3920" s="48"/>
      <c r="AO3920" s="48"/>
      <c r="AP3920" s="48"/>
      <c r="AQ3920" s="48"/>
      <c r="AR3920" s="48"/>
      <c r="AS3920" s="48"/>
      <c r="AT3920" s="48"/>
      <c r="AU3920" s="48"/>
      <c r="AV3920" s="48"/>
      <c r="AW3920" s="48"/>
      <c r="AX3920" s="48"/>
      <c r="AY3920" s="48"/>
      <c r="AZ3920" s="48"/>
      <c r="BA3920" s="48"/>
      <c r="BB3920" s="14"/>
      <c r="BC3920" s="48"/>
      <c r="BD3920" s="48"/>
      <c r="BE3920" s="48"/>
      <c r="BF3920" s="48"/>
      <c r="BG3920" s="48"/>
      <c r="BH3920" s="48"/>
      <c r="BI3920" s="48"/>
      <c r="BJ3920" s="48"/>
      <c r="BK3920" s="48"/>
      <c r="BL3920" s="48"/>
      <c r="BM3920" s="48"/>
      <c r="BN3920" s="48"/>
      <c r="BO3920" s="48"/>
      <c r="BP3920" s="48"/>
      <c r="BQ3920" s="48"/>
      <c r="BR3920" s="48"/>
      <c r="BS3920" s="48"/>
      <c r="BT3920" s="48"/>
      <c r="BU3920" s="48"/>
      <c r="BV3920" s="48"/>
      <c r="BW3920" s="48"/>
      <c r="BX3920" s="48"/>
      <c r="BY3920" s="48"/>
      <c r="BZ3920" s="48"/>
      <c r="CA3920" s="48"/>
      <c r="CB3920" s="48"/>
      <c r="CC3920" s="48"/>
      <c r="CD3920" s="48"/>
      <c r="CE3920" s="48"/>
      <c r="CF3920" s="48"/>
      <c r="CG3920" s="48"/>
      <c r="CH3920" s="48"/>
      <c r="CI3920" s="48"/>
      <c r="CJ3920" s="48"/>
      <c r="CK3920" s="48"/>
      <c r="CL3920" s="48"/>
      <c r="CM3920" s="48"/>
      <c r="CN3920" s="48"/>
      <c r="CO3920" s="48"/>
      <c r="CP3920" s="48"/>
      <c r="CQ3920" s="48"/>
      <c r="CR3920" s="48"/>
      <c r="CS3920" s="48"/>
      <c r="CT3920" s="48"/>
      <c r="CU3920" s="48"/>
      <c r="CV3920" s="48"/>
      <c r="CW3920" s="48"/>
      <c r="CX3920" s="48"/>
      <c r="CY3920" s="48"/>
      <c r="CZ3920" s="48"/>
    </row>
    <row r="3921" spans="27:104" s="4" customFormat="1" x14ac:dyDescent="0.3">
      <c r="AA3921" s="48"/>
      <c r="AB3921" s="48"/>
      <c r="AC3921" s="48"/>
      <c r="AD3921" s="48"/>
      <c r="AE3921" s="48"/>
      <c r="AF3921" s="48"/>
      <c r="AG3921" s="48"/>
      <c r="AH3921" s="48"/>
      <c r="AI3921" s="48"/>
      <c r="AJ3921" s="48"/>
      <c r="AK3921" s="48"/>
      <c r="AL3921" s="48"/>
      <c r="AM3921" s="48"/>
      <c r="AN3921" s="48"/>
      <c r="AO3921" s="48"/>
      <c r="AP3921" s="48"/>
      <c r="AQ3921" s="48"/>
      <c r="AR3921" s="48"/>
      <c r="AS3921" s="48"/>
      <c r="AT3921" s="48"/>
      <c r="AU3921" s="48"/>
      <c r="AV3921" s="48"/>
      <c r="AW3921" s="48"/>
      <c r="AX3921" s="48"/>
      <c r="AY3921" s="48"/>
      <c r="AZ3921" s="48"/>
      <c r="BA3921" s="48"/>
      <c r="BB3921" s="14"/>
      <c r="BC3921" s="48"/>
      <c r="BD3921" s="48"/>
      <c r="BE3921" s="48"/>
      <c r="BF3921" s="48"/>
      <c r="BG3921" s="48"/>
      <c r="BH3921" s="48"/>
      <c r="BI3921" s="48"/>
      <c r="BJ3921" s="48"/>
      <c r="BK3921" s="48"/>
      <c r="BL3921" s="48"/>
      <c r="BM3921" s="48"/>
      <c r="BN3921" s="48"/>
      <c r="BO3921" s="48"/>
      <c r="BP3921" s="48"/>
      <c r="BQ3921" s="48"/>
      <c r="BR3921" s="48"/>
      <c r="BS3921" s="48"/>
      <c r="BT3921" s="48"/>
      <c r="BU3921" s="48"/>
      <c r="BV3921" s="48"/>
      <c r="BW3921" s="48"/>
      <c r="BX3921" s="48"/>
      <c r="BY3921" s="48"/>
      <c r="BZ3921" s="48"/>
      <c r="CA3921" s="48"/>
      <c r="CB3921" s="48"/>
      <c r="CC3921" s="48"/>
      <c r="CD3921" s="48"/>
      <c r="CE3921" s="48"/>
      <c r="CF3921" s="48"/>
      <c r="CG3921" s="48"/>
      <c r="CH3921" s="48"/>
      <c r="CI3921" s="48"/>
      <c r="CJ3921" s="48"/>
      <c r="CK3921" s="48"/>
      <c r="CL3921" s="48"/>
      <c r="CM3921" s="48"/>
      <c r="CN3921" s="48"/>
      <c r="CO3921" s="48"/>
      <c r="CP3921" s="48"/>
      <c r="CQ3921" s="48"/>
      <c r="CR3921" s="48"/>
      <c r="CS3921" s="48"/>
      <c r="CT3921" s="48"/>
      <c r="CU3921" s="48"/>
      <c r="CV3921" s="48"/>
      <c r="CW3921" s="48"/>
      <c r="CX3921" s="48"/>
      <c r="CY3921" s="48"/>
      <c r="CZ3921" s="48"/>
    </row>
    <row r="3922" spans="27:104" s="4" customFormat="1" x14ac:dyDescent="0.3">
      <c r="AA3922" s="48"/>
      <c r="AB3922" s="48"/>
      <c r="AC3922" s="48"/>
      <c r="AD3922" s="48"/>
      <c r="AE3922" s="48"/>
      <c r="AF3922" s="48"/>
      <c r="AG3922" s="48"/>
      <c r="AH3922" s="48"/>
      <c r="AI3922" s="48"/>
      <c r="AJ3922" s="48"/>
      <c r="AK3922" s="48"/>
      <c r="AL3922" s="48"/>
      <c r="AM3922" s="48"/>
      <c r="AN3922" s="48"/>
      <c r="AO3922" s="48"/>
      <c r="AP3922" s="48"/>
      <c r="AQ3922" s="48"/>
      <c r="AR3922" s="48"/>
      <c r="AS3922" s="48"/>
      <c r="AT3922" s="48"/>
      <c r="AU3922" s="48"/>
      <c r="AV3922" s="48"/>
      <c r="AW3922" s="48"/>
      <c r="AX3922" s="48"/>
      <c r="AY3922" s="48"/>
      <c r="AZ3922" s="48"/>
      <c r="BA3922" s="48"/>
      <c r="BB3922" s="14"/>
      <c r="BC3922" s="48"/>
      <c r="BD3922" s="48"/>
      <c r="BE3922" s="48"/>
      <c r="BF3922" s="48"/>
      <c r="BG3922" s="48"/>
      <c r="BH3922" s="48"/>
      <c r="BI3922" s="48"/>
      <c r="BJ3922" s="48"/>
      <c r="BK3922" s="48"/>
      <c r="BL3922" s="48"/>
      <c r="BM3922" s="48"/>
      <c r="BN3922" s="48"/>
      <c r="BO3922" s="48"/>
      <c r="BP3922" s="48"/>
      <c r="BQ3922" s="48"/>
      <c r="BR3922" s="48"/>
      <c r="BS3922" s="48"/>
      <c r="BT3922" s="48"/>
      <c r="BU3922" s="48"/>
      <c r="BV3922" s="48"/>
      <c r="BW3922" s="48"/>
      <c r="BX3922" s="48"/>
      <c r="BY3922" s="48"/>
      <c r="BZ3922" s="48"/>
      <c r="CA3922" s="48"/>
      <c r="CB3922" s="48"/>
      <c r="CC3922" s="48"/>
      <c r="CD3922" s="48"/>
      <c r="CE3922" s="48"/>
      <c r="CF3922" s="48"/>
      <c r="CG3922" s="48"/>
      <c r="CH3922" s="48"/>
      <c r="CI3922" s="48"/>
      <c r="CJ3922" s="48"/>
      <c r="CK3922" s="48"/>
      <c r="CL3922" s="48"/>
      <c r="CM3922" s="48"/>
      <c r="CN3922" s="48"/>
      <c r="CO3922" s="48"/>
      <c r="CP3922" s="48"/>
      <c r="CQ3922" s="48"/>
      <c r="CR3922" s="48"/>
      <c r="CS3922" s="48"/>
      <c r="CT3922" s="48"/>
      <c r="CU3922" s="48"/>
      <c r="CV3922" s="48"/>
      <c r="CW3922" s="48"/>
      <c r="CX3922" s="48"/>
      <c r="CY3922" s="48"/>
      <c r="CZ3922" s="48"/>
    </row>
    <row r="3923" spans="27:104" s="4" customFormat="1" x14ac:dyDescent="0.3">
      <c r="AA3923" s="48"/>
      <c r="AB3923" s="48"/>
      <c r="AC3923" s="48"/>
      <c r="AD3923" s="48"/>
      <c r="AE3923" s="48"/>
      <c r="AF3923" s="48"/>
      <c r="AG3923" s="48"/>
      <c r="AH3923" s="48"/>
      <c r="AI3923" s="48"/>
      <c r="AJ3923" s="48"/>
      <c r="AK3923" s="48"/>
      <c r="AL3923" s="48"/>
      <c r="AM3923" s="48"/>
      <c r="AN3923" s="48"/>
      <c r="AO3923" s="48"/>
      <c r="AP3923" s="48"/>
      <c r="AQ3923" s="48"/>
      <c r="AR3923" s="48"/>
      <c r="AS3923" s="48"/>
      <c r="AT3923" s="48"/>
      <c r="AU3923" s="48"/>
      <c r="AV3923" s="48"/>
      <c r="AW3923" s="48"/>
      <c r="AX3923" s="48"/>
      <c r="AY3923" s="48"/>
      <c r="AZ3923" s="48"/>
      <c r="BA3923" s="48"/>
      <c r="BB3923" s="14"/>
      <c r="BC3923" s="48"/>
      <c r="BD3923" s="48"/>
      <c r="BE3923" s="48"/>
      <c r="BF3923" s="48"/>
      <c r="BG3923" s="48"/>
      <c r="BH3923" s="48"/>
      <c r="BI3923" s="48"/>
      <c r="BJ3923" s="48"/>
      <c r="BK3923" s="48"/>
      <c r="BL3923" s="48"/>
      <c r="BM3923" s="48"/>
      <c r="BN3923" s="48"/>
      <c r="BO3923" s="48"/>
      <c r="BP3923" s="48"/>
      <c r="BQ3923" s="48"/>
      <c r="BR3923" s="48"/>
      <c r="BS3923" s="48"/>
      <c r="BT3923" s="48"/>
      <c r="BU3923" s="48"/>
      <c r="BV3923" s="48"/>
      <c r="BW3923" s="48"/>
      <c r="BX3923" s="48"/>
      <c r="BY3923" s="48"/>
      <c r="BZ3923" s="48"/>
      <c r="CA3923" s="48"/>
      <c r="CB3923" s="48"/>
      <c r="CC3923" s="48"/>
      <c r="CD3923" s="48"/>
      <c r="CE3923" s="48"/>
      <c r="CF3923" s="48"/>
      <c r="CG3923" s="48"/>
      <c r="CH3923" s="48"/>
      <c r="CI3923" s="48"/>
      <c r="CJ3923" s="48"/>
      <c r="CK3923" s="48"/>
      <c r="CL3923" s="48"/>
      <c r="CM3923" s="48"/>
      <c r="CN3923" s="48"/>
      <c r="CO3923" s="48"/>
      <c r="CP3923" s="48"/>
      <c r="CQ3923" s="48"/>
      <c r="CR3923" s="48"/>
      <c r="CS3923" s="48"/>
      <c r="CT3923" s="48"/>
      <c r="CU3923" s="48"/>
      <c r="CV3923" s="48"/>
      <c r="CW3923" s="48"/>
      <c r="CX3923" s="48"/>
      <c r="CY3923" s="48"/>
      <c r="CZ3923" s="48"/>
    </row>
    <row r="3924" spans="27:104" s="4" customFormat="1" x14ac:dyDescent="0.3">
      <c r="AA3924" s="48"/>
      <c r="AB3924" s="48"/>
      <c r="AC3924" s="48"/>
      <c r="AD3924" s="48"/>
      <c r="AE3924" s="48"/>
      <c r="AF3924" s="48"/>
      <c r="AG3924" s="48"/>
      <c r="AH3924" s="48"/>
      <c r="AI3924" s="48"/>
      <c r="AJ3924" s="48"/>
      <c r="AK3924" s="48"/>
      <c r="AL3924" s="48"/>
      <c r="AM3924" s="48"/>
      <c r="AN3924" s="48"/>
      <c r="AO3924" s="48"/>
      <c r="AP3924" s="48"/>
      <c r="AQ3924" s="48"/>
      <c r="AR3924" s="48"/>
      <c r="AS3924" s="48"/>
      <c r="AT3924" s="48"/>
      <c r="AU3924" s="48"/>
      <c r="AV3924" s="48"/>
      <c r="AW3924" s="48"/>
      <c r="AX3924" s="48"/>
      <c r="AY3924" s="48"/>
      <c r="AZ3924" s="48"/>
      <c r="BA3924" s="48"/>
      <c r="BB3924" s="14"/>
      <c r="BC3924" s="48"/>
      <c r="BD3924" s="48"/>
      <c r="BE3924" s="48"/>
      <c r="BF3924" s="48"/>
      <c r="BG3924" s="48"/>
      <c r="BH3924" s="48"/>
      <c r="BI3924" s="48"/>
      <c r="BJ3924" s="48"/>
      <c r="BK3924" s="48"/>
      <c r="BL3924" s="48"/>
      <c r="BM3924" s="48"/>
      <c r="BN3924" s="48"/>
      <c r="BO3924" s="48"/>
      <c r="BP3924" s="48"/>
      <c r="BQ3924" s="48"/>
      <c r="BR3924" s="48"/>
      <c r="BS3924" s="48"/>
      <c r="BT3924" s="48"/>
      <c r="BU3924" s="48"/>
      <c r="BV3924" s="48"/>
      <c r="BW3924" s="48"/>
      <c r="BX3924" s="48"/>
      <c r="BY3924" s="48"/>
      <c r="BZ3924" s="48"/>
      <c r="CA3924" s="48"/>
      <c r="CB3924" s="48"/>
      <c r="CC3924" s="48"/>
      <c r="CD3924" s="48"/>
      <c r="CE3924" s="48"/>
      <c r="CF3924" s="48"/>
      <c r="CG3924" s="48"/>
      <c r="CH3924" s="48"/>
      <c r="CI3924" s="48"/>
      <c r="CJ3924" s="48"/>
      <c r="CK3924" s="48"/>
      <c r="CL3924" s="48"/>
      <c r="CM3924" s="48"/>
      <c r="CN3924" s="48"/>
      <c r="CO3924" s="48"/>
      <c r="CP3924" s="48"/>
      <c r="CQ3924" s="48"/>
      <c r="CR3924" s="48"/>
      <c r="CS3924" s="48"/>
      <c r="CT3924" s="48"/>
      <c r="CU3924" s="48"/>
      <c r="CV3924" s="48"/>
      <c r="CW3924" s="48"/>
      <c r="CX3924" s="48"/>
      <c r="CY3924" s="48"/>
      <c r="CZ3924" s="48"/>
    </row>
    <row r="3925" spans="27:104" s="4" customFormat="1" x14ac:dyDescent="0.3">
      <c r="AA3925" s="48"/>
      <c r="AB3925" s="48"/>
      <c r="AC3925" s="48"/>
      <c r="AD3925" s="48"/>
      <c r="AE3925" s="48"/>
      <c r="AF3925" s="48"/>
      <c r="AG3925" s="48"/>
      <c r="AH3925" s="48"/>
      <c r="AI3925" s="48"/>
      <c r="AJ3925" s="48"/>
      <c r="AK3925" s="48"/>
      <c r="AL3925" s="48"/>
      <c r="AM3925" s="48"/>
      <c r="AN3925" s="48"/>
      <c r="AO3925" s="48"/>
      <c r="AP3925" s="48"/>
      <c r="AQ3925" s="48"/>
      <c r="AR3925" s="48"/>
      <c r="AS3925" s="48"/>
      <c r="AT3925" s="48"/>
      <c r="AU3925" s="48"/>
      <c r="AV3925" s="48"/>
      <c r="AW3925" s="48"/>
      <c r="AX3925" s="48"/>
      <c r="AY3925" s="48"/>
      <c r="AZ3925" s="48"/>
      <c r="BA3925" s="48"/>
      <c r="BB3925" s="14"/>
      <c r="BC3925" s="48"/>
      <c r="BD3925" s="48"/>
      <c r="BE3925" s="48"/>
      <c r="BF3925" s="48"/>
      <c r="BG3925" s="48"/>
      <c r="BH3925" s="48"/>
      <c r="BI3925" s="48"/>
      <c r="BJ3925" s="48"/>
      <c r="BK3925" s="48"/>
      <c r="BL3925" s="48"/>
      <c r="BM3925" s="48"/>
      <c r="BN3925" s="48"/>
      <c r="BO3925" s="48"/>
      <c r="BP3925" s="48"/>
      <c r="BQ3925" s="48"/>
      <c r="BR3925" s="48"/>
      <c r="BS3925" s="48"/>
      <c r="BT3925" s="48"/>
      <c r="BU3925" s="48"/>
      <c r="BV3925" s="48"/>
      <c r="BW3925" s="48"/>
      <c r="BX3925" s="48"/>
      <c r="BY3925" s="48"/>
      <c r="BZ3925" s="48"/>
      <c r="CA3925" s="48"/>
      <c r="CB3925" s="48"/>
      <c r="CC3925" s="48"/>
      <c r="CD3925" s="48"/>
      <c r="CE3925" s="48"/>
      <c r="CF3925" s="48"/>
      <c r="CG3925" s="48"/>
      <c r="CH3925" s="48"/>
      <c r="CI3925" s="48"/>
      <c r="CJ3925" s="48"/>
      <c r="CK3925" s="48"/>
      <c r="CL3925" s="48"/>
      <c r="CM3925" s="48"/>
      <c r="CN3925" s="48"/>
      <c r="CO3925" s="48"/>
      <c r="CP3925" s="48"/>
      <c r="CQ3925" s="48"/>
      <c r="CR3925" s="48"/>
      <c r="CS3925" s="48"/>
      <c r="CT3925" s="48"/>
      <c r="CU3925" s="48"/>
      <c r="CV3925" s="48"/>
      <c r="CW3925" s="48"/>
      <c r="CX3925" s="48"/>
      <c r="CY3925" s="48"/>
      <c r="CZ3925" s="48"/>
    </row>
    <row r="3926" spans="27:104" s="4" customFormat="1" x14ac:dyDescent="0.3">
      <c r="AA3926" s="48"/>
      <c r="AB3926" s="48"/>
      <c r="AC3926" s="48"/>
      <c r="AD3926" s="48"/>
      <c r="AE3926" s="48"/>
      <c r="AF3926" s="48"/>
      <c r="AG3926" s="48"/>
      <c r="AH3926" s="48"/>
      <c r="AI3926" s="48"/>
      <c r="AJ3926" s="48"/>
      <c r="AK3926" s="48"/>
      <c r="AL3926" s="48"/>
      <c r="AM3926" s="48"/>
      <c r="AN3926" s="48"/>
      <c r="AO3926" s="48"/>
      <c r="AP3926" s="48"/>
      <c r="AQ3926" s="48"/>
      <c r="AR3926" s="48"/>
      <c r="AS3926" s="48"/>
      <c r="AT3926" s="48"/>
      <c r="AU3926" s="48"/>
      <c r="AV3926" s="48"/>
      <c r="AW3926" s="48"/>
      <c r="AX3926" s="48"/>
      <c r="AY3926" s="48"/>
      <c r="AZ3926" s="48"/>
      <c r="BA3926" s="48"/>
      <c r="BB3926" s="14"/>
      <c r="BC3926" s="48"/>
      <c r="BD3926" s="48"/>
      <c r="BE3926" s="48"/>
      <c r="BF3926" s="48"/>
      <c r="BG3926" s="48"/>
      <c r="BH3926" s="48"/>
      <c r="BI3926" s="48"/>
      <c r="BJ3926" s="48"/>
      <c r="BK3926" s="48"/>
      <c r="BL3926" s="48"/>
      <c r="BM3926" s="48"/>
      <c r="BN3926" s="48"/>
      <c r="BO3926" s="48"/>
      <c r="BP3926" s="48"/>
      <c r="BQ3926" s="48"/>
      <c r="BR3926" s="48"/>
      <c r="BS3926" s="48"/>
      <c r="BT3926" s="48"/>
      <c r="BU3926" s="48"/>
      <c r="BV3926" s="48"/>
      <c r="BW3926" s="48"/>
      <c r="BX3926" s="48"/>
      <c r="BY3926" s="48"/>
      <c r="BZ3926" s="48"/>
      <c r="CA3926" s="48"/>
      <c r="CB3926" s="48"/>
      <c r="CC3926" s="48"/>
      <c r="CD3926" s="48"/>
      <c r="CE3926" s="48"/>
      <c r="CF3926" s="48"/>
      <c r="CG3926" s="48"/>
      <c r="CH3926" s="48"/>
      <c r="CI3926" s="48"/>
      <c r="CJ3926" s="48"/>
      <c r="CK3926" s="48"/>
      <c r="CL3926" s="48"/>
      <c r="CM3926" s="48"/>
      <c r="CN3926" s="48"/>
      <c r="CO3926" s="48"/>
      <c r="CP3926" s="48"/>
      <c r="CQ3926" s="48"/>
      <c r="CR3926" s="48"/>
      <c r="CS3926" s="48"/>
      <c r="CT3926" s="48"/>
      <c r="CU3926" s="48"/>
      <c r="CV3926" s="48"/>
      <c r="CW3926" s="48"/>
      <c r="CX3926" s="48"/>
      <c r="CY3926" s="48"/>
      <c r="CZ3926" s="48"/>
    </row>
    <row r="3927" spans="27:104" s="4" customFormat="1" x14ac:dyDescent="0.3">
      <c r="AA3927" s="48"/>
      <c r="AB3927" s="48"/>
      <c r="AC3927" s="48"/>
      <c r="AD3927" s="48"/>
      <c r="AE3927" s="48"/>
      <c r="AF3927" s="48"/>
      <c r="AG3927" s="48"/>
      <c r="AH3927" s="48"/>
      <c r="AI3927" s="48"/>
      <c r="AJ3927" s="48"/>
      <c r="AK3927" s="48"/>
      <c r="AL3927" s="48"/>
      <c r="AM3927" s="48"/>
      <c r="AN3927" s="48"/>
      <c r="AO3927" s="48"/>
      <c r="AP3927" s="48"/>
      <c r="AQ3927" s="48"/>
      <c r="AR3927" s="48"/>
      <c r="AS3927" s="48"/>
      <c r="AT3927" s="48"/>
      <c r="AU3927" s="48"/>
      <c r="AV3927" s="48"/>
      <c r="AW3927" s="48"/>
      <c r="AX3927" s="48"/>
      <c r="AY3927" s="48"/>
      <c r="AZ3927" s="48"/>
      <c r="BA3927" s="48"/>
      <c r="BB3927" s="14"/>
      <c r="BC3927" s="48"/>
      <c r="BD3927" s="48"/>
      <c r="BE3927" s="48"/>
      <c r="BF3927" s="48"/>
      <c r="BG3927" s="48"/>
      <c r="BH3927" s="48"/>
      <c r="BI3927" s="48"/>
      <c r="BJ3927" s="48"/>
      <c r="BK3927" s="48"/>
      <c r="BL3927" s="48"/>
      <c r="BM3927" s="48"/>
      <c r="BN3927" s="48"/>
      <c r="BO3927" s="48"/>
      <c r="BP3927" s="48"/>
      <c r="BQ3927" s="48"/>
      <c r="BR3927" s="48"/>
      <c r="BS3927" s="48"/>
      <c r="BT3927" s="48"/>
      <c r="BU3927" s="48"/>
      <c r="BV3927" s="48"/>
      <c r="BW3927" s="48"/>
      <c r="BX3927" s="48"/>
      <c r="BY3927" s="48"/>
      <c r="BZ3927" s="48"/>
      <c r="CA3927" s="48"/>
      <c r="CB3927" s="48"/>
      <c r="CC3927" s="48"/>
      <c r="CD3927" s="48"/>
      <c r="CE3927" s="48"/>
      <c r="CF3927" s="48"/>
      <c r="CG3927" s="48"/>
      <c r="CH3927" s="48"/>
      <c r="CI3927" s="48"/>
      <c r="CJ3927" s="48"/>
      <c r="CK3927" s="48"/>
      <c r="CL3927" s="48"/>
      <c r="CM3927" s="48"/>
      <c r="CN3927" s="48"/>
      <c r="CO3927" s="48"/>
      <c r="CP3927" s="48"/>
      <c r="CQ3927" s="48"/>
      <c r="CR3927" s="48"/>
      <c r="CS3927" s="48"/>
      <c r="CT3927" s="48"/>
      <c r="CU3927" s="48"/>
      <c r="CV3927" s="48"/>
      <c r="CW3927" s="48"/>
      <c r="CX3927" s="48"/>
      <c r="CY3927" s="48"/>
      <c r="CZ3927" s="48"/>
    </row>
    <row r="3928" spans="27:104" s="4" customFormat="1" x14ac:dyDescent="0.3">
      <c r="AA3928" s="48"/>
      <c r="AB3928" s="48"/>
      <c r="AC3928" s="48"/>
      <c r="AD3928" s="48"/>
      <c r="AE3928" s="48"/>
      <c r="AF3928" s="48"/>
      <c r="AG3928" s="48"/>
      <c r="AH3928" s="48"/>
      <c r="AI3928" s="48"/>
      <c r="AJ3928" s="48"/>
      <c r="AK3928" s="48"/>
      <c r="AL3928" s="48"/>
      <c r="AM3928" s="48"/>
      <c r="AN3928" s="48"/>
      <c r="AO3928" s="48"/>
      <c r="AP3928" s="48"/>
      <c r="AQ3928" s="48"/>
      <c r="AR3928" s="48"/>
      <c r="AS3928" s="48"/>
      <c r="AT3928" s="48"/>
      <c r="AU3928" s="48"/>
      <c r="AV3928" s="48"/>
      <c r="AW3928" s="48"/>
      <c r="AX3928" s="48"/>
      <c r="AY3928" s="48"/>
      <c r="AZ3928" s="48"/>
      <c r="BA3928" s="48"/>
      <c r="BB3928" s="14"/>
      <c r="BC3928" s="48"/>
      <c r="BD3928" s="48"/>
      <c r="BE3928" s="48"/>
      <c r="BF3928" s="48"/>
      <c r="BG3928" s="48"/>
      <c r="BH3928" s="48"/>
      <c r="BI3928" s="48"/>
      <c r="BJ3928" s="48"/>
      <c r="BK3928" s="48"/>
      <c r="BL3928" s="48"/>
      <c r="BM3928" s="48"/>
      <c r="BN3928" s="48"/>
      <c r="BO3928" s="48"/>
      <c r="BP3928" s="48"/>
      <c r="BQ3928" s="48"/>
      <c r="BR3928" s="48"/>
      <c r="BS3928" s="48"/>
      <c r="BT3928" s="48"/>
      <c r="BU3928" s="48"/>
      <c r="BV3928" s="48"/>
      <c r="BW3928" s="48"/>
      <c r="BX3928" s="48"/>
      <c r="BY3928" s="48"/>
      <c r="BZ3928" s="48"/>
      <c r="CA3928" s="48"/>
      <c r="CB3928" s="48"/>
      <c r="CC3928" s="48"/>
      <c r="CD3928" s="48"/>
      <c r="CE3928" s="48"/>
      <c r="CF3928" s="48"/>
      <c r="CG3928" s="48"/>
      <c r="CH3928" s="48"/>
      <c r="CI3928" s="48"/>
      <c r="CJ3928" s="48"/>
      <c r="CK3928" s="48"/>
      <c r="CL3928" s="48"/>
      <c r="CM3928" s="48"/>
      <c r="CN3928" s="48"/>
      <c r="CO3928" s="48"/>
      <c r="CP3928" s="48"/>
      <c r="CQ3928" s="48"/>
      <c r="CR3928" s="48"/>
      <c r="CS3928" s="48"/>
      <c r="CT3928" s="48"/>
      <c r="CU3928" s="48"/>
      <c r="CV3928" s="48"/>
      <c r="CW3928" s="48"/>
      <c r="CX3928" s="48"/>
      <c r="CY3928" s="48"/>
      <c r="CZ3928" s="48"/>
    </row>
    <row r="3929" spans="27:104" s="4" customFormat="1" x14ac:dyDescent="0.3">
      <c r="AA3929" s="48"/>
      <c r="AB3929" s="48"/>
      <c r="AC3929" s="48"/>
      <c r="AD3929" s="48"/>
      <c r="AE3929" s="48"/>
      <c r="AF3929" s="48"/>
      <c r="AG3929" s="48"/>
      <c r="AH3929" s="48"/>
      <c r="AI3929" s="48"/>
      <c r="AJ3929" s="48"/>
      <c r="AK3929" s="48"/>
      <c r="AL3929" s="48"/>
      <c r="AM3929" s="48"/>
      <c r="AN3929" s="48"/>
      <c r="AO3929" s="48"/>
      <c r="AP3929" s="48"/>
      <c r="AQ3929" s="48"/>
      <c r="AR3929" s="48"/>
      <c r="AS3929" s="48"/>
      <c r="AT3929" s="48"/>
      <c r="AU3929" s="48"/>
      <c r="AV3929" s="48"/>
      <c r="AW3929" s="48"/>
      <c r="AX3929" s="48"/>
      <c r="AY3929" s="48"/>
      <c r="AZ3929" s="48"/>
      <c r="BA3929" s="48"/>
      <c r="BB3929" s="14"/>
      <c r="BC3929" s="48"/>
      <c r="BD3929" s="48"/>
      <c r="BE3929" s="48"/>
      <c r="BF3929" s="48"/>
      <c r="BG3929" s="48"/>
      <c r="BH3929" s="48"/>
      <c r="BI3929" s="48"/>
      <c r="BJ3929" s="48"/>
      <c r="BK3929" s="48"/>
      <c r="BL3929" s="48"/>
      <c r="BM3929" s="48"/>
      <c r="BN3929" s="48"/>
      <c r="BO3929" s="48"/>
      <c r="BP3929" s="48"/>
      <c r="BQ3929" s="48"/>
      <c r="BR3929" s="48"/>
      <c r="BS3929" s="48"/>
      <c r="BT3929" s="48"/>
      <c r="BU3929" s="48"/>
      <c r="BV3929" s="48"/>
      <c r="BW3929" s="48"/>
      <c r="BX3929" s="48"/>
      <c r="BY3929" s="48"/>
      <c r="BZ3929" s="48"/>
      <c r="CA3929" s="48"/>
      <c r="CB3929" s="48"/>
      <c r="CC3929" s="48"/>
      <c r="CD3929" s="48"/>
      <c r="CE3929" s="48"/>
      <c r="CF3929" s="48"/>
      <c r="CG3929" s="48"/>
      <c r="CH3929" s="48"/>
      <c r="CI3929" s="48"/>
      <c r="CJ3929" s="48"/>
      <c r="CK3929" s="48"/>
      <c r="CL3929" s="48"/>
      <c r="CM3929" s="48"/>
      <c r="CN3929" s="48"/>
      <c r="CO3929" s="48"/>
      <c r="CP3929" s="48"/>
      <c r="CQ3929" s="48"/>
      <c r="CR3929" s="48"/>
      <c r="CS3929" s="48"/>
      <c r="CT3929" s="48"/>
      <c r="CU3929" s="48"/>
      <c r="CV3929" s="48"/>
      <c r="CW3929" s="48"/>
      <c r="CX3929" s="48"/>
      <c r="CY3929" s="48"/>
      <c r="CZ3929" s="48"/>
    </row>
    <row r="3930" spans="27:104" s="4" customFormat="1" x14ac:dyDescent="0.3">
      <c r="AA3930" s="48"/>
      <c r="AB3930" s="48"/>
      <c r="AC3930" s="48"/>
      <c r="AD3930" s="48"/>
      <c r="AE3930" s="48"/>
      <c r="AF3930" s="48"/>
      <c r="AG3930" s="48"/>
      <c r="AH3930" s="48"/>
      <c r="AI3930" s="48"/>
      <c r="AJ3930" s="48"/>
      <c r="AK3930" s="48"/>
      <c r="AL3930" s="48"/>
      <c r="AM3930" s="48"/>
      <c r="AN3930" s="48"/>
      <c r="AO3930" s="48"/>
      <c r="AP3930" s="48"/>
      <c r="AQ3930" s="48"/>
      <c r="AR3930" s="48"/>
      <c r="AS3930" s="48"/>
      <c r="AT3930" s="48"/>
      <c r="AU3930" s="48"/>
      <c r="AV3930" s="48"/>
      <c r="AW3930" s="48"/>
      <c r="AX3930" s="48"/>
      <c r="AY3930" s="48"/>
      <c r="AZ3930" s="48"/>
      <c r="BA3930" s="48"/>
      <c r="BB3930" s="14"/>
      <c r="BC3930" s="48"/>
      <c r="BD3930" s="48"/>
      <c r="BE3930" s="48"/>
      <c r="BF3930" s="48"/>
      <c r="BG3930" s="48"/>
      <c r="BH3930" s="48"/>
      <c r="BI3930" s="48"/>
      <c r="BJ3930" s="48"/>
      <c r="BK3930" s="48"/>
      <c r="BL3930" s="48"/>
      <c r="BM3930" s="48"/>
      <c r="BN3930" s="48"/>
      <c r="BO3930" s="48"/>
      <c r="BP3930" s="48"/>
      <c r="BQ3930" s="48"/>
      <c r="BR3930" s="48"/>
      <c r="BS3930" s="48"/>
      <c r="BT3930" s="48"/>
      <c r="BU3930" s="48"/>
      <c r="BV3930" s="48"/>
      <c r="BW3930" s="48"/>
      <c r="BX3930" s="48"/>
      <c r="BY3930" s="48"/>
      <c r="BZ3930" s="48"/>
      <c r="CA3930" s="48"/>
      <c r="CB3930" s="48"/>
      <c r="CC3930" s="48"/>
      <c r="CD3930" s="48"/>
      <c r="CE3930" s="48"/>
      <c r="CF3930" s="48"/>
      <c r="CG3930" s="48"/>
      <c r="CH3930" s="48"/>
      <c r="CI3930" s="48"/>
      <c r="CJ3930" s="48"/>
      <c r="CK3930" s="48"/>
      <c r="CL3930" s="48"/>
      <c r="CM3930" s="48"/>
      <c r="CN3930" s="48"/>
      <c r="CO3930" s="48"/>
      <c r="CP3930" s="48"/>
      <c r="CQ3930" s="48"/>
      <c r="CR3930" s="48"/>
      <c r="CS3930" s="48"/>
      <c r="CT3930" s="48"/>
      <c r="CU3930" s="48"/>
      <c r="CV3930" s="48"/>
      <c r="CW3930" s="48"/>
      <c r="CX3930" s="48"/>
      <c r="CY3930" s="48"/>
      <c r="CZ3930" s="48"/>
    </row>
    <row r="3931" spans="27:104" s="4" customFormat="1" x14ac:dyDescent="0.3">
      <c r="AA3931" s="48"/>
      <c r="AB3931" s="48"/>
      <c r="AC3931" s="48"/>
      <c r="AD3931" s="48"/>
      <c r="AE3931" s="48"/>
      <c r="AF3931" s="48"/>
      <c r="AG3931" s="48"/>
      <c r="AH3931" s="48"/>
      <c r="AI3931" s="48"/>
      <c r="AJ3931" s="48"/>
      <c r="AK3931" s="48"/>
      <c r="AL3931" s="48"/>
      <c r="AM3931" s="48"/>
      <c r="AN3931" s="48"/>
      <c r="AO3931" s="48"/>
      <c r="AP3931" s="48"/>
      <c r="AQ3931" s="48"/>
      <c r="AR3931" s="48"/>
      <c r="AS3931" s="48"/>
      <c r="AT3931" s="48"/>
      <c r="AU3931" s="48"/>
      <c r="AV3931" s="48"/>
      <c r="AW3931" s="48"/>
      <c r="AX3931" s="48"/>
      <c r="AY3931" s="48"/>
      <c r="AZ3931" s="48"/>
      <c r="BA3931" s="48"/>
      <c r="BB3931" s="14"/>
      <c r="BC3931" s="48"/>
      <c r="BD3931" s="48"/>
      <c r="BE3931" s="48"/>
      <c r="BF3931" s="48"/>
      <c r="BG3931" s="48"/>
      <c r="BH3931" s="48"/>
      <c r="BI3931" s="48"/>
      <c r="BJ3931" s="48"/>
      <c r="BK3931" s="48"/>
      <c r="BL3931" s="48"/>
      <c r="BM3931" s="48"/>
      <c r="BN3931" s="48"/>
      <c r="BO3931" s="48"/>
      <c r="BP3931" s="48"/>
      <c r="BQ3931" s="48"/>
      <c r="BR3931" s="48"/>
      <c r="BS3931" s="48"/>
      <c r="BT3931" s="48"/>
      <c r="BU3931" s="48"/>
      <c r="BV3931" s="48"/>
      <c r="BW3931" s="48"/>
      <c r="BX3931" s="48"/>
      <c r="BY3931" s="48"/>
      <c r="BZ3931" s="48"/>
      <c r="CA3931" s="48"/>
      <c r="CB3931" s="48"/>
      <c r="CC3931" s="48"/>
      <c r="CD3931" s="48"/>
      <c r="CE3931" s="48"/>
      <c r="CF3931" s="48"/>
      <c r="CG3931" s="48"/>
      <c r="CH3931" s="48"/>
      <c r="CI3931" s="48"/>
      <c r="CJ3931" s="48"/>
      <c r="CK3931" s="48"/>
      <c r="CL3931" s="48"/>
      <c r="CM3931" s="48"/>
      <c r="CN3931" s="48"/>
      <c r="CO3931" s="48"/>
      <c r="CP3931" s="48"/>
      <c r="CQ3931" s="48"/>
      <c r="CR3931" s="48"/>
      <c r="CS3931" s="48"/>
      <c r="CT3931" s="48"/>
      <c r="CU3931" s="48"/>
      <c r="CV3931" s="48"/>
      <c r="CW3931" s="48"/>
      <c r="CX3931" s="48"/>
      <c r="CY3931" s="48"/>
      <c r="CZ3931" s="48"/>
    </row>
    <row r="3932" spans="27:104" s="4" customFormat="1" x14ac:dyDescent="0.3">
      <c r="AA3932" s="48"/>
      <c r="AB3932" s="48"/>
      <c r="AC3932" s="48"/>
      <c r="AD3932" s="48"/>
      <c r="AE3932" s="48"/>
      <c r="AF3932" s="48"/>
      <c r="AG3932" s="48"/>
      <c r="AH3932" s="48"/>
      <c r="AI3932" s="48"/>
      <c r="AJ3932" s="48"/>
      <c r="AK3932" s="48"/>
      <c r="AL3932" s="48"/>
      <c r="AM3932" s="48"/>
      <c r="AN3932" s="48"/>
      <c r="AO3932" s="48"/>
      <c r="AP3932" s="48"/>
      <c r="AQ3932" s="48"/>
      <c r="AR3932" s="48"/>
      <c r="AS3932" s="48"/>
      <c r="AT3932" s="48"/>
      <c r="AU3932" s="48"/>
      <c r="AV3932" s="48"/>
      <c r="AW3932" s="48"/>
      <c r="AX3932" s="48"/>
      <c r="AY3932" s="48"/>
      <c r="AZ3932" s="48"/>
      <c r="BA3932" s="48"/>
      <c r="BB3932" s="14"/>
      <c r="BC3932" s="48"/>
      <c r="BD3932" s="48"/>
      <c r="BE3932" s="48"/>
      <c r="BF3932" s="48"/>
      <c r="BG3932" s="48"/>
      <c r="BH3932" s="48"/>
      <c r="BI3932" s="48"/>
      <c r="BJ3932" s="48"/>
      <c r="BK3932" s="48"/>
      <c r="BL3932" s="48"/>
      <c r="BM3932" s="48"/>
      <c r="BN3932" s="48"/>
      <c r="BO3932" s="48"/>
      <c r="BP3932" s="48"/>
      <c r="BQ3932" s="48"/>
      <c r="BR3932" s="48"/>
      <c r="BS3932" s="48"/>
      <c r="BT3932" s="48"/>
      <c r="BU3932" s="48"/>
      <c r="BV3932" s="48"/>
      <c r="BW3932" s="48"/>
      <c r="BX3932" s="48"/>
      <c r="BY3932" s="48"/>
      <c r="BZ3932" s="48"/>
      <c r="CA3932" s="48"/>
      <c r="CB3932" s="48"/>
      <c r="CC3932" s="48"/>
      <c r="CD3932" s="48"/>
      <c r="CE3932" s="48"/>
      <c r="CF3932" s="48"/>
      <c r="CG3932" s="48"/>
      <c r="CH3932" s="48"/>
      <c r="CI3932" s="48"/>
      <c r="CJ3932" s="48"/>
      <c r="CK3932" s="48"/>
      <c r="CL3932" s="48"/>
      <c r="CM3932" s="48"/>
      <c r="CN3932" s="48"/>
      <c r="CO3932" s="48"/>
      <c r="CP3932" s="48"/>
      <c r="CQ3932" s="48"/>
      <c r="CR3932" s="48"/>
      <c r="CS3932" s="48"/>
      <c r="CT3932" s="48"/>
      <c r="CU3932" s="48"/>
      <c r="CV3932" s="48"/>
      <c r="CW3932" s="48"/>
      <c r="CX3932" s="48"/>
      <c r="CY3932" s="48"/>
      <c r="CZ3932" s="48"/>
    </row>
    <row r="3933" spans="27:104" s="4" customFormat="1" x14ac:dyDescent="0.3">
      <c r="AA3933" s="48"/>
      <c r="AB3933" s="48"/>
      <c r="AC3933" s="48"/>
      <c r="AD3933" s="48"/>
      <c r="AE3933" s="48"/>
      <c r="AF3933" s="48"/>
      <c r="AG3933" s="48"/>
      <c r="AH3933" s="48"/>
      <c r="AI3933" s="48"/>
      <c r="AJ3933" s="48"/>
      <c r="AK3933" s="48"/>
      <c r="AL3933" s="48"/>
      <c r="AM3933" s="48"/>
      <c r="AN3933" s="48"/>
      <c r="AO3933" s="48"/>
      <c r="AP3933" s="48"/>
      <c r="AQ3933" s="48"/>
      <c r="AR3933" s="48"/>
      <c r="AS3933" s="48"/>
      <c r="AT3933" s="48"/>
      <c r="AU3933" s="48"/>
      <c r="AV3933" s="48"/>
      <c r="AW3933" s="48"/>
      <c r="AX3933" s="48"/>
      <c r="AY3933" s="48"/>
      <c r="AZ3933" s="48"/>
      <c r="BA3933" s="48"/>
      <c r="BB3933" s="14"/>
      <c r="BC3933" s="48"/>
      <c r="BD3933" s="48"/>
      <c r="BE3933" s="48"/>
      <c r="BF3933" s="48"/>
      <c r="BG3933" s="48"/>
      <c r="BH3933" s="48"/>
      <c r="BI3933" s="48"/>
      <c r="BJ3933" s="48"/>
      <c r="BK3933" s="48"/>
      <c r="BL3933" s="48"/>
      <c r="BM3933" s="48"/>
      <c r="BN3933" s="48"/>
      <c r="BO3933" s="48"/>
      <c r="BP3933" s="48"/>
      <c r="BQ3933" s="48"/>
      <c r="BR3933" s="48"/>
      <c r="BS3933" s="48"/>
      <c r="BT3933" s="48"/>
      <c r="BU3933" s="48"/>
      <c r="BV3933" s="48"/>
      <c r="BW3933" s="48"/>
      <c r="BX3933" s="48"/>
      <c r="BY3933" s="48"/>
      <c r="BZ3933" s="48"/>
      <c r="CA3933" s="48"/>
      <c r="CB3933" s="48"/>
      <c r="CC3933" s="48"/>
      <c r="CD3933" s="48"/>
      <c r="CE3933" s="48"/>
      <c r="CF3933" s="48"/>
      <c r="CG3933" s="48"/>
      <c r="CH3933" s="48"/>
      <c r="CI3933" s="48"/>
      <c r="CJ3933" s="48"/>
      <c r="CK3933" s="48"/>
      <c r="CL3933" s="48"/>
      <c r="CM3933" s="48"/>
      <c r="CN3933" s="48"/>
      <c r="CO3933" s="48"/>
      <c r="CP3933" s="48"/>
      <c r="CQ3933" s="48"/>
      <c r="CR3933" s="48"/>
      <c r="CS3933" s="48"/>
      <c r="CT3933" s="48"/>
      <c r="CU3933" s="48"/>
      <c r="CV3933" s="48"/>
      <c r="CW3933" s="48"/>
      <c r="CX3933" s="48"/>
      <c r="CY3933" s="48"/>
      <c r="CZ3933" s="48"/>
    </row>
    <row r="3934" spans="27:104" s="4" customFormat="1" x14ac:dyDescent="0.3">
      <c r="AA3934" s="48"/>
      <c r="AB3934" s="48"/>
      <c r="AC3934" s="48"/>
      <c r="AD3934" s="48"/>
      <c r="AE3934" s="48"/>
      <c r="AF3934" s="48"/>
      <c r="AG3934" s="48"/>
      <c r="AH3934" s="48"/>
      <c r="AI3934" s="48"/>
      <c r="AJ3934" s="48"/>
      <c r="AK3934" s="48"/>
      <c r="AL3934" s="48"/>
      <c r="AM3934" s="48"/>
      <c r="AN3934" s="48"/>
      <c r="AO3934" s="48"/>
      <c r="AP3934" s="48"/>
      <c r="AQ3934" s="48"/>
      <c r="AR3934" s="48"/>
      <c r="AS3934" s="48"/>
      <c r="AT3934" s="48"/>
      <c r="AU3934" s="48"/>
      <c r="AV3934" s="48"/>
      <c r="AW3934" s="48"/>
      <c r="AX3934" s="48"/>
      <c r="AY3934" s="48"/>
      <c r="AZ3934" s="48"/>
      <c r="BA3934" s="48"/>
      <c r="BB3934" s="14"/>
      <c r="BC3934" s="48"/>
      <c r="BD3934" s="48"/>
      <c r="BE3934" s="48"/>
      <c r="BF3934" s="48"/>
      <c r="BG3934" s="48"/>
      <c r="BH3934" s="48"/>
      <c r="BI3934" s="48"/>
      <c r="BJ3934" s="48"/>
      <c r="BK3934" s="48"/>
      <c r="BL3934" s="48"/>
      <c r="BM3934" s="48"/>
      <c r="BN3934" s="48"/>
      <c r="BO3934" s="48"/>
      <c r="BP3934" s="48"/>
      <c r="BQ3934" s="48"/>
      <c r="BR3934" s="48"/>
      <c r="BS3934" s="48"/>
      <c r="BT3934" s="48"/>
      <c r="BU3934" s="48"/>
      <c r="BV3934" s="48"/>
      <c r="BW3934" s="48"/>
      <c r="BX3934" s="48"/>
      <c r="BY3934" s="48"/>
      <c r="BZ3934" s="48"/>
      <c r="CA3934" s="48"/>
      <c r="CB3934" s="48"/>
      <c r="CC3934" s="48"/>
      <c r="CD3934" s="48"/>
      <c r="CE3934" s="48"/>
      <c r="CF3934" s="48"/>
      <c r="CG3934" s="48"/>
      <c r="CH3934" s="48"/>
      <c r="CI3934" s="48"/>
      <c r="CJ3934" s="48"/>
      <c r="CK3934" s="48"/>
      <c r="CL3934" s="48"/>
      <c r="CM3934" s="48"/>
      <c r="CN3934" s="48"/>
      <c r="CO3934" s="48"/>
      <c r="CP3934" s="48"/>
      <c r="CQ3934" s="48"/>
      <c r="CR3934" s="48"/>
      <c r="CS3934" s="48"/>
      <c r="CT3934" s="48"/>
      <c r="CU3934" s="48"/>
      <c r="CV3934" s="48"/>
      <c r="CW3934" s="48"/>
      <c r="CX3934" s="48"/>
      <c r="CY3934" s="48"/>
      <c r="CZ3934" s="48"/>
    </row>
    <row r="3935" spans="27:104" s="4" customFormat="1" x14ac:dyDescent="0.3">
      <c r="AA3935" s="48"/>
      <c r="AB3935" s="48"/>
      <c r="AC3935" s="48"/>
      <c r="AD3935" s="48"/>
      <c r="AE3935" s="48"/>
      <c r="AF3935" s="48"/>
      <c r="AG3935" s="48"/>
      <c r="AH3935" s="48"/>
      <c r="AI3935" s="48"/>
      <c r="AJ3935" s="48"/>
      <c r="AK3935" s="48"/>
      <c r="AL3935" s="48"/>
      <c r="AM3935" s="48"/>
      <c r="AN3935" s="48"/>
      <c r="AO3935" s="48"/>
      <c r="AP3935" s="48"/>
      <c r="AQ3935" s="48"/>
      <c r="AR3935" s="48"/>
      <c r="AS3935" s="48"/>
      <c r="AT3935" s="48"/>
      <c r="AU3935" s="48"/>
      <c r="AV3935" s="48"/>
      <c r="AW3935" s="48"/>
      <c r="AX3935" s="48"/>
      <c r="AY3935" s="48"/>
      <c r="AZ3935" s="48"/>
      <c r="BA3935" s="48"/>
      <c r="BB3935" s="14"/>
      <c r="BC3935" s="48"/>
      <c r="BD3935" s="48"/>
      <c r="BE3935" s="48"/>
      <c r="BF3935" s="48"/>
      <c r="BG3935" s="48"/>
      <c r="BH3935" s="48"/>
      <c r="BI3935" s="48"/>
      <c r="BJ3935" s="48"/>
      <c r="BK3935" s="48"/>
      <c r="BL3935" s="48"/>
      <c r="BM3935" s="48"/>
      <c r="BN3935" s="48"/>
      <c r="BO3935" s="48"/>
      <c r="BP3935" s="48"/>
      <c r="BQ3935" s="48"/>
      <c r="BR3935" s="48"/>
      <c r="BS3935" s="48"/>
      <c r="BT3935" s="48"/>
      <c r="BU3935" s="48"/>
      <c r="BV3935" s="48"/>
      <c r="BW3935" s="48"/>
      <c r="BX3935" s="48"/>
      <c r="BY3935" s="48"/>
      <c r="BZ3935" s="48"/>
      <c r="CA3935" s="48"/>
      <c r="CB3935" s="48"/>
      <c r="CC3935" s="48"/>
      <c r="CD3935" s="48"/>
      <c r="CE3935" s="48"/>
      <c r="CF3935" s="48"/>
      <c r="CG3935" s="48"/>
      <c r="CH3935" s="48"/>
      <c r="CI3935" s="48"/>
      <c r="CJ3935" s="48"/>
      <c r="CK3935" s="48"/>
      <c r="CL3935" s="48"/>
      <c r="CM3935" s="48"/>
      <c r="CN3935" s="48"/>
      <c r="CO3935" s="48"/>
      <c r="CP3935" s="48"/>
      <c r="CQ3935" s="48"/>
      <c r="CR3935" s="48"/>
      <c r="CS3935" s="48"/>
      <c r="CT3935" s="48"/>
      <c r="CU3935" s="48"/>
      <c r="CV3935" s="48"/>
      <c r="CW3935" s="48"/>
      <c r="CX3935" s="48"/>
      <c r="CY3935" s="48"/>
      <c r="CZ3935" s="48"/>
    </row>
    <row r="3936" spans="27:104" s="4" customFormat="1" x14ac:dyDescent="0.3">
      <c r="AA3936" s="48"/>
      <c r="AB3936" s="48"/>
      <c r="AC3936" s="48"/>
      <c r="AD3936" s="48"/>
      <c r="AE3936" s="48"/>
      <c r="AF3936" s="48"/>
      <c r="AG3936" s="48"/>
      <c r="AH3936" s="48"/>
      <c r="AI3936" s="48"/>
      <c r="AJ3936" s="48"/>
      <c r="AK3936" s="48"/>
      <c r="AL3936" s="48"/>
      <c r="AM3936" s="48"/>
      <c r="AN3936" s="48"/>
      <c r="AO3936" s="48"/>
      <c r="AP3936" s="48"/>
      <c r="AQ3936" s="48"/>
      <c r="AR3936" s="48"/>
      <c r="AS3936" s="48"/>
      <c r="AT3936" s="48"/>
      <c r="AU3936" s="48"/>
      <c r="AV3936" s="48"/>
      <c r="AW3936" s="48"/>
      <c r="AX3936" s="48"/>
      <c r="AY3936" s="48"/>
      <c r="AZ3936" s="48"/>
      <c r="BA3936" s="48"/>
      <c r="BB3936" s="14"/>
      <c r="BC3936" s="48"/>
      <c r="BD3936" s="48"/>
      <c r="BE3936" s="48"/>
      <c r="BF3936" s="48"/>
      <c r="BG3936" s="48"/>
      <c r="BH3936" s="48"/>
      <c r="BI3936" s="48"/>
      <c r="BJ3936" s="48"/>
      <c r="BK3936" s="48"/>
      <c r="BL3936" s="48"/>
      <c r="BM3936" s="48"/>
      <c r="BN3936" s="48"/>
      <c r="BO3936" s="48"/>
      <c r="BP3936" s="48"/>
      <c r="BQ3936" s="48"/>
      <c r="BR3936" s="48"/>
      <c r="BS3936" s="48"/>
      <c r="BT3936" s="48"/>
      <c r="BU3936" s="48"/>
      <c r="BV3936" s="48"/>
      <c r="BW3936" s="48"/>
      <c r="BX3936" s="48"/>
      <c r="BY3936" s="48"/>
      <c r="BZ3936" s="48"/>
      <c r="CA3936" s="48"/>
      <c r="CB3936" s="48"/>
      <c r="CC3936" s="48"/>
      <c r="CD3936" s="48"/>
      <c r="CE3936" s="48"/>
      <c r="CF3936" s="48"/>
      <c r="CG3936" s="48"/>
      <c r="CH3936" s="48"/>
      <c r="CI3936" s="48"/>
      <c r="CJ3936" s="48"/>
      <c r="CK3936" s="48"/>
      <c r="CL3936" s="48"/>
      <c r="CM3936" s="48"/>
      <c r="CN3936" s="48"/>
      <c r="CO3936" s="48"/>
      <c r="CP3936" s="48"/>
      <c r="CQ3936" s="48"/>
      <c r="CR3936" s="48"/>
      <c r="CS3936" s="48"/>
      <c r="CT3936" s="48"/>
      <c r="CU3936" s="48"/>
      <c r="CV3936" s="48"/>
      <c r="CW3936" s="48"/>
      <c r="CX3936" s="48"/>
      <c r="CY3936" s="48"/>
      <c r="CZ3936" s="48"/>
    </row>
    <row r="3937" spans="27:104" s="4" customFormat="1" x14ac:dyDescent="0.3">
      <c r="AA3937" s="48"/>
      <c r="AB3937" s="48"/>
      <c r="AC3937" s="48"/>
      <c r="AD3937" s="48"/>
      <c r="AE3937" s="48"/>
      <c r="AF3937" s="48"/>
      <c r="AG3937" s="48"/>
      <c r="AH3937" s="48"/>
      <c r="AI3937" s="48"/>
      <c r="AJ3937" s="48"/>
      <c r="AK3937" s="48"/>
      <c r="AL3937" s="48"/>
      <c r="AM3937" s="48"/>
      <c r="AN3937" s="48"/>
      <c r="AO3937" s="48"/>
      <c r="AP3937" s="48"/>
      <c r="AQ3937" s="48"/>
      <c r="AR3937" s="48"/>
      <c r="AS3937" s="48"/>
      <c r="AT3937" s="48"/>
      <c r="AU3937" s="48"/>
      <c r="AV3937" s="48"/>
      <c r="AW3937" s="48"/>
      <c r="AX3937" s="48"/>
      <c r="AY3937" s="48"/>
      <c r="AZ3937" s="48"/>
      <c r="BA3937" s="48"/>
      <c r="BB3937" s="14"/>
      <c r="BC3937" s="48"/>
      <c r="BD3937" s="48"/>
      <c r="BE3937" s="48"/>
      <c r="BF3937" s="48"/>
      <c r="BG3937" s="48"/>
      <c r="BH3937" s="48"/>
      <c r="BI3937" s="48"/>
      <c r="BJ3937" s="48"/>
      <c r="BK3937" s="48"/>
      <c r="BL3937" s="48"/>
      <c r="BM3937" s="48"/>
      <c r="BN3937" s="48"/>
      <c r="BO3937" s="48"/>
      <c r="BP3937" s="48"/>
      <c r="BQ3937" s="48"/>
      <c r="BR3937" s="48"/>
      <c r="BS3937" s="48"/>
      <c r="BT3937" s="48"/>
      <c r="BU3937" s="48"/>
      <c r="BV3937" s="48"/>
      <c r="BW3937" s="48"/>
      <c r="BX3937" s="48"/>
      <c r="BY3937" s="48"/>
      <c r="BZ3937" s="48"/>
      <c r="CA3937" s="48"/>
      <c r="CB3937" s="48"/>
      <c r="CC3937" s="48"/>
      <c r="CD3937" s="48"/>
      <c r="CE3937" s="48"/>
      <c r="CF3937" s="48"/>
      <c r="CG3937" s="48"/>
      <c r="CH3937" s="48"/>
      <c r="CI3937" s="48"/>
      <c r="CJ3937" s="48"/>
      <c r="CK3937" s="48"/>
      <c r="CL3937" s="48"/>
      <c r="CM3937" s="48"/>
      <c r="CN3937" s="48"/>
      <c r="CO3937" s="48"/>
      <c r="CP3937" s="48"/>
      <c r="CQ3937" s="48"/>
      <c r="CR3937" s="48"/>
      <c r="CS3937" s="48"/>
      <c r="CT3937" s="48"/>
      <c r="CU3937" s="48"/>
      <c r="CV3937" s="48"/>
      <c r="CW3937" s="48"/>
      <c r="CX3937" s="48"/>
      <c r="CY3937" s="48"/>
      <c r="CZ3937" s="48"/>
    </row>
    <row r="3938" spans="27:104" s="4" customFormat="1" x14ac:dyDescent="0.3">
      <c r="AA3938" s="48"/>
      <c r="AB3938" s="48"/>
      <c r="AC3938" s="48"/>
      <c r="AD3938" s="48"/>
      <c r="AE3938" s="48"/>
      <c r="AF3938" s="48"/>
      <c r="AG3938" s="48"/>
      <c r="AH3938" s="48"/>
      <c r="AI3938" s="48"/>
      <c r="AJ3938" s="48"/>
      <c r="AK3938" s="48"/>
      <c r="AL3938" s="48"/>
      <c r="AM3938" s="48"/>
      <c r="AN3938" s="48"/>
      <c r="AO3938" s="48"/>
      <c r="AP3938" s="48"/>
      <c r="AQ3938" s="48"/>
      <c r="AR3938" s="48"/>
      <c r="AS3938" s="48"/>
      <c r="AT3938" s="48"/>
      <c r="AU3938" s="48"/>
      <c r="AV3938" s="48"/>
      <c r="AW3938" s="48"/>
      <c r="AX3938" s="48"/>
      <c r="AY3938" s="48"/>
      <c r="AZ3938" s="48"/>
      <c r="BA3938" s="48"/>
      <c r="BB3938" s="14"/>
      <c r="BC3938" s="48"/>
      <c r="BD3938" s="48"/>
      <c r="BE3938" s="48"/>
      <c r="BF3938" s="48"/>
      <c r="BG3938" s="48"/>
      <c r="BH3938" s="48"/>
      <c r="BI3938" s="48"/>
      <c r="BJ3938" s="48"/>
      <c r="BK3938" s="48"/>
      <c r="BL3938" s="48"/>
      <c r="BM3938" s="48"/>
      <c r="BN3938" s="48"/>
      <c r="BO3938" s="48"/>
      <c r="BP3938" s="48"/>
      <c r="BQ3938" s="48"/>
      <c r="BR3938" s="48"/>
      <c r="BS3938" s="48"/>
      <c r="BT3938" s="48"/>
      <c r="BU3938" s="48"/>
      <c r="BV3938" s="48"/>
      <c r="BW3938" s="48"/>
      <c r="BX3938" s="48"/>
      <c r="BY3938" s="48"/>
      <c r="BZ3938" s="48"/>
      <c r="CA3938" s="48"/>
      <c r="CB3938" s="48"/>
      <c r="CC3938" s="48"/>
      <c r="CD3938" s="48"/>
      <c r="CE3938" s="48"/>
      <c r="CF3938" s="48"/>
      <c r="CG3938" s="48"/>
      <c r="CH3938" s="48"/>
      <c r="CI3938" s="48"/>
      <c r="CJ3938" s="48"/>
      <c r="CK3938" s="48"/>
      <c r="CL3938" s="48"/>
      <c r="CM3938" s="48"/>
      <c r="CN3938" s="48"/>
      <c r="CO3938" s="48"/>
      <c r="CP3938" s="48"/>
      <c r="CQ3938" s="48"/>
      <c r="CR3938" s="48"/>
      <c r="CS3938" s="48"/>
      <c r="CT3938" s="48"/>
      <c r="CU3938" s="48"/>
      <c r="CV3938" s="48"/>
      <c r="CW3938" s="48"/>
      <c r="CX3938" s="48"/>
      <c r="CY3938" s="48"/>
      <c r="CZ3938" s="48"/>
    </row>
    <row r="3939" spans="27:104" s="4" customFormat="1" x14ac:dyDescent="0.3">
      <c r="AA3939" s="48"/>
      <c r="AB3939" s="48"/>
      <c r="AC3939" s="48"/>
      <c r="AD3939" s="48"/>
      <c r="AE3939" s="48"/>
      <c r="AF3939" s="48"/>
      <c r="AG3939" s="48"/>
      <c r="AH3939" s="48"/>
      <c r="AI3939" s="48"/>
      <c r="AJ3939" s="48"/>
      <c r="AK3939" s="48"/>
      <c r="AL3939" s="48"/>
      <c r="AM3939" s="48"/>
      <c r="AN3939" s="48"/>
      <c r="AO3939" s="48"/>
      <c r="AP3939" s="48"/>
      <c r="AQ3939" s="48"/>
      <c r="AR3939" s="48"/>
      <c r="AS3939" s="48"/>
      <c r="AT3939" s="48"/>
      <c r="AU3939" s="48"/>
      <c r="AV3939" s="48"/>
      <c r="AW3939" s="48"/>
      <c r="AX3939" s="48"/>
      <c r="AY3939" s="48"/>
      <c r="AZ3939" s="48"/>
      <c r="BA3939" s="48"/>
      <c r="BB3939" s="14"/>
      <c r="BC3939" s="48"/>
      <c r="BD3939" s="48"/>
      <c r="BE3939" s="48"/>
      <c r="BF3939" s="48"/>
      <c r="BG3939" s="48"/>
      <c r="BH3939" s="48"/>
      <c r="BI3939" s="48"/>
      <c r="BJ3939" s="48"/>
      <c r="BK3939" s="48"/>
      <c r="BL3939" s="48"/>
      <c r="BM3939" s="48"/>
      <c r="BN3939" s="48"/>
      <c r="BO3939" s="48"/>
      <c r="BP3939" s="48"/>
      <c r="BQ3939" s="48"/>
      <c r="BR3939" s="48"/>
      <c r="BS3939" s="48"/>
      <c r="BT3939" s="48"/>
      <c r="BU3939" s="48"/>
      <c r="BV3939" s="48"/>
      <c r="BW3939" s="48"/>
      <c r="BX3939" s="48"/>
      <c r="BY3939" s="48"/>
      <c r="BZ3939" s="48"/>
      <c r="CA3939" s="48"/>
      <c r="CB3939" s="48"/>
      <c r="CC3939" s="48"/>
      <c r="CD3939" s="48"/>
      <c r="CE3939" s="48"/>
      <c r="CF3939" s="48"/>
      <c r="CG3939" s="48"/>
      <c r="CH3939" s="48"/>
      <c r="CI3939" s="48"/>
      <c r="CJ3939" s="48"/>
      <c r="CK3939" s="48"/>
      <c r="CL3939" s="48"/>
      <c r="CM3939" s="48"/>
      <c r="CN3939" s="48"/>
      <c r="CO3939" s="48"/>
      <c r="CP3939" s="48"/>
      <c r="CQ3939" s="48"/>
      <c r="CR3939" s="48"/>
      <c r="CS3939" s="48"/>
      <c r="CT3939" s="48"/>
      <c r="CU3939" s="48"/>
      <c r="CV3939" s="48"/>
      <c r="CW3939" s="48"/>
      <c r="CX3939" s="48"/>
      <c r="CY3939" s="48"/>
      <c r="CZ3939" s="48"/>
    </row>
    <row r="3940" spans="27:104" s="4" customFormat="1" x14ac:dyDescent="0.3">
      <c r="AA3940" s="48"/>
      <c r="AB3940" s="48"/>
      <c r="AC3940" s="48"/>
      <c r="AD3940" s="48"/>
      <c r="AE3940" s="48"/>
      <c r="AF3940" s="48"/>
      <c r="AG3940" s="48"/>
      <c r="AH3940" s="48"/>
      <c r="AI3940" s="48"/>
      <c r="AJ3940" s="48"/>
      <c r="AK3940" s="48"/>
      <c r="AL3940" s="48"/>
      <c r="AM3940" s="48"/>
      <c r="AN3940" s="48"/>
      <c r="AO3940" s="48"/>
      <c r="AP3940" s="48"/>
      <c r="AQ3940" s="48"/>
      <c r="AR3940" s="48"/>
      <c r="AS3940" s="48"/>
      <c r="AT3940" s="48"/>
      <c r="AU3940" s="48"/>
      <c r="AV3940" s="48"/>
      <c r="AW3940" s="48"/>
      <c r="AX3940" s="48"/>
      <c r="AY3940" s="48"/>
      <c r="AZ3940" s="48"/>
      <c r="BA3940" s="48"/>
      <c r="BB3940" s="14"/>
      <c r="BC3940" s="48"/>
      <c r="BD3940" s="48"/>
      <c r="BE3940" s="48"/>
      <c r="BF3940" s="48"/>
      <c r="BG3940" s="48"/>
      <c r="BH3940" s="48"/>
      <c r="BI3940" s="48"/>
      <c r="BJ3940" s="48"/>
      <c r="BK3940" s="48"/>
      <c r="BL3940" s="48"/>
      <c r="BM3940" s="48"/>
      <c r="BN3940" s="48"/>
      <c r="BO3940" s="48"/>
      <c r="BP3940" s="48"/>
      <c r="BQ3940" s="48"/>
      <c r="BR3940" s="48"/>
      <c r="BS3940" s="48"/>
      <c r="BT3940" s="48"/>
      <c r="BU3940" s="48"/>
      <c r="BV3940" s="48"/>
      <c r="BW3940" s="48"/>
      <c r="BX3940" s="48"/>
      <c r="BY3940" s="48"/>
      <c r="BZ3940" s="48"/>
      <c r="CA3940" s="48"/>
      <c r="CB3940" s="48"/>
      <c r="CC3940" s="48"/>
      <c r="CD3940" s="48"/>
      <c r="CE3940" s="48"/>
      <c r="CF3940" s="48"/>
      <c r="CG3940" s="48"/>
      <c r="CH3940" s="48"/>
      <c r="CI3940" s="48"/>
      <c r="CJ3940" s="48"/>
      <c r="CK3940" s="48"/>
      <c r="CL3940" s="48"/>
      <c r="CM3940" s="48"/>
      <c r="CN3940" s="48"/>
      <c r="CO3940" s="48"/>
      <c r="CP3940" s="48"/>
      <c r="CQ3940" s="48"/>
      <c r="CR3940" s="48"/>
      <c r="CS3940" s="48"/>
      <c r="CT3940" s="48"/>
      <c r="CU3940" s="48"/>
      <c r="CV3940" s="48"/>
      <c r="CW3940" s="48"/>
      <c r="CX3940" s="48"/>
      <c r="CY3940" s="48"/>
      <c r="CZ3940" s="48"/>
    </row>
    <row r="3941" spans="27:104" s="4" customFormat="1" x14ac:dyDescent="0.3">
      <c r="AA3941" s="48"/>
      <c r="AB3941" s="48"/>
      <c r="AC3941" s="48"/>
      <c r="AD3941" s="48"/>
      <c r="AE3941" s="48"/>
      <c r="AF3941" s="48"/>
      <c r="AG3941" s="48"/>
      <c r="AH3941" s="48"/>
      <c r="AI3941" s="48"/>
      <c r="AJ3941" s="48"/>
      <c r="AK3941" s="48"/>
      <c r="AL3941" s="48"/>
      <c r="AM3941" s="48"/>
      <c r="AN3941" s="48"/>
      <c r="AO3941" s="48"/>
      <c r="AP3941" s="48"/>
      <c r="AQ3941" s="48"/>
      <c r="AR3941" s="48"/>
      <c r="AS3941" s="48"/>
      <c r="AT3941" s="48"/>
      <c r="AU3941" s="48"/>
      <c r="AV3941" s="48"/>
      <c r="AW3941" s="48"/>
      <c r="AX3941" s="48"/>
      <c r="AY3941" s="48"/>
      <c r="AZ3941" s="48"/>
      <c r="BA3941" s="48"/>
      <c r="BB3941" s="14"/>
      <c r="BC3941" s="48"/>
      <c r="BD3941" s="48"/>
      <c r="BE3941" s="48"/>
      <c r="BF3941" s="48"/>
      <c r="BG3941" s="48"/>
      <c r="BH3941" s="48"/>
      <c r="BI3941" s="48"/>
      <c r="BJ3941" s="48"/>
      <c r="BK3941" s="48"/>
      <c r="BL3941" s="48"/>
      <c r="BM3941" s="48"/>
      <c r="BN3941" s="48"/>
      <c r="BO3941" s="48"/>
      <c r="BP3941" s="48"/>
      <c r="BQ3941" s="48"/>
      <c r="BR3941" s="48"/>
      <c r="BS3941" s="48"/>
      <c r="BT3941" s="48"/>
      <c r="BU3941" s="48"/>
      <c r="BV3941" s="48"/>
      <c r="BW3941" s="48"/>
      <c r="BX3941" s="48"/>
      <c r="BY3941" s="48"/>
      <c r="BZ3941" s="48"/>
      <c r="CA3941" s="48"/>
      <c r="CB3941" s="48"/>
      <c r="CC3941" s="48"/>
      <c r="CD3941" s="48"/>
      <c r="CE3941" s="48"/>
      <c r="CF3941" s="48"/>
      <c r="CG3941" s="48"/>
      <c r="CH3941" s="48"/>
      <c r="CI3941" s="48"/>
      <c r="CJ3941" s="48"/>
      <c r="CK3941" s="48"/>
      <c r="CL3941" s="48"/>
      <c r="CM3941" s="48"/>
      <c r="CN3941" s="48"/>
      <c r="CO3941" s="48"/>
      <c r="CP3941" s="48"/>
      <c r="CQ3941" s="48"/>
      <c r="CR3941" s="48"/>
      <c r="CS3941" s="48"/>
      <c r="CT3941" s="48"/>
      <c r="CU3941" s="48"/>
      <c r="CV3941" s="48"/>
      <c r="CW3941" s="48"/>
      <c r="CX3941" s="48"/>
      <c r="CY3941" s="48"/>
      <c r="CZ3941" s="48"/>
    </row>
    <row r="3942" spans="27:104" s="4" customFormat="1" x14ac:dyDescent="0.3">
      <c r="AA3942" s="48"/>
      <c r="AB3942" s="48"/>
      <c r="AC3942" s="48"/>
      <c r="AD3942" s="48"/>
      <c r="AE3942" s="48"/>
      <c r="AF3942" s="48"/>
      <c r="AG3942" s="48"/>
      <c r="AH3942" s="48"/>
      <c r="AI3942" s="48"/>
      <c r="AJ3942" s="48"/>
      <c r="AK3942" s="48"/>
      <c r="AL3942" s="48"/>
      <c r="AM3942" s="48"/>
      <c r="AN3942" s="48"/>
      <c r="AO3942" s="48"/>
      <c r="AP3942" s="48"/>
      <c r="AQ3942" s="48"/>
      <c r="AR3942" s="48"/>
      <c r="AS3942" s="48"/>
      <c r="AT3942" s="48"/>
      <c r="AU3942" s="48"/>
      <c r="AV3942" s="48"/>
      <c r="AW3942" s="48"/>
      <c r="AX3942" s="48"/>
      <c r="AY3942" s="48"/>
      <c r="AZ3942" s="48"/>
      <c r="BA3942" s="48"/>
      <c r="BB3942" s="14"/>
      <c r="BC3942" s="48"/>
      <c r="BD3942" s="48"/>
      <c r="BE3942" s="48"/>
      <c r="BF3942" s="48"/>
      <c r="BG3942" s="48"/>
      <c r="BH3942" s="48"/>
      <c r="BI3942" s="48"/>
      <c r="BJ3942" s="48"/>
      <c r="BK3942" s="48"/>
      <c r="BL3942" s="48"/>
      <c r="BM3942" s="48"/>
      <c r="BN3942" s="48"/>
      <c r="BO3942" s="48"/>
      <c r="BP3942" s="48"/>
      <c r="BQ3942" s="48"/>
      <c r="BR3942" s="48"/>
      <c r="BS3942" s="48"/>
      <c r="BT3942" s="48"/>
      <c r="BU3942" s="48"/>
      <c r="BV3942" s="48"/>
      <c r="BW3942" s="48"/>
      <c r="BX3942" s="48"/>
      <c r="BY3942" s="48"/>
      <c r="BZ3942" s="48"/>
      <c r="CA3942" s="48"/>
      <c r="CB3942" s="48"/>
      <c r="CC3942" s="48"/>
      <c r="CD3942" s="48"/>
      <c r="CE3942" s="48"/>
      <c r="CF3942" s="48"/>
      <c r="CG3942" s="48"/>
      <c r="CH3942" s="48"/>
      <c r="CI3942" s="48"/>
      <c r="CJ3942" s="48"/>
      <c r="CK3942" s="48"/>
      <c r="CL3942" s="48"/>
      <c r="CM3942" s="48"/>
      <c r="CN3942" s="48"/>
      <c r="CO3942" s="48"/>
      <c r="CP3942" s="48"/>
      <c r="CQ3942" s="48"/>
      <c r="CR3942" s="48"/>
      <c r="CS3942" s="48"/>
      <c r="CT3942" s="48"/>
      <c r="CU3942" s="48"/>
      <c r="CV3942" s="48"/>
      <c r="CW3942" s="48"/>
      <c r="CX3942" s="48"/>
      <c r="CY3942" s="48"/>
      <c r="CZ3942" s="48"/>
    </row>
    <row r="3943" spans="27:104" s="4" customFormat="1" x14ac:dyDescent="0.3">
      <c r="AA3943" s="48"/>
      <c r="AB3943" s="48"/>
      <c r="AC3943" s="48"/>
      <c r="AD3943" s="48"/>
      <c r="AE3943" s="48"/>
      <c r="AF3943" s="48"/>
      <c r="AG3943" s="48"/>
      <c r="AH3943" s="48"/>
      <c r="AI3943" s="48"/>
      <c r="AJ3943" s="48"/>
      <c r="AK3943" s="48"/>
      <c r="AL3943" s="48"/>
      <c r="AM3943" s="48"/>
      <c r="AN3943" s="48"/>
      <c r="AO3943" s="48"/>
      <c r="AP3943" s="48"/>
      <c r="AQ3943" s="48"/>
      <c r="AR3943" s="48"/>
      <c r="AS3943" s="48"/>
      <c r="AT3943" s="48"/>
      <c r="AU3943" s="48"/>
      <c r="AV3943" s="48"/>
      <c r="AW3943" s="48"/>
      <c r="AX3943" s="48"/>
      <c r="AY3943" s="48"/>
      <c r="AZ3943" s="48"/>
      <c r="BA3943" s="48"/>
      <c r="BB3943" s="14"/>
      <c r="BC3943" s="48"/>
      <c r="BD3943" s="48"/>
      <c r="BE3943" s="48"/>
      <c r="BF3943" s="48"/>
      <c r="BG3943" s="48"/>
      <c r="BH3943" s="48"/>
      <c r="BI3943" s="48"/>
      <c r="BJ3943" s="48"/>
      <c r="BK3943" s="48"/>
      <c r="BL3943" s="48"/>
      <c r="BM3943" s="48"/>
      <c r="BN3943" s="48"/>
      <c r="BO3943" s="48"/>
      <c r="BP3943" s="48"/>
      <c r="BQ3943" s="48"/>
      <c r="BR3943" s="48"/>
      <c r="BS3943" s="48"/>
      <c r="BT3943" s="48"/>
      <c r="BU3943" s="48"/>
      <c r="BV3943" s="48"/>
      <c r="BW3943" s="48"/>
      <c r="BX3943" s="48"/>
      <c r="BY3943" s="48"/>
      <c r="BZ3943" s="48"/>
      <c r="CA3943" s="48"/>
      <c r="CB3943" s="48"/>
      <c r="CC3943" s="48"/>
      <c r="CD3943" s="48"/>
      <c r="CE3943" s="48"/>
      <c r="CF3943" s="48"/>
      <c r="CG3943" s="48"/>
      <c r="CH3943" s="48"/>
      <c r="CI3943" s="48"/>
      <c r="CJ3943" s="48"/>
      <c r="CK3943" s="48"/>
      <c r="CL3943" s="48"/>
      <c r="CM3943" s="48"/>
      <c r="CN3943" s="48"/>
      <c r="CO3943" s="48"/>
      <c r="CP3943" s="48"/>
      <c r="CQ3943" s="48"/>
      <c r="CR3943" s="48"/>
      <c r="CS3943" s="48"/>
      <c r="CT3943" s="48"/>
      <c r="CU3943" s="48"/>
      <c r="CV3943" s="48"/>
      <c r="CW3943" s="48"/>
      <c r="CX3943" s="48"/>
      <c r="CY3943" s="48"/>
      <c r="CZ3943" s="48"/>
    </row>
    <row r="3944" spans="27:104" s="4" customFormat="1" x14ac:dyDescent="0.3">
      <c r="AA3944" s="48"/>
      <c r="AB3944" s="48"/>
      <c r="AC3944" s="48"/>
      <c r="AD3944" s="48"/>
      <c r="AE3944" s="48"/>
      <c r="AF3944" s="48"/>
      <c r="AG3944" s="48"/>
      <c r="AH3944" s="48"/>
      <c r="AI3944" s="48"/>
      <c r="AJ3944" s="48"/>
      <c r="AK3944" s="48"/>
      <c r="AL3944" s="48"/>
      <c r="AM3944" s="48"/>
      <c r="AN3944" s="48"/>
      <c r="AO3944" s="48"/>
      <c r="AP3944" s="48"/>
      <c r="AQ3944" s="48"/>
      <c r="AR3944" s="48"/>
      <c r="AS3944" s="48"/>
      <c r="AT3944" s="48"/>
      <c r="AU3944" s="48"/>
      <c r="AV3944" s="48"/>
      <c r="AW3944" s="48"/>
      <c r="AX3944" s="48"/>
      <c r="AY3944" s="48"/>
      <c r="AZ3944" s="48"/>
      <c r="BA3944" s="48"/>
      <c r="BB3944" s="14"/>
      <c r="BC3944" s="48"/>
      <c r="BD3944" s="48"/>
      <c r="BE3944" s="48"/>
      <c r="BF3944" s="48"/>
      <c r="BG3944" s="48"/>
      <c r="BH3944" s="48"/>
      <c r="BI3944" s="48"/>
      <c r="BJ3944" s="48"/>
      <c r="BK3944" s="48"/>
      <c r="BL3944" s="48"/>
      <c r="BM3944" s="48"/>
      <c r="BN3944" s="48"/>
      <c r="BO3944" s="48"/>
      <c r="BP3944" s="48"/>
      <c r="BQ3944" s="48"/>
      <c r="BR3944" s="48"/>
      <c r="BS3944" s="48"/>
      <c r="BT3944" s="48"/>
      <c r="BU3944" s="48"/>
      <c r="BV3944" s="48"/>
      <c r="BW3944" s="48"/>
      <c r="BX3944" s="48"/>
      <c r="BY3944" s="48"/>
      <c r="BZ3944" s="48"/>
      <c r="CA3944" s="48"/>
      <c r="CB3944" s="48"/>
      <c r="CC3944" s="48"/>
      <c r="CD3944" s="48"/>
      <c r="CE3944" s="48"/>
      <c r="CF3944" s="48"/>
      <c r="CG3944" s="48"/>
      <c r="CH3944" s="48"/>
      <c r="CI3944" s="48"/>
      <c r="CJ3944" s="48"/>
      <c r="CK3944" s="48"/>
      <c r="CL3944" s="48"/>
      <c r="CM3944" s="48"/>
      <c r="CN3944" s="48"/>
      <c r="CO3944" s="48"/>
      <c r="CP3944" s="48"/>
      <c r="CQ3944" s="48"/>
      <c r="CR3944" s="48"/>
      <c r="CS3944" s="48"/>
      <c r="CT3944" s="48"/>
      <c r="CU3944" s="48"/>
      <c r="CV3944" s="48"/>
      <c r="CW3944" s="48"/>
      <c r="CX3944" s="48"/>
      <c r="CY3944" s="48"/>
      <c r="CZ3944" s="48"/>
    </row>
    <row r="3945" spans="27:104" s="4" customFormat="1" x14ac:dyDescent="0.3">
      <c r="AA3945" s="48"/>
      <c r="AB3945" s="48"/>
      <c r="AC3945" s="48"/>
      <c r="AD3945" s="48"/>
      <c r="AE3945" s="48"/>
      <c r="AF3945" s="48"/>
      <c r="AG3945" s="48"/>
      <c r="AH3945" s="48"/>
      <c r="AI3945" s="48"/>
      <c r="AJ3945" s="48"/>
      <c r="AK3945" s="48"/>
      <c r="AL3945" s="48"/>
      <c r="AM3945" s="48"/>
      <c r="AN3945" s="48"/>
      <c r="AO3945" s="48"/>
      <c r="AP3945" s="48"/>
      <c r="AQ3945" s="48"/>
      <c r="AR3945" s="48"/>
      <c r="AS3945" s="48"/>
      <c r="AT3945" s="48"/>
      <c r="AU3945" s="48"/>
      <c r="AV3945" s="48"/>
      <c r="AW3945" s="48"/>
      <c r="AX3945" s="48"/>
      <c r="AY3945" s="48"/>
      <c r="AZ3945" s="48"/>
      <c r="BA3945" s="48"/>
      <c r="BB3945" s="14"/>
      <c r="BC3945" s="48"/>
      <c r="BD3945" s="48"/>
      <c r="BE3945" s="48"/>
      <c r="BF3945" s="48"/>
      <c r="BG3945" s="48"/>
      <c r="BH3945" s="48"/>
      <c r="BI3945" s="48"/>
      <c r="BJ3945" s="48"/>
      <c r="BK3945" s="48"/>
      <c r="BL3945" s="48"/>
      <c r="BM3945" s="48"/>
      <c r="BN3945" s="48"/>
      <c r="BO3945" s="48"/>
      <c r="BP3945" s="48"/>
      <c r="BQ3945" s="48"/>
      <c r="BR3945" s="48"/>
      <c r="BS3945" s="48"/>
      <c r="BT3945" s="48"/>
      <c r="BU3945" s="48"/>
      <c r="BV3945" s="48"/>
      <c r="BW3945" s="48"/>
      <c r="BX3945" s="48"/>
      <c r="BY3945" s="48"/>
      <c r="BZ3945" s="48"/>
      <c r="CA3945" s="48"/>
      <c r="CB3945" s="48"/>
      <c r="CC3945" s="48"/>
      <c r="CD3945" s="48"/>
      <c r="CE3945" s="48"/>
      <c r="CF3945" s="48"/>
      <c r="CG3945" s="48"/>
      <c r="CH3945" s="48"/>
      <c r="CI3945" s="48"/>
      <c r="CJ3945" s="48"/>
      <c r="CK3945" s="48"/>
      <c r="CL3945" s="48"/>
      <c r="CM3945" s="48"/>
      <c r="CN3945" s="48"/>
      <c r="CO3945" s="48"/>
      <c r="CP3945" s="48"/>
      <c r="CQ3945" s="48"/>
      <c r="CR3945" s="48"/>
      <c r="CS3945" s="48"/>
      <c r="CT3945" s="48"/>
      <c r="CU3945" s="48"/>
      <c r="CV3945" s="48"/>
      <c r="CW3945" s="48"/>
      <c r="CX3945" s="48"/>
      <c r="CY3945" s="48"/>
      <c r="CZ3945" s="48"/>
    </row>
    <row r="3946" spans="27:104" s="4" customFormat="1" x14ac:dyDescent="0.3">
      <c r="AA3946" s="48"/>
      <c r="AB3946" s="48"/>
      <c r="AC3946" s="48"/>
      <c r="AD3946" s="48"/>
      <c r="AE3946" s="48"/>
      <c r="AF3946" s="48"/>
      <c r="AG3946" s="48"/>
      <c r="AH3946" s="48"/>
      <c r="AI3946" s="48"/>
      <c r="AJ3946" s="48"/>
      <c r="AK3946" s="48"/>
      <c r="AL3946" s="48"/>
      <c r="AM3946" s="48"/>
      <c r="AN3946" s="48"/>
      <c r="AO3946" s="48"/>
      <c r="AP3946" s="48"/>
      <c r="AQ3946" s="48"/>
      <c r="AR3946" s="48"/>
      <c r="AS3946" s="48"/>
      <c r="AT3946" s="48"/>
      <c r="AU3946" s="48"/>
      <c r="AV3946" s="48"/>
      <c r="AW3946" s="48"/>
      <c r="AX3946" s="48"/>
      <c r="AY3946" s="48"/>
      <c r="AZ3946" s="48"/>
      <c r="BA3946" s="48"/>
      <c r="BB3946" s="14"/>
      <c r="BC3946" s="48"/>
      <c r="BD3946" s="48"/>
      <c r="BE3946" s="48"/>
      <c r="BF3946" s="48"/>
      <c r="BG3946" s="48"/>
      <c r="BH3946" s="48"/>
      <c r="BI3946" s="48"/>
      <c r="BJ3946" s="48"/>
      <c r="BK3946" s="48"/>
      <c r="BL3946" s="48"/>
      <c r="BM3946" s="48"/>
      <c r="BN3946" s="48"/>
      <c r="BO3946" s="48"/>
      <c r="BP3946" s="48"/>
      <c r="BQ3946" s="48"/>
      <c r="BR3946" s="48"/>
      <c r="BS3946" s="48"/>
      <c r="BT3946" s="48"/>
      <c r="BU3946" s="48"/>
      <c r="BV3946" s="48"/>
      <c r="BW3946" s="48"/>
      <c r="BX3946" s="48"/>
      <c r="BY3946" s="48"/>
      <c r="BZ3946" s="48"/>
      <c r="CA3946" s="48"/>
      <c r="CB3946" s="48"/>
      <c r="CC3946" s="48"/>
      <c r="CD3946" s="48"/>
      <c r="CE3946" s="48"/>
      <c r="CF3946" s="48"/>
      <c r="CG3946" s="48"/>
      <c r="CH3946" s="48"/>
      <c r="CI3946" s="48"/>
      <c r="CJ3946" s="48"/>
      <c r="CK3946" s="48"/>
      <c r="CL3946" s="48"/>
      <c r="CM3946" s="48"/>
      <c r="CN3946" s="48"/>
      <c r="CO3946" s="48"/>
      <c r="CP3946" s="48"/>
      <c r="CQ3946" s="48"/>
      <c r="CR3946" s="48"/>
      <c r="CS3946" s="48"/>
      <c r="CT3946" s="48"/>
      <c r="CU3946" s="48"/>
      <c r="CV3946" s="48"/>
      <c r="CW3946" s="48"/>
      <c r="CX3946" s="48"/>
      <c r="CY3946" s="48"/>
      <c r="CZ3946" s="48"/>
    </row>
    <row r="3947" spans="27:104" s="4" customFormat="1" x14ac:dyDescent="0.3">
      <c r="AA3947" s="48"/>
      <c r="AB3947" s="48"/>
      <c r="AC3947" s="48"/>
      <c r="AD3947" s="48"/>
      <c r="AE3947" s="48"/>
      <c r="AF3947" s="48"/>
      <c r="AG3947" s="48"/>
      <c r="AH3947" s="48"/>
      <c r="AI3947" s="48"/>
      <c r="AJ3947" s="48"/>
      <c r="AK3947" s="48"/>
      <c r="AL3947" s="48"/>
      <c r="AM3947" s="48"/>
      <c r="AN3947" s="48"/>
      <c r="AO3947" s="48"/>
      <c r="AP3947" s="48"/>
      <c r="AQ3947" s="48"/>
      <c r="AR3947" s="48"/>
      <c r="AS3947" s="48"/>
      <c r="AT3947" s="48"/>
      <c r="AU3947" s="48"/>
      <c r="AV3947" s="48"/>
      <c r="AW3947" s="48"/>
      <c r="AX3947" s="48"/>
      <c r="AY3947" s="48"/>
      <c r="AZ3947" s="48"/>
      <c r="BA3947" s="48"/>
      <c r="BB3947" s="14"/>
      <c r="BC3947" s="48"/>
      <c r="BD3947" s="48"/>
      <c r="BE3947" s="48"/>
      <c r="BF3947" s="48"/>
      <c r="BG3947" s="48"/>
      <c r="BH3947" s="48"/>
      <c r="BI3947" s="48"/>
      <c r="BJ3947" s="48"/>
      <c r="BK3947" s="48"/>
      <c r="BL3947" s="48"/>
      <c r="BM3947" s="48"/>
      <c r="BN3947" s="48"/>
      <c r="BO3947" s="48"/>
      <c r="BP3947" s="48"/>
      <c r="BQ3947" s="48"/>
      <c r="BR3947" s="48"/>
      <c r="BS3947" s="48"/>
      <c r="BT3947" s="48"/>
      <c r="BU3947" s="48"/>
      <c r="BV3947" s="48"/>
      <c r="BW3947" s="48"/>
      <c r="BX3947" s="48"/>
      <c r="BY3947" s="48"/>
      <c r="BZ3947" s="48"/>
      <c r="CA3947" s="48"/>
      <c r="CB3947" s="48"/>
      <c r="CC3947" s="48"/>
      <c r="CD3947" s="48"/>
      <c r="CE3947" s="48"/>
      <c r="CF3947" s="48"/>
      <c r="CG3947" s="48"/>
      <c r="CH3947" s="48"/>
      <c r="CI3947" s="48"/>
      <c r="CJ3947" s="48"/>
      <c r="CK3947" s="48"/>
      <c r="CL3947" s="48"/>
      <c r="CM3947" s="48"/>
      <c r="CN3947" s="48"/>
      <c r="CO3947" s="48"/>
      <c r="CP3947" s="48"/>
      <c r="CQ3947" s="48"/>
      <c r="CR3947" s="48"/>
      <c r="CS3947" s="48"/>
      <c r="CT3947" s="48"/>
      <c r="CU3947" s="48"/>
      <c r="CV3947" s="48"/>
      <c r="CW3947" s="48"/>
      <c r="CX3947" s="48"/>
      <c r="CY3947" s="48"/>
      <c r="CZ3947" s="48"/>
    </row>
    <row r="3948" spans="27:104" s="4" customFormat="1" x14ac:dyDescent="0.3">
      <c r="AA3948" s="48"/>
      <c r="AB3948" s="48"/>
      <c r="AC3948" s="48"/>
      <c r="AD3948" s="48"/>
      <c r="AE3948" s="48"/>
      <c r="AF3948" s="48"/>
      <c r="AG3948" s="48"/>
      <c r="AH3948" s="48"/>
      <c r="AI3948" s="48"/>
      <c r="AJ3948" s="48"/>
      <c r="AK3948" s="48"/>
      <c r="AL3948" s="48"/>
      <c r="AM3948" s="48"/>
      <c r="AN3948" s="48"/>
      <c r="AO3948" s="48"/>
      <c r="AP3948" s="48"/>
      <c r="AQ3948" s="48"/>
      <c r="AR3948" s="48"/>
      <c r="AS3948" s="48"/>
      <c r="AT3948" s="48"/>
      <c r="AU3948" s="48"/>
      <c r="AV3948" s="48"/>
      <c r="AW3948" s="48"/>
      <c r="AX3948" s="48"/>
      <c r="AY3948" s="48"/>
      <c r="AZ3948" s="48"/>
      <c r="BA3948" s="48"/>
      <c r="BB3948" s="14"/>
      <c r="BC3948" s="48"/>
      <c r="BD3948" s="48"/>
      <c r="BE3948" s="48"/>
      <c r="BF3948" s="48"/>
      <c r="BG3948" s="48"/>
      <c r="BH3948" s="48"/>
      <c r="BI3948" s="48"/>
      <c r="BJ3948" s="48"/>
      <c r="BK3948" s="48"/>
      <c r="BL3948" s="48"/>
      <c r="BM3948" s="48"/>
      <c r="BN3948" s="48"/>
      <c r="BO3948" s="48"/>
      <c r="BP3948" s="48"/>
      <c r="BQ3948" s="48"/>
      <c r="BR3948" s="48"/>
      <c r="BS3948" s="48"/>
      <c r="BT3948" s="48"/>
      <c r="BU3948" s="48"/>
      <c r="BV3948" s="48"/>
      <c r="BW3948" s="48"/>
      <c r="BX3948" s="48"/>
      <c r="BY3948" s="48"/>
      <c r="BZ3948" s="48"/>
      <c r="CA3948" s="48"/>
      <c r="CB3948" s="48"/>
      <c r="CC3948" s="48"/>
      <c r="CD3948" s="48"/>
      <c r="CE3948" s="48"/>
      <c r="CF3948" s="48"/>
      <c r="CG3948" s="48"/>
      <c r="CH3948" s="48"/>
      <c r="CI3948" s="48"/>
      <c r="CJ3948" s="48"/>
      <c r="CK3948" s="48"/>
      <c r="CL3948" s="48"/>
      <c r="CM3948" s="48"/>
      <c r="CN3948" s="48"/>
      <c r="CO3948" s="48"/>
      <c r="CP3948" s="48"/>
      <c r="CQ3948" s="48"/>
      <c r="CR3948" s="48"/>
      <c r="CS3948" s="48"/>
      <c r="CT3948" s="48"/>
      <c r="CU3948" s="48"/>
      <c r="CV3948" s="48"/>
      <c r="CW3948" s="48"/>
      <c r="CX3948" s="48"/>
      <c r="CY3948" s="48"/>
      <c r="CZ3948" s="48"/>
    </row>
    <row r="3949" spans="27:104" s="4" customFormat="1" x14ac:dyDescent="0.3">
      <c r="AA3949" s="48"/>
      <c r="AB3949" s="48"/>
      <c r="AC3949" s="48"/>
      <c r="AD3949" s="48"/>
      <c r="AE3949" s="48"/>
      <c r="AF3949" s="48"/>
      <c r="AG3949" s="48"/>
      <c r="AH3949" s="48"/>
      <c r="AI3949" s="48"/>
      <c r="AJ3949" s="48"/>
      <c r="AK3949" s="48"/>
      <c r="AL3949" s="48"/>
      <c r="AM3949" s="48"/>
      <c r="AN3949" s="48"/>
      <c r="AO3949" s="48"/>
      <c r="AP3949" s="48"/>
      <c r="AQ3949" s="48"/>
      <c r="AR3949" s="48"/>
      <c r="AS3949" s="48"/>
      <c r="AT3949" s="48"/>
      <c r="AU3949" s="48"/>
      <c r="AV3949" s="48"/>
      <c r="AW3949" s="48"/>
      <c r="AX3949" s="48"/>
      <c r="AY3949" s="48"/>
      <c r="AZ3949" s="48"/>
      <c r="BA3949" s="48"/>
      <c r="BB3949" s="14"/>
      <c r="BC3949" s="48"/>
      <c r="BD3949" s="48"/>
      <c r="BE3949" s="48"/>
      <c r="BF3949" s="48"/>
      <c r="BG3949" s="48"/>
      <c r="BH3949" s="48"/>
      <c r="BI3949" s="48"/>
      <c r="BJ3949" s="48"/>
      <c r="BK3949" s="48"/>
      <c r="BL3949" s="48"/>
      <c r="BM3949" s="48"/>
      <c r="BN3949" s="48"/>
      <c r="BO3949" s="48"/>
      <c r="BP3949" s="48"/>
      <c r="BQ3949" s="48"/>
      <c r="BR3949" s="48"/>
      <c r="BS3949" s="48"/>
      <c r="BT3949" s="48"/>
      <c r="BU3949" s="48"/>
      <c r="BV3949" s="48"/>
      <c r="BW3949" s="48"/>
      <c r="BX3949" s="48"/>
      <c r="BY3949" s="48"/>
      <c r="BZ3949" s="48"/>
      <c r="CA3949" s="48"/>
      <c r="CB3949" s="48"/>
      <c r="CC3949" s="48"/>
      <c r="CD3949" s="48"/>
      <c r="CE3949" s="48"/>
      <c r="CF3949" s="48"/>
      <c r="CG3949" s="48"/>
      <c r="CH3949" s="48"/>
      <c r="CI3949" s="48"/>
      <c r="CJ3949" s="48"/>
      <c r="CK3949" s="48"/>
      <c r="CL3949" s="48"/>
      <c r="CM3949" s="48"/>
      <c r="CN3949" s="48"/>
      <c r="CO3949" s="48"/>
      <c r="CP3949" s="48"/>
      <c r="CQ3949" s="48"/>
      <c r="CR3949" s="48"/>
      <c r="CS3949" s="48"/>
      <c r="CT3949" s="48"/>
      <c r="CU3949" s="48"/>
      <c r="CV3949" s="48"/>
      <c r="CW3949" s="48"/>
      <c r="CX3949" s="48"/>
      <c r="CY3949" s="48"/>
      <c r="CZ3949" s="48"/>
    </row>
    <row r="3950" spans="27:104" s="4" customFormat="1" x14ac:dyDescent="0.3">
      <c r="AA3950" s="48"/>
      <c r="AB3950" s="48"/>
      <c r="AC3950" s="48"/>
      <c r="AD3950" s="48"/>
      <c r="AE3950" s="48"/>
      <c r="AF3950" s="48"/>
      <c r="AG3950" s="48"/>
      <c r="AH3950" s="48"/>
      <c r="AI3950" s="48"/>
      <c r="AJ3950" s="48"/>
      <c r="AK3950" s="48"/>
      <c r="AL3950" s="48"/>
      <c r="AM3950" s="48"/>
      <c r="AN3950" s="48"/>
      <c r="AO3950" s="48"/>
      <c r="AP3950" s="48"/>
      <c r="AQ3950" s="48"/>
      <c r="AR3950" s="48"/>
      <c r="AS3950" s="48"/>
      <c r="AT3950" s="48"/>
      <c r="AU3950" s="48"/>
      <c r="AV3950" s="48"/>
      <c r="AW3950" s="48"/>
      <c r="AX3950" s="48"/>
      <c r="AY3950" s="48"/>
      <c r="AZ3950" s="48"/>
      <c r="BA3950" s="48"/>
      <c r="BB3950" s="14"/>
      <c r="BC3950" s="48"/>
      <c r="BD3950" s="48"/>
      <c r="BE3950" s="48"/>
      <c r="BF3950" s="48"/>
      <c r="BG3950" s="48"/>
      <c r="BH3950" s="48"/>
      <c r="BI3950" s="48"/>
      <c r="BJ3950" s="48"/>
      <c r="BK3950" s="48"/>
      <c r="BL3950" s="48"/>
      <c r="BM3950" s="48"/>
      <c r="BN3950" s="48"/>
      <c r="BO3950" s="48"/>
      <c r="BP3950" s="48"/>
      <c r="BQ3950" s="48"/>
      <c r="BR3950" s="48"/>
      <c r="BS3950" s="48"/>
      <c r="BT3950" s="48"/>
      <c r="BU3950" s="48"/>
      <c r="BV3950" s="48"/>
      <c r="BW3950" s="48"/>
      <c r="BX3950" s="48"/>
      <c r="BY3950" s="48"/>
      <c r="BZ3950" s="48"/>
      <c r="CA3950" s="48"/>
      <c r="CB3950" s="48"/>
      <c r="CC3950" s="48"/>
      <c r="CD3950" s="48"/>
      <c r="CE3950" s="48"/>
      <c r="CF3950" s="48"/>
      <c r="CG3950" s="48"/>
      <c r="CH3950" s="48"/>
      <c r="CI3950" s="48"/>
      <c r="CJ3950" s="48"/>
      <c r="CK3950" s="48"/>
      <c r="CL3950" s="48"/>
      <c r="CM3950" s="48"/>
      <c r="CN3950" s="48"/>
      <c r="CO3950" s="48"/>
      <c r="CP3950" s="48"/>
      <c r="CQ3950" s="48"/>
      <c r="CR3950" s="48"/>
      <c r="CS3950" s="48"/>
      <c r="CT3950" s="48"/>
      <c r="CU3950" s="48"/>
      <c r="CV3950" s="48"/>
      <c r="CW3950" s="48"/>
      <c r="CX3950" s="48"/>
      <c r="CY3950" s="48"/>
      <c r="CZ3950" s="48"/>
    </row>
    <row r="3951" spans="27:104" s="4" customFormat="1" x14ac:dyDescent="0.3">
      <c r="AA3951" s="48"/>
      <c r="AB3951" s="48"/>
      <c r="AC3951" s="48"/>
      <c r="AD3951" s="48"/>
      <c r="AE3951" s="48"/>
      <c r="AF3951" s="48"/>
      <c r="AG3951" s="48"/>
      <c r="AH3951" s="48"/>
      <c r="AI3951" s="48"/>
      <c r="AJ3951" s="48"/>
      <c r="AK3951" s="48"/>
      <c r="AL3951" s="48"/>
      <c r="AM3951" s="48"/>
      <c r="AN3951" s="48"/>
      <c r="AO3951" s="48"/>
      <c r="AP3951" s="48"/>
      <c r="AQ3951" s="48"/>
      <c r="AR3951" s="48"/>
      <c r="AS3951" s="48"/>
      <c r="AT3951" s="48"/>
      <c r="AU3951" s="48"/>
      <c r="AV3951" s="48"/>
      <c r="AW3951" s="48"/>
      <c r="AX3951" s="48"/>
      <c r="AY3951" s="48"/>
      <c r="AZ3951" s="48"/>
      <c r="BA3951" s="48"/>
      <c r="BB3951" s="14"/>
      <c r="BC3951" s="48"/>
      <c r="BD3951" s="48"/>
      <c r="BE3951" s="48"/>
      <c r="BF3951" s="48"/>
      <c r="BG3951" s="48"/>
      <c r="BH3951" s="48"/>
      <c r="BI3951" s="48"/>
      <c r="BJ3951" s="48"/>
      <c r="BK3951" s="48"/>
      <c r="BL3951" s="48"/>
      <c r="BM3951" s="48"/>
      <c r="BN3951" s="48"/>
      <c r="BO3951" s="48"/>
      <c r="BP3951" s="48"/>
      <c r="BQ3951" s="48"/>
      <c r="BR3951" s="48"/>
      <c r="BS3951" s="48"/>
      <c r="BT3951" s="48"/>
      <c r="BU3951" s="48"/>
      <c r="BV3951" s="48"/>
      <c r="BW3951" s="48"/>
      <c r="BX3951" s="48"/>
      <c r="BY3951" s="48"/>
      <c r="BZ3951" s="48"/>
      <c r="CA3951" s="48"/>
      <c r="CB3951" s="48"/>
      <c r="CC3951" s="48"/>
      <c r="CD3951" s="48"/>
      <c r="CE3951" s="48"/>
      <c r="CF3951" s="48"/>
      <c r="CG3951" s="48"/>
      <c r="CH3951" s="48"/>
      <c r="CI3951" s="48"/>
      <c r="CJ3951" s="48"/>
      <c r="CK3951" s="48"/>
      <c r="CL3951" s="48"/>
      <c r="CM3951" s="48"/>
      <c r="CN3951" s="48"/>
      <c r="CO3951" s="48"/>
      <c r="CP3951" s="48"/>
      <c r="CQ3951" s="48"/>
      <c r="CR3951" s="48"/>
      <c r="CS3951" s="48"/>
      <c r="CT3951" s="48"/>
      <c r="CU3951" s="48"/>
      <c r="CV3951" s="48"/>
      <c r="CW3951" s="48"/>
      <c r="CX3951" s="48"/>
      <c r="CY3951" s="48"/>
      <c r="CZ3951" s="48"/>
    </row>
    <row r="3952" spans="27:104" s="4" customFormat="1" x14ac:dyDescent="0.3">
      <c r="AA3952" s="48"/>
      <c r="AB3952" s="48"/>
      <c r="AC3952" s="48"/>
      <c r="AD3952" s="48"/>
      <c r="AE3952" s="48"/>
      <c r="AF3952" s="48"/>
      <c r="AG3952" s="48"/>
      <c r="AH3952" s="48"/>
      <c r="AI3952" s="48"/>
      <c r="AJ3952" s="48"/>
      <c r="AK3952" s="48"/>
      <c r="AL3952" s="48"/>
      <c r="AM3952" s="48"/>
      <c r="AN3952" s="48"/>
      <c r="AO3952" s="48"/>
      <c r="AP3952" s="48"/>
      <c r="AQ3952" s="48"/>
      <c r="AR3952" s="48"/>
      <c r="AS3952" s="48"/>
      <c r="AT3952" s="48"/>
      <c r="AU3952" s="48"/>
      <c r="AV3952" s="48"/>
      <c r="AW3952" s="48"/>
      <c r="AX3952" s="48"/>
      <c r="AY3952" s="48"/>
      <c r="AZ3952" s="48"/>
      <c r="BA3952" s="48"/>
      <c r="BB3952" s="14"/>
      <c r="BC3952" s="48"/>
      <c r="BD3952" s="48"/>
      <c r="BE3952" s="48"/>
      <c r="BF3952" s="48"/>
      <c r="BG3952" s="48"/>
      <c r="BH3952" s="48"/>
      <c r="BI3952" s="48"/>
      <c r="BJ3952" s="48"/>
      <c r="BK3952" s="48"/>
      <c r="BL3952" s="48"/>
      <c r="BM3952" s="48"/>
      <c r="BN3952" s="48"/>
      <c r="BO3952" s="48"/>
      <c r="BP3952" s="48"/>
      <c r="BQ3952" s="48"/>
      <c r="BR3952" s="48"/>
      <c r="BS3952" s="48"/>
      <c r="BT3952" s="48"/>
      <c r="BU3952" s="48"/>
      <c r="BV3952" s="48"/>
      <c r="BW3952" s="48"/>
      <c r="BX3952" s="48"/>
      <c r="BY3952" s="48"/>
      <c r="BZ3952" s="48"/>
      <c r="CA3952" s="48"/>
      <c r="CB3952" s="48"/>
      <c r="CC3952" s="48"/>
      <c r="CD3952" s="48"/>
      <c r="CE3952" s="48"/>
      <c r="CF3952" s="48"/>
      <c r="CG3952" s="48"/>
      <c r="CH3952" s="48"/>
      <c r="CI3952" s="48"/>
      <c r="CJ3952" s="48"/>
      <c r="CK3952" s="48"/>
      <c r="CL3952" s="48"/>
      <c r="CM3952" s="48"/>
      <c r="CN3952" s="48"/>
      <c r="CO3952" s="48"/>
      <c r="CP3952" s="48"/>
      <c r="CQ3952" s="48"/>
      <c r="CR3952" s="48"/>
      <c r="CS3952" s="48"/>
      <c r="CT3952" s="48"/>
      <c r="CU3952" s="48"/>
      <c r="CV3952" s="48"/>
      <c r="CW3952" s="48"/>
      <c r="CX3952" s="48"/>
      <c r="CY3952" s="48"/>
      <c r="CZ3952" s="48"/>
    </row>
    <row r="3953" spans="27:104" s="4" customFormat="1" x14ac:dyDescent="0.3">
      <c r="AA3953" s="48"/>
      <c r="AB3953" s="48"/>
      <c r="AC3953" s="48"/>
      <c r="AD3953" s="48"/>
      <c r="AE3953" s="48"/>
      <c r="AF3953" s="48"/>
      <c r="AG3953" s="48"/>
      <c r="AH3953" s="48"/>
      <c r="AI3953" s="48"/>
      <c r="AJ3953" s="48"/>
      <c r="AK3953" s="48"/>
      <c r="AL3953" s="48"/>
      <c r="AM3953" s="48"/>
      <c r="AN3953" s="48"/>
      <c r="AO3953" s="48"/>
      <c r="AP3953" s="48"/>
      <c r="AQ3953" s="48"/>
      <c r="AR3953" s="48"/>
      <c r="AS3953" s="48"/>
      <c r="AT3953" s="48"/>
      <c r="AU3953" s="48"/>
      <c r="AV3953" s="48"/>
      <c r="AW3953" s="48"/>
      <c r="AX3953" s="48"/>
      <c r="AY3953" s="48"/>
      <c r="AZ3953" s="48"/>
      <c r="BA3953" s="48"/>
      <c r="BB3953" s="14"/>
      <c r="BC3953" s="48"/>
      <c r="BD3953" s="48"/>
      <c r="BE3953" s="48"/>
      <c r="BF3953" s="48"/>
      <c r="BG3953" s="48"/>
      <c r="BH3953" s="48"/>
      <c r="BI3953" s="48"/>
      <c r="BJ3953" s="48"/>
      <c r="BK3953" s="48"/>
      <c r="BL3953" s="48"/>
      <c r="BM3953" s="48"/>
      <c r="BN3953" s="48"/>
      <c r="BO3953" s="48"/>
      <c r="BP3953" s="48"/>
      <c r="BQ3953" s="48"/>
      <c r="BR3953" s="48"/>
      <c r="BS3953" s="48"/>
      <c r="BT3953" s="48"/>
      <c r="BU3953" s="48"/>
      <c r="BV3953" s="48"/>
      <c r="BW3953" s="48"/>
      <c r="BX3953" s="48"/>
      <c r="BY3953" s="48"/>
      <c r="BZ3953" s="48"/>
      <c r="CA3953" s="48"/>
      <c r="CB3953" s="48"/>
      <c r="CC3953" s="48"/>
      <c r="CD3953" s="48"/>
      <c r="CE3953" s="48"/>
      <c r="CF3953" s="48"/>
      <c r="CG3953" s="48"/>
      <c r="CH3953" s="48"/>
      <c r="CI3953" s="48"/>
      <c r="CJ3953" s="48"/>
      <c r="CK3953" s="48"/>
      <c r="CL3953" s="48"/>
      <c r="CM3953" s="48"/>
      <c r="CN3953" s="48"/>
      <c r="CO3953" s="48"/>
      <c r="CP3953" s="48"/>
      <c r="CQ3953" s="48"/>
      <c r="CR3953" s="48"/>
      <c r="CS3953" s="48"/>
      <c r="CT3953" s="48"/>
      <c r="CU3953" s="48"/>
      <c r="CV3953" s="48"/>
      <c r="CW3953" s="48"/>
      <c r="CX3953" s="48"/>
      <c r="CY3953" s="48"/>
      <c r="CZ3953" s="48"/>
    </row>
    <row r="3954" spans="27:104" s="4" customFormat="1" x14ac:dyDescent="0.3">
      <c r="AA3954" s="48"/>
      <c r="AB3954" s="48"/>
      <c r="AC3954" s="48"/>
      <c r="AD3954" s="48"/>
      <c r="AE3954" s="48"/>
      <c r="AF3954" s="48"/>
      <c r="AG3954" s="48"/>
      <c r="AH3954" s="48"/>
      <c r="AI3954" s="48"/>
      <c r="AJ3954" s="48"/>
      <c r="AK3954" s="48"/>
      <c r="AL3954" s="48"/>
      <c r="AM3954" s="48"/>
      <c r="AN3954" s="48"/>
      <c r="AO3954" s="48"/>
      <c r="AP3954" s="48"/>
      <c r="AQ3954" s="48"/>
      <c r="AR3954" s="48"/>
      <c r="AS3954" s="48"/>
      <c r="AT3954" s="48"/>
      <c r="AU3954" s="48"/>
      <c r="AV3954" s="48"/>
      <c r="AW3954" s="48"/>
      <c r="AX3954" s="48"/>
      <c r="AY3954" s="48"/>
      <c r="AZ3954" s="48"/>
      <c r="BA3954" s="48"/>
      <c r="BB3954" s="14"/>
      <c r="BC3954" s="48"/>
      <c r="BD3954" s="48"/>
      <c r="BE3954" s="48"/>
      <c r="BF3954" s="48"/>
      <c r="BG3954" s="48"/>
      <c r="BH3954" s="48"/>
      <c r="BI3954" s="48"/>
      <c r="BJ3954" s="48"/>
      <c r="BK3954" s="48"/>
      <c r="BL3954" s="48"/>
      <c r="BM3954" s="48"/>
      <c r="BN3954" s="48"/>
      <c r="BO3954" s="48"/>
      <c r="BP3954" s="48"/>
      <c r="BQ3954" s="48"/>
      <c r="BR3954" s="48"/>
      <c r="BS3954" s="48"/>
      <c r="BT3954" s="48"/>
      <c r="BU3954" s="48"/>
      <c r="BV3954" s="48"/>
      <c r="BW3954" s="48"/>
      <c r="BX3954" s="48"/>
      <c r="BY3954" s="48"/>
      <c r="BZ3954" s="48"/>
      <c r="CA3954" s="48"/>
      <c r="CB3954" s="48"/>
      <c r="CC3954" s="48"/>
      <c r="CD3954" s="48"/>
      <c r="CE3954" s="48"/>
      <c r="CF3954" s="48"/>
      <c r="CG3954" s="48"/>
      <c r="CH3954" s="48"/>
      <c r="CI3954" s="48"/>
      <c r="CJ3954" s="48"/>
      <c r="CK3954" s="48"/>
      <c r="CL3954" s="48"/>
      <c r="CM3954" s="48"/>
      <c r="CN3954" s="48"/>
      <c r="CO3954" s="48"/>
      <c r="CP3954" s="48"/>
      <c r="CQ3954" s="48"/>
      <c r="CR3954" s="48"/>
      <c r="CS3954" s="48"/>
      <c r="CT3954" s="48"/>
      <c r="CU3954" s="48"/>
      <c r="CV3954" s="48"/>
      <c r="CW3954" s="48"/>
      <c r="CX3954" s="48"/>
      <c r="CY3954" s="48"/>
      <c r="CZ3954" s="48"/>
    </row>
    <row r="3955" spans="27:104" s="4" customFormat="1" x14ac:dyDescent="0.3">
      <c r="AA3955" s="48"/>
      <c r="AB3955" s="48"/>
      <c r="AC3955" s="48"/>
      <c r="AD3955" s="48"/>
      <c r="AE3955" s="48"/>
      <c r="AF3955" s="48"/>
      <c r="AG3955" s="48"/>
      <c r="AH3955" s="48"/>
      <c r="AI3955" s="48"/>
      <c r="AJ3955" s="48"/>
      <c r="AK3955" s="48"/>
      <c r="AL3955" s="48"/>
      <c r="AM3955" s="48"/>
      <c r="AN3955" s="48"/>
      <c r="AO3955" s="48"/>
      <c r="AP3955" s="48"/>
      <c r="AQ3955" s="48"/>
      <c r="AR3955" s="48"/>
      <c r="AS3955" s="48"/>
      <c r="AT3955" s="48"/>
      <c r="AU3955" s="48"/>
      <c r="AV3955" s="48"/>
      <c r="AW3955" s="48"/>
      <c r="AX3955" s="48"/>
      <c r="AY3955" s="48"/>
      <c r="AZ3955" s="48"/>
      <c r="BA3955" s="48"/>
      <c r="BB3955" s="14"/>
      <c r="BC3955" s="48"/>
      <c r="BD3955" s="48"/>
      <c r="BE3955" s="48"/>
      <c r="BF3955" s="48"/>
      <c r="BG3955" s="48"/>
      <c r="BH3955" s="48"/>
      <c r="BI3955" s="48"/>
      <c r="BJ3955" s="48"/>
      <c r="BK3955" s="48"/>
      <c r="BL3955" s="48"/>
      <c r="BM3955" s="48"/>
      <c r="BN3955" s="48"/>
      <c r="BO3955" s="48"/>
      <c r="BP3955" s="48"/>
      <c r="BQ3955" s="48"/>
      <c r="BR3955" s="48"/>
      <c r="BS3955" s="48"/>
      <c r="BT3955" s="48"/>
      <c r="BU3955" s="48"/>
      <c r="BV3955" s="48"/>
      <c r="BW3955" s="48"/>
      <c r="BX3955" s="48"/>
      <c r="BY3955" s="48"/>
      <c r="BZ3955" s="48"/>
      <c r="CA3955" s="48"/>
      <c r="CB3955" s="48"/>
      <c r="CC3955" s="48"/>
      <c r="CD3955" s="48"/>
      <c r="CE3955" s="48"/>
      <c r="CF3955" s="48"/>
      <c r="CG3955" s="48"/>
      <c r="CH3955" s="48"/>
      <c r="CI3955" s="48"/>
      <c r="CJ3955" s="48"/>
      <c r="CK3955" s="48"/>
      <c r="CL3955" s="48"/>
      <c r="CM3955" s="48"/>
      <c r="CN3955" s="48"/>
      <c r="CO3955" s="48"/>
      <c r="CP3955" s="48"/>
      <c r="CQ3955" s="48"/>
      <c r="CR3955" s="48"/>
      <c r="CS3955" s="48"/>
      <c r="CT3955" s="48"/>
      <c r="CU3955" s="48"/>
      <c r="CV3955" s="48"/>
      <c r="CW3955" s="48"/>
      <c r="CX3955" s="48"/>
      <c r="CY3955" s="48"/>
      <c r="CZ3955" s="48"/>
    </row>
    <row r="3956" spans="27:104" s="4" customFormat="1" x14ac:dyDescent="0.3">
      <c r="AA3956" s="48"/>
      <c r="AB3956" s="48"/>
      <c r="AC3956" s="48"/>
      <c r="AD3956" s="48"/>
      <c r="AE3956" s="48"/>
      <c r="AF3956" s="48"/>
      <c r="AG3956" s="48"/>
      <c r="AH3956" s="48"/>
      <c r="AI3956" s="48"/>
      <c r="AJ3956" s="48"/>
      <c r="AK3956" s="48"/>
      <c r="AL3956" s="48"/>
      <c r="AM3956" s="48"/>
      <c r="AN3956" s="48"/>
      <c r="AO3956" s="48"/>
      <c r="AP3956" s="48"/>
      <c r="AQ3956" s="48"/>
      <c r="AR3956" s="48"/>
      <c r="AS3956" s="48"/>
      <c r="AT3956" s="48"/>
      <c r="AU3956" s="48"/>
      <c r="AV3956" s="48"/>
      <c r="AW3956" s="48"/>
      <c r="AX3956" s="48"/>
      <c r="AY3956" s="48"/>
      <c r="AZ3956" s="48"/>
      <c r="BA3956" s="48"/>
      <c r="BB3956" s="14"/>
      <c r="BC3956" s="48"/>
      <c r="BD3956" s="48"/>
      <c r="BE3956" s="48"/>
      <c r="BF3956" s="48"/>
      <c r="BG3956" s="48"/>
      <c r="BH3956" s="48"/>
      <c r="BI3956" s="48"/>
      <c r="BJ3956" s="48"/>
      <c r="BK3956" s="48"/>
      <c r="BL3956" s="48"/>
      <c r="BM3956" s="48"/>
      <c r="BN3956" s="48"/>
      <c r="BO3956" s="48"/>
      <c r="BP3956" s="48"/>
      <c r="BQ3956" s="48"/>
      <c r="BR3956" s="48"/>
      <c r="BS3956" s="48"/>
      <c r="BT3956" s="48"/>
      <c r="BU3956" s="48"/>
      <c r="BV3956" s="48"/>
      <c r="BW3956" s="48"/>
      <c r="BX3956" s="48"/>
      <c r="BY3956" s="48"/>
      <c r="BZ3956" s="48"/>
      <c r="CA3956" s="48"/>
      <c r="CB3956" s="48"/>
      <c r="CC3956" s="48"/>
      <c r="CD3956" s="48"/>
      <c r="CE3956" s="48"/>
      <c r="CF3956" s="48"/>
      <c r="CG3956" s="48"/>
      <c r="CH3956" s="48"/>
      <c r="CI3956" s="48"/>
      <c r="CJ3956" s="48"/>
      <c r="CK3956" s="48"/>
      <c r="CL3956" s="48"/>
      <c r="CM3956" s="48"/>
      <c r="CN3956" s="48"/>
      <c r="CO3956" s="48"/>
      <c r="CP3956" s="48"/>
      <c r="CQ3956" s="48"/>
      <c r="CR3956" s="48"/>
      <c r="CS3956" s="48"/>
      <c r="CT3956" s="48"/>
      <c r="CU3956" s="48"/>
      <c r="CV3956" s="48"/>
      <c r="CW3956" s="48"/>
      <c r="CX3956" s="48"/>
      <c r="CY3956" s="48"/>
      <c r="CZ3956" s="48"/>
    </row>
    <row r="3957" spans="27:104" s="4" customFormat="1" x14ac:dyDescent="0.3">
      <c r="AA3957" s="48"/>
      <c r="AB3957" s="48"/>
      <c r="AC3957" s="48"/>
      <c r="AD3957" s="48"/>
      <c r="AE3957" s="48"/>
      <c r="AF3957" s="48"/>
      <c r="AG3957" s="48"/>
      <c r="AH3957" s="48"/>
      <c r="AI3957" s="48"/>
      <c r="AJ3957" s="48"/>
      <c r="AK3957" s="48"/>
      <c r="AL3957" s="48"/>
      <c r="AM3957" s="48"/>
      <c r="AN3957" s="48"/>
      <c r="AO3957" s="48"/>
      <c r="AP3957" s="48"/>
      <c r="AQ3957" s="48"/>
      <c r="AR3957" s="48"/>
      <c r="AS3957" s="48"/>
      <c r="AT3957" s="48"/>
      <c r="AU3957" s="48"/>
      <c r="AV3957" s="48"/>
      <c r="AW3957" s="48"/>
      <c r="AX3957" s="48"/>
      <c r="AY3957" s="48"/>
      <c r="AZ3957" s="48"/>
      <c r="BA3957" s="48"/>
      <c r="BB3957" s="14"/>
      <c r="BC3957" s="48"/>
      <c r="BD3957" s="48"/>
      <c r="BE3957" s="48"/>
      <c r="BF3957" s="48"/>
      <c r="BG3957" s="48"/>
      <c r="BH3957" s="48"/>
      <c r="BI3957" s="48"/>
      <c r="BJ3957" s="48"/>
      <c r="BK3957" s="48"/>
      <c r="BL3957" s="48"/>
      <c r="BM3957" s="48"/>
      <c r="BN3957" s="48"/>
      <c r="BO3957" s="48"/>
      <c r="BP3957" s="48"/>
      <c r="BQ3957" s="48"/>
      <c r="BR3957" s="48"/>
      <c r="BS3957" s="48"/>
      <c r="BT3957" s="48"/>
      <c r="BU3957" s="48"/>
      <c r="BV3957" s="48"/>
      <c r="BW3957" s="48"/>
      <c r="BX3957" s="48"/>
      <c r="BY3957" s="48"/>
      <c r="BZ3957" s="48"/>
      <c r="CA3957" s="48"/>
      <c r="CB3957" s="48"/>
      <c r="CC3957" s="48"/>
      <c r="CD3957" s="48"/>
      <c r="CE3957" s="48"/>
      <c r="CF3957" s="48"/>
      <c r="CG3957" s="48"/>
      <c r="CH3957" s="48"/>
      <c r="CI3957" s="48"/>
      <c r="CJ3957" s="48"/>
      <c r="CK3957" s="48"/>
      <c r="CL3957" s="48"/>
      <c r="CM3957" s="48"/>
      <c r="CN3957" s="48"/>
      <c r="CO3957" s="48"/>
      <c r="CP3957" s="48"/>
      <c r="CQ3957" s="48"/>
      <c r="CR3957" s="48"/>
      <c r="CS3957" s="48"/>
      <c r="CT3957" s="48"/>
      <c r="CU3957" s="48"/>
      <c r="CV3957" s="48"/>
      <c r="CW3957" s="48"/>
      <c r="CX3957" s="48"/>
      <c r="CY3957" s="48"/>
      <c r="CZ3957" s="48"/>
    </row>
    <row r="3958" spans="27:104" s="4" customFormat="1" x14ac:dyDescent="0.3">
      <c r="AA3958" s="48"/>
      <c r="AB3958" s="48"/>
      <c r="AC3958" s="48"/>
      <c r="AD3958" s="48"/>
      <c r="AE3958" s="48"/>
      <c r="AF3958" s="48"/>
      <c r="AG3958" s="48"/>
      <c r="AH3958" s="48"/>
      <c r="AI3958" s="48"/>
      <c r="AJ3958" s="48"/>
      <c r="AK3958" s="48"/>
      <c r="AL3958" s="48"/>
      <c r="AM3958" s="48"/>
      <c r="AN3958" s="48"/>
      <c r="AO3958" s="48"/>
      <c r="AP3958" s="48"/>
      <c r="AQ3958" s="48"/>
      <c r="AR3958" s="48"/>
      <c r="AS3958" s="48"/>
      <c r="AT3958" s="48"/>
      <c r="AU3958" s="48"/>
      <c r="AV3958" s="48"/>
      <c r="AW3958" s="48"/>
      <c r="AX3958" s="48"/>
      <c r="AY3958" s="48"/>
      <c r="AZ3958" s="48"/>
      <c r="BA3958" s="48"/>
      <c r="BB3958" s="14"/>
      <c r="BC3958" s="48"/>
      <c r="BD3958" s="48"/>
      <c r="BE3958" s="48"/>
      <c r="BF3958" s="48"/>
      <c r="BG3958" s="48"/>
      <c r="BH3958" s="48"/>
      <c r="BI3958" s="48"/>
      <c r="BJ3958" s="48"/>
      <c r="BK3958" s="48"/>
      <c r="BL3958" s="48"/>
      <c r="BM3958" s="48"/>
      <c r="BN3958" s="48"/>
      <c r="BO3958" s="48"/>
      <c r="BP3958" s="48"/>
      <c r="BQ3958" s="48"/>
      <c r="BR3958" s="48"/>
      <c r="BS3958" s="48"/>
      <c r="BT3958" s="48"/>
      <c r="BU3958" s="48"/>
      <c r="BV3958" s="48"/>
      <c r="BW3958" s="48"/>
      <c r="BX3958" s="48"/>
      <c r="BY3958" s="48"/>
      <c r="BZ3958" s="48"/>
      <c r="CA3958" s="48"/>
      <c r="CB3958" s="48"/>
      <c r="CC3958" s="48"/>
      <c r="CD3958" s="48"/>
      <c r="CE3958" s="48"/>
      <c r="CF3958" s="48"/>
      <c r="CG3958" s="48"/>
      <c r="CH3958" s="48"/>
      <c r="CI3958" s="48"/>
      <c r="CJ3958" s="48"/>
      <c r="CK3958" s="48"/>
      <c r="CL3958" s="48"/>
      <c r="CM3958" s="48"/>
      <c r="CN3958" s="48"/>
      <c r="CO3958" s="48"/>
      <c r="CP3958" s="48"/>
      <c r="CQ3958" s="48"/>
      <c r="CR3958" s="48"/>
      <c r="CS3958" s="48"/>
      <c r="CT3958" s="48"/>
      <c r="CU3958" s="48"/>
      <c r="CV3958" s="48"/>
      <c r="CW3958" s="48"/>
      <c r="CX3958" s="48"/>
      <c r="CY3958" s="48"/>
      <c r="CZ3958" s="48"/>
    </row>
    <row r="3959" spans="27:104" s="4" customFormat="1" x14ac:dyDescent="0.3">
      <c r="AA3959" s="48"/>
      <c r="AB3959" s="48"/>
      <c r="AC3959" s="48"/>
      <c r="AD3959" s="48"/>
      <c r="AE3959" s="48"/>
      <c r="AF3959" s="48"/>
      <c r="AG3959" s="48"/>
      <c r="AH3959" s="48"/>
      <c r="AI3959" s="48"/>
      <c r="AJ3959" s="48"/>
      <c r="AK3959" s="48"/>
      <c r="AL3959" s="48"/>
      <c r="AM3959" s="48"/>
      <c r="AN3959" s="48"/>
      <c r="AO3959" s="48"/>
      <c r="AP3959" s="48"/>
      <c r="AQ3959" s="48"/>
      <c r="AR3959" s="48"/>
      <c r="AS3959" s="48"/>
      <c r="AT3959" s="48"/>
      <c r="AU3959" s="48"/>
      <c r="AV3959" s="48"/>
      <c r="AW3959" s="48"/>
      <c r="AX3959" s="48"/>
      <c r="AY3959" s="48"/>
      <c r="AZ3959" s="48"/>
      <c r="BA3959" s="48"/>
      <c r="BB3959" s="14"/>
      <c r="BC3959" s="48"/>
      <c r="BD3959" s="48"/>
      <c r="BE3959" s="48"/>
      <c r="BF3959" s="48"/>
      <c r="BG3959" s="48"/>
      <c r="BH3959" s="48"/>
      <c r="BI3959" s="48"/>
      <c r="BJ3959" s="48"/>
      <c r="BK3959" s="48"/>
      <c r="BL3959" s="48"/>
      <c r="BM3959" s="48"/>
      <c r="BN3959" s="48"/>
      <c r="BO3959" s="48"/>
      <c r="BP3959" s="48"/>
      <c r="BQ3959" s="48"/>
      <c r="BR3959" s="48"/>
      <c r="BS3959" s="48"/>
      <c r="BT3959" s="48"/>
      <c r="BU3959" s="48"/>
      <c r="BV3959" s="48"/>
      <c r="BW3959" s="48"/>
      <c r="BX3959" s="48"/>
      <c r="BY3959" s="48"/>
      <c r="BZ3959" s="48"/>
      <c r="CA3959" s="48"/>
      <c r="CB3959" s="48"/>
      <c r="CC3959" s="48"/>
      <c r="CD3959" s="48"/>
      <c r="CE3959" s="48"/>
      <c r="CF3959" s="48"/>
      <c r="CG3959" s="48"/>
      <c r="CH3959" s="48"/>
      <c r="CI3959" s="48"/>
      <c r="CJ3959" s="48"/>
      <c r="CK3959" s="48"/>
      <c r="CL3959" s="48"/>
      <c r="CM3959" s="48"/>
      <c r="CN3959" s="48"/>
      <c r="CO3959" s="48"/>
      <c r="CP3959" s="48"/>
      <c r="CQ3959" s="48"/>
      <c r="CR3959" s="48"/>
      <c r="CS3959" s="48"/>
      <c r="CT3959" s="48"/>
      <c r="CU3959" s="48"/>
      <c r="CV3959" s="48"/>
      <c r="CW3959" s="48"/>
      <c r="CX3959" s="48"/>
      <c r="CY3959" s="48"/>
      <c r="CZ3959" s="48"/>
    </row>
    <row r="3960" spans="27:104" s="4" customFormat="1" x14ac:dyDescent="0.3">
      <c r="AA3960" s="48"/>
      <c r="AB3960" s="48"/>
      <c r="AC3960" s="48"/>
      <c r="AD3960" s="48"/>
      <c r="AE3960" s="48"/>
      <c r="AF3960" s="48"/>
      <c r="AG3960" s="48"/>
      <c r="AH3960" s="48"/>
      <c r="AI3960" s="48"/>
      <c r="AJ3960" s="48"/>
      <c r="AK3960" s="48"/>
      <c r="AL3960" s="48"/>
      <c r="AM3960" s="48"/>
      <c r="AN3960" s="48"/>
      <c r="AO3960" s="48"/>
      <c r="AP3960" s="48"/>
      <c r="AQ3960" s="48"/>
      <c r="AR3960" s="48"/>
      <c r="AS3960" s="48"/>
      <c r="AT3960" s="48"/>
      <c r="AU3960" s="48"/>
      <c r="AV3960" s="48"/>
      <c r="AW3960" s="48"/>
      <c r="AX3960" s="48"/>
      <c r="AY3960" s="48"/>
      <c r="AZ3960" s="48"/>
      <c r="BA3960" s="48"/>
      <c r="BB3960" s="14"/>
      <c r="BC3960" s="48"/>
      <c r="BD3960" s="48"/>
      <c r="BE3960" s="48"/>
      <c r="BF3960" s="48"/>
      <c r="BG3960" s="48"/>
      <c r="BH3960" s="48"/>
      <c r="BI3960" s="48"/>
      <c r="BJ3960" s="48"/>
      <c r="BK3960" s="48"/>
      <c r="BL3960" s="48"/>
      <c r="BM3960" s="48"/>
      <c r="BN3960" s="48"/>
      <c r="BO3960" s="48"/>
      <c r="BP3960" s="48"/>
      <c r="BQ3960" s="48"/>
      <c r="BR3960" s="48"/>
      <c r="BS3960" s="48"/>
      <c r="BT3960" s="48"/>
      <c r="BU3960" s="48"/>
      <c r="BV3960" s="48"/>
      <c r="BW3960" s="48"/>
      <c r="BX3960" s="48"/>
      <c r="BY3960" s="48"/>
      <c r="BZ3960" s="48"/>
      <c r="CA3960" s="48"/>
      <c r="CB3960" s="48"/>
      <c r="CC3960" s="48"/>
      <c r="CD3960" s="48"/>
      <c r="CE3960" s="48"/>
      <c r="CF3960" s="48"/>
      <c r="CG3960" s="48"/>
      <c r="CH3960" s="48"/>
      <c r="CI3960" s="48"/>
      <c r="CJ3960" s="48"/>
      <c r="CK3960" s="48"/>
      <c r="CL3960" s="48"/>
      <c r="CM3960" s="48"/>
      <c r="CN3960" s="48"/>
      <c r="CO3960" s="48"/>
      <c r="CP3960" s="48"/>
      <c r="CQ3960" s="48"/>
      <c r="CR3960" s="48"/>
      <c r="CS3960" s="48"/>
      <c r="CT3960" s="48"/>
      <c r="CU3960" s="48"/>
      <c r="CV3960" s="48"/>
      <c r="CW3960" s="48"/>
      <c r="CX3960" s="48"/>
      <c r="CY3960" s="48"/>
      <c r="CZ3960" s="48"/>
    </row>
    <row r="3961" spans="27:104" s="4" customFormat="1" x14ac:dyDescent="0.3">
      <c r="AA3961" s="48"/>
      <c r="AB3961" s="48"/>
      <c r="AC3961" s="48"/>
      <c r="AD3961" s="48"/>
      <c r="AE3961" s="48"/>
      <c r="AF3961" s="48"/>
      <c r="AG3961" s="48"/>
      <c r="AH3961" s="48"/>
      <c r="AI3961" s="48"/>
      <c r="AJ3961" s="48"/>
      <c r="AK3961" s="48"/>
      <c r="AL3961" s="48"/>
      <c r="AM3961" s="48"/>
      <c r="AN3961" s="48"/>
      <c r="AO3961" s="48"/>
      <c r="AP3961" s="48"/>
      <c r="AQ3961" s="48"/>
      <c r="AR3961" s="48"/>
      <c r="AS3961" s="48"/>
      <c r="AT3961" s="48"/>
      <c r="AU3961" s="48"/>
      <c r="AV3961" s="48"/>
      <c r="AW3961" s="48"/>
      <c r="AX3961" s="48"/>
      <c r="AY3961" s="48"/>
      <c r="AZ3961" s="48"/>
      <c r="BA3961" s="48"/>
      <c r="BB3961" s="14"/>
      <c r="BC3961" s="48"/>
      <c r="BD3961" s="48"/>
      <c r="BE3961" s="48"/>
      <c r="BF3961" s="48"/>
      <c r="BG3961" s="48"/>
      <c r="BH3961" s="48"/>
      <c r="BI3961" s="48"/>
      <c r="BJ3961" s="48"/>
      <c r="BK3961" s="48"/>
      <c r="BL3961" s="48"/>
      <c r="BM3961" s="48"/>
      <c r="BN3961" s="48"/>
      <c r="BO3961" s="48"/>
      <c r="BP3961" s="48"/>
      <c r="BQ3961" s="48"/>
      <c r="BR3961" s="48"/>
      <c r="BS3961" s="48"/>
      <c r="BT3961" s="48"/>
      <c r="BU3961" s="48"/>
      <c r="BV3961" s="48"/>
      <c r="BW3961" s="48"/>
      <c r="BX3961" s="48"/>
      <c r="BY3961" s="48"/>
      <c r="BZ3961" s="48"/>
      <c r="CA3961" s="48"/>
      <c r="CB3961" s="48"/>
      <c r="CC3961" s="48"/>
      <c r="CD3961" s="48"/>
      <c r="CE3961" s="48"/>
      <c r="CF3961" s="48"/>
      <c r="CG3961" s="48"/>
      <c r="CH3961" s="48"/>
      <c r="CI3961" s="48"/>
      <c r="CJ3961" s="48"/>
      <c r="CK3961" s="48"/>
      <c r="CL3961" s="48"/>
      <c r="CM3961" s="48"/>
      <c r="CN3961" s="48"/>
      <c r="CO3961" s="48"/>
      <c r="CP3961" s="48"/>
      <c r="CQ3961" s="48"/>
      <c r="CR3961" s="48"/>
      <c r="CS3961" s="48"/>
      <c r="CT3961" s="48"/>
      <c r="CU3961" s="48"/>
      <c r="CV3961" s="48"/>
      <c r="CW3961" s="48"/>
      <c r="CX3961" s="48"/>
      <c r="CY3961" s="48"/>
      <c r="CZ3961" s="48"/>
    </row>
    <row r="3962" spans="27:104" s="4" customFormat="1" x14ac:dyDescent="0.3">
      <c r="AA3962" s="48"/>
      <c r="AB3962" s="48"/>
      <c r="AC3962" s="48"/>
      <c r="AD3962" s="48"/>
      <c r="AE3962" s="48"/>
      <c r="AF3962" s="48"/>
      <c r="AG3962" s="48"/>
      <c r="AH3962" s="48"/>
      <c r="AI3962" s="48"/>
      <c r="AJ3962" s="48"/>
      <c r="AK3962" s="48"/>
      <c r="AL3962" s="48"/>
      <c r="AM3962" s="48"/>
      <c r="AN3962" s="48"/>
      <c r="AO3962" s="48"/>
      <c r="AP3962" s="48"/>
      <c r="AQ3962" s="48"/>
      <c r="AR3962" s="48"/>
      <c r="AS3962" s="48"/>
      <c r="AT3962" s="48"/>
      <c r="AU3962" s="48"/>
      <c r="AV3962" s="48"/>
      <c r="AW3962" s="48"/>
      <c r="AX3962" s="48"/>
      <c r="AY3962" s="48"/>
      <c r="AZ3962" s="48"/>
      <c r="BA3962" s="48"/>
      <c r="BB3962" s="14"/>
      <c r="BC3962" s="48"/>
      <c r="BD3962" s="48"/>
      <c r="BE3962" s="48"/>
      <c r="BF3962" s="48"/>
      <c r="BG3962" s="48"/>
      <c r="BH3962" s="48"/>
      <c r="BI3962" s="48"/>
      <c r="BJ3962" s="48"/>
      <c r="BK3962" s="48"/>
      <c r="BL3962" s="48"/>
      <c r="BM3962" s="48"/>
      <c r="BN3962" s="48"/>
      <c r="BO3962" s="48"/>
      <c r="BP3962" s="48"/>
      <c r="BQ3962" s="48"/>
      <c r="BR3962" s="48"/>
      <c r="BS3962" s="48"/>
      <c r="BT3962" s="48"/>
      <c r="BU3962" s="48"/>
      <c r="BV3962" s="48"/>
      <c r="BW3962" s="48"/>
      <c r="BX3962" s="48"/>
      <c r="BY3962" s="48"/>
      <c r="BZ3962" s="48"/>
      <c r="CA3962" s="48"/>
      <c r="CB3962" s="48"/>
      <c r="CC3962" s="48"/>
      <c r="CD3962" s="48"/>
      <c r="CE3962" s="48"/>
      <c r="CF3962" s="48"/>
      <c r="CG3962" s="48"/>
      <c r="CH3962" s="48"/>
      <c r="CI3962" s="48"/>
      <c r="CJ3962" s="48"/>
      <c r="CK3962" s="48"/>
      <c r="CL3962" s="48"/>
      <c r="CM3962" s="48"/>
      <c r="CN3962" s="48"/>
      <c r="CO3962" s="48"/>
      <c r="CP3962" s="48"/>
      <c r="CQ3962" s="48"/>
      <c r="CR3962" s="48"/>
      <c r="CS3962" s="48"/>
      <c r="CT3962" s="48"/>
      <c r="CU3962" s="48"/>
      <c r="CV3962" s="48"/>
      <c r="CW3962" s="48"/>
      <c r="CX3962" s="48"/>
      <c r="CY3962" s="48"/>
      <c r="CZ3962" s="48"/>
    </row>
    <row r="3963" spans="27:104" s="4" customFormat="1" x14ac:dyDescent="0.3">
      <c r="AA3963" s="48"/>
      <c r="AB3963" s="48"/>
      <c r="AC3963" s="48"/>
      <c r="AD3963" s="48"/>
      <c r="AE3963" s="48"/>
      <c r="AF3963" s="48"/>
      <c r="AG3963" s="48"/>
      <c r="AH3963" s="48"/>
      <c r="AI3963" s="48"/>
      <c r="AJ3963" s="48"/>
      <c r="AK3963" s="48"/>
      <c r="AL3963" s="48"/>
      <c r="AM3963" s="48"/>
      <c r="AN3963" s="48"/>
      <c r="AO3963" s="48"/>
      <c r="AP3963" s="48"/>
      <c r="AQ3963" s="48"/>
      <c r="AR3963" s="48"/>
      <c r="AS3963" s="48"/>
      <c r="AT3963" s="48"/>
      <c r="AU3963" s="48"/>
      <c r="AV3963" s="48"/>
      <c r="AW3963" s="48"/>
      <c r="AX3963" s="48"/>
      <c r="AY3963" s="48"/>
      <c r="AZ3963" s="48"/>
      <c r="BA3963" s="48"/>
      <c r="BB3963" s="14"/>
      <c r="BC3963" s="48"/>
      <c r="BD3963" s="48"/>
      <c r="BE3963" s="48"/>
      <c r="BF3963" s="48"/>
      <c r="BG3963" s="48"/>
      <c r="BH3963" s="48"/>
      <c r="BI3963" s="48"/>
      <c r="BJ3963" s="48"/>
      <c r="BK3963" s="48"/>
      <c r="BL3963" s="48"/>
      <c r="BM3963" s="48"/>
      <c r="BN3963" s="48"/>
      <c r="BO3963" s="48"/>
      <c r="BP3963" s="48"/>
      <c r="BQ3963" s="48"/>
      <c r="BR3963" s="48"/>
      <c r="BS3963" s="48"/>
      <c r="BT3963" s="48"/>
      <c r="BU3963" s="48"/>
      <c r="BV3963" s="48"/>
      <c r="BW3963" s="48"/>
      <c r="BX3963" s="48"/>
      <c r="BY3963" s="48"/>
      <c r="BZ3963" s="48"/>
      <c r="CA3963" s="48"/>
      <c r="CB3963" s="48"/>
      <c r="CC3963" s="48"/>
      <c r="CD3963" s="48"/>
      <c r="CE3963" s="48"/>
      <c r="CF3963" s="48"/>
      <c r="CG3963" s="48"/>
      <c r="CH3963" s="48"/>
      <c r="CI3963" s="48"/>
      <c r="CJ3963" s="48"/>
      <c r="CK3963" s="48"/>
      <c r="CL3963" s="48"/>
      <c r="CM3963" s="48"/>
      <c r="CN3963" s="48"/>
      <c r="CO3963" s="48"/>
      <c r="CP3963" s="48"/>
      <c r="CQ3963" s="48"/>
      <c r="CR3963" s="48"/>
      <c r="CS3963" s="48"/>
      <c r="CT3963" s="48"/>
      <c r="CU3963" s="48"/>
      <c r="CV3963" s="48"/>
      <c r="CW3963" s="48"/>
      <c r="CX3963" s="48"/>
      <c r="CY3963" s="48"/>
      <c r="CZ3963" s="48"/>
    </row>
    <row r="3964" spans="27:104" s="4" customFormat="1" x14ac:dyDescent="0.3">
      <c r="AA3964" s="48"/>
      <c r="AB3964" s="48"/>
      <c r="AC3964" s="48"/>
      <c r="AD3964" s="48"/>
      <c r="AE3964" s="48"/>
      <c r="AF3964" s="48"/>
      <c r="AG3964" s="48"/>
      <c r="AH3964" s="48"/>
      <c r="AI3964" s="48"/>
      <c r="AJ3964" s="48"/>
      <c r="AK3964" s="48"/>
      <c r="AL3964" s="48"/>
      <c r="AM3964" s="48"/>
      <c r="AN3964" s="48"/>
      <c r="AO3964" s="48"/>
      <c r="AP3964" s="48"/>
      <c r="AQ3964" s="48"/>
      <c r="AR3964" s="48"/>
      <c r="AS3964" s="48"/>
      <c r="AT3964" s="48"/>
      <c r="AU3964" s="48"/>
      <c r="AV3964" s="48"/>
      <c r="AW3964" s="48"/>
      <c r="AX3964" s="48"/>
      <c r="AY3964" s="48"/>
      <c r="AZ3964" s="48"/>
      <c r="BA3964" s="48"/>
      <c r="BB3964" s="14"/>
      <c r="BC3964" s="48"/>
      <c r="BD3964" s="48"/>
      <c r="BE3964" s="48"/>
      <c r="BF3964" s="48"/>
      <c r="BG3964" s="48"/>
      <c r="BH3964" s="48"/>
      <c r="BI3964" s="48"/>
      <c r="BJ3964" s="48"/>
      <c r="BK3964" s="48"/>
      <c r="BL3964" s="48"/>
      <c r="BM3964" s="48"/>
      <c r="BN3964" s="48"/>
      <c r="BO3964" s="48"/>
      <c r="BP3964" s="48"/>
      <c r="BQ3964" s="48"/>
      <c r="BR3964" s="48"/>
      <c r="BS3964" s="48"/>
      <c r="BT3964" s="48"/>
      <c r="BU3964" s="48"/>
      <c r="BV3964" s="48"/>
      <c r="BW3964" s="48"/>
      <c r="BX3964" s="48"/>
      <c r="BY3964" s="48"/>
      <c r="BZ3964" s="48"/>
      <c r="CA3964" s="48"/>
      <c r="CB3964" s="48"/>
      <c r="CC3964" s="48"/>
      <c r="CD3964" s="48"/>
      <c r="CE3964" s="48"/>
      <c r="CF3964" s="48"/>
      <c r="CG3964" s="48"/>
      <c r="CH3964" s="48"/>
      <c r="CI3964" s="48"/>
      <c r="CJ3964" s="48"/>
      <c r="CK3964" s="48"/>
      <c r="CL3964" s="48"/>
      <c r="CM3964" s="48"/>
      <c r="CN3964" s="48"/>
      <c r="CO3964" s="48"/>
      <c r="CP3964" s="48"/>
      <c r="CQ3964" s="48"/>
      <c r="CR3964" s="48"/>
      <c r="CS3964" s="48"/>
      <c r="CT3964" s="48"/>
      <c r="CU3964" s="48"/>
      <c r="CV3964" s="48"/>
      <c r="CW3964" s="48"/>
      <c r="CX3964" s="48"/>
      <c r="CY3964" s="48"/>
      <c r="CZ3964" s="48"/>
    </row>
    <row r="3965" spans="27:104" s="4" customFormat="1" x14ac:dyDescent="0.3">
      <c r="AA3965" s="48"/>
      <c r="AB3965" s="48"/>
      <c r="AC3965" s="48"/>
      <c r="AD3965" s="48"/>
      <c r="AE3965" s="48"/>
      <c r="AF3965" s="48"/>
      <c r="AG3965" s="48"/>
      <c r="AH3965" s="48"/>
      <c r="AI3965" s="48"/>
      <c r="AJ3965" s="48"/>
      <c r="AK3965" s="48"/>
      <c r="AL3965" s="48"/>
      <c r="AM3965" s="48"/>
      <c r="AN3965" s="48"/>
      <c r="AO3965" s="48"/>
      <c r="AP3965" s="48"/>
      <c r="AQ3965" s="48"/>
      <c r="AR3965" s="48"/>
      <c r="AS3965" s="48"/>
      <c r="AT3965" s="48"/>
      <c r="AU3965" s="48"/>
      <c r="AV3965" s="48"/>
      <c r="AW3965" s="48"/>
      <c r="AX3965" s="48"/>
      <c r="AY3965" s="48"/>
      <c r="AZ3965" s="48"/>
      <c r="BA3965" s="48"/>
      <c r="BB3965" s="14"/>
      <c r="BC3965" s="48"/>
      <c r="BD3965" s="48"/>
      <c r="BE3965" s="48"/>
      <c r="BF3965" s="48"/>
      <c r="BG3965" s="48"/>
      <c r="BH3965" s="48"/>
      <c r="BI3965" s="48"/>
      <c r="BJ3965" s="48"/>
      <c r="BK3965" s="48"/>
      <c r="BL3965" s="48"/>
      <c r="BM3965" s="48"/>
      <c r="BN3965" s="48"/>
      <c r="BO3965" s="48"/>
      <c r="BP3965" s="48"/>
      <c r="BQ3965" s="48"/>
      <c r="BR3965" s="48"/>
      <c r="BS3965" s="48"/>
      <c r="BT3965" s="48"/>
      <c r="BU3965" s="48"/>
      <c r="BV3965" s="48"/>
      <c r="BW3965" s="48"/>
      <c r="BX3965" s="48"/>
      <c r="BY3965" s="48"/>
      <c r="BZ3965" s="48"/>
      <c r="CA3965" s="48"/>
      <c r="CB3965" s="48"/>
      <c r="CC3965" s="48"/>
      <c r="CD3965" s="48"/>
      <c r="CE3965" s="48"/>
      <c r="CF3965" s="48"/>
      <c r="CG3965" s="48"/>
      <c r="CH3965" s="48"/>
      <c r="CI3965" s="48"/>
      <c r="CJ3965" s="48"/>
      <c r="CK3965" s="48"/>
      <c r="CL3965" s="48"/>
      <c r="CM3965" s="48"/>
      <c r="CN3965" s="48"/>
      <c r="CO3965" s="48"/>
      <c r="CP3965" s="48"/>
      <c r="CQ3965" s="48"/>
      <c r="CR3965" s="48"/>
      <c r="CS3965" s="48"/>
      <c r="CT3965" s="48"/>
      <c r="CU3965" s="48"/>
      <c r="CV3965" s="48"/>
      <c r="CW3965" s="48"/>
      <c r="CX3965" s="48"/>
      <c r="CY3965" s="48"/>
      <c r="CZ3965" s="48"/>
    </row>
    <row r="3966" spans="27:104" s="4" customFormat="1" x14ac:dyDescent="0.3">
      <c r="AA3966" s="48"/>
      <c r="AB3966" s="48"/>
      <c r="AC3966" s="48"/>
      <c r="AD3966" s="48"/>
      <c r="AE3966" s="48"/>
      <c r="AF3966" s="48"/>
      <c r="AG3966" s="48"/>
      <c r="AH3966" s="48"/>
      <c r="AI3966" s="48"/>
      <c r="AJ3966" s="48"/>
      <c r="AK3966" s="48"/>
      <c r="AL3966" s="48"/>
      <c r="AM3966" s="48"/>
      <c r="AN3966" s="48"/>
      <c r="AO3966" s="48"/>
      <c r="AP3966" s="48"/>
      <c r="AQ3966" s="48"/>
      <c r="AR3966" s="48"/>
      <c r="AS3966" s="48"/>
      <c r="AT3966" s="48"/>
      <c r="AU3966" s="48"/>
      <c r="AV3966" s="48"/>
      <c r="AW3966" s="48"/>
      <c r="AX3966" s="48"/>
      <c r="AY3966" s="48"/>
      <c r="AZ3966" s="48"/>
      <c r="BA3966" s="48"/>
      <c r="BB3966" s="14"/>
      <c r="BC3966" s="48"/>
      <c r="BD3966" s="48"/>
      <c r="BE3966" s="48"/>
      <c r="BF3966" s="48"/>
      <c r="BG3966" s="48"/>
      <c r="BH3966" s="48"/>
      <c r="BI3966" s="48"/>
      <c r="BJ3966" s="48"/>
      <c r="BK3966" s="48"/>
      <c r="BL3966" s="48"/>
      <c r="BM3966" s="48"/>
      <c r="BN3966" s="48"/>
      <c r="BO3966" s="48"/>
      <c r="BP3966" s="48"/>
      <c r="BQ3966" s="48"/>
      <c r="BR3966" s="48"/>
      <c r="BS3966" s="48"/>
      <c r="BT3966" s="48"/>
      <c r="BU3966" s="48"/>
      <c r="BV3966" s="48"/>
      <c r="BW3966" s="48"/>
      <c r="BX3966" s="48"/>
      <c r="BY3966" s="48"/>
      <c r="BZ3966" s="48"/>
      <c r="CA3966" s="48"/>
      <c r="CB3966" s="48"/>
      <c r="CC3966" s="48"/>
      <c r="CD3966" s="48"/>
      <c r="CE3966" s="48"/>
      <c r="CF3966" s="48"/>
      <c r="CG3966" s="48"/>
      <c r="CH3966" s="48"/>
      <c r="CI3966" s="48"/>
      <c r="CJ3966" s="48"/>
      <c r="CK3966" s="48"/>
      <c r="CL3966" s="48"/>
      <c r="CM3966" s="48"/>
      <c r="CN3966" s="48"/>
      <c r="CO3966" s="48"/>
      <c r="CP3966" s="48"/>
      <c r="CQ3966" s="48"/>
      <c r="CR3966" s="48"/>
      <c r="CS3966" s="48"/>
      <c r="CT3966" s="48"/>
      <c r="CU3966" s="48"/>
      <c r="CV3966" s="48"/>
      <c r="CW3966" s="48"/>
      <c r="CX3966" s="48"/>
      <c r="CY3966" s="48"/>
      <c r="CZ3966" s="48"/>
    </row>
    <row r="3967" spans="27:104" s="4" customFormat="1" x14ac:dyDescent="0.3">
      <c r="AA3967" s="48"/>
      <c r="AB3967" s="48"/>
      <c r="AC3967" s="48"/>
      <c r="AD3967" s="48"/>
      <c r="AE3967" s="48"/>
      <c r="AF3967" s="48"/>
      <c r="AG3967" s="48"/>
      <c r="AH3967" s="48"/>
      <c r="AI3967" s="48"/>
      <c r="AJ3967" s="48"/>
      <c r="AK3967" s="48"/>
      <c r="AL3967" s="48"/>
      <c r="AM3967" s="48"/>
      <c r="AN3967" s="48"/>
      <c r="AO3967" s="48"/>
      <c r="AP3967" s="48"/>
      <c r="AQ3967" s="48"/>
      <c r="AR3967" s="48"/>
      <c r="AS3967" s="48"/>
      <c r="AT3967" s="48"/>
      <c r="AU3967" s="48"/>
      <c r="AV3967" s="48"/>
      <c r="AW3967" s="48"/>
      <c r="AX3967" s="48"/>
      <c r="AY3967" s="48"/>
      <c r="AZ3967" s="48"/>
      <c r="BA3967" s="48"/>
      <c r="BB3967" s="14"/>
      <c r="BC3967" s="48"/>
      <c r="BD3967" s="48"/>
      <c r="BE3967" s="48"/>
      <c r="BF3967" s="48"/>
      <c r="BG3967" s="48"/>
      <c r="BH3967" s="48"/>
      <c r="BI3967" s="48"/>
      <c r="BJ3967" s="48"/>
      <c r="BK3967" s="48"/>
      <c r="BL3967" s="48"/>
      <c r="BM3967" s="48"/>
      <c r="BN3967" s="48"/>
      <c r="BO3967" s="48"/>
      <c r="BP3967" s="48"/>
      <c r="BQ3967" s="48"/>
      <c r="BR3967" s="48"/>
      <c r="BS3967" s="48"/>
      <c r="BT3967" s="48"/>
      <c r="BU3967" s="48"/>
      <c r="BV3967" s="48"/>
      <c r="BW3967" s="48"/>
      <c r="BX3967" s="48"/>
      <c r="BY3967" s="48"/>
      <c r="BZ3967" s="48"/>
      <c r="CA3967" s="48"/>
      <c r="CB3967" s="48"/>
      <c r="CC3967" s="48"/>
      <c r="CD3967" s="48"/>
      <c r="CE3967" s="48"/>
      <c r="CF3967" s="48"/>
      <c r="CG3967" s="48"/>
      <c r="CH3967" s="48"/>
      <c r="CI3967" s="48"/>
      <c r="CJ3967" s="48"/>
      <c r="CK3967" s="48"/>
      <c r="CL3967" s="48"/>
      <c r="CM3967" s="48"/>
      <c r="CN3967" s="48"/>
      <c r="CO3967" s="48"/>
      <c r="CP3967" s="48"/>
      <c r="CQ3967" s="48"/>
      <c r="CR3967" s="48"/>
      <c r="CS3967" s="48"/>
      <c r="CT3967" s="48"/>
      <c r="CU3967" s="48"/>
      <c r="CV3967" s="48"/>
      <c r="CW3967" s="48"/>
      <c r="CX3967" s="48"/>
      <c r="CY3967" s="48"/>
      <c r="CZ3967" s="48"/>
    </row>
    <row r="3968" spans="27:104" s="4" customFormat="1" x14ac:dyDescent="0.3">
      <c r="AA3968" s="48"/>
      <c r="AB3968" s="48"/>
      <c r="AC3968" s="48"/>
      <c r="AD3968" s="48"/>
      <c r="AE3968" s="48"/>
      <c r="AF3968" s="48"/>
      <c r="AG3968" s="48"/>
      <c r="AH3968" s="48"/>
      <c r="AI3968" s="48"/>
      <c r="AJ3968" s="48"/>
      <c r="AK3968" s="48"/>
      <c r="AL3968" s="48"/>
      <c r="AM3968" s="48"/>
      <c r="AN3968" s="48"/>
      <c r="AO3968" s="48"/>
      <c r="AP3968" s="48"/>
      <c r="AQ3968" s="48"/>
      <c r="AR3968" s="48"/>
      <c r="AS3968" s="48"/>
      <c r="AT3968" s="48"/>
      <c r="AU3968" s="48"/>
      <c r="AV3968" s="48"/>
      <c r="AW3968" s="48"/>
      <c r="AX3968" s="48"/>
      <c r="AY3968" s="48"/>
      <c r="AZ3968" s="48"/>
      <c r="BA3968" s="48"/>
      <c r="BB3968" s="14"/>
      <c r="BC3968" s="48"/>
      <c r="BD3968" s="48"/>
      <c r="BE3968" s="48"/>
      <c r="BF3968" s="48"/>
      <c r="BG3968" s="48"/>
      <c r="BH3968" s="48"/>
      <c r="BI3968" s="48"/>
      <c r="BJ3968" s="48"/>
      <c r="BK3968" s="48"/>
      <c r="BL3968" s="48"/>
      <c r="BM3968" s="48"/>
      <c r="BN3968" s="48"/>
      <c r="BO3968" s="48"/>
      <c r="BP3968" s="48"/>
      <c r="BQ3968" s="48"/>
      <c r="BR3968" s="48"/>
      <c r="BS3968" s="48"/>
      <c r="BT3968" s="48"/>
      <c r="BU3968" s="48"/>
      <c r="BV3968" s="48"/>
      <c r="BW3968" s="48"/>
      <c r="BX3968" s="48"/>
      <c r="BY3968" s="48"/>
      <c r="BZ3968" s="48"/>
      <c r="CA3968" s="48"/>
      <c r="CB3968" s="48"/>
      <c r="CC3968" s="48"/>
      <c r="CD3968" s="48"/>
      <c r="CE3968" s="48"/>
      <c r="CF3968" s="48"/>
      <c r="CG3968" s="48"/>
      <c r="CH3968" s="48"/>
      <c r="CI3968" s="48"/>
      <c r="CJ3968" s="48"/>
      <c r="CK3968" s="48"/>
      <c r="CL3968" s="48"/>
      <c r="CM3968" s="48"/>
      <c r="CN3968" s="48"/>
      <c r="CO3968" s="48"/>
      <c r="CP3968" s="48"/>
      <c r="CQ3968" s="48"/>
      <c r="CR3968" s="48"/>
      <c r="CS3968" s="48"/>
      <c r="CT3968" s="48"/>
      <c r="CU3968" s="48"/>
      <c r="CV3968" s="48"/>
      <c r="CW3968" s="48"/>
      <c r="CX3968" s="48"/>
      <c r="CY3968" s="48"/>
      <c r="CZ3968" s="48"/>
    </row>
    <row r="3969" spans="27:104" s="4" customFormat="1" x14ac:dyDescent="0.3">
      <c r="AA3969" s="48"/>
      <c r="AB3969" s="48"/>
      <c r="AC3969" s="48"/>
      <c r="AD3969" s="48"/>
      <c r="AE3969" s="48"/>
      <c r="AF3969" s="48"/>
      <c r="AG3969" s="48"/>
      <c r="AH3969" s="48"/>
      <c r="AI3969" s="48"/>
      <c r="AJ3969" s="48"/>
      <c r="AK3969" s="48"/>
      <c r="AL3969" s="48"/>
      <c r="AM3969" s="48"/>
      <c r="AN3969" s="48"/>
      <c r="AO3969" s="48"/>
      <c r="AP3969" s="48"/>
      <c r="AQ3969" s="48"/>
      <c r="AR3969" s="48"/>
      <c r="AS3969" s="48"/>
      <c r="AT3969" s="48"/>
      <c r="AU3969" s="48"/>
      <c r="AV3969" s="48"/>
      <c r="AW3969" s="48"/>
      <c r="AX3969" s="48"/>
      <c r="AY3969" s="48"/>
      <c r="AZ3969" s="48"/>
      <c r="BA3969" s="48"/>
      <c r="BB3969" s="14"/>
      <c r="BC3969" s="48"/>
      <c r="BD3969" s="48"/>
      <c r="BE3969" s="48"/>
      <c r="BF3969" s="48"/>
      <c r="BG3969" s="48"/>
      <c r="BH3969" s="48"/>
      <c r="BI3969" s="48"/>
      <c r="BJ3969" s="48"/>
      <c r="BK3969" s="48"/>
      <c r="BL3969" s="48"/>
      <c r="BM3969" s="48"/>
      <c r="BN3969" s="48"/>
      <c r="BO3969" s="48"/>
      <c r="BP3969" s="48"/>
      <c r="BQ3969" s="48"/>
      <c r="BR3969" s="48"/>
      <c r="BS3969" s="48"/>
      <c r="BT3969" s="48"/>
      <c r="BU3969" s="48"/>
      <c r="BV3969" s="48"/>
      <c r="BW3969" s="48"/>
      <c r="BX3969" s="48"/>
      <c r="BY3969" s="48"/>
      <c r="BZ3969" s="48"/>
      <c r="CA3969" s="48"/>
      <c r="CB3969" s="48"/>
      <c r="CC3969" s="48"/>
      <c r="CD3969" s="48"/>
      <c r="CE3969" s="48"/>
      <c r="CF3969" s="48"/>
      <c r="CG3969" s="48"/>
      <c r="CH3969" s="48"/>
      <c r="CI3969" s="48"/>
      <c r="CJ3969" s="48"/>
      <c r="CK3969" s="48"/>
      <c r="CL3969" s="48"/>
      <c r="CM3969" s="48"/>
      <c r="CN3969" s="48"/>
      <c r="CO3969" s="48"/>
      <c r="CP3969" s="48"/>
      <c r="CQ3969" s="48"/>
      <c r="CR3969" s="48"/>
      <c r="CS3969" s="48"/>
      <c r="CT3969" s="48"/>
      <c r="CU3969" s="48"/>
      <c r="CV3969" s="48"/>
      <c r="CW3969" s="48"/>
      <c r="CX3969" s="48"/>
      <c r="CY3969" s="48"/>
      <c r="CZ3969" s="48"/>
    </row>
    <row r="3970" spans="27:104" s="4" customFormat="1" x14ac:dyDescent="0.3">
      <c r="AA3970" s="48"/>
      <c r="AB3970" s="48"/>
      <c r="AC3970" s="48"/>
      <c r="AD3970" s="48"/>
      <c r="AE3970" s="48"/>
      <c r="AF3970" s="48"/>
      <c r="AG3970" s="48"/>
      <c r="AH3970" s="48"/>
      <c r="AI3970" s="48"/>
      <c r="AJ3970" s="48"/>
      <c r="AK3970" s="48"/>
      <c r="AL3970" s="48"/>
      <c r="AM3970" s="48"/>
      <c r="AN3970" s="48"/>
      <c r="AO3970" s="48"/>
      <c r="AP3970" s="48"/>
      <c r="AQ3970" s="48"/>
      <c r="AR3970" s="48"/>
      <c r="AS3970" s="48"/>
      <c r="AT3970" s="48"/>
      <c r="AU3970" s="48"/>
      <c r="AV3970" s="48"/>
      <c r="AW3970" s="48"/>
      <c r="AX3970" s="48"/>
      <c r="AY3970" s="48"/>
      <c r="AZ3970" s="48"/>
      <c r="BA3970" s="48"/>
      <c r="BB3970" s="14"/>
      <c r="BC3970" s="48"/>
      <c r="BD3970" s="48"/>
      <c r="BE3970" s="48"/>
      <c r="BF3970" s="48"/>
      <c r="BG3970" s="48"/>
      <c r="BH3970" s="48"/>
      <c r="BI3970" s="48"/>
      <c r="BJ3970" s="48"/>
      <c r="BK3970" s="48"/>
      <c r="BL3970" s="48"/>
      <c r="BM3970" s="48"/>
      <c r="BN3970" s="48"/>
      <c r="BO3970" s="48"/>
      <c r="BP3970" s="48"/>
      <c r="BQ3970" s="48"/>
      <c r="BR3970" s="48"/>
      <c r="BS3970" s="48"/>
      <c r="BT3970" s="48"/>
      <c r="BU3970" s="48"/>
      <c r="BV3970" s="48"/>
      <c r="BW3970" s="48"/>
      <c r="BX3970" s="48"/>
      <c r="BY3970" s="48"/>
      <c r="BZ3970" s="48"/>
      <c r="CA3970" s="48"/>
      <c r="CB3970" s="48"/>
      <c r="CC3970" s="48"/>
      <c r="CD3970" s="48"/>
      <c r="CE3970" s="48"/>
      <c r="CF3970" s="48"/>
      <c r="CG3970" s="48"/>
      <c r="CH3970" s="48"/>
      <c r="CI3970" s="48"/>
      <c r="CJ3970" s="48"/>
      <c r="CK3970" s="48"/>
      <c r="CL3970" s="48"/>
      <c r="CM3970" s="48"/>
      <c r="CN3970" s="48"/>
      <c r="CO3970" s="48"/>
      <c r="CP3970" s="48"/>
      <c r="CQ3970" s="48"/>
      <c r="CR3970" s="48"/>
      <c r="CS3970" s="48"/>
      <c r="CT3970" s="48"/>
      <c r="CU3970" s="48"/>
      <c r="CV3970" s="48"/>
      <c r="CW3970" s="48"/>
      <c r="CX3970" s="48"/>
      <c r="CY3970" s="48"/>
      <c r="CZ3970" s="48"/>
    </row>
    <row r="3971" spans="27:104" s="4" customFormat="1" x14ac:dyDescent="0.3">
      <c r="AA3971" s="48"/>
      <c r="AB3971" s="48"/>
      <c r="AC3971" s="48"/>
      <c r="AD3971" s="48"/>
      <c r="AE3971" s="48"/>
      <c r="AF3971" s="48"/>
      <c r="AG3971" s="48"/>
      <c r="AH3971" s="48"/>
      <c r="AI3971" s="48"/>
      <c r="AJ3971" s="48"/>
      <c r="AK3971" s="48"/>
      <c r="AL3971" s="48"/>
      <c r="AM3971" s="48"/>
      <c r="AN3971" s="48"/>
      <c r="AO3971" s="48"/>
      <c r="AP3971" s="48"/>
      <c r="AQ3971" s="48"/>
      <c r="AR3971" s="48"/>
      <c r="AS3971" s="48"/>
      <c r="AT3971" s="48"/>
      <c r="AU3971" s="48"/>
      <c r="AV3971" s="48"/>
      <c r="AW3971" s="48"/>
      <c r="AX3971" s="48"/>
      <c r="AY3971" s="48"/>
      <c r="AZ3971" s="48"/>
      <c r="BA3971" s="48"/>
      <c r="BB3971" s="14"/>
      <c r="BC3971" s="48"/>
      <c r="BD3971" s="48"/>
      <c r="BE3971" s="48"/>
      <c r="BF3971" s="48"/>
      <c r="BG3971" s="48"/>
      <c r="BH3971" s="48"/>
      <c r="BI3971" s="48"/>
      <c r="BJ3971" s="48"/>
      <c r="BK3971" s="48"/>
      <c r="BL3971" s="48"/>
      <c r="BM3971" s="48"/>
      <c r="BN3971" s="48"/>
      <c r="BO3971" s="48"/>
      <c r="BP3971" s="48"/>
      <c r="BQ3971" s="48"/>
      <c r="BR3971" s="48"/>
      <c r="BS3971" s="48"/>
      <c r="BT3971" s="48"/>
      <c r="BU3971" s="48"/>
      <c r="BV3971" s="48"/>
      <c r="BW3971" s="48"/>
      <c r="BX3971" s="48"/>
      <c r="BY3971" s="48"/>
      <c r="BZ3971" s="48"/>
      <c r="CA3971" s="48"/>
      <c r="CB3971" s="48"/>
      <c r="CC3971" s="48"/>
      <c r="CD3971" s="48"/>
      <c r="CE3971" s="48"/>
      <c r="CF3971" s="48"/>
      <c r="CG3971" s="48"/>
      <c r="CH3971" s="48"/>
      <c r="CI3971" s="48"/>
      <c r="CJ3971" s="48"/>
      <c r="CK3971" s="48"/>
      <c r="CL3971" s="48"/>
      <c r="CM3971" s="48"/>
      <c r="CN3971" s="48"/>
      <c r="CO3971" s="48"/>
      <c r="CP3971" s="48"/>
      <c r="CQ3971" s="48"/>
      <c r="CR3971" s="48"/>
      <c r="CS3971" s="48"/>
      <c r="CT3971" s="48"/>
      <c r="CU3971" s="48"/>
      <c r="CV3971" s="48"/>
      <c r="CW3971" s="48"/>
      <c r="CX3971" s="48"/>
      <c r="CY3971" s="48"/>
      <c r="CZ3971" s="48"/>
    </row>
    <row r="3972" spans="27:104" s="4" customFormat="1" x14ac:dyDescent="0.3">
      <c r="AA3972" s="48"/>
      <c r="AB3972" s="48"/>
      <c r="AC3972" s="48"/>
      <c r="AD3972" s="48"/>
      <c r="AE3972" s="48"/>
      <c r="AF3972" s="48"/>
      <c r="AG3972" s="48"/>
      <c r="AH3972" s="48"/>
      <c r="AI3972" s="48"/>
      <c r="AJ3972" s="48"/>
      <c r="AK3972" s="48"/>
      <c r="AL3972" s="48"/>
      <c r="AM3972" s="48"/>
      <c r="AN3972" s="48"/>
      <c r="AO3972" s="48"/>
      <c r="AP3972" s="48"/>
      <c r="AQ3972" s="48"/>
      <c r="AR3972" s="48"/>
      <c r="AS3972" s="48"/>
      <c r="AT3972" s="48"/>
      <c r="AU3972" s="48"/>
      <c r="AV3972" s="48"/>
      <c r="AW3972" s="48"/>
      <c r="AX3972" s="48"/>
      <c r="AY3972" s="48"/>
      <c r="AZ3972" s="48"/>
      <c r="BA3972" s="48"/>
      <c r="BB3972" s="14"/>
      <c r="BC3972" s="48"/>
      <c r="BD3972" s="48"/>
      <c r="BE3972" s="48"/>
      <c r="BF3972" s="48"/>
      <c r="BG3972" s="48"/>
      <c r="BH3972" s="48"/>
      <c r="BI3972" s="48"/>
      <c r="BJ3972" s="48"/>
      <c r="BK3972" s="48"/>
      <c r="BL3972" s="48"/>
      <c r="BM3972" s="48"/>
      <c r="BN3972" s="48"/>
      <c r="BO3972" s="48"/>
      <c r="BP3972" s="48"/>
      <c r="BQ3972" s="48"/>
      <c r="BR3972" s="48"/>
      <c r="BS3972" s="48"/>
      <c r="BT3972" s="48"/>
      <c r="BU3972" s="48"/>
      <c r="BV3972" s="48"/>
      <c r="BW3972" s="48"/>
      <c r="BX3972" s="48"/>
      <c r="BY3972" s="48"/>
      <c r="BZ3972" s="48"/>
      <c r="CA3972" s="48"/>
      <c r="CB3972" s="48"/>
      <c r="CC3972" s="48"/>
      <c r="CD3972" s="48"/>
      <c r="CE3972" s="48"/>
      <c r="CF3972" s="48"/>
      <c r="CG3972" s="48"/>
      <c r="CH3972" s="48"/>
      <c r="CI3972" s="48"/>
      <c r="CJ3972" s="48"/>
      <c r="CK3972" s="48"/>
      <c r="CL3972" s="48"/>
      <c r="CM3972" s="48"/>
      <c r="CN3972" s="48"/>
      <c r="CO3972" s="48"/>
      <c r="CP3972" s="48"/>
      <c r="CQ3972" s="48"/>
      <c r="CR3972" s="48"/>
      <c r="CS3972" s="48"/>
      <c r="CT3972" s="48"/>
      <c r="CU3972" s="48"/>
      <c r="CV3972" s="48"/>
      <c r="CW3972" s="48"/>
      <c r="CX3972" s="48"/>
      <c r="CY3972" s="48"/>
      <c r="CZ3972" s="48"/>
    </row>
    <row r="3973" spans="27:104" s="4" customFormat="1" x14ac:dyDescent="0.3">
      <c r="AA3973" s="48"/>
      <c r="AB3973" s="48"/>
      <c r="AC3973" s="48"/>
      <c r="AD3973" s="48"/>
      <c r="AE3973" s="48"/>
      <c r="AF3973" s="48"/>
      <c r="AG3973" s="48"/>
      <c r="AH3973" s="48"/>
      <c r="AI3973" s="48"/>
      <c r="AJ3973" s="48"/>
      <c r="AK3973" s="48"/>
      <c r="AL3973" s="48"/>
      <c r="AM3973" s="48"/>
      <c r="AN3973" s="48"/>
      <c r="AO3973" s="48"/>
      <c r="AP3973" s="48"/>
      <c r="AQ3973" s="48"/>
      <c r="AR3973" s="48"/>
      <c r="AS3973" s="48"/>
      <c r="AT3973" s="48"/>
      <c r="AU3973" s="48"/>
      <c r="AV3973" s="48"/>
      <c r="AW3973" s="48"/>
      <c r="AX3973" s="48"/>
      <c r="AY3973" s="48"/>
      <c r="AZ3973" s="48"/>
      <c r="BA3973" s="48"/>
      <c r="BB3973" s="14"/>
      <c r="BC3973" s="48"/>
      <c r="BD3973" s="48"/>
      <c r="BE3973" s="48"/>
      <c r="BF3973" s="48"/>
      <c r="BG3973" s="48"/>
      <c r="BH3973" s="48"/>
      <c r="BI3973" s="48"/>
      <c r="BJ3973" s="48"/>
      <c r="BK3973" s="48"/>
      <c r="BL3973" s="48"/>
      <c r="BM3973" s="48"/>
      <c r="BN3973" s="48"/>
      <c r="BO3973" s="48"/>
      <c r="BP3973" s="48"/>
      <c r="BQ3973" s="48"/>
      <c r="BR3973" s="48"/>
      <c r="BS3973" s="48"/>
      <c r="BT3973" s="48"/>
      <c r="BU3973" s="48"/>
      <c r="BV3973" s="48"/>
      <c r="BW3973" s="48"/>
      <c r="BX3973" s="48"/>
      <c r="BY3973" s="48"/>
      <c r="BZ3973" s="48"/>
      <c r="CA3973" s="48"/>
      <c r="CB3973" s="48"/>
      <c r="CC3973" s="48"/>
      <c r="CD3973" s="48"/>
      <c r="CE3973" s="48"/>
      <c r="CF3973" s="48"/>
      <c r="CG3973" s="48"/>
      <c r="CH3973" s="48"/>
      <c r="CI3973" s="48"/>
      <c r="CJ3973" s="48"/>
      <c r="CK3973" s="48"/>
      <c r="CL3973" s="48"/>
      <c r="CM3973" s="48"/>
      <c r="CN3973" s="48"/>
      <c r="CO3973" s="48"/>
      <c r="CP3973" s="48"/>
      <c r="CQ3973" s="48"/>
      <c r="CR3973" s="48"/>
      <c r="CS3973" s="48"/>
      <c r="CT3973" s="48"/>
      <c r="CU3973" s="48"/>
      <c r="CV3973" s="48"/>
      <c r="CW3973" s="48"/>
      <c r="CX3973" s="48"/>
      <c r="CY3973" s="48"/>
      <c r="CZ3973" s="48"/>
    </row>
    <row r="3974" spans="27:104" s="4" customFormat="1" x14ac:dyDescent="0.3">
      <c r="AA3974" s="48"/>
      <c r="AB3974" s="48"/>
      <c r="AC3974" s="48"/>
      <c r="AD3974" s="48"/>
      <c r="AE3974" s="48"/>
      <c r="AF3974" s="48"/>
      <c r="AG3974" s="48"/>
      <c r="AH3974" s="48"/>
      <c r="AI3974" s="48"/>
      <c r="AJ3974" s="48"/>
      <c r="AK3974" s="48"/>
      <c r="AL3974" s="48"/>
      <c r="AM3974" s="48"/>
      <c r="AN3974" s="48"/>
      <c r="AO3974" s="48"/>
      <c r="AP3974" s="48"/>
      <c r="AQ3974" s="48"/>
      <c r="AR3974" s="48"/>
      <c r="AS3974" s="48"/>
      <c r="AT3974" s="48"/>
      <c r="AU3974" s="48"/>
      <c r="AV3974" s="48"/>
      <c r="AW3974" s="48"/>
      <c r="AX3974" s="48"/>
      <c r="AY3974" s="48"/>
      <c r="AZ3974" s="48"/>
      <c r="BA3974" s="48"/>
      <c r="BB3974" s="14"/>
      <c r="BC3974" s="48"/>
      <c r="BD3974" s="48"/>
      <c r="BE3974" s="48"/>
      <c r="BF3974" s="48"/>
      <c r="BG3974" s="48"/>
      <c r="BH3974" s="48"/>
      <c r="BI3974" s="48"/>
      <c r="BJ3974" s="48"/>
      <c r="BK3974" s="48"/>
      <c r="BL3974" s="48"/>
      <c r="BM3974" s="48"/>
      <c r="BN3974" s="48"/>
      <c r="BO3974" s="48"/>
      <c r="BP3974" s="48"/>
      <c r="BQ3974" s="48"/>
      <c r="BR3974" s="48"/>
      <c r="BS3974" s="48"/>
      <c r="BT3974" s="48"/>
      <c r="BU3974" s="48"/>
      <c r="BV3974" s="48"/>
      <c r="BW3974" s="48"/>
      <c r="BX3974" s="48"/>
      <c r="BY3974" s="48"/>
      <c r="BZ3974" s="48"/>
      <c r="CA3974" s="48"/>
      <c r="CB3974" s="48"/>
      <c r="CC3974" s="48"/>
      <c r="CD3974" s="48"/>
      <c r="CE3974" s="48"/>
      <c r="CF3974" s="48"/>
      <c r="CG3974" s="48"/>
      <c r="CH3974" s="48"/>
      <c r="CI3974" s="48"/>
      <c r="CJ3974" s="48"/>
      <c r="CK3974" s="48"/>
      <c r="CL3974" s="48"/>
      <c r="CM3974" s="48"/>
      <c r="CN3974" s="48"/>
      <c r="CO3974" s="48"/>
      <c r="CP3974" s="48"/>
      <c r="CQ3974" s="48"/>
      <c r="CR3974" s="48"/>
      <c r="CS3974" s="48"/>
      <c r="CT3974" s="48"/>
      <c r="CU3974" s="48"/>
      <c r="CV3974" s="48"/>
      <c r="CW3974" s="48"/>
      <c r="CX3974" s="48"/>
      <c r="CY3974" s="48"/>
      <c r="CZ3974" s="48"/>
    </row>
    <row r="3975" spans="27:104" s="4" customFormat="1" x14ac:dyDescent="0.3">
      <c r="AA3975" s="48"/>
      <c r="AB3975" s="48"/>
      <c r="AC3975" s="48"/>
      <c r="AD3975" s="48"/>
      <c r="AE3975" s="48"/>
      <c r="AF3975" s="48"/>
      <c r="AG3975" s="48"/>
      <c r="AH3975" s="48"/>
      <c r="AI3975" s="48"/>
      <c r="AJ3975" s="48"/>
      <c r="AK3975" s="48"/>
      <c r="AL3975" s="48"/>
      <c r="AM3975" s="48"/>
      <c r="AN3975" s="48"/>
      <c r="AO3975" s="48"/>
      <c r="AP3975" s="48"/>
      <c r="AQ3975" s="48"/>
      <c r="AR3975" s="48"/>
      <c r="AS3975" s="48"/>
      <c r="AT3975" s="48"/>
      <c r="AU3975" s="48"/>
      <c r="AV3975" s="48"/>
      <c r="AW3975" s="48"/>
      <c r="AX3975" s="48"/>
      <c r="AY3975" s="48"/>
      <c r="AZ3975" s="48"/>
      <c r="BA3975" s="48"/>
      <c r="BB3975" s="14"/>
      <c r="BC3975" s="48"/>
      <c r="BD3975" s="48"/>
      <c r="BE3975" s="48"/>
      <c r="BF3975" s="48"/>
      <c r="BG3975" s="48"/>
      <c r="BH3975" s="48"/>
      <c r="BI3975" s="48"/>
      <c r="BJ3975" s="48"/>
      <c r="BK3975" s="48"/>
      <c r="BL3975" s="48"/>
      <c r="BM3975" s="48"/>
      <c r="BN3975" s="48"/>
      <c r="BO3975" s="48"/>
      <c r="BP3975" s="48"/>
      <c r="BQ3975" s="48"/>
      <c r="BR3975" s="48"/>
      <c r="BS3975" s="48"/>
      <c r="BT3975" s="48"/>
      <c r="BU3975" s="48"/>
      <c r="BV3975" s="48"/>
      <c r="BW3975" s="48"/>
      <c r="BX3975" s="48"/>
      <c r="BY3975" s="48"/>
      <c r="BZ3975" s="48"/>
      <c r="CA3975" s="48"/>
      <c r="CB3975" s="48"/>
      <c r="CC3975" s="48"/>
      <c r="CD3975" s="48"/>
      <c r="CE3975" s="48"/>
      <c r="CF3975" s="48"/>
      <c r="CG3975" s="48"/>
      <c r="CH3975" s="48"/>
      <c r="CI3975" s="48"/>
      <c r="CJ3975" s="48"/>
      <c r="CK3975" s="48"/>
      <c r="CL3975" s="48"/>
      <c r="CM3975" s="48"/>
      <c r="CN3975" s="48"/>
      <c r="CO3975" s="48"/>
      <c r="CP3975" s="48"/>
      <c r="CQ3975" s="48"/>
      <c r="CR3975" s="48"/>
      <c r="CS3975" s="48"/>
      <c r="CT3975" s="48"/>
      <c r="CU3975" s="48"/>
      <c r="CV3975" s="48"/>
      <c r="CW3975" s="48"/>
      <c r="CX3975" s="48"/>
      <c r="CY3975" s="48"/>
      <c r="CZ3975" s="48"/>
    </row>
    <row r="3976" spans="27:104" s="4" customFormat="1" x14ac:dyDescent="0.3">
      <c r="AA3976" s="48"/>
      <c r="AB3976" s="48"/>
      <c r="AC3976" s="48"/>
      <c r="AD3976" s="48"/>
      <c r="AE3976" s="48"/>
      <c r="AF3976" s="48"/>
      <c r="AG3976" s="48"/>
      <c r="AH3976" s="48"/>
      <c r="AI3976" s="48"/>
      <c r="AJ3976" s="48"/>
      <c r="AK3976" s="48"/>
      <c r="AL3976" s="48"/>
      <c r="AM3976" s="48"/>
      <c r="AN3976" s="48"/>
      <c r="AO3976" s="48"/>
      <c r="AP3976" s="48"/>
      <c r="AQ3976" s="48"/>
      <c r="AR3976" s="48"/>
      <c r="AS3976" s="48"/>
      <c r="AT3976" s="48"/>
      <c r="AU3976" s="48"/>
      <c r="AV3976" s="48"/>
      <c r="AW3976" s="48"/>
      <c r="AX3976" s="48"/>
      <c r="AY3976" s="48"/>
      <c r="AZ3976" s="48"/>
      <c r="BA3976" s="48"/>
      <c r="BB3976" s="14"/>
      <c r="BC3976" s="48"/>
      <c r="BD3976" s="48"/>
      <c r="BE3976" s="48"/>
      <c r="BF3976" s="48"/>
      <c r="BG3976" s="48"/>
      <c r="BH3976" s="48"/>
      <c r="BI3976" s="48"/>
      <c r="BJ3976" s="48"/>
      <c r="BK3976" s="48"/>
      <c r="BL3976" s="48"/>
      <c r="BM3976" s="48"/>
      <c r="BN3976" s="48"/>
      <c r="BO3976" s="48"/>
      <c r="BP3976" s="48"/>
      <c r="BQ3976" s="48"/>
      <c r="BR3976" s="48"/>
      <c r="BS3976" s="48"/>
      <c r="BT3976" s="48"/>
      <c r="BU3976" s="48"/>
      <c r="BV3976" s="48"/>
      <c r="BW3976" s="48"/>
      <c r="BX3976" s="48"/>
      <c r="BY3976" s="48"/>
      <c r="BZ3976" s="48"/>
      <c r="CA3976" s="48"/>
      <c r="CB3976" s="48"/>
      <c r="CC3976" s="48"/>
      <c r="CD3976" s="48"/>
      <c r="CE3976" s="48"/>
      <c r="CF3976" s="48"/>
      <c r="CG3976" s="48"/>
      <c r="CH3976" s="48"/>
      <c r="CI3976" s="48"/>
      <c r="CJ3976" s="48"/>
      <c r="CK3976" s="48"/>
      <c r="CL3976" s="48"/>
      <c r="CM3976" s="48"/>
      <c r="CN3976" s="48"/>
      <c r="CO3976" s="48"/>
      <c r="CP3976" s="48"/>
      <c r="CQ3976" s="48"/>
      <c r="CR3976" s="48"/>
      <c r="CS3976" s="48"/>
      <c r="CT3976" s="48"/>
      <c r="CU3976" s="48"/>
      <c r="CV3976" s="48"/>
      <c r="CW3976" s="48"/>
      <c r="CX3976" s="48"/>
      <c r="CY3976" s="48"/>
      <c r="CZ3976" s="48"/>
    </row>
    <row r="3977" spans="27:104" s="4" customFormat="1" x14ac:dyDescent="0.3">
      <c r="AA3977" s="48"/>
      <c r="AB3977" s="48"/>
      <c r="AC3977" s="48"/>
      <c r="AD3977" s="48"/>
      <c r="AE3977" s="48"/>
      <c r="AF3977" s="48"/>
      <c r="AG3977" s="48"/>
      <c r="AH3977" s="48"/>
      <c r="AI3977" s="48"/>
      <c r="AJ3977" s="48"/>
      <c r="AK3977" s="48"/>
      <c r="AL3977" s="48"/>
      <c r="AM3977" s="48"/>
      <c r="AN3977" s="48"/>
      <c r="AO3977" s="48"/>
      <c r="AP3977" s="48"/>
      <c r="AQ3977" s="48"/>
      <c r="AR3977" s="48"/>
      <c r="AS3977" s="48"/>
      <c r="AT3977" s="48"/>
      <c r="AU3977" s="48"/>
      <c r="AV3977" s="48"/>
      <c r="AW3977" s="48"/>
      <c r="AX3977" s="48"/>
      <c r="AY3977" s="48"/>
      <c r="AZ3977" s="48"/>
      <c r="BA3977" s="48"/>
      <c r="BB3977" s="14"/>
      <c r="BC3977" s="48"/>
      <c r="BD3977" s="48"/>
      <c r="BE3977" s="48"/>
      <c r="BF3977" s="48"/>
      <c r="BG3977" s="48"/>
      <c r="BH3977" s="48"/>
      <c r="BI3977" s="48"/>
      <c r="BJ3977" s="48"/>
      <c r="BK3977" s="48"/>
      <c r="BL3977" s="48"/>
      <c r="BM3977" s="48"/>
      <c r="BN3977" s="48"/>
      <c r="BO3977" s="48"/>
      <c r="BP3977" s="48"/>
      <c r="BQ3977" s="48"/>
      <c r="BR3977" s="48"/>
      <c r="BS3977" s="48"/>
      <c r="BT3977" s="48"/>
      <c r="BU3977" s="48"/>
      <c r="BV3977" s="48"/>
      <c r="BW3977" s="48"/>
      <c r="BX3977" s="48"/>
      <c r="BY3977" s="48"/>
      <c r="BZ3977" s="48"/>
      <c r="CA3977" s="48"/>
      <c r="CB3977" s="48"/>
      <c r="CC3977" s="48"/>
      <c r="CD3977" s="48"/>
      <c r="CE3977" s="48"/>
      <c r="CF3977" s="48"/>
      <c r="CG3977" s="48"/>
      <c r="CH3977" s="48"/>
      <c r="CI3977" s="48"/>
      <c r="CJ3977" s="48"/>
      <c r="CK3977" s="48"/>
      <c r="CL3977" s="48"/>
      <c r="CM3977" s="48"/>
      <c r="CN3977" s="48"/>
      <c r="CO3977" s="48"/>
      <c r="CP3977" s="48"/>
      <c r="CQ3977" s="48"/>
      <c r="CR3977" s="48"/>
      <c r="CS3977" s="48"/>
      <c r="CT3977" s="48"/>
      <c r="CU3977" s="48"/>
      <c r="CV3977" s="48"/>
      <c r="CW3977" s="48"/>
      <c r="CX3977" s="48"/>
      <c r="CY3977" s="48"/>
      <c r="CZ3977" s="48"/>
    </row>
    <row r="3978" spans="27:104" s="4" customFormat="1" x14ac:dyDescent="0.3">
      <c r="AA3978" s="48"/>
      <c r="AB3978" s="48"/>
      <c r="AC3978" s="48"/>
      <c r="AD3978" s="48"/>
      <c r="AE3978" s="48"/>
      <c r="AF3978" s="48"/>
      <c r="AG3978" s="48"/>
      <c r="AH3978" s="48"/>
      <c r="AI3978" s="48"/>
      <c r="AJ3978" s="48"/>
      <c r="AK3978" s="48"/>
      <c r="AL3978" s="48"/>
      <c r="AM3978" s="48"/>
      <c r="AN3978" s="48"/>
      <c r="AO3978" s="48"/>
      <c r="AP3978" s="48"/>
      <c r="AQ3978" s="48"/>
      <c r="AR3978" s="48"/>
      <c r="AS3978" s="48"/>
      <c r="AT3978" s="48"/>
      <c r="AU3978" s="48"/>
      <c r="AV3978" s="48"/>
      <c r="AW3978" s="48"/>
      <c r="AX3978" s="48"/>
      <c r="AY3978" s="48"/>
      <c r="AZ3978" s="48"/>
      <c r="BA3978" s="48"/>
      <c r="BB3978" s="14"/>
      <c r="BC3978" s="48"/>
      <c r="BD3978" s="48"/>
      <c r="BE3978" s="48"/>
      <c r="BF3978" s="48"/>
      <c r="BG3978" s="48"/>
      <c r="BH3978" s="48"/>
      <c r="BI3978" s="48"/>
      <c r="BJ3978" s="48"/>
      <c r="BK3978" s="48"/>
      <c r="BL3978" s="48"/>
      <c r="BM3978" s="48"/>
      <c r="BN3978" s="48"/>
      <c r="BO3978" s="48"/>
      <c r="BP3978" s="48"/>
      <c r="BQ3978" s="48"/>
      <c r="BR3978" s="48"/>
      <c r="BS3978" s="48"/>
      <c r="BT3978" s="48"/>
      <c r="BU3978" s="48"/>
      <c r="BV3978" s="48"/>
      <c r="BW3978" s="48"/>
      <c r="BX3978" s="48"/>
      <c r="BY3978" s="48"/>
      <c r="BZ3978" s="48"/>
      <c r="CA3978" s="48"/>
      <c r="CB3978" s="48"/>
      <c r="CC3978" s="48"/>
      <c r="CD3978" s="48"/>
      <c r="CE3978" s="48"/>
      <c r="CF3978" s="48"/>
      <c r="CG3978" s="48"/>
      <c r="CH3978" s="48"/>
      <c r="CI3978" s="48"/>
      <c r="CJ3978" s="48"/>
      <c r="CK3978" s="48"/>
      <c r="CL3978" s="48"/>
      <c r="CM3978" s="48"/>
      <c r="CN3978" s="48"/>
      <c r="CO3978" s="48"/>
      <c r="CP3978" s="48"/>
      <c r="CQ3978" s="48"/>
      <c r="CR3978" s="48"/>
      <c r="CS3978" s="48"/>
      <c r="CT3978" s="48"/>
      <c r="CU3978" s="48"/>
      <c r="CV3978" s="48"/>
      <c r="CW3978" s="48"/>
      <c r="CX3978" s="48"/>
      <c r="CY3978" s="48"/>
      <c r="CZ3978" s="48"/>
    </row>
    <row r="3979" spans="27:104" s="4" customFormat="1" x14ac:dyDescent="0.3">
      <c r="AA3979" s="48"/>
      <c r="AB3979" s="48"/>
      <c r="AC3979" s="48"/>
      <c r="AD3979" s="48"/>
      <c r="AE3979" s="48"/>
      <c r="AF3979" s="48"/>
      <c r="AG3979" s="48"/>
      <c r="AH3979" s="48"/>
      <c r="AI3979" s="48"/>
      <c r="AJ3979" s="48"/>
      <c r="AK3979" s="48"/>
      <c r="AL3979" s="48"/>
      <c r="AM3979" s="48"/>
      <c r="AN3979" s="48"/>
      <c r="AO3979" s="48"/>
      <c r="AP3979" s="48"/>
      <c r="AQ3979" s="48"/>
      <c r="AR3979" s="48"/>
      <c r="AS3979" s="48"/>
      <c r="AT3979" s="48"/>
      <c r="AU3979" s="48"/>
      <c r="AV3979" s="48"/>
      <c r="AW3979" s="48"/>
      <c r="AX3979" s="48"/>
      <c r="AY3979" s="48"/>
      <c r="AZ3979" s="48"/>
      <c r="BA3979" s="48"/>
      <c r="BB3979" s="14"/>
      <c r="BC3979" s="48"/>
      <c r="BD3979" s="48"/>
      <c r="BE3979" s="48"/>
      <c r="BF3979" s="48"/>
      <c r="BG3979" s="48"/>
      <c r="BH3979" s="48"/>
      <c r="BI3979" s="48"/>
      <c r="BJ3979" s="48"/>
      <c r="BK3979" s="48"/>
      <c r="BL3979" s="48"/>
      <c r="BM3979" s="48"/>
      <c r="BN3979" s="48"/>
      <c r="BO3979" s="48"/>
      <c r="BP3979" s="48"/>
      <c r="BQ3979" s="48"/>
      <c r="BR3979" s="48"/>
      <c r="BS3979" s="48"/>
      <c r="BT3979" s="48"/>
      <c r="BU3979" s="48"/>
      <c r="BV3979" s="48"/>
      <c r="BW3979" s="48"/>
      <c r="BX3979" s="48"/>
      <c r="BY3979" s="48"/>
      <c r="BZ3979" s="48"/>
      <c r="CA3979" s="48"/>
      <c r="CB3979" s="48"/>
      <c r="CC3979" s="48"/>
      <c r="CD3979" s="48"/>
      <c r="CE3979" s="48"/>
      <c r="CF3979" s="48"/>
      <c r="CG3979" s="48"/>
      <c r="CH3979" s="48"/>
      <c r="CI3979" s="48"/>
      <c r="CJ3979" s="48"/>
      <c r="CK3979" s="48"/>
      <c r="CL3979" s="48"/>
      <c r="CM3979" s="48"/>
      <c r="CN3979" s="48"/>
      <c r="CO3979" s="48"/>
      <c r="CP3979" s="48"/>
      <c r="CQ3979" s="48"/>
      <c r="CR3979" s="48"/>
      <c r="CS3979" s="48"/>
      <c r="CT3979" s="48"/>
      <c r="CU3979" s="48"/>
      <c r="CV3979" s="48"/>
      <c r="CW3979" s="48"/>
      <c r="CX3979" s="48"/>
      <c r="CY3979" s="48"/>
      <c r="CZ3979" s="48"/>
    </row>
    <row r="3980" spans="27:104" s="4" customFormat="1" x14ac:dyDescent="0.3">
      <c r="AA3980" s="48"/>
      <c r="AB3980" s="48"/>
      <c r="AC3980" s="48"/>
      <c r="AD3980" s="48"/>
      <c r="AE3980" s="48"/>
      <c r="AF3980" s="48"/>
      <c r="AG3980" s="48"/>
      <c r="AH3980" s="48"/>
      <c r="AI3980" s="48"/>
      <c r="AJ3980" s="48"/>
      <c r="AK3980" s="48"/>
      <c r="AL3980" s="48"/>
      <c r="AM3980" s="48"/>
      <c r="AN3980" s="48"/>
      <c r="AO3980" s="48"/>
      <c r="AP3980" s="48"/>
      <c r="AQ3980" s="48"/>
      <c r="AR3980" s="48"/>
      <c r="AS3980" s="48"/>
      <c r="AT3980" s="48"/>
      <c r="AU3980" s="48"/>
      <c r="AV3980" s="48"/>
      <c r="AW3980" s="48"/>
      <c r="AX3980" s="48"/>
      <c r="AY3980" s="48"/>
      <c r="AZ3980" s="48"/>
      <c r="BA3980" s="48"/>
      <c r="BB3980" s="14"/>
      <c r="BC3980" s="48"/>
      <c r="BD3980" s="48"/>
      <c r="BE3980" s="48"/>
      <c r="BF3980" s="48"/>
      <c r="BG3980" s="48"/>
      <c r="BH3980" s="48"/>
      <c r="BI3980" s="48"/>
      <c r="BJ3980" s="48"/>
      <c r="BK3980" s="48"/>
      <c r="BL3980" s="48"/>
      <c r="BM3980" s="48"/>
      <c r="BN3980" s="48"/>
      <c r="BO3980" s="48"/>
      <c r="BP3980" s="48"/>
      <c r="BQ3980" s="48"/>
      <c r="BR3980" s="48"/>
      <c r="BS3980" s="48"/>
      <c r="BT3980" s="48"/>
      <c r="BU3980" s="48"/>
      <c r="BV3980" s="48"/>
      <c r="BW3980" s="48"/>
      <c r="BX3980" s="48"/>
      <c r="BY3980" s="48"/>
      <c r="BZ3980" s="48"/>
      <c r="CA3980" s="48"/>
      <c r="CB3980" s="48"/>
      <c r="CC3980" s="48"/>
      <c r="CD3980" s="48"/>
      <c r="CE3980" s="48"/>
      <c r="CF3980" s="48"/>
      <c r="CG3980" s="48"/>
      <c r="CH3980" s="48"/>
      <c r="CI3980" s="48"/>
      <c r="CJ3980" s="48"/>
      <c r="CK3980" s="48"/>
      <c r="CL3980" s="48"/>
      <c r="CM3980" s="48"/>
      <c r="CN3980" s="48"/>
      <c r="CO3980" s="48"/>
      <c r="CP3980" s="48"/>
      <c r="CQ3980" s="48"/>
      <c r="CR3980" s="48"/>
      <c r="CS3980" s="48"/>
      <c r="CT3980" s="48"/>
      <c r="CU3980" s="48"/>
      <c r="CV3980" s="48"/>
      <c r="CW3980" s="48"/>
      <c r="CX3980" s="48"/>
      <c r="CY3980" s="48"/>
      <c r="CZ3980" s="48"/>
    </row>
    <row r="3981" spans="27:104" s="4" customFormat="1" x14ac:dyDescent="0.3">
      <c r="AA3981" s="48"/>
      <c r="AB3981" s="48"/>
      <c r="AC3981" s="48"/>
      <c r="AD3981" s="48"/>
      <c r="AE3981" s="48"/>
      <c r="AF3981" s="48"/>
      <c r="AG3981" s="48"/>
      <c r="AH3981" s="48"/>
      <c r="AI3981" s="48"/>
      <c r="AJ3981" s="48"/>
      <c r="AK3981" s="48"/>
      <c r="AL3981" s="48"/>
      <c r="AM3981" s="48"/>
      <c r="AN3981" s="48"/>
      <c r="AO3981" s="48"/>
      <c r="AP3981" s="48"/>
      <c r="AQ3981" s="48"/>
      <c r="AR3981" s="48"/>
      <c r="AS3981" s="48"/>
      <c r="AT3981" s="48"/>
      <c r="AU3981" s="48"/>
      <c r="AV3981" s="48"/>
      <c r="AW3981" s="48"/>
      <c r="AX3981" s="48"/>
      <c r="AY3981" s="48"/>
      <c r="AZ3981" s="48"/>
      <c r="BA3981" s="48"/>
      <c r="BB3981" s="14"/>
      <c r="BC3981" s="48"/>
      <c r="BD3981" s="48"/>
      <c r="BE3981" s="48"/>
      <c r="BF3981" s="48"/>
      <c r="BG3981" s="48"/>
      <c r="BH3981" s="48"/>
      <c r="BI3981" s="48"/>
      <c r="BJ3981" s="48"/>
      <c r="BK3981" s="48"/>
      <c r="BL3981" s="48"/>
      <c r="BM3981" s="48"/>
      <c r="BN3981" s="48"/>
      <c r="BO3981" s="48"/>
      <c r="BP3981" s="48"/>
      <c r="BQ3981" s="48"/>
      <c r="BR3981" s="48"/>
      <c r="BS3981" s="48"/>
      <c r="BT3981" s="48"/>
      <c r="BU3981" s="48"/>
      <c r="BV3981" s="48"/>
      <c r="BW3981" s="48"/>
      <c r="BX3981" s="48"/>
      <c r="BY3981" s="48"/>
      <c r="BZ3981" s="48"/>
      <c r="CA3981" s="48"/>
      <c r="CB3981" s="48"/>
      <c r="CC3981" s="48"/>
      <c r="CD3981" s="48"/>
      <c r="CE3981" s="48"/>
      <c r="CF3981" s="48"/>
      <c r="CG3981" s="48"/>
      <c r="CH3981" s="48"/>
      <c r="CI3981" s="48"/>
      <c r="CJ3981" s="48"/>
      <c r="CK3981" s="48"/>
      <c r="CL3981" s="48"/>
      <c r="CM3981" s="48"/>
      <c r="CN3981" s="48"/>
      <c r="CO3981" s="48"/>
      <c r="CP3981" s="48"/>
      <c r="CQ3981" s="48"/>
      <c r="CR3981" s="48"/>
      <c r="CS3981" s="48"/>
      <c r="CT3981" s="48"/>
      <c r="CU3981" s="48"/>
      <c r="CV3981" s="48"/>
      <c r="CW3981" s="48"/>
      <c r="CX3981" s="48"/>
      <c r="CY3981" s="48"/>
      <c r="CZ3981" s="48"/>
    </row>
    <row r="3982" spans="27:104" s="4" customFormat="1" x14ac:dyDescent="0.3">
      <c r="AA3982" s="48"/>
      <c r="AB3982" s="48"/>
      <c r="AC3982" s="48"/>
      <c r="AD3982" s="48"/>
      <c r="AE3982" s="48"/>
      <c r="AF3982" s="48"/>
      <c r="AG3982" s="48"/>
      <c r="AH3982" s="48"/>
      <c r="AI3982" s="48"/>
      <c r="AJ3982" s="48"/>
      <c r="AK3982" s="48"/>
      <c r="AL3982" s="48"/>
      <c r="AM3982" s="48"/>
      <c r="AN3982" s="48"/>
      <c r="AO3982" s="48"/>
      <c r="AP3982" s="48"/>
      <c r="AQ3982" s="48"/>
      <c r="AR3982" s="48"/>
      <c r="AS3982" s="48"/>
      <c r="AT3982" s="48"/>
      <c r="AU3982" s="48"/>
      <c r="AV3982" s="48"/>
      <c r="AW3982" s="48"/>
      <c r="AX3982" s="48"/>
      <c r="AY3982" s="48"/>
      <c r="AZ3982" s="48"/>
      <c r="BA3982" s="48"/>
      <c r="BB3982" s="14"/>
      <c r="BC3982" s="48"/>
      <c r="BD3982" s="48"/>
      <c r="BE3982" s="48"/>
      <c r="BF3982" s="48"/>
      <c r="BG3982" s="48"/>
      <c r="BH3982" s="48"/>
      <c r="BI3982" s="48"/>
      <c r="BJ3982" s="48"/>
      <c r="BK3982" s="48"/>
      <c r="BL3982" s="48"/>
      <c r="BM3982" s="48"/>
      <c r="BN3982" s="48"/>
      <c r="BO3982" s="48"/>
      <c r="BP3982" s="48"/>
      <c r="BQ3982" s="48"/>
      <c r="BR3982" s="48"/>
      <c r="BS3982" s="48"/>
      <c r="BT3982" s="48"/>
      <c r="BU3982" s="48"/>
      <c r="BV3982" s="48"/>
      <c r="BW3982" s="48"/>
      <c r="BX3982" s="48"/>
      <c r="BY3982" s="48"/>
      <c r="BZ3982" s="48"/>
      <c r="CA3982" s="48"/>
      <c r="CB3982" s="48"/>
      <c r="CC3982" s="48"/>
      <c r="CD3982" s="48"/>
      <c r="CE3982" s="48"/>
      <c r="CF3982" s="48"/>
      <c r="CG3982" s="48"/>
      <c r="CH3982" s="48"/>
      <c r="CI3982" s="48"/>
      <c r="CJ3982" s="48"/>
      <c r="CK3982" s="48"/>
      <c r="CL3982" s="48"/>
      <c r="CM3982" s="48"/>
      <c r="CN3982" s="48"/>
      <c r="CO3982" s="48"/>
      <c r="CP3982" s="48"/>
      <c r="CQ3982" s="48"/>
      <c r="CR3982" s="48"/>
      <c r="CS3982" s="48"/>
      <c r="CT3982" s="48"/>
      <c r="CU3982" s="48"/>
      <c r="CV3982" s="48"/>
      <c r="CW3982" s="48"/>
      <c r="CX3982" s="48"/>
      <c r="CY3982" s="48"/>
      <c r="CZ3982" s="48"/>
    </row>
    <row r="3983" spans="27:104" s="4" customFormat="1" x14ac:dyDescent="0.3">
      <c r="AA3983" s="48"/>
      <c r="AB3983" s="48"/>
      <c r="AC3983" s="48"/>
      <c r="AD3983" s="48"/>
      <c r="AE3983" s="48"/>
      <c r="AF3983" s="48"/>
      <c r="AG3983" s="48"/>
      <c r="AH3983" s="48"/>
      <c r="AI3983" s="48"/>
      <c r="AJ3983" s="48"/>
      <c r="AK3983" s="48"/>
      <c r="AL3983" s="48"/>
      <c r="AM3983" s="48"/>
      <c r="AN3983" s="48"/>
      <c r="AO3983" s="48"/>
      <c r="AP3983" s="48"/>
      <c r="AQ3983" s="48"/>
      <c r="AR3983" s="48"/>
      <c r="AS3983" s="48"/>
      <c r="AT3983" s="48"/>
      <c r="AU3983" s="48"/>
      <c r="AV3983" s="48"/>
      <c r="AW3983" s="48"/>
      <c r="AX3983" s="48"/>
      <c r="AY3983" s="48"/>
      <c r="AZ3983" s="48"/>
      <c r="BA3983" s="48"/>
      <c r="BB3983" s="14"/>
      <c r="BC3983" s="48"/>
      <c r="BD3983" s="48"/>
      <c r="BE3983" s="48"/>
      <c r="BF3983" s="48"/>
      <c r="BG3983" s="48"/>
      <c r="BH3983" s="48"/>
      <c r="BI3983" s="48"/>
      <c r="BJ3983" s="48"/>
      <c r="BK3983" s="48"/>
      <c r="BL3983" s="48"/>
      <c r="BM3983" s="48"/>
      <c r="BN3983" s="48"/>
      <c r="BO3983" s="48"/>
      <c r="BP3983" s="48"/>
      <c r="BQ3983" s="48"/>
      <c r="BR3983" s="48"/>
      <c r="BS3983" s="48"/>
      <c r="BT3983" s="48"/>
      <c r="BU3983" s="48"/>
      <c r="BV3983" s="48"/>
      <c r="BW3983" s="48"/>
      <c r="BX3983" s="48"/>
      <c r="BY3983" s="48"/>
      <c r="BZ3983" s="48"/>
      <c r="CA3983" s="48"/>
      <c r="CB3983" s="48"/>
      <c r="CC3983" s="48"/>
      <c r="CD3983" s="48"/>
      <c r="CE3983" s="48"/>
      <c r="CF3983" s="48"/>
      <c r="CG3983" s="48"/>
      <c r="CH3983" s="48"/>
      <c r="CI3983" s="48"/>
      <c r="CJ3983" s="48"/>
      <c r="CK3983" s="48"/>
      <c r="CL3983" s="48"/>
      <c r="CM3983" s="48"/>
      <c r="CN3983" s="48"/>
      <c r="CO3983" s="48"/>
      <c r="CP3983" s="48"/>
      <c r="CQ3983" s="48"/>
      <c r="CR3983" s="48"/>
      <c r="CS3983" s="48"/>
      <c r="CT3983" s="48"/>
      <c r="CU3983" s="48"/>
      <c r="CV3983" s="48"/>
      <c r="CW3983" s="48"/>
      <c r="CX3983" s="48"/>
      <c r="CY3983" s="48"/>
      <c r="CZ3983" s="48"/>
    </row>
    <row r="3984" spans="27:104" s="4" customFormat="1" x14ac:dyDescent="0.3">
      <c r="AA3984" s="48"/>
      <c r="AB3984" s="48"/>
      <c r="AC3984" s="48"/>
      <c r="AD3984" s="48"/>
      <c r="AE3984" s="48"/>
      <c r="AF3984" s="48"/>
      <c r="AG3984" s="48"/>
      <c r="AH3984" s="48"/>
      <c r="AI3984" s="48"/>
      <c r="AJ3984" s="48"/>
      <c r="AK3984" s="48"/>
      <c r="AL3984" s="48"/>
      <c r="AM3984" s="48"/>
      <c r="AN3984" s="48"/>
      <c r="AO3984" s="48"/>
      <c r="AP3984" s="48"/>
      <c r="AQ3984" s="48"/>
      <c r="AR3984" s="48"/>
      <c r="AS3984" s="48"/>
      <c r="AT3984" s="48"/>
      <c r="AU3984" s="48"/>
      <c r="AV3984" s="48"/>
      <c r="AW3984" s="48"/>
      <c r="AX3984" s="48"/>
      <c r="AY3984" s="48"/>
      <c r="AZ3984" s="48"/>
      <c r="BA3984" s="48"/>
      <c r="BB3984" s="14"/>
      <c r="BC3984" s="48"/>
      <c r="BD3984" s="48"/>
      <c r="BE3984" s="48"/>
      <c r="BF3984" s="48"/>
      <c r="BG3984" s="48"/>
      <c r="BH3984" s="48"/>
      <c r="BI3984" s="48"/>
      <c r="BJ3984" s="48"/>
      <c r="BK3984" s="48"/>
      <c r="BL3984" s="48"/>
      <c r="BM3984" s="48"/>
      <c r="BN3984" s="48"/>
      <c r="BO3984" s="48"/>
      <c r="BP3984" s="48"/>
      <c r="BQ3984" s="48"/>
      <c r="BR3984" s="48"/>
      <c r="BS3984" s="48"/>
      <c r="BT3984" s="48"/>
      <c r="BU3984" s="48"/>
      <c r="BV3984" s="48"/>
      <c r="BW3984" s="48"/>
      <c r="BX3984" s="48"/>
      <c r="BY3984" s="48"/>
      <c r="BZ3984" s="48"/>
      <c r="CA3984" s="48"/>
      <c r="CB3984" s="48"/>
      <c r="CC3984" s="48"/>
      <c r="CD3984" s="48"/>
      <c r="CE3984" s="48"/>
      <c r="CF3984" s="48"/>
      <c r="CG3984" s="48"/>
      <c r="CH3984" s="48"/>
      <c r="CI3984" s="48"/>
      <c r="CJ3984" s="48"/>
      <c r="CK3984" s="48"/>
      <c r="CL3984" s="48"/>
      <c r="CM3984" s="48"/>
      <c r="CN3984" s="48"/>
      <c r="CO3984" s="48"/>
      <c r="CP3984" s="48"/>
      <c r="CQ3984" s="48"/>
      <c r="CR3984" s="48"/>
      <c r="CS3984" s="48"/>
      <c r="CT3984" s="48"/>
      <c r="CU3984" s="48"/>
      <c r="CV3984" s="48"/>
      <c r="CW3984" s="48"/>
      <c r="CX3984" s="48"/>
      <c r="CY3984" s="48"/>
      <c r="CZ3984" s="48"/>
    </row>
    <row r="3985" spans="27:104" s="4" customFormat="1" x14ac:dyDescent="0.3">
      <c r="AA3985" s="48"/>
      <c r="AB3985" s="48"/>
      <c r="AC3985" s="48"/>
      <c r="AD3985" s="48"/>
      <c r="AE3985" s="48"/>
      <c r="AF3985" s="48"/>
      <c r="AG3985" s="48"/>
      <c r="AH3985" s="48"/>
      <c r="AI3985" s="48"/>
      <c r="AJ3985" s="48"/>
      <c r="AK3985" s="48"/>
      <c r="AL3985" s="48"/>
      <c r="AM3985" s="48"/>
      <c r="AN3985" s="48"/>
      <c r="AO3985" s="48"/>
      <c r="AP3985" s="48"/>
      <c r="AQ3985" s="48"/>
      <c r="AR3985" s="48"/>
      <c r="AS3985" s="48"/>
      <c r="AT3985" s="48"/>
      <c r="AU3985" s="48"/>
      <c r="AV3985" s="48"/>
      <c r="AW3985" s="48"/>
      <c r="AX3985" s="48"/>
      <c r="AY3985" s="48"/>
      <c r="AZ3985" s="48"/>
      <c r="BA3985" s="48"/>
      <c r="BB3985" s="14"/>
      <c r="BC3985" s="48"/>
      <c r="BD3985" s="48"/>
      <c r="BE3985" s="48"/>
      <c r="BF3985" s="48"/>
      <c r="BG3985" s="48"/>
      <c r="BH3985" s="48"/>
      <c r="BI3985" s="48"/>
      <c r="BJ3985" s="48"/>
      <c r="BK3985" s="48"/>
      <c r="BL3985" s="48"/>
      <c r="BM3985" s="48"/>
      <c r="BN3985" s="48"/>
      <c r="BO3985" s="48"/>
      <c r="BP3985" s="48"/>
      <c r="BQ3985" s="48"/>
      <c r="BR3985" s="48"/>
      <c r="BS3985" s="48"/>
      <c r="BT3985" s="48"/>
      <c r="BU3985" s="48"/>
      <c r="BV3985" s="48"/>
      <c r="BW3985" s="48"/>
      <c r="BX3985" s="48"/>
      <c r="BY3985" s="48"/>
      <c r="BZ3985" s="48"/>
      <c r="CA3985" s="48"/>
      <c r="CB3985" s="48"/>
      <c r="CC3985" s="48"/>
      <c r="CD3985" s="48"/>
      <c r="CE3985" s="48"/>
      <c r="CF3985" s="48"/>
      <c r="CG3985" s="48"/>
      <c r="CH3985" s="48"/>
      <c r="CI3985" s="48"/>
      <c r="CJ3985" s="48"/>
      <c r="CK3985" s="48"/>
      <c r="CL3985" s="48"/>
      <c r="CM3985" s="48"/>
      <c r="CN3985" s="48"/>
      <c r="CO3985" s="48"/>
      <c r="CP3985" s="48"/>
      <c r="CQ3985" s="48"/>
      <c r="CR3985" s="48"/>
      <c r="CS3985" s="48"/>
      <c r="CT3985" s="48"/>
      <c r="CU3985" s="48"/>
      <c r="CV3985" s="48"/>
      <c r="CW3985" s="48"/>
      <c r="CX3985" s="48"/>
      <c r="CY3985" s="48"/>
      <c r="CZ3985" s="48"/>
    </row>
    <row r="3986" spans="27:104" s="4" customFormat="1" x14ac:dyDescent="0.3">
      <c r="AA3986" s="48"/>
      <c r="AB3986" s="48"/>
      <c r="AC3986" s="48"/>
      <c r="AD3986" s="48"/>
      <c r="AE3986" s="48"/>
      <c r="AF3986" s="48"/>
      <c r="AG3986" s="48"/>
      <c r="AH3986" s="48"/>
      <c r="AI3986" s="48"/>
      <c r="AJ3986" s="48"/>
      <c r="AK3986" s="48"/>
      <c r="AL3986" s="48"/>
      <c r="AM3986" s="48"/>
      <c r="AN3986" s="48"/>
      <c r="AO3986" s="48"/>
      <c r="AP3986" s="48"/>
      <c r="AQ3986" s="48"/>
      <c r="AR3986" s="48"/>
      <c r="AS3986" s="48"/>
      <c r="AT3986" s="48"/>
      <c r="AU3986" s="48"/>
      <c r="AV3986" s="48"/>
      <c r="AW3986" s="48"/>
      <c r="AX3986" s="48"/>
      <c r="AY3986" s="48"/>
      <c r="AZ3986" s="48"/>
      <c r="BA3986" s="48"/>
      <c r="BB3986" s="14"/>
      <c r="BC3986" s="48"/>
      <c r="BD3986" s="48"/>
      <c r="BE3986" s="48"/>
      <c r="BF3986" s="48"/>
      <c r="BG3986" s="48"/>
      <c r="BH3986" s="48"/>
      <c r="BI3986" s="48"/>
      <c r="BJ3986" s="48"/>
      <c r="BK3986" s="48"/>
      <c r="BL3986" s="48"/>
      <c r="BM3986" s="48"/>
      <c r="BN3986" s="48"/>
      <c r="BO3986" s="48"/>
      <c r="BP3986" s="48"/>
      <c r="BQ3986" s="48"/>
      <c r="BR3986" s="48"/>
      <c r="BS3986" s="48"/>
      <c r="BT3986" s="48"/>
      <c r="BU3986" s="48"/>
      <c r="BV3986" s="48"/>
      <c r="BW3986" s="48"/>
      <c r="BX3986" s="48"/>
      <c r="BY3986" s="48"/>
      <c r="BZ3986" s="48"/>
      <c r="CA3986" s="48"/>
      <c r="CB3986" s="48"/>
      <c r="CC3986" s="48"/>
      <c r="CD3986" s="48"/>
      <c r="CE3986" s="48"/>
      <c r="CF3986" s="48"/>
      <c r="CG3986" s="48"/>
      <c r="CH3986" s="48"/>
      <c r="CI3986" s="48"/>
      <c r="CJ3986" s="48"/>
      <c r="CK3986" s="48"/>
      <c r="CL3986" s="48"/>
      <c r="CM3986" s="48"/>
      <c r="CN3986" s="48"/>
      <c r="CO3986" s="48"/>
      <c r="CP3986" s="48"/>
      <c r="CQ3986" s="48"/>
      <c r="CR3986" s="48"/>
      <c r="CS3986" s="48"/>
      <c r="CT3986" s="48"/>
      <c r="CU3986" s="48"/>
      <c r="CV3986" s="48"/>
      <c r="CW3986" s="48"/>
      <c r="CX3986" s="48"/>
      <c r="CY3986" s="48"/>
      <c r="CZ3986" s="48"/>
    </row>
    <row r="3987" spans="27:104" s="4" customFormat="1" x14ac:dyDescent="0.3">
      <c r="AA3987" s="48"/>
      <c r="AB3987" s="48"/>
      <c r="AC3987" s="48"/>
      <c r="AD3987" s="48"/>
      <c r="AE3987" s="48"/>
      <c r="AF3987" s="48"/>
      <c r="AG3987" s="48"/>
      <c r="AH3987" s="48"/>
      <c r="AI3987" s="48"/>
      <c r="AJ3987" s="48"/>
      <c r="AK3987" s="48"/>
      <c r="AL3987" s="48"/>
      <c r="AM3987" s="48"/>
      <c r="AN3987" s="48"/>
      <c r="AO3987" s="48"/>
      <c r="AP3987" s="48"/>
      <c r="AQ3987" s="48"/>
      <c r="AR3987" s="48"/>
      <c r="AS3987" s="48"/>
      <c r="AT3987" s="48"/>
      <c r="AU3987" s="48"/>
      <c r="AV3987" s="48"/>
      <c r="AW3987" s="48"/>
      <c r="AX3987" s="48"/>
      <c r="AY3987" s="48"/>
      <c r="AZ3987" s="48"/>
      <c r="BA3987" s="48"/>
      <c r="BB3987" s="14"/>
      <c r="BC3987" s="48"/>
      <c r="BD3987" s="48"/>
      <c r="BE3987" s="48"/>
      <c r="BF3987" s="48"/>
      <c r="BG3987" s="48"/>
      <c r="BH3987" s="48"/>
      <c r="BI3987" s="48"/>
      <c r="BJ3987" s="48"/>
      <c r="BK3987" s="48"/>
      <c r="BL3987" s="48"/>
      <c r="BM3987" s="48"/>
      <c r="BN3987" s="48"/>
      <c r="BO3987" s="48"/>
      <c r="BP3987" s="48"/>
      <c r="BQ3987" s="48"/>
      <c r="BR3987" s="48"/>
      <c r="BS3987" s="48"/>
      <c r="BT3987" s="48"/>
      <c r="BU3987" s="48"/>
      <c r="BV3987" s="48"/>
      <c r="BW3987" s="48"/>
      <c r="BX3987" s="48"/>
      <c r="BY3987" s="48"/>
      <c r="BZ3987" s="48"/>
      <c r="CA3987" s="48"/>
      <c r="CB3987" s="48"/>
      <c r="CC3987" s="48"/>
      <c r="CD3987" s="48"/>
      <c r="CE3987" s="48"/>
      <c r="CF3987" s="48"/>
      <c r="CG3987" s="48"/>
      <c r="CH3987" s="48"/>
      <c r="CI3987" s="48"/>
      <c r="CJ3987" s="48"/>
      <c r="CK3987" s="48"/>
      <c r="CL3987" s="48"/>
      <c r="CM3987" s="48"/>
      <c r="CN3987" s="48"/>
      <c r="CO3987" s="48"/>
      <c r="CP3987" s="48"/>
      <c r="CQ3987" s="48"/>
      <c r="CR3987" s="48"/>
      <c r="CS3987" s="48"/>
      <c r="CT3987" s="48"/>
      <c r="CU3987" s="48"/>
      <c r="CV3987" s="48"/>
      <c r="CW3987" s="48"/>
      <c r="CX3987" s="48"/>
      <c r="CY3987" s="48"/>
      <c r="CZ3987" s="48"/>
    </row>
    <row r="3988" spans="27:104" s="4" customFormat="1" x14ac:dyDescent="0.3">
      <c r="AA3988" s="48"/>
      <c r="AB3988" s="48"/>
      <c r="AC3988" s="48"/>
      <c r="AD3988" s="48"/>
      <c r="AE3988" s="48"/>
      <c r="AF3988" s="48"/>
      <c r="AG3988" s="48"/>
      <c r="AH3988" s="48"/>
      <c r="AI3988" s="48"/>
      <c r="AJ3988" s="48"/>
      <c r="AK3988" s="48"/>
      <c r="AL3988" s="48"/>
      <c r="AM3988" s="48"/>
      <c r="AN3988" s="48"/>
      <c r="AO3988" s="48"/>
      <c r="AP3988" s="48"/>
      <c r="AQ3988" s="48"/>
      <c r="AR3988" s="48"/>
      <c r="AS3988" s="48"/>
      <c r="AT3988" s="48"/>
      <c r="AU3988" s="48"/>
      <c r="AV3988" s="48"/>
      <c r="AW3988" s="48"/>
      <c r="AX3988" s="48"/>
      <c r="AY3988" s="48"/>
      <c r="AZ3988" s="48"/>
      <c r="BA3988" s="48"/>
      <c r="BB3988" s="14"/>
      <c r="BC3988" s="48"/>
      <c r="BD3988" s="48"/>
      <c r="BE3988" s="48"/>
      <c r="BF3988" s="48"/>
      <c r="BG3988" s="48"/>
      <c r="BH3988" s="48"/>
      <c r="BI3988" s="48"/>
      <c r="BJ3988" s="48"/>
      <c r="BK3988" s="48"/>
      <c r="BL3988" s="48"/>
      <c r="BM3988" s="48"/>
      <c r="BN3988" s="48"/>
      <c r="BO3988" s="48"/>
      <c r="BP3988" s="48"/>
      <c r="BQ3988" s="48"/>
      <c r="BR3988" s="48"/>
      <c r="BS3988" s="48"/>
      <c r="BT3988" s="48"/>
      <c r="BU3988" s="48"/>
      <c r="BV3988" s="48"/>
      <c r="BW3988" s="48"/>
      <c r="BX3988" s="48"/>
      <c r="BY3988" s="48"/>
      <c r="BZ3988" s="48"/>
      <c r="CA3988" s="48"/>
      <c r="CB3988" s="48"/>
      <c r="CC3988" s="48"/>
      <c r="CD3988" s="48"/>
      <c r="CE3988" s="48"/>
      <c r="CF3988" s="48"/>
      <c r="CG3988" s="48"/>
      <c r="CH3988" s="48"/>
      <c r="CI3988" s="48"/>
      <c r="CJ3988" s="48"/>
      <c r="CK3988" s="48"/>
      <c r="CL3988" s="48"/>
      <c r="CM3988" s="48"/>
      <c r="CN3988" s="48"/>
      <c r="CO3988" s="48"/>
      <c r="CP3988" s="48"/>
      <c r="CQ3988" s="48"/>
      <c r="CR3988" s="48"/>
      <c r="CS3988" s="48"/>
      <c r="CT3988" s="48"/>
      <c r="CU3988" s="48"/>
      <c r="CV3988" s="48"/>
      <c r="CW3988" s="48"/>
      <c r="CX3988" s="48"/>
      <c r="CY3988" s="48"/>
      <c r="CZ3988" s="48"/>
    </row>
    <row r="3989" spans="27:104" s="4" customFormat="1" x14ac:dyDescent="0.3">
      <c r="AA3989" s="48"/>
      <c r="AB3989" s="48"/>
      <c r="AC3989" s="48"/>
      <c r="AD3989" s="48"/>
      <c r="AE3989" s="48"/>
      <c r="AF3989" s="48"/>
      <c r="AG3989" s="48"/>
      <c r="AH3989" s="48"/>
      <c r="AI3989" s="48"/>
      <c r="AJ3989" s="48"/>
      <c r="AK3989" s="48"/>
      <c r="AL3989" s="48"/>
      <c r="AM3989" s="48"/>
      <c r="AN3989" s="48"/>
      <c r="AO3989" s="48"/>
      <c r="AP3989" s="48"/>
      <c r="AQ3989" s="48"/>
      <c r="AR3989" s="48"/>
      <c r="AS3989" s="48"/>
      <c r="AT3989" s="48"/>
      <c r="AU3989" s="48"/>
      <c r="AV3989" s="48"/>
      <c r="AW3989" s="48"/>
      <c r="AX3989" s="48"/>
      <c r="AY3989" s="48"/>
      <c r="AZ3989" s="48"/>
      <c r="BA3989" s="48"/>
      <c r="BB3989" s="14"/>
      <c r="BC3989" s="48"/>
      <c r="BD3989" s="48"/>
      <c r="BE3989" s="48"/>
      <c r="BF3989" s="48"/>
      <c r="BG3989" s="48"/>
      <c r="BH3989" s="48"/>
      <c r="BI3989" s="48"/>
      <c r="BJ3989" s="48"/>
      <c r="BK3989" s="48"/>
      <c r="BL3989" s="48"/>
      <c r="BM3989" s="48"/>
      <c r="BN3989" s="48"/>
      <c r="BO3989" s="48"/>
      <c r="BP3989" s="48"/>
      <c r="BQ3989" s="48"/>
      <c r="BR3989" s="48"/>
      <c r="BS3989" s="48"/>
      <c r="BT3989" s="48"/>
      <c r="BU3989" s="48"/>
      <c r="BV3989" s="48"/>
      <c r="BW3989" s="48"/>
      <c r="BX3989" s="48"/>
      <c r="BY3989" s="48"/>
      <c r="BZ3989" s="48"/>
      <c r="CA3989" s="48"/>
      <c r="CB3989" s="48"/>
      <c r="CC3989" s="48"/>
      <c r="CD3989" s="48"/>
      <c r="CE3989" s="48"/>
      <c r="CF3989" s="48"/>
      <c r="CG3989" s="48"/>
      <c r="CH3989" s="48"/>
      <c r="CI3989" s="48"/>
      <c r="CJ3989" s="48"/>
      <c r="CK3989" s="48"/>
      <c r="CL3989" s="48"/>
      <c r="CM3989" s="48"/>
      <c r="CN3989" s="48"/>
      <c r="CO3989" s="48"/>
      <c r="CP3989" s="48"/>
      <c r="CQ3989" s="48"/>
      <c r="CR3989" s="48"/>
      <c r="CS3989" s="48"/>
      <c r="CT3989" s="48"/>
      <c r="CU3989" s="48"/>
      <c r="CV3989" s="48"/>
      <c r="CW3989" s="48"/>
      <c r="CX3989" s="48"/>
      <c r="CY3989" s="48"/>
      <c r="CZ3989" s="48"/>
    </row>
    <row r="3990" spans="27:104" s="4" customFormat="1" x14ac:dyDescent="0.3">
      <c r="AA3990" s="48"/>
      <c r="AB3990" s="48"/>
      <c r="AC3990" s="48"/>
      <c r="AD3990" s="48"/>
      <c r="AE3990" s="48"/>
      <c r="AF3990" s="48"/>
      <c r="AG3990" s="48"/>
      <c r="AH3990" s="48"/>
      <c r="AI3990" s="48"/>
      <c r="AJ3990" s="48"/>
      <c r="AK3990" s="48"/>
      <c r="AL3990" s="48"/>
      <c r="AM3990" s="48"/>
      <c r="AN3990" s="48"/>
      <c r="AO3990" s="48"/>
      <c r="AP3990" s="48"/>
      <c r="AQ3990" s="48"/>
      <c r="AR3990" s="48"/>
      <c r="AS3990" s="48"/>
      <c r="AT3990" s="48"/>
      <c r="AU3990" s="48"/>
      <c r="AV3990" s="48"/>
      <c r="AW3990" s="48"/>
      <c r="AX3990" s="48"/>
      <c r="AY3990" s="48"/>
      <c r="AZ3990" s="48"/>
      <c r="BA3990" s="48"/>
      <c r="BB3990" s="14"/>
      <c r="BC3990" s="48"/>
      <c r="BD3990" s="48"/>
      <c r="BE3990" s="48"/>
      <c r="BF3990" s="48"/>
      <c r="BG3990" s="48"/>
      <c r="BH3990" s="48"/>
      <c r="BI3990" s="48"/>
      <c r="BJ3990" s="48"/>
      <c r="BK3990" s="48"/>
      <c r="BL3990" s="48"/>
      <c r="BM3990" s="48"/>
      <c r="BN3990" s="48"/>
      <c r="BO3990" s="48"/>
      <c r="BP3990" s="48"/>
      <c r="BQ3990" s="48"/>
      <c r="BR3990" s="48"/>
      <c r="BS3990" s="48"/>
      <c r="BT3990" s="48"/>
      <c r="BU3990" s="48"/>
      <c r="BV3990" s="48"/>
      <c r="BW3990" s="48"/>
      <c r="BX3990" s="48"/>
      <c r="BY3990" s="48"/>
      <c r="BZ3990" s="48"/>
      <c r="CA3990" s="48"/>
      <c r="CB3990" s="48"/>
      <c r="CC3990" s="48"/>
      <c r="CD3990" s="48"/>
      <c r="CE3990" s="48"/>
      <c r="CF3990" s="48"/>
      <c r="CG3990" s="48"/>
      <c r="CH3990" s="48"/>
      <c r="CI3990" s="48"/>
      <c r="CJ3990" s="48"/>
      <c r="CK3990" s="48"/>
      <c r="CL3990" s="48"/>
      <c r="CM3990" s="48"/>
      <c r="CN3990" s="48"/>
      <c r="CO3990" s="48"/>
      <c r="CP3990" s="48"/>
      <c r="CQ3990" s="48"/>
      <c r="CR3990" s="48"/>
      <c r="CS3990" s="48"/>
      <c r="CT3990" s="48"/>
      <c r="CU3990" s="48"/>
      <c r="CV3990" s="48"/>
      <c r="CW3990" s="48"/>
      <c r="CX3990" s="48"/>
      <c r="CY3990" s="48"/>
      <c r="CZ3990" s="48"/>
    </row>
    <row r="3991" spans="27:104" s="4" customFormat="1" x14ac:dyDescent="0.3">
      <c r="AA3991" s="48"/>
      <c r="AB3991" s="48"/>
      <c r="AC3991" s="48"/>
      <c r="AD3991" s="48"/>
      <c r="AE3991" s="48"/>
      <c r="AF3991" s="48"/>
      <c r="AG3991" s="48"/>
      <c r="AH3991" s="48"/>
      <c r="AI3991" s="48"/>
      <c r="AJ3991" s="48"/>
      <c r="AK3991" s="48"/>
      <c r="AL3991" s="48"/>
      <c r="AM3991" s="48"/>
      <c r="AN3991" s="48"/>
      <c r="AO3991" s="48"/>
      <c r="AP3991" s="48"/>
      <c r="AQ3991" s="48"/>
      <c r="AR3991" s="48"/>
      <c r="AS3991" s="48"/>
      <c r="AT3991" s="48"/>
      <c r="AU3991" s="48"/>
      <c r="AV3991" s="48"/>
      <c r="AW3991" s="48"/>
      <c r="AX3991" s="48"/>
      <c r="AY3991" s="48"/>
      <c r="AZ3991" s="48"/>
      <c r="BA3991" s="48"/>
      <c r="BB3991" s="14"/>
      <c r="BC3991" s="48"/>
      <c r="BD3991" s="48"/>
      <c r="BE3991" s="48"/>
      <c r="BF3991" s="48"/>
      <c r="BG3991" s="48"/>
      <c r="BH3991" s="48"/>
      <c r="BI3991" s="48"/>
      <c r="BJ3991" s="48"/>
      <c r="BK3991" s="48"/>
      <c r="BL3991" s="48"/>
      <c r="BM3991" s="48"/>
      <c r="BN3991" s="48"/>
      <c r="BO3991" s="48"/>
      <c r="BP3991" s="48"/>
      <c r="BQ3991" s="48"/>
      <c r="BR3991" s="48"/>
      <c r="BS3991" s="48"/>
      <c r="BT3991" s="48"/>
      <c r="BU3991" s="48"/>
      <c r="BV3991" s="48"/>
      <c r="BW3991" s="48"/>
      <c r="BX3991" s="48"/>
      <c r="BY3991" s="48"/>
      <c r="BZ3991" s="48"/>
      <c r="CA3991" s="48"/>
      <c r="CB3991" s="48"/>
      <c r="CC3991" s="48"/>
      <c r="CD3991" s="48"/>
      <c r="CE3991" s="48"/>
      <c r="CF3991" s="48"/>
      <c r="CG3991" s="48"/>
      <c r="CH3991" s="48"/>
      <c r="CI3991" s="48"/>
      <c r="CJ3991" s="48"/>
      <c r="CK3991" s="48"/>
      <c r="CL3991" s="48"/>
      <c r="CM3991" s="48"/>
      <c r="CN3991" s="48"/>
      <c r="CO3991" s="48"/>
      <c r="CP3991" s="48"/>
      <c r="CQ3991" s="48"/>
      <c r="CR3991" s="48"/>
      <c r="CS3991" s="48"/>
      <c r="CT3991" s="48"/>
      <c r="CU3991" s="48"/>
      <c r="CV3991" s="48"/>
      <c r="CW3991" s="48"/>
      <c r="CX3991" s="48"/>
      <c r="CY3991" s="48"/>
      <c r="CZ3991" s="48"/>
    </row>
    <row r="3992" spans="27:104" s="4" customFormat="1" x14ac:dyDescent="0.3">
      <c r="AA3992" s="48"/>
      <c r="AB3992" s="48"/>
      <c r="AC3992" s="48"/>
      <c r="AD3992" s="48"/>
      <c r="AE3992" s="48"/>
      <c r="AF3992" s="48"/>
      <c r="AG3992" s="48"/>
      <c r="AH3992" s="48"/>
      <c r="AI3992" s="48"/>
      <c r="AJ3992" s="48"/>
      <c r="AK3992" s="48"/>
      <c r="AL3992" s="48"/>
      <c r="AM3992" s="48"/>
      <c r="AN3992" s="48"/>
      <c r="AO3992" s="48"/>
      <c r="AP3992" s="48"/>
      <c r="AQ3992" s="48"/>
      <c r="AR3992" s="48"/>
      <c r="AS3992" s="48"/>
      <c r="AT3992" s="48"/>
      <c r="AU3992" s="48"/>
      <c r="AV3992" s="48"/>
      <c r="AW3992" s="48"/>
      <c r="AX3992" s="48"/>
      <c r="AY3992" s="48"/>
      <c r="AZ3992" s="48"/>
      <c r="BA3992" s="48"/>
      <c r="BB3992" s="14"/>
      <c r="BC3992" s="48"/>
      <c r="BD3992" s="48"/>
      <c r="BE3992" s="48"/>
      <c r="BF3992" s="48"/>
      <c r="BG3992" s="48"/>
      <c r="BH3992" s="48"/>
      <c r="BI3992" s="48"/>
      <c r="BJ3992" s="48"/>
      <c r="BK3992" s="48"/>
      <c r="BL3992" s="48"/>
      <c r="BM3992" s="48"/>
      <c r="BN3992" s="48"/>
      <c r="BO3992" s="48"/>
      <c r="BP3992" s="48"/>
      <c r="BQ3992" s="48"/>
      <c r="BR3992" s="48"/>
      <c r="BS3992" s="48"/>
      <c r="BT3992" s="48"/>
      <c r="BU3992" s="48"/>
      <c r="BV3992" s="48"/>
      <c r="BW3992" s="48"/>
      <c r="BX3992" s="48"/>
      <c r="BY3992" s="48"/>
      <c r="BZ3992" s="48"/>
      <c r="CA3992" s="48"/>
      <c r="CB3992" s="48"/>
      <c r="CC3992" s="48"/>
      <c r="CD3992" s="48"/>
      <c r="CE3992" s="48"/>
      <c r="CF3992" s="48"/>
      <c r="CG3992" s="48"/>
      <c r="CH3992" s="48"/>
      <c r="CI3992" s="48"/>
      <c r="CJ3992" s="48"/>
      <c r="CK3992" s="48"/>
      <c r="CL3992" s="48"/>
      <c r="CM3992" s="48"/>
      <c r="CN3992" s="48"/>
      <c r="CO3992" s="48"/>
      <c r="CP3992" s="48"/>
      <c r="CQ3992" s="48"/>
      <c r="CR3992" s="48"/>
      <c r="CS3992" s="48"/>
      <c r="CT3992" s="48"/>
      <c r="CU3992" s="48"/>
      <c r="CV3992" s="48"/>
      <c r="CW3992" s="48"/>
      <c r="CX3992" s="48"/>
      <c r="CY3992" s="48"/>
      <c r="CZ3992" s="48"/>
    </row>
    <row r="3993" spans="27:104" s="4" customFormat="1" x14ac:dyDescent="0.3">
      <c r="AA3993" s="48"/>
      <c r="AB3993" s="48"/>
      <c r="AC3993" s="48"/>
      <c r="AD3993" s="48"/>
      <c r="AE3993" s="48"/>
      <c r="AF3993" s="48"/>
      <c r="AG3993" s="48"/>
      <c r="AH3993" s="48"/>
      <c r="AI3993" s="48"/>
      <c r="AJ3993" s="48"/>
      <c r="AK3993" s="48"/>
      <c r="AL3993" s="48"/>
      <c r="AM3993" s="48"/>
      <c r="AN3993" s="48"/>
      <c r="AO3993" s="48"/>
      <c r="AP3993" s="48"/>
      <c r="AQ3993" s="48"/>
      <c r="AR3993" s="48"/>
      <c r="AS3993" s="48"/>
      <c r="AT3993" s="48"/>
      <c r="AU3993" s="48"/>
      <c r="AV3993" s="48"/>
      <c r="AW3993" s="48"/>
      <c r="AX3993" s="48"/>
      <c r="AY3993" s="48"/>
      <c r="AZ3993" s="48"/>
      <c r="BA3993" s="48"/>
      <c r="BB3993" s="14"/>
      <c r="BC3993" s="48"/>
      <c r="BD3993" s="48"/>
      <c r="BE3993" s="48"/>
      <c r="BF3993" s="48"/>
      <c r="BG3993" s="48"/>
      <c r="BH3993" s="48"/>
      <c r="BI3993" s="48"/>
      <c r="BJ3993" s="48"/>
      <c r="BK3993" s="48"/>
      <c r="BL3993" s="48"/>
      <c r="BM3993" s="48"/>
      <c r="BN3993" s="48"/>
      <c r="BO3993" s="48"/>
      <c r="BP3993" s="48"/>
      <c r="BQ3993" s="48"/>
      <c r="BR3993" s="48"/>
      <c r="BS3993" s="48"/>
      <c r="BT3993" s="48"/>
      <c r="BU3993" s="48"/>
      <c r="BV3993" s="48"/>
      <c r="BW3993" s="48"/>
      <c r="BX3993" s="48"/>
      <c r="BY3993" s="48"/>
      <c r="BZ3993" s="48"/>
      <c r="CA3993" s="48"/>
      <c r="CB3993" s="48"/>
      <c r="CC3993" s="48"/>
      <c r="CD3993" s="48"/>
      <c r="CE3993" s="48"/>
      <c r="CF3993" s="48"/>
      <c r="CG3993" s="48"/>
      <c r="CH3993" s="48"/>
      <c r="CI3993" s="48"/>
      <c r="CJ3993" s="48"/>
      <c r="CK3993" s="48"/>
      <c r="CL3993" s="48"/>
      <c r="CM3993" s="48"/>
      <c r="CN3993" s="48"/>
      <c r="CO3993" s="48"/>
      <c r="CP3993" s="48"/>
      <c r="CQ3993" s="48"/>
      <c r="CR3993" s="48"/>
      <c r="CS3993" s="48"/>
      <c r="CT3993" s="48"/>
      <c r="CU3993" s="48"/>
      <c r="CV3993" s="48"/>
      <c r="CW3993" s="48"/>
      <c r="CX3993" s="48"/>
      <c r="CY3993" s="48"/>
      <c r="CZ3993" s="48"/>
    </row>
    <row r="3994" spans="27:104" s="4" customFormat="1" x14ac:dyDescent="0.3">
      <c r="AA3994" s="48"/>
      <c r="AB3994" s="48"/>
      <c r="AC3994" s="48"/>
      <c r="AD3994" s="48"/>
      <c r="AE3994" s="48"/>
      <c r="AF3994" s="48"/>
      <c r="AG3994" s="48"/>
      <c r="AH3994" s="48"/>
      <c r="AI3994" s="48"/>
      <c r="AJ3994" s="48"/>
      <c r="AK3994" s="48"/>
      <c r="AL3994" s="48"/>
      <c r="AM3994" s="48"/>
      <c r="AN3994" s="48"/>
      <c r="AO3994" s="48"/>
      <c r="AP3994" s="48"/>
      <c r="AQ3994" s="48"/>
      <c r="AR3994" s="48"/>
      <c r="AS3994" s="48"/>
      <c r="AT3994" s="48"/>
      <c r="AU3994" s="48"/>
      <c r="AV3994" s="48"/>
      <c r="AW3994" s="48"/>
      <c r="AX3994" s="48"/>
      <c r="AY3994" s="48"/>
      <c r="AZ3994" s="48"/>
      <c r="BA3994" s="48"/>
      <c r="BB3994" s="14"/>
      <c r="BC3994" s="48"/>
      <c r="BD3994" s="48"/>
      <c r="BE3994" s="48"/>
      <c r="BF3994" s="48"/>
      <c r="BG3994" s="48"/>
      <c r="BH3994" s="48"/>
      <c r="BI3994" s="48"/>
      <c r="BJ3994" s="48"/>
      <c r="BK3994" s="48"/>
      <c r="BL3994" s="48"/>
      <c r="BM3994" s="48"/>
      <c r="BN3994" s="48"/>
      <c r="BO3994" s="48"/>
      <c r="BP3994" s="48"/>
      <c r="BQ3994" s="48"/>
      <c r="BR3994" s="48"/>
      <c r="BS3994" s="48"/>
      <c r="BT3994" s="48"/>
      <c r="BU3994" s="48"/>
      <c r="BV3994" s="48"/>
      <c r="BW3994" s="48"/>
      <c r="BX3994" s="48"/>
      <c r="BY3994" s="48"/>
      <c r="BZ3994" s="48"/>
      <c r="CA3994" s="48"/>
      <c r="CB3994" s="48"/>
      <c r="CC3994" s="48"/>
      <c r="CD3994" s="48"/>
      <c r="CE3994" s="48"/>
      <c r="CF3994" s="48"/>
      <c r="CG3994" s="48"/>
      <c r="CH3994" s="48"/>
      <c r="CI3994" s="48"/>
      <c r="CJ3994" s="48"/>
      <c r="CK3994" s="48"/>
      <c r="CL3994" s="48"/>
      <c r="CM3994" s="48"/>
      <c r="CN3994" s="48"/>
      <c r="CO3994" s="48"/>
      <c r="CP3994" s="48"/>
      <c r="CQ3994" s="48"/>
      <c r="CR3994" s="48"/>
      <c r="CS3994" s="48"/>
      <c r="CT3994" s="48"/>
      <c r="CU3994" s="48"/>
      <c r="CV3994" s="48"/>
      <c r="CW3994" s="48"/>
      <c r="CX3994" s="48"/>
      <c r="CY3994" s="48"/>
      <c r="CZ3994" s="48"/>
    </row>
    <row r="3995" spans="27:104" s="4" customFormat="1" x14ac:dyDescent="0.3">
      <c r="AA3995" s="48"/>
      <c r="AB3995" s="48"/>
      <c r="AC3995" s="48"/>
      <c r="AD3995" s="48"/>
      <c r="AE3995" s="48"/>
      <c r="AF3995" s="48"/>
      <c r="AG3995" s="48"/>
      <c r="AH3995" s="48"/>
      <c r="AI3995" s="48"/>
      <c r="AJ3995" s="48"/>
      <c r="AK3995" s="48"/>
      <c r="AL3995" s="48"/>
      <c r="AM3995" s="48"/>
      <c r="AN3995" s="48"/>
      <c r="AO3995" s="48"/>
      <c r="AP3995" s="48"/>
      <c r="AQ3995" s="48"/>
      <c r="AR3995" s="48"/>
      <c r="AS3995" s="48"/>
      <c r="AT3995" s="48"/>
      <c r="AU3995" s="48"/>
      <c r="AV3995" s="48"/>
      <c r="AW3995" s="48"/>
      <c r="AX3995" s="48"/>
      <c r="AY3995" s="48"/>
      <c r="AZ3995" s="48"/>
      <c r="BA3995" s="48"/>
      <c r="BB3995" s="14"/>
      <c r="BC3995" s="48"/>
      <c r="BD3995" s="48"/>
      <c r="BE3995" s="48"/>
      <c r="BF3995" s="48"/>
      <c r="BG3995" s="48"/>
      <c r="BH3995" s="48"/>
      <c r="BI3995" s="48"/>
      <c r="BJ3995" s="48"/>
      <c r="BK3995" s="48"/>
      <c r="BL3995" s="48"/>
      <c r="BM3995" s="48"/>
      <c r="BN3995" s="48"/>
      <c r="BO3995" s="48"/>
      <c r="BP3995" s="48"/>
      <c r="BQ3995" s="48"/>
      <c r="BR3995" s="48"/>
      <c r="BS3995" s="48"/>
      <c r="BT3995" s="48"/>
      <c r="BU3995" s="48"/>
      <c r="BV3995" s="48"/>
      <c r="BW3995" s="48"/>
      <c r="BX3995" s="48"/>
      <c r="BY3995" s="48"/>
      <c r="BZ3995" s="48"/>
      <c r="CA3995" s="48"/>
      <c r="CB3995" s="48"/>
      <c r="CC3995" s="48"/>
      <c r="CD3995" s="48"/>
      <c r="CE3995" s="48"/>
      <c r="CF3995" s="48"/>
      <c r="CG3995" s="48"/>
      <c r="CH3995" s="48"/>
      <c r="CI3995" s="48"/>
      <c r="CJ3995" s="48"/>
      <c r="CK3995" s="48"/>
      <c r="CL3995" s="48"/>
      <c r="CM3995" s="48"/>
      <c r="CN3995" s="48"/>
      <c r="CO3995" s="48"/>
      <c r="CP3995" s="48"/>
      <c r="CQ3995" s="48"/>
      <c r="CR3995" s="48"/>
      <c r="CS3995" s="48"/>
      <c r="CT3995" s="48"/>
      <c r="CU3995" s="48"/>
      <c r="CV3995" s="48"/>
      <c r="CW3995" s="48"/>
      <c r="CX3995" s="48"/>
      <c r="CY3995" s="48"/>
      <c r="CZ3995" s="48"/>
    </row>
    <row r="3996" spans="27:104" s="4" customFormat="1" x14ac:dyDescent="0.3">
      <c r="AA3996" s="48"/>
      <c r="AB3996" s="48"/>
      <c r="AC3996" s="48"/>
      <c r="AD3996" s="48"/>
      <c r="AE3996" s="48"/>
      <c r="AF3996" s="48"/>
      <c r="AG3996" s="48"/>
      <c r="AH3996" s="48"/>
      <c r="AI3996" s="48"/>
      <c r="AJ3996" s="48"/>
      <c r="AK3996" s="48"/>
      <c r="AL3996" s="48"/>
      <c r="AM3996" s="48"/>
      <c r="AN3996" s="48"/>
      <c r="AO3996" s="48"/>
      <c r="AP3996" s="48"/>
      <c r="AQ3996" s="48"/>
      <c r="AR3996" s="48"/>
      <c r="AS3996" s="48"/>
      <c r="AT3996" s="48"/>
      <c r="AU3996" s="48"/>
      <c r="AV3996" s="48"/>
      <c r="AW3996" s="48"/>
      <c r="AX3996" s="48"/>
      <c r="AY3996" s="48"/>
      <c r="AZ3996" s="48"/>
      <c r="BA3996" s="48"/>
      <c r="BB3996" s="14"/>
      <c r="BC3996" s="48"/>
      <c r="BD3996" s="48"/>
      <c r="BE3996" s="48"/>
      <c r="BF3996" s="48"/>
      <c r="BG3996" s="48"/>
      <c r="BH3996" s="48"/>
      <c r="BI3996" s="48"/>
      <c r="BJ3996" s="48"/>
      <c r="BK3996" s="48"/>
      <c r="BL3996" s="48"/>
      <c r="BM3996" s="48"/>
      <c r="BN3996" s="48"/>
      <c r="BO3996" s="48"/>
      <c r="BP3996" s="48"/>
      <c r="BQ3996" s="48"/>
      <c r="BR3996" s="48"/>
      <c r="BS3996" s="48"/>
      <c r="BT3996" s="48"/>
      <c r="BU3996" s="48"/>
      <c r="BV3996" s="48"/>
      <c r="BW3996" s="48"/>
      <c r="BX3996" s="48"/>
      <c r="BY3996" s="48"/>
      <c r="BZ3996" s="48"/>
      <c r="CA3996" s="48"/>
      <c r="CB3996" s="48"/>
      <c r="CC3996" s="48"/>
      <c r="CD3996" s="48"/>
      <c r="CE3996" s="48"/>
      <c r="CF3996" s="48"/>
      <c r="CG3996" s="48"/>
      <c r="CH3996" s="48"/>
      <c r="CI3996" s="48"/>
      <c r="CJ3996" s="48"/>
      <c r="CK3996" s="48"/>
      <c r="CL3996" s="48"/>
      <c r="CM3996" s="48"/>
      <c r="CN3996" s="48"/>
      <c r="CO3996" s="48"/>
      <c r="CP3996" s="48"/>
      <c r="CQ3996" s="48"/>
      <c r="CR3996" s="48"/>
      <c r="CS3996" s="48"/>
      <c r="CT3996" s="48"/>
      <c r="CU3996" s="48"/>
      <c r="CV3996" s="48"/>
      <c r="CW3996" s="48"/>
      <c r="CX3996" s="48"/>
      <c r="CY3996" s="48"/>
      <c r="CZ3996" s="48"/>
    </row>
    <row r="3997" spans="27:104" s="4" customFormat="1" x14ac:dyDescent="0.3">
      <c r="AA3997" s="48"/>
      <c r="AB3997" s="48"/>
      <c r="AC3997" s="48"/>
      <c r="AD3997" s="48"/>
      <c r="AE3997" s="48"/>
      <c r="AF3997" s="48"/>
      <c r="AG3997" s="48"/>
      <c r="AH3997" s="48"/>
      <c r="AI3997" s="48"/>
      <c r="AJ3997" s="48"/>
      <c r="AK3997" s="48"/>
      <c r="AL3997" s="48"/>
      <c r="AM3997" s="48"/>
      <c r="AN3997" s="48"/>
      <c r="AO3997" s="48"/>
      <c r="AP3997" s="48"/>
      <c r="AQ3997" s="48"/>
      <c r="AR3997" s="48"/>
      <c r="AS3997" s="48"/>
      <c r="AT3997" s="48"/>
      <c r="AU3997" s="48"/>
      <c r="AV3997" s="48"/>
      <c r="AW3997" s="48"/>
      <c r="AX3997" s="48"/>
      <c r="AY3997" s="48"/>
      <c r="AZ3997" s="48"/>
      <c r="BA3997" s="48"/>
      <c r="BB3997" s="14"/>
      <c r="BC3997" s="48"/>
      <c r="BD3997" s="48"/>
      <c r="BE3997" s="48"/>
      <c r="BF3997" s="48"/>
      <c r="BG3997" s="48"/>
      <c r="BH3997" s="48"/>
      <c r="BI3997" s="48"/>
      <c r="BJ3997" s="48"/>
      <c r="BK3997" s="48"/>
      <c r="BL3997" s="48"/>
      <c r="BM3997" s="48"/>
      <c r="BN3997" s="48"/>
      <c r="BO3997" s="48"/>
      <c r="BP3997" s="48"/>
      <c r="BQ3997" s="48"/>
      <c r="BR3997" s="48"/>
      <c r="BS3997" s="48"/>
      <c r="BT3997" s="48"/>
      <c r="BU3997" s="48"/>
      <c r="BV3997" s="48"/>
      <c r="BW3997" s="48"/>
      <c r="BX3997" s="48"/>
      <c r="BY3997" s="48"/>
      <c r="BZ3997" s="48"/>
      <c r="CA3997" s="48"/>
      <c r="CB3997" s="48"/>
      <c r="CC3997" s="48"/>
      <c r="CD3997" s="48"/>
      <c r="CE3997" s="48"/>
      <c r="CF3997" s="48"/>
      <c r="CG3997" s="48"/>
      <c r="CH3997" s="48"/>
      <c r="CI3997" s="48"/>
      <c r="CJ3997" s="48"/>
      <c r="CK3997" s="48"/>
      <c r="CL3997" s="48"/>
      <c r="CM3997" s="48"/>
      <c r="CN3997" s="48"/>
      <c r="CO3997" s="48"/>
      <c r="CP3997" s="48"/>
      <c r="CQ3997" s="48"/>
      <c r="CR3997" s="48"/>
      <c r="CS3997" s="48"/>
      <c r="CT3997" s="48"/>
      <c r="CU3997" s="48"/>
      <c r="CV3997" s="48"/>
      <c r="CW3997" s="48"/>
      <c r="CX3997" s="48"/>
      <c r="CY3997" s="48"/>
      <c r="CZ3997" s="48"/>
    </row>
    <row r="3998" spans="27:104" s="4" customFormat="1" x14ac:dyDescent="0.3">
      <c r="AA3998" s="48"/>
      <c r="AB3998" s="48"/>
      <c r="AC3998" s="48"/>
      <c r="AD3998" s="48"/>
      <c r="AE3998" s="48"/>
      <c r="AF3998" s="48"/>
      <c r="AG3998" s="48"/>
      <c r="AH3998" s="48"/>
      <c r="AI3998" s="48"/>
      <c r="AJ3998" s="48"/>
      <c r="AK3998" s="48"/>
      <c r="AL3998" s="48"/>
      <c r="AM3998" s="48"/>
      <c r="AN3998" s="48"/>
      <c r="AO3998" s="48"/>
      <c r="AP3998" s="48"/>
      <c r="AQ3998" s="48"/>
      <c r="AR3998" s="48"/>
      <c r="AS3998" s="48"/>
      <c r="AT3998" s="48"/>
      <c r="AU3998" s="48"/>
      <c r="AV3998" s="48"/>
      <c r="AW3998" s="48"/>
      <c r="AX3998" s="48"/>
      <c r="AY3998" s="48"/>
      <c r="AZ3998" s="48"/>
      <c r="BA3998" s="48"/>
      <c r="BB3998" s="14"/>
      <c r="BC3998" s="48"/>
      <c r="BD3998" s="48"/>
      <c r="BE3998" s="48"/>
      <c r="BF3998" s="48"/>
      <c r="BG3998" s="48"/>
      <c r="BH3998" s="48"/>
      <c r="BI3998" s="48"/>
      <c r="BJ3998" s="48"/>
      <c r="BK3998" s="48"/>
      <c r="BL3998" s="48"/>
      <c r="BM3998" s="48"/>
      <c r="BN3998" s="48"/>
      <c r="BO3998" s="48"/>
      <c r="BP3998" s="48"/>
      <c r="BQ3998" s="48"/>
      <c r="BR3998" s="48"/>
      <c r="BS3998" s="48"/>
      <c r="BT3998" s="48"/>
      <c r="BU3998" s="48"/>
      <c r="BV3998" s="48"/>
      <c r="BW3998" s="48"/>
      <c r="BX3998" s="48"/>
      <c r="BY3998" s="48"/>
      <c r="BZ3998" s="48"/>
      <c r="CA3998" s="48"/>
      <c r="CB3998" s="48"/>
      <c r="CC3998" s="48"/>
      <c r="CD3998" s="48"/>
      <c r="CE3998" s="48"/>
      <c r="CF3998" s="48"/>
      <c r="CG3998" s="48"/>
      <c r="CH3998" s="48"/>
      <c r="CI3998" s="48"/>
      <c r="CJ3998" s="48"/>
      <c r="CK3998" s="48"/>
      <c r="CL3998" s="48"/>
      <c r="CM3998" s="48"/>
      <c r="CN3998" s="48"/>
      <c r="CO3998" s="48"/>
      <c r="CP3998" s="48"/>
      <c r="CQ3998" s="48"/>
      <c r="CR3998" s="48"/>
      <c r="CS3998" s="48"/>
      <c r="CT3998" s="48"/>
      <c r="CU3998" s="48"/>
      <c r="CV3998" s="48"/>
      <c r="CW3998" s="48"/>
      <c r="CX3998" s="48"/>
      <c r="CY3998" s="48"/>
      <c r="CZ3998" s="48"/>
    </row>
    <row r="3999" spans="27:104" s="4" customFormat="1" x14ac:dyDescent="0.3">
      <c r="AA3999" s="48"/>
      <c r="AB3999" s="48"/>
      <c r="AC3999" s="48"/>
      <c r="AD3999" s="48"/>
      <c r="AE3999" s="48"/>
      <c r="AF3999" s="48"/>
      <c r="AG3999" s="48"/>
      <c r="AH3999" s="48"/>
      <c r="AI3999" s="48"/>
      <c r="AJ3999" s="48"/>
      <c r="AK3999" s="48"/>
      <c r="AL3999" s="48"/>
      <c r="AM3999" s="48"/>
      <c r="AN3999" s="48"/>
      <c r="AO3999" s="48"/>
      <c r="AP3999" s="48"/>
      <c r="AQ3999" s="48"/>
      <c r="AR3999" s="48"/>
      <c r="AS3999" s="48"/>
      <c r="AT3999" s="48"/>
      <c r="AU3999" s="48"/>
      <c r="AV3999" s="48"/>
      <c r="AW3999" s="48"/>
      <c r="AX3999" s="48"/>
      <c r="AY3999" s="48"/>
      <c r="AZ3999" s="48"/>
      <c r="BA3999" s="48"/>
      <c r="BB3999" s="14"/>
      <c r="BC3999" s="48"/>
      <c r="BD3999" s="48"/>
      <c r="BE3999" s="48"/>
      <c r="BF3999" s="48"/>
      <c r="BG3999" s="48"/>
      <c r="BH3999" s="48"/>
      <c r="BI3999" s="48"/>
      <c r="BJ3999" s="48"/>
      <c r="BK3999" s="48"/>
      <c r="BL3999" s="48"/>
      <c r="BM3999" s="48"/>
      <c r="BN3999" s="48"/>
      <c r="BO3999" s="48"/>
      <c r="BP3999" s="48"/>
      <c r="BQ3999" s="48"/>
      <c r="BR3999" s="48"/>
      <c r="BS3999" s="48"/>
      <c r="BT3999" s="48"/>
      <c r="BU3999" s="48"/>
      <c r="BV3999" s="48"/>
      <c r="BW3999" s="48"/>
      <c r="BX3999" s="48"/>
      <c r="BY3999" s="48"/>
      <c r="BZ3999" s="48"/>
      <c r="CA3999" s="48"/>
      <c r="CB3999" s="48"/>
      <c r="CC3999" s="48"/>
      <c r="CD3999" s="48"/>
      <c r="CE3999" s="48"/>
      <c r="CF3999" s="48"/>
      <c r="CG3999" s="48"/>
      <c r="CH3999" s="48"/>
      <c r="CI3999" s="48"/>
      <c r="CJ3999" s="48"/>
      <c r="CK3999" s="48"/>
      <c r="CL3999" s="48"/>
      <c r="CM3999" s="48"/>
      <c r="CN3999" s="48"/>
      <c r="CO3999" s="48"/>
      <c r="CP3999" s="48"/>
      <c r="CQ3999" s="48"/>
      <c r="CR3999" s="48"/>
      <c r="CS3999" s="48"/>
      <c r="CT3999" s="48"/>
      <c r="CU3999" s="48"/>
      <c r="CV3999" s="48"/>
      <c r="CW3999" s="48"/>
      <c r="CX3999" s="48"/>
      <c r="CY3999" s="48"/>
      <c r="CZ3999" s="48"/>
    </row>
    <row r="4000" spans="27:104" s="4" customFormat="1" x14ac:dyDescent="0.3">
      <c r="AA4000" s="48"/>
      <c r="AB4000" s="48"/>
      <c r="AC4000" s="48"/>
      <c r="AD4000" s="48"/>
      <c r="AE4000" s="48"/>
      <c r="AF4000" s="48"/>
      <c r="AG4000" s="48"/>
      <c r="AH4000" s="48"/>
      <c r="AI4000" s="48"/>
      <c r="AJ4000" s="48"/>
      <c r="AK4000" s="48"/>
      <c r="AL4000" s="48"/>
      <c r="AM4000" s="48"/>
      <c r="AN4000" s="48"/>
      <c r="AO4000" s="48"/>
      <c r="AP4000" s="48"/>
      <c r="AQ4000" s="48"/>
      <c r="AR4000" s="48"/>
      <c r="AS4000" s="48"/>
      <c r="AT4000" s="48"/>
      <c r="AU4000" s="48"/>
      <c r="AV4000" s="48"/>
      <c r="AW4000" s="48"/>
      <c r="AX4000" s="48"/>
      <c r="AY4000" s="48"/>
      <c r="AZ4000" s="48"/>
      <c r="BA4000" s="48"/>
      <c r="BB4000" s="14"/>
      <c r="BC4000" s="48"/>
      <c r="BD4000" s="48"/>
      <c r="BE4000" s="48"/>
      <c r="BF4000" s="48"/>
      <c r="BG4000" s="48"/>
      <c r="BH4000" s="48"/>
      <c r="BI4000" s="48"/>
      <c r="BJ4000" s="48"/>
      <c r="BK4000" s="48"/>
      <c r="BL4000" s="48"/>
      <c r="BM4000" s="48"/>
      <c r="BN4000" s="48"/>
      <c r="BO4000" s="48"/>
      <c r="BP4000" s="48"/>
      <c r="BQ4000" s="48"/>
      <c r="BR4000" s="48"/>
      <c r="BS4000" s="48"/>
      <c r="BT4000" s="48"/>
      <c r="BU4000" s="48"/>
      <c r="BV4000" s="48"/>
      <c r="BW4000" s="48"/>
      <c r="BX4000" s="48"/>
      <c r="BY4000" s="48"/>
      <c r="BZ4000" s="48"/>
      <c r="CA4000" s="48"/>
      <c r="CB4000" s="48"/>
      <c r="CC4000" s="48"/>
      <c r="CD4000" s="48"/>
      <c r="CE4000" s="48"/>
      <c r="CF4000" s="48"/>
      <c r="CG4000" s="48"/>
      <c r="CH4000" s="48"/>
      <c r="CI4000" s="48"/>
      <c r="CJ4000" s="48"/>
      <c r="CK4000" s="48"/>
      <c r="CL4000" s="48"/>
      <c r="CM4000" s="48"/>
      <c r="CN4000" s="48"/>
      <c r="CO4000" s="48"/>
      <c r="CP4000" s="48"/>
      <c r="CQ4000" s="48"/>
      <c r="CR4000" s="48"/>
      <c r="CS4000" s="48"/>
      <c r="CT4000" s="48"/>
      <c r="CU4000" s="48"/>
      <c r="CV4000" s="48"/>
      <c r="CW4000" s="48"/>
      <c r="CX4000" s="48"/>
      <c r="CY4000" s="48"/>
      <c r="CZ4000" s="48"/>
    </row>
    <row r="4001" spans="27:104" s="4" customFormat="1" x14ac:dyDescent="0.3">
      <c r="AA4001" s="48"/>
      <c r="AB4001" s="48"/>
      <c r="AC4001" s="48"/>
      <c r="AD4001" s="48"/>
      <c r="AE4001" s="48"/>
      <c r="AF4001" s="48"/>
      <c r="AG4001" s="48"/>
      <c r="AH4001" s="48"/>
      <c r="AI4001" s="48"/>
      <c r="AJ4001" s="48"/>
      <c r="AK4001" s="48"/>
      <c r="AL4001" s="48"/>
      <c r="AM4001" s="48"/>
      <c r="AN4001" s="48"/>
      <c r="AO4001" s="48"/>
      <c r="AP4001" s="48"/>
      <c r="AQ4001" s="48"/>
      <c r="AR4001" s="48"/>
      <c r="AS4001" s="48"/>
      <c r="AT4001" s="48"/>
      <c r="AU4001" s="48"/>
      <c r="AV4001" s="48"/>
      <c r="AW4001" s="48"/>
      <c r="AX4001" s="48"/>
      <c r="AY4001" s="48"/>
      <c r="AZ4001" s="48"/>
      <c r="BA4001" s="48"/>
      <c r="BB4001" s="14"/>
      <c r="BC4001" s="48"/>
      <c r="BD4001" s="48"/>
      <c r="BE4001" s="48"/>
      <c r="BF4001" s="48"/>
      <c r="BG4001" s="48"/>
      <c r="BH4001" s="48"/>
      <c r="BI4001" s="48"/>
      <c r="BJ4001" s="48"/>
      <c r="BK4001" s="48"/>
      <c r="BL4001" s="48"/>
      <c r="BM4001" s="48"/>
      <c r="BN4001" s="48"/>
      <c r="BO4001" s="48"/>
      <c r="BP4001" s="48"/>
      <c r="BQ4001" s="48"/>
      <c r="BR4001" s="48"/>
      <c r="BS4001" s="48"/>
      <c r="BT4001" s="48"/>
      <c r="BU4001" s="48"/>
      <c r="BV4001" s="48"/>
      <c r="BW4001" s="48"/>
      <c r="BX4001" s="48"/>
      <c r="BY4001" s="48"/>
      <c r="BZ4001" s="48"/>
      <c r="CA4001" s="48"/>
      <c r="CB4001" s="48"/>
      <c r="CC4001" s="48"/>
      <c r="CD4001" s="48"/>
      <c r="CE4001" s="48"/>
      <c r="CF4001" s="48"/>
      <c r="CG4001" s="48"/>
      <c r="CH4001" s="48"/>
      <c r="CI4001" s="48"/>
      <c r="CJ4001" s="48"/>
      <c r="CK4001" s="48"/>
      <c r="CL4001" s="48"/>
      <c r="CM4001" s="48"/>
      <c r="CN4001" s="48"/>
      <c r="CO4001" s="48"/>
      <c r="CP4001" s="48"/>
      <c r="CQ4001" s="48"/>
      <c r="CR4001" s="48"/>
      <c r="CS4001" s="48"/>
      <c r="CT4001" s="48"/>
      <c r="CU4001" s="48"/>
      <c r="CV4001" s="48"/>
      <c r="CW4001" s="48"/>
      <c r="CX4001" s="48"/>
      <c r="CY4001" s="48"/>
      <c r="CZ4001" s="48"/>
    </row>
    <row r="4002" spans="27:104" s="4" customFormat="1" x14ac:dyDescent="0.3">
      <c r="AA4002" s="48"/>
      <c r="AB4002" s="48"/>
      <c r="AC4002" s="48"/>
      <c r="AD4002" s="48"/>
      <c r="AE4002" s="48"/>
      <c r="AF4002" s="48"/>
      <c r="AG4002" s="48"/>
      <c r="AH4002" s="48"/>
      <c r="AI4002" s="48"/>
      <c r="AJ4002" s="48"/>
      <c r="AK4002" s="48"/>
      <c r="AL4002" s="48"/>
      <c r="AM4002" s="48"/>
      <c r="AN4002" s="48"/>
      <c r="AO4002" s="48"/>
      <c r="AP4002" s="48"/>
      <c r="AQ4002" s="48"/>
      <c r="AR4002" s="48"/>
      <c r="AS4002" s="48"/>
      <c r="AT4002" s="48"/>
      <c r="AU4002" s="48"/>
      <c r="AV4002" s="48"/>
      <c r="AW4002" s="48"/>
      <c r="AX4002" s="48"/>
      <c r="AY4002" s="48"/>
      <c r="AZ4002" s="48"/>
      <c r="BA4002" s="48"/>
      <c r="BB4002" s="14"/>
      <c r="BC4002" s="48"/>
      <c r="BD4002" s="48"/>
      <c r="BE4002" s="48"/>
      <c r="BF4002" s="48"/>
      <c r="BG4002" s="48"/>
      <c r="BH4002" s="48"/>
      <c r="BI4002" s="48"/>
      <c r="BJ4002" s="48"/>
      <c r="BK4002" s="48"/>
      <c r="BL4002" s="48"/>
      <c r="BM4002" s="48"/>
      <c r="BN4002" s="48"/>
      <c r="BO4002" s="48"/>
      <c r="BP4002" s="48"/>
      <c r="BQ4002" s="48"/>
      <c r="BR4002" s="48"/>
      <c r="BS4002" s="48"/>
      <c r="BT4002" s="48"/>
      <c r="BU4002" s="48"/>
      <c r="BV4002" s="48"/>
      <c r="BW4002" s="48"/>
      <c r="BX4002" s="48"/>
      <c r="BY4002" s="48"/>
      <c r="BZ4002" s="48"/>
      <c r="CA4002" s="48"/>
      <c r="CB4002" s="48"/>
      <c r="CC4002" s="48"/>
      <c r="CD4002" s="48"/>
      <c r="CE4002" s="48"/>
      <c r="CF4002" s="48"/>
      <c r="CG4002" s="48"/>
      <c r="CH4002" s="48"/>
      <c r="CI4002" s="48"/>
      <c r="CJ4002" s="48"/>
      <c r="CK4002" s="48"/>
      <c r="CL4002" s="48"/>
      <c r="CM4002" s="48"/>
      <c r="CN4002" s="48"/>
      <c r="CO4002" s="48"/>
      <c r="CP4002" s="48"/>
      <c r="CQ4002" s="48"/>
      <c r="CR4002" s="48"/>
      <c r="CS4002" s="48"/>
      <c r="CT4002" s="48"/>
      <c r="CU4002" s="48"/>
      <c r="CV4002" s="48"/>
      <c r="CW4002" s="48"/>
      <c r="CX4002" s="48"/>
      <c r="CY4002" s="48"/>
      <c r="CZ4002" s="48"/>
    </row>
    <row r="4003" spans="27:104" s="4" customFormat="1" x14ac:dyDescent="0.3">
      <c r="AA4003" s="48"/>
      <c r="AB4003" s="48"/>
      <c r="AC4003" s="48"/>
      <c r="AD4003" s="48"/>
      <c r="AE4003" s="48"/>
      <c r="AF4003" s="48"/>
      <c r="AG4003" s="48"/>
      <c r="AH4003" s="48"/>
      <c r="AI4003" s="48"/>
      <c r="AJ4003" s="48"/>
      <c r="AK4003" s="48"/>
      <c r="AL4003" s="48"/>
      <c r="AM4003" s="48"/>
      <c r="AN4003" s="48"/>
      <c r="AO4003" s="48"/>
      <c r="AP4003" s="48"/>
      <c r="AQ4003" s="48"/>
      <c r="AR4003" s="48"/>
      <c r="AS4003" s="48"/>
      <c r="AT4003" s="48"/>
      <c r="AU4003" s="48"/>
      <c r="AV4003" s="48"/>
      <c r="AW4003" s="48"/>
      <c r="AX4003" s="48"/>
      <c r="AY4003" s="48"/>
      <c r="AZ4003" s="48"/>
      <c r="BA4003" s="48"/>
      <c r="BB4003" s="14"/>
      <c r="BC4003" s="48"/>
      <c r="BD4003" s="48"/>
      <c r="BE4003" s="48"/>
      <c r="BF4003" s="48"/>
      <c r="BG4003" s="48"/>
      <c r="BH4003" s="48"/>
      <c r="BI4003" s="48"/>
      <c r="BJ4003" s="48"/>
      <c r="BK4003" s="48"/>
      <c r="BL4003" s="48"/>
      <c r="BM4003" s="48"/>
      <c r="BN4003" s="48"/>
      <c r="BO4003" s="48"/>
      <c r="BP4003" s="48"/>
      <c r="BQ4003" s="48"/>
      <c r="BR4003" s="48"/>
      <c r="BS4003" s="48"/>
      <c r="BT4003" s="48"/>
      <c r="BU4003" s="48"/>
      <c r="BV4003" s="48"/>
      <c r="BW4003" s="48"/>
      <c r="BX4003" s="48"/>
      <c r="BY4003" s="48"/>
      <c r="BZ4003" s="48"/>
      <c r="CA4003" s="48"/>
      <c r="CB4003" s="48"/>
      <c r="CC4003" s="48"/>
      <c r="CD4003" s="48"/>
      <c r="CE4003" s="48"/>
      <c r="CF4003" s="48"/>
      <c r="CG4003" s="48"/>
      <c r="CH4003" s="48"/>
      <c r="CI4003" s="48"/>
      <c r="CJ4003" s="48"/>
      <c r="CK4003" s="48"/>
      <c r="CL4003" s="48"/>
      <c r="CM4003" s="48"/>
      <c r="CN4003" s="48"/>
      <c r="CO4003" s="48"/>
      <c r="CP4003" s="48"/>
      <c r="CQ4003" s="48"/>
      <c r="CR4003" s="48"/>
      <c r="CS4003" s="48"/>
      <c r="CT4003" s="48"/>
      <c r="CU4003" s="48"/>
      <c r="CV4003" s="48"/>
      <c r="CW4003" s="48"/>
      <c r="CX4003" s="48"/>
      <c r="CY4003" s="48"/>
      <c r="CZ4003" s="48"/>
    </row>
    <row r="4004" spans="27:104" s="4" customFormat="1" x14ac:dyDescent="0.3">
      <c r="AA4004" s="48"/>
      <c r="AB4004" s="48"/>
      <c r="AC4004" s="48"/>
      <c r="AD4004" s="48"/>
      <c r="AE4004" s="48"/>
      <c r="AF4004" s="48"/>
      <c r="AG4004" s="48"/>
      <c r="AH4004" s="48"/>
      <c r="AI4004" s="48"/>
      <c r="AJ4004" s="48"/>
      <c r="AK4004" s="48"/>
      <c r="AL4004" s="48"/>
      <c r="AM4004" s="48"/>
      <c r="AN4004" s="48"/>
      <c r="AO4004" s="48"/>
      <c r="AP4004" s="48"/>
      <c r="AQ4004" s="48"/>
      <c r="AR4004" s="48"/>
      <c r="AS4004" s="48"/>
      <c r="AT4004" s="48"/>
      <c r="AU4004" s="48"/>
      <c r="AV4004" s="48"/>
      <c r="AW4004" s="48"/>
      <c r="AX4004" s="48"/>
      <c r="AY4004" s="48"/>
      <c r="AZ4004" s="48"/>
      <c r="BA4004" s="48"/>
      <c r="BB4004" s="14"/>
      <c r="BC4004" s="48"/>
      <c r="BD4004" s="48"/>
      <c r="BE4004" s="48"/>
      <c r="BF4004" s="48"/>
      <c r="BG4004" s="48"/>
      <c r="BH4004" s="48"/>
      <c r="BI4004" s="48"/>
      <c r="BJ4004" s="48"/>
      <c r="BK4004" s="48"/>
      <c r="BL4004" s="48"/>
      <c r="BM4004" s="48"/>
      <c r="BN4004" s="48"/>
      <c r="BO4004" s="48"/>
      <c r="BP4004" s="48"/>
      <c r="BQ4004" s="48"/>
      <c r="BR4004" s="48"/>
      <c r="BS4004" s="48"/>
      <c r="BT4004" s="48"/>
      <c r="BU4004" s="48"/>
      <c r="BV4004" s="48"/>
      <c r="BW4004" s="48"/>
      <c r="BX4004" s="48"/>
      <c r="BY4004" s="48"/>
      <c r="BZ4004" s="48"/>
      <c r="CA4004" s="48"/>
      <c r="CB4004" s="48"/>
      <c r="CC4004" s="48"/>
      <c r="CD4004" s="48"/>
      <c r="CE4004" s="48"/>
      <c r="CF4004" s="48"/>
      <c r="CG4004" s="48"/>
      <c r="CH4004" s="48"/>
      <c r="CI4004" s="48"/>
      <c r="CJ4004" s="48"/>
      <c r="CK4004" s="48"/>
      <c r="CL4004" s="48"/>
      <c r="CM4004" s="48"/>
      <c r="CN4004" s="48"/>
      <c r="CO4004" s="48"/>
      <c r="CP4004" s="48"/>
      <c r="CQ4004" s="48"/>
      <c r="CR4004" s="48"/>
      <c r="CS4004" s="48"/>
      <c r="CT4004" s="48"/>
      <c r="CU4004" s="48"/>
      <c r="CV4004" s="48"/>
      <c r="CW4004" s="48"/>
      <c r="CX4004" s="48"/>
      <c r="CY4004" s="48"/>
      <c r="CZ4004" s="48"/>
    </row>
    <row r="4005" spans="27:104" s="4" customFormat="1" x14ac:dyDescent="0.3">
      <c r="AA4005" s="48"/>
      <c r="AB4005" s="48"/>
      <c r="AC4005" s="48"/>
      <c r="AD4005" s="48"/>
      <c r="AE4005" s="48"/>
      <c r="AF4005" s="48"/>
      <c r="AG4005" s="48"/>
      <c r="AH4005" s="48"/>
      <c r="AI4005" s="48"/>
      <c r="AJ4005" s="48"/>
      <c r="AK4005" s="48"/>
      <c r="AL4005" s="48"/>
      <c r="AM4005" s="48"/>
      <c r="AN4005" s="48"/>
      <c r="AO4005" s="48"/>
      <c r="AP4005" s="48"/>
      <c r="AQ4005" s="48"/>
      <c r="AR4005" s="48"/>
      <c r="AS4005" s="48"/>
      <c r="AT4005" s="48"/>
      <c r="AU4005" s="48"/>
      <c r="AV4005" s="48"/>
      <c r="AW4005" s="48"/>
      <c r="AX4005" s="48"/>
      <c r="AY4005" s="48"/>
      <c r="AZ4005" s="48"/>
      <c r="BA4005" s="48"/>
      <c r="BB4005" s="14"/>
      <c r="BC4005" s="48"/>
      <c r="BD4005" s="48"/>
      <c r="BE4005" s="48"/>
      <c r="BF4005" s="48"/>
      <c r="BG4005" s="48"/>
      <c r="BH4005" s="48"/>
      <c r="BI4005" s="48"/>
      <c r="BJ4005" s="48"/>
      <c r="BK4005" s="48"/>
      <c r="BL4005" s="48"/>
      <c r="BM4005" s="48"/>
      <c r="BN4005" s="48"/>
      <c r="BO4005" s="48"/>
      <c r="BP4005" s="48"/>
      <c r="BQ4005" s="48"/>
      <c r="BR4005" s="48"/>
      <c r="BS4005" s="48"/>
      <c r="BT4005" s="48"/>
      <c r="BU4005" s="48"/>
      <c r="BV4005" s="48"/>
      <c r="BW4005" s="48"/>
      <c r="BX4005" s="48"/>
      <c r="BY4005" s="48"/>
      <c r="BZ4005" s="48"/>
      <c r="CA4005" s="48"/>
      <c r="CB4005" s="48"/>
      <c r="CC4005" s="48"/>
      <c r="CD4005" s="48"/>
      <c r="CE4005" s="48"/>
      <c r="CF4005" s="48"/>
      <c r="CG4005" s="48"/>
      <c r="CH4005" s="48"/>
      <c r="CI4005" s="48"/>
      <c r="CJ4005" s="48"/>
      <c r="CK4005" s="48"/>
      <c r="CL4005" s="48"/>
      <c r="CM4005" s="48"/>
      <c r="CN4005" s="48"/>
      <c r="CO4005" s="48"/>
      <c r="CP4005" s="48"/>
      <c r="CQ4005" s="48"/>
      <c r="CR4005" s="48"/>
      <c r="CS4005" s="48"/>
      <c r="CT4005" s="48"/>
      <c r="CU4005" s="48"/>
      <c r="CV4005" s="48"/>
      <c r="CW4005" s="48"/>
      <c r="CX4005" s="48"/>
      <c r="CY4005" s="48"/>
      <c r="CZ4005" s="48"/>
    </row>
    <row r="4006" spans="27:104" s="4" customFormat="1" x14ac:dyDescent="0.3">
      <c r="AA4006" s="48"/>
      <c r="AB4006" s="48"/>
      <c r="AC4006" s="48"/>
      <c r="AD4006" s="48"/>
      <c r="AE4006" s="48"/>
      <c r="AF4006" s="48"/>
      <c r="AG4006" s="48"/>
      <c r="AH4006" s="48"/>
      <c r="AI4006" s="48"/>
      <c r="AJ4006" s="48"/>
      <c r="AK4006" s="48"/>
      <c r="AL4006" s="48"/>
      <c r="AM4006" s="48"/>
      <c r="AN4006" s="48"/>
      <c r="AO4006" s="48"/>
      <c r="AP4006" s="48"/>
      <c r="AQ4006" s="48"/>
      <c r="AR4006" s="48"/>
      <c r="AS4006" s="48"/>
      <c r="AT4006" s="48"/>
      <c r="AU4006" s="48"/>
      <c r="AV4006" s="48"/>
      <c r="AW4006" s="48"/>
      <c r="AX4006" s="48"/>
      <c r="AY4006" s="48"/>
      <c r="AZ4006" s="48"/>
      <c r="BA4006" s="48"/>
      <c r="BB4006" s="14"/>
      <c r="BC4006" s="48"/>
      <c r="BD4006" s="48"/>
      <c r="BE4006" s="48"/>
      <c r="BF4006" s="48"/>
      <c r="BG4006" s="48"/>
      <c r="BH4006" s="48"/>
      <c r="BI4006" s="48"/>
      <c r="BJ4006" s="48"/>
      <c r="BK4006" s="48"/>
      <c r="BL4006" s="48"/>
      <c r="BM4006" s="48"/>
      <c r="BN4006" s="48"/>
      <c r="BO4006" s="48"/>
      <c r="BP4006" s="48"/>
      <c r="BQ4006" s="48"/>
      <c r="BR4006" s="48"/>
      <c r="BS4006" s="48"/>
      <c r="BT4006" s="48"/>
      <c r="BU4006" s="48"/>
      <c r="BV4006" s="48"/>
      <c r="BW4006" s="48"/>
      <c r="BX4006" s="48"/>
      <c r="BY4006" s="48"/>
      <c r="BZ4006" s="48"/>
      <c r="CA4006" s="48"/>
      <c r="CB4006" s="48"/>
      <c r="CC4006" s="48"/>
      <c r="CD4006" s="48"/>
      <c r="CE4006" s="48"/>
      <c r="CF4006" s="48"/>
      <c r="CG4006" s="48"/>
      <c r="CH4006" s="48"/>
      <c r="CI4006" s="48"/>
      <c r="CJ4006" s="48"/>
      <c r="CK4006" s="48"/>
      <c r="CL4006" s="48"/>
      <c r="CM4006" s="48"/>
      <c r="CN4006" s="48"/>
      <c r="CO4006" s="48"/>
      <c r="CP4006" s="48"/>
      <c r="CQ4006" s="48"/>
      <c r="CR4006" s="48"/>
      <c r="CS4006" s="48"/>
      <c r="CT4006" s="48"/>
      <c r="CU4006" s="48"/>
      <c r="CV4006" s="48"/>
      <c r="CW4006" s="48"/>
      <c r="CX4006" s="48"/>
      <c r="CY4006" s="48"/>
      <c r="CZ4006" s="48"/>
    </row>
    <row r="4007" spans="27:104" s="4" customFormat="1" x14ac:dyDescent="0.3">
      <c r="AA4007" s="48"/>
      <c r="AB4007" s="48"/>
      <c r="AC4007" s="48"/>
      <c r="AD4007" s="48"/>
      <c r="AE4007" s="48"/>
      <c r="AF4007" s="48"/>
      <c r="AG4007" s="48"/>
      <c r="AH4007" s="48"/>
      <c r="AI4007" s="48"/>
      <c r="AJ4007" s="48"/>
      <c r="AK4007" s="48"/>
      <c r="AL4007" s="48"/>
      <c r="AM4007" s="48"/>
      <c r="AN4007" s="48"/>
      <c r="AO4007" s="48"/>
      <c r="AP4007" s="48"/>
      <c r="AQ4007" s="48"/>
      <c r="AR4007" s="48"/>
      <c r="AS4007" s="48"/>
      <c r="AT4007" s="48"/>
      <c r="AU4007" s="48"/>
      <c r="AV4007" s="48"/>
      <c r="AW4007" s="48"/>
      <c r="AX4007" s="48"/>
      <c r="AY4007" s="48"/>
      <c r="AZ4007" s="48"/>
      <c r="BA4007" s="48"/>
      <c r="BB4007" s="14"/>
      <c r="BC4007" s="48"/>
      <c r="BD4007" s="48"/>
      <c r="BE4007" s="48"/>
      <c r="BF4007" s="48"/>
      <c r="BG4007" s="48"/>
      <c r="BH4007" s="48"/>
      <c r="BI4007" s="48"/>
      <c r="BJ4007" s="48"/>
      <c r="BK4007" s="48"/>
      <c r="BL4007" s="48"/>
      <c r="BM4007" s="48"/>
      <c r="BN4007" s="48"/>
      <c r="BO4007" s="48"/>
      <c r="BP4007" s="48"/>
      <c r="BQ4007" s="48"/>
      <c r="BR4007" s="48"/>
      <c r="BS4007" s="48"/>
      <c r="BT4007" s="48"/>
      <c r="BU4007" s="48"/>
      <c r="BV4007" s="48"/>
      <c r="BW4007" s="48"/>
      <c r="BX4007" s="48"/>
      <c r="BY4007" s="48"/>
      <c r="BZ4007" s="48"/>
      <c r="CA4007" s="48"/>
      <c r="CB4007" s="48"/>
      <c r="CC4007" s="48"/>
      <c r="CD4007" s="48"/>
      <c r="CE4007" s="48"/>
      <c r="CF4007" s="48"/>
      <c r="CG4007" s="48"/>
      <c r="CH4007" s="48"/>
      <c r="CI4007" s="48"/>
      <c r="CJ4007" s="48"/>
      <c r="CK4007" s="48"/>
      <c r="CL4007" s="48"/>
      <c r="CM4007" s="48"/>
      <c r="CN4007" s="48"/>
      <c r="CO4007" s="48"/>
      <c r="CP4007" s="48"/>
      <c r="CQ4007" s="48"/>
      <c r="CR4007" s="48"/>
      <c r="CS4007" s="48"/>
      <c r="CT4007" s="48"/>
      <c r="CU4007" s="48"/>
      <c r="CV4007" s="48"/>
      <c r="CW4007" s="48"/>
      <c r="CX4007" s="48"/>
      <c r="CY4007" s="48"/>
      <c r="CZ4007" s="48"/>
    </row>
    <row r="4008" spans="27:104" s="4" customFormat="1" x14ac:dyDescent="0.3">
      <c r="AA4008" s="48"/>
      <c r="AB4008" s="48"/>
      <c r="AC4008" s="48"/>
      <c r="AD4008" s="48"/>
      <c r="AE4008" s="48"/>
      <c r="AF4008" s="48"/>
      <c r="AG4008" s="48"/>
      <c r="AH4008" s="48"/>
      <c r="AI4008" s="48"/>
      <c r="AJ4008" s="48"/>
      <c r="AK4008" s="48"/>
      <c r="AL4008" s="48"/>
      <c r="AM4008" s="48"/>
      <c r="AN4008" s="48"/>
      <c r="AO4008" s="48"/>
      <c r="AP4008" s="48"/>
      <c r="AQ4008" s="48"/>
      <c r="AR4008" s="48"/>
      <c r="AS4008" s="48"/>
      <c r="AT4008" s="48"/>
      <c r="AU4008" s="48"/>
      <c r="AV4008" s="48"/>
      <c r="AW4008" s="48"/>
      <c r="AX4008" s="48"/>
      <c r="AY4008" s="48"/>
      <c r="AZ4008" s="48"/>
      <c r="BA4008" s="48"/>
      <c r="BB4008" s="14"/>
      <c r="BC4008" s="48"/>
      <c r="BD4008" s="48"/>
      <c r="BE4008" s="48"/>
      <c r="BF4008" s="48"/>
      <c r="BG4008" s="48"/>
      <c r="BH4008" s="48"/>
      <c r="BI4008" s="48"/>
      <c r="BJ4008" s="48"/>
      <c r="BK4008" s="48"/>
      <c r="BL4008" s="48"/>
      <c r="BM4008" s="48"/>
      <c r="BN4008" s="48"/>
      <c r="BO4008" s="48"/>
      <c r="BP4008" s="48"/>
      <c r="BQ4008" s="48"/>
      <c r="BR4008" s="48"/>
      <c r="BS4008" s="48"/>
      <c r="BT4008" s="48"/>
      <c r="BU4008" s="48"/>
      <c r="BV4008" s="48"/>
      <c r="BW4008" s="48"/>
      <c r="BX4008" s="48"/>
      <c r="BY4008" s="48"/>
      <c r="BZ4008" s="48"/>
      <c r="CA4008" s="48"/>
      <c r="CB4008" s="48"/>
      <c r="CC4008" s="48"/>
      <c r="CD4008" s="48"/>
      <c r="CE4008" s="48"/>
      <c r="CF4008" s="48"/>
      <c r="CG4008" s="48"/>
      <c r="CH4008" s="48"/>
      <c r="CI4008" s="48"/>
      <c r="CJ4008" s="48"/>
      <c r="CK4008" s="48"/>
      <c r="CL4008" s="48"/>
      <c r="CM4008" s="48"/>
      <c r="CN4008" s="48"/>
      <c r="CO4008" s="48"/>
      <c r="CP4008" s="48"/>
      <c r="CQ4008" s="48"/>
      <c r="CR4008" s="48"/>
      <c r="CS4008" s="48"/>
      <c r="CT4008" s="48"/>
      <c r="CU4008" s="48"/>
      <c r="CV4008" s="48"/>
      <c r="CW4008" s="48"/>
      <c r="CX4008" s="48"/>
      <c r="CY4008" s="48"/>
      <c r="CZ4008" s="48"/>
    </row>
    <row r="4009" spans="27:104" s="4" customFormat="1" x14ac:dyDescent="0.3">
      <c r="AA4009" s="48"/>
      <c r="AB4009" s="48"/>
      <c r="AC4009" s="48"/>
      <c r="AD4009" s="48"/>
      <c r="AE4009" s="48"/>
      <c r="AF4009" s="48"/>
      <c r="AG4009" s="48"/>
      <c r="AH4009" s="48"/>
      <c r="AI4009" s="48"/>
      <c r="AJ4009" s="48"/>
      <c r="AK4009" s="48"/>
      <c r="AL4009" s="48"/>
      <c r="AM4009" s="48"/>
      <c r="AN4009" s="48"/>
      <c r="AO4009" s="48"/>
      <c r="AP4009" s="48"/>
      <c r="AQ4009" s="48"/>
      <c r="AR4009" s="48"/>
      <c r="AS4009" s="48"/>
      <c r="AT4009" s="48"/>
      <c r="AU4009" s="48"/>
      <c r="AV4009" s="48"/>
      <c r="AW4009" s="48"/>
      <c r="AX4009" s="48"/>
      <c r="AY4009" s="48"/>
      <c r="AZ4009" s="48"/>
      <c r="BA4009" s="48"/>
      <c r="BB4009" s="14"/>
      <c r="BC4009" s="48"/>
      <c r="BD4009" s="48"/>
      <c r="BE4009" s="48"/>
      <c r="BF4009" s="48"/>
      <c r="BG4009" s="48"/>
      <c r="BH4009" s="48"/>
      <c r="BI4009" s="48"/>
      <c r="BJ4009" s="48"/>
      <c r="BK4009" s="48"/>
      <c r="BL4009" s="48"/>
      <c r="BM4009" s="48"/>
      <c r="BN4009" s="48"/>
      <c r="BO4009" s="48"/>
      <c r="BP4009" s="48"/>
      <c r="BQ4009" s="48"/>
      <c r="BR4009" s="48"/>
      <c r="BS4009" s="48"/>
      <c r="BT4009" s="48"/>
      <c r="BU4009" s="48"/>
      <c r="BV4009" s="48"/>
      <c r="BW4009" s="48"/>
      <c r="BX4009" s="48"/>
      <c r="BY4009" s="48"/>
      <c r="BZ4009" s="48"/>
      <c r="CA4009" s="48"/>
      <c r="CB4009" s="48"/>
      <c r="CC4009" s="48"/>
      <c r="CD4009" s="48"/>
      <c r="CE4009" s="48"/>
      <c r="CF4009" s="48"/>
      <c r="CG4009" s="48"/>
      <c r="CH4009" s="48"/>
      <c r="CI4009" s="48"/>
      <c r="CJ4009" s="48"/>
      <c r="CK4009" s="48"/>
      <c r="CL4009" s="48"/>
      <c r="CM4009" s="48"/>
      <c r="CN4009" s="48"/>
      <c r="CO4009" s="48"/>
      <c r="CP4009" s="48"/>
      <c r="CQ4009" s="48"/>
      <c r="CR4009" s="48"/>
      <c r="CS4009" s="48"/>
      <c r="CT4009" s="48"/>
      <c r="CU4009" s="48"/>
      <c r="CV4009" s="48"/>
      <c r="CW4009" s="48"/>
      <c r="CX4009" s="48"/>
      <c r="CY4009" s="48"/>
      <c r="CZ4009" s="48"/>
    </row>
    <row r="4010" spans="27:104" s="4" customFormat="1" x14ac:dyDescent="0.3">
      <c r="AA4010" s="48"/>
      <c r="AB4010" s="48"/>
      <c r="AC4010" s="48"/>
      <c r="AD4010" s="48"/>
      <c r="AE4010" s="48"/>
      <c r="AF4010" s="48"/>
      <c r="AG4010" s="48"/>
      <c r="AH4010" s="48"/>
      <c r="AI4010" s="48"/>
      <c r="AJ4010" s="48"/>
      <c r="AK4010" s="48"/>
      <c r="AL4010" s="48"/>
      <c r="AM4010" s="48"/>
      <c r="AN4010" s="48"/>
      <c r="AO4010" s="48"/>
      <c r="AP4010" s="48"/>
      <c r="AQ4010" s="48"/>
      <c r="AR4010" s="48"/>
      <c r="AS4010" s="48"/>
      <c r="AT4010" s="48"/>
      <c r="AU4010" s="48"/>
      <c r="AV4010" s="48"/>
      <c r="AW4010" s="48"/>
      <c r="AX4010" s="48"/>
      <c r="AY4010" s="48"/>
      <c r="AZ4010" s="48"/>
      <c r="BA4010" s="48"/>
      <c r="BB4010" s="14"/>
      <c r="BC4010" s="48"/>
      <c r="BD4010" s="48"/>
      <c r="BE4010" s="48"/>
      <c r="BF4010" s="48"/>
      <c r="BG4010" s="48"/>
      <c r="BH4010" s="48"/>
      <c r="BI4010" s="48"/>
      <c r="BJ4010" s="48"/>
      <c r="BK4010" s="48"/>
      <c r="BL4010" s="48"/>
      <c r="BM4010" s="48"/>
      <c r="BN4010" s="48"/>
      <c r="BO4010" s="48"/>
      <c r="BP4010" s="48"/>
      <c r="BQ4010" s="48"/>
      <c r="BR4010" s="48"/>
      <c r="BS4010" s="48"/>
      <c r="BT4010" s="48"/>
      <c r="BU4010" s="48"/>
      <c r="BV4010" s="48"/>
      <c r="BW4010" s="48"/>
      <c r="BX4010" s="48"/>
      <c r="BY4010" s="48"/>
      <c r="BZ4010" s="48"/>
      <c r="CA4010" s="48"/>
      <c r="CB4010" s="48"/>
      <c r="CC4010" s="48"/>
      <c r="CD4010" s="48"/>
      <c r="CE4010" s="48"/>
      <c r="CF4010" s="48"/>
      <c r="CG4010" s="48"/>
      <c r="CH4010" s="48"/>
      <c r="CI4010" s="48"/>
      <c r="CJ4010" s="48"/>
      <c r="CK4010" s="48"/>
      <c r="CL4010" s="48"/>
      <c r="CM4010" s="48"/>
      <c r="CN4010" s="48"/>
      <c r="CO4010" s="48"/>
      <c r="CP4010" s="48"/>
      <c r="CQ4010" s="48"/>
      <c r="CR4010" s="48"/>
      <c r="CS4010" s="48"/>
      <c r="CT4010" s="48"/>
      <c r="CU4010" s="48"/>
      <c r="CV4010" s="48"/>
      <c r="CW4010" s="48"/>
      <c r="CX4010" s="48"/>
      <c r="CY4010" s="48"/>
      <c r="CZ4010" s="48"/>
    </row>
    <row r="4011" spans="27:104" s="4" customFormat="1" x14ac:dyDescent="0.3">
      <c r="AA4011" s="48"/>
      <c r="AB4011" s="48"/>
      <c r="AC4011" s="48"/>
      <c r="AD4011" s="48"/>
      <c r="AE4011" s="48"/>
      <c r="AF4011" s="48"/>
      <c r="AG4011" s="48"/>
      <c r="AH4011" s="48"/>
      <c r="AI4011" s="48"/>
      <c r="AJ4011" s="48"/>
      <c r="AK4011" s="48"/>
      <c r="AL4011" s="48"/>
      <c r="AM4011" s="48"/>
      <c r="AN4011" s="48"/>
      <c r="AO4011" s="48"/>
      <c r="AP4011" s="48"/>
      <c r="AQ4011" s="48"/>
      <c r="AR4011" s="48"/>
      <c r="AS4011" s="48"/>
      <c r="AT4011" s="48"/>
      <c r="AU4011" s="48"/>
      <c r="AV4011" s="48"/>
      <c r="AW4011" s="48"/>
      <c r="AX4011" s="48"/>
      <c r="AY4011" s="48"/>
      <c r="AZ4011" s="48"/>
      <c r="BA4011" s="48"/>
      <c r="BB4011" s="14"/>
      <c r="BC4011" s="48"/>
      <c r="BD4011" s="48"/>
      <c r="BE4011" s="48"/>
      <c r="BF4011" s="48"/>
      <c r="BG4011" s="48"/>
      <c r="BH4011" s="48"/>
      <c r="BI4011" s="48"/>
      <c r="BJ4011" s="48"/>
      <c r="BK4011" s="48"/>
      <c r="BL4011" s="48"/>
      <c r="BM4011" s="48"/>
      <c r="BN4011" s="48"/>
      <c r="BO4011" s="48"/>
      <c r="BP4011" s="48"/>
      <c r="BQ4011" s="48"/>
      <c r="BR4011" s="48"/>
      <c r="BS4011" s="48"/>
      <c r="BT4011" s="48"/>
      <c r="BU4011" s="48"/>
      <c r="BV4011" s="48"/>
      <c r="BW4011" s="48"/>
      <c r="BX4011" s="48"/>
      <c r="BY4011" s="48"/>
      <c r="BZ4011" s="48"/>
      <c r="CA4011" s="48"/>
      <c r="CB4011" s="48"/>
      <c r="CC4011" s="48"/>
      <c r="CD4011" s="48"/>
      <c r="CE4011" s="48"/>
      <c r="CF4011" s="48"/>
      <c r="CG4011" s="48"/>
      <c r="CH4011" s="48"/>
      <c r="CI4011" s="48"/>
      <c r="CJ4011" s="48"/>
      <c r="CK4011" s="48"/>
      <c r="CL4011" s="48"/>
      <c r="CM4011" s="48"/>
      <c r="CN4011" s="48"/>
      <c r="CO4011" s="48"/>
      <c r="CP4011" s="48"/>
      <c r="CQ4011" s="48"/>
      <c r="CR4011" s="48"/>
      <c r="CS4011" s="48"/>
      <c r="CT4011" s="48"/>
      <c r="CU4011" s="48"/>
      <c r="CV4011" s="48"/>
      <c r="CW4011" s="48"/>
      <c r="CX4011" s="48"/>
      <c r="CY4011" s="48"/>
      <c r="CZ4011" s="48"/>
    </row>
    <row r="4012" spans="27:104" s="4" customFormat="1" x14ac:dyDescent="0.3">
      <c r="AA4012" s="48"/>
      <c r="AB4012" s="48"/>
      <c r="AC4012" s="48"/>
      <c r="AD4012" s="48"/>
      <c r="AE4012" s="48"/>
      <c r="AF4012" s="48"/>
      <c r="AG4012" s="48"/>
      <c r="AH4012" s="48"/>
      <c r="AI4012" s="48"/>
      <c r="AJ4012" s="48"/>
      <c r="AK4012" s="48"/>
      <c r="AL4012" s="48"/>
      <c r="AM4012" s="48"/>
      <c r="AN4012" s="48"/>
      <c r="AO4012" s="48"/>
      <c r="AP4012" s="48"/>
      <c r="AQ4012" s="48"/>
      <c r="AR4012" s="48"/>
      <c r="AS4012" s="48"/>
      <c r="AT4012" s="48"/>
      <c r="AU4012" s="48"/>
      <c r="AV4012" s="48"/>
      <c r="AW4012" s="48"/>
      <c r="AX4012" s="48"/>
      <c r="AY4012" s="48"/>
      <c r="AZ4012" s="48"/>
      <c r="BA4012" s="48"/>
      <c r="BB4012" s="14"/>
      <c r="BC4012" s="48"/>
      <c r="BD4012" s="48"/>
      <c r="BE4012" s="48"/>
      <c r="BF4012" s="48"/>
      <c r="BG4012" s="48"/>
      <c r="BH4012" s="48"/>
      <c r="BI4012" s="48"/>
      <c r="BJ4012" s="48"/>
      <c r="BK4012" s="48"/>
      <c r="BL4012" s="48"/>
      <c r="BM4012" s="48"/>
      <c r="BN4012" s="48"/>
      <c r="BO4012" s="48"/>
      <c r="BP4012" s="48"/>
      <c r="BQ4012" s="48"/>
      <c r="BR4012" s="48"/>
      <c r="BS4012" s="48"/>
      <c r="BT4012" s="48"/>
      <c r="BU4012" s="48"/>
      <c r="BV4012" s="48"/>
      <c r="BW4012" s="48"/>
      <c r="BX4012" s="48"/>
      <c r="BY4012" s="48"/>
      <c r="BZ4012" s="48"/>
      <c r="CA4012" s="48"/>
      <c r="CB4012" s="48"/>
      <c r="CC4012" s="48"/>
      <c r="CD4012" s="48"/>
      <c r="CE4012" s="48"/>
      <c r="CF4012" s="48"/>
      <c r="CG4012" s="48"/>
      <c r="CH4012" s="48"/>
      <c r="CI4012" s="48"/>
      <c r="CJ4012" s="48"/>
      <c r="CK4012" s="48"/>
      <c r="CL4012" s="48"/>
      <c r="CM4012" s="48"/>
      <c r="CN4012" s="48"/>
      <c r="CO4012" s="48"/>
      <c r="CP4012" s="48"/>
      <c r="CQ4012" s="48"/>
      <c r="CR4012" s="48"/>
      <c r="CS4012" s="48"/>
      <c r="CT4012" s="48"/>
      <c r="CU4012" s="48"/>
      <c r="CV4012" s="48"/>
      <c r="CW4012" s="48"/>
      <c r="CX4012" s="48"/>
      <c r="CY4012" s="48"/>
      <c r="CZ4012" s="48"/>
    </row>
    <row r="4013" spans="27:104" s="4" customFormat="1" x14ac:dyDescent="0.3">
      <c r="AA4013" s="48"/>
      <c r="AB4013" s="48"/>
      <c r="AC4013" s="48"/>
      <c r="AD4013" s="48"/>
      <c r="AE4013" s="48"/>
      <c r="AF4013" s="48"/>
      <c r="AG4013" s="48"/>
      <c r="AH4013" s="48"/>
      <c r="AI4013" s="48"/>
      <c r="AJ4013" s="48"/>
      <c r="AK4013" s="48"/>
      <c r="AL4013" s="48"/>
      <c r="AM4013" s="48"/>
      <c r="AN4013" s="48"/>
      <c r="AO4013" s="48"/>
      <c r="AP4013" s="48"/>
      <c r="AQ4013" s="48"/>
      <c r="AR4013" s="48"/>
      <c r="AS4013" s="48"/>
      <c r="AT4013" s="48"/>
      <c r="AU4013" s="48"/>
      <c r="AV4013" s="48"/>
      <c r="AW4013" s="48"/>
      <c r="AX4013" s="48"/>
      <c r="AY4013" s="48"/>
      <c r="AZ4013" s="48"/>
      <c r="BA4013" s="48"/>
      <c r="BB4013" s="14"/>
      <c r="BC4013" s="48"/>
      <c r="BD4013" s="48"/>
      <c r="BE4013" s="48"/>
      <c r="BF4013" s="48"/>
      <c r="BG4013" s="48"/>
      <c r="BH4013" s="48"/>
      <c r="BI4013" s="48"/>
      <c r="BJ4013" s="48"/>
      <c r="BK4013" s="48"/>
      <c r="BL4013" s="48"/>
      <c r="BM4013" s="48"/>
      <c r="BN4013" s="48"/>
      <c r="BO4013" s="48"/>
      <c r="BP4013" s="48"/>
      <c r="BQ4013" s="48"/>
      <c r="BR4013" s="48"/>
      <c r="BS4013" s="48"/>
      <c r="BT4013" s="48"/>
      <c r="BU4013" s="48"/>
      <c r="BV4013" s="48"/>
      <c r="BW4013" s="48"/>
      <c r="BX4013" s="48"/>
      <c r="BY4013" s="48"/>
      <c r="BZ4013" s="48"/>
      <c r="CA4013" s="48"/>
      <c r="CB4013" s="48"/>
      <c r="CC4013" s="48"/>
      <c r="CD4013" s="48"/>
      <c r="CE4013" s="48"/>
      <c r="CF4013" s="48"/>
      <c r="CG4013" s="48"/>
      <c r="CH4013" s="48"/>
      <c r="CI4013" s="48"/>
      <c r="CJ4013" s="48"/>
      <c r="CK4013" s="48"/>
      <c r="CL4013" s="48"/>
      <c r="CM4013" s="48"/>
      <c r="CN4013" s="48"/>
      <c r="CO4013" s="48"/>
      <c r="CP4013" s="48"/>
      <c r="CQ4013" s="48"/>
      <c r="CR4013" s="48"/>
      <c r="CS4013" s="48"/>
      <c r="CT4013" s="48"/>
      <c r="CU4013" s="48"/>
      <c r="CV4013" s="48"/>
      <c r="CW4013" s="48"/>
      <c r="CX4013" s="48"/>
      <c r="CY4013" s="48"/>
      <c r="CZ4013" s="48"/>
    </row>
    <row r="4014" spans="27:104" s="4" customFormat="1" x14ac:dyDescent="0.3">
      <c r="AA4014" s="48"/>
      <c r="AB4014" s="48"/>
      <c r="AC4014" s="48"/>
      <c r="AD4014" s="48"/>
      <c r="AE4014" s="48"/>
      <c r="AF4014" s="48"/>
      <c r="AG4014" s="48"/>
      <c r="AH4014" s="48"/>
      <c r="AI4014" s="48"/>
      <c r="AJ4014" s="48"/>
      <c r="AK4014" s="48"/>
      <c r="AL4014" s="48"/>
      <c r="AM4014" s="48"/>
      <c r="AN4014" s="48"/>
      <c r="AO4014" s="48"/>
      <c r="AP4014" s="48"/>
      <c r="AQ4014" s="48"/>
      <c r="AR4014" s="48"/>
      <c r="AS4014" s="48"/>
      <c r="AT4014" s="48"/>
      <c r="AU4014" s="48"/>
      <c r="AV4014" s="48"/>
      <c r="AW4014" s="48"/>
      <c r="AX4014" s="48"/>
      <c r="AY4014" s="48"/>
      <c r="AZ4014" s="48"/>
      <c r="BA4014" s="48"/>
      <c r="BB4014" s="14"/>
      <c r="BC4014" s="48"/>
      <c r="BD4014" s="48"/>
      <c r="BE4014" s="48"/>
      <c r="BF4014" s="48"/>
      <c r="BG4014" s="48"/>
      <c r="BH4014" s="48"/>
      <c r="BI4014" s="48"/>
      <c r="BJ4014" s="48"/>
      <c r="BK4014" s="48"/>
      <c r="BL4014" s="48"/>
      <c r="BM4014" s="48"/>
      <c r="BN4014" s="48"/>
      <c r="BO4014" s="48"/>
      <c r="BP4014" s="48"/>
      <c r="BQ4014" s="48"/>
      <c r="BR4014" s="48"/>
      <c r="BS4014" s="48"/>
      <c r="BT4014" s="48"/>
      <c r="BU4014" s="48"/>
      <c r="BV4014" s="48"/>
      <c r="BW4014" s="48"/>
      <c r="BX4014" s="48"/>
      <c r="BY4014" s="48"/>
      <c r="BZ4014" s="48"/>
      <c r="CA4014" s="48"/>
      <c r="CB4014" s="48"/>
      <c r="CC4014" s="48"/>
      <c r="CD4014" s="48"/>
      <c r="CE4014" s="48"/>
      <c r="CF4014" s="48"/>
      <c r="CG4014" s="48"/>
      <c r="CH4014" s="48"/>
      <c r="CI4014" s="48"/>
      <c r="CJ4014" s="48"/>
      <c r="CK4014" s="48"/>
      <c r="CL4014" s="48"/>
      <c r="CM4014" s="48"/>
      <c r="CN4014" s="48"/>
      <c r="CO4014" s="48"/>
      <c r="CP4014" s="48"/>
      <c r="CQ4014" s="48"/>
      <c r="CR4014" s="48"/>
      <c r="CS4014" s="48"/>
      <c r="CT4014" s="48"/>
      <c r="CU4014" s="48"/>
      <c r="CV4014" s="48"/>
      <c r="CW4014" s="48"/>
      <c r="CX4014" s="48"/>
      <c r="CY4014" s="48"/>
      <c r="CZ4014" s="48"/>
    </row>
    <row r="4015" spans="27:104" s="4" customFormat="1" x14ac:dyDescent="0.3">
      <c r="AA4015" s="48"/>
      <c r="AB4015" s="48"/>
      <c r="AC4015" s="48"/>
      <c r="AD4015" s="48"/>
      <c r="AE4015" s="48"/>
      <c r="AF4015" s="48"/>
      <c r="AG4015" s="48"/>
      <c r="AH4015" s="48"/>
      <c r="AI4015" s="48"/>
      <c r="AJ4015" s="48"/>
      <c r="AK4015" s="48"/>
      <c r="AL4015" s="48"/>
      <c r="AM4015" s="48"/>
      <c r="AN4015" s="48"/>
      <c r="AO4015" s="48"/>
      <c r="AP4015" s="48"/>
      <c r="AQ4015" s="48"/>
      <c r="AR4015" s="48"/>
      <c r="AS4015" s="48"/>
      <c r="AT4015" s="48"/>
      <c r="AU4015" s="48"/>
      <c r="AV4015" s="48"/>
      <c r="AW4015" s="48"/>
      <c r="AX4015" s="48"/>
      <c r="AY4015" s="48"/>
      <c r="AZ4015" s="48"/>
      <c r="BA4015" s="48"/>
      <c r="BB4015" s="14"/>
      <c r="BC4015" s="48"/>
      <c r="BD4015" s="48"/>
      <c r="BE4015" s="48"/>
      <c r="BF4015" s="48"/>
      <c r="BG4015" s="48"/>
      <c r="BH4015" s="48"/>
      <c r="BI4015" s="48"/>
      <c r="BJ4015" s="48"/>
      <c r="BK4015" s="48"/>
      <c r="BL4015" s="48"/>
      <c r="BM4015" s="48"/>
      <c r="BN4015" s="48"/>
      <c r="BO4015" s="48"/>
      <c r="BP4015" s="48"/>
      <c r="BQ4015" s="48"/>
      <c r="BR4015" s="48"/>
      <c r="BS4015" s="48"/>
      <c r="BT4015" s="48"/>
      <c r="BU4015" s="48"/>
      <c r="BV4015" s="48"/>
      <c r="BW4015" s="48"/>
      <c r="BX4015" s="48"/>
      <c r="BY4015" s="48"/>
      <c r="BZ4015" s="48"/>
      <c r="CA4015" s="48"/>
      <c r="CB4015" s="48"/>
      <c r="CC4015" s="48"/>
      <c r="CD4015" s="48"/>
      <c r="CE4015" s="48"/>
      <c r="CF4015" s="48"/>
      <c r="CG4015" s="48"/>
      <c r="CH4015" s="48"/>
      <c r="CI4015" s="48"/>
      <c r="CJ4015" s="48"/>
      <c r="CK4015" s="48"/>
      <c r="CL4015" s="48"/>
      <c r="CM4015" s="48"/>
      <c r="CN4015" s="48"/>
      <c r="CO4015" s="48"/>
      <c r="CP4015" s="48"/>
      <c r="CQ4015" s="48"/>
      <c r="CR4015" s="48"/>
      <c r="CS4015" s="48"/>
      <c r="CT4015" s="48"/>
      <c r="CU4015" s="48"/>
      <c r="CV4015" s="48"/>
      <c r="CW4015" s="48"/>
      <c r="CX4015" s="48"/>
      <c r="CY4015" s="48"/>
      <c r="CZ4015" s="48"/>
    </row>
    <row r="4016" spans="27:104" s="4" customFormat="1" x14ac:dyDescent="0.3">
      <c r="AA4016" s="48"/>
      <c r="AB4016" s="48"/>
      <c r="AC4016" s="48"/>
      <c r="AD4016" s="48"/>
      <c r="AE4016" s="48"/>
      <c r="AF4016" s="48"/>
      <c r="AG4016" s="48"/>
      <c r="AH4016" s="48"/>
      <c r="AI4016" s="48"/>
      <c r="AJ4016" s="48"/>
      <c r="AK4016" s="48"/>
      <c r="AL4016" s="48"/>
      <c r="AM4016" s="48"/>
      <c r="AN4016" s="48"/>
      <c r="AO4016" s="48"/>
      <c r="AP4016" s="48"/>
      <c r="AQ4016" s="48"/>
      <c r="AR4016" s="48"/>
      <c r="AS4016" s="48"/>
      <c r="AT4016" s="48"/>
      <c r="AU4016" s="48"/>
      <c r="AV4016" s="48"/>
      <c r="AW4016" s="48"/>
      <c r="AX4016" s="48"/>
      <c r="AY4016" s="48"/>
      <c r="AZ4016" s="48"/>
      <c r="BA4016" s="48"/>
      <c r="BB4016" s="14"/>
      <c r="BC4016" s="48"/>
      <c r="BD4016" s="48"/>
      <c r="BE4016" s="48"/>
      <c r="BF4016" s="48"/>
      <c r="BG4016" s="48"/>
      <c r="BH4016" s="48"/>
      <c r="BI4016" s="48"/>
      <c r="BJ4016" s="48"/>
      <c r="BK4016" s="48"/>
      <c r="BL4016" s="48"/>
      <c r="BM4016" s="48"/>
      <c r="BN4016" s="48"/>
      <c r="BO4016" s="48"/>
      <c r="BP4016" s="48"/>
      <c r="BQ4016" s="48"/>
      <c r="BR4016" s="48"/>
      <c r="BS4016" s="48"/>
      <c r="BT4016" s="48"/>
      <c r="BU4016" s="48"/>
      <c r="BV4016" s="48"/>
      <c r="BW4016" s="48"/>
      <c r="BX4016" s="48"/>
      <c r="BY4016" s="48"/>
      <c r="BZ4016" s="48"/>
      <c r="CA4016" s="48"/>
      <c r="CB4016" s="48"/>
      <c r="CC4016" s="48"/>
      <c r="CD4016" s="48"/>
      <c r="CE4016" s="48"/>
      <c r="CF4016" s="48"/>
      <c r="CG4016" s="48"/>
      <c r="CH4016" s="48"/>
      <c r="CI4016" s="48"/>
      <c r="CJ4016" s="48"/>
      <c r="CK4016" s="48"/>
      <c r="CL4016" s="48"/>
      <c r="CM4016" s="48"/>
      <c r="CN4016" s="48"/>
      <c r="CO4016" s="48"/>
      <c r="CP4016" s="48"/>
      <c r="CQ4016" s="48"/>
      <c r="CR4016" s="48"/>
      <c r="CS4016" s="48"/>
      <c r="CT4016" s="48"/>
      <c r="CU4016" s="48"/>
      <c r="CV4016" s="48"/>
      <c r="CW4016" s="48"/>
      <c r="CX4016" s="48"/>
      <c r="CY4016" s="48"/>
      <c r="CZ4016" s="48"/>
    </row>
    <row r="4017" spans="27:104" s="4" customFormat="1" x14ac:dyDescent="0.3">
      <c r="AA4017" s="48"/>
      <c r="AB4017" s="48"/>
      <c r="AC4017" s="48"/>
      <c r="AD4017" s="48"/>
      <c r="AE4017" s="48"/>
      <c r="AF4017" s="48"/>
      <c r="AG4017" s="48"/>
      <c r="AH4017" s="48"/>
      <c r="AI4017" s="48"/>
      <c r="AJ4017" s="48"/>
      <c r="AK4017" s="48"/>
      <c r="AL4017" s="48"/>
      <c r="AM4017" s="48"/>
      <c r="AN4017" s="48"/>
      <c r="AO4017" s="48"/>
      <c r="AP4017" s="48"/>
      <c r="AQ4017" s="48"/>
      <c r="AR4017" s="48"/>
      <c r="AS4017" s="48"/>
      <c r="AT4017" s="48"/>
      <c r="AU4017" s="48"/>
      <c r="AV4017" s="48"/>
      <c r="AW4017" s="48"/>
      <c r="AX4017" s="48"/>
      <c r="AY4017" s="48"/>
      <c r="AZ4017" s="48"/>
      <c r="BA4017" s="48"/>
      <c r="BB4017" s="14"/>
      <c r="BC4017" s="48"/>
      <c r="BD4017" s="48"/>
      <c r="BE4017" s="48"/>
      <c r="BF4017" s="48"/>
      <c r="BG4017" s="48"/>
      <c r="BH4017" s="48"/>
      <c r="BI4017" s="48"/>
      <c r="BJ4017" s="48"/>
      <c r="BK4017" s="48"/>
      <c r="BL4017" s="48"/>
      <c r="BM4017" s="48"/>
      <c r="BN4017" s="48"/>
      <c r="BO4017" s="48"/>
      <c r="BP4017" s="48"/>
      <c r="BQ4017" s="48"/>
      <c r="BR4017" s="48"/>
      <c r="BS4017" s="48"/>
      <c r="BT4017" s="48"/>
      <c r="BU4017" s="48"/>
      <c r="BV4017" s="48"/>
      <c r="BW4017" s="48"/>
      <c r="BX4017" s="48"/>
      <c r="BY4017" s="48"/>
      <c r="BZ4017" s="48"/>
      <c r="CA4017" s="48"/>
      <c r="CB4017" s="48"/>
      <c r="CC4017" s="48"/>
      <c r="CD4017" s="48"/>
      <c r="CE4017" s="48"/>
      <c r="CF4017" s="48"/>
      <c r="CG4017" s="48"/>
      <c r="CH4017" s="48"/>
      <c r="CI4017" s="48"/>
      <c r="CJ4017" s="48"/>
      <c r="CK4017" s="48"/>
      <c r="CL4017" s="48"/>
      <c r="CM4017" s="48"/>
      <c r="CN4017" s="48"/>
      <c r="CO4017" s="48"/>
      <c r="CP4017" s="48"/>
      <c r="CQ4017" s="48"/>
      <c r="CR4017" s="48"/>
      <c r="CS4017" s="48"/>
      <c r="CT4017" s="48"/>
      <c r="CU4017" s="48"/>
      <c r="CV4017" s="48"/>
      <c r="CW4017" s="48"/>
      <c r="CX4017" s="48"/>
      <c r="CY4017" s="48"/>
      <c r="CZ4017" s="48"/>
    </row>
    <row r="4018" spans="27:104" s="4" customFormat="1" x14ac:dyDescent="0.3">
      <c r="AA4018" s="48"/>
      <c r="AB4018" s="48"/>
      <c r="AC4018" s="48"/>
      <c r="AD4018" s="48"/>
      <c r="AE4018" s="48"/>
      <c r="AF4018" s="48"/>
      <c r="AG4018" s="48"/>
      <c r="AH4018" s="48"/>
      <c r="AI4018" s="48"/>
      <c r="AJ4018" s="48"/>
      <c r="AK4018" s="48"/>
      <c r="AL4018" s="48"/>
      <c r="AM4018" s="48"/>
      <c r="AN4018" s="48"/>
      <c r="AO4018" s="48"/>
      <c r="AP4018" s="48"/>
      <c r="AQ4018" s="48"/>
      <c r="AR4018" s="48"/>
      <c r="AS4018" s="48"/>
      <c r="AT4018" s="48"/>
      <c r="AU4018" s="48"/>
      <c r="AV4018" s="48"/>
      <c r="AW4018" s="48"/>
      <c r="AX4018" s="48"/>
      <c r="AY4018" s="48"/>
      <c r="AZ4018" s="48"/>
      <c r="BA4018" s="48"/>
      <c r="BB4018" s="14"/>
      <c r="BC4018" s="48"/>
      <c r="BD4018" s="48"/>
      <c r="BE4018" s="48"/>
      <c r="BF4018" s="48"/>
      <c r="BG4018" s="48"/>
      <c r="BH4018" s="48"/>
      <c r="BI4018" s="48"/>
      <c r="BJ4018" s="48"/>
      <c r="BK4018" s="48"/>
      <c r="BL4018" s="48"/>
      <c r="BM4018" s="48"/>
      <c r="BN4018" s="48"/>
      <c r="BO4018" s="48"/>
      <c r="BP4018" s="48"/>
      <c r="BQ4018" s="48"/>
      <c r="BR4018" s="48"/>
      <c r="BS4018" s="48"/>
      <c r="BT4018" s="48"/>
      <c r="BU4018" s="48"/>
      <c r="BV4018" s="48"/>
      <c r="BW4018" s="48"/>
      <c r="BX4018" s="48"/>
      <c r="BY4018" s="48"/>
      <c r="BZ4018" s="48"/>
      <c r="CA4018" s="48"/>
      <c r="CB4018" s="48"/>
      <c r="CC4018" s="48"/>
      <c r="CD4018" s="48"/>
      <c r="CE4018" s="48"/>
      <c r="CF4018" s="48"/>
      <c r="CG4018" s="48"/>
      <c r="CH4018" s="48"/>
      <c r="CI4018" s="48"/>
      <c r="CJ4018" s="48"/>
      <c r="CK4018" s="48"/>
      <c r="CL4018" s="48"/>
      <c r="CM4018" s="48"/>
      <c r="CN4018" s="48"/>
      <c r="CO4018" s="48"/>
      <c r="CP4018" s="48"/>
      <c r="CQ4018" s="48"/>
      <c r="CR4018" s="48"/>
      <c r="CS4018" s="48"/>
      <c r="CT4018" s="48"/>
      <c r="CU4018" s="48"/>
      <c r="CV4018" s="48"/>
      <c r="CW4018" s="48"/>
      <c r="CX4018" s="48"/>
      <c r="CY4018" s="48"/>
      <c r="CZ4018" s="48"/>
    </row>
    <row r="4019" spans="27:104" s="4" customFormat="1" x14ac:dyDescent="0.3">
      <c r="AA4019" s="48"/>
      <c r="AB4019" s="48"/>
      <c r="AC4019" s="48"/>
      <c r="AD4019" s="48"/>
      <c r="AE4019" s="48"/>
      <c r="AF4019" s="48"/>
      <c r="AG4019" s="48"/>
      <c r="AH4019" s="48"/>
      <c r="AI4019" s="48"/>
      <c r="AJ4019" s="48"/>
      <c r="AK4019" s="48"/>
      <c r="AL4019" s="48"/>
      <c r="AM4019" s="48"/>
      <c r="AN4019" s="48"/>
      <c r="AO4019" s="48"/>
      <c r="AP4019" s="48"/>
      <c r="AQ4019" s="48"/>
      <c r="AR4019" s="48"/>
      <c r="AS4019" s="48"/>
      <c r="AT4019" s="48"/>
      <c r="AU4019" s="48"/>
      <c r="AV4019" s="48"/>
      <c r="AW4019" s="48"/>
      <c r="AX4019" s="48"/>
      <c r="AY4019" s="48"/>
      <c r="AZ4019" s="48"/>
      <c r="BA4019" s="48"/>
      <c r="BB4019" s="14"/>
      <c r="BC4019" s="48"/>
      <c r="BD4019" s="48"/>
      <c r="BE4019" s="48"/>
      <c r="BF4019" s="48"/>
      <c r="BG4019" s="48"/>
      <c r="BH4019" s="48"/>
      <c r="BI4019" s="48"/>
      <c r="BJ4019" s="48"/>
      <c r="BK4019" s="48"/>
      <c r="BL4019" s="48"/>
      <c r="BM4019" s="48"/>
      <c r="BN4019" s="48"/>
      <c r="BO4019" s="48"/>
      <c r="BP4019" s="48"/>
      <c r="BQ4019" s="48"/>
      <c r="BR4019" s="48"/>
      <c r="BS4019" s="48"/>
      <c r="BT4019" s="48"/>
      <c r="BU4019" s="48"/>
      <c r="BV4019" s="48"/>
      <c r="BW4019" s="48"/>
      <c r="BX4019" s="48"/>
      <c r="BY4019" s="48"/>
      <c r="BZ4019" s="48"/>
      <c r="CA4019" s="48"/>
      <c r="CB4019" s="48"/>
      <c r="CC4019" s="48"/>
      <c r="CD4019" s="48"/>
      <c r="CE4019" s="48"/>
      <c r="CF4019" s="48"/>
      <c r="CG4019" s="48"/>
      <c r="CH4019" s="48"/>
      <c r="CI4019" s="48"/>
      <c r="CJ4019" s="48"/>
      <c r="CK4019" s="48"/>
      <c r="CL4019" s="48"/>
      <c r="CM4019" s="48"/>
      <c r="CN4019" s="48"/>
      <c r="CO4019" s="48"/>
      <c r="CP4019" s="48"/>
      <c r="CQ4019" s="48"/>
      <c r="CR4019" s="48"/>
      <c r="CS4019" s="48"/>
      <c r="CT4019" s="48"/>
      <c r="CU4019" s="48"/>
      <c r="CV4019" s="48"/>
      <c r="CW4019" s="48"/>
      <c r="CX4019" s="48"/>
      <c r="CY4019" s="48"/>
      <c r="CZ4019" s="48"/>
    </row>
    <row r="4020" spans="27:104" s="4" customFormat="1" x14ac:dyDescent="0.3">
      <c r="AA4020" s="48"/>
      <c r="AB4020" s="48"/>
      <c r="AC4020" s="48"/>
      <c r="AD4020" s="48"/>
      <c r="AE4020" s="48"/>
      <c r="AF4020" s="48"/>
      <c r="AG4020" s="48"/>
      <c r="AH4020" s="48"/>
      <c r="AI4020" s="48"/>
      <c r="AJ4020" s="48"/>
      <c r="AK4020" s="48"/>
      <c r="AL4020" s="48"/>
      <c r="AM4020" s="48"/>
      <c r="AN4020" s="48"/>
      <c r="AO4020" s="48"/>
      <c r="AP4020" s="48"/>
      <c r="AQ4020" s="48"/>
      <c r="AR4020" s="48"/>
      <c r="AS4020" s="48"/>
      <c r="AT4020" s="48"/>
      <c r="AU4020" s="48"/>
      <c r="AV4020" s="48"/>
      <c r="AW4020" s="48"/>
      <c r="AX4020" s="48"/>
      <c r="AY4020" s="48"/>
      <c r="AZ4020" s="48"/>
      <c r="BA4020" s="48"/>
      <c r="BB4020" s="14"/>
      <c r="BC4020" s="48"/>
      <c r="BD4020" s="48"/>
      <c r="BE4020" s="48"/>
      <c r="BF4020" s="48"/>
      <c r="BG4020" s="48"/>
      <c r="BH4020" s="48"/>
      <c r="BI4020" s="48"/>
      <c r="BJ4020" s="48"/>
      <c r="BK4020" s="48"/>
      <c r="BL4020" s="48"/>
      <c r="BM4020" s="48"/>
      <c r="BN4020" s="48"/>
      <c r="BO4020" s="48"/>
      <c r="BP4020" s="48"/>
      <c r="BQ4020" s="48"/>
      <c r="BR4020" s="48"/>
      <c r="BS4020" s="48"/>
      <c r="BT4020" s="48"/>
      <c r="BU4020" s="48"/>
      <c r="BV4020" s="48"/>
      <c r="BW4020" s="48"/>
      <c r="BX4020" s="48"/>
      <c r="BY4020" s="48"/>
      <c r="BZ4020" s="48"/>
      <c r="CA4020" s="48"/>
      <c r="CB4020" s="48"/>
      <c r="CC4020" s="48"/>
      <c r="CD4020" s="48"/>
      <c r="CE4020" s="48"/>
      <c r="CF4020" s="48"/>
      <c r="CG4020" s="48"/>
      <c r="CH4020" s="48"/>
      <c r="CI4020" s="48"/>
      <c r="CJ4020" s="48"/>
      <c r="CK4020" s="48"/>
      <c r="CL4020" s="48"/>
      <c r="CM4020" s="48"/>
      <c r="CN4020" s="48"/>
      <c r="CO4020" s="48"/>
      <c r="CP4020" s="48"/>
      <c r="CQ4020" s="48"/>
      <c r="CR4020" s="48"/>
      <c r="CS4020" s="48"/>
      <c r="CT4020" s="48"/>
      <c r="CU4020" s="48"/>
      <c r="CV4020" s="48"/>
      <c r="CW4020" s="48"/>
      <c r="CX4020" s="48"/>
      <c r="CY4020" s="48"/>
      <c r="CZ4020" s="48"/>
    </row>
    <row r="4021" spans="27:104" s="4" customFormat="1" x14ac:dyDescent="0.3">
      <c r="AA4021" s="48"/>
      <c r="AB4021" s="48"/>
      <c r="AC4021" s="48"/>
      <c r="AD4021" s="48"/>
      <c r="AE4021" s="48"/>
      <c r="AF4021" s="48"/>
      <c r="AG4021" s="48"/>
      <c r="AH4021" s="48"/>
      <c r="AI4021" s="48"/>
      <c r="AJ4021" s="48"/>
      <c r="AK4021" s="48"/>
      <c r="AL4021" s="48"/>
      <c r="AM4021" s="48"/>
      <c r="AN4021" s="48"/>
      <c r="AO4021" s="48"/>
      <c r="AP4021" s="48"/>
      <c r="AQ4021" s="48"/>
      <c r="AR4021" s="48"/>
      <c r="AS4021" s="48"/>
      <c r="AT4021" s="48"/>
      <c r="AU4021" s="48"/>
      <c r="AV4021" s="48"/>
      <c r="AW4021" s="48"/>
      <c r="AX4021" s="48"/>
      <c r="AY4021" s="48"/>
      <c r="AZ4021" s="48"/>
      <c r="BA4021" s="48"/>
      <c r="BB4021" s="14"/>
      <c r="BC4021" s="48"/>
      <c r="BD4021" s="48"/>
      <c r="BE4021" s="48"/>
      <c r="BF4021" s="48"/>
      <c r="BG4021" s="48"/>
      <c r="BH4021" s="48"/>
      <c r="BI4021" s="48"/>
      <c r="BJ4021" s="48"/>
      <c r="BK4021" s="48"/>
      <c r="BL4021" s="48"/>
      <c r="BM4021" s="48"/>
      <c r="BN4021" s="48"/>
      <c r="BO4021" s="48"/>
      <c r="BP4021" s="48"/>
      <c r="BQ4021" s="48"/>
      <c r="BR4021" s="48"/>
      <c r="BS4021" s="48"/>
      <c r="BT4021" s="48"/>
      <c r="BU4021" s="48"/>
      <c r="BV4021" s="48"/>
      <c r="BW4021" s="48"/>
      <c r="BX4021" s="48"/>
      <c r="BY4021" s="48"/>
      <c r="BZ4021" s="48"/>
      <c r="CA4021" s="48"/>
      <c r="CB4021" s="48"/>
      <c r="CC4021" s="48"/>
      <c r="CD4021" s="48"/>
      <c r="CE4021" s="48"/>
      <c r="CF4021" s="48"/>
      <c r="CG4021" s="48"/>
      <c r="CH4021" s="48"/>
      <c r="CI4021" s="48"/>
      <c r="CJ4021" s="48"/>
      <c r="CK4021" s="48"/>
      <c r="CL4021" s="48"/>
      <c r="CM4021" s="48"/>
      <c r="CN4021" s="48"/>
      <c r="CO4021" s="48"/>
      <c r="CP4021" s="48"/>
      <c r="CQ4021" s="48"/>
      <c r="CR4021" s="48"/>
      <c r="CS4021" s="48"/>
      <c r="CT4021" s="48"/>
      <c r="CU4021" s="48"/>
      <c r="CV4021" s="48"/>
      <c r="CW4021" s="48"/>
      <c r="CX4021" s="48"/>
      <c r="CY4021" s="48"/>
      <c r="CZ4021" s="48"/>
    </row>
    <row r="4022" spans="27:104" s="4" customFormat="1" x14ac:dyDescent="0.3">
      <c r="AA4022" s="48"/>
      <c r="AB4022" s="48"/>
      <c r="AC4022" s="48"/>
      <c r="AD4022" s="48"/>
      <c r="AE4022" s="48"/>
      <c r="AF4022" s="48"/>
      <c r="AG4022" s="48"/>
      <c r="AH4022" s="48"/>
      <c r="AI4022" s="48"/>
      <c r="AJ4022" s="48"/>
      <c r="AK4022" s="48"/>
      <c r="AL4022" s="48"/>
      <c r="AM4022" s="48"/>
      <c r="AN4022" s="48"/>
      <c r="AO4022" s="48"/>
      <c r="AP4022" s="48"/>
      <c r="AQ4022" s="48"/>
      <c r="AR4022" s="48"/>
      <c r="AS4022" s="48"/>
      <c r="AT4022" s="48"/>
      <c r="AU4022" s="48"/>
      <c r="AV4022" s="48"/>
      <c r="AW4022" s="48"/>
      <c r="AX4022" s="48"/>
      <c r="AY4022" s="48"/>
      <c r="AZ4022" s="48"/>
      <c r="BA4022" s="48"/>
      <c r="BB4022" s="14"/>
      <c r="BC4022" s="48"/>
      <c r="BD4022" s="48"/>
      <c r="BE4022" s="48"/>
      <c r="BF4022" s="48"/>
      <c r="BG4022" s="48"/>
      <c r="BH4022" s="48"/>
      <c r="BI4022" s="48"/>
      <c r="BJ4022" s="48"/>
      <c r="BK4022" s="48"/>
      <c r="BL4022" s="48"/>
      <c r="BM4022" s="48"/>
      <c r="BN4022" s="48"/>
      <c r="BO4022" s="48"/>
      <c r="BP4022" s="48"/>
      <c r="BQ4022" s="48"/>
      <c r="BR4022" s="48"/>
      <c r="BS4022" s="48"/>
      <c r="BT4022" s="48"/>
      <c r="BU4022" s="48"/>
      <c r="BV4022" s="48"/>
      <c r="BW4022" s="48"/>
      <c r="BX4022" s="48"/>
      <c r="BY4022" s="48"/>
      <c r="BZ4022" s="48"/>
      <c r="CA4022" s="48"/>
      <c r="CB4022" s="48"/>
      <c r="CC4022" s="48"/>
      <c r="CD4022" s="48"/>
      <c r="CE4022" s="48"/>
      <c r="CF4022" s="48"/>
      <c r="CG4022" s="48"/>
      <c r="CH4022" s="48"/>
      <c r="CI4022" s="48"/>
      <c r="CJ4022" s="48"/>
      <c r="CK4022" s="48"/>
      <c r="CL4022" s="48"/>
      <c r="CM4022" s="48"/>
      <c r="CN4022" s="48"/>
      <c r="CO4022" s="48"/>
      <c r="CP4022" s="48"/>
      <c r="CQ4022" s="48"/>
      <c r="CR4022" s="48"/>
      <c r="CS4022" s="48"/>
      <c r="CT4022" s="48"/>
      <c r="CU4022" s="48"/>
      <c r="CV4022" s="48"/>
      <c r="CW4022" s="48"/>
      <c r="CX4022" s="48"/>
      <c r="CY4022" s="48"/>
      <c r="CZ4022" s="48"/>
    </row>
    <row r="4023" spans="27:104" s="4" customFormat="1" x14ac:dyDescent="0.3">
      <c r="AA4023" s="48"/>
      <c r="AB4023" s="48"/>
      <c r="AC4023" s="48"/>
      <c r="AD4023" s="48"/>
      <c r="AE4023" s="48"/>
      <c r="AF4023" s="48"/>
      <c r="AG4023" s="48"/>
      <c r="AH4023" s="48"/>
      <c r="AI4023" s="48"/>
      <c r="AJ4023" s="48"/>
      <c r="AK4023" s="48"/>
      <c r="AL4023" s="48"/>
      <c r="AM4023" s="48"/>
      <c r="AN4023" s="48"/>
      <c r="AO4023" s="48"/>
      <c r="AP4023" s="48"/>
      <c r="AQ4023" s="48"/>
      <c r="AR4023" s="48"/>
      <c r="AS4023" s="48"/>
      <c r="AT4023" s="48"/>
      <c r="AU4023" s="48"/>
      <c r="AV4023" s="48"/>
      <c r="AW4023" s="48"/>
      <c r="AX4023" s="48"/>
      <c r="AY4023" s="48"/>
      <c r="AZ4023" s="48"/>
      <c r="BA4023" s="48"/>
      <c r="BB4023" s="14"/>
      <c r="BC4023" s="48"/>
      <c r="BD4023" s="48"/>
      <c r="BE4023" s="48"/>
      <c r="BF4023" s="48"/>
      <c r="BG4023" s="48"/>
      <c r="BH4023" s="48"/>
      <c r="BI4023" s="48"/>
      <c r="BJ4023" s="48"/>
      <c r="BK4023" s="48"/>
      <c r="BL4023" s="48"/>
      <c r="BM4023" s="48"/>
      <c r="BN4023" s="48"/>
      <c r="BO4023" s="48"/>
      <c r="BP4023" s="48"/>
      <c r="BQ4023" s="48"/>
      <c r="BR4023" s="48"/>
      <c r="BS4023" s="48"/>
      <c r="BT4023" s="48"/>
      <c r="BU4023" s="48"/>
      <c r="BV4023" s="48"/>
      <c r="BW4023" s="48"/>
      <c r="BX4023" s="48"/>
      <c r="BY4023" s="48"/>
      <c r="BZ4023" s="48"/>
      <c r="CA4023" s="48"/>
      <c r="CB4023" s="48"/>
      <c r="CC4023" s="48"/>
      <c r="CD4023" s="48"/>
      <c r="CE4023" s="48"/>
      <c r="CF4023" s="48"/>
      <c r="CG4023" s="48"/>
      <c r="CH4023" s="48"/>
      <c r="CI4023" s="48"/>
      <c r="CJ4023" s="48"/>
      <c r="CK4023" s="48"/>
      <c r="CL4023" s="48"/>
      <c r="CM4023" s="48"/>
      <c r="CN4023" s="48"/>
      <c r="CO4023" s="48"/>
      <c r="CP4023" s="48"/>
      <c r="CQ4023" s="48"/>
      <c r="CR4023" s="48"/>
      <c r="CS4023" s="48"/>
      <c r="CT4023" s="48"/>
      <c r="CU4023" s="48"/>
      <c r="CV4023" s="48"/>
      <c r="CW4023" s="48"/>
      <c r="CX4023" s="48"/>
      <c r="CY4023" s="48"/>
      <c r="CZ4023" s="48"/>
    </row>
    <row r="4024" spans="27:104" s="4" customFormat="1" x14ac:dyDescent="0.3">
      <c r="AA4024" s="48"/>
      <c r="AB4024" s="48"/>
      <c r="AC4024" s="48"/>
      <c r="AD4024" s="48"/>
      <c r="AE4024" s="48"/>
      <c r="AF4024" s="48"/>
      <c r="AG4024" s="48"/>
      <c r="AH4024" s="48"/>
      <c r="AI4024" s="48"/>
      <c r="AJ4024" s="48"/>
      <c r="AK4024" s="48"/>
      <c r="AL4024" s="48"/>
      <c r="AM4024" s="48"/>
      <c r="AN4024" s="48"/>
      <c r="AO4024" s="48"/>
      <c r="AP4024" s="48"/>
      <c r="AQ4024" s="48"/>
      <c r="AR4024" s="48"/>
      <c r="AS4024" s="48"/>
      <c r="AT4024" s="48"/>
      <c r="AU4024" s="48"/>
      <c r="AV4024" s="48"/>
      <c r="AW4024" s="48"/>
      <c r="AX4024" s="48"/>
      <c r="AY4024" s="48"/>
      <c r="AZ4024" s="48"/>
      <c r="BA4024" s="48"/>
      <c r="BB4024" s="14"/>
      <c r="BC4024" s="48"/>
      <c r="BD4024" s="48"/>
      <c r="BE4024" s="48"/>
      <c r="BF4024" s="48"/>
      <c r="BG4024" s="48"/>
      <c r="BH4024" s="48"/>
      <c r="BI4024" s="48"/>
      <c r="BJ4024" s="48"/>
      <c r="BK4024" s="48"/>
      <c r="BL4024" s="48"/>
      <c r="BM4024" s="48"/>
      <c r="BN4024" s="48"/>
      <c r="BO4024" s="48"/>
      <c r="BP4024" s="48"/>
      <c r="BQ4024" s="48"/>
      <c r="BR4024" s="48"/>
      <c r="BS4024" s="48"/>
      <c r="BT4024" s="48"/>
      <c r="BU4024" s="48"/>
      <c r="BV4024" s="48"/>
      <c r="BW4024" s="48"/>
      <c r="BX4024" s="48"/>
      <c r="BY4024" s="48"/>
      <c r="BZ4024" s="48"/>
      <c r="CA4024" s="48"/>
      <c r="CB4024" s="48"/>
      <c r="CC4024" s="48"/>
      <c r="CD4024" s="48"/>
      <c r="CE4024" s="48"/>
      <c r="CF4024" s="48"/>
      <c r="CG4024" s="48"/>
      <c r="CH4024" s="48"/>
      <c r="CI4024" s="48"/>
      <c r="CJ4024" s="48"/>
      <c r="CK4024" s="48"/>
      <c r="CL4024" s="48"/>
      <c r="CM4024" s="48"/>
      <c r="CN4024" s="48"/>
      <c r="CO4024" s="48"/>
      <c r="CP4024" s="48"/>
      <c r="CQ4024" s="48"/>
      <c r="CR4024" s="48"/>
      <c r="CS4024" s="48"/>
      <c r="CT4024" s="48"/>
      <c r="CU4024" s="48"/>
      <c r="CV4024" s="48"/>
      <c r="CW4024" s="48"/>
      <c r="CX4024" s="48"/>
      <c r="CY4024" s="48"/>
      <c r="CZ4024" s="48"/>
    </row>
    <row r="4025" spans="27:104" s="4" customFormat="1" x14ac:dyDescent="0.3">
      <c r="AA4025" s="48"/>
      <c r="AB4025" s="48"/>
      <c r="AC4025" s="48"/>
      <c r="AD4025" s="48"/>
      <c r="AE4025" s="48"/>
      <c r="AF4025" s="48"/>
      <c r="AG4025" s="48"/>
      <c r="AH4025" s="48"/>
      <c r="AI4025" s="48"/>
      <c r="AJ4025" s="48"/>
      <c r="AK4025" s="48"/>
      <c r="AL4025" s="48"/>
      <c r="AM4025" s="48"/>
      <c r="AN4025" s="48"/>
      <c r="AO4025" s="48"/>
      <c r="AP4025" s="48"/>
      <c r="AQ4025" s="48"/>
      <c r="AR4025" s="48"/>
      <c r="AS4025" s="48"/>
      <c r="AT4025" s="48"/>
      <c r="AU4025" s="48"/>
      <c r="AV4025" s="48"/>
      <c r="AW4025" s="48"/>
      <c r="AX4025" s="48"/>
      <c r="AY4025" s="48"/>
      <c r="AZ4025" s="48"/>
      <c r="BA4025" s="48"/>
      <c r="BB4025" s="14"/>
      <c r="BC4025" s="48"/>
      <c r="BD4025" s="48"/>
      <c r="BE4025" s="48"/>
      <c r="BF4025" s="48"/>
      <c r="BG4025" s="48"/>
      <c r="BH4025" s="48"/>
      <c r="BI4025" s="48"/>
      <c r="BJ4025" s="48"/>
      <c r="BK4025" s="48"/>
      <c r="BL4025" s="48"/>
      <c r="BM4025" s="48"/>
      <c r="BN4025" s="48"/>
      <c r="BO4025" s="48"/>
      <c r="BP4025" s="48"/>
      <c r="BQ4025" s="48"/>
      <c r="BR4025" s="48"/>
      <c r="BS4025" s="48"/>
      <c r="BT4025" s="48"/>
      <c r="BU4025" s="48"/>
      <c r="BV4025" s="48"/>
      <c r="BW4025" s="48"/>
      <c r="BX4025" s="48"/>
      <c r="BY4025" s="48"/>
      <c r="BZ4025" s="48"/>
      <c r="CA4025" s="48"/>
      <c r="CB4025" s="48"/>
      <c r="CC4025" s="48"/>
      <c r="CD4025" s="48"/>
      <c r="CE4025" s="48"/>
      <c r="CF4025" s="48"/>
      <c r="CG4025" s="48"/>
      <c r="CH4025" s="48"/>
      <c r="CI4025" s="48"/>
      <c r="CJ4025" s="48"/>
      <c r="CK4025" s="48"/>
      <c r="CL4025" s="48"/>
      <c r="CM4025" s="48"/>
      <c r="CN4025" s="48"/>
      <c r="CO4025" s="48"/>
      <c r="CP4025" s="48"/>
      <c r="CQ4025" s="48"/>
      <c r="CR4025" s="48"/>
      <c r="CS4025" s="48"/>
      <c r="CT4025" s="48"/>
      <c r="CU4025" s="48"/>
      <c r="CV4025" s="48"/>
      <c r="CW4025" s="48"/>
      <c r="CX4025" s="48"/>
      <c r="CY4025" s="48"/>
      <c r="CZ4025" s="48"/>
    </row>
    <row r="4026" spans="27:104" s="4" customFormat="1" x14ac:dyDescent="0.3">
      <c r="AA4026" s="48"/>
      <c r="AB4026" s="48"/>
      <c r="AC4026" s="48"/>
      <c r="AD4026" s="48"/>
      <c r="AE4026" s="48"/>
      <c r="AF4026" s="48"/>
      <c r="AG4026" s="48"/>
      <c r="AH4026" s="48"/>
      <c r="AI4026" s="48"/>
      <c r="AJ4026" s="48"/>
      <c r="AK4026" s="48"/>
      <c r="AL4026" s="48"/>
      <c r="AM4026" s="48"/>
      <c r="AN4026" s="48"/>
      <c r="AO4026" s="48"/>
      <c r="AP4026" s="48"/>
      <c r="AQ4026" s="48"/>
      <c r="AR4026" s="48"/>
      <c r="AS4026" s="48"/>
      <c r="AT4026" s="48"/>
      <c r="AU4026" s="48"/>
      <c r="AV4026" s="48"/>
      <c r="AW4026" s="48"/>
      <c r="AX4026" s="48"/>
      <c r="AY4026" s="48"/>
      <c r="AZ4026" s="48"/>
      <c r="BA4026" s="48"/>
      <c r="BB4026" s="14"/>
      <c r="BC4026" s="48"/>
      <c r="BD4026" s="48"/>
      <c r="BE4026" s="48"/>
      <c r="BF4026" s="48"/>
      <c r="BG4026" s="48"/>
      <c r="BH4026" s="48"/>
      <c r="BI4026" s="48"/>
      <c r="BJ4026" s="48"/>
      <c r="BK4026" s="48"/>
      <c r="BL4026" s="48"/>
      <c r="BM4026" s="48"/>
      <c r="BN4026" s="48"/>
      <c r="BO4026" s="48"/>
      <c r="BP4026" s="48"/>
      <c r="BQ4026" s="48"/>
      <c r="BR4026" s="48"/>
      <c r="BS4026" s="48"/>
      <c r="BT4026" s="48"/>
      <c r="BU4026" s="48"/>
      <c r="BV4026" s="48"/>
      <c r="BW4026" s="48"/>
      <c r="BX4026" s="48"/>
      <c r="BY4026" s="48"/>
      <c r="BZ4026" s="48"/>
      <c r="CA4026" s="48"/>
      <c r="CB4026" s="48"/>
      <c r="CC4026" s="48"/>
      <c r="CD4026" s="48"/>
      <c r="CE4026" s="48"/>
      <c r="CF4026" s="48"/>
      <c r="CG4026" s="48"/>
      <c r="CH4026" s="48"/>
      <c r="CI4026" s="48"/>
      <c r="CJ4026" s="48"/>
      <c r="CK4026" s="48"/>
      <c r="CL4026" s="48"/>
      <c r="CM4026" s="48"/>
      <c r="CN4026" s="48"/>
      <c r="CO4026" s="48"/>
      <c r="CP4026" s="48"/>
      <c r="CQ4026" s="48"/>
      <c r="CR4026" s="48"/>
      <c r="CS4026" s="48"/>
      <c r="CT4026" s="48"/>
      <c r="CU4026" s="48"/>
      <c r="CV4026" s="48"/>
      <c r="CW4026" s="48"/>
      <c r="CX4026" s="48"/>
      <c r="CY4026" s="48"/>
      <c r="CZ4026" s="48"/>
    </row>
    <row r="4027" spans="27:104" s="4" customFormat="1" x14ac:dyDescent="0.3">
      <c r="AA4027" s="48"/>
      <c r="AB4027" s="48"/>
      <c r="AC4027" s="48"/>
      <c r="AD4027" s="48"/>
      <c r="AE4027" s="48"/>
      <c r="AF4027" s="48"/>
      <c r="AG4027" s="48"/>
      <c r="AH4027" s="48"/>
      <c r="AI4027" s="48"/>
      <c r="AJ4027" s="48"/>
      <c r="AK4027" s="48"/>
      <c r="AL4027" s="48"/>
      <c r="AM4027" s="48"/>
      <c r="AN4027" s="48"/>
      <c r="AO4027" s="48"/>
      <c r="AP4027" s="48"/>
      <c r="AQ4027" s="48"/>
      <c r="AR4027" s="48"/>
      <c r="AS4027" s="48"/>
      <c r="AT4027" s="48"/>
      <c r="AU4027" s="48"/>
      <c r="AV4027" s="48"/>
      <c r="AW4027" s="48"/>
      <c r="AX4027" s="48"/>
      <c r="AY4027" s="48"/>
      <c r="AZ4027" s="48"/>
      <c r="BA4027" s="48"/>
      <c r="BB4027" s="14"/>
      <c r="BC4027" s="48"/>
      <c r="BD4027" s="48"/>
      <c r="BE4027" s="48"/>
      <c r="BF4027" s="48"/>
      <c r="BG4027" s="48"/>
      <c r="BH4027" s="48"/>
      <c r="BI4027" s="48"/>
      <c r="BJ4027" s="48"/>
      <c r="BK4027" s="48"/>
      <c r="BL4027" s="48"/>
      <c r="BM4027" s="48"/>
      <c r="BN4027" s="48"/>
      <c r="BO4027" s="48"/>
      <c r="BP4027" s="48"/>
      <c r="BQ4027" s="48"/>
      <c r="BR4027" s="48"/>
      <c r="BS4027" s="48"/>
      <c r="BT4027" s="48"/>
      <c r="BU4027" s="48"/>
      <c r="BV4027" s="48"/>
      <c r="BW4027" s="48"/>
      <c r="BX4027" s="48"/>
      <c r="BY4027" s="48"/>
      <c r="BZ4027" s="48"/>
      <c r="CA4027" s="48"/>
      <c r="CB4027" s="48"/>
      <c r="CC4027" s="48"/>
      <c r="CD4027" s="48"/>
      <c r="CE4027" s="48"/>
      <c r="CF4027" s="48"/>
      <c r="CG4027" s="48"/>
      <c r="CH4027" s="48"/>
      <c r="CI4027" s="48"/>
      <c r="CJ4027" s="48"/>
      <c r="CK4027" s="48"/>
      <c r="CL4027" s="48"/>
      <c r="CM4027" s="48"/>
      <c r="CN4027" s="48"/>
      <c r="CO4027" s="48"/>
      <c r="CP4027" s="48"/>
      <c r="CQ4027" s="48"/>
      <c r="CR4027" s="48"/>
      <c r="CS4027" s="48"/>
      <c r="CT4027" s="48"/>
      <c r="CU4027" s="48"/>
      <c r="CV4027" s="48"/>
      <c r="CW4027" s="48"/>
      <c r="CX4027" s="48"/>
      <c r="CY4027" s="48"/>
      <c r="CZ4027" s="48"/>
    </row>
    <row r="4028" spans="27:104" s="4" customFormat="1" x14ac:dyDescent="0.3">
      <c r="AA4028" s="48"/>
      <c r="AB4028" s="48"/>
      <c r="AC4028" s="48"/>
      <c r="AD4028" s="48"/>
      <c r="AE4028" s="48"/>
      <c r="AF4028" s="48"/>
      <c r="AG4028" s="48"/>
      <c r="AH4028" s="48"/>
      <c r="AI4028" s="48"/>
      <c r="AJ4028" s="48"/>
      <c r="AK4028" s="48"/>
      <c r="AL4028" s="48"/>
      <c r="AM4028" s="48"/>
      <c r="AN4028" s="48"/>
      <c r="AO4028" s="48"/>
      <c r="AP4028" s="48"/>
      <c r="AQ4028" s="48"/>
      <c r="AR4028" s="48"/>
      <c r="AS4028" s="48"/>
      <c r="AT4028" s="48"/>
      <c r="AU4028" s="48"/>
      <c r="AV4028" s="48"/>
      <c r="AW4028" s="48"/>
      <c r="AX4028" s="48"/>
      <c r="AY4028" s="48"/>
      <c r="AZ4028" s="48"/>
      <c r="BA4028" s="48"/>
      <c r="BB4028" s="14"/>
      <c r="BC4028" s="48"/>
      <c r="BD4028" s="48"/>
      <c r="BE4028" s="48"/>
      <c r="BF4028" s="48"/>
      <c r="BG4028" s="48"/>
      <c r="BH4028" s="48"/>
      <c r="BI4028" s="48"/>
      <c r="BJ4028" s="48"/>
      <c r="BK4028" s="48"/>
      <c r="BL4028" s="48"/>
      <c r="BM4028" s="48"/>
      <c r="BN4028" s="48"/>
      <c r="BO4028" s="48"/>
      <c r="BP4028" s="48"/>
      <c r="BQ4028" s="48"/>
      <c r="BR4028" s="48"/>
      <c r="BS4028" s="48"/>
      <c r="BT4028" s="48"/>
      <c r="BU4028" s="48"/>
      <c r="BV4028" s="48"/>
      <c r="BW4028" s="48"/>
      <c r="BX4028" s="48"/>
      <c r="BY4028" s="48"/>
      <c r="BZ4028" s="48"/>
      <c r="CA4028" s="48"/>
      <c r="CB4028" s="48"/>
      <c r="CC4028" s="48"/>
      <c r="CD4028" s="48"/>
      <c r="CE4028" s="48"/>
      <c r="CF4028" s="48"/>
      <c r="CG4028" s="48"/>
      <c r="CH4028" s="48"/>
      <c r="CI4028" s="48"/>
      <c r="CJ4028" s="48"/>
      <c r="CK4028" s="48"/>
      <c r="CL4028" s="48"/>
      <c r="CM4028" s="48"/>
      <c r="CN4028" s="48"/>
      <c r="CO4028" s="48"/>
      <c r="CP4028" s="48"/>
      <c r="CQ4028" s="48"/>
      <c r="CR4028" s="48"/>
      <c r="CS4028" s="48"/>
      <c r="CT4028" s="48"/>
      <c r="CU4028" s="48"/>
      <c r="CV4028" s="48"/>
      <c r="CW4028" s="48"/>
      <c r="CX4028" s="48"/>
      <c r="CY4028" s="48"/>
      <c r="CZ4028" s="48"/>
    </row>
    <row r="4029" spans="27:104" s="4" customFormat="1" x14ac:dyDescent="0.3">
      <c r="AA4029" s="48"/>
      <c r="AB4029" s="48"/>
      <c r="AC4029" s="48"/>
      <c r="AD4029" s="48"/>
      <c r="AE4029" s="48"/>
      <c r="AF4029" s="48"/>
      <c r="AG4029" s="48"/>
      <c r="AH4029" s="48"/>
      <c r="AI4029" s="48"/>
      <c r="AJ4029" s="48"/>
      <c r="AK4029" s="48"/>
      <c r="AL4029" s="48"/>
      <c r="AM4029" s="48"/>
      <c r="AN4029" s="48"/>
      <c r="AO4029" s="48"/>
      <c r="AP4029" s="48"/>
      <c r="AQ4029" s="48"/>
      <c r="AR4029" s="48"/>
      <c r="AS4029" s="48"/>
      <c r="AT4029" s="48"/>
      <c r="AU4029" s="48"/>
      <c r="AV4029" s="48"/>
      <c r="AW4029" s="48"/>
      <c r="AX4029" s="48"/>
      <c r="AY4029" s="48"/>
      <c r="AZ4029" s="48"/>
      <c r="BA4029" s="48"/>
      <c r="BB4029" s="14"/>
      <c r="BC4029" s="48"/>
      <c r="BD4029" s="48"/>
      <c r="BE4029" s="48"/>
      <c r="BF4029" s="48"/>
      <c r="BG4029" s="48"/>
      <c r="BH4029" s="48"/>
      <c r="BI4029" s="48"/>
      <c r="BJ4029" s="48"/>
      <c r="BK4029" s="48"/>
      <c r="BL4029" s="48"/>
      <c r="BM4029" s="48"/>
      <c r="BN4029" s="48"/>
      <c r="BO4029" s="48"/>
      <c r="BP4029" s="48"/>
      <c r="BQ4029" s="48"/>
      <c r="BR4029" s="48"/>
      <c r="BS4029" s="48"/>
      <c r="BT4029" s="48"/>
      <c r="BU4029" s="48"/>
      <c r="BV4029" s="48"/>
      <c r="BW4029" s="48"/>
      <c r="BX4029" s="48"/>
      <c r="BY4029" s="48"/>
      <c r="BZ4029" s="48"/>
      <c r="CA4029" s="48"/>
      <c r="CB4029" s="48"/>
      <c r="CC4029" s="48"/>
      <c r="CD4029" s="48"/>
      <c r="CE4029" s="48"/>
      <c r="CF4029" s="48"/>
      <c r="CG4029" s="48"/>
      <c r="CH4029" s="48"/>
      <c r="CI4029" s="48"/>
      <c r="CJ4029" s="48"/>
      <c r="CK4029" s="48"/>
      <c r="CL4029" s="48"/>
      <c r="CM4029" s="48"/>
      <c r="CN4029" s="48"/>
      <c r="CO4029" s="48"/>
      <c r="CP4029" s="48"/>
      <c r="CQ4029" s="48"/>
      <c r="CR4029" s="48"/>
      <c r="CS4029" s="48"/>
      <c r="CT4029" s="48"/>
      <c r="CU4029" s="48"/>
      <c r="CV4029" s="48"/>
      <c r="CW4029" s="48"/>
      <c r="CX4029" s="48"/>
      <c r="CY4029" s="48"/>
      <c r="CZ4029" s="48"/>
    </row>
    <row r="4030" spans="27:104" s="4" customFormat="1" x14ac:dyDescent="0.3">
      <c r="AA4030" s="48"/>
      <c r="AB4030" s="48"/>
      <c r="AC4030" s="48"/>
      <c r="AD4030" s="48"/>
      <c r="AE4030" s="48"/>
      <c r="AF4030" s="48"/>
      <c r="AG4030" s="48"/>
      <c r="AH4030" s="48"/>
      <c r="AI4030" s="48"/>
      <c r="AJ4030" s="48"/>
      <c r="AK4030" s="48"/>
      <c r="AL4030" s="48"/>
      <c r="AM4030" s="48"/>
      <c r="AN4030" s="48"/>
      <c r="AO4030" s="48"/>
      <c r="AP4030" s="48"/>
      <c r="AQ4030" s="48"/>
      <c r="AR4030" s="48"/>
      <c r="AS4030" s="48"/>
      <c r="AT4030" s="48"/>
      <c r="AU4030" s="48"/>
      <c r="AV4030" s="48"/>
      <c r="AW4030" s="48"/>
      <c r="AX4030" s="48"/>
      <c r="AY4030" s="48"/>
      <c r="AZ4030" s="48"/>
      <c r="BA4030" s="48"/>
      <c r="BB4030" s="14"/>
      <c r="BC4030" s="48"/>
      <c r="BD4030" s="48"/>
      <c r="BE4030" s="48"/>
      <c r="BF4030" s="48"/>
      <c r="BG4030" s="48"/>
      <c r="BH4030" s="48"/>
      <c r="BI4030" s="48"/>
      <c r="BJ4030" s="48"/>
      <c r="BK4030" s="48"/>
      <c r="BL4030" s="48"/>
      <c r="BM4030" s="48"/>
      <c r="BN4030" s="48"/>
      <c r="BO4030" s="48"/>
      <c r="BP4030" s="48"/>
      <c r="BQ4030" s="48"/>
      <c r="BR4030" s="48"/>
      <c r="BS4030" s="48"/>
      <c r="BT4030" s="48"/>
      <c r="BU4030" s="48"/>
      <c r="BV4030" s="48"/>
      <c r="BW4030" s="48"/>
      <c r="BX4030" s="48"/>
      <c r="BY4030" s="48"/>
      <c r="BZ4030" s="48"/>
      <c r="CA4030" s="48"/>
      <c r="CB4030" s="48"/>
      <c r="CC4030" s="48"/>
      <c r="CD4030" s="48"/>
      <c r="CE4030" s="48"/>
      <c r="CF4030" s="48"/>
      <c r="CG4030" s="48"/>
      <c r="CH4030" s="48"/>
      <c r="CI4030" s="48"/>
      <c r="CJ4030" s="48"/>
      <c r="CK4030" s="48"/>
      <c r="CL4030" s="48"/>
      <c r="CM4030" s="48"/>
      <c r="CN4030" s="48"/>
      <c r="CO4030" s="48"/>
      <c r="CP4030" s="48"/>
      <c r="CQ4030" s="48"/>
      <c r="CR4030" s="48"/>
      <c r="CS4030" s="48"/>
      <c r="CT4030" s="48"/>
      <c r="CU4030" s="48"/>
      <c r="CV4030" s="48"/>
      <c r="CW4030" s="48"/>
      <c r="CX4030" s="48"/>
      <c r="CY4030" s="48"/>
      <c r="CZ4030" s="48"/>
    </row>
    <row r="4031" spans="27:104" s="4" customFormat="1" x14ac:dyDescent="0.3">
      <c r="AA4031" s="48"/>
      <c r="AB4031" s="48"/>
      <c r="AC4031" s="48"/>
      <c r="AD4031" s="48"/>
      <c r="AE4031" s="48"/>
      <c r="AF4031" s="48"/>
      <c r="AG4031" s="48"/>
      <c r="AH4031" s="48"/>
      <c r="AI4031" s="48"/>
      <c r="AJ4031" s="48"/>
      <c r="AK4031" s="48"/>
      <c r="AL4031" s="48"/>
      <c r="AM4031" s="48"/>
      <c r="AN4031" s="48"/>
      <c r="AO4031" s="48"/>
      <c r="AP4031" s="48"/>
      <c r="AQ4031" s="48"/>
      <c r="AR4031" s="48"/>
      <c r="AS4031" s="48"/>
      <c r="AT4031" s="48"/>
      <c r="AU4031" s="48"/>
      <c r="AV4031" s="48"/>
      <c r="AW4031" s="48"/>
      <c r="AX4031" s="48"/>
      <c r="AY4031" s="48"/>
      <c r="AZ4031" s="48"/>
      <c r="BA4031" s="48"/>
      <c r="BB4031" s="14"/>
      <c r="BC4031" s="48"/>
      <c r="BD4031" s="48"/>
      <c r="BE4031" s="48"/>
      <c r="BF4031" s="48"/>
      <c r="BG4031" s="48"/>
      <c r="BH4031" s="48"/>
      <c r="BI4031" s="48"/>
      <c r="BJ4031" s="48"/>
      <c r="BK4031" s="48"/>
      <c r="BL4031" s="48"/>
      <c r="BM4031" s="48"/>
      <c r="BN4031" s="48"/>
      <c r="BO4031" s="48"/>
      <c r="BP4031" s="48"/>
      <c r="BQ4031" s="48"/>
      <c r="BR4031" s="48"/>
      <c r="BS4031" s="48"/>
      <c r="BT4031" s="48"/>
      <c r="BU4031" s="48"/>
      <c r="BV4031" s="48"/>
      <c r="BW4031" s="48"/>
      <c r="BX4031" s="48"/>
      <c r="BY4031" s="48"/>
      <c r="BZ4031" s="48"/>
      <c r="CA4031" s="48"/>
      <c r="CB4031" s="48"/>
      <c r="CC4031" s="48"/>
      <c r="CD4031" s="48"/>
      <c r="CE4031" s="48"/>
      <c r="CF4031" s="48"/>
      <c r="CG4031" s="48"/>
      <c r="CH4031" s="48"/>
      <c r="CI4031" s="48"/>
      <c r="CJ4031" s="48"/>
      <c r="CK4031" s="48"/>
      <c r="CL4031" s="48"/>
      <c r="CM4031" s="48"/>
      <c r="CN4031" s="48"/>
      <c r="CO4031" s="48"/>
      <c r="CP4031" s="48"/>
      <c r="CQ4031" s="48"/>
      <c r="CR4031" s="48"/>
      <c r="CS4031" s="48"/>
      <c r="CT4031" s="48"/>
      <c r="CU4031" s="48"/>
      <c r="CV4031" s="48"/>
      <c r="CW4031" s="48"/>
      <c r="CX4031" s="48"/>
      <c r="CY4031" s="48"/>
      <c r="CZ4031" s="48"/>
    </row>
    <row r="4032" spans="27:104" s="4" customFormat="1" x14ac:dyDescent="0.3">
      <c r="AA4032" s="48"/>
      <c r="AB4032" s="48"/>
      <c r="AC4032" s="48"/>
      <c r="AD4032" s="48"/>
      <c r="AE4032" s="48"/>
      <c r="AF4032" s="48"/>
      <c r="AG4032" s="48"/>
      <c r="AH4032" s="48"/>
      <c r="AI4032" s="48"/>
      <c r="AJ4032" s="48"/>
      <c r="AK4032" s="48"/>
      <c r="AL4032" s="48"/>
      <c r="AM4032" s="48"/>
      <c r="AN4032" s="48"/>
      <c r="AO4032" s="48"/>
      <c r="AP4032" s="48"/>
      <c r="AQ4032" s="48"/>
      <c r="AR4032" s="48"/>
      <c r="AS4032" s="48"/>
      <c r="AT4032" s="48"/>
      <c r="AU4032" s="48"/>
      <c r="AV4032" s="48"/>
      <c r="AW4032" s="48"/>
      <c r="AX4032" s="48"/>
      <c r="AY4032" s="48"/>
      <c r="AZ4032" s="48"/>
      <c r="BA4032" s="48"/>
      <c r="BB4032" s="14"/>
      <c r="BC4032" s="48"/>
      <c r="BD4032" s="48"/>
      <c r="BE4032" s="48"/>
      <c r="BF4032" s="48"/>
      <c r="BG4032" s="48"/>
      <c r="BH4032" s="48"/>
      <c r="BI4032" s="48"/>
      <c r="BJ4032" s="48"/>
      <c r="BK4032" s="48"/>
      <c r="BL4032" s="48"/>
      <c r="BM4032" s="48"/>
      <c r="BN4032" s="48"/>
      <c r="BO4032" s="48"/>
      <c r="BP4032" s="48"/>
      <c r="BQ4032" s="48"/>
      <c r="BR4032" s="48"/>
      <c r="BS4032" s="48"/>
      <c r="BT4032" s="48"/>
      <c r="BU4032" s="48"/>
      <c r="BV4032" s="48"/>
      <c r="BW4032" s="48"/>
      <c r="BX4032" s="48"/>
      <c r="BY4032" s="48"/>
      <c r="BZ4032" s="48"/>
      <c r="CA4032" s="48"/>
      <c r="CB4032" s="48"/>
      <c r="CC4032" s="48"/>
      <c r="CD4032" s="48"/>
      <c r="CE4032" s="48"/>
      <c r="CF4032" s="48"/>
      <c r="CG4032" s="48"/>
      <c r="CH4032" s="48"/>
      <c r="CI4032" s="48"/>
      <c r="CJ4032" s="48"/>
      <c r="CK4032" s="48"/>
      <c r="CL4032" s="48"/>
      <c r="CM4032" s="48"/>
      <c r="CN4032" s="48"/>
      <c r="CO4032" s="48"/>
      <c r="CP4032" s="48"/>
      <c r="CQ4032" s="48"/>
      <c r="CR4032" s="48"/>
      <c r="CS4032" s="48"/>
      <c r="CT4032" s="48"/>
      <c r="CU4032" s="48"/>
      <c r="CV4032" s="48"/>
      <c r="CW4032" s="48"/>
      <c r="CX4032" s="48"/>
      <c r="CY4032" s="48"/>
      <c r="CZ4032" s="48"/>
    </row>
    <row r="4033" spans="27:104" s="4" customFormat="1" x14ac:dyDescent="0.3">
      <c r="AA4033" s="48"/>
      <c r="AB4033" s="48"/>
      <c r="AC4033" s="48"/>
      <c r="AD4033" s="48"/>
      <c r="AE4033" s="48"/>
      <c r="AF4033" s="48"/>
      <c r="AG4033" s="48"/>
      <c r="AH4033" s="48"/>
      <c r="AI4033" s="48"/>
      <c r="AJ4033" s="48"/>
      <c r="AK4033" s="48"/>
      <c r="AL4033" s="48"/>
      <c r="AM4033" s="48"/>
      <c r="AN4033" s="48"/>
      <c r="AO4033" s="48"/>
      <c r="AP4033" s="48"/>
      <c r="AQ4033" s="48"/>
      <c r="AR4033" s="48"/>
      <c r="AS4033" s="48"/>
      <c r="AT4033" s="48"/>
      <c r="AU4033" s="48"/>
      <c r="AV4033" s="48"/>
      <c r="AW4033" s="48"/>
      <c r="AX4033" s="48"/>
      <c r="AY4033" s="48"/>
      <c r="AZ4033" s="48"/>
      <c r="BA4033" s="48"/>
      <c r="BB4033" s="14"/>
      <c r="BC4033" s="48"/>
      <c r="BD4033" s="48"/>
      <c r="BE4033" s="48"/>
      <c r="BF4033" s="48"/>
      <c r="BG4033" s="48"/>
      <c r="BH4033" s="48"/>
      <c r="BI4033" s="48"/>
      <c r="BJ4033" s="48"/>
      <c r="BK4033" s="48"/>
      <c r="BL4033" s="48"/>
      <c r="BM4033" s="48"/>
      <c r="BN4033" s="48"/>
      <c r="BO4033" s="48"/>
      <c r="BP4033" s="48"/>
      <c r="BQ4033" s="48"/>
      <c r="BR4033" s="48"/>
      <c r="BS4033" s="48"/>
      <c r="BT4033" s="48"/>
      <c r="BU4033" s="48"/>
      <c r="BV4033" s="48"/>
      <c r="BW4033" s="48"/>
      <c r="BX4033" s="48"/>
      <c r="BY4033" s="48"/>
      <c r="BZ4033" s="48"/>
      <c r="CA4033" s="48"/>
      <c r="CB4033" s="48"/>
      <c r="CC4033" s="48"/>
      <c r="CD4033" s="48"/>
      <c r="CE4033" s="48"/>
      <c r="CF4033" s="48"/>
      <c r="CG4033" s="48"/>
      <c r="CH4033" s="48"/>
      <c r="CI4033" s="48"/>
      <c r="CJ4033" s="48"/>
      <c r="CK4033" s="48"/>
      <c r="CL4033" s="48"/>
      <c r="CM4033" s="48"/>
      <c r="CN4033" s="48"/>
      <c r="CO4033" s="48"/>
      <c r="CP4033" s="48"/>
      <c r="CQ4033" s="48"/>
      <c r="CR4033" s="48"/>
      <c r="CS4033" s="48"/>
      <c r="CT4033" s="48"/>
      <c r="CU4033" s="48"/>
      <c r="CV4033" s="48"/>
      <c r="CW4033" s="48"/>
      <c r="CX4033" s="48"/>
      <c r="CY4033" s="48"/>
      <c r="CZ4033" s="48"/>
    </row>
    <row r="4034" spans="27:104" s="4" customFormat="1" x14ac:dyDescent="0.3">
      <c r="AA4034" s="48"/>
      <c r="AB4034" s="48"/>
      <c r="AC4034" s="48"/>
      <c r="AD4034" s="48"/>
      <c r="AE4034" s="48"/>
      <c r="AF4034" s="48"/>
      <c r="AG4034" s="48"/>
      <c r="AH4034" s="48"/>
      <c r="AI4034" s="48"/>
      <c r="AJ4034" s="48"/>
      <c r="AK4034" s="48"/>
      <c r="AL4034" s="48"/>
      <c r="AM4034" s="48"/>
      <c r="AN4034" s="48"/>
      <c r="AO4034" s="48"/>
      <c r="AP4034" s="48"/>
      <c r="AQ4034" s="48"/>
      <c r="AR4034" s="48"/>
      <c r="AS4034" s="48"/>
      <c r="AT4034" s="48"/>
      <c r="AU4034" s="48"/>
      <c r="AV4034" s="48"/>
      <c r="AW4034" s="48"/>
      <c r="AX4034" s="48"/>
      <c r="AY4034" s="48"/>
      <c r="AZ4034" s="48"/>
      <c r="BA4034" s="48"/>
      <c r="BB4034" s="14"/>
      <c r="BC4034" s="48"/>
      <c r="BD4034" s="48"/>
      <c r="BE4034" s="48"/>
      <c r="BF4034" s="48"/>
      <c r="BG4034" s="48"/>
      <c r="BH4034" s="48"/>
      <c r="BI4034" s="48"/>
      <c r="BJ4034" s="48"/>
      <c r="BK4034" s="48"/>
      <c r="BL4034" s="48"/>
      <c r="BM4034" s="48"/>
      <c r="BN4034" s="48"/>
      <c r="BO4034" s="48"/>
      <c r="BP4034" s="48"/>
      <c r="BQ4034" s="48"/>
      <c r="BR4034" s="48"/>
      <c r="BS4034" s="48"/>
      <c r="BT4034" s="48"/>
      <c r="BU4034" s="48"/>
      <c r="BV4034" s="48"/>
      <c r="BW4034" s="48"/>
      <c r="BX4034" s="48"/>
      <c r="BY4034" s="48"/>
      <c r="BZ4034" s="48"/>
      <c r="CA4034" s="48"/>
      <c r="CB4034" s="48"/>
      <c r="CC4034" s="48"/>
      <c r="CD4034" s="48"/>
      <c r="CE4034" s="48"/>
      <c r="CF4034" s="48"/>
      <c r="CG4034" s="48"/>
      <c r="CH4034" s="48"/>
      <c r="CI4034" s="48"/>
      <c r="CJ4034" s="48"/>
      <c r="CK4034" s="48"/>
      <c r="CL4034" s="48"/>
      <c r="CM4034" s="48"/>
      <c r="CN4034" s="48"/>
      <c r="CO4034" s="48"/>
      <c r="CP4034" s="48"/>
      <c r="CQ4034" s="48"/>
      <c r="CR4034" s="48"/>
      <c r="CS4034" s="48"/>
      <c r="CT4034" s="48"/>
      <c r="CU4034" s="48"/>
      <c r="CV4034" s="48"/>
      <c r="CW4034" s="48"/>
      <c r="CX4034" s="48"/>
      <c r="CY4034" s="48"/>
      <c r="CZ4034" s="48"/>
    </row>
    <row r="4035" spans="27:104" s="4" customFormat="1" x14ac:dyDescent="0.3">
      <c r="AA4035" s="48"/>
      <c r="AB4035" s="48"/>
      <c r="AC4035" s="48"/>
      <c r="AD4035" s="48"/>
      <c r="AE4035" s="48"/>
      <c r="AF4035" s="48"/>
      <c r="AG4035" s="48"/>
      <c r="AH4035" s="48"/>
      <c r="AI4035" s="48"/>
      <c r="AJ4035" s="48"/>
      <c r="AK4035" s="48"/>
      <c r="AL4035" s="48"/>
      <c r="AM4035" s="48"/>
      <c r="AN4035" s="48"/>
      <c r="AO4035" s="48"/>
      <c r="AP4035" s="48"/>
      <c r="AQ4035" s="48"/>
      <c r="AR4035" s="48"/>
      <c r="AS4035" s="48"/>
      <c r="AT4035" s="48"/>
      <c r="AU4035" s="48"/>
      <c r="AV4035" s="48"/>
      <c r="AW4035" s="48"/>
      <c r="AX4035" s="48"/>
      <c r="AY4035" s="48"/>
      <c r="AZ4035" s="48"/>
      <c r="BA4035" s="48"/>
      <c r="BB4035" s="14"/>
      <c r="BC4035" s="48"/>
      <c r="BD4035" s="48"/>
      <c r="BE4035" s="48"/>
      <c r="BF4035" s="48"/>
      <c r="BG4035" s="48"/>
      <c r="BH4035" s="48"/>
      <c r="BI4035" s="48"/>
      <c r="BJ4035" s="48"/>
      <c r="BK4035" s="48"/>
      <c r="BL4035" s="48"/>
      <c r="BM4035" s="48"/>
      <c r="BN4035" s="48"/>
      <c r="BO4035" s="48"/>
      <c r="BP4035" s="48"/>
      <c r="BQ4035" s="48"/>
      <c r="BR4035" s="48"/>
      <c r="BS4035" s="48"/>
      <c r="BT4035" s="48"/>
      <c r="BU4035" s="48"/>
      <c r="BV4035" s="48"/>
      <c r="BW4035" s="48"/>
      <c r="BX4035" s="48"/>
      <c r="BY4035" s="48"/>
      <c r="BZ4035" s="48"/>
      <c r="CA4035" s="48"/>
      <c r="CB4035" s="48"/>
      <c r="CC4035" s="48"/>
      <c r="CD4035" s="48"/>
      <c r="CE4035" s="48"/>
      <c r="CF4035" s="48"/>
      <c r="CG4035" s="48"/>
      <c r="CH4035" s="48"/>
      <c r="CI4035" s="48"/>
      <c r="CJ4035" s="48"/>
      <c r="CK4035" s="48"/>
      <c r="CL4035" s="48"/>
      <c r="CM4035" s="48"/>
      <c r="CN4035" s="48"/>
      <c r="CO4035" s="48"/>
      <c r="CP4035" s="48"/>
      <c r="CQ4035" s="48"/>
      <c r="CR4035" s="48"/>
      <c r="CS4035" s="48"/>
      <c r="CT4035" s="48"/>
      <c r="CU4035" s="48"/>
      <c r="CV4035" s="48"/>
      <c r="CW4035" s="48"/>
      <c r="CX4035" s="48"/>
      <c r="CY4035" s="48"/>
      <c r="CZ4035" s="48"/>
    </row>
    <row r="4036" spans="27:104" s="4" customFormat="1" x14ac:dyDescent="0.3">
      <c r="AA4036" s="48"/>
      <c r="AB4036" s="48"/>
      <c r="AC4036" s="48"/>
      <c r="AD4036" s="48"/>
      <c r="AE4036" s="48"/>
      <c r="AF4036" s="48"/>
      <c r="AG4036" s="48"/>
      <c r="AH4036" s="48"/>
      <c r="AI4036" s="48"/>
      <c r="AJ4036" s="48"/>
      <c r="AK4036" s="48"/>
      <c r="AL4036" s="48"/>
      <c r="AM4036" s="48"/>
      <c r="AN4036" s="48"/>
      <c r="AO4036" s="48"/>
      <c r="AP4036" s="48"/>
      <c r="AQ4036" s="48"/>
      <c r="AR4036" s="48"/>
      <c r="AS4036" s="48"/>
      <c r="AT4036" s="48"/>
      <c r="AU4036" s="48"/>
      <c r="AV4036" s="48"/>
      <c r="AW4036" s="48"/>
      <c r="AX4036" s="48"/>
      <c r="AY4036" s="48"/>
      <c r="AZ4036" s="48"/>
      <c r="BA4036" s="48"/>
      <c r="BB4036" s="14"/>
      <c r="BC4036" s="48"/>
      <c r="BD4036" s="48"/>
      <c r="BE4036" s="48"/>
      <c r="BF4036" s="48"/>
      <c r="BG4036" s="48"/>
      <c r="BH4036" s="48"/>
      <c r="BI4036" s="48"/>
      <c r="BJ4036" s="48"/>
      <c r="BK4036" s="48"/>
      <c r="BL4036" s="48"/>
      <c r="BM4036" s="48"/>
      <c r="BN4036" s="48"/>
      <c r="BO4036" s="48"/>
      <c r="BP4036" s="48"/>
      <c r="BQ4036" s="48"/>
      <c r="BR4036" s="48"/>
      <c r="BS4036" s="48"/>
      <c r="BT4036" s="48"/>
      <c r="BU4036" s="48"/>
      <c r="BV4036" s="48"/>
      <c r="BW4036" s="48"/>
      <c r="BX4036" s="48"/>
      <c r="BY4036" s="48"/>
      <c r="BZ4036" s="48"/>
      <c r="CA4036" s="48"/>
      <c r="CB4036" s="48"/>
      <c r="CC4036" s="48"/>
      <c r="CD4036" s="48"/>
      <c r="CE4036" s="48"/>
      <c r="CF4036" s="48"/>
      <c r="CG4036" s="48"/>
      <c r="CH4036" s="48"/>
      <c r="CI4036" s="48"/>
      <c r="CJ4036" s="48"/>
      <c r="CK4036" s="48"/>
      <c r="CL4036" s="48"/>
      <c r="CM4036" s="48"/>
      <c r="CN4036" s="48"/>
      <c r="CO4036" s="48"/>
      <c r="CP4036" s="48"/>
      <c r="CQ4036" s="48"/>
      <c r="CR4036" s="48"/>
      <c r="CS4036" s="48"/>
      <c r="CT4036" s="48"/>
      <c r="CU4036" s="48"/>
      <c r="CV4036" s="48"/>
      <c r="CW4036" s="48"/>
      <c r="CX4036" s="48"/>
      <c r="CY4036" s="48"/>
      <c r="CZ4036" s="48"/>
    </row>
    <row r="4037" spans="27:104" s="4" customFormat="1" x14ac:dyDescent="0.3">
      <c r="AA4037" s="48"/>
      <c r="AB4037" s="48"/>
      <c r="AC4037" s="48"/>
      <c r="AD4037" s="48"/>
      <c r="AE4037" s="48"/>
      <c r="AF4037" s="48"/>
      <c r="AG4037" s="48"/>
      <c r="AH4037" s="48"/>
      <c r="AI4037" s="48"/>
      <c r="AJ4037" s="48"/>
      <c r="AK4037" s="48"/>
      <c r="AL4037" s="48"/>
      <c r="AM4037" s="48"/>
      <c r="AN4037" s="48"/>
      <c r="AO4037" s="48"/>
      <c r="AP4037" s="48"/>
      <c r="AQ4037" s="48"/>
      <c r="AR4037" s="48"/>
      <c r="AS4037" s="48"/>
      <c r="AT4037" s="48"/>
      <c r="AU4037" s="48"/>
      <c r="AV4037" s="48"/>
      <c r="AW4037" s="48"/>
      <c r="AX4037" s="48"/>
      <c r="AY4037" s="48"/>
      <c r="AZ4037" s="48"/>
      <c r="BA4037" s="48"/>
      <c r="BB4037" s="14"/>
      <c r="BC4037" s="48"/>
      <c r="BD4037" s="48"/>
      <c r="BE4037" s="48"/>
      <c r="BF4037" s="48"/>
      <c r="BG4037" s="48"/>
      <c r="BH4037" s="48"/>
      <c r="BI4037" s="48"/>
      <c r="BJ4037" s="48"/>
      <c r="BK4037" s="48"/>
      <c r="BL4037" s="48"/>
      <c r="BM4037" s="48"/>
      <c r="BN4037" s="48"/>
      <c r="BO4037" s="48"/>
      <c r="BP4037" s="48"/>
      <c r="BQ4037" s="48"/>
      <c r="BR4037" s="48"/>
      <c r="BS4037" s="48"/>
      <c r="BT4037" s="48"/>
      <c r="BU4037" s="48"/>
      <c r="BV4037" s="48"/>
      <c r="BW4037" s="48"/>
      <c r="BX4037" s="48"/>
      <c r="BY4037" s="48"/>
      <c r="BZ4037" s="48"/>
      <c r="CA4037" s="48"/>
      <c r="CB4037" s="48"/>
      <c r="CC4037" s="48"/>
      <c r="CD4037" s="48"/>
      <c r="CE4037" s="48"/>
      <c r="CF4037" s="48"/>
      <c r="CG4037" s="48"/>
      <c r="CH4037" s="48"/>
      <c r="CI4037" s="48"/>
      <c r="CJ4037" s="48"/>
      <c r="CK4037" s="48"/>
      <c r="CL4037" s="48"/>
      <c r="CM4037" s="48"/>
      <c r="CN4037" s="48"/>
      <c r="CO4037" s="48"/>
      <c r="CP4037" s="48"/>
      <c r="CQ4037" s="48"/>
      <c r="CR4037" s="48"/>
      <c r="CS4037" s="48"/>
      <c r="CT4037" s="48"/>
      <c r="CU4037" s="48"/>
      <c r="CV4037" s="48"/>
      <c r="CW4037" s="48"/>
      <c r="CX4037" s="48"/>
      <c r="CY4037" s="48"/>
      <c r="CZ4037" s="48"/>
    </row>
    <row r="4038" spans="27:104" s="4" customFormat="1" x14ac:dyDescent="0.3">
      <c r="AA4038" s="48"/>
      <c r="AB4038" s="48"/>
      <c r="AC4038" s="48"/>
      <c r="AD4038" s="48"/>
      <c r="AE4038" s="48"/>
      <c r="AF4038" s="48"/>
      <c r="AG4038" s="48"/>
      <c r="AH4038" s="48"/>
      <c r="AI4038" s="48"/>
      <c r="AJ4038" s="48"/>
      <c r="AK4038" s="48"/>
      <c r="AL4038" s="48"/>
      <c r="AM4038" s="48"/>
      <c r="AN4038" s="48"/>
      <c r="AO4038" s="48"/>
      <c r="AP4038" s="48"/>
      <c r="AQ4038" s="48"/>
      <c r="AR4038" s="48"/>
      <c r="AS4038" s="48"/>
      <c r="AT4038" s="48"/>
      <c r="AU4038" s="48"/>
      <c r="AV4038" s="48"/>
      <c r="AW4038" s="48"/>
      <c r="AX4038" s="48"/>
      <c r="AY4038" s="48"/>
      <c r="AZ4038" s="48"/>
      <c r="BA4038" s="48"/>
      <c r="BB4038" s="14"/>
      <c r="BC4038" s="48"/>
      <c r="BD4038" s="48"/>
      <c r="BE4038" s="48"/>
      <c r="BF4038" s="48"/>
      <c r="BG4038" s="48"/>
      <c r="BH4038" s="48"/>
      <c r="BI4038" s="48"/>
      <c r="BJ4038" s="48"/>
      <c r="BK4038" s="48"/>
      <c r="BL4038" s="48"/>
      <c r="BM4038" s="48"/>
      <c r="BN4038" s="48"/>
      <c r="BO4038" s="48"/>
      <c r="BP4038" s="48"/>
      <c r="BQ4038" s="48"/>
      <c r="BR4038" s="48"/>
      <c r="BS4038" s="48"/>
      <c r="BT4038" s="48"/>
      <c r="BU4038" s="48"/>
      <c r="BV4038" s="48"/>
      <c r="BW4038" s="48"/>
      <c r="BX4038" s="48"/>
      <c r="BY4038" s="48"/>
      <c r="BZ4038" s="48"/>
      <c r="CA4038" s="48"/>
      <c r="CB4038" s="48"/>
      <c r="CC4038" s="48"/>
      <c r="CD4038" s="48"/>
      <c r="CE4038" s="48"/>
      <c r="CF4038" s="48"/>
      <c r="CG4038" s="48"/>
      <c r="CH4038" s="48"/>
      <c r="CI4038" s="48"/>
      <c r="CJ4038" s="48"/>
      <c r="CK4038" s="48"/>
      <c r="CL4038" s="48"/>
      <c r="CM4038" s="48"/>
      <c r="CN4038" s="48"/>
      <c r="CO4038" s="48"/>
      <c r="CP4038" s="48"/>
      <c r="CQ4038" s="48"/>
      <c r="CR4038" s="48"/>
      <c r="CS4038" s="48"/>
      <c r="CT4038" s="48"/>
      <c r="CU4038" s="48"/>
      <c r="CV4038" s="48"/>
      <c r="CW4038" s="48"/>
      <c r="CX4038" s="48"/>
      <c r="CY4038" s="48"/>
      <c r="CZ4038" s="48"/>
    </row>
    <row r="4039" spans="27:104" s="4" customFormat="1" x14ac:dyDescent="0.3">
      <c r="AA4039" s="48"/>
      <c r="AB4039" s="48"/>
      <c r="AC4039" s="48"/>
      <c r="AD4039" s="48"/>
      <c r="AE4039" s="48"/>
      <c r="AF4039" s="48"/>
      <c r="AG4039" s="48"/>
      <c r="AH4039" s="48"/>
      <c r="AI4039" s="48"/>
      <c r="AJ4039" s="48"/>
      <c r="AK4039" s="48"/>
      <c r="AL4039" s="48"/>
      <c r="AM4039" s="48"/>
      <c r="AN4039" s="48"/>
      <c r="AO4039" s="48"/>
      <c r="AP4039" s="48"/>
      <c r="AQ4039" s="48"/>
      <c r="AR4039" s="48"/>
      <c r="AS4039" s="48"/>
      <c r="AT4039" s="48"/>
      <c r="AU4039" s="48"/>
      <c r="AV4039" s="48"/>
      <c r="AW4039" s="48"/>
      <c r="AX4039" s="48"/>
      <c r="AY4039" s="48"/>
      <c r="AZ4039" s="48"/>
      <c r="BA4039" s="48"/>
      <c r="BB4039" s="14"/>
      <c r="BC4039" s="48"/>
      <c r="BD4039" s="48"/>
      <c r="BE4039" s="48"/>
      <c r="BF4039" s="48"/>
      <c r="BG4039" s="48"/>
      <c r="BH4039" s="48"/>
      <c r="BI4039" s="48"/>
      <c r="BJ4039" s="48"/>
      <c r="BK4039" s="48"/>
      <c r="BL4039" s="48"/>
      <c r="BM4039" s="48"/>
      <c r="BN4039" s="48"/>
      <c r="BO4039" s="48"/>
      <c r="BP4039" s="48"/>
      <c r="BQ4039" s="48"/>
      <c r="BR4039" s="48"/>
      <c r="BS4039" s="48"/>
      <c r="BT4039" s="48"/>
      <c r="BU4039" s="48"/>
      <c r="BV4039" s="48"/>
      <c r="BW4039" s="48"/>
      <c r="BX4039" s="48"/>
      <c r="BY4039" s="48"/>
      <c r="BZ4039" s="48"/>
      <c r="CA4039" s="48"/>
      <c r="CB4039" s="48"/>
      <c r="CC4039" s="48"/>
      <c r="CD4039" s="48"/>
      <c r="CE4039" s="48"/>
      <c r="CF4039" s="48"/>
      <c r="CG4039" s="48"/>
      <c r="CH4039" s="48"/>
      <c r="CI4039" s="48"/>
      <c r="CJ4039" s="48"/>
      <c r="CK4039" s="48"/>
      <c r="CL4039" s="48"/>
      <c r="CM4039" s="48"/>
      <c r="CN4039" s="48"/>
      <c r="CO4039" s="48"/>
      <c r="CP4039" s="48"/>
      <c r="CQ4039" s="48"/>
      <c r="CR4039" s="48"/>
      <c r="CS4039" s="48"/>
      <c r="CT4039" s="48"/>
      <c r="CU4039" s="48"/>
      <c r="CV4039" s="48"/>
      <c r="CW4039" s="48"/>
      <c r="CX4039" s="48"/>
      <c r="CY4039" s="48"/>
      <c r="CZ4039" s="48"/>
    </row>
    <row r="4040" spans="27:104" s="4" customFormat="1" x14ac:dyDescent="0.3">
      <c r="AA4040" s="48"/>
      <c r="AB4040" s="48"/>
      <c r="AC4040" s="48"/>
      <c r="AD4040" s="48"/>
      <c r="AE4040" s="48"/>
      <c r="AF4040" s="48"/>
      <c r="AG4040" s="48"/>
      <c r="AH4040" s="48"/>
      <c r="AI4040" s="48"/>
      <c r="AJ4040" s="48"/>
      <c r="AK4040" s="48"/>
      <c r="AL4040" s="48"/>
      <c r="AM4040" s="48"/>
      <c r="AN4040" s="48"/>
      <c r="AO4040" s="48"/>
      <c r="AP4040" s="48"/>
      <c r="AQ4040" s="48"/>
      <c r="AR4040" s="48"/>
      <c r="AS4040" s="48"/>
      <c r="AT4040" s="48"/>
      <c r="AU4040" s="48"/>
      <c r="AV4040" s="48"/>
      <c r="AW4040" s="48"/>
      <c r="AX4040" s="48"/>
      <c r="AY4040" s="48"/>
      <c r="AZ4040" s="48"/>
      <c r="BA4040" s="48"/>
      <c r="BB4040" s="14"/>
      <c r="BC4040" s="48"/>
      <c r="BD4040" s="48"/>
      <c r="BE4040" s="48"/>
      <c r="BF4040" s="48"/>
      <c r="BG4040" s="48"/>
      <c r="BH4040" s="48"/>
      <c r="BI4040" s="48"/>
      <c r="BJ4040" s="48"/>
      <c r="BK4040" s="48"/>
      <c r="BL4040" s="48"/>
      <c r="BM4040" s="48"/>
      <c r="BN4040" s="48"/>
      <c r="BO4040" s="48"/>
      <c r="BP4040" s="48"/>
      <c r="BQ4040" s="48"/>
      <c r="BR4040" s="48"/>
      <c r="BS4040" s="48"/>
      <c r="BT4040" s="48"/>
      <c r="BU4040" s="48"/>
      <c r="BV4040" s="48"/>
      <c r="BW4040" s="48"/>
      <c r="BX4040" s="48"/>
      <c r="BY4040" s="48"/>
      <c r="BZ4040" s="48"/>
      <c r="CA4040" s="48"/>
      <c r="CB4040" s="48"/>
      <c r="CC4040" s="48"/>
      <c r="CD4040" s="48"/>
      <c r="CE4040" s="48"/>
      <c r="CF4040" s="48"/>
      <c r="CG4040" s="48"/>
      <c r="CH4040" s="48"/>
      <c r="CI4040" s="48"/>
      <c r="CJ4040" s="48"/>
      <c r="CK4040" s="48"/>
      <c r="CL4040" s="48"/>
      <c r="CM4040" s="48"/>
      <c r="CN4040" s="48"/>
      <c r="CO4040" s="48"/>
      <c r="CP4040" s="48"/>
      <c r="CQ4040" s="48"/>
      <c r="CR4040" s="48"/>
      <c r="CS4040" s="48"/>
      <c r="CT4040" s="48"/>
      <c r="CU4040" s="48"/>
      <c r="CV4040" s="48"/>
      <c r="CW4040" s="48"/>
      <c r="CX4040" s="48"/>
      <c r="CY4040" s="48"/>
      <c r="CZ4040" s="48"/>
    </row>
    <row r="4041" spans="27:104" s="4" customFormat="1" x14ac:dyDescent="0.3">
      <c r="AA4041" s="48"/>
      <c r="AB4041" s="48"/>
      <c r="AC4041" s="48"/>
      <c r="AD4041" s="48"/>
      <c r="AE4041" s="48"/>
      <c r="AF4041" s="48"/>
      <c r="AG4041" s="48"/>
      <c r="AH4041" s="48"/>
      <c r="AI4041" s="48"/>
      <c r="AJ4041" s="48"/>
      <c r="AK4041" s="48"/>
      <c r="AL4041" s="48"/>
      <c r="AM4041" s="48"/>
      <c r="AN4041" s="48"/>
      <c r="AO4041" s="48"/>
      <c r="AP4041" s="48"/>
      <c r="AQ4041" s="48"/>
      <c r="AR4041" s="48"/>
      <c r="AS4041" s="48"/>
      <c r="AT4041" s="48"/>
      <c r="AU4041" s="48"/>
      <c r="AV4041" s="48"/>
      <c r="AW4041" s="48"/>
      <c r="AX4041" s="48"/>
      <c r="AY4041" s="48"/>
      <c r="AZ4041" s="48"/>
      <c r="BA4041" s="48"/>
      <c r="BB4041" s="14"/>
      <c r="BC4041" s="48"/>
      <c r="BD4041" s="48"/>
      <c r="BE4041" s="48"/>
      <c r="BF4041" s="48"/>
      <c r="BG4041" s="48"/>
      <c r="BH4041" s="48"/>
      <c r="BI4041" s="48"/>
      <c r="BJ4041" s="48"/>
      <c r="BK4041" s="48"/>
      <c r="BL4041" s="48"/>
      <c r="BM4041" s="48"/>
      <c r="BN4041" s="48"/>
      <c r="BO4041" s="48"/>
      <c r="BP4041" s="48"/>
      <c r="BQ4041" s="48"/>
      <c r="BR4041" s="48"/>
      <c r="BS4041" s="48"/>
      <c r="BT4041" s="48"/>
      <c r="BU4041" s="48"/>
      <c r="BV4041" s="48"/>
      <c r="BW4041" s="48"/>
      <c r="BX4041" s="48"/>
      <c r="BY4041" s="48"/>
      <c r="BZ4041" s="48"/>
      <c r="CA4041" s="48"/>
      <c r="CB4041" s="48"/>
      <c r="CC4041" s="48"/>
      <c r="CD4041" s="48"/>
      <c r="CE4041" s="48"/>
      <c r="CF4041" s="48"/>
      <c r="CG4041" s="48"/>
      <c r="CH4041" s="48"/>
      <c r="CI4041" s="48"/>
      <c r="CJ4041" s="48"/>
      <c r="CK4041" s="48"/>
      <c r="CL4041" s="48"/>
      <c r="CM4041" s="48"/>
      <c r="CN4041" s="48"/>
      <c r="CO4041" s="48"/>
      <c r="CP4041" s="48"/>
      <c r="CQ4041" s="48"/>
      <c r="CR4041" s="48"/>
      <c r="CS4041" s="48"/>
      <c r="CT4041" s="48"/>
      <c r="CU4041" s="48"/>
      <c r="CV4041" s="48"/>
      <c r="CW4041" s="48"/>
      <c r="CX4041" s="48"/>
      <c r="CY4041" s="48"/>
      <c r="CZ4041" s="48"/>
    </row>
    <row r="4042" spans="27:104" s="4" customFormat="1" x14ac:dyDescent="0.3">
      <c r="AA4042" s="48"/>
      <c r="AB4042" s="48"/>
      <c r="AC4042" s="48"/>
      <c r="AD4042" s="48"/>
      <c r="AE4042" s="48"/>
      <c r="AF4042" s="48"/>
      <c r="AG4042" s="48"/>
      <c r="AH4042" s="48"/>
      <c r="AI4042" s="48"/>
      <c r="AJ4042" s="48"/>
      <c r="AK4042" s="48"/>
      <c r="AL4042" s="48"/>
      <c r="AM4042" s="48"/>
      <c r="AN4042" s="48"/>
      <c r="AO4042" s="48"/>
      <c r="AP4042" s="48"/>
      <c r="AQ4042" s="48"/>
      <c r="AR4042" s="48"/>
      <c r="AS4042" s="48"/>
      <c r="AT4042" s="48"/>
      <c r="AU4042" s="48"/>
      <c r="AV4042" s="48"/>
      <c r="AW4042" s="48"/>
      <c r="AX4042" s="48"/>
      <c r="AY4042" s="48"/>
      <c r="AZ4042" s="48"/>
      <c r="BA4042" s="48"/>
      <c r="BB4042" s="14"/>
      <c r="BC4042" s="48"/>
      <c r="BD4042" s="48"/>
      <c r="BE4042" s="48"/>
      <c r="BF4042" s="48"/>
      <c r="BG4042" s="48"/>
      <c r="BH4042" s="48"/>
      <c r="BI4042" s="48"/>
      <c r="BJ4042" s="48"/>
      <c r="BK4042" s="48"/>
      <c r="BL4042" s="48"/>
      <c r="BM4042" s="48"/>
      <c r="BN4042" s="48"/>
      <c r="BO4042" s="48"/>
      <c r="BP4042" s="48"/>
      <c r="BQ4042" s="48"/>
      <c r="BR4042" s="48"/>
      <c r="BS4042" s="48"/>
      <c r="BT4042" s="48"/>
      <c r="BU4042" s="48"/>
      <c r="BV4042" s="48"/>
      <c r="BW4042" s="48"/>
      <c r="BX4042" s="48"/>
      <c r="BY4042" s="48"/>
      <c r="BZ4042" s="48"/>
      <c r="CA4042" s="48"/>
      <c r="CB4042" s="48"/>
      <c r="CC4042" s="48"/>
      <c r="CD4042" s="48"/>
      <c r="CE4042" s="48"/>
      <c r="CF4042" s="48"/>
      <c r="CG4042" s="48"/>
      <c r="CH4042" s="48"/>
      <c r="CI4042" s="48"/>
      <c r="CJ4042" s="48"/>
      <c r="CK4042" s="48"/>
      <c r="CL4042" s="48"/>
      <c r="CM4042" s="48"/>
      <c r="CN4042" s="48"/>
      <c r="CO4042" s="48"/>
      <c r="CP4042" s="48"/>
      <c r="CQ4042" s="48"/>
      <c r="CR4042" s="48"/>
      <c r="CS4042" s="48"/>
      <c r="CT4042" s="48"/>
      <c r="CU4042" s="48"/>
      <c r="CV4042" s="48"/>
      <c r="CW4042" s="48"/>
      <c r="CX4042" s="48"/>
      <c r="CY4042" s="48"/>
      <c r="CZ4042" s="48"/>
    </row>
    <row r="4043" spans="27:104" s="4" customFormat="1" x14ac:dyDescent="0.3">
      <c r="AA4043" s="48"/>
      <c r="AB4043" s="48"/>
      <c r="AC4043" s="48"/>
      <c r="AD4043" s="48"/>
      <c r="AE4043" s="48"/>
      <c r="AF4043" s="48"/>
      <c r="AG4043" s="48"/>
      <c r="AH4043" s="48"/>
      <c r="AI4043" s="48"/>
      <c r="AJ4043" s="48"/>
      <c r="AK4043" s="48"/>
      <c r="AL4043" s="48"/>
      <c r="AM4043" s="48"/>
      <c r="AN4043" s="48"/>
      <c r="AO4043" s="48"/>
      <c r="AP4043" s="48"/>
      <c r="AQ4043" s="48"/>
      <c r="AR4043" s="48"/>
      <c r="AS4043" s="48"/>
      <c r="AT4043" s="48"/>
      <c r="AU4043" s="48"/>
      <c r="AV4043" s="48"/>
      <c r="AW4043" s="48"/>
      <c r="AX4043" s="48"/>
      <c r="AY4043" s="48"/>
      <c r="AZ4043" s="48"/>
      <c r="BA4043" s="48"/>
      <c r="BB4043" s="14"/>
      <c r="BC4043" s="48"/>
      <c r="BD4043" s="48"/>
      <c r="BE4043" s="48"/>
      <c r="BF4043" s="48"/>
      <c r="BG4043" s="48"/>
      <c r="BH4043" s="48"/>
      <c r="BI4043" s="48"/>
      <c r="BJ4043" s="48"/>
      <c r="BK4043" s="48"/>
      <c r="BL4043" s="48"/>
      <c r="BM4043" s="48"/>
      <c r="BN4043" s="48"/>
      <c r="BO4043" s="48"/>
      <c r="BP4043" s="48"/>
      <c r="BQ4043" s="48"/>
      <c r="BR4043" s="48"/>
      <c r="BS4043" s="48"/>
      <c r="BT4043" s="48"/>
      <c r="BU4043" s="48"/>
      <c r="BV4043" s="48"/>
      <c r="BW4043" s="48"/>
      <c r="BX4043" s="48"/>
      <c r="BY4043" s="48"/>
      <c r="BZ4043" s="48"/>
      <c r="CA4043" s="48"/>
      <c r="CB4043" s="48"/>
      <c r="CC4043" s="48"/>
      <c r="CD4043" s="48"/>
      <c r="CE4043" s="48"/>
      <c r="CF4043" s="48"/>
      <c r="CG4043" s="48"/>
      <c r="CH4043" s="48"/>
      <c r="CI4043" s="48"/>
      <c r="CJ4043" s="48"/>
      <c r="CK4043" s="48"/>
      <c r="CL4043" s="48"/>
      <c r="CM4043" s="48"/>
      <c r="CN4043" s="48"/>
      <c r="CO4043" s="48"/>
      <c r="CP4043" s="48"/>
      <c r="CQ4043" s="48"/>
      <c r="CR4043" s="48"/>
      <c r="CS4043" s="48"/>
      <c r="CT4043" s="48"/>
      <c r="CU4043" s="48"/>
      <c r="CV4043" s="48"/>
      <c r="CW4043" s="48"/>
      <c r="CX4043" s="48"/>
      <c r="CY4043" s="48"/>
      <c r="CZ4043" s="48"/>
    </row>
    <row r="4044" spans="27:104" s="4" customFormat="1" x14ac:dyDescent="0.3">
      <c r="AA4044" s="48"/>
      <c r="AB4044" s="48"/>
      <c r="AC4044" s="48"/>
      <c r="AD4044" s="48"/>
      <c r="AE4044" s="48"/>
      <c r="AF4044" s="48"/>
      <c r="AG4044" s="48"/>
      <c r="AH4044" s="48"/>
      <c r="AI4044" s="48"/>
      <c r="AJ4044" s="48"/>
      <c r="AK4044" s="48"/>
      <c r="AL4044" s="48"/>
      <c r="AM4044" s="48"/>
      <c r="AN4044" s="48"/>
      <c r="AO4044" s="48"/>
      <c r="AP4044" s="48"/>
      <c r="AQ4044" s="48"/>
      <c r="AR4044" s="48"/>
      <c r="AS4044" s="48"/>
      <c r="AT4044" s="48"/>
      <c r="AU4044" s="48"/>
      <c r="AV4044" s="48"/>
      <c r="AW4044" s="48"/>
      <c r="AX4044" s="48"/>
      <c r="AY4044" s="48"/>
      <c r="AZ4044" s="48"/>
      <c r="BA4044" s="48"/>
      <c r="BB4044" s="14"/>
      <c r="BC4044" s="48"/>
      <c r="BD4044" s="48"/>
      <c r="BE4044" s="48"/>
      <c r="BF4044" s="48"/>
      <c r="BG4044" s="48"/>
      <c r="BH4044" s="48"/>
      <c r="BI4044" s="48"/>
      <c r="BJ4044" s="48"/>
      <c r="BK4044" s="48"/>
      <c r="BL4044" s="48"/>
      <c r="BM4044" s="48"/>
      <c r="BN4044" s="48"/>
      <c r="BO4044" s="48"/>
      <c r="BP4044" s="48"/>
      <c r="BQ4044" s="48"/>
      <c r="BR4044" s="48"/>
      <c r="BS4044" s="48"/>
      <c r="BT4044" s="48"/>
      <c r="BU4044" s="48"/>
      <c r="BV4044" s="48"/>
      <c r="BW4044" s="48"/>
      <c r="BX4044" s="48"/>
      <c r="BY4044" s="48"/>
      <c r="BZ4044" s="48"/>
      <c r="CA4044" s="48"/>
      <c r="CB4044" s="48"/>
      <c r="CC4044" s="48"/>
      <c r="CD4044" s="48"/>
      <c r="CE4044" s="48"/>
      <c r="CF4044" s="48"/>
      <c r="CG4044" s="48"/>
      <c r="CH4044" s="48"/>
      <c r="CI4044" s="48"/>
      <c r="CJ4044" s="48"/>
      <c r="CK4044" s="48"/>
      <c r="CL4044" s="48"/>
      <c r="CM4044" s="48"/>
      <c r="CN4044" s="48"/>
      <c r="CO4044" s="48"/>
      <c r="CP4044" s="48"/>
      <c r="CQ4044" s="48"/>
      <c r="CR4044" s="48"/>
      <c r="CS4044" s="48"/>
      <c r="CT4044" s="48"/>
      <c r="CU4044" s="48"/>
      <c r="CV4044" s="48"/>
      <c r="CW4044" s="48"/>
      <c r="CX4044" s="48"/>
      <c r="CY4044" s="48"/>
      <c r="CZ4044" s="48"/>
    </row>
    <row r="4045" spans="27:104" s="4" customFormat="1" x14ac:dyDescent="0.3">
      <c r="AA4045" s="48"/>
      <c r="AB4045" s="48"/>
      <c r="AC4045" s="48"/>
      <c r="AD4045" s="48"/>
      <c r="AE4045" s="48"/>
      <c r="AF4045" s="48"/>
      <c r="AG4045" s="48"/>
      <c r="AH4045" s="48"/>
      <c r="AI4045" s="48"/>
      <c r="AJ4045" s="48"/>
      <c r="AK4045" s="48"/>
      <c r="AL4045" s="48"/>
      <c r="AM4045" s="48"/>
      <c r="AN4045" s="48"/>
      <c r="AO4045" s="48"/>
      <c r="AP4045" s="48"/>
      <c r="AQ4045" s="48"/>
      <c r="AR4045" s="48"/>
      <c r="AS4045" s="48"/>
      <c r="AT4045" s="48"/>
      <c r="AU4045" s="48"/>
      <c r="AV4045" s="48"/>
      <c r="AW4045" s="48"/>
      <c r="AX4045" s="48"/>
      <c r="AY4045" s="48"/>
      <c r="AZ4045" s="48"/>
      <c r="BA4045" s="48"/>
      <c r="BB4045" s="14"/>
      <c r="BC4045" s="48"/>
      <c r="BD4045" s="48"/>
      <c r="BE4045" s="48"/>
      <c r="BF4045" s="48"/>
      <c r="BG4045" s="48"/>
      <c r="BH4045" s="48"/>
      <c r="BI4045" s="48"/>
      <c r="BJ4045" s="48"/>
      <c r="BK4045" s="48"/>
      <c r="BL4045" s="48"/>
      <c r="BM4045" s="48"/>
      <c r="BN4045" s="48"/>
      <c r="BO4045" s="48"/>
      <c r="BP4045" s="48"/>
      <c r="BQ4045" s="48"/>
      <c r="BR4045" s="48"/>
      <c r="BS4045" s="48"/>
      <c r="BT4045" s="48"/>
      <c r="BU4045" s="48"/>
      <c r="BV4045" s="48"/>
      <c r="BW4045" s="48"/>
      <c r="BX4045" s="48"/>
      <c r="BY4045" s="48"/>
      <c r="BZ4045" s="48"/>
      <c r="CA4045" s="48"/>
      <c r="CB4045" s="48"/>
      <c r="CC4045" s="48"/>
      <c r="CD4045" s="48"/>
      <c r="CE4045" s="48"/>
      <c r="CF4045" s="48"/>
      <c r="CG4045" s="48"/>
      <c r="CH4045" s="48"/>
      <c r="CI4045" s="48"/>
      <c r="CJ4045" s="48"/>
      <c r="CK4045" s="48"/>
      <c r="CL4045" s="48"/>
      <c r="CM4045" s="48"/>
      <c r="CN4045" s="48"/>
      <c r="CO4045" s="48"/>
      <c r="CP4045" s="48"/>
      <c r="CQ4045" s="48"/>
      <c r="CR4045" s="48"/>
      <c r="CS4045" s="48"/>
      <c r="CT4045" s="48"/>
      <c r="CU4045" s="48"/>
      <c r="CV4045" s="48"/>
      <c r="CW4045" s="48"/>
      <c r="CX4045" s="48"/>
      <c r="CY4045" s="48"/>
      <c r="CZ4045" s="48"/>
    </row>
    <row r="4046" spans="27:104" s="4" customFormat="1" x14ac:dyDescent="0.3">
      <c r="AA4046" s="48"/>
      <c r="AB4046" s="48"/>
      <c r="AC4046" s="48"/>
      <c r="AD4046" s="48"/>
      <c r="AE4046" s="48"/>
      <c r="AF4046" s="48"/>
      <c r="AG4046" s="48"/>
      <c r="AH4046" s="48"/>
      <c r="AI4046" s="48"/>
      <c r="AJ4046" s="48"/>
      <c r="AK4046" s="48"/>
      <c r="AL4046" s="48"/>
      <c r="AM4046" s="48"/>
      <c r="AN4046" s="48"/>
      <c r="AO4046" s="48"/>
      <c r="AP4046" s="48"/>
      <c r="AQ4046" s="48"/>
      <c r="AR4046" s="48"/>
      <c r="AS4046" s="48"/>
      <c r="AT4046" s="48"/>
      <c r="AU4046" s="48"/>
      <c r="AV4046" s="48"/>
      <c r="AW4046" s="48"/>
      <c r="AX4046" s="48"/>
      <c r="AY4046" s="48"/>
      <c r="AZ4046" s="48"/>
      <c r="BA4046" s="48"/>
      <c r="BB4046" s="14"/>
      <c r="BC4046" s="48"/>
      <c r="BD4046" s="48"/>
      <c r="BE4046" s="48"/>
      <c r="BF4046" s="48"/>
      <c r="BG4046" s="48"/>
      <c r="BH4046" s="48"/>
      <c r="BI4046" s="48"/>
      <c r="BJ4046" s="48"/>
      <c r="BK4046" s="48"/>
      <c r="BL4046" s="48"/>
      <c r="BM4046" s="48"/>
      <c r="BN4046" s="48"/>
      <c r="BO4046" s="48"/>
      <c r="BP4046" s="48"/>
      <c r="BQ4046" s="48"/>
      <c r="BR4046" s="48"/>
      <c r="BS4046" s="48"/>
      <c r="BT4046" s="48"/>
      <c r="BU4046" s="48"/>
      <c r="BV4046" s="48"/>
      <c r="BW4046" s="48"/>
      <c r="BX4046" s="48"/>
      <c r="BY4046" s="48"/>
      <c r="BZ4046" s="48"/>
      <c r="CA4046" s="48"/>
      <c r="CB4046" s="48"/>
      <c r="CC4046" s="48"/>
      <c r="CD4046" s="48"/>
      <c r="CE4046" s="48"/>
      <c r="CF4046" s="48"/>
      <c r="CG4046" s="48"/>
      <c r="CH4046" s="48"/>
      <c r="CI4046" s="48"/>
      <c r="CJ4046" s="48"/>
      <c r="CK4046" s="48"/>
      <c r="CL4046" s="48"/>
      <c r="CM4046" s="48"/>
      <c r="CN4046" s="48"/>
      <c r="CO4046" s="48"/>
      <c r="CP4046" s="48"/>
      <c r="CQ4046" s="48"/>
      <c r="CR4046" s="48"/>
      <c r="CS4046" s="48"/>
      <c r="CT4046" s="48"/>
      <c r="CU4046" s="48"/>
      <c r="CV4046" s="48"/>
      <c r="CW4046" s="48"/>
      <c r="CX4046" s="48"/>
      <c r="CY4046" s="48"/>
      <c r="CZ4046" s="48"/>
    </row>
    <row r="4047" spans="27:104" s="4" customFormat="1" x14ac:dyDescent="0.3">
      <c r="AA4047" s="48"/>
      <c r="AB4047" s="48"/>
      <c r="AC4047" s="48"/>
      <c r="AD4047" s="48"/>
      <c r="AE4047" s="48"/>
      <c r="AF4047" s="48"/>
      <c r="AG4047" s="48"/>
      <c r="AH4047" s="48"/>
      <c r="AI4047" s="48"/>
      <c r="AJ4047" s="48"/>
      <c r="AK4047" s="48"/>
      <c r="AL4047" s="48"/>
      <c r="AM4047" s="48"/>
      <c r="AN4047" s="48"/>
      <c r="AO4047" s="48"/>
      <c r="AP4047" s="48"/>
      <c r="AQ4047" s="48"/>
      <c r="AR4047" s="48"/>
      <c r="AS4047" s="48"/>
      <c r="AT4047" s="48"/>
      <c r="AU4047" s="48"/>
      <c r="AV4047" s="48"/>
      <c r="AW4047" s="48"/>
      <c r="AX4047" s="48"/>
      <c r="AY4047" s="48"/>
      <c r="AZ4047" s="48"/>
      <c r="BA4047" s="48"/>
      <c r="BB4047" s="14"/>
      <c r="BC4047" s="48"/>
      <c r="BD4047" s="48"/>
      <c r="BE4047" s="48"/>
      <c r="BF4047" s="48"/>
      <c r="BG4047" s="48"/>
      <c r="BH4047" s="48"/>
      <c r="BI4047" s="48"/>
      <c r="BJ4047" s="48"/>
      <c r="BK4047" s="48"/>
      <c r="BL4047" s="48"/>
      <c r="BM4047" s="48"/>
      <c r="BN4047" s="48"/>
      <c r="BO4047" s="48"/>
      <c r="BP4047" s="48"/>
      <c r="BQ4047" s="48"/>
      <c r="BR4047" s="48"/>
      <c r="BS4047" s="48"/>
      <c r="BT4047" s="48"/>
      <c r="BU4047" s="48"/>
      <c r="BV4047" s="48"/>
      <c r="BW4047" s="48"/>
      <c r="BX4047" s="48"/>
      <c r="BY4047" s="48"/>
      <c r="BZ4047" s="48"/>
      <c r="CA4047" s="48"/>
      <c r="CB4047" s="48"/>
      <c r="CC4047" s="48"/>
      <c r="CD4047" s="48"/>
      <c r="CE4047" s="48"/>
      <c r="CF4047" s="48"/>
      <c r="CG4047" s="48"/>
      <c r="CH4047" s="48"/>
      <c r="CI4047" s="48"/>
      <c r="CJ4047" s="48"/>
      <c r="CK4047" s="48"/>
      <c r="CL4047" s="48"/>
      <c r="CM4047" s="48"/>
      <c r="CN4047" s="48"/>
      <c r="CO4047" s="48"/>
      <c r="CP4047" s="48"/>
      <c r="CQ4047" s="48"/>
      <c r="CR4047" s="48"/>
      <c r="CS4047" s="48"/>
      <c r="CT4047" s="48"/>
      <c r="CU4047" s="48"/>
      <c r="CV4047" s="48"/>
      <c r="CW4047" s="48"/>
      <c r="CX4047" s="48"/>
      <c r="CY4047" s="48"/>
      <c r="CZ4047" s="48"/>
    </row>
    <row r="4048" spans="27:104" s="4" customFormat="1" x14ac:dyDescent="0.3">
      <c r="AA4048" s="48"/>
      <c r="AB4048" s="48"/>
      <c r="AC4048" s="48"/>
      <c r="AD4048" s="48"/>
      <c r="AE4048" s="48"/>
      <c r="AF4048" s="48"/>
      <c r="AG4048" s="48"/>
      <c r="AH4048" s="48"/>
      <c r="AI4048" s="48"/>
      <c r="AJ4048" s="48"/>
      <c r="AK4048" s="48"/>
      <c r="AL4048" s="48"/>
      <c r="AM4048" s="48"/>
      <c r="AN4048" s="48"/>
      <c r="AO4048" s="48"/>
      <c r="AP4048" s="48"/>
      <c r="AQ4048" s="48"/>
      <c r="AR4048" s="48"/>
      <c r="AS4048" s="48"/>
      <c r="AT4048" s="48"/>
      <c r="AU4048" s="48"/>
      <c r="AV4048" s="48"/>
      <c r="AW4048" s="48"/>
      <c r="AX4048" s="48"/>
      <c r="AY4048" s="48"/>
      <c r="AZ4048" s="48"/>
      <c r="BA4048" s="48"/>
      <c r="BB4048" s="14"/>
      <c r="BC4048" s="48"/>
      <c r="BD4048" s="48"/>
      <c r="BE4048" s="48"/>
      <c r="BF4048" s="48"/>
      <c r="BG4048" s="48"/>
      <c r="BH4048" s="48"/>
      <c r="BI4048" s="48"/>
      <c r="BJ4048" s="48"/>
      <c r="BK4048" s="48"/>
      <c r="BL4048" s="48"/>
      <c r="BM4048" s="48"/>
      <c r="BN4048" s="48"/>
      <c r="BO4048" s="48"/>
      <c r="BP4048" s="48"/>
      <c r="BQ4048" s="48"/>
      <c r="BR4048" s="48"/>
      <c r="BS4048" s="48"/>
      <c r="BT4048" s="48"/>
      <c r="BU4048" s="48"/>
      <c r="BV4048" s="48"/>
      <c r="BW4048" s="48"/>
      <c r="BX4048" s="48"/>
      <c r="BY4048" s="48"/>
      <c r="BZ4048" s="48"/>
      <c r="CA4048" s="48"/>
      <c r="CB4048" s="48"/>
      <c r="CC4048" s="48"/>
      <c r="CD4048" s="48"/>
      <c r="CE4048" s="48"/>
      <c r="CF4048" s="48"/>
      <c r="CG4048" s="48"/>
      <c r="CH4048" s="48"/>
      <c r="CI4048" s="48"/>
      <c r="CJ4048" s="48"/>
      <c r="CK4048" s="48"/>
      <c r="CL4048" s="48"/>
      <c r="CM4048" s="48"/>
      <c r="CN4048" s="48"/>
      <c r="CO4048" s="48"/>
      <c r="CP4048" s="48"/>
      <c r="CQ4048" s="48"/>
      <c r="CR4048" s="48"/>
      <c r="CS4048" s="48"/>
      <c r="CT4048" s="48"/>
      <c r="CU4048" s="48"/>
      <c r="CV4048" s="48"/>
      <c r="CW4048" s="48"/>
      <c r="CX4048" s="48"/>
      <c r="CY4048" s="48"/>
      <c r="CZ4048" s="48"/>
    </row>
    <row r="4049" spans="27:104" s="4" customFormat="1" x14ac:dyDescent="0.3">
      <c r="AA4049" s="48"/>
      <c r="AB4049" s="48"/>
      <c r="AC4049" s="48"/>
      <c r="AD4049" s="48"/>
      <c r="AE4049" s="48"/>
      <c r="AF4049" s="48"/>
      <c r="AG4049" s="48"/>
      <c r="AH4049" s="48"/>
      <c r="AI4049" s="48"/>
      <c r="AJ4049" s="48"/>
      <c r="AK4049" s="48"/>
      <c r="AL4049" s="48"/>
      <c r="AM4049" s="48"/>
      <c r="AN4049" s="48"/>
      <c r="AO4049" s="48"/>
      <c r="AP4049" s="48"/>
      <c r="AQ4049" s="48"/>
      <c r="AR4049" s="48"/>
      <c r="AS4049" s="48"/>
      <c r="AT4049" s="48"/>
      <c r="AU4049" s="48"/>
      <c r="AV4049" s="48"/>
      <c r="AW4049" s="48"/>
      <c r="AX4049" s="48"/>
      <c r="AY4049" s="48"/>
      <c r="AZ4049" s="48"/>
      <c r="BA4049" s="48"/>
      <c r="BB4049" s="14"/>
      <c r="BC4049" s="48"/>
      <c r="BD4049" s="48"/>
      <c r="BE4049" s="48"/>
      <c r="BF4049" s="48"/>
      <c r="BG4049" s="48"/>
      <c r="BH4049" s="48"/>
      <c r="BI4049" s="48"/>
      <c r="BJ4049" s="48"/>
      <c r="BK4049" s="48"/>
      <c r="BL4049" s="48"/>
      <c r="BM4049" s="48"/>
      <c r="BN4049" s="48"/>
      <c r="BO4049" s="48"/>
      <c r="BP4049" s="48"/>
      <c r="BQ4049" s="48"/>
      <c r="BR4049" s="48"/>
      <c r="BS4049" s="48"/>
      <c r="BT4049" s="48"/>
      <c r="BU4049" s="48"/>
      <c r="BV4049" s="48"/>
      <c r="BW4049" s="48"/>
      <c r="BX4049" s="48"/>
      <c r="BY4049" s="48"/>
      <c r="BZ4049" s="48"/>
      <c r="CA4049" s="48"/>
      <c r="CB4049" s="48"/>
      <c r="CC4049" s="48"/>
      <c r="CD4049" s="48"/>
      <c r="CE4049" s="48"/>
      <c r="CF4049" s="48"/>
      <c r="CG4049" s="48"/>
      <c r="CH4049" s="48"/>
      <c r="CI4049" s="48"/>
      <c r="CJ4049" s="48"/>
      <c r="CK4049" s="48"/>
      <c r="CL4049" s="48"/>
      <c r="CM4049" s="48"/>
      <c r="CN4049" s="48"/>
      <c r="CO4049" s="48"/>
      <c r="CP4049" s="48"/>
      <c r="CQ4049" s="48"/>
      <c r="CR4049" s="48"/>
      <c r="CS4049" s="48"/>
      <c r="CT4049" s="48"/>
      <c r="CU4049" s="48"/>
      <c r="CV4049" s="48"/>
      <c r="CW4049" s="48"/>
      <c r="CX4049" s="48"/>
      <c r="CY4049" s="48"/>
      <c r="CZ4049" s="48"/>
    </row>
    <row r="4050" spans="27:104" s="4" customFormat="1" x14ac:dyDescent="0.3">
      <c r="AA4050" s="48"/>
      <c r="AB4050" s="48"/>
      <c r="AC4050" s="48"/>
      <c r="AD4050" s="48"/>
      <c r="AE4050" s="48"/>
      <c r="AF4050" s="48"/>
      <c r="AG4050" s="48"/>
      <c r="AH4050" s="48"/>
      <c r="AI4050" s="48"/>
      <c r="AJ4050" s="48"/>
      <c r="AK4050" s="48"/>
      <c r="AL4050" s="48"/>
      <c r="AM4050" s="48"/>
      <c r="AN4050" s="48"/>
      <c r="AO4050" s="48"/>
      <c r="AP4050" s="48"/>
      <c r="AQ4050" s="48"/>
      <c r="AR4050" s="48"/>
      <c r="AS4050" s="48"/>
      <c r="AT4050" s="48"/>
      <c r="AU4050" s="48"/>
      <c r="AV4050" s="48"/>
      <c r="AW4050" s="48"/>
      <c r="AX4050" s="48"/>
      <c r="AY4050" s="48"/>
      <c r="AZ4050" s="48"/>
      <c r="BA4050" s="48"/>
      <c r="BB4050" s="14"/>
      <c r="BC4050" s="48"/>
      <c r="BD4050" s="48"/>
      <c r="BE4050" s="48"/>
      <c r="BF4050" s="48"/>
      <c r="BG4050" s="48"/>
      <c r="BH4050" s="48"/>
      <c r="BI4050" s="48"/>
      <c r="BJ4050" s="48"/>
      <c r="BK4050" s="48"/>
      <c r="BL4050" s="48"/>
      <c r="BM4050" s="48"/>
      <c r="BN4050" s="48"/>
      <c r="BO4050" s="48"/>
      <c r="BP4050" s="48"/>
      <c r="BQ4050" s="48"/>
      <c r="BR4050" s="48"/>
      <c r="BS4050" s="48"/>
      <c r="BT4050" s="48"/>
      <c r="BU4050" s="48"/>
      <c r="BV4050" s="48"/>
      <c r="BW4050" s="48"/>
      <c r="BX4050" s="48"/>
      <c r="BY4050" s="48"/>
      <c r="BZ4050" s="48"/>
      <c r="CA4050" s="48"/>
      <c r="CB4050" s="48"/>
      <c r="CC4050" s="48"/>
      <c r="CD4050" s="48"/>
      <c r="CE4050" s="48"/>
      <c r="CF4050" s="48"/>
      <c r="CG4050" s="48"/>
      <c r="CH4050" s="48"/>
      <c r="CI4050" s="48"/>
      <c r="CJ4050" s="48"/>
      <c r="CK4050" s="48"/>
      <c r="CL4050" s="48"/>
      <c r="CM4050" s="48"/>
      <c r="CN4050" s="48"/>
      <c r="CO4050" s="48"/>
      <c r="CP4050" s="48"/>
      <c r="CQ4050" s="48"/>
      <c r="CR4050" s="48"/>
      <c r="CS4050" s="48"/>
      <c r="CT4050" s="48"/>
      <c r="CU4050" s="48"/>
      <c r="CV4050" s="48"/>
      <c r="CW4050" s="48"/>
      <c r="CX4050" s="48"/>
      <c r="CY4050" s="48"/>
      <c r="CZ4050" s="48"/>
    </row>
    <row r="4051" spans="27:104" s="4" customFormat="1" x14ac:dyDescent="0.3">
      <c r="AA4051" s="48"/>
      <c r="AB4051" s="48"/>
      <c r="AC4051" s="48"/>
      <c r="AD4051" s="48"/>
      <c r="AE4051" s="48"/>
      <c r="AF4051" s="48"/>
      <c r="AG4051" s="48"/>
      <c r="AH4051" s="48"/>
      <c r="AI4051" s="48"/>
      <c r="AJ4051" s="48"/>
      <c r="AK4051" s="48"/>
      <c r="AL4051" s="48"/>
      <c r="AM4051" s="48"/>
      <c r="AN4051" s="48"/>
      <c r="AO4051" s="48"/>
      <c r="AP4051" s="48"/>
      <c r="AQ4051" s="48"/>
      <c r="AR4051" s="48"/>
      <c r="AS4051" s="48"/>
      <c r="AT4051" s="48"/>
      <c r="AU4051" s="48"/>
      <c r="AV4051" s="48"/>
      <c r="AW4051" s="48"/>
      <c r="AX4051" s="48"/>
      <c r="AY4051" s="48"/>
      <c r="AZ4051" s="48"/>
      <c r="BA4051" s="48"/>
      <c r="BB4051" s="14"/>
      <c r="BC4051" s="48"/>
      <c r="BD4051" s="48"/>
      <c r="BE4051" s="48"/>
      <c r="BF4051" s="48"/>
      <c r="BG4051" s="48"/>
      <c r="BH4051" s="48"/>
      <c r="BI4051" s="48"/>
      <c r="BJ4051" s="48"/>
      <c r="BK4051" s="48"/>
      <c r="BL4051" s="48"/>
      <c r="BM4051" s="48"/>
      <c r="BN4051" s="48"/>
      <c r="BO4051" s="48"/>
      <c r="BP4051" s="48"/>
      <c r="BQ4051" s="48"/>
      <c r="BR4051" s="48"/>
      <c r="BS4051" s="48"/>
      <c r="BT4051" s="48"/>
      <c r="BU4051" s="48"/>
      <c r="BV4051" s="48"/>
      <c r="BW4051" s="48"/>
      <c r="BX4051" s="48"/>
      <c r="BY4051" s="48"/>
      <c r="BZ4051" s="48"/>
      <c r="CA4051" s="48"/>
      <c r="CB4051" s="48"/>
      <c r="CC4051" s="48"/>
      <c r="CD4051" s="48"/>
      <c r="CE4051" s="48"/>
      <c r="CF4051" s="48"/>
      <c r="CG4051" s="48"/>
      <c r="CH4051" s="48"/>
      <c r="CI4051" s="48"/>
      <c r="CJ4051" s="48"/>
      <c r="CK4051" s="48"/>
      <c r="CL4051" s="48"/>
      <c r="CM4051" s="48"/>
      <c r="CN4051" s="48"/>
      <c r="CO4051" s="48"/>
      <c r="CP4051" s="48"/>
      <c r="CQ4051" s="48"/>
      <c r="CR4051" s="48"/>
      <c r="CS4051" s="48"/>
      <c r="CT4051" s="48"/>
      <c r="CU4051" s="48"/>
      <c r="CV4051" s="48"/>
      <c r="CW4051" s="48"/>
      <c r="CX4051" s="48"/>
      <c r="CY4051" s="48"/>
      <c r="CZ4051" s="48"/>
    </row>
    <row r="4052" spans="27:104" s="4" customFormat="1" x14ac:dyDescent="0.3">
      <c r="AA4052" s="48"/>
      <c r="AB4052" s="48"/>
      <c r="AC4052" s="48"/>
      <c r="AD4052" s="48"/>
      <c r="AE4052" s="48"/>
      <c r="AF4052" s="48"/>
      <c r="AG4052" s="48"/>
      <c r="AH4052" s="48"/>
      <c r="AI4052" s="48"/>
      <c r="AJ4052" s="48"/>
      <c r="AK4052" s="48"/>
      <c r="AL4052" s="48"/>
      <c r="AM4052" s="48"/>
      <c r="AN4052" s="48"/>
      <c r="AO4052" s="48"/>
      <c r="AP4052" s="48"/>
      <c r="AQ4052" s="48"/>
      <c r="AR4052" s="48"/>
      <c r="AS4052" s="48"/>
      <c r="AT4052" s="48"/>
      <c r="AU4052" s="48"/>
      <c r="AV4052" s="48"/>
      <c r="AW4052" s="48"/>
      <c r="AX4052" s="48"/>
      <c r="AY4052" s="48"/>
      <c r="AZ4052" s="48"/>
      <c r="BA4052" s="48"/>
      <c r="BB4052" s="14"/>
      <c r="BC4052" s="48"/>
      <c r="BD4052" s="48"/>
      <c r="BE4052" s="48"/>
      <c r="BF4052" s="48"/>
      <c r="BG4052" s="48"/>
      <c r="BH4052" s="48"/>
      <c r="BI4052" s="48"/>
      <c r="BJ4052" s="48"/>
      <c r="BK4052" s="48"/>
      <c r="BL4052" s="48"/>
      <c r="BM4052" s="48"/>
      <c r="BN4052" s="48"/>
      <c r="BO4052" s="48"/>
      <c r="BP4052" s="48"/>
      <c r="BQ4052" s="48"/>
      <c r="BR4052" s="48"/>
      <c r="BS4052" s="48"/>
      <c r="BT4052" s="48"/>
      <c r="BU4052" s="48"/>
      <c r="BV4052" s="48"/>
      <c r="BW4052" s="48"/>
      <c r="BX4052" s="48"/>
      <c r="BY4052" s="48"/>
      <c r="BZ4052" s="48"/>
      <c r="CA4052" s="48"/>
      <c r="CB4052" s="48"/>
      <c r="CC4052" s="48"/>
      <c r="CD4052" s="48"/>
      <c r="CE4052" s="48"/>
      <c r="CF4052" s="48"/>
      <c r="CG4052" s="48"/>
      <c r="CH4052" s="48"/>
      <c r="CI4052" s="48"/>
      <c r="CJ4052" s="48"/>
      <c r="CK4052" s="48"/>
      <c r="CL4052" s="48"/>
      <c r="CM4052" s="48"/>
      <c r="CN4052" s="48"/>
      <c r="CO4052" s="48"/>
      <c r="CP4052" s="48"/>
      <c r="CQ4052" s="48"/>
      <c r="CR4052" s="48"/>
      <c r="CS4052" s="48"/>
      <c r="CT4052" s="48"/>
      <c r="CU4052" s="48"/>
      <c r="CV4052" s="48"/>
      <c r="CW4052" s="48"/>
      <c r="CX4052" s="48"/>
      <c r="CY4052" s="48"/>
      <c r="CZ4052" s="48"/>
    </row>
    <row r="4053" spans="27:104" s="4" customFormat="1" x14ac:dyDescent="0.3">
      <c r="AA4053" s="48"/>
      <c r="AB4053" s="48"/>
      <c r="AC4053" s="48"/>
      <c r="AD4053" s="48"/>
      <c r="AE4053" s="48"/>
      <c r="AF4053" s="48"/>
      <c r="AG4053" s="48"/>
      <c r="AH4053" s="48"/>
      <c r="AI4053" s="48"/>
      <c r="AJ4053" s="48"/>
      <c r="AK4053" s="48"/>
      <c r="AL4053" s="48"/>
      <c r="AM4053" s="48"/>
      <c r="AN4053" s="48"/>
      <c r="AO4053" s="48"/>
      <c r="AP4053" s="48"/>
      <c r="AQ4053" s="48"/>
      <c r="AR4053" s="48"/>
      <c r="AS4053" s="48"/>
      <c r="AT4053" s="48"/>
      <c r="AU4053" s="48"/>
      <c r="AV4053" s="48"/>
      <c r="AW4053" s="48"/>
      <c r="AX4053" s="48"/>
      <c r="AY4053" s="48"/>
      <c r="AZ4053" s="48"/>
      <c r="BA4053" s="48"/>
      <c r="BB4053" s="14"/>
      <c r="BC4053" s="48"/>
      <c r="BD4053" s="48"/>
      <c r="BE4053" s="48"/>
      <c r="BF4053" s="48"/>
      <c r="BG4053" s="48"/>
      <c r="BH4053" s="48"/>
      <c r="BI4053" s="48"/>
      <c r="BJ4053" s="48"/>
      <c r="BK4053" s="48"/>
      <c r="BL4053" s="48"/>
      <c r="BM4053" s="48"/>
      <c r="BN4053" s="48"/>
      <c r="BO4053" s="48"/>
      <c r="BP4053" s="48"/>
      <c r="BQ4053" s="48"/>
      <c r="BR4053" s="48"/>
      <c r="BS4053" s="48"/>
      <c r="BT4053" s="48"/>
      <c r="BU4053" s="48"/>
      <c r="BV4053" s="48"/>
      <c r="BW4053" s="48"/>
      <c r="BX4053" s="48"/>
      <c r="BY4053" s="48"/>
      <c r="BZ4053" s="48"/>
      <c r="CA4053" s="48"/>
      <c r="CB4053" s="48"/>
      <c r="CC4053" s="48"/>
      <c r="CD4053" s="48"/>
      <c r="CE4053" s="48"/>
      <c r="CF4053" s="48"/>
      <c r="CG4053" s="48"/>
      <c r="CH4053" s="48"/>
      <c r="CI4053" s="48"/>
      <c r="CJ4053" s="48"/>
      <c r="CK4053" s="48"/>
      <c r="CL4053" s="48"/>
      <c r="CM4053" s="48"/>
      <c r="CN4053" s="48"/>
      <c r="CO4053" s="48"/>
      <c r="CP4053" s="48"/>
      <c r="CQ4053" s="48"/>
      <c r="CR4053" s="48"/>
      <c r="CS4053" s="48"/>
      <c r="CT4053" s="48"/>
      <c r="CU4053" s="48"/>
      <c r="CV4053" s="48"/>
      <c r="CW4053" s="48"/>
      <c r="CX4053" s="48"/>
      <c r="CY4053" s="48"/>
      <c r="CZ4053" s="48"/>
    </row>
    <row r="4054" spans="27:104" s="4" customFormat="1" x14ac:dyDescent="0.3">
      <c r="AA4054" s="48"/>
      <c r="AB4054" s="48"/>
      <c r="AC4054" s="48"/>
      <c r="AD4054" s="48"/>
      <c r="AE4054" s="48"/>
      <c r="AF4054" s="48"/>
      <c r="AG4054" s="48"/>
      <c r="AH4054" s="48"/>
      <c r="AI4054" s="48"/>
      <c r="AJ4054" s="48"/>
      <c r="AK4054" s="48"/>
      <c r="AL4054" s="48"/>
      <c r="AM4054" s="48"/>
      <c r="AN4054" s="48"/>
      <c r="AO4054" s="48"/>
      <c r="AP4054" s="48"/>
      <c r="AQ4054" s="48"/>
      <c r="AR4054" s="48"/>
      <c r="AS4054" s="48"/>
      <c r="AT4054" s="48"/>
      <c r="AU4054" s="48"/>
      <c r="AV4054" s="48"/>
      <c r="AW4054" s="48"/>
      <c r="AX4054" s="48"/>
      <c r="AY4054" s="48"/>
      <c r="AZ4054" s="48"/>
      <c r="BA4054" s="48"/>
      <c r="BB4054" s="14"/>
      <c r="BC4054" s="48"/>
      <c r="BD4054" s="48"/>
      <c r="BE4054" s="48"/>
      <c r="BF4054" s="48"/>
      <c r="BG4054" s="48"/>
      <c r="BH4054" s="48"/>
      <c r="BI4054" s="48"/>
      <c r="BJ4054" s="48"/>
      <c r="BK4054" s="48"/>
      <c r="BL4054" s="48"/>
      <c r="BM4054" s="48"/>
      <c r="BN4054" s="48"/>
      <c r="BO4054" s="48"/>
      <c r="BP4054" s="48"/>
      <c r="BQ4054" s="48"/>
      <c r="BR4054" s="48"/>
      <c r="BS4054" s="48"/>
      <c r="BT4054" s="48"/>
      <c r="BU4054" s="48"/>
      <c r="BV4054" s="48"/>
      <c r="BW4054" s="48"/>
      <c r="BX4054" s="48"/>
      <c r="BY4054" s="48"/>
      <c r="BZ4054" s="48"/>
      <c r="CA4054" s="48"/>
      <c r="CB4054" s="48"/>
      <c r="CC4054" s="48"/>
      <c r="CD4054" s="48"/>
      <c r="CE4054" s="48"/>
      <c r="CF4054" s="48"/>
      <c r="CG4054" s="48"/>
      <c r="CH4054" s="48"/>
      <c r="CI4054" s="48"/>
      <c r="CJ4054" s="48"/>
      <c r="CK4054" s="48"/>
      <c r="CL4054" s="48"/>
      <c r="CM4054" s="48"/>
      <c r="CN4054" s="48"/>
      <c r="CO4054" s="48"/>
      <c r="CP4054" s="48"/>
      <c r="CQ4054" s="48"/>
      <c r="CR4054" s="48"/>
      <c r="CS4054" s="48"/>
      <c r="CT4054" s="48"/>
      <c r="CU4054" s="48"/>
      <c r="CV4054" s="48"/>
      <c r="CW4054" s="48"/>
      <c r="CX4054" s="48"/>
      <c r="CY4054" s="48"/>
      <c r="CZ4054" s="48"/>
    </row>
    <row r="4055" spans="27:104" s="4" customFormat="1" x14ac:dyDescent="0.3">
      <c r="AA4055" s="48"/>
      <c r="AB4055" s="48"/>
      <c r="AC4055" s="48"/>
      <c r="AD4055" s="48"/>
      <c r="AE4055" s="48"/>
      <c r="AF4055" s="48"/>
      <c r="AG4055" s="48"/>
      <c r="AH4055" s="48"/>
      <c r="AI4055" s="48"/>
      <c r="AJ4055" s="48"/>
      <c r="AK4055" s="48"/>
      <c r="AL4055" s="48"/>
      <c r="AM4055" s="48"/>
      <c r="AN4055" s="48"/>
      <c r="AO4055" s="48"/>
      <c r="AP4055" s="48"/>
      <c r="AQ4055" s="48"/>
      <c r="AR4055" s="48"/>
      <c r="AS4055" s="48"/>
      <c r="AT4055" s="48"/>
      <c r="AU4055" s="48"/>
      <c r="AV4055" s="48"/>
      <c r="AW4055" s="48"/>
      <c r="AX4055" s="48"/>
      <c r="AY4055" s="48"/>
      <c r="AZ4055" s="48"/>
      <c r="BA4055" s="48"/>
      <c r="BB4055" s="14"/>
      <c r="BC4055" s="48"/>
      <c r="BD4055" s="48"/>
      <c r="BE4055" s="48"/>
      <c r="BF4055" s="48"/>
      <c r="BG4055" s="48"/>
      <c r="BH4055" s="48"/>
      <c r="BI4055" s="48"/>
      <c r="BJ4055" s="48"/>
      <c r="BK4055" s="48"/>
      <c r="BL4055" s="48"/>
      <c r="BM4055" s="48"/>
      <c r="BN4055" s="48"/>
      <c r="BO4055" s="48"/>
      <c r="BP4055" s="48"/>
      <c r="BQ4055" s="48"/>
      <c r="BR4055" s="48"/>
      <c r="BS4055" s="48"/>
      <c r="BT4055" s="48"/>
      <c r="BU4055" s="48"/>
      <c r="BV4055" s="48"/>
      <c r="BW4055" s="48"/>
      <c r="BX4055" s="48"/>
      <c r="BY4055" s="48"/>
      <c r="BZ4055" s="48"/>
      <c r="CA4055" s="48"/>
      <c r="CB4055" s="48"/>
      <c r="CC4055" s="48"/>
      <c r="CD4055" s="48"/>
      <c r="CE4055" s="48"/>
      <c r="CF4055" s="48"/>
      <c r="CG4055" s="48"/>
      <c r="CH4055" s="48"/>
      <c r="CI4055" s="48"/>
      <c r="CJ4055" s="48"/>
      <c r="CK4055" s="48"/>
      <c r="CL4055" s="48"/>
      <c r="CM4055" s="48"/>
      <c r="CN4055" s="48"/>
      <c r="CO4055" s="48"/>
      <c r="CP4055" s="48"/>
      <c r="CQ4055" s="48"/>
      <c r="CR4055" s="48"/>
      <c r="CS4055" s="48"/>
      <c r="CT4055" s="48"/>
      <c r="CU4055" s="48"/>
      <c r="CV4055" s="48"/>
      <c r="CW4055" s="48"/>
      <c r="CX4055" s="48"/>
      <c r="CY4055" s="48"/>
      <c r="CZ4055" s="48"/>
    </row>
    <row r="4056" spans="27:104" s="4" customFormat="1" x14ac:dyDescent="0.3">
      <c r="AA4056" s="48"/>
      <c r="AB4056" s="48"/>
      <c r="AC4056" s="48"/>
      <c r="AD4056" s="48"/>
      <c r="AE4056" s="48"/>
      <c r="AF4056" s="48"/>
      <c r="AG4056" s="48"/>
      <c r="AH4056" s="48"/>
      <c r="AI4056" s="48"/>
      <c r="AJ4056" s="48"/>
      <c r="AK4056" s="48"/>
      <c r="AL4056" s="48"/>
      <c r="AM4056" s="48"/>
      <c r="AN4056" s="48"/>
      <c r="AO4056" s="48"/>
      <c r="AP4056" s="48"/>
      <c r="AQ4056" s="48"/>
      <c r="AR4056" s="48"/>
      <c r="AS4056" s="48"/>
      <c r="AT4056" s="48"/>
      <c r="AU4056" s="48"/>
      <c r="AV4056" s="48"/>
      <c r="AW4056" s="48"/>
      <c r="AX4056" s="48"/>
      <c r="AY4056" s="48"/>
      <c r="AZ4056" s="48"/>
      <c r="BA4056" s="48"/>
      <c r="BB4056" s="14"/>
      <c r="BC4056" s="48"/>
      <c r="BD4056" s="48"/>
      <c r="BE4056" s="48"/>
      <c r="BF4056" s="48"/>
      <c r="BG4056" s="48"/>
      <c r="BH4056" s="48"/>
      <c r="BI4056" s="48"/>
      <c r="BJ4056" s="48"/>
      <c r="BK4056" s="48"/>
      <c r="BL4056" s="48"/>
      <c r="BM4056" s="48"/>
      <c r="BN4056" s="48"/>
      <c r="BO4056" s="48"/>
      <c r="BP4056" s="48"/>
      <c r="BQ4056" s="48"/>
      <c r="BR4056" s="48"/>
      <c r="BS4056" s="48"/>
      <c r="BT4056" s="48"/>
      <c r="BU4056" s="48"/>
      <c r="BV4056" s="48"/>
      <c r="BW4056" s="48"/>
      <c r="BX4056" s="48"/>
      <c r="BY4056" s="48"/>
      <c r="BZ4056" s="48"/>
      <c r="CA4056" s="48"/>
      <c r="CB4056" s="48"/>
      <c r="CC4056" s="48"/>
      <c r="CD4056" s="48"/>
      <c r="CE4056" s="48"/>
      <c r="CF4056" s="48"/>
      <c r="CG4056" s="48"/>
      <c r="CH4056" s="48"/>
      <c r="CI4056" s="48"/>
      <c r="CJ4056" s="48"/>
      <c r="CK4056" s="48"/>
      <c r="CL4056" s="48"/>
      <c r="CM4056" s="48"/>
      <c r="CN4056" s="48"/>
      <c r="CO4056" s="48"/>
      <c r="CP4056" s="48"/>
      <c r="CQ4056" s="48"/>
      <c r="CR4056" s="48"/>
      <c r="CS4056" s="48"/>
      <c r="CT4056" s="48"/>
      <c r="CU4056" s="48"/>
      <c r="CV4056" s="48"/>
      <c r="CW4056" s="48"/>
      <c r="CX4056" s="48"/>
      <c r="CY4056" s="48"/>
      <c r="CZ4056" s="48"/>
    </row>
    <row r="4057" spans="27:104" s="4" customFormat="1" x14ac:dyDescent="0.3">
      <c r="AA4057" s="48"/>
      <c r="AB4057" s="48"/>
      <c r="AC4057" s="48"/>
      <c r="AD4057" s="48"/>
      <c r="AE4057" s="48"/>
      <c r="AF4057" s="48"/>
      <c r="AG4057" s="48"/>
      <c r="AH4057" s="48"/>
      <c r="AI4057" s="48"/>
      <c r="AJ4057" s="48"/>
      <c r="AK4057" s="48"/>
      <c r="AL4057" s="48"/>
      <c r="AM4057" s="48"/>
      <c r="AN4057" s="48"/>
      <c r="AO4057" s="48"/>
      <c r="AP4057" s="48"/>
      <c r="AQ4057" s="48"/>
      <c r="AR4057" s="48"/>
      <c r="AS4057" s="48"/>
      <c r="AT4057" s="48"/>
      <c r="AU4057" s="48"/>
      <c r="AV4057" s="48"/>
      <c r="AW4057" s="48"/>
      <c r="AX4057" s="48"/>
      <c r="AY4057" s="48"/>
      <c r="AZ4057" s="48"/>
      <c r="BA4057" s="48"/>
      <c r="BB4057" s="14"/>
      <c r="BC4057" s="48"/>
      <c r="BD4057" s="48"/>
      <c r="BE4057" s="48"/>
      <c r="BF4057" s="48"/>
      <c r="BG4057" s="48"/>
      <c r="BH4057" s="48"/>
      <c r="BI4057" s="48"/>
      <c r="BJ4057" s="48"/>
      <c r="BK4057" s="48"/>
      <c r="BL4057" s="48"/>
      <c r="BM4057" s="48"/>
      <c r="BN4057" s="48"/>
      <c r="BO4057" s="48"/>
      <c r="BP4057" s="48"/>
      <c r="BQ4057" s="48"/>
      <c r="BR4057" s="48"/>
      <c r="BS4057" s="48"/>
      <c r="BT4057" s="48"/>
      <c r="BU4057" s="48"/>
      <c r="BV4057" s="48"/>
      <c r="BW4057" s="48"/>
      <c r="BX4057" s="48"/>
      <c r="BY4057" s="48"/>
      <c r="BZ4057" s="48"/>
      <c r="CA4057" s="48"/>
      <c r="CB4057" s="48"/>
      <c r="CC4057" s="48"/>
      <c r="CD4057" s="48"/>
      <c r="CE4057" s="48"/>
      <c r="CF4057" s="48"/>
      <c r="CG4057" s="48"/>
      <c r="CH4057" s="48"/>
      <c r="CI4057" s="48"/>
      <c r="CJ4057" s="48"/>
      <c r="CK4057" s="48"/>
      <c r="CL4057" s="48"/>
      <c r="CM4057" s="48"/>
      <c r="CN4057" s="48"/>
      <c r="CO4057" s="48"/>
      <c r="CP4057" s="48"/>
      <c r="CQ4057" s="48"/>
      <c r="CR4057" s="48"/>
      <c r="CS4057" s="48"/>
      <c r="CT4057" s="48"/>
      <c r="CU4057" s="48"/>
      <c r="CV4057" s="48"/>
      <c r="CW4057" s="48"/>
      <c r="CX4057" s="48"/>
      <c r="CY4057" s="48"/>
      <c r="CZ4057" s="48"/>
    </row>
    <row r="4058" spans="27:104" s="4" customFormat="1" x14ac:dyDescent="0.3">
      <c r="AA4058" s="48"/>
      <c r="AB4058" s="48"/>
      <c r="AC4058" s="48"/>
      <c r="AD4058" s="48"/>
      <c r="AE4058" s="48"/>
      <c r="AF4058" s="48"/>
      <c r="AG4058" s="48"/>
      <c r="AH4058" s="48"/>
      <c r="AI4058" s="48"/>
      <c r="AJ4058" s="48"/>
      <c r="AK4058" s="48"/>
      <c r="AL4058" s="48"/>
      <c r="AM4058" s="48"/>
      <c r="AN4058" s="48"/>
      <c r="AO4058" s="48"/>
      <c r="AP4058" s="48"/>
      <c r="AQ4058" s="48"/>
      <c r="AR4058" s="48"/>
      <c r="AS4058" s="48"/>
      <c r="AT4058" s="48"/>
      <c r="AU4058" s="48"/>
      <c r="AV4058" s="48"/>
      <c r="AW4058" s="48"/>
      <c r="AX4058" s="48"/>
      <c r="AY4058" s="48"/>
      <c r="AZ4058" s="48"/>
      <c r="BA4058" s="48"/>
      <c r="BB4058" s="14"/>
      <c r="BC4058" s="48"/>
      <c r="BD4058" s="48"/>
      <c r="BE4058" s="48"/>
      <c r="BF4058" s="48"/>
      <c r="BG4058" s="48"/>
      <c r="BH4058" s="48"/>
      <c r="BI4058" s="48"/>
      <c r="BJ4058" s="48"/>
      <c r="BK4058" s="48"/>
      <c r="BL4058" s="48"/>
      <c r="BM4058" s="48"/>
      <c r="BN4058" s="48"/>
      <c r="BO4058" s="48"/>
      <c r="BP4058" s="48"/>
      <c r="BQ4058" s="48"/>
      <c r="BR4058" s="48"/>
      <c r="BS4058" s="48"/>
      <c r="BT4058" s="48"/>
      <c r="BU4058" s="48"/>
      <c r="BV4058" s="48"/>
      <c r="BW4058" s="48"/>
      <c r="BX4058" s="48"/>
      <c r="BY4058" s="48"/>
      <c r="BZ4058" s="48"/>
      <c r="CA4058" s="48"/>
      <c r="CB4058" s="48"/>
      <c r="CC4058" s="48"/>
      <c r="CD4058" s="48"/>
      <c r="CE4058" s="48"/>
      <c r="CF4058" s="48"/>
      <c r="CG4058" s="48"/>
      <c r="CH4058" s="48"/>
      <c r="CI4058" s="48"/>
      <c r="CJ4058" s="48"/>
      <c r="CK4058" s="48"/>
      <c r="CL4058" s="48"/>
      <c r="CM4058" s="48"/>
      <c r="CN4058" s="48"/>
      <c r="CO4058" s="48"/>
      <c r="CP4058" s="48"/>
      <c r="CQ4058" s="48"/>
      <c r="CR4058" s="48"/>
      <c r="CS4058" s="48"/>
      <c r="CT4058" s="48"/>
      <c r="CU4058" s="48"/>
      <c r="CV4058" s="48"/>
      <c r="CW4058" s="48"/>
      <c r="CX4058" s="48"/>
      <c r="CY4058" s="48"/>
      <c r="CZ4058" s="48"/>
    </row>
    <row r="4059" spans="27:104" s="4" customFormat="1" x14ac:dyDescent="0.3">
      <c r="AA4059" s="48"/>
      <c r="AB4059" s="48"/>
      <c r="AC4059" s="48"/>
      <c r="AD4059" s="48"/>
      <c r="AE4059" s="48"/>
      <c r="AF4059" s="48"/>
      <c r="AG4059" s="48"/>
      <c r="AH4059" s="48"/>
      <c r="AI4059" s="48"/>
      <c r="AJ4059" s="48"/>
      <c r="AK4059" s="48"/>
      <c r="AL4059" s="48"/>
      <c r="AM4059" s="48"/>
      <c r="AN4059" s="48"/>
      <c r="AO4059" s="48"/>
      <c r="AP4059" s="48"/>
      <c r="AQ4059" s="48"/>
      <c r="AR4059" s="48"/>
      <c r="AS4059" s="48"/>
      <c r="AT4059" s="48"/>
      <c r="AU4059" s="48"/>
      <c r="AV4059" s="48"/>
      <c r="AW4059" s="48"/>
      <c r="AX4059" s="48"/>
      <c r="AY4059" s="48"/>
      <c r="AZ4059" s="48"/>
      <c r="BA4059" s="48"/>
      <c r="BB4059" s="14"/>
      <c r="BC4059" s="48"/>
      <c r="BD4059" s="48"/>
      <c r="BE4059" s="48"/>
      <c r="BF4059" s="48"/>
      <c r="BG4059" s="48"/>
      <c r="BH4059" s="48"/>
      <c r="BI4059" s="48"/>
      <c r="BJ4059" s="48"/>
      <c r="BK4059" s="48"/>
      <c r="BL4059" s="48"/>
      <c r="BM4059" s="48"/>
      <c r="BN4059" s="48"/>
      <c r="BO4059" s="48"/>
      <c r="BP4059" s="48"/>
      <c r="BQ4059" s="48"/>
      <c r="BR4059" s="48"/>
      <c r="BS4059" s="48"/>
      <c r="BT4059" s="48"/>
      <c r="BU4059" s="48"/>
      <c r="BV4059" s="48"/>
      <c r="BW4059" s="48"/>
      <c r="BX4059" s="48"/>
      <c r="BY4059" s="48"/>
      <c r="BZ4059" s="48"/>
      <c r="CA4059" s="48"/>
      <c r="CB4059" s="48"/>
      <c r="CC4059" s="48"/>
      <c r="CD4059" s="48"/>
      <c r="CE4059" s="48"/>
      <c r="CF4059" s="48"/>
      <c r="CG4059" s="48"/>
      <c r="CH4059" s="48"/>
      <c r="CI4059" s="48"/>
      <c r="CJ4059" s="48"/>
      <c r="CK4059" s="48"/>
      <c r="CL4059" s="48"/>
      <c r="CM4059" s="48"/>
      <c r="CN4059" s="48"/>
      <c r="CO4059" s="48"/>
      <c r="CP4059" s="48"/>
      <c r="CQ4059" s="48"/>
      <c r="CR4059" s="48"/>
      <c r="CS4059" s="48"/>
      <c r="CT4059" s="48"/>
      <c r="CU4059" s="48"/>
      <c r="CV4059" s="48"/>
      <c r="CW4059" s="48"/>
      <c r="CX4059" s="48"/>
      <c r="CY4059" s="48"/>
      <c r="CZ4059" s="48"/>
    </row>
    <row r="4060" spans="27:104" s="4" customFormat="1" x14ac:dyDescent="0.3">
      <c r="AA4060" s="48"/>
      <c r="AB4060" s="48"/>
      <c r="AC4060" s="48"/>
      <c r="AD4060" s="48"/>
      <c r="AE4060" s="48"/>
      <c r="AF4060" s="48"/>
      <c r="AG4060" s="48"/>
      <c r="AH4060" s="48"/>
      <c r="AI4060" s="48"/>
      <c r="AJ4060" s="48"/>
      <c r="AK4060" s="48"/>
      <c r="AL4060" s="48"/>
      <c r="AM4060" s="48"/>
      <c r="AN4060" s="48"/>
      <c r="AO4060" s="48"/>
      <c r="AP4060" s="48"/>
      <c r="AQ4060" s="48"/>
      <c r="AR4060" s="48"/>
      <c r="AS4060" s="48"/>
      <c r="AT4060" s="48"/>
      <c r="AU4060" s="48"/>
      <c r="AV4060" s="48"/>
      <c r="AW4060" s="48"/>
      <c r="AX4060" s="48"/>
      <c r="AY4060" s="48"/>
      <c r="AZ4060" s="48"/>
      <c r="BA4060" s="48"/>
      <c r="BB4060" s="14"/>
      <c r="BC4060" s="48"/>
      <c r="BD4060" s="48"/>
      <c r="BE4060" s="48"/>
      <c r="BF4060" s="48"/>
      <c r="BG4060" s="48"/>
      <c r="BH4060" s="48"/>
      <c r="BI4060" s="48"/>
      <c r="BJ4060" s="48"/>
      <c r="BK4060" s="48"/>
      <c r="BL4060" s="48"/>
      <c r="BM4060" s="48"/>
      <c r="BN4060" s="48"/>
      <c r="BO4060" s="48"/>
      <c r="BP4060" s="48"/>
      <c r="BQ4060" s="48"/>
      <c r="BR4060" s="48"/>
      <c r="BS4060" s="48"/>
      <c r="BT4060" s="48"/>
      <c r="BU4060" s="48"/>
      <c r="BV4060" s="48"/>
      <c r="BW4060" s="48"/>
      <c r="BX4060" s="48"/>
      <c r="BY4060" s="48"/>
      <c r="BZ4060" s="48"/>
      <c r="CA4060" s="48"/>
      <c r="CB4060" s="48"/>
      <c r="CC4060" s="48"/>
      <c r="CD4060" s="48"/>
      <c r="CE4060" s="48"/>
      <c r="CF4060" s="48"/>
      <c r="CG4060" s="48"/>
      <c r="CH4060" s="48"/>
      <c r="CI4060" s="48"/>
      <c r="CJ4060" s="48"/>
      <c r="CK4060" s="48"/>
      <c r="CL4060" s="48"/>
      <c r="CM4060" s="48"/>
      <c r="CN4060" s="48"/>
      <c r="CO4060" s="48"/>
      <c r="CP4060" s="48"/>
      <c r="CQ4060" s="48"/>
      <c r="CR4060" s="48"/>
      <c r="CS4060" s="48"/>
      <c r="CT4060" s="48"/>
      <c r="CU4060" s="48"/>
      <c r="CV4060" s="48"/>
      <c r="CW4060" s="48"/>
      <c r="CX4060" s="48"/>
      <c r="CY4060" s="48"/>
      <c r="CZ4060" s="48"/>
    </row>
    <row r="4061" spans="27:104" s="4" customFormat="1" x14ac:dyDescent="0.3">
      <c r="AA4061" s="48"/>
      <c r="AB4061" s="48"/>
      <c r="AC4061" s="48"/>
      <c r="AD4061" s="48"/>
      <c r="AE4061" s="48"/>
      <c r="AF4061" s="48"/>
      <c r="AG4061" s="48"/>
      <c r="AH4061" s="48"/>
      <c r="AI4061" s="48"/>
      <c r="AJ4061" s="48"/>
      <c r="AK4061" s="48"/>
      <c r="AL4061" s="48"/>
      <c r="AM4061" s="48"/>
      <c r="AN4061" s="48"/>
      <c r="AO4061" s="48"/>
      <c r="AP4061" s="48"/>
      <c r="AQ4061" s="48"/>
      <c r="AR4061" s="48"/>
      <c r="AS4061" s="48"/>
      <c r="AT4061" s="48"/>
      <c r="AU4061" s="48"/>
      <c r="AV4061" s="48"/>
      <c r="AW4061" s="48"/>
      <c r="AX4061" s="48"/>
      <c r="AY4061" s="48"/>
      <c r="AZ4061" s="48"/>
      <c r="BA4061" s="48"/>
      <c r="BB4061" s="14"/>
      <c r="BC4061" s="48"/>
      <c r="BD4061" s="48"/>
      <c r="BE4061" s="48"/>
      <c r="BF4061" s="48"/>
      <c r="BG4061" s="48"/>
      <c r="BH4061" s="48"/>
      <c r="BI4061" s="48"/>
      <c r="BJ4061" s="48"/>
      <c r="BK4061" s="48"/>
      <c r="BL4061" s="48"/>
      <c r="BM4061" s="48"/>
      <c r="BN4061" s="48"/>
      <c r="BO4061" s="48"/>
      <c r="BP4061" s="48"/>
      <c r="BQ4061" s="48"/>
      <c r="BR4061" s="48"/>
      <c r="BS4061" s="48"/>
      <c r="BT4061" s="48"/>
      <c r="BU4061" s="48"/>
      <c r="BV4061" s="48"/>
      <c r="BW4061" s="48"/>
      <c r="BX4061" s="48"/>
      <c r="BY4061" s="48"/>
      <c r="BZ4061" s="48"/>
      <c r="CA4061" s="48"/>
      <c r="CB4061" s="48"/>
      <c r="CC4061" s="48"/>
      <c r="CD4061" s="48"/>
      <c r="CE4061" s="48"/>
      <c r="CF4061" s="48"/>
      <c r="CG4061" s="48"/>
      <c r="CH4061" s="48"/>
      <c r="CI4061" s="48"/>
      <c r="CJ4061" s="48"/>
      <c r="CK4061" s="48"/>
      <c r="CL4061" s="48"/>
      <c r="CM4061" s="48"/>
      <c r="CN4061" s="48"/>
      <c r="CO4061" s="48"/>
      <c r="CP4061" s="48"/>
      <c r="CQ4061" s="48"/>
      <c r="CR4061" s="48"/>
      <c r="CS4061" s="48"/>
      <c r="CT4061" s="48"/>
      <c r="CU4061" s="48"/>
      <c r="CV4061" s="48"/>
      <c r="CW4061" s="48"/>
      <c r="CX4061" s="48"/>
      <c r="CY4061" s="48"/>
      <c r="CZ4061" s="48"/>
    </row>
    <row r="4062" spans="27:104" s="4" customFormat="1" x14ac:dyDescent="0.3">
      <c r="AA4062" s="48"/>
      <c r="AB4062" s="48"/>
      <c r="AC4062" s="48"/>
      <c r="AD4062" s="48"/>
      <c r="AE4062" s="48"/>
      <c r="AF4062" s="48"/>
      <c r="AG4062" s="48"/>
      <c r="AH4062" s="48"/>
      <c r="AI4062" s="48"/>
      <c r="AJ4062" s="48"/>
      <c r="AK4062" s="48"/>
      <c r="AL4062" s="48"/>
      <c r="AM4062" s="48"/>
      <c r="AN4062" s="48"/>
      <c r="AO4062" s="48"/>
      <c r="AP4062" s="48"/>
      <c r="AQ4062" s="48"/>
      <c r="AR4062" s="48"/>
      <c r="AS4062" s="48"/>
      <c r="AT4062" s="48"/>
      <c r="AU4062" s="48"/>
      <c r="AV4062" s="48"/>
      <c r="AW4062" s="48"/>
      <c r="AX4062" s="48"/>
      <c r="AY4062" s="48"/>
      <c r="AZ4062" s="48"/>
      <c r="BA4062" s="48"/>
      <c r="BB4062" s="14"/>
      <c r="BC4062" s="48"/>
      <c r="BD4062" s="48"/>
      <c r="BE4062" s="48"/>
      <c r="BF4062" s="48"/>
      <c r="BG4062" s="48"/>
      <c r="BH4062" s="48"/>
      <c r="BI4062" s="48"/>
      <c r="BJ4062" s="48"/>
      <c r="BK4062" s="48"/>
      <c r="BL4062" s="48"/>
      <c r="BM4062" s="48"/>
      <c r="BN4062" s="48"/>
      <c r="BO4062" s="48"/>
      <c r="BP4062" s="48"/>
      <c r="BQ4062" s="48"/>
      <c r="BR4062" s="48"/>
      <c r="BS4062" s="48"/>
      <c r="BT4062" s="48"/>
      <c r="BU4062" s="48"/>
      <c r="BV4062" s="48"/>
      <c r="BW4062" s="48"/>
      <c r="BX4062" s="48"/>
      <c r="BY4062" s="48"/>
      <c r="BZ4062" s="48"/>
      <c r="CA4062" s="48"/>
      <c r="CB4062" s="48"/>
      <c r="CC4062" s="48"/>
      <c r="CD4062" s="48"/>
      <c r="CE4062" s="48"/>
      <c r="CF4062" s="48"/>
      <c r="CG4062" s="48"/>
      <c r="CH4062" s="48"/>
      <c r="CI4062" s="48"/>
      <c r="CJ4062" s="48"/>
      <c r="CK4062" s="48"/>
      <c r="CL4062" s="48"/>
      <c r="CM4062" s="48"/>
      <c r="CN4062" s="48"/>
      <c r="CO4062" s="48"/>
      <c r="CP4062" s="48"/>
      <c r="CQ4062" s="48"/>
      <c r="CR4062" s="48"/>
      <c r="CS4062" s="48"/>
      <c r="CT4062" s="48"/>
      <c r="CU4062" s="48"/>
      <c r="CV4062" s="48"/>
      <c r="CW4062" s="48"/>
      <c r="CX4062" s="48"/>
      <c r="CY4062" s="48"/>
      <c r="CZ4062" s="48"/>
    </row>
    <row r="4063" spans="27:104" s="4" customFormat="1" x14ac:dyDescent="0.3">
      <c r="AA4063" s="48"/>
      <c r="AB4063" s="48"/>
      <c r="AC4063" s="48"/>
      <c r="AD4063" s="48"/>
      <c r="AE4063" s="48"/>
      <c r="AF4063" s="48"/>
      <c r="AG4063" s="48"/>
      <c r="AH4063" s="48"/>
      <c r="AI4063" s="48"/>
      <c r="AJ4063" s="48"/>
      <c r="AK4063" s="48"/>
      <c r="AL4063" s="48"/>
      <c r="AM4063" s="48"/>
      <c r="AN4063" s="48"/>
      <c r="AO4063" s="48"/>
      <c r="AP4063" s="48"/>
      <c r="AQ4063" s="48"/>
      <c r="AR4063" s="48"/>
      <c r="AS4063" s="48"/>
      <c r="AT4063" s="48"/>
      <c r="AU4063" s="48"/>
      <c r="AV4063" s="48"/>
      <c r="AW4063" s="48"/>
      <c r="AX4063" s="48"/>
      <c r="AY4063" s="48"/>
      <c r="AZ4063" s="48"/>
      <c r="BA4063" s="48"/>
      <c r="BB4063" s="14"/>
      <c r="BC4063" s="48"/>
      <c r="BD4063" s="48"/>
      <c r="BE4063" s="48"/>
      <c r="BF4063" s="48"/>
      <c r="BG4063" s="48"/>
      <c r="BH4063" s="48"/>
      <c r="BI4063" s="48"/>
      <c r="BJ4063" s="48"/>
      <c r="BK4063" s="48"/>
      <c r="BL4063" s="48"/>
      <c r="BM4063" s="48"/>
      <c r="BN4063" s="48"/>
      <c r="BO4063" s="48"/>
      <c r="BP4063" s="48"/>
      <c r="BQ4063" s="48"/>
      <c r="BR4063" s="48"/>
      <c r="BS4063" s="48"/>
      <c r="BT4063" s="48"/>
      <c r="BU4063" s="48"/>
      <c r="BV4063" s="48"/>
      <c r="BW4063" s="48"/>
      <c r="BX4063" s="48"/>
      <c r="BY4063" s="48"/>
      <c r="BZ4063" s="48"/>
      <c r="CA4063" s="48"/>
      <c r="CB4063" s="48"/>
      <c r="CC4063" s="48"/>
      <c r="CD4063" s="48"/>
      <c r="CE4063" s="48"/>
      <c r="CF4063" s="48"/>
      <c r="CG4063" s="48"/>
      <c r="CH4063" s="48"/>
      <c r="CI4063" s="48"/>
      <c r="CJ4063" s="48"/>
      <c r="CK4063" s="48"/>
      <c r="CL4063" s="48"/>
      <c r="CM4063" s="48"/>
      <c r="CN4063" s="48"/>
      <c r="CO4063" s="48"/>
      <c r="CP4063" s="48"/>
      <c r="CQ4063" s="48"/>
      <c r="CR4063" s="48"/>
      <c r="CS4063" s="48"/>
      <c r="CT4063" s="48"/>
      <c r="CU4063" s="48"/>
      <c r="CV4063" s="48"/>
      <c r="CW4063" s="48"/>
      <c r="CX4063" s="48"/>
      <c r="CY4063" s="48"/>
      <c r="CZ4063" s="48"/>
    </row>
    <row r="4064" spans="27:104" s="4" customFormat="1" x14ac:dyDescent="0.3">
      <c r="AA4064" s="48"/>
      <c r="AB4064" s="48"/>
      <c r="AC4064" s="48"/>
      <c r="AD4064" s="48"/>
      <c r="AE4064" s="48"/>
      <c r="AF4064" s="48"/>
      <c r="AG4064" s="48"/>
      <c r="AH4064" s="48"/>
      <c r="AI4064" s="48"/>
      <c r="AJ4064" s="48"/>
      <c r="AK4064" s="48"/>
      <c r="AL4064" s="48"/>
      <c r="AM4064" s="48"/>
      <c r="AN4064" s="48"/>
      <c r="AO4064" s="48"/>
      <c r="AP4064" s="48"/>
      <c r="AQ4064" s="48"/>
      <c r="AR4064" s="48"/>
      <c r="AS4064" s="48"/>
      <c r="AT4064" s="48"/>
      <c r="AU4064" s="48"/>
      <c r="AV4064" s="48"/>
      <c r="AW4064" s="48"/>
      <c r="AX4064" s="48"/>
      <c r="AY4064" s="48"/>
      <c r="AZ4064" s="48"/>
      <c r="BA4064" s="48"/>
      <c r="BB4064" s="14"/>
      <c r="BC4064" s="48"/>
      <c r="BD4064" s="48"/>
      <c r="BE4064" s="48"/>
      <c r="BF4064" s="48"/>
      <c r="BG4064" s="48"/>
      <c r="BH4064" s="48"/>
      <c r="BI4064" s="48"/>
      <c r="BJ4064" s="48"/>
      <c r="BK4064" s="48"/>
      <c r="BL4064" s="48"/>
      <c r="BM4064" s="48"/>
      <c r="BN4064" s="48"/>
      <c r="BO4064" s="48"/>
      <c r="BP4064" s="48"/>
      <c r="BQ4064" s="48"/>
      <c r="BR4064" s="48"/>
      <c r="BS4064" s="48"/>
      <c r="BT4064" s="48"/>
      <c r="BU4064" s="48"/>
      <c r="BV4064" s="48"/>
      <c r="BW4064" s="48"/>
      <c r="BX4064" s="48"/>
      <c r="BY4064" s="48"/>
      <c r="BZ4064" s="48"/>
      <c r="CA4064" s="48"/>
      <c r="CB4064" s="48"/>
      <c r="CC4064" s="48"/>
      <c r="CD4064" s="48"/>
      <c r="CE4064" s="48"/>
      <c r="CF4064" s="48"/>
      <c r="CG4064" s="48"/>
      <c r="CH4064" s="48"/>
      <c r="CI4064" s="48"/>
      <c r="CJ4064" s="48"/>
      <c r="CK4064" s="48"/>
      <c r="CL4064" s="48"/>
      <c r="CM4064" s="48"/>
      <c r="CN4064" s="48"/>
      <c r="CO4064" s="48"/>
      <c r="CP4064" s="48"/>
      <c r="CQ4064" s="48"/>
      <c r="CR4064" s="48"/>
      <c r="CS4064" s="48"/>
      <c r="CT4064" s="48"/>
      <c r="CU4064" s="48"/>
      <c r="CV4064" s="48"/>
      <c r="CW4064" s="48"/>
      <c r="CX4064" s="48"/>
      <c r="CY4064" s="48"/>
      <c r="CZ4064" s="48"/>
    </row>
    <row r="4065" spans="27:104" s="4" customFormat="1" x14ac:dyDescent="0.3">
      <c r="AA4065" s="48"/>
      <c r="AB4065" s="48"/>
      <c r="AC4065" s="48"/>
      <c r="AD4065" s="48"/>
      <c r="AE4065" s="48"/>
      <c r="AF4065" s="48"/>
      <c r="AG4065" s="48"/>
      <c r="AH4065" s="48"/>
      <c r="AI4065" s="48"/>
      <c r="AJ4065" s="48"/>
      <c r="AK4065" s="48"/>
      <c r="AL4065" s="48"/>
      <c r="AM4065" s="48"/>
      <c r="AN4065" s="48"/>
      <c r="AO4065" s="48"/>
      <c r="AP4065" s="48"/>
      <c r="AQ4065" s="48"/>
      <c r="AR4065" s="48"/>
      <c r="AS4065" s="48"/>
      <c r="AT4065" s="48"/>
      <c r="AU4065" s="48"/>
      <c r="AV4065" s="48"/>
      <c r="AW4065" s="48"/>
      <c r="AX4065" s="48"/>
      <c r="AY4065" s="48"/>
      <c r="AZ4065" s="48"/>
      <c r="BA4065" s="48"/>
      <c r="BB4065" s="14"/>
      <c r="BC4065" s="48"/>
      <c r="BD4065" s="48"/>
      <c r="BE4065" s="48"/>
      <c r="BF4065" s="48"/>
      <c r="BG4065" s="48"/>
      <c r="BH4065" s="48"/>
      <c r="BI4065" s="48"/>
      <c r="BJ4065" s="48"/>
      <c r="BK4065" s="48"/>
      <c r="BL4065" s="48"/>
      <c r="BM4065" s="48"/>
      <c r="BN4065" s="48"/>
      <c r="BO4065" s="48"/>
      <c r="BP4065" s="48"/>
      <c r="BQ4065" s="48"/>
      <c r="BR4065" s="48"/>
      <c r="BS4065" s="48"/>
      <c r="BT4065" s="48"/>
      <c r="BU4065" s="48"/>
      <c r="BV4065" s="48"/>
      <c r="BW4065" s="48"/>
      <c r="BX4065" s="48"/>
      <c r="BY4065" s="48"/>
      <c r="BZ4065" s="48"/>
      <c r="CA4065" s="48"/>
      <c r="CB4065" s="48"/>
      <c r="CC4065" s="48"/>
      <c r="CD4065" s="48"/>
      <c r="CE4065" s="48"/>
      <c r="CF4065" s="48"/>
      <c r="CG4065" s="48"/>
      <c r="CH4065" s="48"/>
      <c r="CI4065" s="48"/>
      <c r="CJ4065" s="48"/>
      <c r="CK4065" s="48"/>
      <c r="CL4065" s="48"/>
      <c r="CM4065" s="48"/>
      <c r="CN4065" s="48"/>
      <c r="CO4065" s="48"/>
      <c r="CP4065" s="48"/>
      <c r="CQ4065" s="48"/>
      <c r="CR4065" s="48"/>
      <c r="CS4065" s="48"/>
      <c r="CT4065" s="48"/>
      <c r="CU4065" s="48"/>
      <c r="CV4065" s="48"/>
      <c r="CW4065" s="48"/>
      <c r="CX4065" s="48"/>
      <c r="CY4065" s="48"/>
      <c r="CZ4065" s="48"/>
    </row>
    <row r="4066" spans="27:104" s="4" customFormat="1" x14ac:dyDescent="0.3">
      <c r="AA4066" s="48"/>
      <c r="AB4066" s="48"/>
      <c r="AC4066" s="48"/>
      <c r="AD4066" s="48"/>
      <c r="AE4066" s="48"/>
      <c r="AF4066" s="48"/>
      <c r="AG4066" s="48"/>
      <c r="AH4066" s="48"/>
      <c r="AI4066" s="48"/>
      <c r="AJ4066" s="48"/>
      <c r="AK4066" s="48"/>
      <c r="AL4066" s="48"/>
      <c r="AM4066" s="48"/>
      <c r="AN4066" s="48"/>
      <c r="AO4066" s="48"/>
      <c r="AP4066" s="48"/>
      <c r="AQ4066" s="48"/>
      <c r="AR4066" s="48"/>
      <c r="AS4066" s="48"/>
      <c r="AT4066" s="48"/>
      <c r="AU4066" s="48"/>
      <c r="AV4066" s="48"/>
      <c r="AW4066" s="48"/>
      <c r="AX4066" s="48"/>
      <c r="AY4066" s="48"/>
      <c r="AZ4066" s="48"/>
      <c r="BA4066" s="48"/>
      <c r="BB4066" s="14"/>
      <c r="BC4066" s="48"/>
      <c r="BD4066" s="48"/>
      <c r="BE4066" s="48"/>
      <c r="BF4066" s="48"/>
      <c r="BG4066" s="48"/>
      <c r="BH4066" s="48"/>
      <c r="BI4066" s="48"/>
      <c r="BJ4066" s="48"/>
      <c r="BK4066" s="48"/>
      <c r="BL4066" s="48"/>
      <c r="BM4066" s="48"/>
      <c r="BN4066" s="48"/>
      <c r="BO4066" s="48"/>
      <c r="BP4066" s="48"/>
      <c r="BQ4066" s="48"/>
      <c r="BR4066" s="48"/>
      <c r="BS4066" s="48"/>
      <c r="BT4066" s="48"/>
      <c r="BU4066" s="48"/>
      <c r="BV4066" s="48"/>
      <c r="BW4066" s="48"/>
      <c r="BX4066" s="48"/>
      <c r="BY4066" s="48"/>
      <c r="BZ4066" s="48"/>
      <c r="CA4066" s="48"/>
      <c r="CB4066" s="48"/>
      <c r="CC4066" s="48"/>
      <c r="CD4066" s="48"/>
      <c r="CE4066" s="48"/>
      <c r="CF4066" s="48"/>
      <c r="CG4066" s="48"/>
      <c r="CH4066" s="48"/>
      <c r="CI4066" s="48"/>
      <c r="CJ4066" s="48"/>
      <c r="CK4066" s="48"/>
      <c r="CL4066" s="48"/>
      <c r="CM4066" s="48"/>
      <c r="CN4066" s="48"/>
      <c r="CO4066" s="48"/>
      <c r="CP4066" s="48"/>
      <c r="CQ4066" s="48"/>
      <c r="CR4066" s="48"/>
      <c r="CS4066" s="48"/>
      <c r="CT4066" s="48"/>
      <c r="CU4066" s="48"/>
      <c r="CV4066" s="48"/>
      <c r="CW4066" s="48"/>
      <c r="CX4066" s="48"/>
      <c r="CY4066" s="48"/>
      <c r="CZ4066" s="48"/>
    </row>
    <row r="4067" spans="27:104" s="4" customFormat="1" x14ac:dyDescent="0.3">
      <c r="AA4067" s="48"/>
      <c r="AB4067" s="48"/>
      <c r="AC4067" s="48"/>
      <c r="AD4067" s="48"/>
      <c r="AE4067" s="48"/>
      <c r="AF4067" s="48"/>
      <c r="AG4067" s="48"/>
      <c r="AH4067" s="48"/>
      <c r="AI4067" s="48"/>
      <c r="AJ4067" s="48"/>
      <c r="AK4067" s="48"/>
      <c r="AL4067" s="48"/>
      <c r="AM4067" s="48"/>
      <c r="AN4067" s="48"/>
      <c r="AO4067" s="48"/>
      <c r="AP4067" s="48"/>
      <c r="AQ4067" s="48"/>
      <c r="AR4067" s="48"/>
      <c r="AS4067" s="48"/>
      <c r="AT4067" s="48"/>
      <c r="AU4067" s="48"/>
      <c r="AV4067" s="48"/>
      <c r="AW4067" s="48"/>
      <c r="AX4067" s="48"/>
      <c r="AY4067" s="48"/>
      <c r="AZ4067" s="48"/>
      <c r="BA4067" s="48"/>
      <c r="BB4067" s="14"/>
      <c r="BC4067" s="48"/>
      <c r="BD4067" s="48"/>
      <c r="BE4067" s="48"/>
      <c r="BF4067" s="48"/>
      <c r="BG4067" s="48"/>
      <c r="BH4067" s="48"/>
      <c r="BI4067" s="48"/>
      <c r="BJ4067" s="48"/>
      <c r="BK4067" s="48"/>
      <c r="BL4067" s="48"/>
      <c r="BM4067" s="48"/>
      <c r="BN4067" s="48"/>
      <c r="BO4067" s="48"/>
      <c r="BP4067" s="48"/>
      <c r="BQ4067" s="48"/>
      <c r="BR4067" s="48"/>
      <c r="BS4067" s="48"/>
      <c r="BT4067" s="48"/>
      <c r="BU4067" s="48"/>
      <c r="BV4067" s="48"/>
      <c r="BW4067" s="48"/>
      <c r="BX4067" s="48"/>
      <c r="BY4067" s="48"/>
      <c r="BZ4067" s="48"/>
      <c r="CA4067" s="48"/>
      <c r="CB4067" s="48"/>
      <c r="CC4067" s="48"/>
      <c r="CD4067" s="48"/>
      <c r="CE4067" s="48"/>
      <c r="CF4067" s="48"/>
      <c r="CG4067" s="48"/>
      <c r="CH4067" s="48"/>
      <c r="CI4067" s="48"/>
      <c r="CJ4067" s="48"/>
      <c r="CK4067" s="48"/>
      <c r="CL4067" s="48"/>
      <c r="CM4067" s="48"/>
      <c r="CN4067" s="48"/>
      <c r="CO4067" s="48"/>
      <c r="CP4067" s="48"/>
      <c r="CQ4067" s="48"/>
      <c r="CR4067" s="48"/>
      <c r="CS4067" s="48"/>
      <c r="CT4067" s="48"/>
      <c r="CU4067" s="48"/>
      <c r="CV4067" s="48"/>
      <c r="CW4067" s="48"/>
      <c r="CX4067" s="48"/>
      <c r="CY4067" s="48"/>
      <c r="CZ4067" s="48"/>
    </row>
    <row r="4068" spans="27:104" s="4" customFormat="1" x14ac:dyDescent="0.3">
      <c r="AA4068" s="48"/>
      <c r="AB4068" s="48"/>
      <c r="AC4068" s="48"/>
      <c r="AD4068" s="48"/>
      <c r="AE4068" s="48"/>
      <c r="AF4068" s="48"/>
      <c r="AG4068" s="48"/>
      <c r="AH4068" s="48"/>
      <c r="AI4068" s="48"/>
      <c r="AJ4068" s="48"/>
      <c r="AK4068" s="48"/>
      <c r="AL4068" s="48"/>
      <c r="AM4068" s="48"/>
      <c r="AN4068" s="48"/>
      <c r="AO4068" s="48"/>
      <c r="AP4068" s="48"/>
      <c r="AQ4068" s="48"/>
      <c r="AR4068" s="48"/>
      <c r="AS4068" s="48"/>
      <c r="AT4068" s="48"/>
      <c r="AU4068" s="48"/>
      <c r="AV4068" s="48"/>
      <c r="AW4068" s="48"/>
      <c r="AX4068" s="48"/>
      <c r="AY4068" s="48"/>
      <c r="AZ4068" s="48"/>
      <c r="BA4068" s="48"/>
      <c r="BB4068" s="14"/>
      <c r="BC4068" s="48"/>
      <c r="BD4068" s="48"/>
      <c r="BE4068" s="48"/>
      <c r="BF4068" s="48"/>
      <c r="BG4068" s="48"/>
      <c r="BH4068" s="48"/>
      <c r="BI4068" s="48"/>
      <c r="BJ4068" s="48"/>
      <c r="BK4068" s="48"/>
      <c r="BL4068" s="48"/>
      <c r="BM4068" s="48"/>
      <c r="BN4068" s="48"/>
      <c r="BO4068" s="48"/>
      <c r="BP4068" s="48"/>
      <c r="BQ4068" s="48"/>
      <c r="BR4068" s="48"/>
      <c r="BS4068" s="48"/>
      <c r="BT4068" s="48"/>
      <c r="BU4068" s="48"/>
      <c r="BV4068" s="48"/>
      <c r="BW4068" s="48"/>
      <c r="BX4068" s="48"/>
      <c r="BY4068" s="48"/>
      <c r="BZ4068" s="48"/>
      <c r="CA4068" s="48"/>
      <c r="CB4068" s="48"/>
      <c r="CC4068" s="48"/>
      <c r="CD4068" s="48"/>
      <c r="CE4068" s="48"/>
      <c r="CF4068" s="48"/>
      <c r="CG4068" s="48"/>
      <c r="CH4068" s="48"/>
      <c r="CI4068" s="48"/>
      <c r="CJ4068" s="48"/>
      <c r="CK4068" s="48"/>
      <c r="CL4068" s="48"/>
      <c r="CM4068" s="48"/>
      <c r="CN4068" s="48"/>
      <c r="CO4068" s="48"/>
      <c r="CP4068" s="48"/>
      <c r="CQ4068" s="48"/>
      <c r="CR4068" s="48"/>
      <c r="CS4068" s="48"/>
      <c r="CT4068" s="48"/>
      <c r="CU4068" s="48"/>
      <c r="CV4068" s="48"/>
      <c r="CW4068" s="48"/>
      <c r="CX4068" s="48"/>
      <c r="CY4068" s="48"/>
      <c r="CZ4068" s="48"/>
    </row>
    <row r="4069" spans="27:104" s="4" customFormat="1" x14ac:dyDescent="0.3">
      <c r="AA4069" s="48"/>
      <c r="AB4069" s="48"/>
      <c r="AC4069" s="48"/>
      <c r="AD4069" s="48"/>
      <c r="AE4069" s="48"/>
      <c r="AF4069" s="48"/>
      <c r="AG4069" s="48"/>
      <c r="AH4069" s="48"/>
      <c r="AI4069" s="48"/>
      <c r="AJ4069" s="48"/>
      <c r="AK4069" s="48"/>
      <c r="AL4069" s="48"/>
      <c r="AM4069" s="48"/>
      <c r="AN4069" s="48"/>
      <c r="AO4069" s="48"/>
      <c r="AP4069" s="48"/>
      <c r="AQ4069" s="48"/>
      <c r="AR4069" s="48"/>
      <c r="AS4069" s="48"/>
      <c r="AT4069" s="48"/>
      <c r="AU4069" s="48"/>
      <c r="AV4069" s="48"/>
      <c r="AW4069" s="48"/>
      <c r="AX4069" s="48"/>
      <c r="AY4069" s="48"/>
      <c r="AZ4069" s="48"/>
      <c r="BA4069" s="48"/>
      <c r="BB4069" s="14"/>
      <c r="BC4069" s="48"/>
      <c r="BD4069" s="48"/>
      <c r="BE4069" s="48"/>
      <c r="BF4069" s="48"/>
      <c r="BG4069" s="48"/>
      <c r="BH4069" s="48"/>
      <c r="BI4069" s="48"/>
      <c r="BJ4069" s="48"/>
      <c r="BK4069" s="48"/>
      <c r="BL4069" s="48"/>
      <c r="BM4069" s="48"/>
      <c r="BN4069" s="48"/>
      <c r="BO4069" s="48"/>
      <c r="BP4069" s="48"/>
      <c r="BQ4069" s="48"/>
      <c r="BR4069" s="48"/>
      <c r="BS4069" s="48"/>
      <c r="BT4069" s="48"/>
      <c r="BU4069" s="48"/>
      <c r="BV4069" s="48"/>
      <c r="BW4069" s="48"/>
      <c r="BX4069" s="48"/>
      <c r="BY4069" s="48"/>
      <c r="BZ4069" s="48"/>
      <c r="CA4069" s="48"/>
      <c r="CB4069" s="48"/>
      <c r="CC4069" s="48"/>
      <c r="CD4069" s="48"/>
      <c r="CE4069" s="48"/>
      <c r="CF4069" s="48"/>
      <c r="CG4069" s="48"/>
      <c r="CH4069" s="48"/>
      <c r="CI4069" s="48"/>
      <c r="CJ4069" s="48"/>
      <c r="CK4069" s="48"/>
      <c r="CL4069" s="48"/>
      <c r="CM4069" s="48"/>
      <c r="CN4069" s="48"/>
      <c r="CO4069" s="48"/>
      <c r="CP4069" s="48"/>
      <c r="CQ4069" s="48"/>
      <c r="CR4069" s="48"/>
      <c r="CS4069" s="48"/>
      <c r="CT4069" s="48"/>
      <c r="CU4069" s="48"/>
      <c r="CV4069" s="48"/>
      <c r="CW4069" s="48"/>
      <c r="CX4069" s="48"/>
      <c r="CY4069" s="48"/>
      <c r="CZ4069" s="48"/>
    </row>
    <row r="4070" spans="27:104" s="4" customFormat="1" x14ac:dyDescent="0.3">
      <c r="AA4070" s="48"/>
      <c r="AB4070" s="48"/>
      <c r="AC4070" s="48"/>
      <c r="AD4070" s="48"/>
      <c r="AE4070" s="48"/>
      <c r="AF4070" s="48"/>
      <c r="AG4070" s="48"/>
      <c r="AH4070" s="48"/>
      <c r="AI4070" s="48"/>
      <c r="AJ4070" s="48"/>
      <c r="AK4070" s="48"/>
      <c r="AL4070" s="48"/>
      <c r="AM4070" s="48"/>
      <c r="AN4070" s="48"/>
      <c r="AO4070" s="48"/>
      <c r="AP4070" s="48"/>
      <c r="AQ4070" s="48"/>
      <c r="AR4070" s="48"/>
      <c r="AS4070" s="48"/>
      <c r="AT4070" s="48"/>
      <c r="AU4070" s="48"/>
      <c r="AV4070" s="48"/>
      <c r="AW4070" s="48"/>
      <c r="AX4070" s="48"/>
      <c r="AY4070" s="48"/>
      <c r="AZ4070" s="48"/>
      <c r="BA4070" s="48"/>
      <c r="BB4070" s="14"/>
      <c r="BC4070" s="48"/>
      <c r="BD4070" s="48"/>
      <c r="BE4070" s="48"/>
      <c r="BF4070" s="48"/>
      <c r="BG4070" s="48"/>
      <c r="BH4070" s="48"/>
      <c r="BI4070" s="48"/>
      <c r="BJ4070" s="48"/>
      <c r="BK4070" s="48"/>
      <c r="BL4070" s="48"/>
      <c r="BM4070" s="48"/>
      <c r="BN4070" s="48"/>
      <c r="BO4070" s="48"/>
      <c r="BP4070" s="48"/>
      <c r="BQ4070" s="48"/>
      <c r="BR4070" s="48"/>
      <c r="BS4070" s="48"/>
      <c r="BT4070" s="48"/>
      <c r="BU4070" s="48"/>
      <c r="BV4070" s="48"/>
      <c r="BW4070" s="48"/>
      <c r="BX4070" s="48"/>
      <c r="BY4070" s="48"/>
      <c r="BZ4070" s="48"/>
      <c r="CA4070" s="48"/>
      <c r="CB4070" s="48"/>
      <c r="CC4070" s="48"/>
      <c r="CD4070" s="48"/>
      <c r="CE4070" s="48"/>
      <c r="CF4070" s="48"/>
      <c r="CG4070" s="48"/>
      <c r="CH4070" s="48"/>
      <c r="CI4070" s="48"/>
      <c r="CJ4070" s="48"/>
      <c r="CK4070" s="48"/>
      <c r="CL4070" s="48"/>
      <c r="CM4070" s="48"/>
      <c r="CN4070" s="48"/>
      <c r="CO4070" s="48"/>
      <c r="CP4070" s="48"/>
      <c r="CQ4070" s="48"/>
      <c r="CR4070" s="48"/>
      <c r="CS4070" s="48"/>
      <c r="CT4070" s="48"/>
      <c r="CU4070" s="48"/>
      <c r="CV4070" s="48"/>
      <c r="CW4070" s="48"/>
      <c r="CX4070" s="48"/>
      <c r="CY4070" s="48"/>
      <c r="CZ4070" s="48"/>
    </row>
    <row r="4071" spans="27:104" s="4" customFormat="1" x14ac:dyDescent="0.3">
      <c r="AA4071" s="48"/>
      <c r="AB4071" s="48"/>
      <c r="AC4071" s="48"/>
      <c r="AD4071" s="48"/>
      <c r="AE4071" s="48"/>
      <c r="AF4071" s="48"/>
      <c r="AG4071" s="48"/>
      <c r="AH4071" s="48"/>
      <c r="AI4071" s="48"/>
      <c r="AJ4071" s="48"/>
      <c r="AK4071" s="48"/>
      <c r="AL4071" s="48"/>
      <c r="AM4071" s="48"/>
      <c r="AN4071" s="48"/>
      <c r="AO4071" s="48"/>
      <c r="AP4071" s="48"/>
      <c r="AQ4071" s="48"/>
      <c r="AR4071" s="48"/>
      <c r="AS4071" s="48"/>
      <c r="AT4071" s="48"/>
      <c r="AU4071" s="48"/>
      <c r="AV4071" s="48"/>
      <c r="AW4071" s="48"/>
      <c r="AX4071" s="48"/>
      <c r="AY4071" s="48"/>
      <c r="AZ4071" s="48"/>
      <c r="BA4071" s="48"/>
      <c r="BB4071" s="14"/>
      <c r="BC4071" s="48"/>
      <c r="BD4071" s="48"/>
      <c r="BE4071" s="48"/>
      <c r="BF4071" s="48"/>
      <c r="BG4071" s="48"/>
      <c r="BH4071" s="48"/>
      <c r="BI4071" s="48"/>
      <c r="BJ4071" s="48"/>
      <c r="BK4071" s="48"/>
      <c r="BL4071" s="48"/>
      <c r="BM4071" s="48"/>
      <c r="BN4071" s="48"/>
      <c r="BO4071" s="48"/>
      <c r="BP4071" s="48"/>
      <c r="BQ4071" s="48"/>
      <c r="BR4071" s="48"/>
      <c r="BS4071" s="48"/>
      <c r="BT4071" s="48"/>
      <c r="BU4071" s="48"/>
      <c r="BV4071" s="48"/>
      <c r="BW4071" s="48"/>
      <c r="BX4071" s="48"/>
      <c r="BY4071" s="48"/>
      <c r="BZ4071" s="48"/>
      <c r="CA4071" s="48"/>
      <c r="CB4071" s="48"/>
      <c r="CC4071" s="48"/>
      <c r="CD4071" s="48"/>
      <c r="CE4071" s="48"/>
      <c r="CF4071" s="48"/>
      <c r="CG4071" s="48"/>
      <c r="CH4071" s="48"/>
      <c r="CI4071" s="48"/>
      <c r="CJ4071" s="48"/>
      <c r="CK4071" s="48"/>
      <c r="CL4071" s="48"/>
      <c r="CM4071" s="48"/>
      <c r="CN4071" s="48"/>
      <c r="CO4071" s="48"/>
      <c r="CP4071" s="48"/>
      <c r="CQ4071" s="48"/>
      <c r="CR4071" s="48"/>
      <c r="CS4071" s="48"/>
      <c r="CT4071" s="48"/>
      <c r="CU4071" s="48"/>
      <c r="CV4071" s="48"/>
      <c r="CW4071" s="48"/>
      <c r="CX4071" s="48"/>
      <c r="CY4071" s="48"/>
      <c r="CZ4071" s="48"/>
    </row>
    <row r="4072" spans="27:104" s="4" customFormat="1" x14ac:dyDescent="0.3">
      <c r="AA4072" s="48"/>
      <c r="AB4072" s="48"/>
      <c r="AC4072" s="48"/>
      <c r="AD4072" s="48"/>
      <c r="AE4072" s="48"/>
      <c r="AF4072" s="48"/>
      <c r="AG4072" s="48"/>
      <c r="AH4072" s="48"/>
      <c r="AI4072" s="48"/>
      <c r="AJ4072" s="48"/>
      <c r="AK4072" s="48"/>
      <c r="AL4072" s="48"/>
      <c r="AM4072" s="48"/>
      <c r="AN4072" s="48"/>
      <c r="AO4072" s="48"/>
      <c r="AP4072" s="48"/>
      <c r="AQ4072" s="48"/>
      <c r="AR4072" s="48"/>
      <c r="AS4072" s="48"/>
      <c r="AT4072" s="48"/>
      <c r="AU4072" s="48"/>
      <c r="AV4072" s="48"/>
      <c r="AW4072" s="48"/>
      <c r="AX4072" s="48"/>
      <c r="AY4072" s="48"/>
      <c r="AZ4072" s="48"/>
      <c r="BA4072" s="48"/>
      <c r="BB4072" s="14"/>
      <c r="BC4072" s="48"/>
      <c r="BD4072" s="48"/>
      <c r="BE4072" s="48"/>
      <c r="BF4072" s="48"/>
      <c r="BG4072" s="48"/>
      <c r="BH4072" s="48"/>
      <c r="BI4072" s="48"/>
      <c r="BJ4072" s="48"/>
      <c r="BK4072" s="48"/>
      <c r="BL4072" s="48"/>
      <c r="BM4072" s="48"/>
      <c r="BN4072" s="48"/>
      <c r="BO4072" s="48"/>
      <c r="BP4072" s="48"/>
      <c r="BQ4072" s="48"/>
      <c r="BR4072" s="48"/>
      <c r="BS4072" s="48"/>
      <c r="BT4072" s="48"/>
      <c r="BU4072" s="48"/>
      <c r="BV4072" s="48"/>
      <c r="BW4072" s="48"/>
      <c r="BX4072" s="48"/>
      <c r="BY4072" s="48"/>
      <c r="BZ4072" s="48"/>
      <c r="CA4072" s="48"/>
      <c r="CB4072" s="48"/>
      <c r="CC4072" s="48"/>
      <c r="CD4072" s="48"/>
      <c r="CE4072" s="48"/>
      <c r="CF4072" s="48"/>
      <c r="CG4072" s="48"/>
      <c r="CH4072" s="48"/>
      <c r="CI4072" s="48"/>
      <c r="CJ4072" s="48"/>
      <c r="CK4072" s="48"/>
      <c r="CL4072" s="48"/>
      <c r="CM4072" s="48"/>
      <c r="CN4072" s="48"/>
      <c r="CO4072" s="48"/>
      <c r="CP4072" s="48"/>
      <c r="CQ4072" s="48"/>
      <c r="CR4072" s="48"/>
      <c r="CS4072" s="48"/>
      <c r="CT4072" s="48"/>
      <c r="CU4072" s="48"/>
      <c r="CV4072" s="48"/>
      <c r="CW4072" s="48"/>
      <c r="CX4072" s="48"/>
      <c r="CY4072" s="48"/>
      <c r="CZ4072" s="48"/>
    </row>
  </sheetData>
  <autoFilter ref="BD2366:BK2397" xr:uid="{50D0D17E-9FC9-4D94-9E27-4416EE482E69}"/>
  <mergeCells count="867">
    <mergeCell ref="B199:D199"/>
    <mergeCell ref="B355:D355"/>
    <mergeCell ref="B521:D521"/>
    <mergeCell ref="B556:D556"/>
    <mergeCell ref="B590:D590"/>
    <mergeCell ref="B624:D624"/>
    <mergeCell ref="B658:D658"/>
    <mergeCell ref="B706:D706"/>
    <mergeCell ref="B745:D745"/>
    <mergeCell ref="B783:D783"/>
    <mergeCell ref="B826:D826"/>
    <mergeCell ref="B903:D903"/>
    <mergeCell ref="B1126:D1126"/>
    <mergeCell ref="B1168:D1168"/>
    <mergeCell ref="B2451:E2451"/>
    <mergeCell ref="BQ1:BR1"/>
    <mergeCell ref="BK1:BL1"/>
    <mergeCell ref="BM1:BN1"/>
    <mergeCell ref="BO1:BP1"/>
    <mergeCell ref="C44:C46"/>
    <mergeCell ref="B44:B46"/>
    <mergeCell ref="D44:D46"/>
    <mergeCell ref="AR45:AV45"/>
    <mergeCell ref="BM45:BQ45"/>
    <mergeCell ref="B18:D18"/>
    <mergeCell ref="B19:D19"/>
    <mergeCell ref="B20:D20"/>
    <mergeCell ref="B21:D21"/>
    <mergeCell ref="B4:D5"/>
    <mergeCell ref="B6:D8"/>
    <mergeCell ref="B36:D41"/>
    <mergeCell ref="B15:D15"/>
    <mergeCell ref="B16:D16"/>
    <mergeCell ref="B17:D17"/>
    <mergeCell ref="D1854:D1856"/>
    <mergeCell ref="D1869:D1874"/>
    <mergeCell ref="D1876:D1879"/>
    <mergeCell ref="D1881:D1883"/>
    <mergeCell ref="D1884:D1886"/>
    <mergeCell ref="AF2914:AL2914"/>
    <mergeCell ref="B2317:E2317"/>
    <mergeCell ref="C1869:C1875"/>
    <mergeCell ref="C1876:C1880"/>
    <mergeCell ref="C1881:C1883"/>
    <mergeCell ref="C1884:C1886"/>
    <mergeCell ref="B2238:E2242"/>
    <mergeCell ref="B2243:E2247"/>
    <mergeCell ref="B2248:E2252"/>
    <mergeCell ref="B2131:E2136"/>
    <mergeCell ref="B2137:E2142"/>
    <mergeCell ref="B2143:E2148"/>
    <mergeCell ref="B2149:E2154"/>
    <mergeCell ref="B2155:E2160"/>
    <mergeCell ref="C2126:E2126"/>
    <mergeCell ref="C2129:E2129"/>
    <mergeCell ref="B2228:E2232"/>
    <mergeCell ref="B2233:E2237"/>
    <mergeCell ref="B2220:C2220"/>
    <mergeCell ref="B2076:C2076"/>
    <mergeCell ref="E2175:F2175"/>
    <mergeCell ref="E2176:F2176"/>
    <mergeCell ref="E2177:F2177"/>
    <mergeCell ref="E2178:F2178"/>
    <mergeCell ref="E2179:F2179"/>
    <mergeCell ref="E2180:F2180"/>
    <mergeCell ref="E2181:F2181"/>
    <mergeCell ref="E2182:F2182"/>
    <mergeCell ref="B2100:E2107"/>
    <mergeCell ref="B2108:E2115"/>
    <mergeCell ref="E2183:F2183"/>
    <mergeCell ref="E2196:F2196"/>
    <mergeCell ref="E2197:F2197"/>
    <mergeCell ref="E2184:F2184"/>
    <mergeCell ref="E2185:F2185"/>
    <mergeCell ref="E2186:F2186"/>
    <mergeCell ref="E2187:F2187"/>
    <mergeCell ref="E2188:F2188"/>
    <mergeCell ref="E2189:F2189"/>
    <mergeCell ref="E2190:F2190"/>
    <mergeCell ref="E2191:F2191"/>
    <mergeCell ref="E2192:F2192"/>
    <mergeCell ref="C2035:E2035"/>
    <mergeCell ref="B2037:E2041"/>
    <mergeCell ref="B2042:E2046"/>
    <mergeCell ref="B2047:E2051"/>
    <mergeCell ref="B2052:E2056"/>
    <mergeCell ref="B2057:E2062"/>
    <mergeCell ref="B2063:E2068"/>
    <mergeCell ref="AX203:BB203"/>
    <mergeCell ref="AX202:BB202"/>
    <mergeCell ref="B1998:E2002"/>
    <mergeCell ref="B2003:E2009"/>
    <mergeCell ref="B2010:E2013"/>
    <mergeCell ref="B2018:E2023"/>
    <mergeCell ref="B1943:E1948"/>
    <mergeCell ref="B1949:E1952"/>
    <mergeCell ref="B1957:E1961"/>
    <mergeCell ref="B1962:E1967"/>
    <mergeCell ref="B1968:E1973"/>
    <mergeCell ref="C2014:D2014"/>
    <mergeCell ref="C2015:D2015"/>
    <mergeCell ref="C2016:D2016"/>
    <mergeCell ref="B1988:E1988"/>
    <mergeCell ref="B1990:E1990"/>
    <mergeCell ref="D1985:E1985"/>
    <mergeCell ref="B1353:D1353"/>
    <mergeCell ref="C1355:D1355"/>
    <mergeCell ref="C1199:D1200"/>
    <mergeCell ref="C1598:D1598"/>
    <mergeCell ref="C1649:D1649"/>
    <mergeCell ref="B1:E1"/>
    <mergeCell ref="B1992:E1997"/>
    <mergeCell ref="B1911:E1918"/>
    <mergeCell ref="B1919:E1929"/>
    <mergeCell ref="B1896:E1902"/>
    <mergeCell ref="B1903:E1910"/>
    <mergeCell ref="B1985:C1985"/>
    <mergeCell ref="C1953:D1953"/>
    <mergeCell ref="A1214:E1216"/>
    <mergeCell ref="C1849:C1850"/>
    <mergeCell ref="D1849:E1850"/>
    <mergeCell ref="C1851:C1853"/>
    <mergeCell ref="D1851:E1853"/>
    <mergeCell ref="C1854:C1856"/>
    <mergeCell ref="C1860:C1862"/>
    <mergeCell ref="D1860:D1862"/>
    <mergeCell ref="C1866:C1868"/>
    <mergeCell ref="D1866:D1868"/>
    <mergeCell ref="B1866:B1868"/>
    <mergeCell ref="C1659:D1659"/>
    <mergeCell ref="C1663:D1663"/>
    <mergeCell ref="C1668:D1668"/>
    <mergeCell ref="B1633:D1633"/>
    <mergeCell ref="B1634:D1634"/>
    <mergeCell ref="B1635:D1635"/>
    <mergeCell ref="C1638:D1638"/>
    <mergeCell ref="C1639:D1639"/>
    <mergeCell ref="C1648:D1648"/>
    <mergeCell ref="C1653:D1653"/>
    <mergeCell ref="C1658:D1658"/>
    <mergeCell ref="C787:D787"/>
    <mergeCell ref="C788:D788"/>
    <mergeCell ref="C799:D799"/>
    <mergeCell ref="C800:D800"/>
    <mergeCell ref="C791:D791"/>
    <mergeCell ref="C792:D792"/>
    <mergeCell ref="C795:D795"/>
    <mergeCell ref="C796:D796"/>
    <mergeCell ref="B789:D789"/>
    <mergeCell ref="BN3327:BQ3327"/>
    <mergeCell ref="BN3313:BQ3313"/>
    <mergeCell ref="BN3314:BQ3314"/>
    <mergeCell ref="BN3320:BQ3320"/>
    <mergeCell ref="BN3321:BQ3321"/>
    <mergeCell ref="BN3322:BQ3322"/>
    <mergeCell ref="BN3323:BQ3323"/>
    <mergeCell ref="BN3324:BQ3324"/>
    <mergeCell ref="BN3325:BQ3325"/>
    <mergeCell ref="BN3326:BQ3326"/>
    <mergeCell ref="BN3301:BQ3301"/>
    <mergeCell ref="BN3302:BQ3302"/>
    <mergeCell ref="BN3303:BQ3303"/>
    <mergeCell ref="BN3304:BQ3304"/>
    <mergeCell ref="BN3305:BQ3305"/>
    <mergeCell ref="BN3307:BQ3307"/>
    <mergeCell ref="BN3308:BQ3308"/>
    <mergeCell ref="BN3310:BQ3310"/>
    <mergeCell ref="BN3311:BQ3311"/>
    <mergeCell ref="BN3299:BQ3299"/>
    <mergeCell ref="BN3300:BQ3300"/>
    <mergeCell ref="BN3290:BQ3290"/>
    <mergeCell ref="BN3279:BQ3279"/>
    <mergeCell ref="BN3280:BQ3280"/>
    <mergeCell ref="BN3281:BQ3281"/>
    <mergeCell ref="BN3282:BQ3282"/>
    <mergeCell ref="BN3283:BQ3283"/>
    <mergeCell ref="BN3284:BQ3284"/>
    <mergeCell ref="BN3285:BQ3285"/>
    <mergeCell ref="BN3286:BQ3286"/>
    <mergeCell ref="BN3287:BQ3287"/>
    <mergeCell ref="BN3288:BQ3288"/>
    <mergeCell ref="BN3289:BQ3289"/>
    <mergeCell ref="BN3293:BQ3293"/>
    <mergeCell ref="BN3294:BQ3294"/>
    <mergeCell ref="BN3296:BQ3296"/>
    <mergeCell ref="BN3297:BQ3297"/>
    <mergeCell ref="BN3298:BQ3298"/>
    <mergeCell ref="B2316:E2316"/>
    <mergeCell ref="B2360:E2360"/>
    <mergeCell ref="E2203:F2203"/>
    <mergeCell ref="E2204:F2204"/>
    <mergeCell ref="AO1712:AP1712"/>
    <mergeCell ref="AC1719:AD1719"/>
    <mergeCell ref="AI1719:AK1719"/>
    <mergeCell ref="AO1719:AP1719"/>
    <mergeCell ref="AC1724:AD1724"/>
    <mergeCell ref="AI1724:AK1724"/>
    <mergeCell ref="AO1724:AP1724"/>
    <mergeCell ref="AI1712:AK1712"/>
    <mergeCell ref="AC1713:AD1713"/>
    <mergeCell ref="AI1713:AK1713"/>
    <mergeCell ref="AO1713:AP1713"/>
    <mergeCell ref="AC1718:AD1718"/>
    <mergeCell ref="AC1731:AD1731"/>
    <mergeCell ref="AI1731:AK1731"/>
    <mergeCell ref="AO1731:AP1731"/>
    <mergeCell ref="AC1736:AD1736"/>
    <mergeCell ref="C2223:E2223"/>
    <mergeCell ref="C2082:E2082"/>
    <mergeCell ref="B2084:E2091"/>
    <mergeCell ref="B2092:E2099"/>
    <mergeCell ref="BN3278:BQ3278"/>
    <mergeCell ref="BN3291:BQ3291"/>
    <mergeCell ref="AM3206:AN3206"/>
    <mergeCell ref="C1205:D1206"/>
    <mergeCell ref="AH1205:AI1205"/>
    <mergeCell ref="C1208:D1209"/>
    <mergeCell ref="AH1208:AI1208"/>
    <mergeCell ref="C1211:D1212"/>
    <mergeCell ref="AH1211:AI1211"/>
    <mergeCell ref="E2207:F2207"/>
    <mergeCell ref="E2208:F2208"/>
    <mergeCell ref="E2209:F2209"/>
    <mergeCell ref="E2210:F2210"/>
    <mergeCell ref="BI1987:BK1987"/>
    <mergeCell ref="BM1987:BO1987"/>
    <mergeCell ref="AC1737:AD1737"/>
    <mergeCell ref="AI1737:AK1737"/>
    <mergeCell ref="AO1737:AP1737"/>
    <mergeCell ref="AI1718:AK1718"/>
    <mergeCell ref="AO1718:AP1718"/>
    <mergeCell ref="C1689:D1689"/>
    <mergeCell ref="C1693:D1693"/>
    <mergeCell ref="B1707:D1707"/>
    <mergeCell ref="AC1712:AD1712"/>
    <mergeCell ref="AI1572:AJ1572"/>
    <mergeCell ref="AH1581:AI1581"/>
    <mergeCell ref="E2205:F2205"/>
    <mergeCell ref="E2206:F2206"/>
    <mergeCell ref="E2193:F2193"/>
    <mergeCell ref="E2194:F2194"/>
    <mergeCell ref="E2195:F2195"/>
    <mergeCell ref="C1894:E1894"/>
    <mergeCell ref="D1891:E1891"/>
    <mergeCell ref="D1893:E1893"/>
    <mergeCell ref="C1941:E1941"/>
    <mergeCell ref="B1930:E1930"/>
    <mergeCell ref="E2174:F2174"/>
    <mergeCell ref="C1669:D1669"/>
    <mergeCell ref="C1673:D1673"/>
    <mergeCell ref="C1678:D1678"/>
    <mergeCell ref="C1679:D1679"/>
    <mergeCell ref="C1683:D1683"/>
    <mergeCell ref="C1688:D1688"/>
    <mergeCell ref="E2198:F2198"/>
    <mergeCell ref="E2199:F2199"/>
    <mergeCell ref="E2200:F2200"/>
    <mergeCell ref="E2201:F2201"/>
    <mergeCell ref="AI1736:AK1736"/>
    <mergeCell ref="BD1178:BF1178"/>
    <mergeCell ref="BD1179:BF1179"/>
    <mergeCell ref="C1181:D1182"/>
    <mergeCell ref="AC1181:AD1181"/>
    <mergeCell ref="AE1181:AF1181"/>
    <mergeCell ref="AH1181:AI1181"/>
    <mergeCell ref="AJ1181:AK1181"/>
    <mergeCell ref="BD1181:BF1181"/>
    <mergeCell ref="AH1187:AI1187"/>
    <mergeCell ref="AJ1187:AK1187"/>
    <mergeCell ref="BD1187:BF1187"/>
    <mergeCell ref="BD1182:BF1182"/>
    <mergeCell ref="C1184:D1185"/>
    <mergeCell ref="AC1184:AD1184"/>
    <mergeCell ref="AH1184:AI1184"/>
    <mergeCell ref="BD1184:BF1184"/>
    <mergeCell ref="BD1185:BF1185"/>
    <mergeCell ref="C1187:D1188"/>
    <mergeCell ref="BD1188:BF1188"/>
    <mergeCell ref="C1190:D1191"/>
    <mergeCell ref="AH1190:AI1190"/>
    <mergeCell ref="AJ1190:AK1190"/>
    <mergeCell ref="BD1190:BF1190"/>
    <mergeCell ref="BD1191:BF1191"/>
    <mergeCell ref="BD1202:BF1202"/>
    <mergeCell ref="BD1203:BF1203"/>
    <mergeCell ref="C1193:D1194"/>
    <mergeCell ref="AH1193:AI1193"/>
    <mergeCell ref="C1196:D1197"/>
    <mergeCell ref="BD1196:BF1196"/>
    <mergeCell ref="BD1197:BF1197"/>
    <mergeCell ref="AH1199:AI1199"/>
    <mergeCell ref="C1202:D1203"/>
    <mergeCell ref="AH1202:AI1202"/>
    <mergeCell ref="AJ1202:AK1202"/>
    <mergeCell ref="AO1736:AP1736"/>
    <mergeCell ref="AC1725:AD1725"/>
    <mergeCell ref="AI1725:AK1725"/>
    <mergeCell ref="AO1725:AP1725"/>
    <mergeCell ref="AC1730:AD1730"/>
    <mergeCell ref="AI1730:AK1730"/>
    <mergeCell ref="AO1730:AP1730"/>
    <mergeCell ref="AI1582:AJ1582"/>
    <mergeCell ref="AH1591:AI1591"/>
    <mergeCell ref="AI1592:AJ1592"/>
    <mergeCell ref="AI1542:AJ1542"/>
    <mergeCell ref="AH1551:AI1551"/>
    <mergeCell ref="AI1552:AJ1552"/>
    <mergeCell ref="AH1561:AI1561"/>
    <mergeCell ref="AI1562:AJ1562"/>
    <mergeCell ref="AH1571:AI1571"/>
    <mergeCell ref="AI1512:AJ1512"/>
    <mergeCell ref="AH1521:AI1521"/>
    <mergeCell ref="AI1522:AJ1522"/>
    <mergeCell ref="AH1531:AI1531"/>
    <mergeCell ref="AI1532:AJ1532"/>
    <mergeCell ref="AH1541:AI1541"/>
    <mergeCell ref="AI1482:AJ1482"/>
    <mergeCell ref="AH1491:AI1491"/>
    <mergeCell ref="AI1492:AJ1492"/>
    <mergeCell ref="AH1501:AI1501"/>
    <mergeCell ref="AI1502:AJ1502"/>
    <mergeCell ref="AH1511:AI1511"/>
    <mergeCell ref="AI1452:AJ1452"/>
    <mergeCell ref="AH1461:AI1461"/>
    <mergeCell ref="AI1462:AJ1462"/>
    <mergeCell ref="AH1471:AI1471"/>
    <mergeCell ref="AI1472:AJ1472"/>
    <mergeCell ref="AH1481:AI1481"/>
    <mergeCell ref="AI1422:AJ1422"/>
    <mergeCell ref="AH1431:AI1431"/>
    <mergeCell ref="AI1432:AJ1432"/>
    <mergeCell ref="AH1441:AI1441"/>
    <mergeCell ref="AI1442:AJ1442"/>
    <mergeCell ref="AH1451:AI1451"/>
    <mergeCell ref="AJ1196:AK1196"/>
    <mergeCell ref="AI1392:AJ1392"/>
    <mergeCell ref="AH1401:AI1401"/>
    <mergeCell ref="AI1402:AJ1402"/>
    <mergeCell ref="AH1411:AI1411"/>
    <mergeCell ref="AI1412:AJ1412"/>
    <mergeCell ref="AH1421:AI1421"/>
    <mergeCell ref="AI1362:AJ1362"/>
    <mergeCell ref="AH1371:AI1371"/>
    <mergeCell ref="AI1372:AJ1372"/>
    <mergeCell ref="AH1381:AI1381"/>
    <mergeCell ref="AI1382:AJ1382"/>
    <mergeCell ref="AH1391:AI1391"/>
    <mergeCell ref="AH1196:AI1196"/>
    <mergeCell ref="AC1172:AE1172"/>
    <mergeCell ref="AC1173:AE1173"/>
    <mergeCell ref="AC1174:AE1174"/>
    <mergeCell ref="AC1175:AE1175"/>
    <mergeCell ref="AN1103:AO1103"/>
    <mergeCell ref="AT1103:BB1103"/>
    <mergeCell ref="B1104:D1104"/>
    <mergeCell ref="B1106:D1106"/>
    <mergeCell ref="B1109:D1109"/>
    <mergeCell ref="B1127:E1127"/>
    <mergeCell ref="C1131:D1131"/>
    <mergeCell ref="C1133:D1139"/>
    <mergeCell ref="C1141:D1143"/>
    <mergeCell ref="C1145:D1146"/>
    <mergeCell ref="B1166:D1166"/>
    <mergeCell ref="B1169:E1169"/>
    <mergeCell ref="C1065:D1065"/>
    <mergeCell ref="C1070:D1070"/>
    <mergeCell ref="C1075:D1075"/>
    <mergeCell ref="C1080:D1080"/>
    <mergeCell ref="C1085:D1085"/>
    <mergeCell ref="C1090:D1090"/>
    <mergeCell ref="C1035:D1035"/>
    <mergeCell ref="C1040:D1040"/>
    <mergeCell ref="C1045:D1045"/>
    <mergeCell ref="C1050:D1050"/>
    <mergeCell ref="C1055:D1055"/>
    <mergeCell ref="C1060:D1060"/>
    <mergeCell ref="C1005:D1005"/>
    <mergeCell ref="C1010:D1010"/>
    <mergeCell ref="C1015:D1015"/>
    <mergeCell ref="C1020:D1020"/>
    <mergeCell ref="C1025:D1025"/>
    <mergeCell ref="C1030:D1030"/>
    <mergeCell ref="B981:D981"/>
    <mergeCell ref="B983:D983"/>
    <mergeCell ref="B987:D987"/>
    <mergeCell ref="C990:D990"/>
    <mergeCell ref="C995:D995"/>
    <mergeCell ref="C1000:D1000"/>
    <mergeCell ref="B933:D933"/>
    <mergeCell ref="B934:D934"/>
    <mergeCell ref="B935:D943"/>
    <mergeCell ref="B947:D947"/>
    <mergeCell ref="AO947:AQ947"/>
    <mergeCell ref="B950:D950"/>
    <mergeCell ref="C922:D922"/>
    <mergeCell ref="B925:D925"/>
    <mergeCell ref="B926:D926"/>
    <mergeCell ref="B929:D929"/>
    <mergeCell ref="B931:D931"/>
    <mergeCell ref="B932:D932"/>
    <mergeCell ref="C916:D916"/>
    <mergeCell ref="C917:D917"/>
    <mergeCell ref="C918:D918"/>
    <mergeCell ref="C919:D919"/>
    <mergeCell ref="C920:D920"/>
    <mergeCell ref="B908:D908"/>
    <mergeCell ref="B909:D909"/>
    <mergeCell ref="B912:D912"/>
    <mergeCell ref="C913:D913"/>
    <mergeCell ref="C914:D914"/>
    <mergeCell ref="C915:D915"/>
    <mergeCell ref="B881:D881"/>
    <mergeCell ref="B891:D891"/>
    <mergeCell ref="B900:D900"/>
    <mergeCell ref="AC900:BH900"/>
    <mergeCell ref="B904:D904"/>
    <mergeCell ref="B905:D905"/>
    <mergeCell ref="B801:D801"/>
    <mergeCell ref="B821:D824"/>
    <mergeCell ref="B856:D856"/>
    <mergeCell ref="AC856:BD856"/>
    <mergeCell ref="B875:D875"/>
    <mergeCell ref="AC875:BD875"/>
    <mergeCell ref="E776:F776"/>
    <mergeCell ref="B778:D778"/>
    <mergeCell ref="B779:D779"/>
    <mergeCell ref="E780:F780"/>
    <mergeCell ref="E781:F781"/>
    <mergeCell ref="B785:D785"/>
    <mergeCell ref="B769:D769"/>
    <mergeCell ref="E770:F770"/>
    <mergeCell ref="E771:F771"/>
    <mergeCell ref="B773:D773"/>
    <mergeCell ref="B774:D774"/>
    <mergeCell ref="E775:F775"/>
    <mergeCell ref="E761:F761"/>
    <mergeCell ref="B763:D763"/>
    <mergeCell ref="B764:D764"/>
    <mergeCell ref="E765:F765"/>
    <mergeCell ref="E766:F766"/>
    <mergeCell ref="B768:D768"/>
    <mergeCell ref="E750:F750"/>
    <mergeCell ref="E751:F751"/>
    <mergeCell ref="B753:D753"/>
    <mergeCell ref="B758:D758"/>
    <mergeCell ref="B759:D759"/>
    <mergeCell ref="E760:F760"/>
    <mergeCell ref="B740:D740"/>
    <mergeCell ref="B741:D741"/>
    <mergeCell ref="E742:F742"/>
    <mergeCell ref="E743:F743"/>
    <mergeCell ref="B748:D748"/>
    <mergeCell ref="B749:D749"/>
    <mergeCell ref="E732:F732"/>
    <mergeCell ref="E733:F733"/>
    <mergeCell ref="B735:D735"/>
    <mergeCell ref="B736:D736"/>
    <mergeCell ref="E737:F737"/>
    <mergeCell ref="E738:F738"/>
    <mergeCell ref="B725:D725"/>
    <mergeCell ref="B726:D726"/>
    <mergeCell ref="E727:F727"/>
    <mergeCell ref="E728:F728"/>
    <mergeCell ref="B730:D730"/>
    <mergeCell ref="B731:D731"/>
    <mergeCell ref="E716:F716"/>
    <mergeCell ref="E717:F717"/>
    <mergeCell ref="B719:D719"/>
    <mergeCell ref="B720:D720"/>
    <mergeCell ref="E721:F721"/>
    <mergeCell ref="E722:F722"/>
    <mergeCell ref="B709:D709"/>
    <mergeCell ref="B710:D710"/>
    <mergeCell ref="E711:F711"/>
    <mergeCell ref="E712:F712"/>
    <mergeCell ref="B714:D714"/>
    <mergeCell ref="B715:D715"/>
    <mergeCell ref="E690:F690"/>
    <mergeCell ref="B693:D693"/>
    <mergeCell ref="B694:D694"/>
    <mergeCell ref="E695:F695"/>
    <mergeCell ref="E696:F696"/>
    <mergeCell ref="B704:D704"/>
    <mergeCell ref="B683:D683"/>
    <mergeCell ref="E684:F684"/>
    <mergeCell ref="E685:F685"/>
    <mergeCell ref="B687:D687"/>
    <mergeCell ref="B688:D688"/>
    <mergeCell ref="E689:F689"/>
    <mergeCell ref="E674:F674"/>
    <mergeCell ref="B677:D677"/>
    <mergeCell ref="B678:D678"/>
    <mergeCell ref="E679:F679"/>
    <mergeCell ref="E680:F680"/>
    <mergeCell ref="B682:D682"/>
    <mergeCell ref="B667:D667"/>
    <mergeCell ref="E668:F668"/>
    <mergeCell ref="E669:F669"/>
    <mergeCell ref="B671:D671"/>
    <mergeCell ref="B672:D672"/>
    <mergeCell ref="E673:F673"/>
    <mergeCell ref="E656:F656"/>
    <mergeCell ref="B661:D661"/>
    <mergeCell ref="B662:D662"/>
    <mergeCell ref="E663:F663"/>
    <mergeCell ref="E664:F664"/>
    <mergeCell ref="B666:D666"/>
    <mergeCell ref="B649:D649"/>
    <mergeCell ref="E650:F650"/>
    <mergeCell ref="E651:F651"/>
    <mergeCell ref="B653:D653"/>
    <mergeCell ref="B654:D654"/>
    <mergeCell ref="E655:F655"/>
    <mergeCell ref="E640:F640"/>
    <mergeCell ref="B643:D643"/>
    <mergeCell ref="B644:D644"/>
    <mergeCell ref="E645:F645"/>
    <mergeCell ref="E646:F646"/>
    <mergeCell ref="B648:D648"/>
    <mergeCell ref="B633:D633"/>
    <mergeCell ref="E634:F634"/>
    <mergeCell ref="E635:F635"/>
    <mergeCell ref="B637:D637"/>
    <mergeCell ref="B638:D638"/>
    <mergeCell ref="E639:F639"/>
    <mergeCell ref="E622:F622"/>
    <mergeCell ref="B627:D627"/>
    <mergeCell ref="B628:D628"/>
    <mergeCell ref="E629:F629"/>
    <mergeCell ref="E630:F630"/>
    <mergeCell ref="B632:D632"/>
    <mergeCell ref="B615:D615"/>
    <mergeCell ref="E616:F616"/>
    <mergeCell ref="E617:F617"/>
    <mergeCell ref="B619:D619"/>
    <mergeCell ref="B620:D620"/>
    <mergeCell ref="E621:F621"/>
    <mergeCell ref="E606:F606"/>
    <mergeCell ref="B609:D609"/>
    <mergeCell ref="B610:D610"/>
    <mergeCell ref="E611:F611"/>
    <mergeCell ref="E612:F612"/>
    <mergeCell ref="B614:D614"/>
    <mergeCell ref="B599:D599"/>
    <mergeCell ref="E600:F600"/>
    <mergeCell ref="E601:F601"/>
    <mergeCell ref="B603:D603"/>
    <mergeCell ref="B604:D604"/>
    <mergeCell ref="E605:F605"/>
    <mergeCell ref="E588:F588"/>
    <mergeCell ref="B593:D593"/>
    <mergeCell ref="B594:D594"/>
    <mergeCell ref="E595:F595"/>
    <mergeCell ref="E596:F596"/>
    <mergeCell ref="B598:D598"/>
    <mergeCell ref="B581:D581"/>
    <mergeCell ref="E582:F582"/>
    <mergeCell ref="E583:F583"/>
    <mergeCell ref="B585:D585"/>
    <mergeCell ref="B586:D586"/>
    <mergeCell ref="E587:F587"/>
    <mergeCell ref="E572:F572"/>
    <mergeCell ref="B575:D575"/>
    <mergeCell ref="B576:D576"/>
    <mergeCell ref="E577:F577"/>
    <mergeCell ref="E578:F578"/>
    <mergeCell ref="B580:D580"/>
    <mergeCell ref="B565:D565"/>
    <mergeCell ref="E566:F566"/>
    <mergeCell ref="E567:F567"/>
    <mergeCell ref="B569:D569"/>
    <mergeCell ref="B570:D570"/>
    <mergeCell ref="E571:F571"/>
    <mergeCell ref="E554:F554"/>
    <mergeCell ref="B559:D559"/>
    <mergeCell ref="B560:D560"/>
    <mergeCell ref="E561:F561"/>
    <mergeCell ref="E562:F562"/>
    <mergeCell ref="B564:D564"/>
    <mergeCell ref="B547:D547"/>
    <mergeCell ref="E548:F548"/>
    <mergeCell ref="E549:F549"/>
    <mergeCell ref="B551:D551"/>
    <mergeCell ref="B552:D552"/>
    <mergeCell ref="E553:F553"/>
    <mergeCell ref="E538:F538"/>
    <mergeCell ref="B540:D540"/>
    <mergeCell ref="B541:D541"/>
    <mergeCell ref="E542:F542"/>
    <mergeCell ref="E543:F543"/>
    <mergeCell ref="B546:D546"/>
    <mergeCell ref="B530:D530"/>
    <mergeCell ref="E531:F531"/>
    <mergeCell ref="E532:F532"/>
    <mergeCell ref="B535:D535"/>
    <mergeCell ref="B536:D536"/>
    <mergeCell ref="E537:F537"/>
    <mergeCell ref="BD499:BE499"/>
    <mergeCell ref="B524:D524"/>
    <mergeCell ref="B525:D525"/>
    <mergeCell ref="E526:F526"/>
    <mergeCell ref="E527:F527"/>
    <mergeCell ref="B529:D529"/>
    <mergeCell ref="B489:D489"/>
    <mergeCell ref="AK489:AL489"/>
    <mergeCell ref="AN489:AO489"/>
    <mergeCell ref="B490:D490"/>
    <mergeCell ref="B492:D492"/>
    <mergeCell ref="BB499:BC499"/>
    <mergeCell ref="B500:C500"/>
    <mergeCell ref="B479:D479"/>
    <mergeCell ref="AK479:AL479"/>
    <mergeCell ref="AN479:AO479"/>
    <mergeCell ref="B480:D480"/>
    <mergeCell ref="B482:D482"/>
    <mergeCell ref="B488:D488"/>
    <mergeCell ref="B469:D469"/>
    <mergeCell ref="AK469:AL469"/>
    <mergeCell ref="AN469:AO469"/>
    <mergeCell ref="B470:D470"/>
    <mergeCell ref="B472:D472"/>
    <mergeCell ref="B478:D478"/>
    <mergeCell ref="B459:D459"/>
    <mergeCell ref="AK459:AL459"/>
    <mergeCell ref="AN459:AO459"/>
    <mergeCell ref="B460:D460"/>
    <mergeCell ref="B462:D462"/>
    <mergeCell ref="B468:D468"/>
    <mergeCell ref="B449:D449"/>
    <mergeCell ref="AK449:AL449"/>
    <mergeCell ref="AN449:AO449"/>
    <mergeCell ref="B450:D450"/>
    <mergeCell ref="B452:D452"/>
    <mergeCell ref="B458:D458"/>
    <mergeCell ref="B439:D439"/>
    <mergeCell ref="AK439:AL439"/>
    <mergeCell ref="AN439:AO439"/>
    <mergeCell ref="B440:D440"/>
    <mergeCell ref="B442:D442"/>
    <mergeCell ref="B448:D448"/>
    <mergeCell ref="B429:D429"/>
    <mergeCell ref="AK429:AL429"/>
    <mergeCell ref="AN429:AO429"/>
    <mergeCell ref="B430:D430"/>
    <mergeCell ref="B432:D432"/>
    <mergeCell ref="B438:D438"/>
    <mergeCell ref="B419:D419"/>
    <mergeCell ref="AK419:AL419"/>
    <mergeCell ref="AN419:AO419"/>
    <mergeCell ref="B420:D420"/>
    <mergeCell ref="B422:D422"/>
    <mergeCell ref="B428:D428"/>
    <mergeCell ref="B409:D409"/>
    <mergeCell ref="AK409:AL409"/>
    <mergeCell ref="AN409:AO409"/>
    <mergeCell ref="B410:D410"/>
    <mergeCell ref="B412:D412"/>
    <mergeCell ref="B418:D418"/>
    <mergeCell ref="B399:D399"/>
    <mergeCell ref="AK399:AL399"/>
    <mergeCell ref="AN399:AO399"/>
    <mergeCell ref="B400:D400"/>
    <mergeCell ref="B402:D402"/>
    <mergeCell ref="B408:D408"/>
    <mergeCell ref="B360:D360"/>
    <mergeCell ref="B362:D362"/>
    <mergeCell ref="B388:D388"/>
    <mergeCell ref="B389:D389"/>
    <mergeCell ref="AK389:AL389"/>
    <mergeCell ref="AN389:AO389"/>
    <mergeCell ref="B390:D390"/>
    <mergeCell ref="B392:D392"/>
    <mergeCell ref="B378:D378"/>
    <mergeCell ref="B379:D379"/>
    <mergeCell ref="AK379:AL379"/>
    <mergeCell ref="AN379:AO379"/>
    <mergeCell ref="B380:D380"/>
    <mergeCell ref="B382:D382"/>
    <mergeCell ref="B249:D249"/>
    <mergeCell ref="AF330:AG330"/>
    <mergeCell ref="AI253:AK253"/>
    <mergeCell ref="B257:D257"/>
    <mergeCell ref="B261:D261"/>
    <mergeCell ref="B200:D200"/>
    <mergeCell ref="AJ205:AL205"/>
    <mergeCell ref="AB322:AC322"/>
    <mergeCell ref="B324:C324"/>
    <mergeCell ref="B328:C328"/>
    <mergeCell ref="B329:C329"/>
    <mergeCell ref="B330:C330"/>
    <mergeCell ref="AB330:AC330"/>
    <mergeCell ref="AD265:AH265"/>
    <mergeCell ref="B278:D278"/>
    <mergeCell ref="B304:D304"/>
    <mergeCell ref="B312:D312"/>
    <mergeCell ref="AB321:AC321"/>
    <mergeCell ref="AI321:AJ321"/>
    <mergeCell ref="AJ259:AK259"/>
    <mergeCell ref="AQ205:AR205"/>
    <mergeCell ref="C210:D210"/>
    <mergeCell ref="B238:D238"/>
    <mergeCell ref="B240:D240"/>
    <mergeCell ref="AG259:AH259"/>
    <mergeCell ref="C244:D244"/>
    <mergeCell ref="B148:B149"/>
    <mergeCell ref="C148:C149"/>
    <mergeCell ref="D148:E149"/>
    <mergeCell ref="B150:B151"/>
    <mergeCell ref="C150:C151"/>
    <mergeCell ref="D150:E151"/>
    <mergeCell ref="B220:D220"/>
    <mergeCell ref="B222:D222"/>
    <mergeCell ref="AQ225:AR225"/>
    <mergeCell ref="AQ222:AR222"/>
    <mergeCell ref="AQ220:AR220"/>
    <mergeCell ref="AQ243:AR243"/>
    <mergeCell ref="AQ246:AR246"/>
    <mergeCell ref="AQ250:AR250"/>
    <mergeCell ref="AQ256:AR256"/>
    <mergeCell ref="AQ259:AR259"/>
    <mergeCell ref="B245:D245"/>
    <mergeCell ref="B247:D247"/>
    <mergeCell ref="B96:D96"/>
    <mergeCell ref="B98:D98"/>
    <mergeCell ref="B99:D99"/>
    <mergeCell ref="B101:D101"/>
    <mergeCell ref="B102:D102"/>
    <mergeCell ref="B105:D105"/>
    <mergeCell ref="B93:D93"/>
    <mergeCell ref="B95:D95"/>
    <mergeCell ref="B106:D106"/>
    <mergeCell ref="D144:E145"/>
    <mergeCell ref="B146:B147"/>
    <mergeCell ref="C146:C147"/>
    <mergeCell ref="D146:E147"/>
    <mergeCell ref="B140:B141"/>
    <mergeCell ref="C140:C141"/>
    <mergeCell ref="D140:E141"/>
    <mergeCell ref="B142:B143"/>
    <mergeCell ref="C142:C143"/>
    <mergeCell ref="D142:E143"/>
    <mergeCell ref="B144:B145"/>
    <mergeCell ref="C144:C145"/>
    <mergeCell ref="B52:B53"/>
    <mergeCell ref="C52:C53"/>
    <mergeCell ref="D53:D61"/>
    <mergeCell ref="B64:D64"/>
    <mergeCell ref="C66:D66"/>
    <mergeCell ref="C67:D67"/>
    <mergeCell ref="C75:D75"/>
    <mergeCell ref="B78:D78"/>
    <mergeCell ref="B83:D83"/>
    <mergeCell ref="C68:D68"/>
    <mergeCell ref="C69:D69"/>
    <mergeCell ref="C70:D70"/>
    <mergeCell ref="C71:D71"/>
    <mergeCell ref="C72:D72"/>
    <mergeCell ref="C73:D73"/>
    <mergeCell ref="B136:B137"/>
    <mergeCell ref="C136:C137"/>
    <mergeCell ref="D136:E137"/>
    <mergeCell ref="B138:B139"/>
    <mergeCell ref="C138:C139"/>
    <mergeCell ref="D138:E139"/>
    <mergeCell ref="B108:D108"/>
    <mergeCell ref="B109:D109"/>
    <mergeCell ref="B110:D110"/>
    <mergeCell ref="B112:D112"/>
    <mergeCell ref="B113:D113"/>
    <mergeCell ref="C134:C135"/>
    <mergeCell ref="D134:E135"/>
    <mergeCell ref="AQ310:AR310"/>
    <mergeCell ref="AQ324:AR324"/>
    <mergeCell ref="AQ325:AR325"/>
    <mergeCell ref="AQ326:AR326"/>
    <mergeCell ref="AQ327:AR327"/>
    <mergeCell ref="AQ328:AR328"/>
    <mergeCell ref="AQ337:AR337"/>
    <mergeCell ref="AQ338:AR338"/>
    <mergeCell ref="AN359:AO359"/>
    <mergeCell ref="B2362:E2365"/>
    <mergeCell ref="C2336:D2336"/>
    <mergeCell ref="AQ343:AR343"/>
    <mergeCell ref="AQ314:AR314"/>
    <mergeCell ref="AQ344:AR344"/>
    <mergeCell ref="AC355:AD355"/>
    <mergeCell ref="B343:C343"/>
    <mergeCell ref="B345:D345"/>
    <mergeCell ref="B348:D348"/>
    <mergeCell ref="B350:D350"/>
    <mergeCell ref="B351:D351"/>
    <mergeCell ref="B353:D353"/>
    <mergeCell ref="B331:C331"/>
    <mergeCell ref="B339:D339"/>
    <mergeCell ref="B340:D340"/>
    <mergeCell ref="B368:D368"/>
    <mergeCell ref="B369:D369"/>
    <mergeCell ref="AK369:AL369"/>
    <mergeCell ref="AN369:AO369"/>
    <mergeCell ref="B370:D370"/>
    <mergeCell ref="B372:D372"/>
    <mergeCell ref="B358:D358"/>
    <mergeCell ref="B359:D359"/>
    <mergeCell ref="AK359:AL359"/>
    <mergeCell ref="BR1167:BS1167"/>
    <mergeCell ref="BL1166:BN1166"/>
    <mergeCell ref="BQ1166:BR1166"/>
    <mergeCell ref="BS1166:BU1166"/>
    <mergeCell ref="B2347:E2350"/>
    <mergeCell ref="B2352:E2355"/>
    <mergeCell ref="B2320:E2322"/>
    <mergeCell ref="C2318:E2318"/>
    <mergeCell ref="C2332:D2332"/>
    <mergeCell ref="B2324:D2325"/>
    <mergeCell ref="B2273:E2277"/>
    <mergeCell ref="B2278:D2281"/>
    <mergeCell ref="C2269:E2269"/>
    <mergeCell ref="D2302:E2313"/>
    <mergeCell ref="B2297:E2300"/>
    <mergeCell ref="C2226:E2226"/>
    <mergeCell ref="D2224:E2224"/>
    <mergeCell ref="B1218:D1218"/>
    <mergeCell ref="BN1167:BO1167"/>
    <mergeCell ref="BP1167:BQ1167"/>
    <mergeCell ref="BL1167:BM1167"/>
    <mergeCell ref="C1954:D1954"/>
    <mergeCell ref="C1955:D1955"/>
    <mergeCell ref="E2211:F2211"/>
    <mergeCell ref="E2212:F2212"/>
    <mergeCell ref="A2170:C2170"/>
    <mergeCell ref="D2170:E2170"/>
    <mergeCell ref="E2173:F2173"/>
    <mergeCell ref="E2202:F2202"/>
    <mergeCell ref="AC1355:AE1355"/>
    <mergeCell ref="AF1355:AH1355"/>
    <mergeCell ref="AI1355:AK1355"/>
    <mergeCell ref="AH1361:AI1361"/>
    <mergeCell ref="AC1176:AE1176"/>
    <mergeCell ref="C1178:D1179"/>
    <mergeCell ref="AC1178:AD1178"/>
    <mergeCell ref="AE1178:AF1178"/>
    <mergeCell ref="AH1178:AI1178"/>
    <mergeCell ref="AJ1178:AK1178"/>
    <mergeCell ref="B2485:E2488"/>
    <mergeCell ref="B2483:E2484"/>
    <mergeCell ref="AG321:AH321"/>
    <mergeCell ref="B2393:C2393"/>
    <mergeCell ref="D2393:E2393"/>
    <mergeCell ref="B2394:E2397"/>
    <mergeCell ref="C2392:E2392"/>
    <mergeCell ref="C2383:C2384"/>
    <mergeCell ref="C2385:C2386"/>
    <mergeCell ref="C2387:C2388"/>
    <mergeCell ref="C2389:C2390"/>
    <mergeCell ref="B2366:E2370"/>
    <mergeCell ref="B2371:E2371"/>
    <mergeCell ref="C2373:C2374"/>
    <mergeCell ref="C2375:C2376"/>
    <mergeCell ref="C2377:C2378"/>
    <mergeCell ref="C2379:C2380"/>
    <mergeCell ref="C2381:C2382"/>
    <mergeCell ref="E2213:F2213"/>
    <mergeCell ref="E2214:F2214"/>
    <mergeCell ref="E2215:F2215"/>
    <mergeCell ref="E2216:F2216"/>
    <mergeCell ref="E2217:F2217"/>
    <mergeCell ref="B2449:E2449"/>
  </mergeCells>
  <phoneticPr fontId="152" type="noConversion"/>
  <conditionalFormatting sqref="A1354">
    <cfRule type="cellIs" dxfId="1931" priority="420" operator="equal">
      <formula>0</formula>
    </cfRule>
  </conditionalFormatting>
  <conditionalFormatting sqref="A1357:A1365">
    <cfRule type="cellIs" dxfId="1930" priority="601" operator="equal">
      <formula>0</formula>
    </cfRule>
  </conditionalFormatting>
  <conditionalFormatting sqref="A1367:A1375 A1377:A1385 A1387:A1395 A1397:A1405 A1407:A1415 A1417:A1425 A1427:A1435 A1437:A1445 A1447:A1455 A1457:A1465 A1467:A1475 A1477:A1485 A1487:A1495 A1497:A1505 A1507:A1515 A1517:A1525 A1527:A1535 A1537:A1545 A1547:A1555 A1557:A1565 A1567:A1575 A1577:A1585 A1587:A1596">
    <cfRule type="cellIs" dxfId="1929" priority="447" operator="equal">
      <formula>0</formula>
    </cfRule>
  </conditionalFormatting>
  <conditionalFormatting sqref="B51:B52">
    <cfRule type="cellIs" dxfId="1928" priority="889" operator="between">
      <formula>0.8</formula>
      <formula>1</formula>
    </cfRule>
    <cfRule type="cellIs" dxfId="1927" priority="890" operator="between">
      <formula>0.6</formula>
      <formula>0.799999</formula>
    </cfRule>
    <cfRule type="cellIs" dxfId="1926" priority="891" operator="between">
      <formula>0.4</formula>
      <formula>0.599999</formula>
    </cfRule>
    <cfRule type="cellIs" dxfId="1925" priority="892" operator="between">
      <formula>0.2</formula>
      <formula>0.399999</formula>
    </cfRule>
    <cfRule type="cellIs" dxfId="1924" priority="893" operator="between">
      <formula>0</formula>
      <formula>0.199999</formula>
    </cfRule>
  </conditionalFormatting>
  <conditionalFormatting sqref="B206">
    <cfRule type="containsText" dxfId="1923" priority="339" operator="containsText" text="MM-DD-YYYY">
      <formula>NOT(ISERROR(SEARCH("MM-DD-YYYY",B206)))</formula>
    </cfRule>
  </conditionalFormatting>
  <conditionalFormatting sqref="B279:B280">
    <cfRule type="containsText" dxfId="1922" priority="368" operator="containsText" text="NAME ">
      <formula>NOT(ISERROR(SEARCH("NAME ",B279)))</formula>
    </cfRule>
  </conditionalFormatting>
  <conditionalFormatting sqref="B280:B281">
    <cfRule type="containsText" dxfId="1921" priority="364" operator="containsText" text="relation?">
      <formula>NOT(ISERROR(SEARCH("relation?",B280)))</formula>
    </cfRule>
    <cfRule type="containsText" dxfId="1920" priority="365" operator="containsText" text="claims to know real culprit?">
      <formula>NOT(ISERROR(SEARCH("claims to know real culprit?",B280)))</formula>
    </cfRule>
    <cfRule type="containsText" dxfId="1919" priority="366" operator="containsText" text="charged as?">
      <formula>NOT(ISERROR(SEARCH("charged as?",B280)))</formula>
    </cfRule>
    <cfRule type="containsText" dxfId="1918" priority="367" operator="containsText" text="convicted as?">
      <formula>NOT(ISERROR(SEARCH("convicted as?",B280)))</formula>
    </cfRule>
  </conditionalFormatting>
  <conditionalFormatting sqref="B281">
    <cfRule type="containsText" dxfId="1917" priority="707" operator="containsText" text="know location?">
      <formula>NOT(ISERROR(SEARCH("know location?",B281)))</formula>
    </cfRule>
    <cfRule type="containsText" dxfId="1916" priority="712" operator="containsText" text="NAME ">
      <formula>NOT(ISERROR(SEARCH("NAME ",B281)))</formula>
    </cfRule>
  </conditionalFormatting>
  <conditionalFormatting sqref="B283:B284">
    <cfRule type="containsText" dxfId="1915" priority="321" operator="containsText" text="NAME ">
      <formula>NOT(ISERROR(SEARCH("NAME ",B283)))</formula>
    </cfRule>
  </conditionalFormatting>
  <conditionalFormatting sqref="B284:B285">
    <cfRule type="containsText" dxfId="1914" priority="317" operator="containsText" text="relation?">
      <formula>NOT(ISERROR(SEARCH("relation?",B284)))</formula>
    </cfRule>
    <cfRule type="containsText" dxfId="1913" priority="318" operator="containsText" text="claims to know real culprit?">
      <formula>NOT(ISERROR(SEARCH("claims to know real culprit?",B284)))</formula>
    </cfRule>
    <cfRule type="containsText" dxfId="1912" priority="319" operator="containsText" text="charged as?">
      <formula>NOT(ISERROR(SEARCH("charged as?",B284)))</formula>
    </cfRule>
    <cfRule type="containsText" dxfId="1911" priority="320" operator="containsText" text="convicted as?">
      <formula>NOT(ISERROR(SEARCH("convicted as?",B284)))</formula>
    </cfRule>
  </conditionalFormatting>
  <conditionalFormatting sqref="B285">
    <cfRule type="containsText" dxfId="1910" priority="330" operator="containsText" text="know location?">
      <formula>NOT(ISERROR(SEARCH("know location?",B285)))</formula>
    </cfRule>
    <cfRule type="containsText" dxfId="1909" priority="335" operator="containsText" text="NAME ">
      <formula>NOT(ISERROR(SEARCH("NAME ",B285)))</formula>
    </cfRule>
  </conditionalFormatting>
  <conditionalFormatting sqref="B287:B288">
    <cfRule type="containsText" dxfId="1908" priority="302" operator="containsText" text="NAME ">
      <formula>NOT(ISERROR(SEARCH("NAME ",B287)))</formula>
    </cfRule>
  </conditionalFormatting>
  <conditionalFormatting sqref="B288:B289">
    <cfRule type="containsText" dxfId="1907" priority="298" operator="containsText" text="relation?">
      <formula>NOT(ISERROR(SEARCH("relation?",B288)))</formula>
    </cfRule>
    <cfRule type="containsText" dxfId="1906" priority="299" operator="containsText" text="claims to know real culprit?">
      <formula>NOT(ISERROR(SEARCH("claims to know real culprit?",B288)))</formula>
    </cfRule>
    <cfRule type="containsText" dxfId="1905" priority="300" operator="containsText" text="charged as?">
      <formula>NOT(ISERROR(SEARCH("charged as?",B288)))</formula>
    </cfRule>
    <cfRule type="containsText" dxfId="1904" priority="301" operator="containsText" text="convicted as?">
      <formula>NOT(ISERROR(SEARCH("convicted as?",B288)))</formula>
    </cfRule>
  </conditionalFormatting>
  <conditionalFormatting sqref="B289">
    <cfRule type="containsText" dxfId="1903" priority="311" operator="containsText" text="know location?">
      <formula>NOT(ISERROR(SEARCH("know location?",B289)))</formula>
    </cfRule>
    <cfRule type="containsText" dxfId="1902" priority="316" operator="containsText" text="NAME ">
      <formula>NOT(ISERROR(SEARCH("NAME ",B289)))</formula>
    </cfRule>
  </conditionalFormatting>
  <conditionalFormatting sqref="B291:B292">
    <cfRule type="containsText" dxfId="1901" priority="283" operator="containsText" text="NAME ">
      <formula>NOT(ISERROR(SEARCH("NAME ",B291)))</formula>
    </cfRule>
  </conditionalFormatting>
  <conditionalFormatting sqref="B292:B293">
    <cfRule type="containsText" dxfId="1900" priority="279" operator="containsText" text="relation?">
      <formula>NOT(ISERROR(SEARCH("relation?",B292)))</formula>
    </cfRule>
    <cfRule type="containsText" dxfId="1899" priority="280" operator="containsText" text="claims to know real culprit?">
      <formula>NOT(ISERROR(SEARCH("claims to know real culprit?",B292)))</formula>
    </cfRule>
    <cfRule type="containsText" dxfId="1898" priority="281" operator="containsText" text="charged as?">
      <formula>NOT(ISERROR(SEARCH("charged as?",B292)))</formula>
    </cfRule>
    <cfRule type="containsText" dxfId="1897" priority="282" operator="containsText" text="convicted as?">
      <formula>NOT(ISERROR(SEARCH("convicted as?",B292)))</formula>
    </cfRule>
  </conditionalFormatting>
  <conditionalFormatting sqref="B293">
    <cfRule type="containsText" dxfId="1896" priority="292" operator="containsText" text="know location?">
      <formula>NOT(ISERROR(SEARCH("know location?",B293)))</formula>
    </cfRule>
    <cfRule type="containsText" dxfId="1895" priority="297" operator="containsText" text="NAME ">
      <formula>NOT(ISERROR(SEARCH("NAME ",B293)))</formula>
    </cfRule>
  </conditionalFormatting>
  <conditionalFormatting sqref="B295:B296">
    <cfRule type="containsText" dxfId="1894" priority="264" operator="containsText" text="NAME ">
      <formula>NOT(ISERROR(SEARCH("NAME ",B295)))</formula>
    </cfRule>
  </conditionalFormatting>
  <conditionalFormatting sqref="B296:B297">
    <cfRule type="containsText" dxfId="1893" priority="260" operator="containsText" text="relation?">
      <formula>NOT(ISERROR(SEARCH("relation?",B296)))</formula>
    </cfRule>
    <cfRule type="containsText" dxfId="1892" priority="261" operator="containsText" text="claims to know real culprit?">
      <formula>NOT(ISERROR(SEARCH("claims to know real culprit?",B296)))</formula>
    </cfRule>
    <cfRule type="containsText" dxfId="1891" priority="262" operator="containsText" text="charged as?">
      <formula>NOT(ISERROR(SEARCH("charged as?",B296)))</formula>
    </cfRule>
    <cfRule type="containsText" dxfId="1890" priority="263" operator="containsText" text="convicted as?">
      <formula>NOT(ISERROR(SEARCH("convicted as?",B296)))</formula>
    </cfRule>
  </conditionalFormatting>
  <conditionalFormatting sqref="B297">
    <cfRule type="containsText" dxfId="1889" priority="273" operator="containsText" text="know location?">
      <formula>NOT(ISERROR(SEARCH("know location?",B297)))</formula>
    </cfRule>
    <cfRule type="containsText" dxfId="1888" priority="278" operator="containsText" text="NAME ">
      <formula>NOT(ISERROR(SEARCH("NAME ",B297)))</formula>
    </cfRule>
  </conditionalFormatting>
  <conditionalFormatting sqref="B299:B300">
    <cfRule type="containsText" dxfId="1887" priority="245" operator="containsText" text="NAME ">
      <formula>NOT(ISERROR(SEARCH("NAME ",B299)))</formula>
    </cfRule>
  </conditionalFormatting>
  <conditionalFormatting sqref="B300:B301">
    <cfRule type="containsText" dxfId="1886" priority="241" operator="containsText" text="relation?">
      <formula>NOT(ISERROR(SEARCH("relation?",B300)))</formula>
    </cfRule>
    <cfRule type="containsText" dxfId="1885" priority="242" operator="containsText" text="claims to know real culprit?">
      <formula>NOT(ISERROR(SEARCH("claims to know real culprit?",B300)))</formula>
    </cfRule>
    <cfRule type="containsText" dxfId="1884" priority="243" operator="containsText" text="charged as?">
      <formula>NOT(ISERROR(SEARCH("charged as?",B300)))</formula>
    </cfRule>
    <cfRule type="containsText" dxfId="1883" priority="244" operator="containsText" text="convicted as?">
      <formula>NOT(ISERROR(SEARCH("convicted as?",B300)))</formula>
    </cfRule>
  </conditionalFormatting>
  <conditionalFormatting sqref="B301">
    <cfRule type="containsText" dxfId="1882" priority="254" operator="containsText" text="know location?">
      <formula>NOT(ISERROR(SEARCH("know location?",B301)))</formula>
    </cfRule>
    <cfRule type="containsText" dxfId="1881" priority="259" operator="containsText" text="NAME ">
      <formula>NOT(ISERROR(SEARCH("NAME ",B301)))</formula>
    </cfRule>
  </conditionalFormatting>
  <conditionalFormatting sqref="B364">
    <cfRule type="containsText" dxfId="1880" priority="873" operator="containsText" text="URL">
      <formula>NOT(ISERROR(SEARCH("URL",B364)))</formula>
    </cfRule>
  </conditionalFormatting>
  <conditionalFormatting sqref="B374">
    <cfRule type="containsText" dxfId="1879" priority="867" operator="containsText" text="URL">
      <formula>NOT(ISERROR(SEARCH("URL",B374)))</formula>
    </cfRule>
  </conditionalFormatting>
  <conditionalFormatting sqref="B384">
    <cfRule type="containsText" dxfId="1878" priority="870" operator="containsText" text="URL">
      <formula>NOT(ISERROR(SEARCH("URL",B384)))</formula>
    </cfRule>
  </conditionalFormatting>
  <conditionalFormatting sqref="B394">
    <cfRule type="containsText" dxfId="1877" priority="864" operator="containsText" text="URL">
      <formula>NOT(ISERROR(SEARCH("URL",B394)))</formula>
    </cfRule>
  </conditionalFormatting>
  <conditionalFormatting sqref="B404">
    <cfRule type="containsText" dxfId="1876" priority="858" operator="containsText" text="URL">
      <formula>NOT(ISERROR(SEARCH("URL",B404)))</formula>
    </cfRule>
  </conditionalFormatting>
  <conditionalFormatting sqref="B414">
    <cfRule type="containsText" dxfId="1875" priority="852" operator="containsText" text="URL">
      <formula>NOT(ISERROR(SEARCH("URL",B414)))</formula>
    </cfRule>
  </conditionalFormatting>
  <conditionalFormatting sqref="B424">
    <cfRule type="containsText" dxfId="1874" priority="846" operator="containsText" text="URL">
      <formula>NOT(ISERROR(SEARCH("URL",B424)))</formula>
    </cfRule>
  </conditionalFormatting>
  <conditionalFormatting sqref="B434">
    <cfRule type="containsText" dxfId="1873" priority="840" operator="containsText" text="URL">
      <formula>NOT(ISERROR(SEARCH("URL",B434)))</formula>
    </cfRule>
  </conditionalFormatting>
  <conditionalFormatting sqref="B444">
    <cfRule type="containsText" dxfId="1872" priority="834" operator="containsText" text="URL">
      <formula>NOT(ISERROR(SEARCH("URL",B444)))</formula>
    </cfRule>
  </conditionalFormatting>
  <conditionalFormatting sqref="B454">
    <cfRule type="containsText" dxfId="1871" priority="829" operator="containsText" text="URL">
      <formula>NOT(ISERROR(SEARCH("URL",B454)))</formula>
    </cfRule>
  </conditionalFormatting>
  <conditionalFormatting sqref="B464">
    <cfRule type="containsText" dxfId="1870" priority="823" operator="containsText" text="URL">
      <formula>NOT(ISERROR(SEARCH("URL",B464)))</formula>
    </cfRule>
  </conditionalFormatting>
  <conditionalFormatting sqref="B474">
    <cfRule type="containsText" dxfId="1869" priority="817" operator="containsText" text="URL">
      <formula>NOT(ISERROR(SEARCH("URL",B474)))</formula>
    </cfRule>
  </conditionalFormatting>
  <conditionalFormatting sqref="B484">
    <cfRule type="containsText" dxfId="1868" priority="811" operator="containsText" text="URL">
      <formula>NOT(ISERROR(SEARCH("URL",B484)))</formula>
    </cfRule>
  </conditionalFormatting>
  <conditionalFormatting sqref="B494">
    <cfRule type="containsText" dxfId="1867" priority="805" operator="containsText" text="URL">
      <formula>NOT(ISERROR(SEARCH("URL",B494)))</formula>
    </cfRule>
  </conditionalFormatting>
  <conditionalFormatting sqref="B498:B499">
    <cfRule type="cellIs" dxfId="1866" priority="773" operator="equal">
      <formula>0</formula>
    </cfRule>
    <cfRule type="cellIs" dxfId="1865" priority="774" operator="greaterThan">
      <formula>0</formula>
    </cfRule>
  </conditionalFormatting>
  <conditionalFormatting sqref="B503">
    <cfRule type="containsText" dxfId="1864" priority="640" operator="containsText" text="Great!">
      <formula>NOT(ISERROR(SEARCH("Great!",B503)))</formula>
    </cfRule>
  </conditionalFormatting>
  <conditionalFormatting sqref="B504 B506 B516">
    <cfRule type="cellIs" dxfId="1863" priority="1261" operator="equal">
      <formula>$AK$516</formula>
    </cfRule>
    <cfRule type="cellIs" dxfId="1862" priority="1262" operator="equal">
      <formula>$AK$518</formula>
    </cfRule>
    <cfRule type="cellIs" dxfId="1861" priority="1263" operator="equal">
      <formula>$AK$517</formula>
    </cfRule>
  </conditionalFormatting>
  <conditionalFormatting sqref="B15:D21">
    <cfRule type="containsText" dxfId="1853" priority="4" operator="containsText" text=".">
      <formula>NOT(ISERROR(SEARCH(".",B15)))</formula>
    </cfRule>
  </conditionalFormatting>
  <conditionalFormatting sqref="B78:D78">
    <cfRule type="containsText" dxfId="1850" priority="422" operator="containsText" text="FLIPSIDE">
      <formula>NOT(ISERROR(SEARCH("FLIPSIDE",B78)))</formula>
    </cfRule>
  </conditionalFormatting>
  <conditionalFormatting sqref="B83:D83">
    <cfRule type="cellIs" dxfId="1849" priority="682" operator="equal">
      <formula>$AG$83</formula>
    </cfRule>
  </conditionalFormatting>
  <conditionalFormatting sqref="B96:D96">
    <cfRule type="containsText" dxfId="1848" priority="680" operator="containsText" text="being">
      <formula>NOT(ISERROR(SEARCH("being",B96)))</formula>
    </cfRule>
  </conditionalFormatting>
  <conditionalFormatting sqref="B99:D99">
    <cfRule type="containsText" dxfId="1847" priority="679" operator="containsText" text="from">
      <formula>NOT(ISERROR(SEARCH("from",B99)))</formula>
    </cfRule>
  </conditionalFormatting>
  <conditionalFormatting sqref="B102:D102">
    <cfRule type="containsText" dxfId="1846" priority="678" operator="containsText" text="and other">
      <formula>NOT(ISERROR(SEARCH("and other",B102)))</formula>
    </cfRule>
  </conditionalFormatting>
  <conditionalFormatting sqref="B106:D106">
    <cfRule type="containsText" dxfId="1845" priority="676" operator="containsText" text="background check">
      <formula>NOT(ISERROR(SEARCH("background check",B106)))</formula>
    </cfRule>
    <cfRule type="containsText" dxfId="1844" priority="677" operator="containsText" text="and other">
      <formula>NOT(ISERROR(SEARCH("and other",B106)))</formula>
    </cfRule>
  </conditionalFormatting>
  <conditionalFormatting sqref="B113:D113">
    <cfRule type="notContainsText" dxfId="1842" priority="421" operator="notContains" text="claimant">
      <formula>ISERROR(SEARCH("claimant",B113))</formula>
    </cfRule>
  </conditionalFormatting>
  <conditionalFormatting sqref="B206:D206">
    <cfRule type="cellIs" dxfId="1841" priority="340" operator="equal">
      <formula>"YYYY-MM-DD"</formula>
    </cfRule>
  </conditionalFormatting>
  <conditionalFormatting sqref="B316:D318">
    <cfRule type="cellIs" dxfId="1840" priority="765" operator="greaterThan">
      <formula>0</formula>
    </cfRule>
  </conditionalFormatting>
  <conditionalFormatting sqref="B411:D411">
    <cfRule type="containsText" dxfId="1838" priority="356" operator="containsText" text="URL">
      <formula>NOT(ISERROR(SEARCH("URL",B411)))</formula>
    </cfRule>
  </conditionalFormatting>
  <conditionalFormatting sqref="B421:D421">
    <cfRule type="containsText" dxfId="1837" priority="847" operator="containsText" text="URL">
      <formula>NOT(ISERROR(SEARCH("URL",B421)))</formula>
    </cfRule>
  </conditionalFormatting>
  <conditionalFormatting sqref="B431:D431">
    <cfRule type="containsText" dxfId="1836" priority="841" operator="containsText" text="URL">
      <formula>NOT(ISERROR(SEARCH("URL",B431)))</formula>
    </cfRule>
  </conditionalFormatting>
  <conditionalFormatting sqref="B441:D441">
    <cfRule type="containsText" dxfId="1835" priority="835" operator="containsText" text="URL">
      <formula>NOT(ISERROR(SEARCH("URL",B441)))</formula>
    </cfRule>
  </conditionalFormatting>
  <conditionalFormatting sqref="B451:D451">
    <cfRule type="containsText" dxfId="1834" priority="830" operator="containsText" text="URL">
      <formula>NOT(ISERROR(SEARCH("URL",B451)))</formula>
    </cfRule>
  </conditionalFormatting>
  <conditionalFormatting sqref="B461:D461">
    <cfRule type="containsText" dxfId="1833" priority="824" operator="containsText" text="URL">
      <formula>NOT(ISERROR(SEARCH("URL",B461)))</formula>
    </cfRule>
  </conditionalFormatting>
  <conditionalFormatting sqref="B471:D471">
    <cfRule type="containsText" dxfId="1832" priority="818" operator="containsText" text="URL">
      <formula>NOT(ISERROR(SEARCH("URL",B471)))</formula>
    </cfRule>
  </conditionalFormatting>
  <conditionalFormatting sqref="B481:D481">
    <cfRule type="containsText" dxfId="1831" priority="812" operator="containsText" text="URL">
      <formula>NOT(ISERROR(SEARCH("URL",B481)))</formula>
    </cfRule>
  </conditionalFormatting>
  <conditionalFormatting sqref="B491:D491">
    <cfRule type="containsText" dxfId="1830" priority="806" operator="containsText" text="URL">
      <formula>NOT(ISERROR(SEARCH("URL",B491)))</formula>
    </cfRule>
  </conditionalFormatting>
  <conditionalFormatting sqref="B2360:E2360">
    <cfRule type="containsText" dxfId="1828" priority="215" operator="containsText" text="LEGITIMACY">
      <formula>NOT(ISERROR(SEARCH("LEGITIMACY",B2360)))</formula>
    </cfRule>
  </conditionalFormatting>
  <conditionalFormatting sqref="B2449:E2449">
    <cfRule type="containsText" dxfId="1822" priority="214" operator="containsText" text="LEGITIMACY">
      <formula>NOT(ISERROR(SEARCH("LEGITIMACY",B2449)))</formula>
    </cfRule>
  </conditionalFormatting>
  <conditionalFormatting sqref="C57">
    <cfRule type="containsText" dxfId="1821" priority="669" operator="containsText" text="FIRST NAME">
      <formula>NOT(ISERROR(SEARCH("FIRST NAME",C57)))</formula>
    </cfRule>
  </conditionalFormatting>
  <conditionalFormatting sqref="C58">
    <cfRule type="notContainsText" dxfId="1820" priority="665" operator="notContains" text="@">
      <formula>ISERROR(SEARCH("@",C58))</formula>
    </cfRule>
  </conditionalFormatting>
  <conditionalFormatting sqref="C60">
    <cfRule type="containsText" dxfId="1819" priority="666" operator="containsText" text="FIRST NAME">
      <formula>NOT(ISERROR(SEARCH("FIRST NAME",C60)))</formula>
    </cfRule>
  </conditionalFormatting>
  <conditionalFormatting sqref="C61">
    <cfRule type="notContainsText" dxfId="1818" priority="664" operator="notContains" text="@">
      <formula>ISERROR(SEARCH("@",C61))</formula>
    </cfRule>
  </conditionalFormatting>
  <conditionalFormatting sqref="C66:C73">
    <cfRule type="containsText" dxfId="1816" priority="684" operator="containsText" text="Highlight">
      <formula>NOT(ISERROR(SEARCH("Highlight",C66)))</formula>
    </cfRule>
  </conditionalFormatting>
  <conditionalFormatting sqref="C75">
    <cfRule type="containsText" dxfId="1815" priority="412" operator="containsText" text="Hightlight">
      <formula>NOT(ISERROR(SEARCH("Hightlight",C75)))</formula>
    </cfRule>
    <cfRule type="containsText" dxfId="1814" priority="413" operator="containsText" text="Highlight">
      <formula>NOT(ISERROR(SEARCH("Highlight",C75)))</formula>
    </cfRule>
  </conditionalFormatting>
  <conditionalFormatting sqref="C202">
    <cfRule type="containsText" dxfId="1813" priority="671" operator="containsText" text="FIRST NAME">
      <formula>NOT(ISERROR(SEARCH("FIRST NAME",C202)))</formula>
    </cfRule>
  </conditionalFormatting>
  <conditionalFormatting sqref="C204">
    <cfRule type="cellIs" dxfId="1812" priority="404" operator="equal">
      <formula>"YYYY-MM-DD"</formula>
    </cfRule>
  </conditionalFormatting>
  <conditionalFormatting sqref="C212">
    <cfRule type="containsText" dxfId="1811" priority="240" operator="containsText" text="FIRST NAME">
      <formula>NOT(ISERROR(SEARCH("FIRST NAME",C212)))</formula>
    </cfRule>
  </conditionalFormatting>
  <conditionalFormatting sqref="C214">
    <cfRule type="cellIs" dxfId="1810" priority="403" operator="equal">
      <formula>"YYYY-MM-DD"</formula>
    </cfRule>
  </conditionalFormatting>
  <conditionalFormatting sqref="C498">
    <cfRule type="cellIs" dxfId="1809" priority="772" operator="equal">
      <formula>0</formula>
    </cfRule>
  </conditionalFormatting>
  <conditionalFormatting sqref="C990">
    <cfRule type="cellIs" dxfId="1808" priority="705" operator="equal">
      <formula>AD990</formula>
    </cfRule>
  </conditionalFormatting>
  <conditionalFormatting sqref="C995">
    <cfRule type="cellIs" dxfId="1807" priority="704" operator="equal">
      <formula>AD995</formula>
    </cfRule>
  </conditionalFormatting>
  <conditionalFormatting sqref="C1000">
    <cfRule type="cellIs" dxfId="1806" priority="703" operator="equal">
      <formula>AD1000</formula>
    </cfRule>
  </conditionalFormatting>
  <conditionalFormatting sqref="C1005">
    <cfRule type="cellIs" dxfId="1805" priority="702" operator="equal">
      <formula>AD1005</formula>
    </cfRule>
  </conditionalFormatting>
  <conditionalFormatting sqref="C1010">
    <cfRule type="cellIs" dxfId="1804" priority="701" operator="equal">
      <formula>AD1010</formula>
    </cfRule>
  </conditionalFormatting>
  <conditionalFormatting sqref="C1015">
    <cfRule type="cellIs" dxfId="1803" priority="700" operator="equal">
      <formula>AD1015</formula>
    </cfRule>
  </conditionalFormatting>
  <conditionalFormatting sqref="C1020">
    <cfRule type="cellIs" dxfId="1802" priority="699" operator="equal">
      <formula>AD1020</formula>
    </cfRule>
  </conditionalFormatting>
  <conditionalFormatting sqref="C1025">
    <cfRule type="cellIs" dxfId="1801" priority="698" operator="equal">
      <formula>AD1025</formula>
    </cfRule>
  </conditionalFormatting>
  <conditionalFormatting sqref="C1030">
    <cfRule type="cellIs" dxfId="1800" priority="697" operator="equal">
      <formula>AD1030</formula>
    </cfRule>
  </conditionalFormatting>
  <conditionalFormatting sqref="C1035">
    <cfRule type="cellIs" dxfId="1799" priority="696" operator="equal">
      <formula>AD1035</formula>
    </cfRule>
  </conditionalFormatting>
  <conditionalFormatting sqref="C1040">
    <cfRule type="cellIs" dxfId="1798" priority="695" operator="equal">
      <formula>AD1040</formula>
    </cfRule>
  </conditionalFormatting>
  <conditionalFormatting sqref="C1045">
    <cfRule type="cellIs" dxfId="1797" priority="694" operator="equal">
      <formula>AD1045</formula>
    </cfRule>
  </conditionalFormatting>
  <conditionalFormatting sqref="C1050">
    <cfRule type="cellIs" dxfId="1796" priority="693" operator="equal">
      <formula>AD1050</formula>
    </cfRule>
  </conditionalFormatting>
  <conditionalFormatting sqref="C1055">
    <cfRule type="cellIs" dxfId="1795" priority="692" operator="equal">
      <formula>AD1055</formula>
    </cfRule>
  </conditionalFormatting>
  <conditionalFormatting sqref="C1060">
    <cfRule type="cellIs" dxfId="1794" priority="691" operator="equal">
      <formula>AD1060</formula>
    </cfRule>
  </conditionalFormatting>
  <conditionalFormatting sqref="C1065">
    <cfRule type="cellIs" dxfId="1793" priority="690" operator="equal">
      <formula>AD1065</formula>
    </cfRule>
  </conditionalFormatting>
  <conditionalFormatting sqref="C1070">
    <cfRule type="cellIs" dxfId="1792" priority="689" operator="equal">
      <formula>AD1070</formula>
    </cfRule>
  </conditionalFormatting>
  <conditionalFormatting sqref="C1075">
    <cfRule type="cellIs" dxfId="1791" priority="688" operator="equal">
      <formula>AD1075</formula>
    </cfRule>
  </conditionalFormatting>
  <conditionalFormatting sqref="C1080">
    <cfRule type="cellIs" dxfId="1790" priority="687" operator="equal">
      <formula>AD1080</formula>
    </cfRule>
  </conditionalFormatting>
  <conditionalFormatting sqref="C1085">
    <cfRule type="cellIs" dxfId="1789" priority="686" operator="equal">
      <formula>AD1085</formula>
    </cfRule>
  </conditionalFormatting>
  <conditionalFormatting sqref="C1090">
    <cfRule type="cellIs" dxfId="1788" priority="685" operator="equal">
      <formula>AD1090</formula>
    </cfRule>
  </conditionalFormatting>
  <conditionalFormatting sqref="C1129">
    <cfRule type="cellIs" dxfId="1787" priority="380" operator="equal">
      <formula>$AG$1129</formula>
    </cfRule>
  </conditionalFormatting>
  <conditionalFormatting sqref="C1159">
    <cfRule type="cellIs" dxfId="1786" priority="402" operator="between">
      <formula>0</formula>
      <formula>1</formula>
    </cfRule>
  </conditionalFormatting>
  <conditionalFormatting sqref="C1357">
    <cfRule type="cellIs" dxfId="1785" priority="1264" operator="equal">
      <formula>$AM$1357</formula>
    </cfRule>
  </conditionalFormatting>
  <conditionalFormatting sqref="C1367">
    <cfRule type="cellIs" dxfId="1784" priority="405" operator="equal">
      <formula>$AM$1357</formula>
    </cfRule>
  </conditionalFormatting>
  <conditionalFormatting sqref="C1377">
    <cfRule type="cellIs" dxfId="1783" priority="624" operator="equal">
      <formula>$AM$1357</formula>
    </cfRule>
  </conditionalFormatting>
  <conditionalFormatting sqref="C1387">
    <cfRule type="cellIs" dxfId="1782" priority="616" operator="equal">
      <formula>$AM$1357</formula>
    </cfRule>
  </conditionalFormatting>
  <conditionalFormatting sqref="C1397">
    <cfRule type="cellIs" dxfId="1781" priority="608" operator="equal">
      <formula>$AM$1357</formula>
    </cfRule>
  </conditionalFormatting>
  <conditionalFormatting sqref="C1407">
    <cfRule type="cellIs" dxfId="1780" priority="599" operator="equal">
      <formula>$AM$1357</formula>
    </cfRule>
  </conditionalFormatting>
  <conditionalFormatting sqref="C1417">
    <cfRule type="cellIs" dxfId="1779" priority="591" operator="equal">
      <formula>$AM$1357</formula>
    </cfRule>
  </conditionalFormatting>
  <conditionalFormatting sqref="C1427">
    <cfRule type="cellIs" dxfId="1778" priority="583" operator="equal">
      <formula>$AM$1357</formula>
    </cfRule>
  </conditionalFormatting>
  <conditionalFormatting sqref="C1437">
    <cfRule type="cellIs" dxfId="1777" priority="575" operator="equal">
      <formula>$AM$1357</formula>
    </cfRule>
  </conditionalFormatting>
  <conditionalFormatting sqref="C1447">
    <cfRule type="cellIs" dxfId="1776" priority="567" operator="equal">
      <formula>$AM$1357</formula>
    </cfRule>
  </conditionalFormatting>
  <conditionalFormatting sqref="C1457">
    <cfRule type="cellIs" dxfId="1775" priority="559" operator="equal">
      <formula>$AM$1357</formula>
    </cfRule>
  </conditionalFormatting>
  <conditionalFormatting sqref="C1467">
    <cfRule type="cellIs" dxfId="1774" priority="551" operator="equal">
      <formula>$AM$1357</formula>
    </cfRule>
  </conditionalFormatting>
  <conditionalFormatting sqref="C1477">
    <cfRule type="cellIs" dxfId="1773" priority="543" operator="equal">
      <formula>$AM$1357</formula>
    </cfRule>
  </conditionalFormatting>
  <conditionalFormatting sqref="C1487">
    <cfRule type="cellIs" dxfId="1772" priority="535" operator="equal">
      <formula>$AM$1357</formula>
    </cfRule>
  </conditionalFormatting>
  <conditionalFormatting sqref="C1497">
    <cfRule type="cellIs" dxfId="1771" priority="527" operator="equal">
      <formula>$AM$1357</formula>
    </cfRule>
  </conditionalFormatting>
  <conditionalFormatting sqref="C1507">
    <cfRule type="cellIs" dxfId="1770" priority="519" operator="equal">
      <formula>$AM$1357</formula>
    </cfRule>
  </conditionalFormatting>
  <conditionalFormatting sqref="C1517">
    <cfRule type="cellIs" dxfId="1769" priority="511" operator="equal">
      <formula>$AM$1357</formula>
    </cfRule>
  </conditionalFormatting>
  <conditionalFormatting sqref="C1527">
    <cfRule type="cellIs" dxfId="1768" priority="503" operator="equal">
      <formula>$AM$1357</formula>
    </cfRule>
  </conditionalFormatting>
  <conditionalFormatting sqref="C1537">
    <cfRule type="cellIs" dxfId="1767" priority="495" operator="equal">
      <formula>$AM$1357</formula>
    </cfRule>
  </conditionalFormatting>
  <conditionalFormatting sqref="C1547">
    <cfRule type="cellIs" dxfId="1766" priority="487" operator="equal">
      <formula>$AM$1357</formula>
    </cfRule>
  </conditionalFormatting>
  <conditionalFormatting sqref="C1557">
    <cfRule type="cellIs" dxfId="1765" priority="479" operator="equal">
      <formula>$AM$1357</formula>
    </cfRule>
  </conditionalFormatting>
  <conditionalFormatting sqref="C1567">
    <cfRule type="cellIs" dxfId="1764" priority="471" operator="equal">
      <formula>$AM$1357</formula>
    </cfRule>
  </conditionalFormatting>
  <conditionalFormatting sqref="C1577">
    <cfRule type="cellIs" dxfId="1763" priority="463" operator="equal">
      <formula>$AM$1357</formula>
    </cfRule>
  </conditionalFormatting>
  <conditionalFormatting sqref="C1587">
    <cfRule type="cellIs" dxfId="1762" priority="454" operator="equal">
      <formula>$AM$1357</formula>
    </cfRule>
  </conditionalFormatting>
  <conditionalFormatting sqref="C208:D208">
    <cfRule type="cellIs" dxfId="1710" priority="766" operator="equal">
      <formula>"YYYY-MM-DD"</formula>
    </cfRule>
  </conditionalFormatting>
  <conditionalFormatting sqref="C279:D281">
    <cfRule type="containsText" dxfId="1708" priority="372" operator="containsText" text="claims to know real culprit?">
      <formula>NOT(ISERROR(SEARCH("claims to know real culprit?",C279)))</formula>
    </cfRule>
    <cfRule type="containsText" dxfId="1707" priority="373" operator="containsText" text="charged as?">
      <formula>NOT(ISERROR(SEARCH("charged as?",C279)))</formula>
    </cfRule>
    <cfRule type="containsText" dxfId="1706" priority="374" operator="containsText" text="convicted as?">
      <formula>NOT(ISERROR(SEARCH("convicted as?",C279)))</formula>
    </cfRule>
    <cfRule type="containsText" dxfId="1705" priority="375" operator="containsText" text="NAME ">
      <formula>NOT(ISERROR(SEARCH("NAME ",C279)))</formula>
    </cfRule>
  </conditionalFormatting>
  <conditionalFormatting sqref="C283:D285">
    <cfRule type="containsText" dxfId="1704" priority="325" operator="containsText" text="claims to know real culprit?">
      <formula>NOT(ISERROR(SEARCH("claims to know real culprit?",C283)))</formula>
    </cfRule>
    <cfRule type="containsText" dxfId="1703" priority="326" operator="containsText" text="charged as?">
      <formula>NOT(ISERROR(SEARCH("charged as?",C283)))</formula>
    </cfRule>
    <cfRule type="containsText" dxfId="1702" priority="327" operator="containsText" text="convicted as?">
      <formula>NOT(ISERROR(SEARCH("convicted as?",C283)))</formula>
    </cfRule>
    <cfRule type="containsText" dxfId="1701" priority="328" operator="containsText" text="NAME ">
      <formula>NOT(ISERROR(SEARCH("NAME ",C283)))</formula>
    </cfRule>
  </conditionalFormatting>
  <conditionalFormatting sqref="C287:D289">
    <cfRule type="containsText" dxfId="1700" priority="306" operator="containsText" text="claims to know real culprit?">
      <formula>NOT(ISERROR(SEARCH("claims to know real culprit?",C287)))</formula>
    </cfRule>
    <cfRule type="containsText" dxfId="1699" priority="307" operator="containsText" text="charged as?">
      <formula>NOT(ISERROR(SEARCH("charged as?",C287)))</formula>
    </cfRule>
    <cfRule type="containsText" dxfId="1698" priority="308" operator="containsText" text="convicted as?">
      <formula>NOT(ISERROR(SEARCH("convicted as?",C287)))</formula>
    </cfRule>
    <cfRule type="containsText" dxfId="1697" priority="309" operator="containsText" text="NAME ">
      <formula>NOT(ISERROR(SEARCH("NAME ",C287)))</formula>
    </cfRule>
  </conditionalFormatting>
  <conditionalFormatting sqref="C291:D293">
    <cfRule type="containsText" dxfId="1696" priority="287" operator="containsText" text="claims to know real culprit?">
      <formula>NOT(ISERROR(SEARCH("claims to know real culprit?",C291)))</formula>
    </cfRule>
    <cfRule type="containsText" dxfId="1695" priority="288" operator="containsText" text="charged as?">
      <formula>NOT(ISERROR(SEARCH("charged as?",C291)))</formula>
    </cfRule>
    <cfRule type="containsText" dxfId="1694" priority="289" operator="containsText" text="convicted as?">
      <formula>NOT(ISERROR(SEARCH("convicted as?",C291)))</formula>
    </cfRule>
    <cfRule type="containsText" dxfId="1693" priority="290" operator="containsText" text="NAME ">
      <formula>NOT(ISERROR(SEARCH("NAME ",C291)))</formula>
    </cfRule>
  </conditionalFormatting>
  <conditionalFormatting sqref="C295:D297">
    <cfRule type="containsText" dxfId="1692" priority="268" operator="containsText" text="claims to know real culprit?">
      <formula>NOT(ISERROR(SEARCH("claims to know real culprit?",C295)))</formula>
    </cfRule>
    <cfRule type="containsText" dxfId="1691" priority="269" operator="containsText" text="charged as?">
      <formula>NOT(ISERROR(SEARCH("charged as?",C295)))</formula>
    </cfRule>
    <cfRule type="containsText" dxfId="1690" priority="270" operator="containsText" text="convicted as?">
      <formula>NOT(ISERROR(SEARCH("convicted as?",C295)))</formula>
    </cfRule>
    <cfRule type="containsText" dxfId="1689" priority="271" operator="containsText" text="NAME ">
      <formula>NOT(ISERROR(SEARCH("NAME ",C295)))</formula>
    </cfRule>
  </conditionalFormatting>
  <conditionalFormatting sqref="C299:D301">
    <cfRule type="containsText" dxfId="1688" priority="249" operator="containsText" text="claims to know real culprit?">
      <formula>NOT(ISERROR(SEARCH("claims to know real culprit?",C299)))</formula>
    </cfRule>
    <cfRule type="containsText" dxfId="1687" priority="250" operator="containsText" text="charged as?">
      <formula>NOT(ISERROR(SEARCH("charged as?",C299)))</formula>
    </cfRule>
    <cfRule type="containsText" dxfId="1686" priority="251" operator="containsText" text="convicted as?">
      <formula>NOT(ISERROR(SEARCH("convicted as?",C299)))</formula>
    </cfRule>
    <cfRule type="containsText" dxfId="1685" priority="252" operator="containsText" text="NAME ">
      <formula>NOT(ISERROR(SEARCH("NAME ",C299)))</formula>
    </cfRule>
  </conditionalFormatting>
  <conditionalFormatting sqref="C391:D391">
    <cfRule type="containsText" dxfId="1684" priority="874" operator="containsText" text="URL">
      <formula>NOT(ISERROR(SEARCH("URL",C391)))</formula>
    </cfRule>
  </conditionalFormatting>
  <conditionalFormatting sqref="C401:D401">
    <cfRule type="containsText" dxfId="1683" priority="859" operator="containsText" text="URL">
      <formula>NOT(ISERROR(SEARCH("URL",C401)))</formula>
    </cfRule>
  </conditionalFormatting>
  <conditionalFormatting sqref="C1361:D1361">
    <cfRule type="timePeriod" dxfId="1679" priority="634" timePeriod="lastWeek">
      <formula>AND(TODAY()-ROUNDDOWN(C1361,0)&gt;=(WEEKDAY(TODAY())),TODAY()-ROUNDDOWN(C1361,0)&lt;(WEEKDAY(TODAY())+7))</formula>
    </cfRule>
    <cfRule type="timePeriod" dxfId="1678" priority="636" timePeriod="lastMonth">
      <formula>AND(MONTH(C1361)=MONTH(EDATE(TODAY(),0-1)),YEAR(C1361)=YEAR(EDATE(TODAY(),0-1)))</formula>
    </cfRule>
    <cfRule type="cellIs" dxfId="1677" priority="638" operator="equal">
      <formula>$AM$1361</formula>
    </cfRule>
  </conditionalFormatting>
  <conditionalFormatting sqref="C1371:D1371">
    <cfRule type="timePeriod" dxfId="1676" priority="626" timePeriod="lastWeek">
      <formula>AND(TODAY()-ROUNDDOWN(C1371,0)&gt;=(WEEKDAY(TODAY())),TODAY()-ROUNDDOWN(C1371,0)&lt;(WEEKDAY(TODAY())+7))</formula>
    </cfRule>
    <cfRule type="timePeriod" dxfId="1675" priority="628" timePeriod="lastMonth">
      <formula>AND(MONTH(C1371)=MONTH(EDATE(TODAY(),0-1)),YEAR(C1371)=YEAR(EDATE(TODAY(),0-1)))</formula>
    </cfRule>
    <cfRule type="cellIs" dxfId="1674" priority="630" operator="equal">
      <formula>$AM$1361</formula>
    </cfRule>
  </conditionalFormatting>
  <conditionalFormatting sqref="C1381:D1381">
    <cfRule type="timePeriod" dxfId="1673" priority="618" timePeriod="lastWeek">
      <formula>AND(TODAY()-ROUNDDOWN(C1381,0)&gt;=(WEEKDAY(TODAY())),TODAY()-ROUNDDOWN(C1381,0)&lt;(WEEKDAY(TODAY())+7))</formula>
    </cfRule>
    <cfRule type="timePeriod" dxfId="1672" priority="620" timePeriod="lastMonth">
      <formula>AND(MONTH(C1381)=MONTH(EDATE(TODAY(),0-1)),YEAR(C1381)=YEAR(EDATE(TODAY(),0-1)))</formula>
    </cfRule>
    <cfRule type="cellIs" dxfId="1671" priority="622" operator="equal">
      <formula>$AM$1361</formula>
    </cfRule>
  </conditionalFormatting>
  <conditionalFormatting sqref="C1391:D1391">
    <cfRule type="timePeriod" dxfId="1670" priority="610" timePeriod="lastWeek">
      <formula>AND(TODAY()-ROUNDDOWN(C1391,0)&gt;=(WEEKDAY(TODAY())),TODAY()-ROUNDDOWN(C1391,0)&lt;(WEEKDAY(TODAY())+7))</formula>
    </cfRule>
    <cfRule type="timePeriod" dxfId="1669" priority="612" timePeriod="lastMonth">
      <formula>AND(MONTH(C1391)=MONTH(EDATE(TODAY(),0-1)),YEAR(C1391)=YEAR(EDATE(TODAY(),0-1)))</formula>
    </cfRule>
    <cfRule type="cellIs" dxfId="1668" priority="614" operator="equal">
      <formula>$AM$1361</formula>
    </cfRule>
  </conditionalFormatting>
  <conditionalFormatting sqref="C1401:D1401">
    <cfRule type="timePeriod" dxfId="1667" priority="602" timePeriod="lastWeek">
      <formula>AND(TODAY()-ROUNDDOWN(C1401,0)&gt;=(WEEKDAY(TODAY())),TODAY()-ROUNDDOWN(C1401,0)&lt;(WEEKDAY(TODAY())+7))</formula>
    </cfRule>
    <cfRule type="timePeriod" dxfId="1666" priority="604" timePeriod="lastMonth">
      <formula>AND(MONTH(C1401)=MONTH(EDATE(TODAY(),0-1)),YEAR(C1401)=YEAR(EDATE(TODAY(),0-1)))</formula>
    </cfRule>
    <cfRule type="cellIs" dxfId="1665" priority="606" operator="equal">
      <formula>$AM$1361</formula>
    </cfRule>
  </conditionalFormatting>
  <conditionalFormatting sqref="C1411:D1411">
    <cfRule type="timePeriod" dxfId="1664" priority="593" timePeriod="lastWeek">
      <formula>AND(TODAY()-ROUNDDOWN(C1411,0)&gt;=(WEEKDAY(TODAY())),TODAY()-ROUNDDOWN(C1411,0)&lt;(WEEKDAY(TODAY())+7))</formula>
    </cfRule>
    <cfRule type="timePeriod" dxfId="1663" priority="595" timePeriod="lastMonth">
      <formula>AND(MONTH(C1411)=MONTH(EDATE(TODAY(),0-1)),YEAR(C1411)=YEAR(EDATE(TODAY(),0-1)))</formula>
    </cfRule>
    <cfRule type="cellIs" dxfId="1662" priority="597" operator="equal">
      <formula>$AM$1361</formula>
    </cfRule>
  </conditionalFormatting>
  <conditionalFormatting sqref="C1421:D1421">
    <cfRule type="timePeriod" dxfId="1661" priority="585" timePeriod="lastWeek">
      <formula>AND(TODAY()-ROUNDDOWN(C1421,0)&gt;=(WEEKDAY(TODAY())),TODAY()-ROUNDDOWN(C1421,0)&lt;(WEEKDAY(TODAY())+7))</formula>
    </cfRule>
    <cfRule type="timePeriod" dxfId="1660" priority="587" timePeriod="lastMonth">
      <formula>AND(MONTH(C1421)=MONTH(EDATE(TODAY(),0-1)),YEAR(C1421)=YEAR(EDATE(TODAY(),0-1)))</formula>
    </cfRule>
    <cfRule type="cellIs" dxfId="1659" priority="589" operator="equal">
      <formula>$AM$1361</formula>
    </cfRule>
  </conditionalFormatting>
  <conditionalFormatting sqref="C1431:D1431">
    <cfRule type="timePeriod" dxfId="1658" priority="577" timePeriod="lastWeek">
      <formula>AND(TODAY()-ROUNDDOWN(C1431,0)&gt;=(WEEKDAY(TODAY())),TODAY()-ROUNDDOWN(C1431,0)&lt;(WEEKDAY(TODAY())+7))</formula>
    </cfRule>
    <cfRule type="timePeriod" dxfId="1657" priority="579" timePeriod="lastMonth">
      <formula>AND(MONTH(C1431)=MONTH(EDATE(TODAY(),0-1)),YEAR(C1431)=YEAR(EDATE(TODAY(),0-1)))</formula>
    </cfRule>
    <cfRule type="cellIs" dxfId="1656" priority="581" operator="equal">
      <formula>$AM$1361</formula>
    </cfRule>
  </conditionalFormatting>
  <conditionalFormatting sqref="C1441:D1441">
    <cfRule type="timePeriod" dxfId="1655" priority="569" timePeriod="lastWeek">
      <formula>AND(TODAY()-ROUNDDOWN(C1441,0)&gt;=(WEEKDAY(TODAY())),TODAY()-ROUNDDOWN(C1441,0)&lt;(WEEKDAY(TODAY())+7))</formula>
    </cfRule>
    <cfRule type="timePeriod" dxfId="1654" priority="571" timePeriod="lastMonth">
      <formula>AND(MONTH(C1441)=MONTH(EDATE(TODAY(),0-1)),YEAR(C1441)=YEAR(EDATE(TODAY(),0-1)))</formula>
    </cfRule>
    <cfRule type="cellIs" dxfId="1653" priority="573" operator="equal">
      <formula>$AM$1361</formula>
    </cfRule>
  </conditionalFormatting>
  <conditionalFormatting sqref="C1451:D1451">
    <cfRule type="timePeriod" dxfId="1652" priority="561" timePeriod="lastWeek">
      <formula>AND(TODAY()-ROUNDDOWN(C1451,0)&gt;=(WEEKDAY(TODAY())),TODAY()-ROUNDDOWN(C1451,0)&lt;(WEEKDAY(TODAY())+7))</formula>
    </cfRule>
    <cfRule type="timePeriod" dxfId="1651" priority="563" timePeriod="lastMonth">
      <formula>AND(MONTH(C1451)=MONTH(EDATE(TODAY(),0-1)),YEAR(C1451)=YEAR(EDATE(TODAY(),0-1)))</formula>
    </cfRule>
    <cfRule type="cellIs" dxfId="1650" priority="565" operator="equal">
      <formula>$AM$1361</formula>
    </cfRule>
  </conditionalFormatting>
  <conditionalFormatting sqref="C1461:D1461">
    <cfRule type="timePeriod" dxfId="1649" priority="553" timePeriod="lastWeek">
      <formula>AND(TODAY()-ROUNDDOWN(C1461,0)&gt;=(WEEKDAY(TODAY())),TODAY()-ROUNDDOWN(C1461,0)&lt;(WEEKDAY(TODAY())+7))</formula>
    </cfRule>
    <cfRule type="timePeriod" dxfId="1648" priority="555" timePeriod="lastMonth">
      <formula>AND(MONTH(C1461)=MONTH(EDATE(TODAY(),0-1)),YEAR(C1461)=YEAR(EDATE(TODAY(),0-1)))</formula>
    </cfRule>
    <cfRule type="cellIs" dxfId="1647" priority="557" operator="equal">
      <formula>$AM$1361</formula>
    </cfRule>
  </conditionalFormatting>
  <conditionalFormatting sqref="C1471:D1471">
    <cfRule type="timePeriod" dxfId="1646" priority="545" timePeriod="lastWeek">
      <formula>AND(TODAY()-ROUNDDOWN(C1471,0)&gt;=(WEEKDAY(TODAY())),TODAY()-ROUNDDOWN(C1471,0)&lt;(WEEKDAY(TODAY())+7))</formula>
    </cfRule>
    <cfRule type="timePeriod" dxfId="1645" priority="547" timePeriod="lastMonth">
      <formula>AND(MONTH(C1471)=MONTH(EDATE(TODAY(),0-1)),YEAR(C1471)=YEAR(EDATE(TODAY(),0-1)))</formula>
    </cfRule>
    <cfRule type="cellIs" dxfId="1644" priority="549" operator="equal">
      <formula>$AM$1361</formula>
    </cfRule>
  </conditionalFormatting>
  <conditionalFormatting sqref="C1481:D1481">
    <cfRule type="timePeriod" dxfId="1643" priority="537" timePeriod="lastWeek">
      <formula>AND(TODAY()-ROUNDDOWN(C1481,0)&gt;=(WEEKDAY(TODAY())),TODAY()-ROUNDDOWN(C1481,0)&lt;(WEEKDAY(TODAY())+7))</formula>
    </cfRule>
    <cfRule type="timePeriod" dxfId="1642" priority="539" timePeriod="lastMonth">
      <formula>AND(MONTH(C1481)=MONTH(EDATE(TODAY(),0-1)),YEAR(C1481)=YEAR(EDATE(TODAY(),0-1)))</formula>
    </cfRule>
    <cfRule type="cellIs" dxfId="1641" priority="541" operator="equal">
      <formula>$AM$1361</formula>
    </cfRule>
  </conditionalFormatting>
  <conditionalFormatting sqref="C1491:D1491">
    <cfRule type="timePeriod" dxfId="1640" priority="529" timePeriod="lastWeek">
      <formula>AND(TODAY()-ROUNDDOWN(C1491,0)&gt;=(WEEKDAY(TODAY())),TODAY()-ROUNDDOWN(C1491,0)&lt;(WEEKDAY(TODAY())+7))</formula>
    </cfRule>
    <cfRule type="timePeriod" dxfId="1639" priority="531" timePeriod="lastMonth">
      <formula>AND(MONTH(C1491)=MONTH(EDATE(TODAY(),0-1)),YEAR(C1491)=YEAR(EDATE(TODAY(),0-1)))</formula>
    </cfRule>
    <cfRule type="cellIs" dxfId="1638" priority="533" operator="equal">
      <formula>$AM$1361</formula>
    </cfRule>
  </conditionalFormatting>
  <conditionalFormatting sqref="C1501:D1501">
    <cfRule type="timePeriod" dxfId="1637" priority="521" timePeriod="lastWeek">
      <formula>AND(TODAY()-ROUNDDOWN(C1501,0)&gt;=(WEEKDAY(TODAY())),TODAY()-ROUNDDOWN(C1501,0)&lt;(WEEKDAY(TODAY())+7))</formula>
    </cfRule>
    <cfRule type="timePeriod" dxfId="1636" priority="523" timePeriod="lastMonth">
      <formula>AND(MONTH(C1501)=MONTH(EDATE(TODAY(),0-1)),YEAR(C1501)=YEAR(EDATE(TODAY(),0-1)))</formula>
    </cfRule>
    <cfRule type="cellIs" dxfId="1635" priority="525" operator="equal">
      <formula>$AM$1361</formula>
    </cfRule>
  </conditionalFormatting>
  <conditionalFormatting sqref="C1511:D1511">
    <cfRule type="timePeriod" dxfId="1634" priority="513" timePeriod="lastWeek">
      <formula>AND(TODAY()-ROUNDDOWN(C1511,0)&gt;=(WEEKDAY(TODAY())),TODAY()-ROUNDDOWN(C1511,0)&lt;(WEEKDAY(TODAY())+7))</formula>
    </cfRule>
    <cfRule type="timePeriod" dxfId="1633" priority="515" timePeriod="lastMonth">
      <formula>AND(MONTH(C1511)=MONTH(EDATE(TODAY(),0-1)),YEAR(C1511)=YEAR(EDATE(TODAY(),0-1)))</formula>
    </cfRule>
    <cfRule type="cellIs" dxfId="1632" priority="517" operator="equal">
      <formula>$AM$1361</formula>
    </cfRule>
  </conditionalFormatting>
  <conditionalFormatting sqref="C1521:D1521">
    <cfRule type="timePeriod" dxfId="1631" priority="505" timePeriod="lastWeek">
      <formula>AND(TODAY()-ROUNDDOWN(C1521,0)&gt;=(WEEKDAY(TODAY())),TODAY()-ROUNDDOWN(C1521,0)&lt;(WEEKDAY(TODAY())+7))</formula>
    </cfRule>
    <cfRule type="timePeriod" dxfId="1630" priority="507" timePeriod="lastMonth">
      <formula>AND(MONTH(C1521)=MONTH(EDATE(TODAY(),0-1)),YEAR(C1521)=YEAR(EDATE(TODAY(),0-1)))</formula>
    </cfRule>
    <cfRule type="cellIs" dxfId="1629" priority="509" operator="equal">
      <formula>$AM$1361</formula>
    </cfRule>
  </conditionalFormatting>
  <conditionalFormatting sqref="C1531:D1531">
    <cfRule type="timePeriod" dxfId="1628" priority="497" timePeriod="lastWeek">
      <formula>AND(TODAY()-ROUNDDOWN(C1531,0)&gt;=(WEEKDAY(TODAY())),TODAY()-ROUNDDOWN(C1531,0)&lt;(WEEKDAY(TODAY())+7))</formula>
    </cfRule>
    <cfRule type="timePeriod" dxfId="1627" priority="499" timePeriod="lastMonth">
      <formula>AND(MONTH(C1531)=MONTH(EDATE(TODAY(),0-1)),YEAR(C1531)=YEAR(EDATE(TODAY(),0-1)))</formula>
    </cfRule>
    <cfRule type="cellIs" dxfId="1626" priority="501" operator="equal">
      <formula>$AM$1361</formula>
    </cfRule>
  </conditionalFormatting>
  <conditionalFormatting sqref="C1541:D1541">
    <cfRule type="timePeriod" dxfId="1625" priority="489" timePeriod="lastWeek">
      <formula>AND(TODAY()-ROUNDDOWN(C1541,0)&gt;=(WEEKDAY(TODAY())),TODAY()-ROUNDDOWN(C1541,0)&lt;(WEEKDAY(TODAY())+7))</formula>
    </cfRule>
    <cfRule type="timePeriod" dxfId="1624" priority="491" timePeriod="lastMonth">
      <formula>AND(MONTH(C1541)=MONTH(EDATE(TODAY(),0-1)),YEAR(C1541)=YEAR(EDATE(TODAY(),0-1)))</formula>
    </cfRule>
    <cfRule type="cellIs" dxfId="1623" priority="493" operator="equal">
      <formula>$AM$1361</formula>
    </cfRule>
  </conditionalFormatting>
  <conditionalFormatting sqref="C1551:D1551">
    <cfRule type="timePeriod" dxfId="1622" priority="481" timePeriod="lastWeek">
      <formula>AND(TODAY()-ROUNDDOWN(C1551,0)&gt;=(WEEKDAY(TODAY())),TODAY()-ROUNDDOWN(C1551,0)&lt;(WEEKDAY(TODAY())+7))</formula>
    </cfRule>
    <cfRule type="timePeriod" dxfId="1621" priority="483" timePeriod="lastMonth">
      <formula>AND(MONTH(C1551)=MONTH(EDATE(TODAY(),0-1)),YEAR(C1551)=YEAR(EDATE(TODAY(),0-1)))</formula>
    </cfRule>
    <cfRule type="cellIs" dxfId="1620" priority="485" operator="equal">
      <formula>$AM$1361</formula>
    </cfRule>
  </conditionalFormatting>
  <conditionalFormatting sqref="C1561:D1561">
    <cfRule type="timePeriod" dxfId="1619" priority="473" timePeriod="lastWeek">
      <formula>AND(TODAY()-ROUNDDOWN(C1561,0)&gt;=(WEEKDAY(TODAY())),TODAY()-ROUNDDOWN(C1561,0)&lt;(WEEKDAY(TODAY())+7))</formula>
    </cfRule>
    <cfRule type="timePeriod" dxfId="1618" priority="475" timePeriod="lastMonth">
      <formula>AND(MONTH(C1561)=MONTH(EDATE(TODAY(),0-1)),YEAR(C1561)=YEAR(EDATE(TODAY(),0-1)))</formula>
    </cfRule>
    <cfRule type="cellIs" dxfId="1617" priority="477" operator="equal">
      <formula>$AM$1361</formula>
    </cfRule>
  </conditionalFormatting>
  <conditionalFormatting sqref="C1571:D1571">
    <cfRule type="timePeriod" dxfId="1616" priority="465" timePeriod="lastWeek">
      <formula>AND(TODAY()-ROUNDDOWN(C1571,0)&gt;=(WEEKDAY(TODAY())),TODAY()-ROUNDDOWN(C1571,0)&lt;(WEEKDAY(TODAY())+7))</formula>
    </cfRule>
    <cfRule type="timePeriod" dxfId="1615" priority="467" timePeriod="lastMonth">
      <formula>AND(MONTH(C1571)=MONTH(EDATE(TODAY(),0-1)),YEAR(C1571)=YEAR(EDATE(TODAY(),0-1)))</formula>
    </cfRule>
    <cfRule type="cellIs" dxfId="1614" priority="469" operator="equal">
      <formula>$AM$1361</formula>
    </cfRule>
  </conditionalFormatting>
  <conditionalFormatting sqref="C1581:D1581">
    <cfRule type="timePeriod" dxfId="1613" priority="457" timePeriod="lastWeek">
      <formula>AND(TODAY()-ROUNDDOWN(C1581,0)&gt;=(WEEKDAY(TODAY())),TODAY()-ROUNDDOWN(C1581,0)&lt;(WEEKDAY(TODAY())+7))</formula>
    </cfRule>
    <cfRule type="timePeriod" dxfId="1612" priority="459" timePeriod="lastMonth">
      <formula>AND(MONTH(C1581)=MONTH(EDATE(TODAY(),0-1)),YEAR(C1581)=YEAR(EDATE(TODAY(),0-1)))</formula>
    </cfRule>
    <cfRule type="cellIs" dxfId="1611" priority="461" operator="equal">
      <formula>$AM$1361</formula>
    </cfRule>
  </conditionalFormatting>
  <conditionalFormatting sqref="C1591:D1591">
    <cfRule type="timePeriod" dxfId="1610" priority="448" timePeriod="lastWeek">
      <formula>AND(TODAY()-ROUNDDOWN(C1591,0)&gt;=(WEEKDAY(TODAY())),TODAY()-ROUNDDOWN(C1591,0)&lt;(WEEKDAY(TODAY())+7))</formula>
    </cfRule>
    <cfRule type="timePeriod" dxfId="1609" priority="450" timePeriod="lastMonth">
      <formula>AND(MONTH(C1591)=MONTH(EDATE(TODAY(),0-1)),YEAR(C1591)=YEAR(EDATE(TODAY(),0-1)))</formula>
    </cfRule>
    <cfRule type="cellIs" dxfId="1608" priority="452" operator="equal">
      <formula>$AM$1361</formula>
    </cfRule>
  </conditionalFormatting>
  <conditionalFormatting sqref="C1638:D1638">
    <cfRule type="cellIs" dxfId="1607" priority="653" operator="equal">
      <formula>$BN$1638</formula>
    </cfRule>
  </conditionalFormatting>
  <conditionalFormatting sqref="C1639:D1639">
    <cfRule type="beginsWith" dxfId="1606" priority="419" operator="beginsWith" text="click">
      <formula>LEFT(C1639,LEN("click"))="click"</formula>
    </cfRule>
  </conditionalFormatting>
  <conditionalFormatting sqref="C1648:D1648">
    <cfRule type="cellIs" dxfId="1605" priority="651" operator="equal">
      <formula>$BN$1638</formula>
    </cfRule>
  </conditionalFormatting>
  <conditionalFormatting sqref="C1649:D1649">
    <cfRule type="beginsWith" dxfId="1604" priority="418" operator="beginsWith" text="click">
      <formula>LEFT(C1649,LEN("click"))="click"</formula>
    </cfRule>
  </conditionalFormatting>
  <conditionalFormatting sqref="C1658:D1658">
    <cfRule type="cellIs" dxfId="1603" priority="649" operator="equal">
      <formula>$BN$1638</formula>
    </cfRule>
  </conditionalFormatting>
  <conditionalFormatting sqref="C1659:D1659">
    <cfRule type="beginsWith" dxfId="1602" priority="417" operator="beginsWith" text="click">
      <formula>LEFT(C1659,LEN("click"))="click"</formula>
    </cfRule>
  </conditionalFormatting>
  <conditionalFormatting sqref="C1668:D1668">
    <cfRule type="cellIs" dxfId="1601" priority="647" operator="equal">
      <formula>$BN$1638</formula>
    </cfRule>
  </conditionalFormatting>
  <conditionalFormatting sqref="C1669:D1669">
    <cfRule type="beginsWith" dxfId="1600" priority="416" operator="beginsWith" text="click">
      <formula>LEFT(C1669,LEN("click"))="click"</formula>
    </cfRule>
  </conditionalFormatting>
  <conditionalFormatting sqref="C1678:D1678">
    <cfRule type="cellIs" dxfId="1599" priority="645" operator="equal">
      <formula>$BN$1638</formula>
    </cfRule>
  </conditionalFormatting>
  <conditionalFormatting sqref="C1679:D1679">
    <cfRule type="beginsWith" dxfId="1598" priority="415" operator="beginsWith" text="click">
      <formula>LEFT(C1679,LEN("click"))="click"</formula>
    </cfRule>
  </conditionalFormatting>
  <conditionalFormatting sqref="C1688:D1688">
    <cfRule type="cellIs" dxfId="1597" priority="643" operator="equal">
      <formula>$BN$1638</formula>
    </cfRule>
  </conditionalFormatting>
  <conditionalFormatting sqref="C1689:D1689">
    <cfRule type="beginsWith" dxfId="1596" priority="414" operator="beginsWith" text="click">
      <formula>LEFT(C1689,LEN("click"))="click"</formula>
    </cfRule>
  </conditionalFormatting>
  <conditionalFormatting sqref="C2014:D2016">
    <cfRule type="containsText" dxfId="1595" priority="68" operator="containsText" text="Highlight">
      <formula>NOT(ISERROR(SEARCH("Highlight",C2014)))</formula>
    </cfRule>
  </conditionalFormatting>
  <conditionalFormatting sqref="D202">
    <cfRule type="containsText" dxfId="1588" priority="670" operator="containsText" text="LAST NAME">
      <formula>NOT(ISERROR(SEARCH("LAST NAME",D202)))</formula>
    </cfRule>
  </conditionalFormatting>
  <conditionalFormatting sqref="D212">
    <cfRule type="containsText" dxfId="1587" priority="239" operator="containsText" text="LAST NAME">
      <formula>NOT(ISERROR(SEARCH("LAST NAME",D212)))</formula>
    </cfRule>
  </conditionalFormatting>
  <conditionalFormatting sqref="D248 D250">
    <cfRule type="cellIs" dxfId="1586" priority="1272" operator="equal">
      <formula>$C$2772</formula>
    </cfRule>
  </conditionalFormatting>
  <conditionalFormatting sqref="D253">
    <cfRule type="cellIs" dxfId="1585" priority="706" operator="greaterThan">
      <formula>$AI$253</formula>
    </cfRule>
  </conditionalFormatting>
  <conditionalFormatting sqref="D279">
    <cfRule type="containsText" dxfId="1584" priority="371" operator="containsText" text="how adjudicated?">
      <formula>NOT(ISERROR(SEARCH("how adjudicated?",D279)))</formula>
    </cfRule>
  </conditionalFormatting>
  <conditionalFormatting sqref="D280">
    <cfRule type="containsText" dxfId="1583" priority="370" operator="containsText" text="verdict?">
      <formula>NOT(ISERROR(SEARCH("verdict?",D280)))</formula>
    </cfRule>
  </conditionalFormatting>
  <conditionalFormatting sqref="D281">
    <cfRule type="containsText" dxfId="1582" priority="369" operator="containsText" text="also claims innocence?">
      <formula>NOT(ISERROR(SEARCH("also claims innocence?",D281)))</formula>
    </cfRule>
  </conditionalFormatting>
  <conditionalFormatting sqref="D283">
    <cfRule type="containsText" dxfId="1581" priority="324" operator="containsText" text="how adjudicated?">
      <formula>NOT(ISERROR(SEARCH("how adjudicated?",D283)))</formula>
    </cfRule>
  </conditionalFormatting>
  <conditionalFormatting sqref="D284">
    <cfRule type="containsText" dxfId="1580" priority="323" operator="containsText" text="verdict?">
      <formula>NOT(ISERROR(SEARCH("verdict?",D284)))</formula>
    </cfRule>
  </conditionalFormatting>
  <conditionalFormatting sqref="D285">
    <cfRule type="containsText" dxfId="1579" priority="322" operator="containsText" text="also claims innocence?">
      <formula>NOT(ISERROR(SEARCH("also claims innocence?",D285)))</formula>
    </cfRule>
  </conditionalFormatting>
  <conditionalFormatting sqref="D287">
    <cfRule type="containsText" dxfId="1578" priority="305" operator="containsText" text="how adjudicated?">
      <formula>NOT(ISERROR(SEARCH("how adjudicated?",D287)))</formula>
    </cfRule>
  </conditionalFormatting>
  <conditionalFormatting sqref="D288">
    <cfRule type="containsText" dxfId="1577" priority="304" operator="containsText" text="verdict?">
      <formula>NOT(ISERROR(SEARCH("verdict?",D288)))</formula>
    </cfRule>
  </conditionalFormatting>
  <conditionalFormatting sqref="D289">
    <cfRule type="containsText" dxfId="1576" priority="303" operator="containsText" text="also claims innocence?">
      <formula>NOT(ISERROR(SEARCH("also claims innocence?",D289)))</formula>
    </cfRule>
  </conditionalFormatting>
  <conditionalFormatting sqref="D291">
    <cfRule type="containsText" dxfId="1575" priority="286" operator="containsText" text="how adjudicated?">
      <formula>NOT(ISERROR(SEARCH("how adjudicated?",D291)))</formula>
    </cfRule>
  </conditionalFormatting>
  <conditionalFormatting sqref="D292">
    <cfRule type="containsText" dxfId="1574" priority="285" operator="containsText" text="verdict?">
      <formula>NOT(ISERROR(SEARCH("verdict?",D292)))</formula>
    </cfRule>
  </conditionalFormatting>
  <conditionalFormatting sqref="D293">
    <cfRule type="containsText" dxfId="1573" priority="284" operator="containsText" text="also claims innocence?">
      <formula>NOT(ISERROR(SEARCH("also claims innocence?",D293)))</formula>
    </cfRule>
  </conditionalFormatting>
  <conditionalFormatting sqref="D295">
    <cfRule type="containsText" dxfId="1572" priority="267" operator="containsText" text="how adjudicated?">
      <formula>NOT(ISERROR(SEARCH("how adjudicated?",D295)))</formula>
    </cfRule>
  </conditionalFormatting>
  <conditionalFormatting sqref="D296">
    <cfRule type="containsText" dxfId="1571" priority="266" operator="containsText" text="verdict?">
      <formula>NOT(ISERROR(SEARCH("verdict?",D296)))</formula>
    </cfRule>
  </conditionalFormatting>
  <conditionalFormatting sqref="D297">
    <cfRule type="containsText" dxfId="1570" priority="265" operator="containsText" text="also claims innocence?">
      <formula>NOT(ISERROR(SEARCH("also claims innocence?",D297)))</formula>
    </cfRule>
  </conditionalFormatting>
  <conditionalFormatting sqref="D299">
    <cfRule type="containsText" dxfId="1569" priority="248" operator="containsText" text="how adjudicated?">
      <formula>NOT(ISERROR(SEARCH("how adjudicated?",D299)))</formula>
    </cfRule>
  </conditionalFormatting>
  <conditionalFormatting sqref="D300">
    <cfRule type="containsText" dxfId="1568" priority="247" operator="containsText" text="verdict?">
      <formula>NOT(ISERROR(SEARCH("verdict?",D300)))</formula>
    </cfRule>
  </conditionalFormatting>
  <conditionalFormatting sqref="D301">
    <cfRule type="containsText" dxfId="1567" priority="246" operator="containsText" text="also claims innocence?">
      <formula>NOT(ISERROR(SEARCH("also claims innocence?",D301)))</formula>
    </cfRule>
  </conditionalFormatting>
  <conditionalFormatting sqref="D357">
    <cfRule type="cellIs" dxfId="1565" priority="801" operator="equal">
      <formula>0</formula>
    </cfRule>
    <cfRule type="cellIs" dxfId="1564" priority="802" operator="greaterThan">
      <formula>0</formula>
    </cfRule>
  </conditionalFormatting>
  <conditionalFormatting sqref="D364:D365">
    <cfRule type="containsText" dxfId="1563" priority="871" operator="containsText" text="URL">
      <formula>NOT(ISERROR(SEARCH("URL",D364)))</formula>
    </cfRule>
  </conditionalFormatting>
  <conditionalFormatting sqref="D367">
    <cfRule type="cellIs" dxfId="1562" priority="799" operator="equal">
      <formula>0</formula>
    </cfRule>
    <cfRule type="cellIs" dxfId="1561" priority="800" operator="greaterThan">
      <formula>0</formula>
    </cfRule>
  </conditionalFormatting>
  <conditionalFormatting sqref="D374:D375">
    <cfRule type="containsText" dxfId="1560" priority="355" operator="containsText" text="URL">
      <formula>NOT(ISERROR(SEARCH("URL",D374)))</formula>
    </cfRule>
  </conditionalFormatting>
  <conditionalFormatting sqref="D377">
    <cfRule type="cellIs" dxfId="1559" priority="797" operator="equal">
      <formula>0</formula>
    </cfRule>
    <cfRule type="cellIs" dxfId="1558" priority="798" operator="greaterThan">
      <formula>0</formula>
    </cfRule>
  </conditionalFormatting>
  <conditionalFormatting sqref="D384:D385">
    <cfRule type="containsText" dxfId="1557" priority="354" operator="containsText" text="URL">
      <formula>NOT(ISERROR(SEARCH("URL",D384)))</formula>
    </cfRule>
  </conditionalFormatting>
  <conditionalFormatting sqref="D387">
    <cfRule type="cellIs" dxfId="1556" priority="795" operator="equal">
      <formula>0</formula>
    </cfRule>
    <cfRule type="cellIs" dxfId="1555" priority="796" operator="greaterThan">
      <formula>0</formula>
    </cfRule>
  </conditionalFormatting>
  <conditionalFormatting sqref="D394:D395">
    <cfRule type="containsText" dxfId="1554" priority="353" operator="containsText" text="URL">
      <formula>NOT(ISERROR(SEARCH("URL",D394)))</formula>
    </cfRule>
  </conditionalFormatting>
  <conditionalFormatting sqref="D397">
    <cfRule type="cellIs" dxfId="1553" priority="793" operator="equal">
      <formula>0</formula>
    </cfRule>
    <cfRule type="cellIs" dxfId="1552" priority="794" operator="greaterThan">
      <formula>0</formula>
    </cfRule>
  </conditionalFormatting>
  <conditionalFormatting sqref="D398">
    <cfRule type="containsText" dxfId="1551" priority="876" operator="containsText" text="URL">
      <formula>NOT(ISERROR(SEARCH("URL",D398)))</formula>
    </cfRule>
  </conditionalFormatting>
  <conditionalFormatting sqref="D404:D405">
    <cfRule type="containsText" dxfId="1550" priority="352" operator="containsText" text="URL">
      <formula>NOT(ISERROR(SEARCH("URL",D404)))</formula>
    </cfRule>
  </conditionalFormatting>
  <conditionalFormatting sqref="D407">
    <cfRule type="cellIs" dxfId="1549" priority="791" operator="equal">
      <formula>0</formula>
    </cfRule>
    <cfRule type="cellIs" dxfId="1548" priority="792" operator="greaterThan">
      <formula>0</formula>
    </cfRule>
  </conditionalFormatting>
  <conditionalFormatting sqref="D414:D415">
    <cfRule type="containsText" dxfId="1547" priority="351" operator="containsText" text="URL">
      <formula>NOT(ISERROR(SEARCH("URL",D414)))</formula>
    </cfRule>
  </conditionalFormatting>
  <conditionalFormatting sqref="D417">
    <cfRule type="cellIs" dxfId="1546" priority="789" operator="equal">
      <formula>0</formula>
    </cfRule>
    <cfRule type="cellIs" dxfId="1545" priority="790" operator="greaterThan">
      <formula>0</formula>
    </cfRule>
  </conditionalFormatting>
  <conditionalFormatting sqref="D424:D425">
    <cfRule type="containsText" dxfId="1544" priority="350" operator="containsText" text="URL">
      <formula>NOT(ISERROR(SEARCH("URL",D424)))</formula>
    </cfRule>
  </conditionalFormatting>
  <conditionalFormatting sqref="D427">
    <cfRule type="cellIs" dxfId="1543" priority="787" operator="equal">
      <formula>0</formula>
    </cfRule>
    <cfRule type="cellIs" dxfId="1542" priority="788" operator="greaterThan">
      <formula>0</formula>
    </cfRule>
  </conditionalFormatting>
  <conditionalFormatting sqref="D434:D435">
    <cfRule type="containsText" dxfId="1541" priority="349" operator="containsText" text="URL">
      <formula>NOT(ISERROR(SEARCH("URL",D434)))</formula>
    </cfRule>
  </conditionalFormatting>
  <conditionalFormatting sqref="D437">
    <cfRule type="cellIs" dxfId="1540" priority="785" operator="equal">
      <formula>0</formula>
    </cfRule>
    <cfRule type="cellIs" dxfId="1539" priority="786" operator="greaterThan">
      <formula>0</formula>
    </cfRule>
  </conditionalFormatting>
  <conditionalFormatting sqref="D444:D445">
    <cfRule type="containsText" dxfId="1538" priority="348" operator="containsText" text="URL">
      <formula>NOT(ISERROR(SEARCH("URL",D444)))</formula>
    </cfRule>
  </conditionalFormatting>
  <conditionalFormatting sqref="D447">
    <cfRule type="cellIs" dxfId="1537" priority="783" operator="equal">
      <formula>0</formula>
    </cfRule>
    <cfRule type="cellIs" dxfId="1536" priority="784" operator="greaterThan">
      <formula>0</formula>
    </cfRule>
  </conditionalFormatting>
  <conditionalFormatting sqref="D454:D455">
    <cfRule type="containsText" dxfId="1535" priority="347" operator="containsText" text="URL">
      <formula>NOT(ISERROR(SEARCH("URL",D454)))</formula>
    </cfRule>
  </conditionalFormatting>
  <conditionalFormatting sqref="D457">
    <cfRule type="cellIs" dxfId="1534" priority="781" operator="equal">
      <formula>0</formula>
    </cfRule>
    <cfRule type="cellIs" dxfId="1533" priority="782" operator="greaterThan">
      <formula>0</formula>
    </cfRule>
  </conditionalFormatting>
  <conditionalFormatting sqref="D464:D465">
    <cfRule type="containsText" dxfId="1532" priority="346" operator="containsText" text="URL">
      <formula>NOT(ISERROR(SEARCH("URL",D464)))</formula>
    </cfRule>
  </conditionalFormatting>
  <conditionalFormatting sqref="D467">
    <cfRule type="cellIs" dxfId="1531" priority="779" operator="equal">
      <formula>0</formula>
    </cfRule>
    <cfRule type="cellIs" dxfId="1530" priority="780" operator="greaterThan">
      <formula>0</formula>
    </cfRule>
  </conditionalFormatting>
  <conditionalFormatting sqref="D474:D475">
    <cfRule type="containsText" dxfId="1529" priority="345" operator="containsText" text="URL">
      <formula>NOT(ISERROR(SEARCH("URL",D474)))</formula>
    </cfRule>
  </conditionalFormatting>
  <conditionalFormatting sqref="D477">
    <cfRule type="cellIs" dxfId="1528" priority="777" operator="equal">
      <formula>0</formula>
    </cfRule>
    <cfRule type="cellIs" dxfId="1527" priority="778" operator="greaterThan">
      <formula>0</formula>
    </cfRule>
  </conditionalFormatting>
  <conditionalFormatting sqref="D484:D485">
    <cfRule type="containsText" dxfId="1526" priority="344" operator="containsText" text="URL">
      <formula>NOT(ISERROR(SEARCH("URL",D484)))</formula>
    </cfRule>
  </conditionalFormatting>
  <conditionalFormatting sqref="D487">
    <cfRule type="cellIs" dxfId="1525" priority="775" operator="equal">
      <formula>0</formula>
    </cfRule>
    <cfRule type="cellIs" dxfId="1524" priority="776" operator="greaterThan">
      <formula>0</formula>
    </cfRule>
  </conditionalFormatting>
  <conditionalFormatting sqref="D494:D495">
    <cfRule type="containsText" dxfId="1523" priority="343" operator="containsText" text="URL">
      <formula>NOT(ISERROR(SEARCH("URL",D494)))</formula>
    </cfRule>
  </conditionalFormatting>
  <conditionalFormatting sqref="D1357">
    <cfRule type="cellIs" dxfId="1520" priority="1265" operator="equal">
      <formula>$AQ$1357</formula>
    </cfRule>
  </conditionalFormatting>
  <conditionalFormatting sqref="D1359">
    <cfRule type="cellIs" dxfId="1519" priority="446" operator="equal">
      <formula>$AS$1359</formula>
    </cfRule>
  </conditionalFormatting>
  <conditionalFormatting sqref="D1367">
    <cfRule type="cellIs" dxfId="1518" priority="633" operator="equal">
      <formula>$AQ$1357</formula>
    </cfRule>
  </conditionalFormatting>
  <conditionalFormatting sqref="D1369">
    <cfRule type="cellIs" dxfId="1517" priority="423" operator="equal">
      <formula>$AS$1359</formula>
    </cfRule>
  </conditionalFormatting>
  <conditionalFormatting sqref="D1377">
    <cfRule type="cellIs" dxfId="1516" priority="625" operator="equal">
      <formula>$AQ$1357</formula>
    </cfRule>
  </conditionalFormatting>
  <conditionalFormatting sqref="D1379">
    <cfRule type="cellIs" dxfId="1515" priority="445" operator="equal">
      <formula>$AS$1359</formula>
    </cfRule>
  </conditionalFormatting>
  <conditionalFormatting sqref="D1387">
    <cfRule type="cellIs" dxfId="1514" priority="617" operator="equal">
      <formula>$AQ$1357</formula>
    </cfRule>
  </conditionalFormatting>
  <conditionalFormatting sqref="D1389">
    <cfRule type="cellIs" dxfId="1513" priority="444" operator="equal">
      <formula>$AS$1359</formula>
    </cfRule>
  </conditionalFormatting>
  <conditionalFormatting sqref="D1397">
    <cfRule type="cellIs" dxfId="1512" priority="609" operator="equal">
      <formula>$AQ$1357</formula>
    </cfRule>
  </conditionalFormatting>
  <conditionalFormatting sqref="D1399">
    <cfRule type="cellIs" dxfId="1511" priority="443" operator="equal">
      <formula>$AS$1359</formula>
    </cfRule>
  </conditionalFormatting>
  <conditionalFormatting sqref="D1407">
    <cfRule type="cellIs" dxfId="1510" priority="600" operator="equal">
      <formula>$AQ$1357</formula>
    </cfRule>
  </conditionalFormatting>
  <conditionalFormatting sqref="D1409">
    <cfRule type="cellIs" dxfId="1509" priority="442" operator="equal">
      <formula>$AS$1359</formula>
    </cfRule>
  </conditionalFormatting>
  <conditionalFormatting sqref="D1417">
    <cfRule type="cellIs" dxfId="1508" priority="592" operator="equal">
      <formula>$AQ$1357</formula>
    </cfRule>
  </conditionalFormatting>
  <conditionalFormatting sqref="D1419">
    <cfRule type="cellIs" dxfId="1507" priority="441" operator="equal">
      <formula>$AS$1359</formula>
    </cfRule>
  </conditionalFormatting>
  <conditionalFormatting sqref="D1427">
    <cfRule type="cellIs" dxfId="1506" priority="584" operator="equal">
      <formula>$AQ$1357</formula>
    </cfRule>
  </conditionalFormatting>
  <conditionalFormatting sqref="D1429">
    <cfRule type="cellIs" dxfId="1505" priority="440" operator="equal">
      <formula>$AS$1359</formula>
    </cfRule>
  </conditionalFormatting>
  <conditionalFormatting sqref="D1437">
    <cfRule type="cellIs" dxfId="1504" priority="576" operator="equal">
      <formula>$AQ$1357</formula>
    </cfRule>
  </conditionalFormatting>
  <conditionalFormatting sqref="D1439">
    <cfRule type="cellIs" dxfId="1503" priority="439" operator="equal">
      <formula>$AS$1359</formula>
    </cfRule>
  </conditionalFormatting>
  <conditionalFormatting sqref="D1447">
    <cfRule type="cellIs" dxfId="1502" priority="568" operator="equal">
      <formula>$AQ$1357</formula>
    </cfRule>
  </conditionalFormatting>
  <conditionalFormatting sqref="D1449">
    <cfRule type="cellIs" dxfId="1501" priority="438" operator="equal">
      <formula>$AS$1359</formula>
    </cfRule>
  </conditionalFormatting>
  <conditionalFormatting sqref="D1457">
    <cfRule type="cellIs" dxfId="1500" priority="560" operator="equal">
      <formula>$AQ$1357</formula>
    </cfRule>
  </conditionalFormatting>
  <conditionalFormatting sqref="D1459">
    <cfRule type="cellIs" dxfId="1499" priority="437" operator="equal">
      <formula>$AS$1359</formula>
    </cfRule>
  </conditionalFormatting>
  <conditionalFormatting sqref="D1467">
    <cfRule type="cellIs" dxfId="1498" priority="552" operator="equal">
      <formula>$AQ$1357</formula>
    </cfRule>
  </conditionalFormatting>
  <conditionalFormatting sqref="D1469">
    <cfRule type="cellIs" dxfId="1497" priority="436" operator="equal">
      <formula>$AS$1359</formula>
    </cfRule>
  </conditionalFormatting>
  <conditionalFormatting sqref="D1477">
    <cfRule type="cellIs" dxfId="1496" priority="544" operator="equal">
      <formula>$AQ$1357</formula>
    </cfRule>
  </conditionalFormatting>
  <conditionalFormatting sqref="D1479">
    <cfRule type="cellIs" dxfId="1495" priority="435" operator="equal">
      <formula>$AS$1359</formula>
    </cfRule>
  </conditionalFormatting>
  <conditionalFormatting sqref="D1487">
    <cfRule type="cellIs" dxfId="1494" priority="536" operator="equal">
      <formula>$AQ$1357</formula>
    </cfRule>
  </conditionalFormatting>
  <conditionalFormatting sqref="D1489">
    <cfRule type="cellIs" dxfId="1493" priority="434" operator="equal">
      <formula>$AS$1359</formula>
    </cfRule>
  </conditionalFormatting>
  <conditionalFormatting sqref="D1497">
    <cfRule type="cellIs" dxfId="1492" priority="528" operator="equal">
      <formula>$AQ$1357</formula>
    </cfRule>
  </conditionalFormatting>
  <conditionalFormatting sqref="D1499">
    <cfRule type="cellIs" dxfId="1491" priority="433" operator="equal">
      <formula>$AS$1359</formula>
    </cfRule>
  </conditionalFormatting>
  <conditionalFormatting sqref="D1507">
    <cfRule type="cellIs" dxfId="1490" priority="520" operator="equal">
      <formula>$AQ$1357</formula>
    </cfRule>
  </conditionalFormatting>
  <conditionalFormatting sqref="D1509">
    <cfRule type="cellIs" dxfId="1489" priority="432" operator="equal">
      <formula>$AS$1359</formula>
    </cfRule>
  </conditionalFormatting>
  <conditionalFormatting sqref="D1517">
    <cfRule type="cellIs" dxfId="1488" priority="512" operator="equal">
      <formula>$AQ$1357</formula>
    </cfRule>
  </conditionalFormatting>
  <conditionalFormatting sqref="D1519">
    <cfRule type="cellIs" dxfId="1487" priority="431" operator="equal">
      <formula>$AS$1359</formula>
    </cfRule>
  </conditionalFormatting>
  <conditionalFormatting sqref="D1527">
    <cfRule type="cellIs" dxfId="1486" priority="504" operator="equal">
      <formula>$AQ$1357</formula>
    </cfRule>
  </conditionalFormatting>
  <conditionalFormatting sqref="D1529">
    <cfRule type="cellIs" dxfId="1485" priority="430" operator="equal">
      <formula>$AS$1359</formula>
    </cfRule>
  </conditionalFormatting>
  <conditionalFormatting sqref="D1537">
    <cfRule type="cellIs" dxfId="1484" priority="496" operator="equal">
      <formula>$AQ$1357</formula>
    </cfRule>
  </conditionalFormatting>
  <conditionalFormatting sqref="D1539">
    <cfRule type="cellIs" dxfId="1483" priority="429" operator="equal">
      <formula>$AS$1359</formula>
    </cfRule>
  </conditionalFormatting>
  <conditionalFormatting sqref="D1547">
    <cfRule type="cellIs" dxfId="1482" priority="488" operator="equal">
      <formula>$AQ$1357</formula>
    </cfRule>
  </conditionalFormatting>
  <conditionalFormatting sqref="D1549">
    <cfRule type="cellIs" dxfId="1481" priority="428" operator="equal">
      <formula>$AS$1359</formula>
    </cfRule>
  </conditionalFormatting>
  <conditionalFormatting sqref="D1557">
    <cfRule type="cellIs" dxfId="1480" priority="480" operator="equal">
      <formula>$AQ$1357</formula>
    </cfRule>
  </conditionalFormatting>
  <conditionalFormatting sqref="D1559">
    <cfRule type="cellIs" dxfId="1479" priority="427" operator="equal">
      <formula>$AS$1359</formula>
    </cfRule>
  </conditionalFormatting>
  <conditionalFormatting sqref="D1567">
    <cfRule type="cellIs" dxfId="1478" priority="472" operator="equal">
      <formula>$AQ$1357</formula>
    </cfRule>
  </conditionalFormatting>
  <conditionalFormatting sqref="D1569">
    <cfRule type="cellIs" dxfId="1477" priority="426" operator="equal">
      <formula>$AS$1359</formula>
    </cfRule>
  </conditionalFormatting>
  <conditionalFormatting sqref="D1577">
    <cfRule type="cellIs" dxfId="1476" priority="464" operator="equal">
      <formula>$AQ$1357</formula>
    </cfRule>
  </conditionalFormatting>
  <conditionalFormatting sqref="D1579">
    <cfRule type="cellIs" dxfId="1475" priority="425" operator="equal">
      <formula>$AS$1359</formula>
    </cfRule>
  </conditionalFormatting>
  <conditionalFormatting sqref="D1587">
    <cfRule type="cellIs" dxfId="1474" priority="455" operator="equal">
      <formula>$AQ$1357</formula>
    </cfRule>
  </conditionalFormatting>
  <conditionalFormatting sqref="D1589">
    <cfRule type="cellIs" dxfId="1473" priority="424" operator="equal">
      <formula>$AS$1359</formula>
    </cfRule>
  </conditionalFormatting>
  <conditionalFormatting sqref="D1637">
    <cfRule type="cellIs" dxfId="1472" priority="652" operator="equal">
      <formula>$AJ$1636</formula>
    </cfRule>
  </conditionalFormatting>
  <conditionalFormatting sqref="D1647">
    <cfRule type="cellIs" dxfId="1471" priority="650" operator="equal">
      <formula>$AJ$1636</formula>
    </cfRule>
  </conditionalFormatting>
  <conditionalFormatting sqref="D1657">
    <cfRule type="cellIs" dxfId="1470" priority="648" operator="equal">
      <formula>$AJ$1636</formula>
    </cfRule>
  </conditionalFormatting>
  <conditionalFormatting sqref="D1667">
    <cfRule type="cellIs" dxfId="1469" priority="646" operator="equal">
      <formula>$AJ$1636</formula>
    </cfRule>
  </conditionalFormatting>
  <conditionalFormatting sqref="D1677">
    <cfRule type="cellIs" dxfId="1468" priority="644" operator="equal">
      <formula>$AJ$1636</formula>
    </cfRule>
  </conditionalFormatting>
  <conditionalFormatting sqref="D1687">
    <cfRule type="cellIs" dxfId="1467" priority="642" operator="equal">
      <formula>$AJ$1636</formula>
    </cfRule>
  </conditionalFormatting>
  <conditionalFormatting sqref="D2373">
    <cfRule type="containsText" dxfId="1423" priority="105" operator="containsText" text="pro">
      <formula>NOT(ISERROR(SEARCH("pro",D2373)))</formula>
    </cfRule>
    <cfRule type="containsText" dxfId="1422" priority="106" operator="containsText" text="non">
      <formula>NOT(ISERROR(SEARCH("non",D2373)))</formula>
    </cfRule>
    <cfRule type="containsText" dxfId="1421" priority="107" operator="containsText" text="anti">
      <formula>NOT(ISERROR(SEARCH("anti",D2373)))</formula>
    </cfRule>
  </conditionalFormatting>
  <conditionalFormatting sqref="D2375">
    <cfRule type="containsText" dxfId="1420" priority="102" operator="containsText" text="pro">
      <formula>NOT(ISERROR(SEARCH("pro",D2375)))</formula>
    </cfRule>
    <cfRule type="containsText" dxfId="1419" priority="103" operator="containsText" text="non">
      <formula>NOT(ISERROR(SEARCH("non",D2375)))</formula>
    </cfRule>
    <cfRule type="containsText" dxfId="1418" priority="104" operator="containsText" text="anti">
      <formula>NOT(ISERROR(SEARCH("anti",D2375)))</formula>
    </cfRule>
  </conditionalFormatting>
  <conditionalFormatting sqref="D2377">
    <cfRule type="containsText" dxfId="1417" priority="99" operator="containsText" text="pro">
      <formula>NOT(ISERROR(SEARCH("pro",D2377)))</formula>
    </cfRule>
    <cfRule type="containsText" dxfId="1416" priority="100" operator="containsText" text="non">
      <formula>NOT(ISERROR(SEARCH("non",D2377)))</formula>
    </cfRule>
    <cfRule type="containsText" dxfId="1415" priority="101" operator="containsText" text="anti">
      <formula>NOT(ISERROR(SEARCH("anti",D2377)))</formula>
    </cfRule>
  </conditionalFormatting>
  <conditionalFormatting sqref="D2379">
    <cfRule type="containsText" dxfId="1414" priority="96" operator="containsText" text="pro">
      <formula>NOT(ISERROR(SEARCH("pro",D2379)))</formula>
    </cfRule>
    <cfRule type="containsText" dxfId="1413" priority="97" operator="containsText" text="non">
      <formula>NOT(ISERROR(SEARCH("non",D2379)))</formula>
    </cfRule>
    <cfRule type="containsText" dxfId="1412" priority="98" operator="containsText" text="anti">
      <formula>NOT(ISERROR(SEARCH("anti",D2379)))</formula>
    </cfRule>
  </conditionalFormatting>
  <conditionalFormatting sqref="D2381">
    <cfRule type="containsText" dxfId="1411" priority="93" operator="containsText" text="pro">
      <formula>NOT(ISERROR(SEARCH("pro",D2381)))</formula>
    </cfRule>
    <cfRule type="containsText" dxfId="1410" priority="94" operator="containsText" text="non">
      <formula>NOT(ISERROR(SEARCH("non",D2381)))</formula>
    </cfRule>
    <cfRule type="containsText" dxfId="1409" priority="95" operator="containsText" text="anti">
      <formula>NOT(ISERROR(SEARCH("anti",D2381)))</formula>
    </cfRule>
  </conditionalFormatting>
  <conditionalFormatting sqref="D2383">
    <cfRule type="containsText" dxfId="1408" priority="90" operator="containsText" text="pro">
      <formula>NOT(ISERROR(SEARCH("pro",D2383)))</formula>
    </cfRule>
    <cfRule type="containsText" dxfId="1407" priority="91" operator="containsText" text="non">
      <formula>NOT(ISERROR(SEARCH("non",D2383)))</formula>
    </cfRule>
    <cfRule type="containsText" dxfId="1406" priority="92" operator="containsText" text="anti">
      <formula>NOT(ISERROR(SEARCH("anti",D2383)))</formula>
    </cfRule>
  </conditionalFormatting>
  <conditionalFormatting sqref="D2385">
    <cfRule type="containsText" dxfId="1405" priority="87" operator="containsText" text="pro">
      <formula>NOT(ISERROR(SEARCH("pro",D2385)))</formula>
    </cfRule>
    <cfRule type="containsText" dxfId="1404" priority="88" operator="containsText" text="non">
      <formula>NOT(ISERROR(SEARCH("non",D2385)))</formula>
    </cfRule>
    <cfRule type="containsText" dxfId="1403" priority="89" operator="containsText" text="anti">
      <formula>NOT(ISERROR(SEARCH("anti",D2385)))</formula>
    </cfRule>
  </conditionalFormatting>
  <conditionalFormatting sqref="D2387">
    <cfRule type="containsText" dxfId="1402" priority="84" operator="containsText" text="pro">
      <formula>NOT(ISERROR(SEARCH("pro",D2387)))</formula>
    </cfRule>
    <cfRule type="containsText" dxfId="1401" priority="85" operator="containsText" text="non">
      <formula>NOT(ISERROR(SEARCH("non",D2387)))</formula>
    </cfRule>
    <cfRule type="containsText" dxfId="1400" priority="86" operator="containsText" text="anti">
      <formula>NOT(ISERROR(SEARCH("anti",D2387)))</formula>
    </cfRule>
  </conditionalFormatting>
  <conditionalFormatting sqref="D2389">
    <cfRule type="containsText" dxfId="1399" priority="81" operator="containsText" text="pro">
      <formula>NOT(ISERROR(SEARCH("pro",D2389)))</formula>
    </cfRule>
    <cfRule type="containsText" dxfId="1398" priority="82" operator="containsText" text="non">
      <formula>NOT(ISERROR(SEARCH("non",D2389)))</formula>
    </cfRule>
    <cfRule type="containsText" dxfId="1397" priority="83" operator="containsText" text="anti">
      <formula>NOT(ISERROR(SEARCH("anti",D2389)))</formula>
    </cfRule>
  </conditionalFormatting>
  <conditionalFormatting sqref="E526">
    <cfRule type="cellIs" dxfId="1394" priority="675" operator="equal">
      <formula>$B$498</formula>
    </cfRule>
  </conditionalFormatting>
  <conditionalFormatting sqref="E527">
    <cfRule type="cellIs" dxfId="1393" priority="674" operator="equal">
      <formula>$B498</formula>
    </cfRule>
  </conditionalFormatting>
  <conditionalFormatting sqref="E531:E532">
    <cfRule type="cellIs" dxfId="1392" priority="954" operator="equal">
      <formula>$E526</formula>
    </cfRule>
  </conditionalFormatting>
  <conditionalFormatting sqref="E537">
    <cfRule type="cellIs" dxfId="1391" priority="953" operator="equal">
      <formula>$E$531</formula>
    </cfRule>
  </conditionalFormatting>
  <conditionalFormatting sqref="E538">
    <cfRule type="cellIs" dxfId="1390" priority="952" operator="equal">
      <formula>$E532</formula>
    </cfRule>
  </conditionalFormatting>
  <conditionalFormatting sqref="E539">
    <cfRule type="cellIs" dxfId="1389" priority="1255" operator="equal">
      <formula>E534</formula>
    </cfRule>
  </conditionalFormatting>
  <conditionalFormatting sqref="E542">
    <cfRule type="cellIs" dxfId="1388" priority="983" operator="equal">
      <formula>$E537</formula>
    </cfRule>
  </conditionalFormatting>
  <conditionalFormatting sqref="E543">
    <cfRule type="cellIs" dxfId="1387" priority="984" operator="equal">
      <formula>$E$538</formula>
    </cfRule>
  </conditionalFormatting>
  <conditionalFormatting sqref="E545">
    <cfRule type="cellIs" dxfId="1386" priority="1254" operator="equal">
      <formula>E539</formula>
    </cfRule>
  </conditionalFormatting>
  <conditionalFormatting sqref="E548">
    <cfRule type="cellIs" dxfId="1385" priority="981" operator="equal">
      <formula>$E$542</formula>
    </cfRule>
  </conditionalFormatting>
  <conditionalFormatting sqref="E549">
    <cfRule type="cellIs" dxfId="1384" priority="982" operator="equal">
      <formula>$E543</formula>
    </cfRule>
  </conditionalFormatting>
  <conditionalFormatting sqref="E550">
    <cfRule type="cellIs" dxfId="1383" priority="1253" operator="equal">
      <formula>E545</formula>
    </cfRule>
  </conditionalFormatting>
  <conditionalFormatting sqref="E553">
    <cfRule type="cellIs" dxfId="1382" priority="976" operator="equal">
      <formula>$E$548</formula>
    </cfRule>
  </conditionalFormatting>
  <conditionalFormatting sqref="E554">
    <cfRule type="cellIs" dxfId="1381" priority="980" operator="equal">
      <formula>$E549</formula>
    </cfRule>
  </conditionalFormatting>
  <conditionalFormatting sqref="E561">
    <cfRule type="cellIs" dxfId="1380" priority="975" operator="equal">
      <formula>$E$553</formula>
    </cfRule>
  </conditionalFormatting>
  <conditionalFormatting sqref="E562">
    <cfRule type="cellIs" dxfId="1379" priority="979" operator="equal">
      <formula>$E554</formula>
    </cfRule>
  </conditionalFormatting>
  <conditionalFormatting sqref="E566:E567">
    <cfRule type="cellIs" dxfId="1378" priority="973" operator="equal">
      <formula>$E561</formula>
    </cfRule>
  </conditionalFormatting>
  <conditionalFormatting sqref="E571:E572">
    <cfRule type="cellIs" dxfId="1377" priority="958" operator="equal">
      <formula>$E566</formula>
    </cfRule>
  </conditionalFormatting>
  <conditionalFormatting sqref="E577:E578">
    <cfRule type="cellIs" dxfId="1376" priority="956" operator="equal">
      <formula>$E571</formula>
    </cfRule>
  </conditionalFormatting>
  <conditionalFormatting sqref="E582:E583">
    <cfRule type="cellIs" dxfId="1375" priority="972" operator="equal">
      <formula>$E577</formula>
    </cfRule>
  </conditionalFormatting>
  <conditionalFormatting sqref="E587:E588">
    <cfRule type="cellIs" dxfId="1374" priority="971" operator="equal">
      <formula>$E582</formula>
    </cfRule>
  </conditionalFormatting>
  <conditionalFormatting sqref="E595:E596">
    <cfRule type="cellIs" dxfId="1373" priority="966" operator="equal">
      <formula>$E587</formula>
    </cfRule>
  </conditionalFormatting>
  <conditionalFormatting sqref="E600:E601">
    <cfRule type="cellIs" dxfId="1372" priority="969" operator="equal">
      <formula>$E595</formula>
    </cfRule>
  </conditionalFormatting>
  <conditionalFormatting sqref="E605:E606">
    <cfRule type="cellIs" dxfId="1371" priority="951" operator="equal">
      <formula>$E600</formula>
    </cfRule>
  </conditionalFormatting>
  <conditionalFormatting sqref="E611:E612">
    <cfRule type="cellIs" dxfId="1370" priority="949" operator="equal">
      <formula>$E605</formula>
    </cfRule>
  </conditionalFormatting>
  <conditionalFormatting sqref="E616:E617">
    <cfRule type="cellIs" dxfId="1369" priority="947" operator="equal">
      <formula>$E611</formula>
    </cfRule>
  </conditionalFormatting>
  <conditionalFormatting sqref="E621:E622">
    <cfRule type="cellIs" dxfId="1368" priority="945" operator="equal">
      <formula>$E616</formula>
    </cfRule>
  </conditionalFormatting>
  <conditionalFormatting sqref="E629:E630">
    <cfRule type="cellIs" dxfId="1367" priority="964" operator="equal">
      <formula>$E621</formula>
    </cfRule>
  </conditionalFormatting>
  <conditionalFormatting sqref="E634:E635">
    <cfRule type="cellIs" dxfId="1366" priority="943" operator="equal">
      <formula>$E629</formula>
    </cfRule>
  </conditionalFormatting>
  <conditionalFormatting sqref="E639:E640">
    <cfRule type="cellIs" dxfId="1365" priority="941" operator="equal">
      <formula>$E634</formula>
    </cfRule>
  </conditionalFormatting>
  <conditionalFormatting sqref="E645:E646">
    <cfRule type="cellIs" dxfId="1364" priority="935" operator="equal">
      <formula>$E639</formula>
    </cfRule>
  </conditionalFormatting>
  <conditionalFormatting sqref="E650:E651">
    <cfRule type="cellIs" dxfId="1363" priority="939" operator="equal">
      <formula>$E645</formula>
    </cfRule>
  </conditionalFormatting>
  <conditionalFormatting sqref="E655:E656">
    <cfRule type="cellIs" dxfId="1362" priority="937" operator="equal">
      <formula>$E650</formula>
    </cfRule>
  </conditionalFormatting>
  <conditionalFormatting sqref="E663:E664">
    <cfRule type="cellIs" dxfId="1361" priority="910" operator="equal">
      <formula>$E655</formula>
    </cfRule>
  </conditionalFormatting>
  <conditionalFormatting sqref="E668:E669">
    <cfRule type="cellIs" dxfId="1360" priority="933" operator="equal">
      <formula>$E663</formula>
    </cfRule>
  </conditionalFormatting>
  <conditionalFormatting sqref="E673:E674">
    <cfRule type="cellIs" dxfId="1359" priority="931" operator="equal">
      <formula>$E668</formula>
    </cfRule>
  </conditionalFormatting>
  <conditionalFormatting sqref="E679:E680">
    <cfRule type="cellIs" dxfId="1358" priority="908" operator="equal">
      <formula>$E673</formula>
    </cfRule>
  </conditionalFormatting>
  <conditionalFormatting sqref="E684:E685">
    <cfRule type="cellIs" dxfId="1357" priority="911" operator="equal">
      <formula>$E679</formula>
    </cfRule>
  </conditionalFormatting>
  <conditionalFormatting sqref="E689:E690">
    <cfRule type="cellIs" dxfId="1356" priority="929" operator="equal">
      <formula>$E684</formula>
    </cfRule>
  </conditionalFormatting>
  <conditionalFormatting sqref="E695:E696">
    <cfRule type="cellIs" dxfId="1355" priority="927" operator="equal">
      <formula>$E689</formula>
    </cfRule>
  </conditionalFormatting>
  <conditionalFormatting sqref="E711:E712">
    <cfRule type="cellIs" dxfId="1354" priority="913" operator="equal">
      <formula>$E695</formula>
    </cfRule>
  </conditionalFormatting>
  <conditionalFormatting sqref="E716:E717">
    <cfRule type="cellIs" dxfId="1353" priority="925" operator="equal">
      <formula>$E711</formula>
    </cfRule>
  </conditionalFormatting>
  <conditionalFormatting sqref="E721:E722">
    <cfRule type="cellIs" dxfId="1352" priority="923" operator="equal">
      <formula>$E716</formula>
    </cfRule>
  </conditionalFormatting>
  <conditionalFormatting sqref="E727:E728">
    <cfRule type="cellIs" dxfId="1351" priority="921" operator="equal">
      <formula>$E721</formula>
    </cfRule>
  </conditionalFormatting>
  <conditionalFormatting sqref="E732:E733">
    <cfRule type="cellIs" dxfId="1350" priority="919" operator="equal">
      <formula>$E727</formula>
    </cfRule>
  </conditionalFormatting>
  <conditionalFormatting sqref="E737:E738">
    <cfRule type="cellIs" dxfId="1349" priority="917" operator="equal">
      <formula>$E732</formula>
    </cfRule>
  </conditionalFormatting>
  <conditionalFormatting sqref="E742:E743">
    <cfRule type="cellIs" dxfId="1348" priority="915" operator="equal">
      <formula>$E737</formula>
    </cfRule>
  </conditionalFormatting>
  <conditionalFormatting sqref="E750:E751">
    <cfRule type="cellIs" dxfId="1347" priority="914" operator="equal">
      <formula>$E742</formula>
    </cfRule>
  </conditionalFormatting>
  <conditionalFormatting sqref="E760:E761">
    <cfRule type="cellIs" dxfId="1346" priority="899" operator="equal">
      <formula>$E750</formula>
    </cfRule>
  </conditionalFormatting>
  <conditionalFormatting sqref="E765:E766">
    <cfRule type="cellIs" dxfId="1345" priority="906" operator="equal">
      <formula>$E760</formula>
    </cfRule>
  </conditionalFormatting>
  <conditionalFormatting sqref="E770:E771">
    <cfRule type="cellIs" dxfId="1344" priority="904" operator="equal">
      <formula>$E765</formula>
    </cfRule>
  </conditionalFormatting>
  <conditionalFormatting sqref="E775:E776">
    <cfRule type="cellIs" dxfId="1343" priority="902" operator="equal">
      <formula>$E770</formula>
    </cfRule>
  </conditionalFormatting>
  <conditionalFormatting sqref="E780:E781">
    <cfRule type="cellIs" dxfId="1342" priority="900" operator="equal">
      <formula>$E775</formula>
    </cfRule>
  </conditionalFormatting>
  <conditionalFormatting sqref="E2173:F2217">
    <cfRule type="cellIs" dxfId="1341" priority="234" operator="equal">
      <formula>0</formula>
    </cfRule>
  </conditionalFormatting>
  <conditionalFormatting sqref="E2174:F2216">
    <cfRule type="cellIs" dxfId="1340" priority="235" operator="equal">
      <formula>$E2173</formula>
    </cfRule>
  </conditionalFormatting>
  <conditionalFormatting sqref="AC1156:AG1156">
    <cfRule type="cellIs" dxfId="1339" priority="401" operator="between">
      <formula>0</formula>
      <formula>1</formula>
    </cfRule>
  </conditionalFormatting>
  <conditionalFormatting sqref="AG527:AL527">
    <cfRule type="cellIs" dxfId="1338" priority="1245" operator="lessThan">
      <formula>0</formula>
    </cfRule>
    <cfRule type="cellIs" dxfId="1337" priority="1246" operator="greaterThan">
      <formula>0</formula>
    </cfRule>
  </conditionalFormatting>
  <conditionalFormatting sqref="AG532:AL532">
    <cfRule type="cellIs" dxfId="1336" priority="1237" operator="lessThan">
      <formula>0</formula>
    </cfRule>
    <cfRule type="cellIs" dxfId="1335" priority="1238" operator="greaterThan">
      <formula>0</formula>
    </cfRule>
  </conditionalFormatting>
  <conditionalFormatting sqref="AG538:AL538">
    <cfRule type="cellIs" dxfId="1334" priority="1231" operator="lessThan">
      <formula>0</formula>
    </cfRule>
    <cfRule type="cellIs" dxfId="1333" priority="1232" operator="greaterThan">
      <formula>0</formula>
    </cfRule>
  </conditionalFormatting>
  <conditionalFormatting sqref="AG543:AL543">
    <cfRule type="cellIs" dxfId="1332" priority="1225" operator="lessThan">
      <formula>0</formula>
    </cfRule>
    <cfRule type="cellIs" dxfId="1331" priority="1226" operator="greaterThan">
      <formula>0</formula>
    </cfRule>
  </conditionalFormatting>
  <conditionalFormatting sqref="AG549:AL549">
    <cfRule type="cellIs" dxfId="1330" priority="1219" operator="lessThan">
      <formula>0</formula>
    </cfRule>
    <cfRule type="cellIs" dxfId="1329" priority="1220" operator="greaterThan">
      <formula>0</formula>
    </cfRule>
  </conditionalFormatting>
  <conditionalFormatting sqref="AG554:AL554">
    <cfRule type="cellIs" dxfId="1328" priority="1213" operator="lessThan">
      <formula>0</formula>
    </cfRule>
    <cfRule type="cellIs" dxfId="1327" priority="1214" operator="greaterThan">
      <formula>0</formula>
    </cfRule>
  </conditionalFormatting>
  <conditionalFormatting sqref="AG562:AL562">
    <cfRule type="cellIs" dxfId="1326" priority="1207" operator="lessThan">
      <formula>0</formula>
    </cfRule>
    <cfRule type="cellIs" dxfId="1325" priority="1208" operator="greaterThan">
      <formula>0</formula>
    </cfRule>
  </conditionalFormatting>
  <conditionalFormatting sqref="AG567:AL567">
    <cfRule type="cellIs" dxfId="1324" priority="1201" operator="lessThan">
      <formula>0</formula>
    </cfRule>
    <cfRule type="cellIs" dxfId="1323" priority="1202" operator="greaterThan">
      <formula>0</formula>
    </cfRule>
  </conditionalFormatting>
  <conditionalFormatting sqref="AG572:AL572">
    <cfRule type="cellIs" dxfId="1322" priority="1195" operator="lessThan">
      <formula>0</formula>
    </cfRule>
    <cfRule type="cellIs" dxfId="1321" priority="1196" operator="greaterThan">
      <formula>0</formula>
    </cfRule>
  </conditionalFormatting>
  <conditionalFormatting sqref="AG578:AL578">
    <cfRule type="cellIs" dxfId="1320" priority="1189" operator="lessThan">
      <formula>0</formula>
    </cfRule>
    <cfRule type="cellIs" dxfId="1319" priority="1190" operator="greaterThan">
      <formula>0</formula>
    </cfRule>
  </conditionalFormatting>
  <conditionalFormatting sqref="AG583:AL583">
    <cfRule type="cellIs" dxfId="1318" priority="1183" operator="lessThan">
      <formula>0</formula>
    </cfRule>
    <cfRule type="cellIs" dxfId="1317" priority="1184" operator="greaterThan">
      <formula>0</formula>
    </cfRule>
  </conditionalFormatting>
  <conditionalFormatting sqref="AG588:AL588">
    <cfRule type="cellIs" dxfId="1316" priority="1177" operator="lessThan">
      <formula>0</formula>
    </cfRule>
    <cfRule type="cellIs" dxfId="1315" priority="1178" operator="greaterThan">
      <formula>0</formula>
    </cfRule>
  </conditionalFormatting>
  <conditionalFormatting sqref="AG596:AL596">
    <cfRule type="cellIs" dxfId="1314" priority="1171" operator="lessThan">
      <formula>0</formula>
    </cfRule>
    <cfRule type="cellIs" dxfId="1313" priority="1172" operator="greaterThan">
      <formula>0</formula>
    </cfRule>
  </conditionalFormatting>
  <conditionalFormatting sqref="AG601:AL601">
    <cfRule type="cellIs" dxfId="1312" priority="1165" operator="lessThan">
      <formula>0</formula>
    </cfRule>
    <cfRule type="cellIs" dxfId="1311" priority="1166" operator="greaterThan">
      <formula>0</formula>
    </cfRule>
  </conditionalFormatting>
  <conditionalFormatting sqref="AG606:AL606">
    <cfRule type="cellIs" dxfId="1310" priority="1159" operator="lessThan">
      <formula>0</formula>
    </cfRule>
    <cfRule type="cellIs" dxfId="1309" priority="1160" operator="greaterThan">
      <formula>0</formula>
    </cfRule>
  </conditionalFormatting>
  <conditionalFormatting sqref="AG612:AL612">
    <cfRule type="cellIs" dxfId="1308" priority="1153" operator="lessThan">
      <formula>0</formula>
    </cfRule>
    <cfRule type="cellIs" dxfId="1307" priority="1154" operator="greaterThan">
      <formula>0</formula>
    </cfRule>
  </conditionalFormatting>
  <conditionalFormatting sqref="AG617:AL617">
    <cfRule type="cellIs" dxfId="1306" priority="1147" operator="lessThan">
      <formula>0</formula>
    </cfRule>
    <cfRule type="cellIs" dxfId="1305" priority="1148" operator="greaterThan">
      <formula>0</formula>
    </cfRule>
  </conditionalFormatting>
  <conditionalFormatting sqref="AG622:AL622">
    <cfRule type="cellIs" dxfId="1304" priority="1141" operator="lessThan">
      <formula>0</formula>
    </cfRule>
    <cfRule type="cellIs" dxfId="1303" priority="1142" operator="greaterThan">
      <formula>0</formula>
    </cfRule>
  </conditionalFormatting>
  <conditionalFormatting sqref="AG630:AL630">
    <cfRule type="cellIs" dxfId="1302" priority="1135" operator="lessThan">
      <formula>0</formula>
    </cfRule>
    <cfRule type="cellIs" dxfId="1301" priority="1136" operator="greaterThan">
      <formula>0</formula>
    </cfRule>
  </conditionalFormatting>
  <conditionalFormatting sqref="AG635:AL635">
    <cfRule type="cellIs" dxfId="1300" priority="1129" operator="lessThan">
      <formula>0</formula>
    </cfRule>
    <cfRule type="cellIs" dxfId="1299" priority="1130" operator="greaterThan">
      <formula>0</formula>
    </cfRule>
  </conditionalFormatting>
  <conditionalFormatting sqref="AG640:AL640">
    <cfRule type="cellIs" dxfId="1298" priority="1123" operator="lessThan">
      <formula>0</formula>
    </cfRule>
    <cfRule type="cellIs" dxfId="1297" priority="1124" operator="greaterThan">
      <formula>0</formula>
    </cfRule>
  </conditionalFormatting>
  <conditionalFormatting sqref="AG646:AL646">
    <cfRule type="cellIs" dxfId="1296" priority="1117" operator="lessThan">
      <formula>0</formula>
    </cfRule>
    <cfRule type="cellIs" dxfId="1295" priority="1118" operator="greaterThan">
      <formula>0</formula>
    </cfRule>
  </conditionalFormatting>
  <conditionalFormatting sqref="AG651:AL651">
    <cfRule type="cellIs" dxfId="1294" priority="1111" operator="lessThan">
      <formula>0</formula>
    </cfRule>
    <cfRule type="cellIs" dxfId="1293" priority="1112" operator="greaterThan">
      <formula>0</formula>
    </cfRule>
  </conditionalFormatting>
  <conditionalFormatting sqref="AG656:AL656">
    <cfRule type="cellIs" dxfId="1292" priority="1105" operator="lessThan">
      <formula>0</formula>
    </cfRule>
    <cfRule type="cellIs" dxfId="1291" priority="1106" operator="greaterThan">
      <formula>0</formula>
    </cfRule>
  </conditionalFormatting>
  <conditionalFormatting sqref="AG664:AL664">
    <cfRule type="cellIs" dxfId="1290" priority="1099" operator="lessThan">
      <formula>0</formula>
    </cfRule>
    <cfRule type="cellIs" dxfId="1289" priority="1100" operator="greaterThan">
      <formula>0</formula>
    </cfRule>
  </conditionalFormatting>
  <conditionalFormatting sqref="AG669:AL669">
    <cfRule type="cellIs" dxfId="1288" priority="1093" operator="lessThan">
      <formula>0</formula>
    </cfRule>
    <cfRule type="cellIs" dxfId="1287" priority="1094" operator="greaterThan">
      <formula>0</formula>
    </cfRule>
  </conditionalFormatting>
  <conditionalFormatting sqref="AG674:AL674">
    <cfRule type="cellIs" dxfId="1286" priority="1087" operator="lessThan">
      <formula>0</formula>
    </cfRule>
    <cfRule type="cellIs" dxfId="1285" priority="1088" operator="greaterThan">
      <formula>0</formula>
    </cfRule>
  </conditionalFormatting>
  <conditionalFormatting sqref="AG680:AL680">
    <cfRule type="cellIs" dxfId="1284" priority="1081" operator="lessThan">
      <formula>0</formula>
    </cfRule>
    <cfRule type="cellIs" dxfId="1283" priority="1082" operator="greaterThan">
      <formula>0</formula>
    </cfRule>
  </conditionalFormatting>
  <conditionalFormatting sqref="AG685:AL685">
    <cfRule type="cellIs" dxfId="1282" priority="1075" operator="lessThan">
      <formula>0</formula>
    </cfRule>
    <cfRule type="cellIs" dxfId="1281" priority="1076" operator="greaterThan">
      <formula>0</formula>
    </cfRule>
  </conditionalFormatting>
  <conditionalFormatting sqref="AG690:AL691">
    <cfRule type="cellIs" dxfId="1280" priority="1069" operator="lessThan">
      <formula>0</formula>
    </cfRule>
    <cfRule type="cellIs" dxfId="1279" priority="1070" operator="greaterThan">
      <formula>0</formula>
    </cfRule>
  </conditionalFormatting>
  <conditionalFormatting sqref="AG696:AL696">
    <cfRule type="cellIs" dxfId="1278" priority="1063" operator="lessThan">
      <formula>0</formula>
    </cfRule>
    <cfRule type="cellIs" dxfId="1277" priority="1064" operator="greaterThan">
      <formula>0</formula>
    </cfRule>
  </conditionalFormatting>
  <conditionalFormatting sqref="AG712:AL712">
    <cfRule type="cellIs" dxfId="1276" priority="1057" operator="lessThan">
      <formula>0</formula>
    </cfRule>
    <cfRule type="cellIs" dxfId="1275" priority="1058" operator="greaterThan">
      <formula>0</formula>
    </cfRule>
  </conditionalFormatting>
  <conditionalFormatting sqref="AG717:AL717">
    <cfRule type="cellIs" dxfId="1274" priority="1051" operator="lessThan">
      <formula>0</formula>
    </cfRule>
    <cfRule type="cellIs" dxfId="1273" priority="1052" operator="greaterThan">
      <formula>0</formula>
    </cfRule>
  </conditionalFormatting>
  <conditionalFormatting sqref="AG722:AL723">
    <cfRule type="cellIs" dxfId="1272" priority="1045" operator="lessThan">
      <formula>0</formula>
    </cfRule>
    <cfRule type="cellIs" dxfId="1271" priority="1046" operator="greaterThan">
      <formula>0</formula>
    </cfRule>
  </conditionalFormatting>
  <conditionalFormatting sqref="AG728:AL728">
    <cfRule type="cellIs" dxfId="1270" priority="1039" operator="lessThan">
      <formula>0</formula>
    </cfRule>
    <cfRule type="cellIs" dxfId="1269" priority="1040" operator="greaterThan">
      <formula>0</formula>
    </cfRule>
  </conditionalFormatting>
  <conditionalFormatting sqref="AG733:AL733">
    <cfRule type="cellIs" dxfId="1268" priority="1033" operator="lessThan">
      <formula>0</formula>
    </cfRule>
    <cfRule type="cellIs" dxfId="1267" priority="1034" operator="greaterThan">
      <formula>0</formula>
    </cfRule>
  </conditionalFormatting>
  <conditionalFormatting sqref="AG738:AL738">
    <cfRule type="cellIs" dxfId="1266" priority="1027" operator="lessThan">
      <formula>0</formula>
    </cfRule>
    <cfRule type="cellIs" dxfId="1265" priority="1028" operator="greaterThan">
      <formula>0</formula>
    </cfRule>
  </conditionalFormatting>
  <conditionalFormatting sqref="AG743:AL743">
    <cfRule type="cellIs" dxfId="1264" priority="1021" operator="lessThan">
      <formula>0</formula>
    </cfRule>
    <cfRule type="cellIs" dxfId="1263" priority="1022" operator="greaterThan">
      <formula>0</formula>
    </cfRule>
  </conditionalFormatting>
  <conditionalFormatting sqref="AG751:AL751">
    <cfRule type="cellIs" dxfId="1262" priority="1015" operator="lessThan">
      <formula>0</formula>
    </cfRule>
    <cfRule type="cellIs" dxfId="1261" priority="1016" operator="greaterThan">
      <formula>0</formula>
    </cfRule>
  </conditionalFormatting>
  <conditionalFormatting sqref="AG761:AL761">
    <cfRule type="cellIs" dxfId="1260" priority="1009" operator="lessThan">
      <formula>0</formula>
    </cfRule>
    <cfRule type="cellIs" dxfId="1259" priority="1010" operator="greaterThan">
      <formula>0</formula>
    </cfRule>
  </conditionalFormatting>
  <conditionalFormatting sqref="AG766:AL766">
    <cfRule type="cellIs" dxfId="1258" priority="1003" operator="lessThan">
      <formula>0</formula>
    </cfRule>
    <cfRule type="cellIs" dxfId="1257" priority="1004" operator="greaterThan">
      <formula>0</formula>
    </cfRule>
  </conditionalFormatting>
  <conditionalFormatting sqref="AG771:AL771">
    <cfRule type="cellIs" dxfId="1256" priority="997" operator="lessThan">
      <formula>0</formula>
    </cfRule>
    <cfRule type="cellIs" dxfId="1255" priority="998" operator="greaterThan">
      <formula>0</formula>
    </cfRule>
  </conditionalFormatting>
  <conditionalFormatting sqref="AG776:AL776">
    <cfRule type="cellIs" dxfId="1254" priority="991" operator="lessThan">
      <formula>0</formula>
    </cfRule>
    <cfRule type="cellIs" dxfId="1253" priority="992" operator="greaterThan">
      <formula>0</formula>
    </cfRule>
  </conditionalFormatting>
  <conditionalFormatting sqref="AG781:AL781">
    <cfRule type="cellIs" dxfId="1252" priority="985" operator="lessThan">
      <formula>0</formula>
    </cfRule>
    <cfRule type="cellIs" dxfId="1251" priority="986" operator="greaterThan">
      <formula>0</formula>
    </cfRule>
  </conditionalFormatting>
  <conditionalFormatting sqref="AN527:AU527">
    <cfRule type="cellIs" dxfId="1250" priority="1247" operator="lessThan">
      <formula>0</formula>
    </cfRule>
    <cfRule type="cellIs" dxfId="1249" priority="1248" operator="greaterThan">
      <formula>0</formula>
    </cfRule>
  </conditionalFormatting>
  <conditionalFormatting sqref="AN532:AU532">
    <cfRule type="cellIs" dxfId="1248" priority="1239" operator="lessThan">
      <formula>0</formula>
    </cfRule>
    <cfRule type="cellIs" dxfId="1247" priority="1240" operator="greaterThan">
      <formula>0</formula>
    </cfRule>
  </conditionalFormatting>
  <conditionalFormatting sqref="AN538:AU538">
    <cfRule type="cellIs" dxfId="1246" priority="1233" operator="lessThan">
      <formula>0</formula>
    </cfRule>
    <cfRule type="cellIs" dxfId="1245" priority="1234" operator="greaterThan">
      <formula>0</formula>
    </cfRule>
  </conditionalFormatting>
  <conditionalFormatting sqref="AN543:AU543">
    <cfRule type="cellIs" dxfId="1244" priority="1227" operator="lessThan">
      <formula>0</formula>
    </cfRule>
    <cfRule type="cellIs" dxfId="1243" priority="1228" operator="greaterThan">
      <formula>0</formula>
    </cfRule>
  </conditionalFormatting>
  <conditionalFormatting sqref="AN549:AU549">
    <cfRule type="cellIs" dxfId="1242" priority="1221" operator="lessThan">
      <formula>0</formula>
    </cfRule>
    <cfRule type="cellIs" dxfId="1241" priority="1222" operator="greaterThan">
      <formula>0</formula>
    </cfRule>
  </conditionalFormatting>
  <conditionalFormatting sqref="AN554:AU554">
    <cfRule type="cellIs" dxfId="1240" priority="1215" operator="lessThan">
      <formula>0</formula>
    </cfRule>
    <cfRule type="cellIs" dxfId="1239" priority="1216" operator="greaterThan">
      <formula>0</formula>
    </cfRule>
  </conditionalFormatting>
  <conditionalFormatting sqref="AN562:AU562">
    <cfRule type="cellIs" dxfId="1238" priority="1209" operator="lessThan">
      <formula>0</formula>
    </cfRule>
    <cfRule type="cellIs" dxfId="1237" priority="1210" operator="greaterThan">
      <formula>0</formula>
    </cfRule>
  </conditionalFormatting>
  <conditionalFormatting sqref="AN567:AU567">
    <cfRule type="cellIs" dxfId="1236" priority="1203" operator="lessThan">
      <formula>0</formula>
    </cfRule>
    <cfRule type="cellIs" dxfId="1235" priority="1204" operator="greaterThan">
      <formula>0</formula>
    </cfRule>
  </conditionalFormatting>
  <conditionalFormatting sqref="AN572:AU572">
    <cfRule type="cellIs" dxfId="1234" priority="1197" operator="lessThan">
      <formula>0</formula>
    </cfRule>
    <cfRule type="cellIs" dxfId="1233" priority="1198" operator="greaterThan">
      <formula>0</formula>
    </cfRule>
  </conditionalFormatting>
  <conditionalFormatting sqref="AN578:AU578">
    <cfRule type="cellIs" dxfId="1232" priority="1191" operator="lessThan">
      <formula>0</formula>
    </cfRule>
    <cfRule type="cellIs" dxfId="1231" priority="1192" operator="greaterThan">
      <formula>0</formula>
    </cfRule>
  </conditionalFormatting>
  <conditionalFormatting sqref="AN583:AU583">
    <cfRule type="cellIs" dxfId="1230" priority="1185" operator="lessThan">
      <formula>0</formula>
    </cfRule>
    <cfRule type="cellIs" dxfId="1229" priority="1186" operator="greaterThan">
      <formula>0</formula>
    </cfRule>
  </conditionalFormatting>
  <conditionalFormatting sqref="AN588:AU588">
    <cfRule type="cellIs" dxfId="1228" priority="1179" operator="lessThan">
      <formula>0</formula>
    </cfRule>
    <cfRule type="cellIs" dxfId="1227" priority="1180" operator="greaterThan">
      <formula>0</formula>
    </cfRule>
  </conditionalFormatting>
  <conditionalFormatting sqref="AN596:AU596">
    <cfRule type="cellIs" dxfId="1226" priority="1173" operator="lessThan">
      <formula>0</formula>
    </cfRule>
    <cfRule type="cellIs" dxfId="1225" priority="1174" operator="greaterThan">
      <formula>0</formula>
    </cfRule>
  </conditionalFormatting>
  <conditionalFormatting sqref="AN601:AU601">
    <cfRule type="cellIs" dxfId="1224" priority="1167" operator="lessThan">
      <formula>0</formula>
    </cfRule>
    <cfRule type="cellIs" dxfId="1223" priority="1168" operator="greaterThan">
      <formula>0</formula>
    </cfRule>
  </conditionalFormatting>
  <conditionalFormatting sqref="AN606:AU606">
    <cfRule type="cellIs" dxfId="1222" priority="1161" operator="lessThan">
      <formula>0</formula>
    </cfRule>
    <cfRule type="cellIs" dxfId="1221" priority="1162" operator="greaterThan">
      <formula>0</formula>
    </cfRule>
  </conditionalFormatting>
  <conditionalFormatting sqref="AN612:AU612">
    <cfRule type="cellIs" dxfId="1220" priority="1155" operator="lessThan">
      <formula>0</formula>
    </cfRule>
    <cfRule type="cellIs" dxfId="1219" priority="1156" operator="greaterThan">
      <formula>0</formula>
    </cfRule>
  </conditionalFormatting>
  <conditionalFormatting sqref="AN617:AU617">
    <cfRule type="cellIs" dxfId="1218" priority="1149" operator="lessThan">
      <formula>0</formula>
    </cfRule>
    <cfRule type="cellIs" dxfId="1217" priority="1150" operator="greaterThan">
      <formula>0</formula>
    </cfRule>
  </conditionalFormatting>
  <conditionalFormatting sqref="AN622:AU622">
    <cfRule type="cellIs" dxfId="1216" priority="1143" operator="lessThan">
      <formula>0</formula>
    </cfRule>
    <cfRule type="cellIs" dxfId="1215" priority="1144" operator="greaterThan">
      <formula>0</formula>
    </cfRule>
  </conditionalFormatting>
  <conditionalFormatting sqref="AN630:AU630">
    <cfRule type="cellIs" dxfId="1214" priority="1137" operator="lessThan">
      <formula>0</formula>
    </cfRule>
    <cfRule type="cellIs" dxfId="1213" priority="1138" operator="greaterThan">
      <formula>0</formula>
    </cfRule>
  </conditionalFormatting>
  <conditionalFormatting sqref="AN635:AU635">
    <cfRule type="cellIs" dxfId="1212" priority="1131" operator="lessThan">
      <formula>0</formula>
    </cfRule>
    <cfRule type="cellIs" dxfId="1211" priority="1132" operator="greaterThan">
      <formula>0</formula>
    </cfRule>
  </conditionalFormatting>
  <conditionalFormatting sqref="AN640:AU640">
    <cfRule type="cellIs" dxfId="1210" priority="1125" operator="lessThan">
      <formula>0</formula>
    </cfRule>
    <cfRule type="cellIs" dxfId="1209" priority="1126" operator="greaterThan">
      <formula>0</formula>
    </cfRule>
  </conditionalFormatting>
  <conditionalFormatting sqref="AN646:AU646">
    <cfRule type="cellIs" dxfId="1208" priority="1119" operator="lessThan">
      <formula>0</formula>
    </cfRule>
    <cfRule type="cellIs" dxfId="1207" priority="1120" operator="greaterThan">
      <formula>0</formula>
    </cfRule>
  </conditionalFormatting>
  <conditionalFormatting sqref="AN651:AU651">
    <cfRule type="cellIs" dxfId="1206" priority="1113" operator="lessThan">
      <formula>0</formula>
    </cfRule>
    <cfRule type="cellIs" dxfId="1205" priority="1114" operator="greaterThan">
      <formula>0</formula>
    </cfRule>
  </conditionalFormatting>
  <conditionalFormatting sqref="AN656:AU656">
    <cfRule type="cellIs" dxfId="1204" priority="1107" operator="lessThan">
      <formula>0</formula>
    </cfRule>
    <cfRule type="cellIs" dxfId="1203" priority="1108" operator="greaterThan">
      <formula>0</formula>
    </cfRule>
  </conditionalFormatting>
  <conditionalFormatting sqref="AN664:AU664">
    <cfRule type="cellIs" dxfId="1202" priority="1101" operator="lessThan">
      <formula>0</formula>
    </cfRule>
    <cfRule type="cellIs" dxfId="1201" priority="1102" operator="greaterThan">
      <formula>0</formula>
    </cfRule>
  </conditionalFormatting>
  <conditionalFormatting sqref="AN669:AU669">
    <cfRule type="cellIs" dxfId="1200" priority="1095" operator="lessThan">
      <formula>0</formula>
    </cfRule>
    <cfRule type="cellIs" dxfId="1199" priority="1096" operator="greaterThan">
      <formula>0</formula>
    </cfRule>
  </conditionalFormatting>
  <conditionalFormatting sqref="AN674:AU674">
    <cfRule type="cellIs" dxfId="1198" priority="1089" operator="lessThan">
      <formula>0</formula>
    </cfRule>
    <cfRule type="cellIs" dxfId="1197" priority="1090" operator="greaterThan">
      <formula>0</formula>
    </cfRule>
  </conditionalFormatting>
  <conditionalFormatting sqref="AN680:AU680">
    <cfRule type="cellIs" dxfId="1196" priority="1083" operator="lessThan">
      <formula>0</formula>
    </cfRule>
    <cfRule type="cellIs" dxfId="1195" priority="1084" operator="greaterThan">
      <formula>0</formula>
    </cfRule>
  </conditionalFormatting>
  <conditionalFormatting sqref="AN685:AU685">
    <cfRule type="cellIs" dxfId="1194" priority="1077" operator="lessThan">
      <formula>0</formula>
    </cfRule>
    <cfRule type="cellIs" dxfId="1193" priority="1078" operator="greaterThan">
      <formula>0</formula>
    </cfRule>
  </conditionalFormatting>
  <conditionalFormatting sqref="AN690:AU691">
    <cfRule type="cellIs" dxfId="1192" priority="1071" operator="lessThan">
      <formula>0</formula>
    </cfRule>
    <cfRule type="cellIs" dxfId="1191" priority="1072" operator="greaterThan">
      <formula>0</formula>
    </cfRule>
  </conditionalFormatting>
  <conditionalFormatting sqref="AN696:AU696">
    <cfRule type="cellIs" dxfId="1190" priority="1065" operator="lessThan">
      <formula>0</formula>
    </cfRule>
    <cfRule type="cellIs" dxfId="1189" priority="1066" operator="greaterThan">
      <formula>0</formula>
    </cfRule>
  </conditionalFormatting>
  <conditionalFormatting sqref="AN712:AU712">
    <cfRule type="cellIs" dxfId="1188" priority="1059" operator="lessThan">
      <formula>0</formula>
    </cfRule>
    <cfRule type="cellIs" dxfId="1187" priority="1060" operator="greaterThan">
      <formula>0</formula>
    </cfRule>
  </conditionalFormatting>
  <conditionalFormatting sqref="AN717:AU717">
    <cfRule type="cellIs" dxfId="1186" priority="1053" operator="lessThan">
      <formula>0</formula>
    </cfRule>
    <cfRule type="cellIs" dxfId="1185" priority="1054" operator="greaterThan">
      <formula>0</formula>
    </cfRule>
  </conditionalFormatting>
  <conditionalFormatting sqref="AN722:AU723">
    <cfRule type="cellIs" dxfId="1184" priority="1047" operator="lessThan">
      <formula>0</formula>
    </cfRule>
    <cfRule type="cellIs" dxfId="1183" priority="1048" operator="greaterThan">
      <formula>0</formula>
    </cfRule>
  </conditionalFormatting>
  <conditionalFormatting sqref="AN728:AU728">
    <cfRule type="cellIs" dxfId="1182" priority="1041" operator="lessThan">
      <formula>0</formula>
    </cfRule>
    <cfRule type="cellIs" dxfId="1181" priority="1042" operator="greaterThan">
      <formula>0</formula>
    </cfRule>
  </conditionalFormatting>
  <conditionalFormatting sqref="AN733:AU733">
    <cfRule type="cellIs" dxfId="1180" priority="1035" operator="lessThan">
      <formula>0</formula>
    </cfRule>
    <cfRule type="cellIs" dxfId="1179" priority="1036" operator="greaterThan">
      <formula>0</formula>
    </cfRule>
  </conditionalFormatting>
  <conditionalFormatting sqref="AN738:AU738">
    <cfRule type="cellIs" dxfId="1178" priority="1029" operator="lessThan">
      <formula>0</formula>
    </cfRule>
    <cfRule type="cellIs" dxfId="1177" priority="1030" operator="greaterThan">
      <formula>0</formula>
    </cfRule>
  </conditionalFormatting>
  <conditionalFormatting sqref="AN743:AU743">
    <cfRule type="cellIs" dxfId="1176" priority="1023" operator="lessThan">
      <formula>0</formula>
    </cfRule>
    <cfRule type="cellIs" dxfId="1175" priority="1024" operator="greaterThan">
      <formula>0</formula>
    </cfRule>
  </conditionalFormatting>
  <conditionalFormatting sqref="AN751:AU751">
    <cfRule type="cellIs" dxfId="1174" priority="1017" operator="lessThan">
      <formula>0</formula>
    </cfRule>
    <cfRule type="cellIs" dxfId="1173" priority="1018" operator="greaterThan">
      <formula>0</formula>
    </cfRule>
  </conditionalFormatting>
  <conditionalFormatting sqref="AN761:AU761">
    <cfRule type="cellIs" dxfId="1172" priority="1011" operator="lessThan">
      <formula>0</formula>
    </cfRule>
    <cfRule type="cellIs" dxfId="1171" priority="1012" operator="greaterThan">
      <formula>0</formula>
    </cfRule>
  </conditionalFormatting>
  <conditionalFormatting sqref="AN766:AU766">
    <cfRule type="cellIs" dxfId="1170" priority="1005" operator="lessThan">
      <formula>0</formula>
    </cfRule>
    <cfRule type="cellIs" dxfId="1169" priority="1006" operator="greaterThan">
      <formula>0</formula>
    </cfRule>
  </conditionalFormatting>
  <conditionalFormatting sqref="AN771:AU771">
    <cfRule type="cellIs" dxfId="1168" priority="999" operator="lessThan">
      <formula>0</formula>
    </cfRule>
    <cfRule type="cellIs" dxfId="1167" priority="1000" operator="greaterThan">
      <formula>0</formula>
    </cfRule>
  </conditionalFormatting>
  <conditionalFormatting sqref="AN776:AU776">
    <cfRule type="cellIs" dxfId="1166" priority="993" operator="lessThan">
      <formula>0</formula>
    </cfRule>
    <cfRule type="cellIs" dxfId="1165" priority="994" operator="greaterThan">
      <formula>0</formula>
    </cfRule>
  </conditionalFormatting>
  <conditionalFormatting sqref="AN781:AU781">
    <cfRule type="cellIs" dxfId="1164" priority="987" operator="lessThan">
      <formula>0</formula>
    </cfRule>
    <cfRule type="cellIs" dxfId="1163" priority="988" operator="greaterThan">
      <formula>0</formula>
    </cfRule>
  </conditionalFormatting>
  <conditionalFormatting sqref="AO834:AO853">
    <cfRule type="cellIs" dxfId="1162" priority="878" operator="equal">
      <formula>0</formula>
    </cfRule>
  </conditionalFormatting>
  <conditionalFormatting sqref="AP1156">
    <cfRule type="cellIs" dxfId="1161" priority="400" operator="between">
      <formula>0</formula>
      <formula>1</formula>
    </cfRule>
  </conditionalFormatting>
  <conditionalFormatting sqref="AZ528">
    <cfRule type="cellIs" dxfId="1160" priority="1243" operator="lessThan">
      <formula>0</formula>
    </cfRule>
    <cfRule type="cellIs" dxfId="1159" priority="1244" operator="greaterThan">
      <formula>0</formula>
    </cfRule>
  </conditionalFormatting>
  <conditionalFormatting sqref="BG55:BH55">
    <cfRule type="cellIs" dxfId="1153" priority="1303" operator="equal">
      <formula>$D$3398</formula>
    </cfRule>
    <cfRule type="cellIs" dxfId="1152" priority="1304" operator="equal">
      <formula>$D$3397</formula>
    </cfRule>
    <cfRule type="cellIs" dxfId="1151" priority="1305" operator="equal">
      <formula>$D$3396</formula>
    </cfRule>
  </conditionalFormatting>
  <conditionalFormatting sqref="BN3278:BN3291">
    <cfRule type="cellIs" dxfId="1150" priority="60" operator="between">
      <formula>0</formula>
      <formula>1</formula>
    </cfRule>
  </conditionalFormatting>
  <conditionalFormatting sqref="BN3293:BN3294">
    <cfRule type="cellIs" dxfId="1149" priority="58" operator="between">
      <formula>0</formula>
      <formula>1</formula>
    </cfRule>
  </conditionalFormatting>
  <conditionalFormatting sqref="BN3296:BN3305">
    <cfRule type="cellIs" dxfId="1148" priority="56" operator="between">
      <formula>0</formula>
      <formula>1</formula>
    </cfRule>
  </conditionalFormatting>
  <conditionalFormatting sqref="BN3307:BN3308">
    <cfRule type="cellIs" dxfId="1147" priority="54" operator="between">
      <formula>0</formula>
      <formula>1</formula>
    </cfRule>
  </conditionalFormatting>
  <conditionalFormatting sqref="BN3310:BN3311">
    <cfRule type="cellIs" dxfId="1146" priority="52" operator="between">
      <formula>0</formula>
      <formula>1</formula>
    </cfRule>
  </conditionalFormatting>
  <conditionalFormatting sqref="BN3313:BN3314">
    <cfRule type="cellIs" dxfId="1145" priority="50" operator="between">
      <formula>0</formula>
      <formula>1</formula>
    </cfRule>
  </conditionalFormatting>
  <conditionalFormatting sqref="BN3320:BN3327">
    <cfRule type="cellIs" dxfId="1144" priority="48" operator="between">
      <formula>0</formula>
      <formula>1</formula>
    </cfRule>
  </conditionalFormatting>
  <conditionalFormatting sqref="D2314">
    <cfRule type="containsText" dxfId="1141" priority="1" operator="containsText" text="Exaction Invoice">
      <formula>NOT(ISERROR(SEARCH("Exaction Invoice",D2314)))</formula>
    </cfRule>
  </conditionalFormatting>
  <dataValidations count="179">
    <dataValidation type="list" errorStyle="warning" allowBlank="1" showInputMessage="1" showErrorMessage="1" sqref="D819" xr:uid="{FD986C76-34AA-4A1C-A46F-8F03D820C662}">
      <formula1>$AR$813:$AR$817</formula1>
    </dataValidation>
    <dataValidation type="list" errorStyle="warning" allowBlank="1" showInputMessage="1" showErrorMessage="1" sqref="D818" xr:uid="{68ACE5FC-2833-4501-9C09-83A89443372D}">
      <formula1>$AP$813:$AP$817</formula1>
    </dataValidation>
    <dataValidation type="list" errorStyle="warning" allowBlank="1" showInputMessage="1" showErrorMessage="1" sqref="D817" xr:uid="{71BAF2C0-ACA0-4BD5-BA9C-961682C3C5DB}">
      <formula1>$AN$813:$AN$817</formula1>
    </dataValidation>
    <dataValidation type="list" errorStyle="warning" allowBlank="1" showInputMessage="1" showErrorMessage="1" sqref="D816" xr:uid="{39ECE9C2-E5AB-4F7A-BEFC-54C1AA0339F3}">
      <formula1>$AL$813:$AL$817</formula1>
    </dataValidation>
    <dataValidation type="list" errorStyle="warning" allowBlank="1" showInputMessage="1" showErrorMessage="1" sqref="D815" xr:uid="{8FDE379B-251F-40AA-941F-FFB55D647AA8}">
      <formula1>$AJ$813:$AJ$817</formula1>
    </dataValidation>
    <dataValidation type="list" errorStyle="warning" allowBlank="1" showInputMessage="1" showErrorMessage="1" sqref="D814" xr:uid="{F6A5FB08-53D9-446B-B6EC-6732746C963B}">
      <formula1>$AH$813:$AH$817</formula1>
    </dataValidation>
    <dataValidation type="list" errorStyle="warning" allowBlank="1" showInputMessage="1" showErrorMessage="1" sqref="D813" xr:uid="{0FA8B7BB-DC54-4CB4-BB59-6761DFF7D594}">
      <formula1>$AF$813:$AF$818</formula1>
    </dataValidation>
    <dataValidation type="list" errorStyle="warning" allowBlank="1" showInputMessage="1" showErrorMessage="1" sqref="D812" xr:uid="{F1270EDC-4F4E-4B24-A03C-E64CDE50C590}">
      <formula1>$AD$813:$AD$818</formula1>
    </dataValidation>
    <dataValidation type="list" errorStyle="warning" allowBlank="1" showInputMessage="1" showErrorMessage="1" error="Choose one of these four options, unless you've got one better." sqref="D1359 D1369 D1579 D1569 D1559 D1549 D1539 D1529 D1519 D1509 D1499 D1489 D1479 D1469 D1459 D1449 D1439 D1429 D1419 D1409 D1399 D1389 D1379 D1589" xr:uid="{2BBE7695-BADD-4466-964B-3132636F0713}">
      <formula1>$BQ$1362:$BQ$1365</formula1>
    </dataValidation>
    <dataValidation type="list" errorStyle="warning" allowBlank="1" showInputMessage="1" showErrorMessage="1" sqref="C1362 C1592 C1562 C1572 C1582 C1532 C1542 C1552 C1492 C1502 C1512 C1522 C1452 C1462 C1472 C1482 C1412 C1422 C1432 C1442 C1372 C1382 C1392 C1402" xr:uid="{B7D604A9-DD64-4092-9D39-2347112AA23A}">
      <formula1>$BN$1357:$BN$1361</formula1>
    </dataValidation>
    <dataValidation type="list" errorStyle="warning" allowBlank="1" showInputMessage="1" showErrorMessage="1" sqref="D1362 D1592 D1562 D1572 D1582 D1532 D1542 D1552 D1492 D1502 D1512 D1522 D1452 D1462 D1472 D1482 D1412 D1422 D1432 D1442 D1372 D1382 D1392 D1402" xr:uid="{074F783A-9621-4FB6-B1A1-FF2DC01C027E}">
      <formula1>$BM$1357:$BM$1361</formula1>
    </dataValidation>
    <dataValidation allowBlank="1" showInputMessage="1" showErrorMessage="1" sqref="D1368 D1378 D1388 D1398 D1408 D1418 D1428 D1438 D1448 D1458 D1468 D1478 D1488 D1498 D1508 D1518 D1528 D1538 D1548 D1558 D1568 D1578 D1588" xr:uid="{39724317-FD60-4C2E-8D6E-F96D577BDA9A}"/>
    <dataValidation type="date" errorStyle="warning" operator="lessThanOrEqual" allowBlank="1" showInputMessage="1" showErrorMessage="1" error="Use format: YEAR-MONTH-DAY" sqref="C1361:D1361 C1371:D1371 C1381:D1381 C1391:D1391 C1401:D1401 C1411:D1411 C1421:D1421 C1431:D1431 C1441:D1441 C1451:D1451 C1461:D1461 C1471:D1471 C1481:D1481 C1491:D1491 C1501:D1501 C1511:D1511 C1521:D1521 C1531:D1531 C1541:D1541 C1551:D1551 C1561:D1561 C1571:D1571 C1581:D1581 C1591:D1591" xr:uid="{9E80E537-FF4A-4E6A-8EE7-8110343FAD27}">
      <formula1>$AI$1355</formula1>
    </dataValidation>
    <dataValidation errorStyle="information" allowBlank="1" showInputMessage="1" showErrorMessage="1" error="Make sure you provide a working email address, or we may not be able to include this one." sqref="C1358 C1368 C1378 C1388 C1398 C1408 C1418 C1428 C1438 C1448 C1458 C1468 C1478 C1488 C1498 C1508 C1518 C1528 C1538 C1548 C1558 C1568 C1578 C1588" xr:uid="{30E574B3-083C-41B3-A0BD-9C7777F93419}"/>
    <dataValidation type="list" allowBlank="1" showInputMessage="1" showErrorMessage="1" sqref="B504 B506 B516" xr:uid="{442CAFFB-8C67-45DC-9476-E3135D5934B8}">
      <formula1>$AK$516:$AK$518</formula1>
    </dataValidation>
    <dataValidation type="list" errorStyle="information" allowBlank="1" showInputMessage="1" showErrorMessage="1" prompt="Select option that best fits your need" sqref="C1638:D1638 C1688:D1688 C1678:D1678 C1668:D1668 C1658:D1658 C1648:D1648" xr:uid="{7844781B-D056-45C8-B12F-3C549B835B55}">
      <formula1>$CI$1639:$CI$1641</formula1>
    </dataValidation>
    <dataValidation allowBlank="1" showInputMessage="1" showErrorMessage="1" prompt="Click on link" sqref="C1639:D1639 C1649:D1649 C1659:D1659 C1669:D1669 C1679:D1679 C1689:D1689" xr:uid="{81BF4F70-431F-40FB-BB66-46587B171B02}"/>
    <dataValidation type="list" errorStyle="information" allowBlank="1" showInputMessage="1" showErrorMessage="1" errorTitle="Select recipient type to notify" promptTitle="Change to recipient type: " prompt="Employer_x000a_Housing_x000a_Debt collector" sqref="B1647 B1637 B1657 B1677 B1667 B1687" xr:uid="{9F32611A-D755-4991-BC67-EEEA1471F540}">
      <formula1>$BB$1639:$BB$1641</formula1>
    </dataValidation>
    <dataValidation type="textLength" errorStyle="information" allowBlank="1" showInputMessage="1" showErrorMessage="1" error="Use either 5-digit or full zip code" prompt="Zip code" sqref="B1645 B1655 B1665 B1675 B1685 B1695" xr:uid="{4AD90745-5A22-4F05-B74D-61284D123BF6}">
      <formula1>5</formula1>
      <formula2>10</formula2>
    </dataValidation>
    <dataValidation type="list" operator="lessThanOrEqual" allowBlank="1" showInputMessage="1" showErrorMessage="1" error="Pick from list in dropdown menu" prompt="State" sqref="D1645 D1685 D1695 D1675 D1655 D1665" xr:uid="{3E8D4016-6ACD-40DE-8FAD-54B48A6A711C}">
      <formula1>$B$3213:$B$3264</formula1>
    </dataValidation>
    <dataValidation type="textLength" errorStyle="information" operator="lessThanOrEqual" allowBlank="1" showInputMessage="1" showErrorMessage="1" errorTitle="Before you go..." error="Make sure email is spelled correctly. It's up to you to provide a working email address." prompt="City" sqref="C1645 C1655 C1665 C1675 C1685 C1695" xr:uid="{C8659BA3-F564-4E96-ACB8-1C488ECABF67}">
      <formula1>35</formula1>
    </dataValidation>
    <dataValidation type="textLength" errorStyle="information" operator="lessThanOrEqual" allowBlank="1" showInputMessage="1" showErrorMessage="1" prompt="Suite or apt" sqref="D1644 D1694 D1664 D1674 D1684 D1654" xr:uid="{79B59127-085E-4474-9CDB-8904FC94BDC6}">
      <formula1>20</formula1>
    </dataValidation>
    <dataValidation type="textLength" errorStyle="information" operator="lessThanOrEqual" allowBlank="1" showInputMessage="1" showErrorMessage="1" errorTitle="Before you go..." error="Make sure this city is spelled correctly" prompt="Street address" sqref="C1644 C1694 C1664 C1674 C1684 C1654" xr:uid="{4C7B0F07-070E-497A-9AAC-C45B29194AC0}">
      <formula1>60</formula1>
    </dataValidation>
    <dataValidation type="textLength" errorStyle="information" operator="lessThanOrEqual" allowBlank="1" showInputMessage="1" showErrorMessage="1" errorTitle="Before you go..." error="Make sure email is spelled correctly. It's up to you to provide a working email address." sqref="C1643:D1643 C1693:D1693 C1663:D1663 C1673:D1673 C1683:D1683 C1653:D1653" xr:uid="{2394D30C-1A12-4D63-84D3-63EAB269D064}">
      <formula1>60</formula1>
    </dataValidation>
    <dataValidation type="list" allowBlank="1" showInputMessage="1" showErrorMessage="1" sqref="D256" xr:uid="{B2D62384-743F-4057-8605-7CC554334A8E}">
      <formula1>$B$2802:$B$2807</formula1>
    </dataValidation>
    <dataValidation type="list" allowBlank="1" showInputMessage="1" showErrorMessage="1" promptTitle="Choose one" prompt="Select which best fits your current experience." sqref="D953:D973" xr:uid="{15BC213F-AB51-41B4-8148-F69C4F44B4D2}">
      <formula1>$D$975:$D$978</formula1>
    </dataValidation>
    <dataValidation type="list" allowBlank="1" showInputMessage="1" showErrorMessage="1" promptTitle="2 of 21" prompt="hope" sqref="C995:D995" xr:uid="{6A14E773-CB37-40CE-9217-05F0B908F49A}">
      <formula1>$C$996:$C$999</formula1>
    </dataValidation>
    <dataValidation type="list" allowBlank="1" showInputMessage="1" showErrorMessage="1" promptTitle="4 of 21" prompt="satisfaction" sqref="C1005:D1005" xr:uid="{06B7B5E3-3A89-4A79-9D98-AF6593CE75C4}">
      <formula1>$C$1006:$C$1009</formula1>
    </dataValidation>
    <dataValidation type="list" allowBlank="1" showInputMessage="1" showErrorMessage="1" promptTitle="5 of 21" prompt="guilt" sqref="C1010:D1010" xr:uid="{9B568F6E-3E34-4022-87CF-E350BB460964}">
      <formula1>$C$1011:$C$1014</formula1>
    </dataValidation>
    <dataValidation type="list" allowBlank="1" showInputMessage="1" showErrorMessage="1" promptTitle="6 of 21" prompt="punished" sqref="C1015:D1015" xr:uid="{3B26F463-30F0-4487-A308-ABDA899DCF62}">
      <formula1>$C$1016:$C$1019</formula1>
    </dataValidation>
    <dataValidation type="list" allowBlank="1" showInputMessage="1" showErrorMessage="1" promptTitle="7 of 21" prompt="self-loath" sqref="C1020:D1020" xr:uid="{6CC32731-BEE3-41D7-8F60-CE26581416CB}">
      <formula1>$C$1021:$C$1024</formula1>
    </dataValidation>
    <dataValidation type="list" allowBlank="1" showInputMessage="1" showErrorMessage="1" promptTitle="8 of 21" prompt="faults" sqref="C1025:D1025" xr:uid="{4A2F39DB-6C0C-420E-AA86-3BE6D474DA3A}">
      <formula1>$C$1026:$C$1029</formula1>
    </dataValidation>
    <dataValidation type="list" allowBlank="1" showInputMessage="1" showErrorMessage="1" promptTitle="9 of 21" prompt="suicidal thoughts" sqref="C1030:D1030" xr:uid="{AFF83777-C966-43C4-800C-2D1618DFD2FE}">
      <formula1>$C$1031:$C$1034</formula1>
    </dataValidation>
    <dataValidation type="list" allowBlank="1" showInputMessage="1" showErrorMessage="1" promptTitle="10 of 21" prompt="crying" sqref="C1035:D1035" xr:uid="{061175CF-F89B-43A0-9E3D-5C544A99908D}">
      <formula1>$C$1036:$C$1039</formula1>
    </dataValidation>
    <dataValidation type="list" allowBlank="1" showInputMessage="1" showErrorMessage="1" promptTitle="11 of 21" prompt="irritability" sqref="C1040:D1040" xr:uid="{F0471ECF-2608-4BDA-8C46-D82AD59BD0FB}">
      <formula1>$C$1041:$C$1044</formula1>
    </dataValidation>
    <dataValidation type="list" allowBlank="1" showInputMessage="1" showErrorMessage="1" promptTitle="12 of 21" prompt="socializing" sqref="C1045:D1045" xr:uid="{EB808155-939B-44A7-A7D1-51A8A3B240BF}">
      <formula1>$C$1046:$C$1049</formula1>
    </dataValidation>
    <dataValidation type="list" allowBlank="1" showInputMessage="1" showErrorMessage="1" promptTitle="13 of 21" prompt="decisiveness" sqref="C1050:D1050" xr:uid="{27E6C031-B4E4-4BB9-BF50-17C4932BD3CB}">
      <formula1>$C$1051:$C$1054</formula1>
    </dataValidation>
    <dataValidation type="list" allowBlank="1" showInputMessage="1" showErrorMessage="1" promptTitle="14 of 21" prompt="self-image" sqref="C1055:D1055" xr:uid="{8F6D0453-CBA5-4605-AEE4-21C269E6CB38}">
      <formula1>$C$1056:$C$1059</formula1>
    </dataValidation>
    <dataValidation type="list" allowBlank="1" showInputMessage="1" showErrorMessage="1" promptTitle="15 of 21" prompt="effort" sqref="C1060:D1060" xr:uid="{2B93B906-0F9A-44B9-9FAE-772CD4B58D0C}">
      <formula1>$C$1061:$C$1064</formula1>
    </dataValidation>
    <dataValidation type="list" allowBlank="1" showInputMessage="1" showErrorMessage="1" promptTitle="16 of 21" prompt="sleep" sqref="C1065:D1065" xr:uid="{99741D2A-8785-46FF-82CC-9F53C3257211}">
      <formula1>$C$1066:$C$1069</formula1>
    </dataValidation>
    <dataValidation type="list" allowBlank="1" showInputMessage="1" showErrorMessage="1" promptTitle="17 of 21" prompt="tiredness" sqref="C1070:D1070" xr:uid="{50C9C674-E498-4F8D-BA5B-45F9C2073A5A}">
      <formula1>$C$1071:$C$1074</formula1>
    </dataValidation>
    <dataValidation type="list" allowBlank="1" showInputMessage="1" showErrorMessage="1" promptTitle="18 of 21" prompt="appetite" sqref="C1075:D1075" xr:uid="{9CCC9B88-33AF-4D89-AA66-3A7F48B09425}">
      <formula1>$C$1076:$C$1079</formula1>
    </dataValidation>
    <dataValidation type="list" allowBlank="1" showInputMessage="1" showErrorMessage="1" promptTitle="19 of 21" prompt="weight loss" sqref="C1080:D1080" xr:uid="{5BD23A75-929B-4FC7-90A9-8444D8FF71E3}">
      <formula1>$C$1081:$C$1084</formula1>
    </dataValidation>
    <dataValidation type="list" allowBlank="1" showInputMessage="1" showErrorMessage="1" promptTitle="20 of 21" prompt="worries" sqref="C1085:D1085" xr:uid="{669A8988-2DC7-4D9C-8409-3AED8AA60F02}">
      <formula1>$C$1086:$C$1089</formula1>
    </dataValidation>
    <dataValidation type="list" allowBlank="1" showInputMessage="1" showErrorMessage="1" promptTitle="21 of 21" prompt="sexual interest" sqref="C1090:D1090" xr:uid="{743126B9-B15A-456C-976D-A07899FFE5B7}">
      <formula1>$C$1091:$C$1094</formula1>
    </dataValidation>
    <dataValidation type="list" allowBlank="1" showInputMessage="1" showErrorMessage="1" promptTitle="3 of 21" prompt="failures" sqref="C1000:D1000" xr:uid="{5BF00E10-D2B3-4837-9A67-67CFDBD1970D}">
      <formula1>$C$1001:$C$1004</formula1>
    </dataValidation>
    <dataValidation type="list" allowBlank="1" showInputMessage="1" showErrorMessage="1" promptTitle="1 of 21" prompt="sadness" sqref="C990:D990" xr:uid="{D0420E8F-9863-4399-80FE-62A71857B6CA}">
      <formula1>$C$991:$C$994</formula1>
    </dataValidation>
    <dataValidation type="textLength" errorStyle="warning" operator="lessThanOrEqual" allowBlank="1" showInputMessage="1" showErrorMessage="1" errorTitle="Oops! Too many words." error="Try using fewer words, or fewer characters, to make sure this displays correctly above. Click &quot;No&quot; to edit. Click &quot;Yes&quot; to accept as is. Click &quot;Cancel&quot; to start over." sqref="C922:D922 C913:D920" xr:uid="{3E5044AD-5F7E-4478-99DB-AEEC6EDB338F}">
      <formula1>75</formula1>
    </dataValidation>
    <dataValidation type="textLength" operator="lessThanOrEqual" allowBlank="1" showInputMessage="1" showErrorMessage="1" errorTitle="Oops!" error="You've reached the limit of 250 characters. Use fewer words." sqref="B909:D909" xr:uid="{A405547C-0A50-4F1B-BEF0-DBCE7C4201AC}">
      <formula1>250</formula1>
    </dataValidation>
    <dataValidation type="list" allowBlank="1" showInputMessage="1" showErrorMessage="1" sqref="D527 D690 D776 D771 D766 D761 D640 D743 D738 D733 D728 D674 D717 D712 D696 D751 D685 D680 D606 D669 D664 D656 D651 D646 D543 D635 D630 D622 D617 D612 D572 D601 D596 D588 D583 D578 D532 D567 D562 D554 D538 D781 D549 D722" xr:uid="{F11408E8-10BC-4E96-A02F-813ECE1FFA36}">
      <formula1>$B$3019:$B$3026</formula1>
    </dataValidation>
    <dataValidation type="list" allowBlank="1" showInputMessage="1" showErrorMessage="1" error="You can only select one of the options given. Contact us if we missed an option vital to your case." promptTitle="Choose one" prompt="Select best option" sqref="B781 B690 B771 B766 B761 B640 B743 B738 B733 B728 B674 B717 B596 B601 B712 B612 B617 B622 B630 B635 B776 B646 B651 B656 B664 B669 B606 B680 B685 B751 B696 B722" xr:uid="{1D5BE95E-BA2E-4D11-9B77-8E54F84B3758}">
      <formula1>$B$3005:$B$3008</formula1>
    </dataValidation>
    <dataValidation type="list" allowBlank="1" showInputMessage="1" showErrorMessage="1" sqref="C781 C690 C771 C766 C761 C640 C743 C738 C733 C728 C674 C717 C596 C601 C712 C612 C617 C622 C630 C635 C776 C646 C651 C656 C664 C669 C606 C680 C685 C751 C696 C722" xr:uid="{E4E36D0C-6970-4A17-AA45-FFF8688850DF}">
      <formula1>$B$3011:$B$3016</formula1>
    </dataValidation>
    <dataValidation type="list" allowBlank="1" showInputMessage="1" showErrorMessage="1" errorTitle="Oops!" error="You can only select one of the options given. Contact us if we missed an option vital to your case." promptTitle="Choose one" prompt="Select best option" sqref="C527 C572 C538 C588 C549 C554 C562 C567 C532 C578 C583 C543" xr:uid="{2B56A80C-7380-4F24-AFD2-F522D1512139}">
      <formula1>$B$3011:$B$3016</formula1>
    </dataValidation>
    <dataValidation type="list" allowBlank="1" showInputMessage="1" showErrorMessage="1" errorTitle="Oops!" error="You can only select one of the options given. Contact us if we missed an option vital to your case." promptTitle="Choose one" prompt="Select best option" sqref="B527 B572 B538 B588 B549 B554 B562 B567 B532 B578 B583 B543" xr:uid="{5505B1A1-8E96-4872-9E2D-973CD8776D51}">
      <formula1>$B$3005:$B$3008</formula1>
    </dataValidation>
    <dataValidation type="list" allowBlank="1" showInputMessage="1" showErrorMessage="1" promptTitle="Applicability" prompt="How does this item apply to claimant?" sqref="B834:B853" xr:uid="{337A7BFC-C335-4E51-B6AC-F34EDC01E3AE}">
      <formula1>$B$3145:$B$3147</formula1>
    </dataValidation>
    <dataValidation type="list" allowBlank="1" showInputMessage="1" showErrorMessage="1" promptTitle="Time of impact" prompt="When did or does this item impact claimant?" sqref="D834:D853" xr:uid="{9D174654-DBB7-41B2-AB49-AAE4BC971456}">
      <formula1>$B$3149:$B$3151</formula1>
    </dataValidation>
    <dataValidation type="list" allowBlank="1" showInputMessage="1" showErrorMessage="1" sqref="D328" xr:uid="{4AA87A72-960F-4540-BC82-F7FB9FE8A117}">
      <formula1>$B$2939:$B$2940</formula1>
    </dataValidation>
    <dataValidation type="list" allowBlank="1" showInputMessage="1" showErrorMessage="1" promptTitle="US State or Federal" prompt="Select US State or federal jurisdiction for prosecuting this case." sqref="B265" xr:uid="{519729C4-672B-46A0-89A0-30EBF1205602}">
      <formula1>$B$3278:$B$3330</formula1>
    </dataValidation>
    <dataValidation type="list" allowBlank="1" showInputMessage="1" showErrorMessage="1" sqref="D307" xr:uid="{5B448138-4431-4517-BAE3-CDA1FD55E67A}">
      <formula1>$B$2908:$B$2909</formula1>
    </dataValidation>
    <dataValidation allowBlank="1" showInputMessage="1" showErrorMessage="1" prompt="Name of codefendant" sqref="B279 B283 B287 B291 B295 B299" xr:uid="{082B7802-3BDA-4CA1-99D9-2FCD7FF490DD}"/>
    <dataValidation type="list" allowBlank="1" showInputMessage="1" showErrorMessage="1" sqref="D286 D302 D298 D294 D290" xr:uid="{478EAE60-26A5-452C-8CF0-8251AC1DC1EB}">
      <formula1>$AC$278:$AC$279</formula1>
    </dataValidation>
    <dataValidation type="list" allowBlank="1" showInputMessage="1" showErrorMessage="1" sqref="C286 C302 C298 C294 C290" xr:uid="{54B98381-A8EC-487F-9634-9C43ED273B4F}">
      <formula1>$AH$278:$AH$280</formula1>
    </dataValidation>
    <dataValidation allowBlank="1" showInputMessage="1" showErrorMessage="1" prompt="If still incarcerated or under custody conditions prohibiting direct calling, then write in &quot;see proxy&quot;." sqref="D204" xr:uid="{969F4DDF-E49D-4796-8793-267545ED9B5E}"/>
    <dataValidation allowBlank="1" showInputMessage="1" showErrorMessage="1" prompt="If still incarcerated or under custody conditions prohibiting Internet access, then write in &quot;see proxy&quot;." sqref="C204" xr:uid="{D2D7FCC4-BE72-4590-9C94-42EB41DA6063}"/>
    <dataValidation allowBlank="1" showInputMessage="1" showErrorMessage="1" prompt="Be sure to spell exacdtly, or we may lose you. Check your email inbox to verify. Thanks." sqref="C214" xr:uid="{E891B860-EDFC-4050-B314-D728EB408C2F}"/>
    <dataValidation type="list" errorStyle="information" allowBlank="1" showInputMessage="1" showErrorMessage="1" sqref="D206" xr:uid="{EA9B69E1-7C01-42F7-A04F-88EF0583B7E5}">
      <formula1>$C$2717:$C$2721</formula1>
    </dataValidation>
    <dataValidation type="list" errorStyle="warning" allowBlank="1" showInputMessage="1" showErrorMessage="1" sqref="B1174" xr:uid="{DED9726D-5839-4A77-AEAC-571056A9F6D9}">
      <formula1>$AF$1172:$AF$1176</formula1>
    </dataValidation>
    <dataValidation type="list" errorStyle="warning" allowBlank="1" showInputMessage="1" showErrorMessage="1" sqref="D1129" xr:uid="{4DD49A27-09B6-4078-A49D-A648D67B4440}">
      <formula1>$B$3278:$B$3329</formula1>
    </dataValidation>
    <dataValidation type="list" errorStyle="information" allowBlank="1" showInputMessage="1" showErrorMessage="1" errorTitle="Oops!" error="Check your spelling. Or scroll through list to find the proper name." sqref="C265" xr:uid="{6C02E0F2-BF83-4AAF-9494-7FAF2C88D039}">
      <formula1>$BS$3279:$BS$3555</formula1>
    </dataValidation>
    <dataValidation type="list" errorStyle="information" allowBlank="1" showInputMessage="1" showErrorMessage="1" sqref="C1891 C1939" xr:uid="{BC30B83B-3B22-4632-B1DD-9CD490D5A894}">
      <formula1>$AH$1805:$AH$1844</formula1>
    </dataValidation>
    <dataValidation type="list" allowBlank="1" showInputMessage="1" showErrorMessage="1" sqref="C1894:E1894" xr:uid="{6EA3C313-7DB3-4C43-B6CA-01D68B03FD39}">
      <formula1>$AD$1891:$AD$1899</formula1>
    </dataValidation>
    <dataValidation type="list" errorStyle="information" allowBlank="1" showInputMessage="1" showErrorMessage="1" sqref="C1892 C2319" xr:uid="{566F6E7E-564C-4353-AF57-D6940D6A527B}">
      <formula1>$AQ$1889:$AQ$1891</formula1>
    </dataValidation>
    <dataValidation type="list" errorStyle="information" allowBlank="1" showInputMessage="1" showErrorMessage="1" sqref="E1805:E1844" xr:uid="{EFBF60A5-14A0-430D-B624-091192ADAB7E}">
      <formula1>$AD$1800:$AD$1803</formula1>
    </dataValidation>
    <dataValidation type="list" errorStyle="information" allowBlank="1" showInputMessage="1" showErrorMessage="1" sqref="B1988" xr:uid="{6B088B9A-4007-4533-965A-82D83506DC7D}">
      <formula1>$AQ$1983:$AQ$1992</formula1>
    </dataValidation>
    <dataValidation type="list" errorStyle="warning" allowBlank="1" showInputMessage="1" showErrorMessage="1" sqref="B785" xr:uid="{A987A742-DF70-4DCB-BE67-FE9DEDD19062}">
      <formula1>$DZ$3214:$DZ$3219</formula1>
    </dataValidation>
    <dataValidation type="list" errorStyle="information" allowBlank="1" showInputMessage="1" showErrorMessage="1" sqref="B789:D789" xr:uid="{C3EA78CD-326D-4AF0-A9B8-C01CE04E72D0}">
      <formula1>$DZ$3224:$DZ$3240</formula1>
    </dataValidation>
    <dataValidation type="list" errorStyle="information" allowBlank="1" showInputMessage="1" showErrorMessage="1" sqref="A2170" xr:uid="{05F20AAD-D3F7-412C-9A2F-B7F41104F834}">
      <formula1>$AG$2171:$AG$2172</formula1>
    </dataValidation>
    <dataValidation type="list" errorStyle="information" allowBlank="1" showInputMessage="1" showErrorMessage="1" sqref="C206" xr:uid="{658D9FE7-D0CA-4945-BC7E-6BE3586AC180}">
      <formula1>$B$2717:$B$2719</formula1>
    </dataValidation>
    <dataValidation type="list" allowBlank="1" showInputMessage="1" showErrorMessage="1" sqref="C208" xr:uid="{4A01141D-8E3D-4C04-9148-DC2384F3BC55}">
      <formula1>$B$2724:$B$2727</formula1>
    </dataValidation>
    <dataValidation type="list" allowBlank="1" showInputMessage="1" showErrorMessage="1" sqref="D208" xr:uid="{5294F7AB-6078-43E5-97F8-415C04CA368C}">
      <formula1>$C$2724:$C$2726</formula1>
    </dataValidation>
    <dataValidation type="list" allowBlank="1" showInputMessage="1" showErrorMessage="1" errorTitle="Oops" error="Choose from dropdown list" prompt="from list" sqref="D216" xr:uid="{F831F88C-299E-46AF-99A6-3885E2282932}">
      <formula1>$C$2730:$C$2733</formula1>
    </dataValidation>
    <dataValidation type="list" allowBlank="1" showInputMessage="1" showErrorMessage="1" errorTitle="Oops" error="Choose from dropdown list" prompt="from list" sqref="C216" xr:uid="{7510AF34-E749-4C75-BF83-304A0DC6592F}">
      <formula1>$B$2730:$B$2742</formula1>
    </dataValidation>
    <dataValidation type="list" allowBlank="1" showInputMessage="1" showErrorMessage="1" sqref="D310" xr:uid="{2E63D72C-567C-4DE0-AB49-38497812A134}">
      <formula1>$D$2736:$D$2740</formula1>
    </dataValidation>
    <dataValidation type="list" allowBlank="1" showInputMessage="1" showErrorMessage="1" sqref="B226:B235" xr:uid="{BBCF1E34-338F-4604-A784-240C4AAA26B5}">
      <formula1>$B$2759:$B$2766</formula1>
    </dataValidation>
    <dataValidation type="list" allowBlank="1" showInputMessage="1" showErrorMessage="1" sqref="C226:C235" xr:uid="{67AD9718-914B-4FF5-ACC8-009D6B6DB9D9}">
      <formula1>$C$2759:$C$2761</formula1>
    </dataValidation>
    <dataValidation type="list" allowBlank="1" showInputMessage="1" showErrorMessage="1" sqref="D226:D235" xr:uid="{2CBFC900-5C46-44F8-A09A-C56F4F9B21F4}">
      <formula1>$D$2759:$D$2769</formula1>
    </dataValidation>
    <dataValidation type="list" allowBlank="1" showInputMessage="1" showErrorMessage="1" sqref="D243" xr:uid="{A512EC01-81DD-4114-A5B6-9281E83AC260}">
      <formula1>$B$2772:$B$2774</formula1>
    </dataValidation>
    <dataValidation type="list" allowBlank="1" showInputMessage="1" showErrorMessage="1" sqref="D246" xr:uid="{2306471C-AA85-48FC-812A-BA4916216030}">
      <formula1>$B$2776:$B$2777</formula1>
    </dataValidation>
    <dataValidation type="list" allowBlank="1" showInputMessage="1" showErrorMessage="1" sqref="D248" xr:uid="{B0C10BB5-AC84-4177-83C6-667F1FCF1473}">
      <formula1>$C$2772:$C$2777</formula1>
    </dataValidation>
    <dataValidation type="list" allowBlank="1" showInputMessage="1" showErrorMessage="1" sqref="D250" xr:uid="{B005A55B-B4A6-4D2D-9CD6-D10231D17120}">
      <formula1>$D$2772:$D$2777</formula1>
    </dataValidation>
    <dataValidation type="list" errorStyle="information" allowBlank="1" showInputMessage="1" showErrorMessage="1" sqref="C1129" xr:uid="{7DF4165E-81D8-482F-AE28-D7971412485C}">
      <formula1>$A$2811:$A$2870</formula1>
    </dataValidation>
    <dataValidation type="list" allowBlank="1" showInputMessage="1" showErrorMessage="1" sqref="C275" xr:uid="{3C1031E3-C724-455E-AEFB-8B5535E2DFF1}">
      <formula1>$C$2875:$C$2879</formula1>
    </dataValidation>
    <dataValidation type="list" errorStyle="warning" allowBlank="1" showInputMessage="1" showErrorMessage="1" sqref="D274" xr:uid="{D7ED0FDF-CC03-46B0-BBDE-1811007A9AA2}">
      <formula1>$B$2875:$B$2877</formula1>
    </dataValidation>
    <dataValidation type="list" allowBlank="1" showInputMessage="1" showErrorMessage="1" sqref="D275" xr:uid="{EC8F37D2-FC8F-4446-B9E7-4865F1EE9B15}">
      <formula1>$D$2875:$D$2880</formula1>
    </dataValidation>
    <dataValidation type="list" allowBlank="1" showInputMessage="1" showErrorMessage="1" errorTitle="Oops!" error="Select only from the pulldown list." promptTitle="Custody status" prompt="Select item from list that best characterizes claimant's current custody status." sqref="D314" xr:uid="{E7BB680F-090B-417A-B4F2-166E5B2CAA19}">
      <formula1>$C$2915:$C$2936</formula1>
    </dataValidation>
    <dataValidation type="list" errorStyle="information" allowBlank="1" showInputMessage="1" showErrorMessage="1" sqref="D324" xr:uid="{24D59B64-1313-41CD-BEDC-D80F0BA430CE}">
      <formula1>$D$2915:$D$2922</formula1>
    </dataValidation>
    <dataValidation type="list" allowBlank="1" showInputMessage="1" showErrorMessage="1" sqref="D329" xr:uid="{94474557-DEB4-4B24-9201-AE8C140252B7}">
      <formula1>$C$2939:$C$2942</formula1>
    </dataValidation>
    <dataValidation type="list" allowBlank="1" showInputMessage="1" showErrorMessage="1" sqref="D337" xr:uid="{479CDFB8-2175-43AF-97A3-37662CD1F0B8}">
      <formula1>$E$2939:$E$2944</formula1>
    </dataValidation>
    <dataValidation type="list" errorStyle="warning" allowBlank="1" showInputMessage="1" showErrorMessage="1" sqref="D331" xr:uid="{8F064B4C-1625-487C-A4AF-428CB0A8C092}">
      <formula1>$D$2939:$D$2942</formula1>
    </dataValidation>
    <dataValidation type="list" allowBlank="1" showInputMessage="1" showErrorMessage="1" sqref="D338" xr:uid="{2D5DB66F-9DEB-4739-95CC-713ABA744429}">
      <formula1>$B$2958:$B$2962</formula1>
    </dataValidation>
    <dataValidation type="list" allowBlank="1" showInputMessage="1" showErrorMessage="1" sqref="B343:C343" xr:uid="{F0149BDE-D257-49E0-AF4B-BCB9CD5D79B1}">
      <formula1>$B$2965:$B$2974</formula1>
    </dataValidation>
    <dataValidation type="list" allowBlank="1" showInputMessage="1" showErrorMessage="1" sqref="D343" xr:uid="{457F47D0-5709-4260-88A9-FC6B13C87E54}">
      <formula1>$D$2965:$D$2969</formula1>
    </dataValidation>
    <dataValidation type="list" allowBlank="1" showInputMessage="1" showErrorMessage="1" sqref="D332" xr:uid="{9760CFE0-F2F1-4F90-8393-0994EBFC0BE7}">
      <formula1>$B$2945:$B$2949</formula1>
    </dataValidation>
    <dataValidation type="list" allowBlank="1" showInputMessage="1" showErrorMessage="1" sqref="B335" xr:uid="{97F90DEC-9917-4C5F-9175-B1FB2782714C}">
      <formula1>$B$2952:$B$2955</formula1>
    </dataValidation>
    <dataValidation type="list" allowBlank="1" showInputMessage="1" showErrorMessage="1" sqref="C335" xr:uid="{B862BB90-1E6E-4DE9-9EBE-729735925633}">
      <formula1>$C$2952:$C$2955</formula1>
    </dataValidation>
    <dataValidation type="list" allowBlank="1" showInputMessage="1" showErrorMessage="1" sqref="D335" xr:uid="{86259290-3EFD-46B8-B54B-BB97881CE5B5}">
      <formula1>$D$2952:$D$2955</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B389 B359 B369:D369 B479:D479 B469:D469 B459:D459 B449:D449 B439:D439 B429:D429 B419:D419 B409:D409 B399:D399 B489:D489 B379:D379" xr:uid="{D853ABE6-00BF-455B-A09C-42EE0CBE8215}">
      <formula1>$B$2981:$B$2986</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C385 C365 C495 C485 C475 C465 C455 C445 C435 C425 C415 C405 C395 C375" xr:uid="{B7EF86F5-3E50-4512-904E-AD50D5DEB7C9}">
      <formula1>$D$2981:$D$2986</formula1>
    </dataValidation>
    <dataValidation type="list" errorStyle="warning" allowBlank="1" showInputMessage="1" showErrorMessage="1" sqref="C787:D787 C791:D791 C795:D795" xr:uid="{39E1104C-51DC-4A77-94AB-2A5D1DEF5D3E}">
      <formula1>$C$3035:$C$3039</formula1>
    </dataValidation>
    <dataValidation type="list" errorStyle="warning" allowBlank="1" showInputMessage="1" showErrorMessage="1" sqref="C788:D788 C792:D792 C796:D796" xr:uid="{02DA3A52-2D35-4760-B8D8-76554779F203}">
      <formula1>$C$3041:$C$3045</formula1>
    </dataValidation>
    <dataValidation type="list" errorStyle="warning" allowBlank="1" showInputMessage="1" showErrorMessage="1" sqref="C799:D799" xr:uid="{2A07E5E8-3537-4834-8235-8775DBE397FB}">
      <formula1>$C$3047:$C$3051</formula1>
    </dataValidation>
    <dataValidation type="list" errorStyle="warning" allowBlank="1" showInputMessage="1" showErrorMessage="1" sqref="C800:D800" xr:uid="{64A55237-9D19-4DC4-B01D-500A92A864BB}">
      <formula1>$C$3053:$C$3057</formula1>
    </dataValidation>
    <dataValidation type="list" allowBlank="1" showInputMessage="1" showErrorMessage="1" sqref="D802:D808" xr:uid="{4334436A-B3F5-4310-AE6E-3B1BDBB07C57}">
      <formula1>$C$3059:$C$3064</formula1>
    </dataValidation>
    <dataValidation type="list" allowBlank="1" showInputMessage="1" showErrorMessage="1" sqref="B861:B872" xr:uid="{87F10D2F-6161-4C02-B285-F36B4ADD8187}">
      <formula1>$B$3154:$B$3157</formula1>
    </dataValidation>
    <dataValidation type="list" allowBlank="1" showInputMessage="1" showErrorMessage="1" sqref="D861:D872" xr:uid="{600006C4-22D7-44F2-A84D-B6DD7965DBAC}">
      <formula1>$B$3159:$B$3166</formula1>
    </dataValidation>
    <dataValidation type="list" allowBlank="1" showInputMessage="1" showErrorMessage="1" sqref="D892:D897" xr:uid="{33657BFF-0CDD-48B8-89A4-9EBE8E337F40}">
      <formula1>$B$3177:$B$3183</formula1>
    </dataValidation>
    <dataValidation type="list" allowBlank="1" showInputMessage="1" showErrorMessage="1" sqref="D882:D887" xr:uid="{5548C614-23C9-4C26-BBEF-7FA0D902C965}">
      <formula1>$B$3170:$B$3174</formula1>
    </dataValidation>
    <dataValidation type="list" allowBlank="1" showInputMessage="1" showErrorMessage="1" sqref="C1363 C1593 C1583 C1573 C1563 C1553 C1543 C1533 C1483 C1473 C1463 C1453 C1443 C1433 C1423 C1413 C1403 C1393 C1383 C1373 C1523 C1513 C1503 C1493" xr:uid="{90255B5D-9F9D-4A34-9C7C-18742B808E37}">
      <formula1>#REF!</formula1>
    </dataValidation>
    <dataValidation type="list" allowBlank="1" showInputMessage="1" showErrorMessage="1" sqref="BG55:BH55" xr:uid="{ED0B844F-93E7-4193-A02F-077F8B0FA7E3}">
      <formula1>$D$3396:$D$3398</formula1>
    </dataValidation>
    <dataValidation type="list" errorStyle="information" allowBlank="1" showInputMessage="1" showErrorMessage="1" sqref="C244:D244" xr:uid="{934FD5C3-658F-4A61-A94B-15F0532090D7}">
      <formula1>$B$2780:$B$2796</formula1>
    </dataValidation>
    <dataValidation type="list" allowBlank="1" showInputMessage="1" showErrorMessage="1" prompt="charged as?" sqref="C279 C299 C295 C291 C287 C283" xr:uid="{4290CA01-BCA2-4224-A506-5DFF76625D78}">
      <formula1>$C$2889:$C$2891</formula1>
    </dataValidation>
    <dataValidation type="list" allowBlank="1" showInputMessage="1" showErrorMessage="1" prompt="how adjudicated?" sqref="D279 D299 D295 D291 D287 D283" xr:uid="{47E4719E-F6CC-444A-AA4F-D3C94653FA76}">
      <formula1>$D$2884:$D$2887</formula1>
    </dataValidation>
    <dataValidation type="list" allowBlank="1" showInputMessage="1" showErrorMessage="1" prompt="relation to claimant?" sqref="B280 B300 B296 B292 B288 B284" xr:uid="{28143417-2488-4097-A3E0-DCAEF4365D8D}">
      <formula1>$B$2889:$B$2895</formula1>
    </dataValidation>
    <dataValidation type="list" allowBlank="1" showInputMessage="1" showErrorMessage="1" prompt="convicted as?" sqref="C280 C300 C296 C292 C288 C284" xr:uid="{D17E1920-F079-4D85-A4C0-B4714F75BAC1}">
      <formula1>$C$2889:$C$2891</formula1>
    </dataValidation>
    <dataValidation type="list" allowBlank="1" showInputMessage="1" showErrorMessage="1" prompt="verdict?" sqref="D280 D300 D296 D292 D288 D284" xr:uid="{B4BBB3F6-F69F-4CE7-9F02-1ADCA07D49EB}">
      <formula1>$D$2889:$D$2891</formula1>
    </dataValidation>
    <dataValidation type="list" allowBlank="1" showInputMessage="1" showErrorMessage="1" prompt="know where this codefendant currently lives?" sqref="B281 B301 B297 B293 B289 B285" xr:uid="{06781B27-DD4B-4261-8D4F-777874120171}">
      <formula1>$B$2897:$B$2905</formula1>
    </dataValidation>
    <dataValidation type="list" allowBlank="1" showInputMessage="1" showErrorMessage="1" prompt="claims to know real culprit?" sqref="C281 C301 C297 C293 C289 C285" xr:uid="{43305139-2C34-4BAA-95B5-65E1A73FB5B3}">
      <formula1>$C$2897:$C$2899</formula1>
    </dataValidation>
    <dataValidation type="list" allowBlank="1" showInputMessage="1" showErrorMessage="1" prompt="also claims innocence?" sqref="D281 D301 D297 D293 D289 D285" xr:uid="{1D709254-CCD2-4BA4-9027-761814D0B3F1}">
      <formula1>$D$2897:$D$2899</formula1>
    </dataValidation>
    <dataValidation type="list" allowBlank="1" showInputMessage="1" showErrorMessage="1" sqref="D326" xr:uid="{6954B286-17BE-4535-930E-D018B0BFF508}">
      <formula1>$D$2926:$D$2933</formula1>
    </dataValidation>
    <dataValidation type="list" allowBlank="1" showInputMessage="1" showErrorMessage="1" sqref="B220:D220" xr:uid="{760AF85A-A394-4F99-8750-62B604F2E44E}">
      <formula1>$B$2745:$B$2751</formula1>
    </dataValidation>
    <dataValidation type="list" allowBlank="1" showInputMessage="1" showErrorMessage="1" sqref="B222:D222" xr:uid="{0EF8EE50-A35F-4A4C-81B5-1747C6979198}">
      <formula1>$B$2754:$B$2755</formula1>
    </dataValidation>
    <dataValidation type="list" allowBlank="1" showInputMessage="1" showErrorMessage="1" sqref="D325 D327" xr:uid="{872EC58A-F636-411E-94BF-E2842BC2E2FA}">
      <formula1>$E$2947:$E$2958</formula1>
    </dataValidation>
    <dataValidation type="list" allowBlank="1" showInputMessage="1" showErrorMessage="1" sqref="B500:C500" xr:uid="{8BA8FFB2-086C-4DF4-B4DE-85CEA620F308}">
      <formula1>$B$2989:$B$2998</formula1>
    </dataValidation>
    <dataValidation type="list" allowBlank="1" showInputMessage="1" showErrorMessage="1" sqref="C1938" xr:uid="{B2F70744-4F56-42B5-8826-2AFCE1344617}">
      <formula1>$AP$1937:$AP$1942</formula1>
    </dataValidation>
    <dataValidation type="list" errorStyle="information" allowBlank="1" showInputMessage="1" showErrorMessage="1" sqref="D1939" xr:uid="{E22B69A6-DF93-40FC-B285-C6B9EB5385D5}">
      <formula1>$AS$1937:$AS$1942</formula1>
    </dataValidation>
    <dataValidation type="list" errorStyle="information" allowBlank="1" showInputMessage="1" showErrorMessage="1" sqref="B1985" xr:uid="{5E43F472-D0CB-4490-9971-050051D6D2BF}">
      <formula1>$AD$1983:$AD$1984</formula1>
    </dataValidation>
    <dataValidation type="list" errorStyle="information" allowBlank="1" showInputMessage="1" showErrorMessage="1" sqref="D1938" xr:uid="{F3233DFB-82E2-4EC7-9DD4-1EAF5D4AECAC}">
      <formula1>$AA$1936:$AA$1938</formula1>
    </dataValidation>
    <dataValidation type="list" allowBlank="1" showInputMessage="1" showErrorMessage="1" sqref="D1985" xr:uid="{B573D8D2-869A-45DB-80DF-45DFC9DCD3C0}">
      <formula1>$AB$1983:$AB$1985</formula1>
    </dataValidation>
    <dataValidation type="list" errorStyle="information" allowBlank="1" showInputMessage="1" showErrorMessage="1" sqref="C1953:D1953 C1857 C2014:D2014" xr:uid="{23A51F75-1807-4F82-9FFF-BF73A231E62A}">
      <formula1>$BG$1937:$BG$1944</formula1>
    </dataValidation>
    <dataValidation type="list" errorStyle="information" allowBlank="1" showInputMessage="1" showErrorMessage="1" sqref="C1954:D1954 C1858 C2015:D2015" xr:uid="{29FC4636-B48A-4E51-932E-267DC6E93562}">
      <formula1>$BI$1937:$BI$1944</formula1>
    </dataValidation>
    <dataValidation type="list" errorStyle="information" allowBlank="1" showInputMessage="1" showErrorMessage="1" sqref="C1955:D1955 C1859 C2016:D2016" xr:uid="{31556AD3-E2B6-4FF4-B16C-6F434D4DD065}">
      <formula1>$BK$1937:$BK$1944</formula1>
    </dataValidation>
    <dataValidation type="list" errorStyle="information" allowBlank="1" showInputMessage="1" showErrorMessage="1" sqref="C2032" xr:uid="{63E4355A-807A-46BF-8479-9B73D5889024}">
      <formula1>$AE$2031:$AE$2034</formula1>
    </dataValidation>
    <dataValidation type="list" errorStyle="information" allowBlank="1" showInputMessage="1" showErrorMessage="1" sqref="C2033" xr:uid="{F1969517-895D-461C-A781-6F685F70D440}">
      <formula1>$AX$2031:$AX$2034</formula1>
    </dataValidation>
    <dataValidation type="list" allowBlank="1" showInputMessage="1" showErrorMessage="1" sqref="C2079" xr:uid="{F1F2F157-E601-4FF8-B980-25CA43C08C1D}">
      <formula1>$AE$2078:$AE$2081</formula1>
    </dataValidation>
    <dataValidation type="list" errorStyle="information" allowBlank="1" showInputMessage="1" showErrorMessage="1" sqref="D2079 D2224:E2224" xr:uid="{BB71AC77-18D8-4CAF-A290-D50A4FB911EE}">
      <formula1>$AG$2079:$AG$2081</formula1>
    </dataValidation>
    <dataValidation type="list" allowBlank="1" showInputMessage="1" showErrorMessage="1" sqref="C2080" xr:uid="{3F708050-0853-451B-9845-3FE811DEF890}">
      <formula1>$AX$2031:$AX$2034</formula1>
    </dataValidation>
    <dataValidation type="list" errorStyle="information" allowBlank="1" showInputMessage="1" showErrorMessage="1" sqref="C2126" xr:uid="{A157F211-16A1-45BE-95C3-61B93EF5DCAD}">
      <formula1>$DZ$3213:$DZ$3219</formula1>
    </dataValidation>
    <dataValidation type="list" errorStyle="information" allowBlank="1" showInputMessage="1" showErrorMessage="1" sqref="C2223:E2223 C2318:E2318 C2269:E2269" xr:uid="{C38956D4-4319-497F-83E6-098DAB38FD9D}">
      <formula1>$DX$3224:$DX$3240</formula1>
    </dataValidation>
    <dataValidation type="list" errorStyle="information" allowBlank="1" showInputMessage="1" showErrorMessage="1" sqref="C2127 C2224" xr:uid="{2C169B83-CFFF-4B00-BBBE-CBC97157DFE5}">
      <formula1>$AE$2125:$AE$2128</formula1>
    </dataValidation>
    <dataValidation type="list" allowBlank="1" showInputMessage="1" showErrorMessage="1" sqref="C2129:E2129" xr:uid="{A74EF8EB-BDDC-4D27-B061-4E09CF6C2C0C}">
      <formula1>$AI$2125:$AI$2128</formula1>
    </dataValidation>
    <dataValidation type="list" errorStyle="warning" allowBlank="1" showInputMessage="1" showErrorMessage="1" sqref="C2168 C1933 C2027 C1980 C2074 C2071 C2121 C2262:C2265" xr:uid="{D2FDB38C-513F-4C61-A042-5AFFF8BBB326}">
      <formula1>$BJ$2164:$BJ$2169</formula1>
    </dataValidation>
    <dataValidation type="list" errorStyle="warning" allowBlank="1" showInputMessage="1" showErrorMessage="1" sqref="D2168 D1933 D2027 D1980 D2074 D2071 D2121 D2262:D2265" xr:uid="{9385E021-69A5-4998-926E-FB5345EB82AF}">
      <formula1>$BY$2164:$BY$2168</formula1>
    </dataValidation>
    <dataValidation type="list" allowBlank="1" showInputMessage="1" showErrorMessage="1" sqref="B2360:E2360" xr:uid="{525538DD-51DD-459C-B1D5-FF3F8D0B339D}">
      <formula1>$AG$2361:$AG$2364</formula1>
    </dataValidation>
    <dataValidation type="list" allowBlank="1" showInputMessage="1" showErrorMessage="1" sqref="C2226:E2226" xr:uid="{3F041D5F-9FB2-4E6F-8B96-10CBA8B18730}">
      <formula1>$AI$2222:$AI$2225</formula1>
    </dataValidation>
    <dataValidation type="list" allowBlank="1" showInputMessage="1" showErrorMessage="1" sqref="C2346" xr:uid="{D78100CD-801B-409A-92DC-AE6203452B7A}">
      <formula1>$BG$2811:$BG$2861</formula1>
    </dataValidation>
    <dataValidation type="list" allowBlank="1" showInputMessage="1" showErrorMessage="1" sqref="C2351 E2351" xr:uid="{50EF28B5-0CDF-4A94-9555-CB35EFDDE4FC}">
      <formula1>$BM$2811:$BM$2860</formula1>
    </dataValidation>
    <dataValidation type="whole" errorStyle="warning" allowBlank="1" showInputMessage="1" showErrorMessage="1" errorTitle="TOO HIGH" error="Keep the amount under $100,000" sqref="B2327" xr:uid="{D492F46A-4D82-48AD-BA56-C93D09DFF497}">
      <formula1>1</formula1>
      <formula2>100000</formula2>
    </dataValidation>
    <dataValidation type="whole" errorStyle="warning" allowBlank="1" showInputMessage="1" showErrorMessage="1" errorTitle="TOO HIGH" error="Keep the amount under $1,000,000" sqref="B2328:B2330" xr:uid="{7C53B160-FF4D-4E1E-9106-4F631923D52F}">
      <formula1>1</formula1>
      <formula2>1000000</formula2>
    </dataValidation>
    <dataValidation type="list" allowBlank="1" showInputMessage="1" showErrorMessage="1" sqref="C2373:C2374" xr:uid="{C99F9925-F8E5-4D79-B971-42C0C2E437A7}">
      <formula1>$BF$2365:$BF$2367</formula1>
    </dataValidation>
    <dataValidation type="list" allowBlank="1" showInputMessage="1" showErrorMessage="1" sqref="C2375:C2376" xr:uid="{3557F24D-6D27-4306-A328-E0AC2396B77E}">
      <formula1>$BF$2368:$BF$2370</formula1>
    </dataValidation>
    <dataValidation type="list" allowBlank="1" showInputMessage="1" showErrorMessage="1" sqref="C2377:C2378" xr:uid="{B3168C91-5AC4-4CAD-8FA6-59E8D7B8B653}">
      <formula1>$BF$2371:$BF$2373</formula1>
    </dataValidation>
    <dataValidation type="list" allowBlank="1" showInputMessage="1" showErrorMessage="1" sqref="C2379:C2380" xr:uid="{24A85015-5B3C-40E2-AC4A-3728163D2A9D}">
      <formula1>$BF$2374:$BF$2376</formula1>
    </dataValidation>
    <dataValidation type="list" allowBlank="1" showInputMessage="1" showErrorMessage="1" sqref="C2381:C2382" xr:uid="{55B87585-C964-4112-82A2-428E3D4170CA}">
      <formula1>$BF$2377:$BF$2379</formula1>
    </dataValidation>
    <dataValidation type="list" allowBlank="1" showInputMessage="1" showErrorMessage="1" sqref="C2383:C2384" xr:uid="{338716DC-3E9F-44A3-AF16-952F61A434F9}">
      <formula1>$BF$2380:$BF$2382</formula1>
    </dataValidation>
    <dataValidation type="list" allowBlank="1" showInputMessage="1" showErrorMessage="1" sqref="C2385:C2386" xr:uid="{0BF79A10-4E55-4048-A205-6AD07053D012}">
      <formula1>$BF$2383:$BF$2385</formula1>
    </dataValidation>
    <dataValidation type="list" allowBlank="1" showInputMessage="1" showErrorMessage="1" sqref="C2387:C2388" xr:uid="{3D1746D6-631E-413B-BCAF-287151AAEF20}">
      <formula1>$BF$2386:$BF$2388</formula1>
    </dataValidation>
    <dataValidation type="list" allowBlank="1" showInputMessage="1" showErrorMessage="1" sqref="C2389:C2390" xr:uid="{2D5DF65A-77E9-4EE0-A1A3-2312300A772B}">
      <formula1>$BF$2389:$BF$2391</formula1>
    </dataValidation>
    <dataValidation type="list" errorStyle="information" allowBlank="1" showInputMessage="1" showErrorMessage="1" errorTitle="Write in another recipient" sqref="C2392:E2392" xr:uid="{DE7AF2C8-0BB2-4024-AB77-DD5BFC8CA4C0}">
      <formula1>$DX$3224</formula1>
    </dataValidation>
    <dataValidation type="list" errorStyle="information" allowBlank="1" showInputMessage="1" showErrorMessage="1" sqref="C2336:D2336" xr:uid="{24A31751-B883-438F-97E1-877B794BF5CE}">
      <formula1>$AD$2345:$AD$2350</formula1>
    </dataValidation>
    <dataValidation type="list" allowBlank="1" showInputMessage="1" showErrorMessage="1" sqref="D2314" xr:uid="{78AC151E-2ACC-42E3-BCFA-967748B0B3E7}">
      <formula1>$AD$2315:$AD$2318</formula1>
    </dataValidation>
    <dataValidation type="list" allowBlank="1" showInputMessage="1" showErrorMessage="1" sqref="D2327:D2331" xr:uid="{C47B4104-41C8-42EF-8B3A-BC00973CA027}">
      <formula1>$AW$2315:$AW$2318</formula1>
    </dataValidation>
    <dataValidation type="list" allowBlank="1" showInputMessage="1" showErrorMessage="1" sqref="B2337" xr:uid="{47362010-BF9B-416F-807C-96EC4B62E741}">
      <formula1>$AL$2345:$AL$2346</formula1>
    </dataValidation>
    <dataValidation type="list" allowBlank="1" showInputMessage="1" showErrorMessage="1" sqref="B2338" xr:uid="{2A245CF1-8B0E-4CC1-BD8E-2E3BCDF21CE8}">
      <formula1>$AL$2347:$AL$2348</formula1>
    </dataValidation>
    <dataValidation type="list" allowBlank="1" showInputMessage="1" showErrorMessage="1" sqref="B2339" xr:uid="{C1C995F0-A017-4904-BD17-F09B6147A599}">
      <formula1>$AL$2349:$AL$2350</formula1>
    </dataValidation>
    <dataValidation type="list" allowBlank="1" showInputMessage="1" showErrorMessage="1" sqref="B2340" xr:uid="{F7B01597-71A4-470B-97F1-838669024F54}">
      <formula1>$AL$2351:$AL$2352</formula1>
    </dataValidation>
    <dataValidation type="list" allowBlank="1" showInputMessage="1" showErrorMessage="1" sqref="B2342" xr:uid="{90A1136D-36E8-455B-B693-D901D4B6343C}">
      <formula1>$AP$2339:$AP$2343</formula1>
    </dataValidation>
    <dataValidation type="list" allowBlank="1" showInputMessage="1" showErrorMessage="1" sqref="C2399" xr:uid="{683AEFEC-B4A6-4488-B108-0B4FFBF901BB}">
      <formula1>$AG$2394:$AG$2397</formula1>
    </dataValidation>
    <dataValidation type="list" errorStyle="information" allowBlank="1" showInputMessage="1" showErrorMessage="1" sqref="B15:D21" xr:uid="{BEC3E597-44CE-454B-9990-53A0ED21A0DA}">
      <formula1>$BK$9:$BK$24</formula1>
    </dataValidation>
    <dataValidation type="textLength" errorStyle="warning" operator="lessThanOrEqual" allowBlank="1" showInputMessage="1" showErrorMessage="1" errorTitle="Oops!" error="You've reached the 2500-characters maximum. Try using fewer words." sqref="B935:D943" xr:uid="{2F338C02-5998-46CE-A93F-99F785B9EB2B}">
      <formula1>2500</formula1>
    </dataValidation>
  </dataValidations>
  <hyperlinks>
    <hyperlink ref="B523" r:id="rId1" xr:uid="{95C62FAC-2FAE-47A1-A897-05FE542C42E4}"/>
    <hyperlink ref="A591" r:id="rId2" xr:uid="{FE8C7CA0-35C5-4AEC-8D93-14825A6A921B}"/>
    <hyperlink ref="B907" location="input!B12" display="Claim Synopsis" xr:uid="{813D5538-9F16-47C0-B9D5-F329073C7D69}"/>
    <hyperlink ref="A158" location="'EIF draft E01'!A199:F354" tooltip="&gt;&gt; click to go to section A &lt;&lt;" display="A" xr:uid="{EF12DAFD-15D9-482A-B4EA-DA960A6E1377}"/>
    <hyperlink ref="A180" location="'EIF draft E01'!A826:N902" tooltip="&gt;&gt; click to go to section E &lt;&lt;" display="E." xr:uid="{0F388834-DC25-40C2-BF63-9D8E7B474DBC}"/>
    <hyperlink ref="A521" location="'EIF draft E01'!A162" tooltip="Contents menu" display="C.1" xr:uid="{18D4A152-AB22-4DEC-9818-14D3FF8B9BCD}"/>
    <hyperlink ref="A556" location="'EIF draft E01'!A164" tooltip="Contents menu" display="C.2" xr:uid="{2D5BD962-9AE6-4D37-87C7-BE4BDA4784B5}"/>
    <hyperlink ref="A590" location="'EIF draft E01'!A166" tooltip="Contents menu" display="C.3" xr:uid="{C9D90AE2-B834-4AC0-A775-5D91EBA69F68}"/>
    <hyperlink ref="A658" location="'EIF draft E01'!A170" tooltip="Contents menu" display="C.5" xr:uid="{F9B267BE-22B8-4D10-A27B-0AD9A156DD3F}"/>
    <hyperlink ref="A706" location="'EIF draft E01'!A172" tooltip="Contents menu" display="C.6" xr:uid="{9F28B051-7A53-47F5-AE2C-3B50E10B44AA}"/>
    <hyperlink ref="A745" location="'EIF draft E01'!A174" tooltip="Contents menu" display="C.7" xr:uid="{D02B2899-75AE-44AA-B737-6397FE048E36}"/>
    <hyperlink ref="A755" location="'EIF-new'!A126" tooltip="Contents menu" display="C.8" xr:uid="{5926A44B-0B5B-47DE-BF6A-CE65A45BA1B9}"/>
    <hyperlink ref="A783" location="'EIF draft E01'!A178" tooltip="Contents menu" display="D." xr:uid="{A1B95DA4-B0E5-4CF1-8267-B9FF10B8B133}"/>
    <hyperlink ref="A826" location="'EIF draft E01'!A180" tooltip="Contents menu" display="E." xr:uid="{F0EB5F29-8088-4F72-BC03-D76CC686B69D}"/>
    <hyperlink ref="A903" location="'EIF draft E01'!A182" tooltip="Contents menu" display="F." xr:uid="{326E5E94-05C1-4FFC-9D52-A5BE21D67152}"/>
    <hyperlink ref="AD3277" r:id="rId3" xr:uid="{A7664DCE-E653-4907-8C8E-CA5205C6130F}"/>
    <hyperlink ref="AB3300" r:id="rId4" xr:uid="{515ACB13-12F8-4A18-8D4F-9C6D31F98FF4}"/>
    <hyperlink ref="B831" r:id="rId5" xr:uid="{3BDC2156-C434-4539-BADD-2689158D5A7D}"/>
    <hyperlink ref="A355" location="'EIF draft E01'!A160" tooltip="Contents menu" display="B." xr:uid="{76505754-F6E2-48C1-81CD-10BE29E0DA0F}"/>
    <hyperlink ref="BB51" location="input!A1360" display="input!A1360" xr:uid="{ED0E7458-F384-4EEB-ACA9-5162586C7B9E}"/>
    <hyperlink ref="B1119" r:id="rId6" xr:uid="{38716EE8-34AA-4168-B2B4-8519B9BB26C1}"/>
    <hyperlink ref="A164" location="'EIF draft E01'!A556:F589" tooltip="&gt;&gt; click to go to section C.2 &lt;&lt;" display="C.2" xr:uid="{1A4717AC-BBAF-421A-A54D-EFD4AA7B1B16}"/>
    <hyperlink ref="A166" location="'EIF draft E01'!A590:F623" tooltip="&gt;&gt; click to go to section C.3 &lt;&lt;" display="C.3" xr:uid="{5C2D4BBB-9224-49E0-8362-732F275DDE1A}"/>
    <hyperlink ref="A168" location="'EIF draft E01'!A624:F657" tooltip="&gt;&gt; click to go section C.4 &lt;&lt;" display="C.4" xr:uid="{3598A851-4EE5-4AAD-8F7B-3E5157BD486F}"/>
    <hyperlink ref="A170" location="'EIF draft E01'!A658:F705" tooltip="&gt;&gt; click to go to section C.5 &lt;&lt;" display="C.5" xr:uid="{1FCCB396-55BE-4D15-A909-3548A0B4786F}"/>
    <hyperlink ref="A172" location="'EIF draft E01'!A704:F744" tooltip="&gt;&gt; click to go to section C.6 &lt;&lt;" display="C.6" xr:uid="{B3D54BCC-2CCC-493D-9EA0-0078CFEDF09D}"/>
    <hyperlink ref="A174" location="'EIF draft E01'!A745:F754" tooltip="&gt;&gt; click to go to section C.7 &lt;&lt;" display="C.7" xr:uid="{53985B9B-4DE8-4472-BAF0-32428F557691}"/>
    <hyperlink ref="A176" location="'EIF draft E01'!A755:F782" tooltip="&gt;&gt; click to go to section C.8 &lt;&lt;" display="C.8" xr:uid="{FDAFB8E7-C1D0-41DF-BAC9-EC7386ECA628}"/>
    <hyperlink ref="A178" location="'EIF draft E01'!A783:F825" tooltip="&gt;&gt; click to go to section D &lt;&lt;" display="D." xr:uid="{5F62C317-C934-4C09-97E9-858756E28F9B}"/>
    <hyperlink ref="A182" location="'EIF draft E01'!A903:F945" tooltip="&gt;&gt; click to go to section F &lt;&lt;" display="F." xr:uid="{88889E51-0401-4AD9-BCFA-D3FB74807928}"/>
    <hyperlink ref="A199" location="'EIF draft E01'!A158" tooltip="Contents menu above" display="A." xr:uid="{DECA432F-AF98-4A4F-91BC-A0190DBCF66D}"/>
    <hyperlink ref="A1126" location="'EIF draft E01'!A184" tooltip="Contents menu" display="G." xr:uid="{20D00C2C-DBFB-4753-A5C9-1BE926222C83}"/>
    <hyperlink ref="A1352" location="input!A140" tooltip="Contents menu" display="J." xr:uid="{5D4563B9-8D21-402D-9F2C-3516ACC4099D}"/>
    <hyperlink ref="A1706" location="input!A144" tooltip="Contents menu" display="L." xr:uid="{80532A91-4119-4C24-A61F-7EF4449147EB}"/>
    <hyperlink ref="AR845" location="input!W214" display="GO" xr:uid="{38CDAFC5-0E66-427D-850C-53EE1BC4128A}"/>
    <hyperlink ref="BH315" location="input!Z725" display="Z725" xr:uid="{A11B95AF-2649-443D-BFED-6AF52EB24069}"/>
    <hyperlink ref="A946" location="input!A134" tooltip="Contents menu" display="G." xr:uid="{6BEBF154-7DDA-4772-938F-4D545352E706}"/>
    <hyperlink ref="C1649" location="'AI01'!A1" display="'AI01'!A1" xr:uid="{30A9D2D0-8B4D-4439-99D4-94731A84D94D}"/>
    <hyperlink ref="C1649:D1649" location="'N2'!A1" tooltip="&gt;&gt; click to go to N2 notification &lt;&lt;" display="'N2'!A1" xr:uid="{939C5129-BF48-4661-AD2F-E53E074823C7}"/>
    <hyperlink ref="C1669" location="'AI01'!A1" display="'AI01'!A1" xr:uid="{5965B449-5496-40BC-927D-512E29B0A304}"/>
    <hyperlink ref="C1669:D1669" location="'N4'!A1" tooltip="&gt;&gt; click to go to N4 notification &lt;&lt;" display="'N4'!A1" xr:uid="{F6C90896-75BA-4096-9FD5-EBD01CE9767B}"/>
    <hyperlink ref="C1679" location="'AI01'!A1" display="'AI01'!A1" xr:uid="{EE8CCE68-00E1-4F6D-8AC7-32F9CD51AF0E}"/>
    <hyperlink ref="C1679:D1679" location="'N5'!A1" tooltip="&gt;&gt; click to go to N5 notification &lt;&lt;" display="'N5'!A1" xr:uid="{97FD61C9-B351-42C4-AB4F-E0F5C6B12922}"/>
    <hyperlink ref="C1689" location="'AI01'!A1" display="'AI01'!A1" xr:uid="{55F5B929-8779-403D-9E04-1038AE99975A}"/>
    <hyperlink ref="C1689:D1689" location="'N6'!A1" tooltip="&gt;&gt; click to go to N6 notification &lt;&lt;" display="'N6'!A1" xr:uid="{23A1E2F1-69AE-43EB-9BB4-DF5059EB09CD}"/>
    <hyperlink ref="A1357:B1357" location="'S01'!C4" display="'S01'!C4" xr:uid="{B580DC0C-596E-4B90-8BF0-13872E4C7F3D}"/>
    <hyperlink ref="C1639:D1639" location="'N1'!A1:J1" tooltip="&gt;&gt; go to N1 notification &lt;&lt;" display="'N1'!A1:J1" xr:uid="{1D64D3AD-41DE-49D9-9733-CB6746EBC6BE}"/>
    <hyperlink ref="B1357" location="'S01'!A1:F1" tooltip="CLICK to go to Supporter 1 tab" display="Supporter 01:" xr:uid="{7447DA0C-9364-4894-8595-708A8A6C99EA}"/>
    <hyperlink ref="C1659" location="'AI01'!A1" display="'AI01'!A1" xr:uid="{B6B97E63-8060-4B0F-89FE-5E9D9A3279FF}"/>
    <hyperlink ref="C1659:D1659" location="'N3'!A1" tooltip="&gt;&gt; click to go to N3 notification &lt;&lt;" display="'N3'!A1" xr:uid="{39F0567E-2968-443B-B3C9-8766D60CB92A}"/>
    <hyperlink ref="A1258" location="input!A138" tooltip="Contents menu" display="I. " xr:uid="{0940F0DE-1622-4A56-AE92-1FA29A5C76BC}"/>
    <hyperlink ref="B755:E755" location="input!A1" tooltip="back to top" display="Process" xr:uid="{E234F46F-5B6F-4C8D-9B9B-515F7FC0FE2F}"/>
    <hyperlink ref="A624" location="'EIF draft E01'!A168" tooltip="Contents menu" display="C.4" xr:uid="{A6B4A6E4-9C86-4D42-AB70-D483BF7B473E}"/>
    <hyperlink ref="B946:E946" location="input!A1" tooltip="back to top" display="Dynamic Relating" xr:uid="{AF945739-14BF-42BC-B2B3-4D45154D6C40}"/>
    <hyperlink ref="B1258:E1258" location="input!A1" tooltip="back to top" display="Options" xr:uid="{BEE09CC8-F8A3-4866-AC58-1A42023A3C28}"/>
    <hyperlink ref="B1352:E1352" location="input!A1" tooltip="back to top" display="Supporter(s)" xr:uid="{61A41E20-3078-4253-ABCD-E0FD8B75C00E}"/>
    <hyperlink ref="B1632:E1632" location="input!A1" tooltip="back to top" display="Notifying" xr:uid="{0143C5A2-5038-4F5B-AADA-42B5DFEC56BA}"/>
    <hyperlink ref="B1706:E1706" location="input!A1" tooltip="back to top" display="Independent Verifier(s)" xr:uid="{1EF6DB7F-8E80-4F33-ABB7-CE6CEAE3F68D}"/>
    <hyperlink ref="B1367" location="'S02'!A1:F1" tooltip="CLICK to go to Supporter 2 tab" display="Supporter 02" xr:uid="{BA80DC9C-EF2B-4A47-9D42-BB98D3772710}"/>
    <hyperlink ref="B1377" location="'S03'!A1:F1" tooltip="CLICK to go to Supporter 3 tab" display="Supporter 03" xr:uid="{75940303-9527-4270-B283-AE424E63EAA6}"/>
    <hyperlink ref="B1387" location="'S04'!A1:F1" tooltip="CLICK to go to Supporter 4 tab" display="Supporter 04" xr:uid="{A26AFC43-4B82-4DF5-AA8D-C628E14E0F59}"/>
    <hyperlink ref="B1397" location="'N5'!A1:F1" tooltip="CLICK to go to Supporter 5 tab" display="Supporter 05" xr:uid="{602C3F70-1367-4308-8AD1-1166CCCC2B3A}"/>
    <hyperlink ref="B1407" location="'S06'!A1:F1" tooltip="CLICK to go to Supporter 6 tab" display="Supporter 06" xr:uid="{72D446CE-9D51-41ED-9686-BDBA5CC09DE3}"/>
    <hyperlink ref="B1417" location="'S07'!A1:F1" tooltip="CLICK to go to Supporter 7 tab" display="Supporter 07" xr:uid="{BDBAC865-C635-4276-AE45-8F2FDC7BBECB}"/>
    <hyperlink ref="B1427" location="'S08'!A1:F1" tooltip="CLICK to go to Supporter 8 tab" display="Supporter 08" xr:uid="{EFDE920A-28BC-46CD-9AA3-645E5F6FCFE3}"/>
    <hyperlink ref="B1437" location="'S09'!A1:F1" tooltip="CLICK to go to Supporter 9 tab" display="Supporter 09" xr:uid="{3D6D866B-1811-4C8C-ABB6-5EDB2A18D1FE}"/>
    <hyperlink ref="B1447" location="'S10'!A1:F1" tooltip="CLICK to go to Supporter 10 tab" display="Supporter 10" xr:uid="{2F48627A-6805-4A30-A682-A1F0602DF17D}"/>
    <hyperlink ref="B1457" location="'S11'!A1:F1" tooltip="CLICK to go to Supporter 11 tab" display="Supporter 11" xr:uid="{E57081EA-44B3-437C-898C-5EABB66BE638}"/>
    <hyperlink ref="B1467" location="'S12'!A1:F1" tooltip="CLICK to go to Supporter 12 tab" display="Supporter 12" xr:uid="{4E6899DD-0FB9-4350-834F-553F86771B0D}"/>
    <hyperlink ref="B1477" location="'S13'!A1:F1" tooltip="CLICK to go to Supporter 13 tab" display="Supporter 13" xr:uid="{446B9CC3-3D92-4382-933F-E0072B079C85}"/>
    <hyperlink ref="B1487" location="'S14'!A1:F1" tooltip="CLICK to go to Supporter 14 tab" display="Supporter 14" xr:uid="{97E32238-3D5E-4F26-AA8B-0F77072A8B1D}"/>
    <hyperlink ref="B597" r:id="rId7" tooltip="Wikipedia entry" xr:uid="{F95A1002-271E-4F3B-80D6-42C0206225AD}"/>
    <hyperlink ref="B592" r:id="rId8" tooltip="Government website info on tunnel vision" xr:uid="{6CF0EE88-18AA-40DA-850F-0B91A96DE210}"/>
    <hyperlink ref="B3197" r:id="rId9" display="http://www.wrongfulconvictionlawyers.com/state-statutes/" xr:uid="{AB8E1481-05BF-4D05-9F95-BF6D212FC945}"/>
    <hyperlink ref="AB3292" r:id="rId10" xr:uid="{3E90A02F-3E33-47AD-AD3E-45343A7C6E94}"/>
    <hyperlink ref="AB3294" r:id="rId11" xr:uid="{6A8A3F29-93B3-4448-9BA1-A7A8F6015F92}"/>
    <hyperlink ref="AB3329" r:id="rId12" xr:uid="{FB8A530E-6DCC-4ACC-B12B-55D26AF71781}"/>
    <hyperlink ref="B1179" r:id="rId13" tooltip="Hoffman, Morris B. (2007). The Myth of Factual Innocence. 82 Chi.-Kent L. Rev. 663. | judicial official | def. &quot;actual innocence&quot; | qualitative method" xr:uid="{6D56DCEC-412A-4236-B730-8F9958ED805A}"/>
    <hyperlink ref="AC1176:AE1176" r:id="rId14" tooltip="source" display="https://leg.mt.gov/content/Committees/Interim/2019-2020/Law-and-Justice/Meetings/Nov-2019/sj19-doj-map-sex-offenders-per-capita-november-2019.pdf" xr:uid="{2D64B473-490F-4270-BC2B-465084493803}"/>
    <hyperlink ref="B1182" r:id="rId15" tooltip="Cassell, Paul G. (2018). Overstating America’s Wrongful Conviction Rate? Reassessing the Conventional Wisdom About the Prevalence of Wrongful Convictions. Arizona Law Review, 60:815." xr:uid="{4005CB12-CEF8-4CAD-84F9-84896191B47A}"/>
    <hyperlink ref="B1185" r:id="rId16" tooltip="Kansas v. Marsh (2006). U.S. Supreme Court Justice Antonin Scalia, quoting Joshua Marquis in U.S. Supreme Court opinion; Marquis, J. (2005). The Myth of Innocence, 95 J. Crim. L. &amp; Criminology 501." xr:uid="{BBFF9B7A-F208-4A51-9C92-F936D4887598}"/>
    <hyperlink ref="B1188" r:id="rId17" tooltip="Zalman, Marvin (2012). Qualitatively Estimating the Incidence of Wrongful Convictions. Criminal Law Bulletin, 48:2, 219-279." xr:uid="{A6FEF534-2B04-4978-A6E0-08A0EF5D5152}"/>
    <hyperlink ref="B1191" r:id="rId18" tooltip="Ramsey, Robert H. and Frank, James (2007). Wrongful Conviction: Perceptions of Criminal Justice Professionals Regarding the Frequency of Wrongful Conviction and the Extent of System Errors. Crime &amp; Delinq, 53:3, 436-470." xr:uid="{7E1D6A50-8DCA-4993-AE0D-67B285FCD045}"/>
    <hyperlink ref="B1194" r:id="rId19" tooltip="Gross, Samuel R. (2008). “Frequency and Predictors of False Conviction: Why We Know So Little, and New Data on Capital Cases.” B. O’Brien, co-author. J. Empirical Legal Stud. 5, no. 4: 927-6" xr:uid="{EA09CBF8-D5B9-47FE-A962-656F072754EF}"/>
    <hyperlink ref="B1197" r:id="rId20" tooltip="Risinger, D.M. (2007). Innocents Convicted: An Empirical Justified Factual Wrongful Conviction Rate, J. Crim. L. &amp; Criminology 97:761." xr:uid="{D3C0CFF9-1084-47C4-962F-9349B82A13DA}"/>
    <hyperlink ref="B1200" r:id="rId21" tooltip="Samuel R. Gross, Barbara O’Brien, Chen Hu, and Edward H. Kennedy (2014). Rate of False Conviction of Criminal Defendants Who are Sentenced to Death. Proceedings of the National Academy of Science, 111:2, 7230-7235." xr:uid="{713696D6-21FB-494F-865D-A64741621AF5}"/>
    <hyperlink ref="B1203" r:id="rId22" tooltip="John Roman, Kelly Walsh, Pamela Lachman, and Jennifer Yahner (2012). Post-Conviction DNA Testing and Wrongful Conviction. Urban Institute." xr:uid="{3269B70E-31B9-4883-8061-7E98A5772C43}"/>
    <hyperlink ref="B1206" r:id="rId23" tooltip="Loeffler, C.E., Hyatt, J. &amp; Ridgeway, G. (2019). Measuring Self-Reported Wrongful Convictions Among Prisoners. J Quant Criminol 35, 259–286." xr:uid="{49E49D09-591D-4E72-A841-A6CE45C4E68C}"/>
    <hyperlink ref="B1209" r:id="rId24" tooltip="Walsh, K., Hussemann, J., Flynn, A., Yahner, J., Golian, L. (2017). Estimating the Prevalence of Wrongful Conviction. Office of Justice Programs’ National Criminal Justice Reference Service." xr:uid="{507F9A7E-EF72-4CCD-BABE-67849C454601}"/>
    <hyperlink ref="B1212" r:id="rId25" tooltip="Poveda, T.G. (2001). Estimating Wrongful Convictions. Justice Quarterly, 18:3, 689-708." xr:uid="{446EBCD6-6E48-4B9B-B664-68F6FF81CA2C}"/>
    <hyperlink ref="A162" location="'EIF draft E01'!A521:F555" tooltip="&gt;&gt; click to go to section C.1 &lt;&lt;" display="C.1" xr:uid="{DC48CEC9-6CAF-4D39-9C14-BB035C27C803}"/>
    <hyperlink ref="B199" location="'EIF draft E01'!A1:F1" tooltip="back to top" display="Case information" xr:uid="{116DDD9E-E645-4D37-B858-46C52CE841D9}"/>
    <hyperlink ref="B355" location="'EIF draft E01'!A1:F1" tooltip="back to top" display="Documentation for verification" xr:uid="{990FF9A8-F163-4D7D-8BA1-2DE0FEB04ABD}"/>
    <hyperlink ref="B521" location="'EIF draft E01'!A1:F1" tooltip="back to top" display="Common factors in wrongful convictions" xr:uid="{4E940FD8-440A-4517-9DEB-E74947D43830}"/>
    <hyperlink ref="B590" location="'EIF draft E01'!A1:F1" tooltip="back to top" display="Investigative factors" xr:uid="{F6A073E6-F7DE-4086-862E-2A6974648777}"/>
    <hyperlink ref="B624" location="'EIF draft E01'!A1:F1" tooltip="back to top" display="Complicating factors" xr:uid="{CB66AE10-3B33-44C7-9358-EC3DEBA3E54E}"/>
    <hyperlink ref="B658" location="'EIF draft E01'!A1:F1" tooltip="back to top" display="Claimant’s demonstratable innocence" xr:uid="{E8025CB6-F458-4E33-8311-60E098D645BD}"/>
    <hyperlink ref="B706" location="'EIF draft E01'!A1:F1" tooltip="back to top" display="Claimant’s innocence recognized by others" xr:uid="{79A83371-4A83-4DC4-A80E-F957B1661563}"/>
    <hyperlink ref="B745" location="'EIF draft E01'!A1:F1" tooltip="back to top" display="Other" xr:uid="{BE5C68C6-5800-4BE4-8294-83B5C7FA184A}"/>
    <hyperlink ref="B783" location="'EIF draft E01'!A1:F1" tooltip="back to top" display="Requests and responses for exoneration help" xr:uid="{4CF04D60-24B8-4EDC-AE24-61C431751B1A}"/>
    <hyperlink ref="B826" location="'EIF draft E01'!A1:F1" tooltip="back to top" display="Collateral consequences of wrongful conviction" xr:uid="{47B8C3E8-57A1-4405-9399-60D3C787C54E}"/>
    <hyperlink ref="B903" location="'EIF draft E01'!A1:F1" tooltip="back to top" display="Claimant narrative" xr:uid="{337255F7-0AD2-487F-AF49-F3E69720AD5E}"/>
    <hyperlink ref="B1126" location="'EIF draft E01'!A1:F1" tooltip="back to top" display="Compensation" xr:uid="{DC1B2D00-68C4-4F03-9161-C9D141775E48}"/>
    <hyperlink ref="B1168" location="'EIF draft E01'!A1:F1" tooltip="back to top" display="You're not alone" xr:uid="{F0E9FAB0-639D-4FC7-84AC-51E990663DFC}"/>
    <hyperlink ref="A1168" location="'EIF draft E01'!A186" display="H." xr:uid="{B768F819-B563-4C00-A8C0-4C219E5CFC5B}"/>
    <hyperlink ref="F199" location="'EIF draft E01'!A355:F355" tooltip="to B. Documentation for verfication" display="$" xr:uid="{E9142C7C-6F1D-4FC2-93E9-EFB9B8828864}"/>
    <hyperlink ref="F355" location="'EIF draft E01'!A521:F521" tooltip="to C.1 Common factors in wrongful convictions" display="$" xr:uid="{2E103E3C-7AE4-474E-ACA8-5B337A0D6B53}"/>
    <hyperlink ref="F521" location="'EIF draft E01'!A556:F556" tooltip="to C.2 Evidentiary factors" display="$" xr:uid="{36A696C4-3758-4A93-ACC4-4DBAFAF0722B}"/>
    <hyperlink ref="F755" location="'EIF draft E01'!A783:F783" tooltip="to D. Requests &amp; responses for exoneration help" display="$" xr:uid="{FFFA7794-B71D-47A4-97CB-735CDAEF7AEE}"/>
    <hyperlink ref="F745" location="'EIF draft E01'!A755:F755" tooltip="C.8 Process" display="$" xr:uid="{30AEA3FD-90AA-4ED5-B2C3-8C00D7835541}"/>
    <hyperlink ref="F706" location="'EIF draft E01'!A745:F745" tooltip="to C.7 Other" display="$" xr:uid="{3B0F990A-E20B-400C-9662-147F932DC93D}"/>
    <hyperlink ref="F658" location="'EIF draft E01'!A706:F706" tooltip="to C.6 Claimant's innocence recognized by others" display="$" xr:uid="{77B84C97-03B7-4394-9DF0-59263D5EDF9C}"/>
    <hyperlink ref="F624" location="'EIF draft E01'!A658:F658" tooltip="to C.5 Claimant's demonstrable innocence" display="$" xr:uid="{DC04FDAD-8755-4327-A44E-36D2FDAAF484}"/>
    <hyperlink ref="F590" location="'EIF draft E01'!A624:F624" tooltip="to C.4 Complicating factors" display="$" xr:uid="{F73B2B5F-A699-4B14-92A6-61E16F31CBD4}"/>
    <hyperlink ref="F556" location="'EIF draft E01'!A590:F590" tooltip="to C.3 Investigative factors" display="$" xr:uid="{B5627173-A86F-4972-B1D7-F77DDA909C67}"/>
    <hyperlink ref="A184" location="'EIF draft E01'!A1126:F1167" tooltip="&gt;&gt; click to go to section G &lt;&lt;" display="'EIF draft E01'!A1126:F1167" xr:uid="{219D9865-63C2-4662-AA96-78206CBD40F7}"/>
    <hyperlink ref="A186" location="'EIF draft E01'!A1168:F1217" tooltip="&gt;&gt; click to go to section H &lt;&lt;" display="'EIF draft E01'!A1168:F1217" xr:uid="{70FB3C19-91BD-446D-A069-D39B52A0BE3F}"/>
    <hyperlink ref="F783" location="'EIF draft E01'!A826:F826" tooltip="to E. Collateral consequences of wrongful conviction" display="$" xr:uid="{B6C09A25-CDBD-4052-8FAA-F16CEBF3AFC1}"/>
    <hyperlink ref="F826" location="'EIF draft E01'!A903:F903" tooltip="F. Claimant narrative" display="$" xr:uid="{1DECB100-1C1E-418A-B2B8-3917058BBA02}"/>
    <hyperlink ref="F903" location="'EIF draft E01'!A1126:F1126" tooltip="G. Compensation" display="$" xr:uid="{50A973C7-190B-4D04-8BA5-06CFBAE59451}"/>
    <hyperlink ref="F1126" location="'EIF draft E01'!A1168:F1168" tooltip="H. You're not alone" display="$" xr:uid="{6BE7F1E1-DACC-412A-BC42-C09BC4212E8E}"/>
    <hyperlink ref="F1168" location="'EIF draft E01'!A1218:F1218" tooltip="Using your Estimated Innocence" display="$" xr:uid="{5502D522-F850-45B4-A557-E0722F7190C3}"/>
    <hyperlink ref="B556" location="'EIF draft E01'!A1:F1" tooltip="back to top" display="Evidentiary factors" xr:uid="{FE2F2453-6367-4BD0-95CF-20211489D112}"/>
    <hyperlink ref="B755" location="'EIF-new'!A1" tooltip="back to top" display="Process" xr:uid="{B3295C29-D792-45B5-B7F2-B3763B51C362}"/>
    <hyperlink ref="D1172" r:id="rId26" tooltip="Click to go online for the lastest count" xr:uid="{C641BC4A-5960-45D8-BB45-FA081C9917C8}"/>
    <hyperlink ref="CG3211" r:id="rId27" xr:uid="{07E48F82-FA2C-4C48-9597-22DF20A694D2}"/>
    <hyperlink ref="BV3210" r:id="rId28" xr:uid="{1F95E67F-B615-41B8-AE2A-C3804D788A84}"/>
    <hyperlink ref="AD2265" r:id="rId29" xr:uid="{9900A9F2-833B-4A12-A32F-D11E9291A739}"/>
    <hyperlink ref="AD2266" r:id="rId30" xr:uid="{2B548D40-3E48-4F2C-B230-D57EAC440553}"/>
    <hyperlink ref="B2254" r:id="rId31" tooltip="click to view PDF article online" display="https://core.ac.uk/download/pdf/144229415.pdf" xr:uid="{83752C6F-C0F8-460E-955E-6BDD77BD988A}"/>
    <hyperlink ref="BG2861" r:id="rId32" xr:uid="{32069310-E4D9-4ED8-8117-37E6A2CE82FF}"/>
    <hyperlink ref="B160:D160" location="'EIF draft E01'!A1:KF1" display="'EIF draft E01'!A1:KF1" xr:uid="{967B616E-76C4-4C31-B9FF-91BCD8BC3DF7}"/>
    <hyperlink ref="B158" location="'EIF draft E01'!A1:F1" tooltip="to top of this document" display="'EIF draft E01'!A1:F1" xr:uid="{70B285A7-3CAA-4510-A021-723742126CF3}"/>
    <hyperlink ref="B160" location="'EIF draft E01'!A1:F1" tooltip="to top of this document" display="'EIF draft E01'!A1:F1" xr:uid="{E3B9C25F-644A-4922-B518-2F058105E629}"/>
    <hyperlink ref="B162" location="'EIF draft E01'!A1:F1" tooltip="to top of this document" display="'EIF draft E01'!A1:F1" xr:uid="{67111DCF-61A4-4B2B-BEEC-04DDF518BAC9}"/>
    <hyperlink ref="B164" location="'EIF draft E01'!A1:F1" tooltip="to top of this document" display="'EIF draft E01'!A1:F1" xr:uid="{6FB8BFE2-08A7-4771-9A42-D4F1FBB02126}"/>
    <hyperlink ref="B166" location="'EIF draft E01'!A1:F1" tooltip="to top of this document" display="'EIF draft E01'!A1:F1" xr:uid="{28D06DB2-F99E-498A-B8CA-D7328A377652}"/>
    <hyperlink ref="B168" location="'EIF draft E01'!A1:F1" tooltip="to top of this document" display="'EIF draft E01'!A1:F1" xr:uid="{4F56B9C9-ECF8-4D86-811F-0E34718E4192}"/>
    <hyperlink ref="B170" location="'EIF draft E01'!A1:F1" tooltip="to top of this document" display="'EIF draft E01'!A1:F1" xr:uid="{7859FEEA-BE43-4F22-A83C-EF63374971FB}"/>
    <hyperlink ref="B172" location="'EIF draft E01'!A1:F1" tooltip="to top of this document" display="'EIF draft E01'!A1:F1" xr:uid="{809F6C6A-9F4E-40D2-B289-238314E3B36C}"/>
    <hyperlink ref="B174" location="'EIF draft E01'!A1:F1" tooltip="to top of this document" display="'EIF draft E01'!A1:F1" xr:uid="{4D0E303D-B91E-43F0-8FA4-47A02C112CC4}"/>
    <hyperlink ref="B176" location="'EIF draft E01'!A1:F1" tooltip="to top of this document" display="'EIF draft E01'!A1:F1" xr:uid="{95BE56BC-F3A2-49D9-85C8-0439F145AB2E}"/>
    <hyperlink ref="B178" location="'EIF draft E01'!A1:F1" tooltip="to top of this document" display="'EIF draft E01'!A1:F1" xr:uid="{2745F948-8AA1-48C2-B928-12F5D1E00B77}"/>
    <hyperlink ref="B180" location="'EIF draft E01'!A1:F1" tooltip="to top of this document" display="'EIF draft E01'!A1:F1" xr:uid="{4E17CB17-4CF2-4B33-BE69-B5A5ADE0DBFA}"/>
    <hyperlink ref="B182" location="'EIF draft E01'!A1:F1" tooltip="to top of this document" display="'EIF draft E01'!A1:F1" xr:uid="{EAEA94C0-9FFE-4AF9-B0E7-9BC1CBA0B7D7}"/>
    <hyperlink ref="B184" location="'EIF draft E01'!A1:F1" tooltip="to top of this document" display="'EIF draft E01'!A1:F1" xr:uid="{BA2DC424-E190-465C-885B-F46BCC4F4045}"/>
    <hyperlink ref="B186" location="'EIF draft E01'!A1:F1" tooltip="to top of this document" display="'EIF draft E01'!A1:F1" xr:uid="{8FF58AA3-F68A-4D6E-B820-0406F754D568}"/>
    <hyperlink ref="A160" location="'EIF draft E01'!A355:F520" tooltip="&gt;&gt; click to go to section B &lt;&lt;" display="B" xr:uid="{AFB802D5-57DE-46AE-A5B9-528ABF808ADE}"/>
  </hyperlinks>
  <pageMargins left="0.7" right="0.7" top="0.75" bottom="0.75" header="0.3" footer="0.3"/>
  <pageSetup orientation="portrait" horizontalDpi="4294967293" r:id="rId33"/>
  <headerFooter>
    <oddHeader xml:space="preserve">&amp;L&amp;"-,Bold"&amp;14&amp;G&amp;C&amp;"Arial Black,Regular"&amp;12&amp;K461E64Estimated Innocence&amp;R&amp;D
</oddHeader>
    <oddFooter>&amp;L&amp;A&amp;C&amp;P&amp;R&amp;G</oddFooter>
  </headerFooter>
  <drawing r:id="rId34"/>
  <legacyDrawing r:id="rId35"/>
  <legacyDrawingHF r:id="rId36"/>
  <extLst>
    <ext xmlns:x14="http://schemas.microsoft.com/office/spreadsheetml/2009/9/main" uri="{78C0D931-6437-407d-A8EE-F0AAD7539E65}">
      <x14:conditionalFormattings>
        <x14:conditionalFormatting xmlns:xm="http://schemas.microsoft.com/office/excel/2006/main">
          <x14:cfRule type="containsText" priority="212" operator="containsText" id="{A0667488-27FF-4CD8-84FE-FE2438FE99D4}">
            <xm:f>NOT(ISERROR(SEARCH($BJ$2249,B2254)))</xm:f>
            <xm:f>$BJ$2249</xm:f>
            <x14:dxf>
              <font>
                <color theme="1" tint="0.24994659260841701"/>
              </font>
            </x14:dxf>
          </x14:cfRule>
          <xm:sqref>B2254</xm:sqref>
        </x14:conditionalFormatting>
        <x14:conditionalFormatting xmlns:xm="http://schemas.microsoft.com/office/excel/2006/main">
          <x14:cfRule type="containsText" priority="211" operator="containsText" id="{AD42DFFF-3ADB-4B58-B1C4-A3C3EFE1173E}">
            <xm:f>NOT(ISERROR(SEARCH($BH$2809,B2347)))</xm:f>
            <xm:f>$BH$2809</xm:f>
            <x14:dxf>
              <font>
                <color theme="0" tint="-0.24994659260841701"/>
              </font>
            </x14:dxf>
          </x14:cfRule>
          <xm:sqref>B2347</xm:sqref>
        </x14:conditionalFormatting>
        <x14:conditionalFormatting xmlns:xm="http://schemas.microsoft.com/office/excel/2006/main">
          <x14:cfRule type="containsText" priority="209" operator="containsText" id="{AD3A4609-4AE8-414A-B243-097AABB34736}">
            <xm:f>NOT(ISERROR(SEARCH($BH$2809,B2352)))</xm:f>
            <xm:f>$BH$2809</xm:f>
            <x14:dxf>
              <font>
                <color theme="0" tint="-0.24994659260841701"/>
              </font>
            </x14:dxf>
          </x14:cfRule>
          <xm:sqref>B2352</xm:sqref>
        </x14:conditionalFormatting>
        <x14:conditionalFormatting xmlns:xm="http://schemas.microsoft.com/office/excel/2006/main">
          <x14:cfRule type="containsText" priority="1315" operator="containsText" id="{CE7FA8EB-EEA0-4215-A80E-6D70BA184B95}">
            <xm:f>NOT(ISERROR(SEARCH($BE$2395,B2394)))</xm:f>
            <xm:f>$BE$2395</xm:f>
            <x14:dxf>
              <fill>
                <patternFill>
                  <bgColor rgb="FFCCFFCC"/>
                </patternFill>
              </fill>
            </x14:dxf>
          </x14:cfRule>
          <xm:sqref>B2394</xm:sqref>
        </x14:conditionalFormatting>
        <x14:conditionalFormatting xmlns:xm="http://schemas.microsoft.com/office/excel/2006/main">
          <x14:cfRule type="containsText" priority="76" operator="containsText" id="{FDD94D91-A75A-4586-8B83-D7CFD5202D58}">
            <xm:f>NOT(ISERROR(SEARCH($BD$2393,B2393)))</xm:f>
            <xm:f>$BD$2393</xm:f>
            <x14:dxf>
              <font>
                <color theme="2" tint="-0.24994659260841701"/>
              </font>
            </x14:dxf>
          </x14:cfRule>
          <x14:cfRule type="containsText" priority="80" operator="containsText" id="{DFAF1339-F485-4ACB-83D2-0F26D312CA83}">
            <xm:f>NOT(ISERROR(SEARCH($BE$2393,B2393)))</xm:f>
            <xm:f>$BE$2393</xm:f>
            <x14:dxf>
              <fill>
                <patternFill>
                  <bgColor rgb="FFCCFFCC"/>
                </patternFill>
              </fill>
            </x14:dxf>
          </x14:cfRule>
          <xm:sqref>B2393:C2393</xm:sqref>
        </x14:conditionalFormatting>
        <x14:conditionalFormatting xmlns:xm="http://schemas.microsoft.com/office/excel/2006/main">
          <x14:cfRule type="containsText" priority="3" operator="containsText" id="{34B8FD38-F91D-40DF-8530-5CA96162961B}">
            <xm:f>NOT(ISERROR(SEARCH($AH$15,B15)))</xm:f>
            <xm:f>$AH$15</xm:f>
            <x14:dxf>
              <font>
                <color rgb="FFCCFF99"/>
              </font>
            </x14:dxf>
          </x14:cfRule>
          <x14:cfRule type="containsText" priority="1317" operator="containsText" id="{19A1F466-10C3-45C8-BE54-9CB9C0EE5324}">
            <xm:f>NOT(ISERROR(SEARCH($BM$9,B15)))</xm:f>
            <xm:f>$BM$9</xm:f>
            <x14:dxf>
              <fill>
                <patternFill>
                  <bgColor rgb="FFDBFD9F"/>
                </patternFill>
              </fill>
            </x14:dxf>
          </x14:cfRule>
          <xm:sqref>B15:D21</xm:sqref>
        </x14:conditionalFormatting>
        <x14:conditionalFormatting xmlns:xm="http://schemas.microsoft.com/office/excel/2006/main">
          <x14:cfRule type="containsText" priority="681" operator="containsText" id="{F608DC7C-059A-4DFB-B932-7C7FD3FF36B5}">
            <xm:f>NOT(ISERROR(SEARCH($AG$64,B64)))</xm:f>
            <xm:f>$AG$64</xm:f>
            <x14:dxf>
              <font>
                <color theme="0" tint="-0.499984740745262"/>
              </font>
              <fill>
                <patternFill>
                  <bgColor theme="0" tint="-0.14996795556505021"/>
                </patternFill>
              </fill>
            </x14:dxf>
          </x14:cfRule>
          <xm:sqref>B64:D64</xm:sqref>
        </x14:conditionalFormatting>
        <x14:conditionalFormatting xmlns:xm="http://schemas.microsoft.com/office/excel/2006/main">
          <x14:cfRule type="containsText" priority="672" operator="containsText" id="{290C09D9-C5FC-4A61-98F8-138328A8B998}">
            <xm:f>NOT(ISERROR(SEARCH($C$202,B109)))</xm:f>
            <xm:f>$C$202</xm:f>
            <x14:dxf>
              <font>
                <color auto="1"/>
              </font>
              <fill>
                <patternFill>
                  <bgColor theme="0"/>
                </patternFill>
              </fill>
            </x14:dxf>
          </x14:cfRule>
          <xm:sqref>B109:D110</xm:sqref>
        </x14:conditionalFormatting>
        <x14:conditionalFormatting xmlns:xm="http://schemas.microsoft.com/office/excel/2006/main">
          <x14:cfRule type="containsText" priority="1275" operator="containsText" id="{67F52233-6708-46B8-9BF2-50BD4F082F7F}">
            <xm:f>NOT(ISERROR(SEARCH($C$2961,B339)))</xm:f>
            <xm:f>$C$2961</xm:f>
            <x14:dxf>
              <font>
                <color auto="1"/>
              </font>
              <fill>
                <patternFill>
                  <bgColor theme="0"/>
                </patternFill>
              </fill>
              <border>
                <bottom style="thin">
                  <color rgb="FFEAE3D2"/>
                </bottom>
              </border>
            </x14:dxf>
          </x14:cfRule>
          <xm:sqref>B339:D339</xm:sqref>
        </x14:conditionalFormatting>
        <x14:conditionalFormatting xmlns:xm="http://schemas.microsoft.com/office/excel/2006/main">
          <x14:cfRule type="containsText" priority="230" operator="containsText" id="{1EED56C6-A28A-445B-B0F5-7C3581DD60D5}">
            <xm:f>NOT(ISERROR(SEARCH($BO$2037,B2037)))</xm:f>
            <xm:f>$BO$2037</xm:f>
            <x14:dxf>
              <font>
                <color rgb="FF9C0006"/>
              </font>
            </x14:dxf>
          </x14:cfRule>
          <xm:sqref>B2037:E2041</xm:sqref>
        </x14:conditionalFormatting>
        <x14:conditionalFormatting xmlns:xm="http://schemas.microsoft.com/office/excel/2006/main">
          <x14:cfRule type="containsText" priority="2" operator="containsText" id="{751A6B22-9EC8-4DEC-9BA5-CA414C0529A2}">
            <xm:f>NOT(ISERROR(SEARCH($AO$2365,B2362)))</xm:f>
            <xm:f>$AO$2365</xm:f>
            <x14:dxf>
              <font>
                <color theme="1" tint="0.34998626667073579"/>
              </font>
              <fill>
                <patternFill>
                  <bgColor rgb="FFEBFFF5"/>
                </patternFill>
              </fill>
            </x14:dxf>
          </x14:cfRule>
          <xm:sqref>B2362:E2365</xm:sqref>
        </x14:conditionalFormatting>
        <x14:conditionalFormatting xmlns:xm="http://schemas.microsoft.com/office/excel/2006/main">
          <x14:cfRule type="containsText" priority="71" operator="containsText" id="{0C573EE4-C0DC-4B01-88D4-D00D90B34F0B}">
            <xm:f>NOT(ISERROR(SEARCH($BT$2361,B2366)))</xm:f>
            <xm:f>$BT$2361</xm:f>
            <x14:dxf>
              <font>
                <color rgb="FF669900"/>
              </font>
              <fill>
                <patternFill>
                  <bgColor rgb="FFEBFDC8"/>
                </patternFill>
              </fill>
            </x14:dxf>
          </x14:cfRule>
          <x14:cfRule type="containsText" priority="72" operator="containsText" id="{ED87B9D8-BB4B-4995-9F82-75D5DDDDB4E9}">
            <xm:f>NOT(ISERROR(SEARCH($BM$2361,B2366)))</xm:f>
            <xm:f>$BM$2361</xm:f>
            <x14:dxf>
              <font>
                <color theme="7" tint="-0.499984740745262"/>
              </font>
              <fill>
                <patternFill>
                  <bgColor theme="7" tint="0.79998168889431442"/>
                </patternFill>
              </fill>
            </x14:dxf>
          </x14:cfRule>
          <x14:cfRule type="containsText" priority="73" operator="containsText" id="{E82D74EB-8057-40A7-8762-35F4F9DBC7D4}">
            <xm:f>NOT(ISERROR(SEARCH($BH$2361,B2366)))</xm:f>
            <xm:f>$BH$2361</xm:f>
            <x14:dxf>
              <font>
                <color rgb="FFC00000"/>
              </font>
              <fill>
                <patternFill>
                  <bgColor theme="5" tint="0.79998168889431442"/>
                </patternFill>
              </fill>
            </x14:dxf>
          </x14:cfRule>
          <xm:sqref>B2366:E2370</xm:sqref>
        </x14:conditionalFormatting>
        <x14:conditionalFormatting xmlns:xm="http://schemas.microsoft.com/office/excel/2006/main">
          <x14:cfRule type="containsText" priority="77" operator="containsText" id="{E143FA68-88FB-48E1-A21D-E0752CB5A761}">
            <xm:f>NOT(ISERROR(SEARCH($BD$2395,B2394)))</xm:f>
            <xm:f>$BD$2395</xm:f>
            <x14:dxf>
              <font>
                <color theme="2" tint="-0.24994659260841701"/>
              </font>
              <border>
                <top style="thin">
                  <color rgb="FF99FF99"/>
                </top>
              </border>
            </x14:dxf>
          </x14:cfRule>
          <xm:sqref>B2394:E2397</xm:sqref>
        </x14:conditionalFormatting>
        <x14:conditionalFormatting xmlns:xm="http://schemas.microsoft.com/office/excel/2006/main">
          <x14:cfRule type="containsText" priority="683" operator="containsText" id="{BD715140-95A9-442F-8F49-A731A2F2C26A}">
            <xm:f>NOT(ISERROR(SEARCH(AR913,C66)))</xm:f>
            <xm:f>AR913</xm:f>
            <x14:dxf>
              <font>
                <color theme="2" tint="-0.499984740745262"/>
              </font>
              <fill>
                <patternFill>
                  <bgColor theme="2"/>
                </patternFill>
              </fill>
            </x14:dxf>
          </x14:cfRule>
          <xm:sqref>C66:C73</xm:sqref>
        </x14:conditionalFormatting>
        <x14:conditionalFormatting xmlns:xm="http://schemas.microsoft.com/office/excel/2006/main">
          <x14:cfRule type="containsText" priority="112" operator="containsText" id="{F494B21B-9A4E-4DFC-B548-73A26AD01EB8}">
            <xm:f>NOT(ISERROR(SEARCH($BJ$2169,C1933)))</xm:f>
            <xm:f>$BJ$2169</xm:f>
            <x14:dxf>
              <font>
                <color rgb="FF9C0006"/>
              </font>
              <fill>
                <patternFill>
                  <bgColor rgb="FFFFC7CE"/>
                </patternFill>
              </fill>
            </x14:dxf>
          </x14:cfRule>
          <x14:cfRule type="containsText" priority="113" operator="containsText" id="{AB57D3F7-CFDD-4E6B-88C1-C85CF082D7B6}">
            <xm:f>NOT(ISERROR(SEARCH($BJ$2168,C1933)))</xm:f>
            <xm:f>$BJ$2168</xm:f>
            <x14:dxf>
              <font>
                <color rgb="FF9C0006"/>
              </font>
              <fill>
                <patternFill>
                  <bgColor rgb="FFFFC7CE"/>
                </patternFill>
              </fill>
            </x14:dxf>
          </x14:cfRule>
          <x14:cfRule type="containsText" priority="114" operator="containsText" id="{7487FC2D-21F6-42E6-A2BE-4B1AE6BB6EC5}">
            <xm:f>NOT(ISERROR(SEARCH($BJ$2167,C1933)))</xm:f>
            <xm:f>$BJ$2167</xm:f>
            <x14:dxf>
              <font>
                <color theme="5" tint="-0.24994659260841701"/>
              </font>
              <fill>
                <patternFill>
                  <bgColor theme="7" tint="0.59996337778862885"/>
                </patternFill>
              </fill>
            </x14:dxf>
          </x14:cfRule>
          <x14:cfRule type="containsText" priority="115" operator="containsText" id="{A06F0657-AE9A-469B-BAE0-35CDA1EBB8E2}">
            <xm:f>NOT(ISERROR(SEARCH($BJ$2166,C1933)))</xm:f>
            <xm:f>$BJ$2166</xm:f>
            <x14:dxf>
              <font>
                <color rgb="FF9C5700"/>
              </font>
              <fill>
                <patternFill>
                  <bgColor rgb="FFFFFF99"/>
                </patternFill>
              </fill>
            </x14:dxf>
          </x14:cfRule>
          <x14:cfRule type="containsText" priority="116" operator="containsText" id="{0F0DA179-056C-4DE3-9A1D-0782C9F8BA07}">
            <xm:f>NOT(ISERROR(SEARCH($BJ$2165,C1933)))</xm:f>
            <xm:f>$BJ$2165</xm:f>
            <x14:dxf>
              <font>
                <color theme="9" tint="-0.24994659260841701"/>
              </font>
              <fill>
                <patternFill>
                  <bgColor rgb="FFCCFF33"/>
                </patternFill>
              </fill>
            </x14:dxf>
          </x14:cfRule>
          <x14:cfRule type="containsText" priority="117" operator="containsText" id="{45AB6930-CE2B-41D7-A59E-420ADD32A5DC}">
            <xm:f>NOT(ISERROR(SEARCH($BJ$2164,C1933)))</xm:f>
            <xm:f>$BJ$2164</xm:f>
            <x14:dxf>
              <font>
                <color rgb="FF006100"/>
              </font>
              <fill>
                <patternFill>
                  <bgColor rgb="FFC6EFCE"/>
                </patternFill>
              </fill>
            </x14:dxf>
          </x14:cfRule>
          <xm:sqref>C1933</xm:sqref>
        </x14:conditionalFormatting>
        <x14:conditionalFormatting xmlns:xm="http://schemas.microsoft.com/office/excel/2006/main">
          <x14:cfRule type="containsText" priority="132" operator="containsText" id="{5ABADAF9-4C69-493E-ACE2-21CCE57A9D04}">
            <xm:f>NOT(ISERROR(SEARCH($BJ$2169,C1980)))</xm:f>
            <xm:f>$BJ$2169</xm:f>
            <x14:dxf>
              <font>
                <color rgb="FF9C0006"/>
              </font>
              <fill>
                <patternFill>
                  <bgColor rgb="FFFFC7CE"/>
                </patternFill>
              </fill>
            </x14:dxf>
          </x14:cfRule>
          <x14:cfRule type="containsText" priority="133" operator="containsText" id="{FBFE3F52-22BE-48D6-A61D-C41E0332B917}">
            <xm:f>NOT(ISERROR(SEARCH($BJ$2168,C1980)))</xm:f>
            <xm:f>$BJ$2168</xm:f>
            <x14:dxf>
              <font>
                <color rgb="FF9C0006"/>
              </font>
              <fill>
                <patternFill>
                  <bgColor rgb="FFFFC7CE"/>
                </patternFill>
              </fill>
            </x14:dxf>
          </x14:cfRule>
          <x14:cfRule type="containsText" priority="134" operator="containsText" id="{822CBA02-AA26-4971-B445-BEEE239C1B58}">
            <xm:f>NOT(ISERROR(SEARCH($BJ$2167,C1980)))</xm:f>
            <xm:f>$BJ$2167</xm:f>
            <x14:dxf>
              <font>
                <color theme="5" tint="-0.24994659260841701"/>
              </font>
              <fill>
                <patternFill>
                  <bgColor theme="7" tint="0.59996337778862885"/>
                </patternFill>
              </fill>
            </x14:dxf>
          </x14:cfRule>
          <x14:cfRule type="containsText" priority="135" operator="containsText" id="{7FB34208-9298-49DA-AAF9-08EDBE60A73E}">
            <xm:f>NOT(ISERROR(SEARCH($BJ$2166,C1980)))</xm:f>
            <xm:f>$BJ$2166</xm:f>
            <x14:dxf>
              <font>
                <color rgb="FF9C5700"/>
              </font>
              <fill>
                <patternFill>
                  <bgColor rgb="FFFFFF99"/>
                </patternFill>
              </fill>
            </x14:dxf>
          </x14:cfRule>
          <x14:cfRule type="containsText" priority="136" operator="containsText" id="{774B99F5-B209-4BAB-B78B-45131CC42A10}">
            <xm:f>NOT(ISERROR(SEARCH($BJ$2165,C1980)))</xm:f>
            <xm:f>$BJ$2165</xm:f>
            <x14:dxf>
              <font>
                <color theme="9" tint="-0.24994659260841701"/>
              </font>
              <fill>
                <patternFill>
                  <bgColor rgb="FFCCFF33"/>
                </patternFill>
              </fill>
            </x14:dxf>
          </x14:cfRule>
          <x14:cfRule type="containsText" priority="137" operator="containsText" id="{0002F526-0F0A-415C-ABF2-4A0A2C3E2796}">
            <xm:f>NOT(ISERROR(SEARCH($BJ$2164,C1980)))</xm:f>
            <xm:f>$BJ$2164</xm:f>
            <x14:dxf>
              <font>
                <color rgb="FF006100"/>
              </font>
              <fill>
                <patternFill>
                  <bgColor rgb="FFC6EFCE"/>
                </patternFill>
              </fill>
            </x14:dxf>
          </x14:cfRule>
          <xm:sqref>C1980</xm:sqref>
        </x14:conditionalFormatting>
        <x14:conditionalFormatting xmlns:xm="http://schemas.microsoft.com/office/excel/2006/main">
          <x14:cfRule type="containsText" priority="122" operator="containsText" id="{67BFBCA0-0D1F-4FA9-9FF5-5359EE05CE83}">
            <xm:f>NOT(ISERROR(SEARCH($BJ$2169,C2027)))</xm:f>
            <xm:f>$BJ$2169</xm:f>
            <x14:dxf>
              <font>
                <color rgb="FF9C0006"/>
              </font>
              <fill>
                <patternFill>
                  <bgColor rgb="FFFFC7CE"/>
                </patternFill>
              </fill>
            </x14:dxf>
          </x14:cfRule>
          <x14:cfRule type="containsText" priority="123" operator="containsText" id="{FA8FA4F6-A715-486D-B28D-E5E200BE379A}">
            <xm:f>NOT(ISERROR(SEARCH($BJ$2168,C2027)))</xm:f>
            <xm:f>$BJ$2168</xm:f>
            <x14:dxf>
              <font>
                <color rgb="FF9C0006"/>
              </font>
              <fill>
                <patternFill>
                  <bgColor rgb="FFFFC7CE"/>
                </patternFill>
              </fill>
            </x14:dxf>
          </x14:cfRule>
          <x14:cfRule type="containsText" priority="124" operator="containsText" id="{74C10A81-B2CB-4BA9-88AC-903ADCEB5BC7}">
            <xm:f>NOT(ISERROR(SEARCH($BJ$2167,C2027)))</xm:f>
            <xm:f>$BJ$2167</xm:f>
            <x14:dxf>
              <font>
                <color theme="5" tint="-0.24994659260841701"/>
              </font>
              <fill>
                <patternFill>
                  <bgColor theme="7" tint="0.59996337778862885"/>
                </patternFill>
              </fill>
            </x14:dxf>
          </x14:cfRule>
          <x14:cfRule type="containsText" priority="125" operator="containsText" id="{C32AC373-5B60-4778-AE8E-70C99C6E64AB}">
            <xm:f>NOT(ISERROR(SEARCH($BJ$2166,C2027)))</xm:f>
            <xm:f>$BJ$2166</xm:f>
            <x14:dxf>
              <font>
                <color rgb="FF9C5700"/>
              </font>
              <fill>
                <patternFill>
                  <bgColor rgb="FFFFFF99"/>
                </patternFill>
              </fill>
            </x14:dxf>
          </x14:cfRule>
          <x14:cfRule type="containsText" priority="126" operator="containsText" id="{FC732724-28BE-44F7-B8FB-2C4A9C276B9C}">
            <xm:f>NOT(ISERROR(SEARCH($BJ$2165,C2027)))</xm:f>
            <xm:f>$BJ$2165</xm:f>
            <x14:dxf>
              <font>
                <color theme="9" tint="-0.24994659260841701"/>
              </font>
              <fill>
                <patternFill>
                  <bgColor rgb="FFCCFF33"/>
                </patternFill>
              </fill>
            </x14:dxf>
          </x14:cfRule>
          <x14:cfRule type="containsText" priority="127" operator="containsText" id="{E26E035C-5C9B-4BF8-BB11-0B89D6443066}">
            <xm:f>NOT(ISERROR(SEARCH($BJ$2164,C2027)))</xm:f>
            <xm:f>$BJ$2164</xm:f>
            <x14:dxf>
              <font>
                <color rgb="FF006100"/>
              </font>
              <fill>
                <patternFill>
                  <bgColor rgb="FFC6EFCE"/>
                </patternFill>
              </fill>
            </x14:dxf>
          </x14:cfRule>
          <xm:sqref>C2027</xm:sqref>
        </x14:conditionalFormatting>
        <x14:conditionalFormatting xmlns:xm="http://schemas.microsoft.com/office/excel/2006/main">
          <x14:cfRule type="containsText" priority="232" operator="containsText" id="{E6737047-A6FB-4C44-A715-2FE3930CBA1F}">
            <xm:f>NOT(ISERROR(SEARCH($AI$2035,C2035)))</xm:f>
            <xm:f>$AI$2035</xm:f>
            <x14:dxf>
              <font>
                <color theme="0" tint="-0.24994659260841701"/>
              </font>
            </x14:dxf>
          </x14:cfRule>
          <xm:sqref>C2035</xm:sqref>
        </x14:conditionalFormatting>
        <x14:conditionalFormatting xmlns:xm="http://schemas.microsoft.com/office/excel/2006/main">
          <x14:cfRule type="containsText" priority="152" operator="containsText" id="{A8C16805-700D-4B97-8B2B-125662946727}">
            <xm:f>NOT(ISERROR(SEARCH($BJ$2169,C2071)))</xm:f>
            <xm:f>$BJ$2169</xm:f>
            <x14:dxf>
              <font>
                <color rgb="FF9C0006"/>
              </font>
              <fill>
                <patternFill>
                  <bgColor rgb="FFFFC7CE"/>
                </patternFill>
              </fill>
            </x14:dxf>
          </x14:cfRule>
          <x14:cfRule type="containsText" priority="153" operator="containsText" id="{3375E174-6918-4F03-82EB-183FFEFCB1E3}">
            <xm:f>NOT(ISERROR(SEARCH($BJ$2168,C2071)))</xm:f>
            <xm:f>$BJ$2168</xm:f>
            <x14:dxf>
              <font>
                <color rgb="FF9C0006"/>
              </font>
              <fill>
                <patternFill>
                  <bgColor rgb="FFFFC7CE"/>
                </patternFill>
              </fill>
            </x14:dxf>
          </x14:cfRule>
          <x14:cfRule type="containsText" priority="154" operator="containsText" id="{FC8CDF03-13C9-4C89-8B72-92AF1699A53C}">
            <xm:f>NOT(ISERROR(SEARCH($BJ$2167,C2071)))</xm:f>
            <xm:f>$BJ$2167</xm:f>
            <x14:dxf>
              <font>
                <color theme="5" tint="-0.24994659260841701"/>
              </font>
              <fill>
                <patternFill>
                  <bgColor theme="7" tint="0.59996337778862885"/>
                </patternFill>
              </fill>
            </x14:dxf>
          </x14:cfRule>
          <x14:cfRule type="containsText" priority="155" operator="containsText" id="{A44A423E-D638-48ED-A405-3673FE16F3E6}">
            <xm:f>NOT(ISERROR(SEARCH($BJ$2166,C2071)))</xm:f>
            <xm:f>$BJ$2166</xm:f>
            <x14:dxf>
              <font>
                <color rgb="FF9C5700"/>
              </font>
              <fill>
                <patternFill>
                  <bgColor rgb="FFFFFF99"/>
                </patternFill>
              </fill>
            </x14:dxf>
          </x14:cfRule>
          <x14:cfRule type="containsText" priority="156" operator="containsText" id="{DD447448-2F43-4A29-88AE-C4F3F074A396}">
            <xm:f>NOT(ISERROR(SEARCH($BJ$2165,C2071)))</xm:f>
            <xm:f>$BJ$2165</xm:f>
            <x14:dxf>
              <font>
                <color theme="9" tint="-0.24994659260841701"/>
              </font>
              <fill>
                <patternFill>
                  <bgColor rgb="FFCCFF33"/>
                </patternFill>
              </fill>
            </x14:dxf>
          </x14:cfRule>
          <x14:cfRule type="containsText" priority="157" operator="containsText" id="{BAADE8FA-E283-41FB-B7F4-DF681766DDC0}">
            <xm:f>NOT(ISERROR(SEARCH($BJ$2164,C2071)))</xm:f>
            <xm:f>$BJ$2164</xm:f>
            <x14:dxf>
              <font>
                <color rgb="FF006100"/>
              </font>
              <fill>
                <patternFill>
                  <bgColor rgb="FFC6EFCE"/>
                </patternFill>
              </fill>
            </x14:dxf>
          </x14:cfRule>
          <xm:sqref>C2071</xm:sqref>
        </x14:conditionalFormatting>
        <x14:conditionalFormatting xmlns:xm="http://schemas.microsoft.com/office/excel/2006/main">
          <x14:cfRule type="containsText" priority="142" operator="containsText" id="{FE68C493-57AA-42FA-BBAE-09584C012561}">
            <xm:f>NOT(ISERROR(SEARCH($BJ$2169,C2074)))</xm:f>
            <xm:f>$BJ$2169</xm:f>
            <x14:dxf>
              <font>
                <color rgb="FF9C0006"/>
              </font>
              <fill>
                <patternFill>
                  <bgColor rgb="FFFFC7CE"/>
                </patternFill>
              </fill>
            </x14:dxf>
          </x14:cfRule>
          <x14:cfRule type="containsText" priority="143" operator="containsText" id="{4B51AFFA-9564-4D07-91B0-35252D34680F}">
            <xm:f>NOT(ISERROR(SEARCH($BJ$2168,C2074)))</xm:f>
            <xm:f>$BJ$2168</xm:f>
            <x14:dxf>
              <font>
                <color rgb="FF9C0006"/>
              </font>
              <fill>
                <patternFill>
                  <bgColor rgb="FFFFC7CE"/>
                </patternFill>
              </fill>
            </x14:dxf>
          </x14:cfRule>
          <x14:cfRule type="containsText" priority="144" operator="containsText" id="{25550F48-D081-4214-BA02-5A37319C22E6}">
            <xm:f>NOT(ISERROR(SEARCH($BJ$2167,C2074)))</xm:f>
            <xm:f>$BJ$2167</xm:f>
            <x14:dxf>
              <font>
                <color theme="5" tint="-0.24994659260841701"/>
              </font>
              <fill>
                <patternFill>
                  <bgColor theme="7" tint="0.59996337778862885"/>
                </patternFill>
              </fill>
            </x14:dxf>
          </x14:cfRule>
          <x14:cfRule type="containsText" priority="145" operator="containsText" id="{F4FEA5D2-3A1F-464C-A3BF-E107802E4046}">
            <xm:f>NOT(ISERROR(SEARCH($BJ$2166,C2074)))</xm:f>
            <xm:f>$BJ$2166</xm:f>
            <x14:dxf>
              <font>
                <color rgb="FF9C5700"/>
              </font>
              <fill>
                <patternFill>
                  <bgColor rgb="FFFFFF99"/>
                </patternFill>
              </fill>
            </x14:dxf>
          </x14:cfRule>
          <x14:cfRule type="containsText" priority="146" operator="containsText" id="{4BC947CC-345B-410D-9E70-89A53E975CC0}">
            <xm:f>NOT(ISERROR(SEARCH($BJ$2165,C2074)))</xm:f>
            <xm:f>$BJ$2165</xm:f>
            <x14:dxf>
              <font>
                <color theme="9" tint="-0.24994659260841701"/>
              </font>
              <fill>
                <patternFill>
                  <bgColor rgb="FFCCFF33"/>
                </patternFill>
              </fill>
            </x14:dxf>
          </x14:cfRule>
          <x14:cfRule type="containsText" priority="147" operator="containsText" id="{CE88E9B1-26B1-4709-AE55-1EAAD5E3F74C}">
            <xm:f>NOT(ISERROR(SEARCH($BJ$2164,C2074)))</xm:f>
            <xm:f>$BJ$2164</xm:f>
            <x14:dxf>
              <font>
                <color rgb="FF006100"/>
              </font>
              <fill>
                <patternFill>
                  <bgColor rgb="FFC6EFCE"/>
                </patternFill>
              </fill>
            </x14:dxf>
          </x14:cfRule>
          <xm:sqref>C2074</xm:sqref>
        </x14:conditionalFormatting>
        <x14:conditionalFormatting xmlns:xm="http://schemas.microsoft.com/office/excel/2006/main">
          <x14:cfRule type="containsText" priority="162" operator="containsText" id="{A8FCED47-49A8-4A55-9421-35543DC339DA}">
            <xm:f>NOT(ISERROR(SEARCH($BJ$2169,C2121)))</xm:f>
            <xm:f>$BJ$2169</xm:f>
            <x14:dxf>
              <font>
                <color rgb="FF9C0006"/>
              </font>
              <fill>
                <patternFill>
                  <bgColor rgb="FFFFC7CE"/>
                </patternFill>
              </fill>
            </x14:dxf>
          </x14:cfRule>
          <x14:cfRule type="containsText" priority="163" operator="containsText" id="{2FA92710-7B3D-4CD3-84A8-A1A335C411DD}">
            <xm:f>NOT(ISERROR(SEARCH($BJ$2168,C2121)))</xm:f>
            <xm:f>$BJ$2168</xm:f>
            <x14:dxf>
              <font>
                <color rgb="FF9C0006"/>
              </font>
              <fill>
                <patternFill>
                  <bgColor rgb="FFFFC7CE"/>
                </patternFill>
              </fill>
            </x14:dxf>
          </x14:cfRule>
          <x14:cfRule type="containsText" priority="164" operator="containsText" id="{D97DD9C5-28CE-431C-A57D-47F87C33DF2F}">
            <xm:f>NOT(ISERROR(SEARCH($BJ$2167,C2121)))</xm:f>
            <xm:f>$BJ$2167</xm:f>
            <x14:dxf>
              <font>
                <color theme="5" tint="-0.24994659260841701"/>
              </font>
              <fill>
                <patternFill>
                  <bgColor theme="7" tint="0.59996337778862885"/>
                </patternFill>
              </fill>
            </x14:dxf>
          </x14:cfRule>
          <x14:cfRule type="containsText" priority="165" operator="containsText" id="{D3D177B2-C1A5-46A3-B42B-40F298DBC41B}">
            <xm:f>NOT(ISERROR(SEARCH($BJ$2166,C2121)))</xm:f>
            <xm:f>$BJ$2166</xm:f>
            <x14:dxf>
              <font>
                <color rgb="FF9C5700"/>
              </font>
              <fill>
                <patternFill>
                  <bgColor rgb="FFFFFF99"/>
                </patternFill>
              </fill>
            </x14:dxf>
          </x14:cfRule>
          <x14:cfRule type="containsText" priority="166" operator="containsText" id="{5D6EF733-FC7A-4D32-BCE9-6C212809031E}">
            <xm:f>NOT(ISERROR(SEARCH($BJ$2165,C2121)))</xm:f>
            <xm:f>$BJ$2165</xm:f>
            <x14:dxf>
              <font>
                <color theme="9" tint="-0.24994659260841701"/>
              </font>
              <fill>
                <patternFill>
                  <bgColor rgb="FFCCFF33"/>
                </patternFill>
              </fill>
            </x14:dxf>
          </x14:cfRule>
          <x14:cfRule type="containsText" priority="167" operator="containsText" id="{A9E54060-BEE3-45D8-BB8A-1C3B4782F461}">
            <xm:f>NOT(ISERROR(SEARCH($BJ$2164,C2121)))</xm:f>
            <xm:f>$BJ$2164</xm:f>
            <x14:dxf>
              <font>
                <color rgb="FF006100"/>
              </font>
              <fill>
                <patternFill>
                  <bgColor rgb="FFC6EFCE"/>
                </patternFill>
              </fill>
            </x14:dxf>
          </x14:cfRule>
          <xm:sqref>C2121</xm:sqref>
        </x14:conditionalFormatting>
        <x14:conditionalFormatting xmlns:xm="http://schemas.microsoft.com/office/excel/2006/main">
          <x14:cfRule type="containsText" priority="222" operator="containsText" id="{6F602B51-07D0-4431-AF74-1A541560F067}">
            <xm:f>NOT(ISERROR(SEARCH($BJ$2169,C2168)))</xm:f>
            <xm:f>$BJ$2169</xm:f>
            <x14:dxf>
              <font>
                <color rgb="FF9C0006"/>
              </font>
              <fill>
                <patternFill>
                  <bgColor rgb="FFFFC7CE"/>
                </patternFill>
              </fill>
            </x14:dxf>
          </x14:cfRule>
          <x14:cfRule type="containsText" priority="223" operator="containsText" id="{E7847AB3-BECC-43E1-9544-52CEE9FB43C8}">
            <xm:f>NOT(ISERROR(SEARCH($BJ$2168,C2168)))</xm:f>
            <xm:f>$BJ$2168</xm:f>
            <x14:dxf>
              <font>
                <color rgb="FF9C0006"/>
              </font>
              <fill>
                <patternFill>
                  <bgColor rgb="FFFFC7CE"/>
                </patternFill>
              </fill>
            </x14:dxf>
          </x14:cfRule>
          <x14:cfRule type="containsText" priority="224" operator="containsText" id="{F60304A5-677E-420E-AB25-3E61BD9A7F3D}">
            <xm:f>NOT(ISERROR(SEARCH($BJ$2167,C2168)))</xm:f>
            <xm:f>$BJ$2167</xm:f>
            <x14:dxf>
              <font>
                <color theme="5" tint="-0.24994659260841701"/>
              </font>
              <fill>
                <patternFill>
                  <bgColor theme="7" tint="0.59996337778862885"/>
                </patternFill>
              </fill>
            </x14:dxf>
          </x14:cfRule>
          <x14:cfRule type="containsText" priority="225" operator="containsText" id="{C7A3F0C6-73EB-4644-A292-0A19913F8424}">
            <xm:f>NOT(ISERROR(SEARCH($BJ$2166,C2168)))</xm:f>
            <xm:f>$BJ$2166</xm:f>
            <x14:dxf>
              <font>
                <color rgb="FF9C5700"/>
              </font>
              <fill>
                <patternFill>
                  <bgColor rgb="FFFFFF99"/>
                </patternFill>
              </fill>
            </x14:dxf>
          </x14:cfRule>
          <x14:cfRule type="containsText" priority="226" operator="containsText" id="{6679E427-EED6-446C-AD2F-A44EEA4D1B12}">
            <xm:f>NOT(ISERROR(SEARCH($BJ$2165,C2168)))</xm:f>
            <xm:f>$BJ$2165</xm:f>
            <x14:dxf>
              <font>
                <color theme="9" tint="-0.24994659260841701"/>
              </font>
              <fill>
                <patternFill>
                  <bgColor rgb="FFCCFF33"/>
                </patternFill>
              </fill>
            </x14:dxf>
          </x14:cfRule>
          <x14:cfRule type="containsText" priority="227" operator="containsText" id="{0BD274B6-EA3A-4496-A6D7-F1AA2749C568}">
            <xm:f>NOT(ISERROR(SEARCH($BJ$2164,C2168)))</xm:f>
            <xm:f>$BJ$2164</xm:f>
            <x14:dxf>
              <font>
                <color rgb="FF006100"/>
              </font>
              <fill>
                <patternFill>
                  <bgColor rgb="FFC6EFCE"/>
                </patternFill>
              </fill>
            </x14:dxf>
          </x14:cfRule>
          <xm:sqref>C2168</xm:sqref>
        </x14:conditionalFormatting>
        <x14:conditionalFormatting xmlns:xm="http://schemas.microsoft.com/office/excel/2006/main">
          <x14:cfRule type="containsText" priority="172" operator="containsText" id="{B503EE1A-5CD1-449F-BDED-EAA43D6508BA}">
            <xm:f>NOT(ISERROR(SEARCH($BJ$2169,C2262)))</xm:f>
            <xm:f>$BJ$2169</xm:f>
            <x14:dxf>
              <font>
                <color rgb="FF9C0006"/>
              </font>
              <fill>
                <patternFill>
                  <bgColor rgb="FFFFC7CE"/>
                </patternFill>
              </fill>
            </x14:dxf>
          </x14:cfRule>
          <x14:cfRule type="containsText" priority="173" operator="containsText" id="{EB6508AA-CA59-400B-B541-A2042B139D7A}">
            <xm:f>NOT(ISERROR(SEARCH($BJ$2168,C2262)))</xm:f>
            <xm:f>$BJ$2168</xm:f>
            <x14:dxf>
              <font>
                <color rgb="FF9C0006"/>
              </font>
              <fill>
                <patternFill>
                  <bgColor rgb="FFFFC7CE"/>
                </patternFill>
              </fill>
            </x14:dxf>
          </x14:cfRule>
          <x14:cfRule type="containsText" priority="174" operator="containsText" id="{05931DD2-9EC4-4C34-88DB-9B39B7A84ED8}">
            <xm:f>NOT(ISERROR(SEARCH($BJ$2167,C2262)))</xm:f>
            <xm:f>$BJ$2167</xm:f>
            <x14:dxf>
              <font>
                <color theme="5" tint="-0.24994659260841701"/>
              </font>
              <fill>
                <patternFill>
                  <bgColor theme="7" tint="0.59996337778862885"/>
                </patternFill>
              </fill>
            </x14:dxf>
          </x14:cfRule>
          <x14:cfRule type="containsText" priority="175" operator="containsText" id="{150C8DBB-50C9-402D-B2C4-7502A707550D}">
            <xm:f>NOT(ISERROR(SEARCH($BJ$2166,C2262)))</xm:f>
            <xm:f>$BJ$2166</xm:f>
            <x14:dxf>
              <font>
                <color rgb="FF9C5700"/>
              </font>
              <fill>
                <patternFill>
                  <bgColor rgb="FFFFFF99"/>
                </patternFill>
              </fill>
            </x14:dxf>
          </x14:cfRule>
          <x14:cfRule type="containsText" priority="176" operator="containsText" id="{0C0C99DA-1CEB-47AA-AC1D-849D36168441}">
            <xm:f>NOT(ISERROR(SEARCH($BJ$2165,C2262)))</xm:f>
            <xm:f>$BJ$2165</xm:f>
            <x14:dxf>
              <font>
                <color theme="9" tint="-0.24994659260841701"/>
              </font>
              <fill>
                <patternFill>
                  <bgColor rgb="FFCCFF33"/>
                </patternFill>
              </fill>
            </x14:dxf>
          </x14:cfRule>
          <x14:cfRule type="containsText" priority="177" operator="containsText" id="{4EBE4F89-1AD7-46E7-8B80-E4DA534C2A6E}">
            <xm:f>NOT(ISERROR(SEARCH($BJ$2164,C2262)))</xm:f>
            <xm:f>$BJ$2164</xm:f>
            <x14:dxf>
              <font>
                <color rgb="FF006100"/>
              </font>
              <fill>
                <patternFill>
                  <bgColor rgb="FFC6EFCE"/>
                </patternFill>
              </fill>
            </x14:dxf>
          </x14:cfRule>
          <xm:sqref>C2262:C2265</xm:sqref>
        </x14:conditionalFormatting>
        <x14:conditionalFormatting xmlns:xm="http://schemas.microsoft.com/office/excel/2006/main">
          <x14:cfRule type="containsText" priority="1316" operator="containsText" id="{8DE9C0DF-7C61-4E3E-942B-6693B745D802}">
            <xm:f>NOT(ISERROR(SEARCH($AP$2337,C2342)))</xm:f>
            <xm:f>$AP$2337</xm:f>
            <x14:dxf>
              <font>
                <b/>
                <i val="0"/>
              </font>
            </x14:dxf>
          </x14:cfRule>
          <xm:sqref>C2342</xm:sqref>
        </x14:conditionalFormatting>
        <x14:conditionalFormatting xmlns:xm="http://schemas.microsoft.com/office/excel/2006/main">
          <x14:cfRule type="containsText" priority="377" operator="containsText" id="{5FB56EE2-44AB-4DB8-A57A-2B08A555B195}">
            <xm:f>NOT(ISERROR(SEARCH($AR$922,C75)))</xm:f>
            <xm:f>$AR$922</xm:f>
            <x14:dxf>
              <font>
                <color theme="0" tint="-0.34998626667073579"/>
              </font>
              <fill>
                <patternFill>
                  <bgColor theme="0" tint="-4.9989318521683403E-2"/>
                </patternFill>
              </fill>
            </x14:dxf>
          </x14:cfRule>
          <xm:sqref>C75:D75</xm:sqref>
        </x14:conditionalFormatting>
        <x14:conditionalFormatting xmlns:xm="http://schemas.microsoft.com/office/excel/2006/main">
          <x14:cfRule type="containsText" priority="336" operator="containsText" id="{6C01EDC2-A269-45E9-9F5E-8C54C9296046}">
            <xm:f>NOT(ISERROR(SEARCH($AD$244,C244)))</xm:f>
            <xm:f>$AD$244</xm:f>
            <x14:dxf>
              <font>
                <color rgb="FFEAE3D2"/>
              </font>
              <fill>
                <patternFill>
                  <bgColor rgb="FFEAE3D2"/>
                </patternFill>
              </fill>
            </x14:dxf>
          </x14:cfRule>
          <xm:sqref>C244:D244</xm:sqref>
        </x14:conditionalFormatting>
        <x14:conditionalFormatting xmlns:xm="http://schemas.microsoft.com/office/excel/2006/main">
          <x14:cfRule type="containsText" priority="359" operator="containsText" id="{FEE0E3B9-2349-4CEF-9B6B-85285D7AAC97}">
            <xm:f>NOT(ISERROR(SEARCH($AG$913,C913)))</xm:f>
            <xm:f>$AG$913</xm:f>
            <x14:dxf>
              <font>
                <color theme="0" tint="-0.24994659260841701"/>
              </font>
            </x14:dxf>
          </x14:cfRule>
          <xm:sqref>C913:D913</xm:sqref>
        </x14:conditionalFormatting>
        <x14:conditionalFormatting xmlns:xm="http://schemas.microsoft.com/office/excel/2006/main">
          <x14:cfRule type="containsText" priority="358" operator="containsText" id="{4797869D-D0FC-49A8-A78D-9C9EB593A485}">
            <xm:f>NOT(ISERROR(SEARCH($AG914,C914)))</xm:f>
            <xm:f>$AG914</xm:f>
            <x14:dxf>
              <font>
                <color theme="0" tint="-0.24994659260841701"/>
              </font>
            </x14:dxf>
          </x14:cfRule>
          <xm:sqref>C914:D920</xm:sqref>
        </x14:conditionalFormatting>
        <x14:conditionalFormatting xmlns:xm="http://schemas.microsoft.com/office/excel/2006/main">
          <x14:cfRule type="containsText" priority="378" operator="containsText" id="{DDE073FC-D1E7-4F8F-B579-692CBB90F8DE}">
            <xm:f>NOT(ISERROR(SEARCH($AG$921,C922)))</xm:f>
            <xm:f>$AG$921</xm:f>
            <x14:dxf>
              <font>
                <color theme="0" tint="-0.24994659260841701"/>
              </font>
            </x14:dxf>
          </x14:cfRule>
          <xm:sqref>C922:D922</xm:sqref>
        </x14:conditionalFormatting>
        <x14:conditionalFormatting xmlns:xm="http://schemas.microsoft.com/office/excel/2006/main">
          <x14:cfRule type="containsText" priority="6" operator="containsText" id="{DAA847E7-765E-4417-94E4-45C69C5405F7}">
            <xm:f>NOT(ISERROR(SEARCH($CD$44,D44)))</xm:f>
            <xm:f>$CD$44</xm:f>
            <x14:dxf>
              <font>
                <color rgb="FF00EB65"/>
              </font>
            </x14:dxf>
          </x14:cfRule>
          <xm:sqref>D44:D46</xm:sqref>
        </x14:conditionalFormatting>
        <x14:conditionalFormatting xmlns:xm="http://schemas.microsoft.com/office/excel/2006/main">
          <x14:cfRule type="containsText" priority="654" operator="containsText" id="{C32837BD-138F-40D2-9DEE-11A41668ED9A}">
            <xm:f>NOT(ISERROR(SEARCH($AM$51,D51)))</xm:f>
            <xm:f>$AM$51</xm:f>
            <x14:dxf>
              <font>
                <color rgb="FF00B050"/>
              </font>
              <fill>
                <patternFill>
                  <bgColor theme="2"/>
                </patternFill>
              </fill>
            </x14:dxf>
          </x14:cfRule>
          <x14:cfRule type="containsText" priority="655" operator="containsText" id="{7B91B31F-7CBA-41FA-882D-4DDA5FFA1A27}">
            <xm:f>NOT(ISERROR(SEARCH($AL$51,D51)))</xm:f>
            <xm:f>$AL$51</xm:f>
            <x14:dxf>
              <font>
                <color rgb="FF92D050"/>
              </font>
              <fill>
                <patternFill>
                  <bgColor theme="2"/>
                </patternFill>
              </fill>
            </x14:dxf>
          </x14:cfRule>
          <x14:cfRule type="containsText" priority="656" operator="containsText" id="{B911366E-23A1-413F-B52D-58D43B5DECD1}">
            <xm:f>NOT(ISERROR(SEARCH($AK$51,D51)))</xm:f>
            <xm:f>$AK$51</xm:f>
            <x14:dxf>
              <font>
                <color theme="7" tint="-0.24994659260841701"/>
              </font>
              <fill>
                <patternFill patternType="solid">
                  <bgColor theme="2"/>
                </patternFill>
              </fill>
            </x14:dxf>
          </x14:cfRule>
          <x14:cfRule type="containsText" priority="657" operator="containsText" id="{3E374F70-3377-483C-9D82-619E02BA7495}">
            <xm:f>NOT(ISERROR(SEARCH($AJ$51,D51)))</xm:f>
            <xm:f>$AJ$51</xm:f>
            <x14:dxf>
              <font>
                <color theme="5" tint="-0.24994659260841701"/>
              </font>
              <fill>
                <patternFill patternType="solid">
                  <bgColor theme="2"/>
                </patternFill>
              </fill>
            </x14:dxf>
          </x14:cfRule>
          <x14:cfRule type="containsText" priority="658" operator="containsText" id="{F4D299BF-7288-491C-A690-13AEB7BF2B8D}">
            <xm:f>NOT(ISERROR(SEARCH($AI$51,D51)))</xm:f>
            <xm:f>$AI$51</xm:f>
            <x14:dxf>
              <font>
                <strike val="0"/>
                <color rgb="FF9C0006"/>
              </font>
              <fill>
                <patternFill patternType="solid">
                  <bgColor theme="2"/>
                </patternFill>
              </fill>
            </x14:dxf>
          </x14:cfRule>
          <xm:sqref>D51:D52</xm:sqref>
        </x14:conditionalFormatting>
        <x14:conditionalFormatting xmlns:xm="http://schemas.microsoft.com/office/excel/2006/main">
          <x14:cfRule type="containsText" priority="338" operator="containsText" id="{2DE2D8F6-3025-4DE7-978C-ED22AB88B252}">
            <xm:f>NOT(ISERROR(SEARCH($G$2714,D324)))</xm:f>
            <xm:f>$G$2714</xm:f>
            <x14:dxf>
              <font>
                <b/>
                <i val="0"/>
                <color theme="5" tint="0.39994506668294322"/>
              </font>
              <fill>
                <patternFill>
                  <bgColor theme="0" tint="-4.9989318521683403E-2"/>
                </patternFill>
              </fill>
            </x14:dxf>
          </x14:cfRule>
          <xm:sqref>D324:D326</xm:sqref>
        </x14:conditionalFormatting>
        <x14:conditionalFormatting xmlns:xm="http://schemas.microsoft.com/office/excel/2006/main">
          <x14:cfRule type="containsText" priority="337" operator="containsText" id="{B391668B-D991-4362-99AC-1C0F992DD40D}">
            <xm:f>NOT(ISERROR(SEARCH($AK$1129,D1129)))</xm:f>
            <xm:f>$AK$1129</xm:f>
            <x14:dxf>
              <font>
                <color theme="5" tint="0.39994506668294322"/>
              </font>
              <fill>
                <patternFill>
                  <bgColor theme="5" tint="0.79998168889431442"/>
                </patternFill>
              </fill>
            </x14:dxf>
          </x14:cfRule>
          <x14:cfRule type="containsText" priority="379" operator="containsText" id="{A4196F5B-B38D-4B76-8C27-93622EC21BB7}">
            <xm:f>NOT(ISERROR(SEARCH($AJ$1129,D1129)))</xm:f>
            <xm:f>$AJ$1129</xm:f>
            <x14:dxf>
              <fill>
                <patternFill>
                  <bgColor theme="5" tint="0.79998168889431442"/>
                </patternFill>
              </fill>
            </x14:dxf>
          </x14:cfRule>
          <xm:sqref>D1129</xm:sqref>
        </x14:conditionalFormatting>
        <x14:conditionalFormatting xmlns:xm="http://schemas.microsoft.com/office/excel/2006/main">
          <x14:cfRule type="containsText" priority="47" operator="containsText" id="{537252C0-AD5D-44DE-961C-C512798DC0DB}">
            <xm:f>NOT(ISERROR(SEARCH($BY$2167,D1933)))</xm:f>
            <xm:f>$BY$2167</xm:f>
            <x14:dxf>
              <font>
                <color theme="5" tint="-0.24994659260841701"/>
              </font>
              <fill>
                <patternFill>
                  <bgColor theme="5" tint="0.79998168889431442"/>
                </patternFill>
              </fill>
            </x14:dxf>
          </x14:cfRule>
          <x14:cfRule type="containsText" priority="108" operator="containsText" id="{021F162F-C824-46D9-BD00-E3E8D3F9262F}">
            <xm:f>NOT(ISERROR(SEARCH($BY$2168,D1933)))</xm:f>
            <xm:f>$BY$2168</xm:f>
            <x14:dxf>
              <font>
                <color rgb="FF9C0006"/>
              </font>
              <fill>
                <patternFill>
                  <bgColor rgb="FFFFC7CE"/>
                </patternFill>
              </fill>
            </x14:dxf>
          </x14:cfRule>
          <x14:cfRule type="containsText" priority="109" operator="containsText" id="{CDE747F1-51C1-4395-AE13-AE6552922CDF}">
            <xm:f>NOT(ISERROR(SEARCH($BY$2166,D1933)))</xm:f>
            <xm:f>$BY$2166</xm:f>
            <x14:dxf>
              <font>
                <color rgb="FF9C5700"/>
              </font>
              <fill>
                <patternFill>
                  <bgColor rgb="FFFFFF99"/>
                </patternFill>
              </fill>
            </x14:dxf>
          </x14:cfRule>
          <x14:cfRule type="containsText" priority="110" operator="containsText" id="{06C7F615-2A5B-4B9D-A2F0-33F9A05774C6}">
            <xm:f>NOT(ISERROR(SEARCH($BY$2165,D1933)))</xm:f>
            <xm:f>$BY$2165</xm:f>
            <x14:dxf>
              <font>
                <color theme="9" tint="-0.24994659260841701"/>
              </font>
              <fill>
                <patternFill>
                  <bgColor rgb="FFCCFF33"/>
                </patternFill>
              </fill>
            </x14:dxf>
          </x14:cfRule>
          <x14:cfRule type="containsText" priority="111" operator="containsText" id="{B07C6118-8560-4F57-BAA7-DD87BC783F2E}">
            <xm:f>NOT(ISERROR(SEARCH($BY$2164,D1933)))</xm:f>
            <xm:f>$BY$2164</xm:f>
            <x14:dxf>
              <font>
                <color rgb="FF006100"/>
              </font>
              <fill>
                <patternFill>
                  <bgColor rgb="FFC6EFCE"/>
                </patternFill>
              </fill>
            </x14:dxf>
          </x14:cfRule>
          <xm:sqref>D1933</xm:sqref>
        </x14:conditionalFormatting>
        <x14:conditionalFormatting xmlns:xm="http://schemas.microsoft.com/office/excel/2006/main">
          <x14:cfRule type="containsText" priority="233" operator="containsText" id="{845A0199-57C8-4041-AAA9-FC0E5B940D74}">
            <xm:f>NOT(ISERROR(SEARCH($AS$1936,D1939)))</xm:f>
            <xm:f>$AS$1936</xm:f>
            <x14:dxf>
              <font>
                <color theme="0" tint="-0.34998626667073579"/>
              </font>
            </x14:dxf>
          </x14:cfRule>
          <xm:sqref>D1939</xm:sqref>
        </x14:conditionalFormatting>
        <x14:conditionalFormatting xmlns:xm="http://schemas.microsoft.com/office/excel/2006/main">
          <x14:cfRule type="containsText" priority="42" operator="containsText" id="{2A6E1447-6CE2-47A2-B0E0-C74C8F031D35}">
            <xm:f>NOT(ISERROR(SEARCH($BY$2167,D1980)))</xm:f>
            <xm:f>$BY$2167</xm:f>
            <x14:dxf>
              <font>
                <color theme="5" tint="-0.24994659260841701"/>
              </font>
              <fill>
                <patternFill>
                  <bgColor theme="5" tint="0.79998168889431442"/>
                </patternFill>
              </fill>
            </x14:dxf>
          </x14:cfRule>
          <x14:cfRule type="containsText" priority="43" operator="containsText" id="{F8FD76FD-D0D2-4D7E-991C-E1E2F6CAC360}">
            <xm:f>NOT(ISERROR(SEARCH($BY$2168,D1980)))</xm:f>
            <xm:f>$BY$2168</xm:f>
            <x14:dxf>
              <font>
                <color rgb="FF9C0006"/>
              </font>
              <fill>
                <patternFill>
                  <bgColor rgb="FFFFC7CE"/>
                </patternFill>
              </fill>
            </x14:dxf>
          </x14:cfRule>
          <x14:cfRule type="containsText" priority="44" operator="containsText" id="{324D050D-94E9-4698-B6F2-AD8CFCC60731}">
            <xm:f>NOT(ISERROR(SEARCH($BY$2166,D1980)))</xm:f>
            <xm:f>$BY$2166</xm:f>
            <x14:dxf>
              <font>
                <color rgb="FF9C5700"/>
              </font>
              <fill>
                <patternFill>
                  <bgColor rgb="FFFFFF99"/>
                </patternFill>
              </fill>
            </x14:dxf>
          </x14:cfRule>
          <x14:cfRule type="containsText" priority="45" operator="containsText" id="{43B0D6BD-61A3-4134-93FE-CBE625B0C52F}">
            <xm:f>NOT(ISERROR(SEARCH($BY$2165,D1980)))</xm:f>
            <xm:f>$BY$2165</xm:f>
            <x14:dxf>
              <font>
                <color theme="9" tint="-0.24994659260841701"/>
              </font>
              <fill>
                <patternFill>
                  <bgColor rgb="FFCCFF33"/>
                </patternFill>
              </fill>
            </x14:dxf>
          </x14:cfRule>
          <x14:cfRule type="containsText" priority="46" operator="containsText" id="{38B81B47-4465-4C04-94B9-761B5E249855}">
            <xm:f>NOT(ISERROR(SEARCH($BY$2164,D1980)))</xm:f>
            <xm:f>$BY$2164</xm:f>
            <x14:dxf>
              <font>
                <color rgb="FF006100"/>
              </font>
              <fill>
                <patternFill>
                  <bgColor rgb="FFC6EFCE"/>
                </patternFill>
              </fill>
            </x14:dxf>
          </x14:cfRule>
          <xm:sqref>D1980</xm:sqref>
        </x14:conditionalFormatting>
        <x14:conditionalFormatting xmlns:xm="http://schemas.microsoft.com/office/excel/2006/main">
          <x14:cfRule type="containsText" priority="37" operator="containsText" id="{F59CCBB8-9F9F-4CEC-ADC6-CBFDF221D4F4}">
            <xm:f>NOT(ISERROR(SEARCH($BY$2167,D2027)))</xm:f>
            <xm:f>$BY$2167</xm:f>
            <x14:dxf>
              <font>
                <color theme="5" tint="-0.24994659260841701"/>
              </font>
              <fill>
                <patternFill>
                  <bgColor theme="5" tint="0.79998168889431442"/>
                </patternFill>
              </fill>
            </x14:dxf>
          </x14:cfRule>
          <x14:cfRule type="containsText" priority="38" operator="containsText" id="{6523A389-AB4F-4D2A-980D-3E582DB2E839}">
            <xm:f>NOT(ISERROR(SEARCH($BY$2168,D2027)))</xm:f>
            <xm:f>$BY$2168</xm:f>
            <x14:dxf>
              <font>
                <color rgb="FF9C0006"/>
              </font>
              <fill>
                <patternFill>
                  <bgColor rgb="FFFFC7CE"/>
                </patternFill>
              </fill>
            </x14:dxf>
          </x14:cfRule>
          <x14:cfRule type="containsText" priority="39" operator="containsText" id="{673E7A37-0BE8-4622-A3A1-CE75DD5DEF7E}">
            <xm:f>NOT(ISERROR(SEARCH($BY$2166,D2027)))</xm:f>
            <xm:f>$BY$2166</xm:f>
            <x14:dxf>
              <font>
                <color rgb="FF9C5700"/>
              </font>
              <fill>
                <patternFill>
                  <bgColor rgb="FFFFFF99"/>
                </patternFill>
              </fill>
            </x14:dxf>
          </x14:cfRule>
          <x14:cfRule type="containsText" priority="40" operator="containsText" id="{452FEB71-E947-46FF-B68C-FDB39EC7D1E5}">
            <xm:f>NOT(ISERROR(SEARCH($BY$2165,D2027)))</xm:f>
            <xm:f>$BY$2165</xm:f>
            <x14:dxf>
              <font>
                <color theme="9" tint="-0.24994659260841701"/>
              </font>
              <fill>
                <patternFill>
                  <bgColor rgb="FFCCFF33"/>
                </patternFill>
              </fill>
            </x14:dxf>
          </x14:cfRule>
          <x14:cfRule type="containsText" priority="41" operator="containsText" id="{1C507274-3521-453E-8FFE-0E8DEBDB862D}">
            <xm:f>NOT(ISERROR(SEARCH($BY$2164,D2027)))</xm:f>
            <xm:f>$BY$2164</xm:f>
            <x14:dxf>
              <font>
                <color rgb="FF006100"/>
              </font>
              <fill>
                <patternFill>
                  <bgColor rgb="FFC6EFCE"/>
                </patternFill>
              </fill>
            </x14:dxf>
          </x14:cfRule>
          <xm:sqref>D2027</xm:sqref>
        </x14:conditionalFormatting>
        <x14:conditionalFormatting xmlns:xm="http://schemas.microsoft.com/office/excel/2006/main">
          <x14:cfRule type="containsText" priority="32" operator="containsText" id="{2719A799-27CA-4984-9AF3-BC93475D1690}">
            <xm:f>NOT(ISERROR(SEARCH($BY$2167,D2071)))</xm:f>
            <xm:f>$BY$2167</xm:f>
            <x14:dxf>
              <font>
                <color theme="5" tint="-0.24994659260841701"/>
              </font>
              <fill>
                <patternFill>
                  <bgColor theme="5" tint="0.79998168889431442"/>
                </patternFill>
              </fill>
            </x14:dxf>
          </x14:cfRule>
          <x14:cfRule type="containsText" priority="33" operator="containsText" id="{767FF904-862E-4AFE-8A82-248977C398B8}">
            <xm:f>NOT(ISERROR(SEARCH($BY$2168,D2071)))</xm:f>
            <xm:f>$BY$2168</xm:f>
            <x14:dxf>
              <font>
                <color rgb="FF9C0006"/>
              </font>
              <fill>
                <patternFill>
                  <bgColor rgb="FFFFC7CE"/>
                </patternFill>
              </fill>
            </x14:dxf>
          </x14:cfRule>
          <x14:cfRule type="containsText" priority="34" operator="containsText" id="{D458EBB2-7393-4F97-ABF6-16A11503BBF9}">
            <xm:f>NOT(ISERROR(SEARCH($BY$2166,D2071)))</xm:f>
            <xm:f>$BY$2166</xm:f>
            <x14:dxf>
              <font>
                <color rgb="FF9C5700"/>
              </font>
              <fill>
                <patternFill>
                  <bgColor rgb="FFFFFF99"/>
                </patternFill>
              </fill>
            </x14:dxf>
          </x14:cfRule>
          <x14:cfRule type="containsText" priority="35" operator="containsText" id="{B54B3C7F-881B-4A2A-A91B-CD1B06F4BC91}">
            <xm:f>NOT(ISERROR(SEARCH($BY$2165,D2071)))</xm:f>
            <xm:f>$BY$2165</xm:f>
            <x14:dxf>
              <font>
                <color theme="9" tint="-0.24994659260841701"/>
              </font>
              <fill>
                <patternFill>
                  <bgColor rgb="FFCCFF33"/>
                </patternFill>
              </fill>
            </x14:dxf>
          </x14:cfRule>
          <x14:cfRule type="containsText" priority="36" operator="containsText" id="{DD256844-9512-4551-8348-5AC2037174F1}">
            <xm:f>NOT(ISERROR(SEARCH($BY$2164,D2071)))</xm:f>
            <xm:f>$BY$2164</xm:f>
            <x14:dxf>
              <font>
                <color rgb="FF006100"/>
              </font>
              <fill>
                <patternFill>
                  <bgColor rgb="FFC6EFCE"/>
                </patternFill>
              </fill>
            </x14:dxf>
          </x14:cfRule>
          <xm:sqref>D2071</xm:sqref>
        </x14:conditionalFormatting>
        <x14:conditionalFormatting xmlns:xm="http://schemas.microsoft.com/office/excel/2006/main">
          <x14:cfRule type="containsText" priority="27" operator="containsText" id="{3F301B31-046A-4819-B7F9-EB872E8EA2BB}">
            <xm:f>NOT(ISERROR(SEARCH($BY$2167,D2074)))</xm:f>
            <xm:f>$BY$2167</xm:f>
            <x14:dxf>
              <font>
                <color theme="5" tint="-0.24994659260841701"/>
              </font>
              <fill>
                <patternFill>
                  <bgColor theme="5" tint="0.79998168889431442"/>
                </patternFill>
              </fill>
            </x14:dxf>
          </x14:cfRule>
          <x14:cfRule type="containsText" priority="28" operator="containsText" id="{97D5CD6F-DF8D-4F69-A8FB-3CB2F1C564FC}">
            <xm:f>NOT(ISERROR(SEARCH($BY$2168,D2074)))</xm:f>
            <xm:f>$BY$2168</xm:f>
            <x14:dxf>
              <font>
                <color rgb="FF9C0006"/>
              </font>
              <fill>
                <patternFill>
                  <bgColor rgb="FFFFC7CE"/>
                </patternFill>
              </fill>
            </x14:dxf>
          </x14:cfRule>
          <x14:cfRule type="containsText" priority="29" operator="containsText" id="{D04F1DFF-B0EB-4AD5-8987-7BFF1F7A7D3F}">
            <xm:f>NOT(ISERROR(SEARCH($BY$2166,D2074)))</xm:f>
            <xm:f>$BY$2166</xm:f>
            <x14:dxf>
              <font>
                <color rgb="FF9C5700"/>
              </font>
              <fill>
                <patternFill>
                  <bgColor rgb="FFFFFF99"/>
                </patternFill>
              </fill>
            </x14:dxf>
          </x14:cfRule>
          <x14:cfRule type="containsText" priority="30" operator="containsText" id="{D8B48A86-7BB9-4042-A17B-BABC736AF193}">
            <xm:f>NOT(ISERROR(SEARCH($BY$2165,D2074)))</xm:f>
            <xm:f>$BY$2165</xm:f>
            <x14:dxf>
              <font>
                <color theme="9" tint="-0.24994659260841701"/>
              </font>
              <fill>
                <patternFill>
                  <bgColor rgb="FFCCFF33"/>
                </patternFill>
              </fill>
            </x14:dxf>
          </x14:cfRule>
          <x14:cfRule type="containsText" priority="31" operator="containsText" id="{7CA7973D-1A15-49BD-A59F-CB51AC42B985}">
            <xm:f>NOT(ISERROR(SEARCH($BY$2164,D2074)))</xm:f>
            <xm:f>$BY$2164</xm:f>
            <x14:dxf>
              <font>
                <color rgb="FF006100"/>
              </font>
              <fill>
                <patternFill>
                  <bgColor rgb="FFC6EFCE"/>
                </patternFill>
              </fill>
            </x14:dxf>
          </x14:cfRule>
          <xm:sqref>D2074</xm:sqref>
        </x14:conditionalFormatting>
        <x14:conditionalFormatting xmlns:xm="http://schemas.microsoft.com/office/excel/2006/main">
          <x14:cfRule type="containsText" priority="231" operator="containsText" id="{B0E357CD-3971-4868-B3F9-60DD84C54E18}">
            <xm:f>NOT(ISERROR(SEARCH($AG$2078,D2079)))</xm:f>
            <xm:f>$AG$2078</xm:f>
            <x14:dxf>
              <font>
                <color rgb="FFCC99FF"/>
              </font>
            </x14:dxf>
          </x14:cfRule>
          <xm:sqref>D2079</xm:sqref>
        </x14:conditionalFormatting>
        <x14:conditionalFormatting xmlns:xm="http://schemas.microsoft.com/office/excel/2006/main">
          <x14:cfRule type="containsText" priority="22" operator="containsText" id="{15E13F37-5E6A-4522-A96C-082471D929CF}">
            <xm:f>NOT(ISERROR(SEARCH($BY$2167,D2121)))</xm:f>
            <xm:f>$BY$2167</xm:f>
            <x14:dxf>
              <font>
                <color theme="5" tint="-0.24994659260841701"/>
              </font>
              <fill>
                <patternFill>
                  <bgColor theme="5" tint="0.79998168889431442"/>
                </patternFill>
              </fill>
            </x14:dxf>
          </x14:cfRule>
          <x14:cfRule type="containsText" priority="23" operator="containsText" id="{22B34812-F205-471D-900F-1D976DB62AD9}">
            <xm:f>NOT(ISERROR(SEARCH($BY$2168,D2121)))</xm:f>
            <xm:f>$BY$2168</xm:f>
            <x14:dxf>
              <font>
                <color rgb="FF9C0006"/>
              </font>
              <fill>
                <patternFill>
                  <bgColor rgb="FFFFC7CE"/>
                </patternFill>
              </fill>
            </x14:dxf>
          </x14:cfRule>
          <x14:cfRule type="containsText" priority="24" operator="containsText" id="{0F4DC31C-7A1B-4A4F-880E-342225C57531}">
            <xm:f>NOT(ISERROR(SEARCH($BY$2166,D2121)))</xm:f>
            <xm:f>$BY$2166</xm:f>
            <x14:dxf>
              <font>
                <color rgb="FF9C5700"/>
              </font>
              <fill>
                <patternFill>
                  <bgColor rgb="FFFFFF99"/>
                </patternFill>
              </fill>
            </x14:dxf>
          </x14:cfRule>
          <x14:cfRule type="containsText" priority="25" operator="containsText" id="{1CA2C2DD-25B7-47CF-B815-50A315E68380}">
            <xm:f>NOT(ISERROR(SEARCH($BY$2165,D2121)))</xm:f>
            <xm:f>$BY$2165</xm:f>
            <x14:dxf>
              <font>
                <color theme="9" tint="-0.24994659260841701"/>
              </font>
              <fill>
                <patternFill>
                  <bgColor rgb="FFCCFF33"/>
                </patternFill>
              </fill>
            </x14:dxf>
          </x14:cfRule>
          <x14:cfRule type="containsText" priority="26" operator="containsText" id="{DD238774-2C3D-4DAA-BCCA-3774E1DFA7B4}">
            <xm:f>NOT(ISERROR(SEARCH($BY$2164,D2121)))</xm:f>
            <xm:f>$BY$2164</xm:f>
            <x14:dxf>
              <font>
                <color rgb="FF006100"/>
              </font>
              <fill>
                <patternFill>
                  <bgColor rgb="FFC6EFCE"/>
                </patternFill>
              </fill>
            </x14:dxf>
          </x14:cfRule>
          <xm:sqref>D2121</xm:sqref>
        </x14:conditionalFormatting>
        <x14:conditionalFormatting xmlns:xm="http://schemas.microsoft.com/office/excel/2006/main">
          <x14:cfRule type="containsText" priority="17" operator="containsText" id="{B1311C30-53DF-43CF-A6A6-494CFBB3A4B9}">
            <xm:f>NOT(ISERROR(SEARCH($BY$2167,D2168)))</xm:f>
            <xm:f>$BY$2167</xm:f>
            <x14:dxf>
              <font>
                <color theme="5" tint="-0.24994659260841701"/>
              </font>
              <fill>
                <patternFill>
                  <bgColor theme="5" tint="0.79998168889431442"/>
                </patternFill>
              </fill>
            </x14:dxf>
          </x14:cfRule>
          <x14:cfRule type="containsText" priority="18" operator="containsText" id="{E3FA0EF4-6F70-4645-B789-F34CA312A72D}">
            <xm:f>NOT(ISERROR(SEARCH($BY$2168,D2168)))</xm:f>
            <xm:f>$BY$2168</xm:f>
            <x14:dxf>
              <font>
                <color rgb="FF9C0006"/>
              </font>
              <fill>
                <patternFill>
                  <bgColor rgb="FFFFC7CE"/>
                </patternFill>
              </fill>
            </x14:dxf>
          </x14:cfRule>
          <x14:cfRule type="containsText" priority="19" operator="containsText" id="{47803075-E2D1-4CF6-9D07-9CAC4E578BAE}">
            <xm:f>NOT(ISERROR(SEARCH($BY$2166,D2168)))</xm:f>
            <xm:f>$BY$2166</xm:f>
            <x14:dxf>
              <font>
                <color rgb="FF9C5700"/>
              </font>
              <fill>
                <patternFill>
                  <bgColor rgb="FFFFFF99"/>
                </patternFill>
              </fill>
            </x14:dxf>
          </x14:cfRule>
          <x14:cfRule type="containsText" priority="20" operator="containsText" id="{048D448D-4317-44EF-A35C-3B59535904F1}">
            <xm:f>NOT(ISERROR(SEARCH($BY$2165,D2168)))</xm:f>
            <xm:f>$BY$2165</xm:f>
            <x14:dxf>
              <font>
                <color theme="9" tint="-0.24994659260841701"/>
              </font>
              <fill>
                <patternFill>
                  <bgColor rgb="FFCCFF33"/>
                </patternFill>
              </fill>
            </x14:dxf>
          </x14:cfRule>
          <x14:cfRule type="containsText" priority="21" operator="containsText" id="{E4458B3F-E549-4441-B857-43A62D459862}">
            <xm:f>NOT(ISERROR(SEARCH($BY$2164,D2168)))</xm:f>
            <xm:f>$BY$2164</xm:f>
            <x14:dxf>
              <font>
                <color rgb="FF006100"/>
              </font>
              <fill>
                <patternFill>
                  <bgColor rgb="FFC6EFCE"/>
                </patternFill>
              </fill>
            </x14:dxf>
          </x14:cfRule>
          <xm:sqref>D2168</xm:sqref>
        </x14:conditionalFormatting>
        <x14:conditionalFormatting xmlns:xm="http://schemas.microsoft.com/office/excel/2006/main">
          <x14:cfRule type="containsText" priority="213" operator="containsText" id="{0359F900-0B82-4E3B-9725-D11F75564BF9}">
            <xm:f>NOT(ISERROR(SEARCH($AG$2078,D2224)))</xm:f>
            <xm:f>$AG$2078</xm:f>
            <x14:dxf>
              <font>
                <color rgb="FFCC99FF"/>
              </font>
            </x14:dxf>
          </x14:cfRule>
          <xm:sqref>D2224</xm:sqref>
        </x14:conditionalFormatting>
        <x14:conditionalFormatting xmlns:xm="http://schemas.microsoft.com/office/excel/2006/main">
          <x14:cfRule type="containsText" priority="12" operator="containsText" id="{015D4340-8B05-484C-B14B-98160F4CE800}">
            <xm:f>NOT(ISERROR(SEARCH($BY$2167,D2262)))</xm:f>
            <xm:f>$BY$2167</xm:f>
            <x14:dxf>
              <font>
                <color theme="5" tint="-0.24994659260841701"/>
              </font>
              <fill>
                <patternFill>
                  <bgColor theme="5" tint="0.79998168889431442"/>
                </patternFill>
              </fill>
            </x14:dxf>
          </x14:cfRule>
          <x14:cfRule type="containsText" priority="13" operator="containsText" id="{9593CBC3-3B4D-4E76-A125-7D53484EAB17}">
            <xm:f>NOT(ISERROR(SEARCH($BY$2168,D2262)))</xm:f>
            <xm:f>$BY$2168</xm:f>
            <x14:dxf>
              <font>
                <color rgb="FF9C0006"/>
              </font>
              <fill>
                <patternFill>
                  <bgColor rgb="FFFFC7CE"/>
                </patternFill>
              </fill>
            </x14:dxf>
          </x14:cfRule>
          <x14:cfRule type="containsText" priority="14" operator="containsText" id="{EAD9DD34-FFC9-4145-A969-DAF8D524ED73}">
            <xm:f>NOT(ISERROR(SEARCH($BY$2166,D2262)))</xm:f>
            <xm:f>$BY$2166</xm:f>
            <x14:dxf>
              <font>
                <color rgb="FF9C5700"/>
              </font>
              <fill>
                <patternFill>
                  <bgColor rgb="FFFFFF99"/>
                </patternFill>
              </fill>
            </x14:dxf>
          </x14:cfRule>
          <x14:cfRule type="containsText" priority="15" operator="containsText" id="{58DF62C5-3FD1-439D-83F0-CA87FA724A9D}">
            <xm:f>NOT(ISERROR(SEARCH($BY$2165,D2262)))</xm:f>
            <xm:f>$BY$2165</xm:f>
            <x14:dxf>
              <font>
                <color theme="9" tint="-0.24994659260841701"/>
              </font>
              <fill>
                <patternFill>
                  <bgColor rgb="FFCCFF33"/>
                </patternFill>
              </fill>
            </x14:dxf>
          </x14:cfRule>
          <x14:cfRule type="containsText" priority="16" operator="containsText" id="{A708F1F6-CB12-4794-A491-D7EC8037E7B9}">
            <xm:f>NOT(ISERROR(SEARCH($BY$2164,D2262)))</xm:f>
            <xm:f>$BY$2164</xm:f>
            <x14:dxf>
              <font>
                <color rgb="FF006100"/>
              </font>
              <fill>
                <patternFill>
                  <bgColor rgb="FFC6EFCE"/>
                </patternFill>
              </fill>
            </x14:dxf>
          </x14:cfRule>
          <xm:sqref>D2262:D2265</xm:sqref>
        </x14:conditionalFormatting>
        <x14:conditionalFormatting xmlns:xm="http://schemas.microsoft.com/office/excel/2006/main">
          <x14:cfRule type="containsText" priority="1313" operator="containsText" id="{23D8C44F-F514-47B2-8DC6-531A0B31D31D}">
            <xm:f>NOT(ISERROR(SEARCH($BE$2394,D2393)))</xm:f>
            <xm:f>$BE$2394</xm:f>
            <x14:dxf>
              <fill>
                <patternFill>
                  <bgColor rgb="FFCCFFCC"/>
                </patternFill>
              </fill>
            </x14:dxf>
          </x14:cfRule>
          <xm:sqref>D2393</xm:sqref>
        </x14:conditionalFormatting>
        <x14:conditionalFormatting xmlns:xm="http://schemas.microsoft.com/office/excel/2006/main">
          <x14:cfRule type="containsText" priority="75" operator="containsText" id="{4EA131C2-5E58-4FB6-ABE5-5852027BB365}">
            <xm:f>NOT(ISERROR(SEARCH($BD$2394,D2393)))</xm:f>
            <xm:f>$BD$2394</xm:f>
            <x14:dxf>
              <font>
                <color theme="2" tint="-0.24994659260841701"/>
              </font>
            </x14:dxf>
          </x14:cfRule>
          <xm:sqref>D2393:E2393</xm:sqref>
        </x14:conditionalFormatting>
        <x14:conditionalFormatting xmlns:xm="http://schemas.microsoft.com/office/excel/2006/main">
          <x14:cfRule type="containsText" priority="879" operator="containsText" id="{B86C1647-523C-420B-AD3C-D33883191F6A}">
            <xm:f>NOT(ISERROR(SEARCH($AM$51,BG51)))</xm:f>
            <xm:f>$AM$51</xm:f>
            <x14:dxf>
              <font>
                <color rgb="FF00B050"/>
              </font>
              <fill>
                <patternFill>
                  <bgColor theme="2"/>
                </patternFill>
              </fill>
            </x14:dxf>
          </x14:cfRule>
          <x14:cfRule type="containsText" priority="880" operator="containsText" id="{740AFE3E-7E93-4D43-AC3D-639ADCC20F48}">
            <xm:f>NOT(ISERROR(SEARCH($AL$51,BG51)))</xm:f>
            <xm:f>$AL$51</xm:f>
            <x14:dxf>
              <font>
                <color rgb="FF92D050"/>
              </font>
              <fill>
                <patternFill>
                  <bgColor theme="2"/>
                </patternFill>
              </fill>
            </x14:dxf>
          </x14:cfRule>
          <x14:cfRule type="containsText" priority="881" operator="containsText" id="{514BEFAB-B508-4719-8BC1-180088B51229}">
            <xm:f>NOT(ISERROR(SEARCH($AK$51,BG51)))</xm:f>
            <xm:f>$AK$51</xm:f>
            <x14:dxf>
              <font>
                <color theme="7" tint="-0.24994659260841701"/>
              </font>
              <fill>
                <patternFill patternType="solid">
                  <bgColor theme="2"/>
                </patternFill>
              </fill>
            </x14:dxf>
          </x14:cfRule>
          <x14:cfRule type="containsText" priority="882" operator="containsText" id="{2D1C64C2-AA4E-419B-9BBD-735601CC775C}">
            <xm:f>NOT(ISERROR(SEARCH($AJ$51,BG51)))</xm:f>
            <xm:f>$AJ$51</xm:f>
            <x14:dxf>
              <font>
                <color theme="5" tint="-0.24994659260841701"/>
              </font>
              <fill>
                <patternFill patternType="solid">
                  <bgColor theme="2"/>
                </patternFill>
              </fill>
            </x14:dxf>
          </x14:cfRule>
          <x14:cfRule type="containsText" priority="883" operator="containsText" id="{4518355C-FC45-4469-A940-8A5429AAC394}">
            <xm:f>NOT(ISERROR(SEARCH($AI$51,BG51)))</xm:f>
            <xm:f>$AI$51</xm:f>
            <x14:dxf>
              <font>
                <strike val="0"/>
                <color rgb="FF9C0006"/>
              </font>
              <fill>
                <patternFill patternType="solid">
                  <bgColor theme="2"/>
                </patternFill>
              </fill>
            </x14:dxf>
          </x14:cfRule>
          <xm:sqref>BG51:BG53</xm:sqref>
        </x14:conditionalFormatting>
        <x14:conditionalFormatting xmlns:xm="http://schemas.microsoft.com/office/excel/2006/main">
          <x14:cfRule type="containsText" priority="218" operator="containsText" id="{98091161-2883-48FE-9659-BA1441977006}">
            <xm:f>NOT(ISERROR(SEARCH($BJ$2167,BY2167)))</xm:f>
            <xm:f>$BJ$2167</xm:f>
            <x14:dxf>
              <font>
                <color theme="5" tint="-0.24994659260841701"/>
              </font>
              <fill>
                <patternFill>
                  <bgColor theme="7" tint="0.59996337778862885"/>
                </patternFill>
              </fill>
            </x14:dxf>
          </x14:cfRule>
          <xm:sqref>BY2167</xm:sqref>
        </x14:conditionalFormatting>
        <x14:conditionalFormatting xmlns:xm="http://schemas.microsoft.com/office/excel/2006/main">
          <x14:cfRule type="containsText" priority="217" operator="containsText" id="{F0CD7752-D5C8-4778-9CA3-E0291AA14183}">
            <xm:f>NOT(ISERROR(SEARCH($BJ$2168,BY2168)))</xm:f>
            <xm:f>$BJ$2168</xm:f>
            <x14:dxf>
              <font>
                <color rgb="FF9C0006"/>
              </font>
              <fill>
                <patternFill>
                  <bgColor rgb="FFFFC7CE"/>
                </patternFill>
              </fill>
            </x14:dxf>
          </x14:cfRule>
          <xm:sqref>BY2168</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807B-35D2-4B4E-B9FE-FB47CB1EFD40}">
  <dimension ref="A1:LV4075"/>
  <sheetViews>
    <sheetView zoomScaleNormal="100" workbookViewId="0">
      <selection activeCell="F1" sqref="A1:F1"/>
    </sheetView>
  </sheetViews>
  <sheetFormatPr defaultColWidth="8.90625" defaultRowHeight="14" x14ac:dyDescent="0.3"/>
  <cols>
    <col min="1" max="1" width="3.81640625" style="48" customWidth="1"/>
    <col min="2" max="2" width="15.81640625" style="48" customWidth="1"/>
    <col min="3" max="3" width="35.81640625" style="48" customWidth="1"/>
    <col min="4" max="4" width="28.81640625" style="48" customWidth="1"/>
    <col min="5" max="6" width="2.81640625" style="48" customWidth="1"/>
    <col min="7" max="26" width="8.90625" style="4" customWidth="1"/>
    <col min="27" max="47" width="3.81640625" style="48" hidden="1" customWidth="1"/>
    <col min="48" max="48" width="4.81640625" style="48" hidden="1" customWidth="1"/>
    <col min="49" max="49" width="1.81640625" style="48" hidden="1" customWidth="1"/>
    <col min="50" max="50" width="3.81640625" style="48" hidden="1" customWidth="1"/>
    <col min="51" max="51" width="1.81640625" style="48" hidden="1" customWidth="1"/>
    <col min="52" max="52" width="3.81640625" style="48" hidden="1" customWidth="1"/>
    <col min="53" max="53" width="1.81640625" style="48" hidden="1" customWidth="1"/>
    <col min="54" max="54" width="6.81640625" style="14" hidden="1" customWidth="1"/>
    <col min="55" max="55" width="1.81640625" style="48" hidden="1" customWidth="1"/>
    <col min="56" max="56" width="6.81640625" style="48" hidden="1" customWidth="1"/>
    <col min="57" max="57" width="1.81640625" style="48" hidden="1" customWidth="1"/>
    <col min="58" max="58" width="5.81640625" style="48" hidden="1" customWidth="1"/>
    <col min="59" max="62" width="7.81640625" style="48" hidden="1" customWidth="1"/>
    <col min="63" max="77" width="3.81640625" style="48" hidden="1" customWidth="1"/>
    <col min="78" max="85" width="8.90625" style="48" hidden="1" customWidth="1"/>
    <col min="86" max="87" width="11.90625" style="48" hidden="1" customWidth="1"/>
    <col min="88" max="104" width="8.90625" style="48" hidden="1" customWidth="1"/>
    <col min="105" max="128" width="8.90625" style="48" customWidth="1"/>
    <col min="129" max="129" width="8.90625" style="48"/>
    <col min="130" max="130" width="25.81640625" style="48" customWidth="1"/>
    <col min="131" max="16384" width="8.90625" style="48"/>
  </cols>
  <sheetData>
    <row r="1" spans="1:70" ht="30" customHeight="1" x14ac:dyDescent="0.3">
      <c r="A1" s="40"/>
      <c r="B1" s="1127" t="str">
        <f>AD1</f>
        <v>Notification of Verifiable Innocence</v>
      </c>
      <c r="C1" s="1127"/>
      <c r="D1" s="1127"/>
      <c r="E1" s="1127"/>
      <c r="F1" s="436"/>
      <c r="AD1" s="642" t="str">
        <f>IF(BK1&lt;BK2,AI1,IF(AND(BK1=BK2,BM1&gt;0),AQ1,IF(AND(BK1=BK2,BQ1&gt;=BM1),BB1,"")))</f>
        <v>Notification of Verifiable Innocence</v>
      </c>
      <c r="AI1" s="52" t="s">
        <v>5425</v>
      </c>
      <c r="AQ1" s="52" t="s">
        <v>5420</v>
      </c>
      <c r="BA1" s="52" t="s">
        <v>5424</v>
      </c>
      <c r="BK1" s="1159">
        <f>AB944</f>
        <v>45</v>
      </c>
      <c r="BL1" s="1159"/>
      <c r="BM1" s="1159">
        <f>AC944</f>
        <v>20</v>
      </c>
      <c r="BN1" s="1159"/>
      <c r="BO1" s="1160"/>
      <c r="BP1" s="1160"/>
      <c r="BQ1" s="1158">
        <f>AE944</f>
        <v>0</v>
      </c>
      <c r="BR1" s="1158"/>
    </row>
    <row r="2" spans="1:70" ht="19" customHeight="1" x14ac:dyDescent="0.3">
      <c r="A2" s="839"/>
      <c r="B2" s="839"/>
      <c r="C2" s="839"/>
      <c r="D2" s="839"/>
      <c r="E2" s="839"/>
      <c r="F2" s="230"/>
      <c r="BK2" s="48">
        <f>AA779+1</f>
        <v>45</v>
      </c>
      <c r="BL2" s="48">
        <f>AA944-5</f>
        <v>51</v>
      </c>
    </row>
    <row r="3" spans="1:70" ht="15" customHeight="1" x14ac:dyDescent="0.3">
      <c r="A3" s="839"/>
      <c r="B3" s="842"/>
      <c r="C3" s="840"/>
      <c r="D3" s="840"/>
      <c r="E3" s="840"/>
      <c r="F3" s="230"/>
    </row>
    <row r="4" spans="1:70" ht="20" customHeight="1" x14ac:dyDescent="0.3">
      <c r="A4" s="839"/>
      <c r="B4" s="1169" t="str">
        <f>AD4</f>
        <v xml:space="preserve">PLEASE BE INFORMED that Steph Turner faithfully asserts that he was wrongly convicted in 1993. Since then, he consistently maintains his innocence. </v>
      </c>
      <c r="C4" s="1169"/>
      <c r="D4" s="1169"/>
      <c r="E4" s="840"/>
      <c r="F4" s="230"/>
      <c r="AD4" s="642" t="str">
        <f>IF(AD$1=AI$1,AF4,IF(AD$1=AQ$1,AH4,IF(AD$1=BA$1,AX4,"")))</f>
        <v xml:space="preserve">PLEASE BE INFORMED that Steph Turner faithfully asserts that he was wrongly convicted in 1993. Since then, he consistently maintains his innocence. </v>
      </c>
      <c r="AE4" s="245" t="s">
        <v>885</v>
      </c>
      <c r="AF4" s="230" t="s">
        <v>5426</v>
      </c>
      <c r="AG4" s="245" t="s">
        <v>885</v>
      </c>
      <c r="AH4" s="813" t="str">
        <f>CONCATENATE(AI4,AJ4,AK4,AL4,AM4,AN4,AO4,AP4,AQ4,AR4,AS4,AT4)</f>
        <v xml:space="preserve">PLEASE BE INFORMED that Steph Turner faithfully asserts that he was wrongly convicted in 1993. Since then, he consistently maintains his innocence. </v>
      </c>
      <c r="AI4" s="48" t="s">
        <v>5371</v>
      </c>
      <c r="AJ4" s="48" t="str">
        <f>BG202</f>
        <v>Steph Turner</v>
      </c>
      <c r="AK4" s="48" t="s">
        <v>5372</v>
      </c>
      <c r="AL4" s="48" t="str">
        <f>BH206</f>
        <v>he</v>
      </c>
      <c r="AM4" s="48" t="str">
        <f>IF(AL4="they"," were"," was")</f>
        <v xml:space="preserve"> was</v>
      </c>
      <c r="AN4" s="245" t="s">
        <v>5430</v>
      </c>
      <c r="AO4" s="48">
        <f>AG259</f>
        <v>1993</v>
      </c>
      <c r="AP4" s="48" t="s">
        <v>5373</v>
      </c>
      <c r="AQ4" s="48" t="str">
        <f>BH206</f>
        <v>he</v>
      </c>
      <c r="AR4" s="48" t="s">
        <v>5374</v>
      </c>
      <c r="AS4" s="48" t="str">
        <f>BJ206</f>
        <v>his</v>
      </c>
      <c r="AT4" s="48" t="s">
        <v>5375</v>
      </c>
      <c r="AX4" s="854"/>
    </row>
    <row r="5" spans="1:70" ht="19.75" customHeight="1" x14ac:dyDescent="0.3">
      <c r="A5" s="839"/>
      <c r="B5" s="1169"/>
      <c r="C5" s="1169"/>
      <c r="D5" s="1169"/>
      <c r="E5" s="840"/>
      <c r="F5" s="230"/>
      <c r="AN5" s="245"/>
    </row>
    <row r="6" spans="1:70" ht="20" customHeight="1" x14ac:dyDescent="0.3">
      <c r="A6" s="839"/>
      <c r="B6" s="1169" t="str">
        <f>AD6</f>
        <v xml:space="preserve">PLEASE BE INFORMED that Steph asserts three of six known factors common in wrongful convictions. He identifies 26 other important factors known to wrongly convict the innocent. </v>
      </c>
      <c r="C6" s="1169"/>
      <c r="D6" s="1169"/>
      <c r="E6" s="840"/>
      <c r="F6" s="230"/>
      <c r="AD6" s="642" t="str">
        <f>IF(AD$1=AI$1,AF6,IF(AD$1=AQ$1,AH6,IF(AD$1=BA$1,AO6,"")))</f>
        <v xml:space="preserve">PLEASE BE INFORMED that Steph asserts three of six known factors common in wrongful convictions. He identifies 26 other important factors known to wrongly convict the innocent. </v>
      </c>
      <c r="AE6" s="245" t="s">
        <v>885</v>
      </c>
      <c r="AF6" s="230" t="s">
        <v>5555</v>
      </c>
      <c r="AG6" s="245" t="s">
        <v>885</v>
      </c>
      <c r="AH6" s="813" t="str">
        <f>CONCATENATE(AI6,AJ6,AK6,AL6,AM6)</f>
        <v xml:space="preserve">PLEASE BE INFORMED that Steph asserts three of six known factors common in wrongful convictions. He identifies 26 other important factors known to wrongly convict the innocent. </v>
      </c>
      <c r="AI6" s="48" t="s">
        <v>5371</v>
      </c>
      <c r="AJ6" s="48" t="str">
        <f>BP521</f>
        <v xml:space="preserve">Steph asserts three of six known factors common in wrongful convictions. </v>
      </c>
      <c r="AK6" s="48" t="str">
        <f>BP556</f>
        <v xml:space="preserve">He identifies 26 other important factors known to wrongly convict the innocent. </v>
      </c>
      <c r="AN6" s="245" t="s">
        <v>885</v>
      </c>
      <c r="AO6" s="854"/>
    </row>
    <row r="7" spans="1:70" ht="20" customHeight="1" x14ac:dyDescent="0.3">
      <c r="A7" s="839"/>
      <c r="B7" s="1169"/>
      <c r="C7" s="1169"/>
      <c r="D7" s="1169"/>
      <c r="E7" s="840"/>
      <c r="F7" s="230"/>
      <c r="AD7" s="642" t="str">
        <f>IF(AD$1=AI$1,AF7,IF(AD$1=AQ$1,AH7,IF(AD$1=BA$1,AO7,"")))</f>
        <v>― Most admit to the crime while, at least initially, denying the harm they caused.</v>
      </c>
      <c r="AE7" s="245" t="s">
        <v>885</v>
      </c>
      <c r="AF7" s="230"/>
      <c r="AG7" s="245" t="s">
        <v>885</v>
      </c>
      <c r="AH7" s="813" t="str">
        <f>CONCATENATE(AI7,AJ7,AK7,AL7,AM7)</f>
        <v>― Most admit to the crime while, at least initially, denying the harm they caused.</v>
      </c>
      <c r="AI7" s="48" t="s">
        <v>5376</v>
      </c>
      <c r="AN7" s="245" t="s">
        <v>885</v>
      </c>
      <c r="AO7" s="854"/>
      <c r="BK7" s="245" t="s">
        <v>5415</v>
      </c>
    </row>
    <row r="8" spans="1:70" ht="13.75" customHeight="1" x14ac:dyDescent="0.3">
      <c r="A8" s="839"/>
      <c r="B8" s="1169"/>
      <c r="C8" s="1169"/>
      <c r="D8" s="1169"/>
      <c r="E8" s="840"/>
      <c r="F8" s="230"/>
      <c r="AN8" s="245"/>
    </row>
    <row r="9" spans="1:70" ht="15" customHeight="1" x14ac:dyDescent="0.3">
      <c r="A9" s="839"/>
      <c r="B9" s="841" t="str">
        <f>AD9</f>
        <v>PLEASE BE INFORMED that felons or prisoners rarely claim full or actual innocence.</v>
      </c>
      <c r="C9" s="840"/>
      <c r="D9" s="840"/>
      <c r="E9" s="840"/>
      <c r="F9" s="230"/>
      <c r="AD9" s="642" t="str">
        <f>IF(AD$1=AI$1,AF9,IF(AD$1=AQ$1,AH9,IF(AD$1=BA$1,AO9,"")))</f>
        <v>PLEASE BE INFORMED that felons or prisoners rarely claim full or actual innocence.</v>
      </c>
      <c r="AE9" s="245" t="s">
        <v>885</v>
      </c>
      <c r="AF9" s="230" t="s">
        <v>5427</v>
      </c>
      <c r="AG9" s="245" t="s">
        <v>885</v>
      </c>
      <c r="AH9" s="813" t="str">
        <f>CONCATENATE(AI9,AJ9,AK9,AL9,AM9)</f>
        <v>PLEASE BE INFORMED that felons or prisoners rarely claim full or actual innocence.</v>
      </c>
      <c r="AI9" s="48" t="s">
        <v>5378</v>
      </c>
      <c r="AN9" s="245" t="s">
        <v>885</v>
      </c>
      <c r="AO9" s="854"/>
      <c r="BK9" s="642" t="str">
        <f>IF(BN9="","",CONCATENATE(BM9,BN9,BO9))</f>
        <v/>
      </c>
      <c r="BL9" s="844" t="str">
        <f>AU243</f>
        <v>1)</v>
      </c>
      <c r="BM9" s="48" t="s">
        <v>5383</v>
      </c>
      <c r="BN9" s="642" t="str">
        <f>AV243</f>
        <v/>
      </c>
    </row>
    <row r="10" spans="1:70" ht="15" customHeight="1" x14ac:dyDescent="0.3">
      <c r="A10" s="839"/>
      <c r="B10" s="842" t="str">
        <f>AD10</f>
        <v>― Most admit to the charged criminal activity while denying it caused harm.</v>
      </c>
      <c r="C10" s="840"/>
      <c r="D10" s="840"/>
      <c r="E10" s="840"/>
      <c r="F10" s="230"/>
      <c r="AD10" s="642" t="str">
        <f t="shared" ref="AD10:AD36" si="0">IF(AD$1=AI$1,AF10,IF(AD$1=AQ$1,AH10,IF(AD$1=BA$1,AO10,"")))</f>
        <v>― Most admit to the charged criminal activity while denying it caused harm.</v>
      </c>
      <c r="AE10" s="245" t="s">
        <v>885</v>
      </c>
      <c r="AF10" s="230" t="s">
        <v>5428</v>
      </c>
      <c r="AG10" s="245" t="s">
        <v>885</v>
      </c>
      <c r="AH10" s="813" t="str">
        <f>CONCATENATE(AI10,AJ10,AK10,AL10,AM10)</f>
        <v>― Most admit to the charged criminal activity while denying it caused harm.</v>
      </c>
      <c r="AI10" s="48" t="s">
        <v>5433</v>
      </c>
      <c r="AN10" s="245" t="s">
        <v>885</v>
      </c>
      <c r="AO10" s="854"/>
      <c r="BK10" s="642" t="str">
        <f t="shared" ref="BK10:BK19" si="1">IF(BN10="","",CONCATENATE(BM10,BN10,BO10))</f>
        <v xml:space="preserve">― Steph has always maintained his innocence. </v>
      </c>
      <c r="BL10" s="844" t="str">
        <f>AU250</f>
        <v>2)</v>
      </c>
      <c r="BM10" s="48" t="s">
        <v>5383</v>
      </c>
      <c r="BN10" s="642" t="str">
        <f>AV250</f>
        <v xml:space="preserve">Steph has always maintained his innocence. </v>
      </c>
    </row>
    <row r="11" spans="1:70" ht="15" customHeight="1" x14ac:dyDescent="0.3">
      <c r="A11" s="839"/>
      <c r="B11" s="842" t="str">
        <f t="shared" ref="B11:B22" si="2">AD11</f>
        <v>― Most complain about the harsh punishment for their admitted offenses.</v>
      </c>
      <c r="C11" s="840"/>
      <c r="D11" s="840"/>
      <c r="E11" s="840"/>
      <c r="F11" s="230"/>
      <c r="AD11" s="642" t="str">
        <f t="shared" si="0"/>
        <v>― Most complain about the harsh punishment for their admitted offenses.</v>
      </c>
      <c r="AE11" s="245" t="s">
        <v>885</v>
      </c>
      <c r="AF11" s="230" t="s">
        <v>5429</v>
      </c>
      <c r="AG11" s="245" t="s">
        <v>885</v>
      </c>
      <c r="AH11" s="813" t="str">
        <f t="shared" ref="AH11:AH36" si="3">CONCATENATE(AI11,AJ11,AK11,AL11,AM11)</f>
        <v>― Most complain about the harsh punishment for their admitted offenses.</v>
      </c>
      <c r="AI11" s="48" t="s">
        <v>5434</v>
      </c>
      <c r="AN11" s="245" t="s">
        <v>885</v>
      </c>
      <c r="AO11" s="854"/>
      <c r="BK11" s="642" t="str">
        <f t="shared" si="1"/>
        <v>― Steph faced a lengthy "trial penalty" sentence.</v>
      </c>
      <c r="BL11" s="844" t="str">
        <f>AU324</f>
        <v>3)</v>
      </c>
      <c r="BM11" s="48" t="s">
        <v>5383</v>
      </c>
      <c r="BN11" s="642" t="str">
        <f>AV324</f>
        <v>Steph faced a lengthy "trial penalty" sentence.</v>
      </c>
    </row>
    <row r="12" spans="1:70" ht="15" customHeight="1" x14ac:dyDescent="0.3">
      <c r="A12" s="839"/>
      <c r="B12" s="842" t="str">
        <f t="shared" si="2"/>
        <v>― Only about 15% claim actual innocence, asserting they played no role in any crime.</v>
      </c>
      <c r="C12" s="840"/>
      <c r="D12" s="840"/>
      <c r="E12" s="840"/>
      <c r="F12" s="230"/>
      <c r="AD12" s="642" t="str">
        <f t="shared" si="0"/>
        <v>― Only about 15% claim actual innocence, asserting they played no role in any crime.</v>
      </c>
      <c r="AE12" s="245" t="s">
        <v>885</v>
      </c>
      <c r="AF12" s="230" t="s">
        <v>5432</v>
      </c>
      <c r="AG12" s="245" t="s">
        <v>885</v>
      </c>
      <c r="AH12" s="813" t="str">
        <f t="shared" si="3"/>
        <v>― Only about 15% claim actual innocence, asserting they played no role in any crime.</v>
      </c>
      <c r="AI12" s="48" t="s">
        <v>5377</v>
      </c>
      <c r="AN12" s="245" t="s">
        <v>885</v>
      </c>
      <c r="AO12" s="854"/>
      <c r="BK12" s="642" t="str">
        <f t="shared" si="1"/>
        <v/>
      </c>
      <c r="BL12" s="844" t="str">
        <f>AU325</f>
        <v>4)</v>
      </c>
      <c r="BM12" s="48" t="s">
        <v>5383</v>
      </c>
      <c r="BN12" s="642" t="str">
        <f>AV325</f>
        <v/>
      </c>
    </row>
    <row r="13" spans="1:70" ht="15" customHeight="1" x14ac:dyDescent="0.3">
      <c r="A13" s="839"/>
      <c r="B13" s="842"/>
      <c r="C13" s="840"/>
      <c r="D13" s="840"/>
      <c r="E13" s="840"/>
      <c r="F13" s="230"/>
      <c r="AN13" s="245"/>
      <c r="BK13" s="642" t="str">
        <f t="shared" si="1"/>
        <v/>
      </c>
      <c r="BL13" s="844" t="str">
        <f>AU326</f>
        <v>5)</v>
      </c>
      <c r="BM13" s="48" t="s">
        <v>5383</v>
      </c>
      <c r="BN13" s="642" t="str">
        <f>AV326</f>
        <v/>
      </c>
    </row>
    <row r="14" spans="1:70" ht="15" customHeight="1" thickBot="1" x14ac:dyDescent="0.35">
      <c r="A14" s="839"/>
      <c r="B14" s="841" t="str">
        <f t="shared" si="2"/>
        <v>PLEASE BE INFORMED of the factors correlating Steph's likely innocence.</v>
      </c>
      <c r="C14" s="840"/>
      <c r="D14" s="840"/>
      <c r="E14" s="840"/>
      <c r="F14" s="230"/>
      <c r="AD14" s="642" t="str">
        <f t="shared" si="0"/>
        <v>PLEASE BE INFORMED of the factors correlating Steph's likely innocence.</v>
      </c>
      <c r="AE14" s="245" t="s">
        <v>885</v>
      </c>
      <c r="AF14" s="230" t="s">
        <v>5558</v>
      </c>
      <c r="AG14" s="245" t="s">
        <v>885</v>
      </c>
      <c r="AH14" s="813" t="str">
        <f t="shared" si="3"/>
        <v>PLEASE BE INFORMED of the factors correlating Steph's likely innocence.</v>
      </c>
      <c r="AI14" s="48" t="s">
        <v>5394</v>
      </c>
      <c r="AJ14" s="48" t="str">
        <f>AN202</f>
        <v>Steph</v>
      </c>
      <c r="AK14" s="245" t="s">
        <v>5395</v>
      </c>
      <c r="AN14" s="245" t="s">
        <v>885</v>
      </c>
      <c r="AO14" s="854"/>
      <c r="BK14" s="642" t="str">
        <f t="shared" si="1"/>
        <v xml:space="preserve">― Steph maintained innocence to parole board, costing parole eligibility. </v>
      </c>
      <c r="BL14" s="844" t="str">
        <f>AU327</f>
        <v>6)</v>
      </c>
      <c r="BM14" s="48" t="s">
        <v>5383</v>
      </c>
      <c r="BN14" s="642" t="str">
        <f>AV327</f>
        <v xml:space="preserve">Steph maintained innocence to parole board, costing parole eligibility. </v>
      </c>
    </row>
    <row r="15" spans="1:70" ht="15" customHeight="1" thickBot="1" x14ac:dyDescent="0.35">
      <c r="A15" s="839"/>
      <c r="B15" s="1166" t="s">
        <v>5483</v>
      </c>
      <c r="C15" s="1167"/>
      <c r="D15" s="1168"/>
      <c r="E15" s="840"/>
      <c r="F15" s="230"/>
      <c r="AD15" s="642" t="str">
        <f t="shared" si="0"/>
        <v>SELECT FROM DROPDOWN LIST</v>
      </c>
      <c r="AE15" s="245" t="s">
        <v>885</v>
      </c>
      <c r="AF15" s="230" t="s">
        <v>5559</v>
      </c>
      <c r="AG15" s="245" t="s">
        <v>885</v>
      </c>
      <c r="AH15" s="813" t="s">
        <v>5458</v>
      </c>
      <c r="AI15" s="855" t="s">
        <v>5383</v>
      </c>
      <c r="AJ15" s="855" t="s">
        <v>5389</v>
      </c>
      <c r="AK15" s="855"/>
      <c r="AL15" s="855"/>
      <c r="AM15" s="855"/>
      <c r="AN15" s="245" t="s">
        <v>885</v>
      </c>
      <c r="AO15" s="813" t="str">
        <f>AH15</f>
        <v>SELECT FROM DROPDOWN LIST</v>
      </c>
      <c r="BK15" s="642" t="str">
        <f t="shared" si="1"/>
        <v xml:space="preserve">― Steph served the full sentence because of maintaining his innocence. </v>
      </c>
      <c r="BL15" s="844" t="str">
        <f>AU328</f>
        <v>7)</v>
      </c>
      <c r="BM15" s="48" t="s">
        <v>5383</v>
      </c>
      <c r="BN15" s="642" t="str">
        <f>AV328</f>
        <v xml:space="preserve">Steph served the full sentence because of maintaining his innocence. </v>
      </c>
    </row>
    <row r="16" spans="1:70" ht="15" customHeight="1" thickBot="1" x14ac:dyDescent="0.35">
      <c r="A16" s="839"/>
      <c r="B16" s="1166" t="s">
        <v>5484</v>
      </c>
      <c r="C16" s="1167"/>
      <c r="D16" s="1168"/>
      <c r="E16" s="840"/>
      <c r="F16" s="230"/>
      <c r="AD16" s="642" t="str">
        <f t="shared" si="0"/>
        <v>SELECT FROM DROPDOWN LIST</v>
      </c>
      <c r="AE16" s="245" t="s">
        <v>885</v>
      </c>
      <c r="AF16" s="230" t="s">
        <v>5557</v>
      </c>
      <c r="AG16" s="245" t="s">
        <v>885</v>
      </c>
      <c r="AH16" s="813" t="s">
        <v>5458</v>
      </c>
      <c r="AI16" s="855" t="s">
        <v>5383</v>
      </c>
      <c r="AJ16" s="855" t="s">
        <v>5390</v>
      </c>
      <c r="AK16" s="855"/>
      <c r="AL16" s="855"/>
      <c r="AM16" s="855"/>
      <c r="AN16" s="245" t="s">
        <v>885</v>
      </c>
      <c r="AO16" s="813" t="str">
        <f t="shared" ref="AO16:AO21" si="4">AH16</f>
        <v>SELECT FROM DROPDOWN LIST</v>
      </c>
      <c r="BK16" s="642" t="str">
        <f t="shared" si="1"/>
        <v xml:space="preserve">― Steph has no other criminal history. </v>
      </c>
      <c r="BL16" s="844" t="str">
        <f>AU343</f>
        <v>8)</v>
      </c>
      <c r="BM16" s="48" t="s">
        <v>5383</v>
      </c>
      <c r="BN16" s="642" t="str">
        <f>AV343</f>
        <v xml:space="preserve">Steph has no other criminal history. </v>
      </c>
    </row>
    <row r="17" spans="1:66" ht="15" customHeight="1" thickBot="1" x14ac:dyDescent="0.35">
      <c r="A17" s="839"/>
      <c r="B17" s="1166" t="s">
        <v>5485</v>
      </c>
      <c r="C17" s="1167"/>
      <c r="D17" s="1168"/>
      <c r="E17" s="840"/>
      <c r="F17" s="230"/>
      <c r="AD17" s="642" t="str">
        <f t="shared" si="0"/>
        <v>SELECT FROM DROPDOWN LIST</v>
      </c>
      <c r="AE17" s="245" t="s">
        <v>885</v>
      </c>
      <c r="AF17" s="230" t="s">
        <v>5556</v>
      </c>
      <c r="AG17" s="245" t="s">
        <v>885</v>
      </c>
      <c r="AH17" s="813" t="s">
        <v>5458</v>
      </c>
      <c r="AI17" s="855" t="s">
        <v>5383</v>
      </c>
      <c r="AJ17" s="855" t="s">
        <v>5391</v>
      </c>
      <c r="AK17" s="855"/>
      <c r="AL17" s="855"/>
      <c r="AM17" s="855"/>
      <c r="AN17" s="245" t="s">
        <v>885</v>
      </c>
      <c r="AO17" s="813" t="str">
        <f t="shared" si="4"/>
        <v>SELECT FROM DROPDOWN LIST</v>
      </c>
      <c r="BK17" s="642" t="str">
        <f t="shared" si="1"/>
        <v>― No criminal history</v>
      </c>
      <c r="BM17" s="48" t="s">
        <v>5383</v>
      </c>
      <c r="BN17" s="813" t="str">
        <f t="shared" ref="BN17:BN24" si="5">C913</f>
        <v>No criminal history</v>
      </c>
    </row>
    <row r="18" spans="1:66" ht="15" customHeight="1" thickBot="1" x14ac:dyDescent="0.35">
      <c r="A18" s="839"/>
      <c r="B18" s="1166" t="s">
        <v>5486</v>
      </c>
      <c r="C18" s="1167"/>
      <c r="D18" s="1168"/>
      <c r="E18" s="840"/>
      <c r="F18" s="230"/>
      <c r="AD18" s="642" t="str">
        <f t="shared" si="0"/>
        <v>SELECT FROM DROPDOWN LIST</v>
      </c>
      <c r="AE18" s="245" t="s">
        <v>885</v>
      </c>
      <c r="AF18" s="230" t="s">
        <v>5439</v>
      </c>
      <c r="AG18" s="245" t="s">
        <v>885</v>
      </c>
      <c r="AH18" s="813" t="s">
        <v>5458</v>
      </c>
      <c r="AN18" s="245" t="s">
        <v>885</v>
      </c>
      <c r="AO18" s="813" t="str">
        <f t="shared" si="4"/>
        <v>SELECT FROM DROPDOWN LIST</v>
      </c>
      <c r="BK18" s="642" t="str">
        <f t="shared" si="1"/>
        <v>― Consistently maintained innocence, took no plea deals</v>
      </c>
      <c r="BM18" s="48" t="s">
        <v>5383</v>
      </c>
      <c r="BN18" s="813" t="str">
        <f t="shared" si="5"/>
        <v>Consistently maintained innocence, took no plea deals</v>
      </c>
    </row>
    <row r="19" spans="1:66" ht="15" customHeight="1" thickBot="1" x14ac:dyDescent="0.35">
      <c r="A19" s="839"/>
      <c r="B19" s="1166" t="s">
        <v>5487</v>
      </c>
      <c r="C19" s="1167"/>
      <c r="D19" s="1168"/>
      <c r="E19" s="840"/>
      <c r="F19" s="230"/>
      <c r="AD19" s="642" t="str">
        <f t="shared" si="0"/>
        <v>SELECT FROM DROPDOWN LIST</v>
      </c>
      <c r="AE19" s="245" t="s">
        <v>885</v>
      </c>
      <c r="AF19" s="230" t="s">
        <v>5440</v>
      </c>
      <c r="AG19" s="245" t="s">
        <v>885</v>
      </c>
      <c r="AH19" s="813" t="s">
        <v>5458</v>
      </c>
      <c r="AN19" s="245" t="s">
        <v>885</v>
      </c>
      <c r="AO19" s="813" t="str">
        <f t="shared" si="4"/>
        <v>SELECT FROM DROPDOWN LIST</v>
      </c>
      <c r="BK19" s="642" t="str">
        <f t="shared" si="1"/>
        <v>― Transphobic investigation and prosecution</v>
      </c>
      <c r="BM19" s="48" t="s">
        <v>5383</v>
      </c>
      <c r="BN19" s="813" t="str">
        <f t="shared" si="5"/>
        <v>Transphobic investigation and prosecution</v>
      </c>
    </row>
    <row r="20" spans="1:66" ht="15" customHeight="1" thickBot="1" x14ac:dyDescent="0.35">
      <c r="A20" s="839"/>
      <c r="B20" s="1166" t="s">
        <v>5488</v>
      </c>
      <c r="C20" s="1167"/>
      <c r="D20" s="1168"/>
      <c r="E20" s="840"/>
      <c r="F20" s="230"/>
      <c r="AD20" s="642" t="str">
        <f t="shared" si="0"/>
        <v>SELECT FROM DROPDOWN LIST</v>
      </c>
      <c r="AE20" s="245" t="s">
        <v>885</v>
      </c>
      <c r="AF20" s="230" t="s">
        <v>5441</v>
      </c>
      <c r="AG20" s="245" t="s">
        <v>885</v>
      </c>
      <c r="AH20" s="813" t="s">
        <v>5458</v>
      </c>
      <c r="AN20" s="245" t="s">
        <v>885</v>
      </c>
      <c r="AO20" s="813" t="str">
        <f t="shared" si="4"/>
        <v>SELECT FROM DROPDOWN LIST</v>
      </c>
      <c r="BK20" s="642" t="str">
        <f>IF(BN20="","",CONCATENATE(BM20,BN20,BO20))</f>
        <v>― Convicted without corroborating evidence</v>
      </c>
      <c r="BM20" s="48" t="s">
        <v>5383</v>
      </c>
      <c r="BN20" s="813" t="str">
        <f t="shared" si="5"/>
        <v>Convicted without corroborating evidence</v>
      </c>
    </row>
    <row r="21" spans="1:66" ht="15" customHeight="1" thickBot="1" x14ac:dyDescent="0.35">
      <c r="A21" s="839"/>
      <c r="B21" s="1166" t="s">
        <v>5489</v>
      </c>
      <c r="C21" s="1167"/>
      <c r="D21" s="1168"/>
      <c r="E21" s="840"/>
      <c r="F21" s="230"/>
      <c r="AD21" s="642" t="str">
        <f t="shared" si="0"/>
        <v>SELECT FROM DROPDOWN LIST</v>
      </c>
      <c r="AE21" s="245" t="s">
        <v>885</v>
      </c>
      <c r="AF21" s="230" t="s">
        <v>5560</v>
      </c>
      <c r="AG21" s="245" t="s">
        <v>885</v>
      </c>
      <c r="AH21" s="813" t="s">
        <v>5458</v>
      </c>
      <c r="AN21" s="245" t="s">
        <v>885</v>
      </c>
      <c r="AO21" s="813" t="str">
        <f t="shared" si="4"/>
        <v>SELECT FROM DROPDOWN LIST</v>
      </c>
      <c r="BK21" s="642" t="str">
        <f>IF(BN21="","",CONCATENATE(BM21,BN21,BO21))</f>
        <v>― Climate of sex abuse hysteria</v>
      </c>
      <c r="BM21" s="48" t="s">
        <v>5383</v>
      </c>
      <c r="BN21" s="813" t="str">
        <f t="shared" si="5"/>
        <v>Climate of sex abuse hysteria</v>
      </c>
    </row>
    <row r="22" spans="1:66" ht="15" customHeight="1" x14ac:dyDescent="0.3">
      <c r="A22" s="839"/>
      <c r="B22" s="841" t="str">
        <f t="shared" si="2"/>
        <v>Do you suppose Steph accomplished all this to "game" the system?</v>
      </c>
      <c r="C22" s="840"/>
      <c r="D22" s="840"/>
      <c r="E22" s="840"/>
      <c r="F22" s="230"/>
      <c r="AD22" s="642" t="str">
        <f t="shared" si="0"/>
        <v>Do you suppose Steph accomplished all this to "game" the system?</v>
      </c>
      <c r="AE22" s="245" t="s">
        <v>885</v>
      </c>
      <c r="AF22" s="230" t="s">
        <v>5462</v>
      </c>
      <c r="AG22" s="245" t="s">
        <v>885</v>
      </c>
      <c r="AH22" s="813" t="str">
        <f t="shared" si="3"/>
        <v>Do you suppose Steph accomplished all this to "game" the system?</v>
      </c>
      <c r="AI22" s="48" t="s">
        <v>5404</v>
      </c>
      <c r="AJ22" s="48" t="str">
        <f>AN202</f>
        <v>Steph</v>
      </c>
      <c r="AK22" s="48" t="s">
        <v>5405</v>
      </c>
      <c r="AN22" s="245" t="s">
        <v>885</v>
      </c>
      <c r="AO22" s="854"/>
      <c r="BK22" s="642" t="str">
        <f>IF(BN22="","",CONCATENATE(BM22,BN22,BO22))</f>
        <v>― Media sensationalized coverage</v>
      </c>
      <c r="BM22" s="48" t="s">
        <v>5383</v>
      </c>
      <c r="BN22" s="813" t="str">
        <f t="shared" si="5"/>
        <v>Media sensationalized coverage</v>
      </c>
    </row>
    <row r="23" spans="1:66" ht="15" customHeight="1" x14ac:dyDescent="0.3">
      <c r="A23" s="839"/>
      <c r="B23" s="841"/>
      <c r="C23" s="840"/>
      <c r="D23" s="840"/>
      <c r="E23" s="840"/>
      <c r="F23" s="230"/>
      <c r="AN23" s="245"/>
      <c r="BK23" s="642" t="str">
        <f>IF(BN23="","",CONCATENATE(BM23,BN23,BO23))</f>
        <v>― Exculpatory evidence overlooked with untested DNA</v>
      </c>
      <c r="BM23" s="48" t="s">
        <v>5383</v>
      </c>
      <c r="BN23" s="813" t="str">
        <f t="shared" si="5"/>
        <v>Exculpatory evidence overlooked with untested DNA</v>
      </c>
    </row>
    <row r="24" spans="1:66" ht="15" customHeight="1" x14ac:dyDescent="0.3">
      <c r="A24" s="839"/>
      <c r="B24" s="841" t="str">
        <f>AD24</f>
        <v>PLEASE BE INFORMED of the scope of the problem of wrongful convictions in the U.S.</v>
      </c>
      <c r="C24" s="840"/>
      <c r="D24" s="840"/>
      <c r="E24" s="840"/>
      <c r="F24" s="230"/>
      <c r="AD24" s="642" t="str">
        <f t="shared" si="0"/>
        <v>PLEASE BE INFORMED of the scope of the problem of wrongful convictions in the U.S.</v>
      </c>
      <c r="AE24" s="245" t="s">
        <v>885</v>
      </c>
      <c r="AF24" s="230" t="s">
        <v>5443</v>
      </c>
      <c r="AG24" s="245" t="s">
        <v>885</v>
      </c>
      <c r="AH24" s="813" t="str">
        <f t="shared" si="3"/>
        <v>PLEASE BE INFORMED of the scope of the problem of wrongful convictions in the U.S.</v>
      </c>
      <c r="AI24" s="48" t="s">
        <v>5381</v>
      </c>
      <c r="AN24" s="245" t="s">
        <v>885</v>
      </c>
      <c r="AO24" s="854"/>
      <c r="BK24" s="642" t="str">
        <f>IF(BN24="","",CONCATENATE(BM24,BN24,BO24))</f>
        <v>― Asexual transperson must register for life as "sex offender"</v>
      </c>
      <c r="BM24" s="48" t="s">
        <v>5383</v>
      </c>
      <c r="BN24" s="813" t="str">
        <f t="shared" si="5"/>
        <v>Asexual transperson must register for life as "sex offender"</v>
      </c>
    </row>
    <row r="25" spans="1:66" ht="15" customHeight="1" x14ac:dyDescent="0.3">
      <c r="A25" s="839"/>
      <c r="B25" s="842" t="str">
        <f t="shared" ref="B25:B34" si="6">AD25</f>
        <v>― The volume of criminal cases police and prosecutors process often tempt costly shortcuts.</v>
      </c>
      <c r="C25" s="840"/>
      <c r="D25" s="840"/>
      <c r="E25" s="840"/>
      <c r="F25" s="230"/>
      <c r="AD25" s="642" t="str">
        <f t="shared" si="0"/>
        <v>― The volume of criminal cases police and prosecutors process often tempt costly shortcuts.</v>
      </c>
      <c r="AE25" s="245" t="s">
        <v>885</v>
      </c>
      <c r="AF25" s="230" t="s">
        <v>5444</v>
      </c>
      <c r="AG25" s="245" t="s">
        <v>885</v>
      </c>
      <c r="AH25" s="813" t="str">
        <f t="shared" si="3"/>
        <v>― The volume of criminal cases police and prosecutors process often tempt costly shortcuts.</v>
      </c>
      <c r="AI25" s="48" t="s">
        <v>5388</v>
      </c>
      <c r="AN25" s="245" t="s">
        <v>885</v>
      </c>
      <c r="AO25" s="854"/>
    </row>
    <row r="26" spans="1:66" ht="15" customHeight="1" x14ac:dyDescent="0.3">
      <c r="A26" s="839"/>
      <c r="B26" s="842" t="str">
        <f t="shared" si="6"/>
        <v xml:space="preserve">― Our judicial system seeks a fair process more than measurably just outcomes or impacts. </v>
      </c>
      <c r="C26" s="840"/>
      <c r="D26" s="840"/>
      <c r="E26" s="840"/>
      <c r="F26" s="230"/>
      <c r="AD26" s="642" t="str">
        <f t="shared" si="0"/>
        <v xml:space="preserve">― Our judicial system seeks a fair process more than measurably just outcomes or impacts. </v>
      </c>
      <c r="AE26" s="245" t="s">
        <v>885</v>
      </c>
      <c r="AF26" s="230" t="s">
        <v>5445</v>
      </c>
      <c r="AG26" s="245" t="s">
        <v>885</v>
      </c>
      <c r="AH26" s="813" t="str">
        <f t="shared" si="3"/>
        <v xml:space="preserve">― Our judicial system seeks a fair process more than measurably just outcomes or impacts. </v>
      </c>
      <c r="AI26" s="48" t="s">
        <v>5386</v>
      </c>
      <c r="AN26" s="245" t="s">
        <v>885</v>
      </c>
      <c r="AO26" s="854"/>
    </row>
    <row r="27" spans="1:66" ht="15" customHeight="1" x14ac:dyDescent="0.3">
      <c r="A27" s="839"/>
      <c r="B27" s="842" t="str">
        <f t="shared" si="6"/>
        <v>― The appellate process routinely misses innocence later discovered by DNA or other means.</v>
      </c>
      <c r="C27" s="840"/>
      <c r="D27" s="840"/>
      <c r="E27" s="840"/>
      <c r="F27" s="230"/>
      <c r="AD27" s="642" t="str">
        <f t="shared" si="0"/>
        <v>― The appellate process routinely misses innocence later discovered by DNA or other means.</v>
      </c>
      <c r="AE27" s="245" t="s">
        <v>885</v>
      </c>
      <c r="AF27" s="230" t="s">
        <v>5446</v>
      </c>
      <c r="AG27" s="245" t="s">
        <v>885</v>
      </c>
      <c r="AH27" s="813" t="str">
        <f t="shared" si="3"/>
        <v>― The appellate process routinely misses innocence later discovered by DNA or other means.</v>
      </c>
      <c r="AI27" s="48" t="s">
        <v>5380</v>
      </c>
      <c r="AN27" s="245" t="s">
        <v>885</v>
      </c>
      <c r="AO27" s="854"/>
    </row>
    <row r="28" spans="1:66" ht="15" customHeight="1" x14ac:dyDescent="0.3">
      <c r="A28" s="839"/>
      <c r="B28" s="842" t="str">
        <f t="shared" si="6"/>
        <v>― Research finds up to 15% are wrongly convicted, while only about 15% claim full innocence.</v>
      </c>
      <c r="C28" s="840"/>
      <c r="D28" s="840"/>
      <c r="E28" s="840"/>
      <c r="F28" s="230"/>
      <c r="AD28" s="642" t="str">
        <f t="shared" si="0"/>
        <v>― Research finds up to 15% are wrongly convicted, while only about 15% claim full innocence.</v>
      </c>
      <c r="AE28" s="245" t="s">
        <v>885</v>
      </c>
      <c r="AF28" s="230" t="s">
        <v>5447</v>
      </c>
      <c r="AG28" s="245" t="s">
        <v>885</v>
      </c>
      <c r="AH28" s="813" t="str">
        <f t="shared" si="3"/>
        <v>― Research finds up to 15% are wrongly convicted, while only about 15% claim full innocence.</v>
      </c>
      <c r="AI28" s="48" t="s">
        <v>5379</v>
      </c>
      <c r="AN28" s="245" t="s">
        <v>885</v>
      </c>
      <c r="AO28" s="854"/>
    </row>
    <row r="29" spans="1:66" ht="15" customHeight="1" x14ac:dyDescent="0.3">
      <c r="A29" s="839"/>
      <c r="B29" s="842" t="str">
        <f t="shared" si="6"/>
        <v>― Innocence projects and conviction review units receive more requests than they can serve.</v>
      </c>
      <c r="C29" s="840"/>
      <c r="D29" s="840"/>
      <c r="E29" s="840"/>
      <c r="F29" s="230"/>
      <c r="AD29" s="642" t="str">
        <f t="shared" si="0"/>
        <v>― Innocence projects and conviction review units receive more requests than they can serve.</v>
      </c>
      <c r="AE29" s="245" t="s">
        <v>885</v>
      </c>
      <c r="AF29" s="230" t="s">
        <v>5448</v>
      </c>
      <c r="AG29" s="245" t="s">
        <v>885</v>
      </c>
      <c r="AH29" s="813" t="str">
        <f t="shared" si="3"/>
        <v>― Innocence projects and conviction review units receive more requests than they can serve.</v>
      </c>
      <c r="AI29" s="48" t="s">
        <v>5387</v>
      </c>
      <c r="AN29" s="245" t="s">
        <v>885</v>
      </c>
      <c r="AO29" s="854"/>
    </row>
    <row r="30" spans="1:66" ht="15" customHeight="1" x14ac:dyDescent="0.3">
      <c r="A30" s="839"/>
      <c r="B30" s="840"/>
      <c r="C30" s="840"/>
      <c r="D30" s="840"/>
      <c r="E30" s="840"/>
      <c r="F30" s="230"/>
      <c r="AN30" s="245"/>
    </row>
    <row r="31" spans="1:66" ht="15" customHeight="1" x14ac:dyDescent="0.3">
      <c r="A31" s="839"/>
      <c r="B31" s="841" t="str">
        <f t="shared" si="6"/>
        <v>PLEASE BE AWARE of the wrongful conviction's impact on Steph's capacity to contest it.</v>
      </c>
      <c r="C31" s="840"/>
      <c r="D31" s="840"/>
      <c r="E31" s="840"/>
      <c r="F31" s="230"/>
      <c r="AD31" s="642" t="str">
        <f t="shared" si="0"/>
        <v>PLEASE BE AWARE of the wrongful conviction's impact on Steph's capacity to contest it.</v>
      </c>
      <c r="AE31" s="245" t="s">
        <v>885</v>
      </c>
      <c r="AF31" s="230" t="s">
        <v>5449</v>
      </c>
      <c r="AG31" s="245" t="s">
        <v>885</v>
      </c>
      <c r="AH31" s="813" t="str">
        <f t="shared" si="3"/>
        <v>PLEASE BE AWARE of the wrongful conviction's impact on Steph's capacity to contest it.</v>
      </c>
      <c r="AI31" s="48" t="s">
        <v>5421</v>
      </c>
      <c r="AJ31" s="48" t="str">
        <f>AN202</f>
        <v>Steph</v>
      </c>
      <c r="AK31" s="245" t="s">
        <v>5382</v>
      </c>
      <c r="AN31" s="245" t="s">
        <v>885</v>
      </c>
      <c r="AO31" s="854"/>
    </row>
    <row r="32" spans="1:66" ht="15" customHeight="1" x14ac:dyDescent="0.3">
      <c r="A32" s="839"/>
      <c r="B32" s="842" t="str">
        <f t="shared" si="6"/>
        <v>― Steph's economic capacity has been damaged, so he cannot afford most costs.</v>
      </c>
      <c r="C32" s="840"/>
      <c r="D32" s="840"/>
      <c r="E32" s="840"/>
      <c r="F32" s="230"/>
      <c r="AD32" s="642" t="str">
        <f t="shared" si="0"/>
        <v>― Steph's economic capacity has been damaged, so he cannot afford most costs.</v>
      </c>
      <c r="AE32" s="245" t="s">
        <v>885</v>
      </c>
      <c r="AF32" s="230" t="s">
        <v>5550</v>
      </c>
      <c r="AG32" s="245" t="s">
        <v>885</v>
      </c>
      <c r="AH32" s="813" t="str">
        <f t="shared" si="3"/>
        <v>― Steph's economic capacity has been damaged, so he cannot afford most costs.</v>
      </c>
      <c r="AI32" s="245" t="s">
        <v>5383</v>
      </c>
      <c r="AJ32" s="245" t="str">
        <f>AN202</f>
        <v>Steph</v>
      </c>
      <c r="AK32" s="245" t="s">
        <v>5423</v>
      </c>
      <c r="AL32" s="48" t="str">
        <f>BH206</f>
        <v>he</v>
      </c>
      <c r="AM32" s="48" t="s">
        <v>5384</v>
      </c>
      <c r="AN32" s="245" t="s">
        <v>885</v>
      </c>
      <c r="AO32" s="854"/>
    </row>
    <row r="33" spans="1:86" ht="15" customHeight="1" x14ac:dyDescent="0.3">
      <c r="A33" s="839"/>
      <c r="B33" s="842" t="str">
        <f t="shared" si="6"/>
        <v>― This claim is not yet verified, due largely to economic and familial damage.</v>
      </c>
      <c r="C33" s="840"/>
      <c r="D33" s="840"/>
      <c r="E33" s="840"/>
      <c r="F33" s="230"/>
      <c r="AD33" s="642" t="str">
        <f t="shared" si="0"/>
        <v>― This claim is not yet verified, due largely to economic and familial damage.</v>
      </c>
      <c r="AE33" s="245" t="s">
        <v>885</v>
      </c>
      <c r="AF33" s="230" t="s">
        <v>5551</v>
      </c>
      <c r="AG33" s="245" t="s">
        <v>885</v>
      </c>
      <c r="AH33" s="813" t="str">
        <f t="shared" si="3"/>
        <v>― This claim is not yet verified, due largely to economic and familial damage.</v>
      </c>
      <c r="AI33" s="48" t="s">
        <v>5383</v>
      </c>
      <c r="AJ33" s="48" t="s">
        <v>5422</v>
      </c>
      <c r="AN33" s="245" t="s">
        <v>885</v>
      </c>
      <c r="AO33" s="854"/>
    </row>
    <row r="34" spans="1:86" ht="15" customHeight="1" x14ac:dyDescent="0.3">
      <c r="A34" s="839"/>
      <c r="B34" s="842" t="str">
        <f t="shared" si="6"/>
        <v>― Steph is now vulnerable to widespread discrimination, under color of law.</v>
      </c>
      <c r="C34" s="840"/>
      <c r="D34" s="840"/>
      <c r="E34" s="840"/>
      <c r="F34" s="230"/>
      <c r="AD34" s="642" t="str">
        <f t="shared" si="0"/>
        <v>― Steph is now vulnerable to widespread discrimination, under color of law.</v>
      </c>
      <c r="AE34" s="245" t="s">
        <v>885</v>
      </c>
      <c r="AF34" s="230" t="s">
        <v>5552</v>
      </c>
      <c r="AG34" s="245" t="s">
        <v>885</v>
      </c>
      <c r="AH34" s="813" t="str">
        <f t="shared" si="3"/>
        <v>― Steph is now vulnerable to widespread discrimination, under color of law.</v>
      </c>
      <c r="AI34" s="245" t="s">
        <v>5383</v>
      </c>
      <c r="AJ34" s="245" t="str">
        <f>AN202</f>
        <v>Steph</v>
      </c>
      <c r="AK34" s="245" t="s">
        <v>5385</v>
      </c>
      <c r="AN34" s="245" t="s">
        <v>885</v>
      </c>
      <c r="AO34" s="854"/>
    </row>
    <row r="35" spans="1:86" ht="15" customHeight="1" x14ac:dyDescent="0.3">
      <c r="A35" s="839"/>
      <c r="B35" s="840"/>
      <c r="C35" s="840"/>
      <c r="D35" s="840"/>
      <c r="E35" s="840"/>
      <c r="F35" s="230"/>
      <c r="AE35" s="245" t="s">
        <v>885</v>
      </c>
      <c r="AG35" s="245" t="s">
        <v>885</v>
      </c>
      <c r="AI35" s="245" t="s">
        <v>885</v>
      </c>
      <c r="AN35" s="245"/>
    </row>
    <row r="36" spans="1:86" ht="15" customHeight="1" x14ac:dyDescent="0.3">
      <c r="A36" s="839"/>
      <c r="B36" s="1169" t="str">
        <f>AD36</f>
        <v>PLEASE BE AWARE you are in a position that could risk harm to the innocent. From this point forward, your actions toward Steph are to be documented. Harmful actions may be used against you in the court of public opinion. Supportive actions shall be appreciated. Any injustice in the name of justice can no longer be tolerated. Thank you for your sympathetic understanding.</v>
      </c>
      <c r="C36" s="1169"/>
      <c r="D36" s="1169"/>
      <c r="E36" s="840"/>
      <c r="F36" s="230"/>
      <c r="AD36" s="642" t="str">
        <f t="shared" si="0"/>
        <v>PLEASE BE AWARE you are in a position that could risk harm to the innocent. From this point forward, your actions toward Steph are to be documented. Harmful actions may be used against you in the court of public opinion. Supportive actions shall be appreciated. Any injustice in the name of justice can no longer be tolerated. Thank you for your sympathetic understanding.</v>
      </c>
      <c r="AE36" s="245" t="s">
        <v>885</v>
      </c>
      <c r="AF36" s="230" t="s">
        <v>5453</v>
      </c>
      <c r="AG36" s="245" t="s">
        <v>885</v>
      </c>
      <c r="AH36" s="813" t="str">
        <f t="shared" si="3"/>
        <v>PLEASE BE AWARE you are in a position that could risk harm to the innocent. From this point forward, your actions toward Steph are to be documented. Harmful actions may be used against you in the court of public opinion. Supportive actions shall be appreciated. Any injustice in the name of justice can no longer be tolerated. Thank you for your sympathetic understanding.</v>
      </c>
      <c r="AI36" s="48" t="s">
        <v>5392</v>
      </c>
      <c r="AJ36" s="48" t="str">
        <f>AN202</f>
        <v>Steph</v>
      </c>
      <c r="AK36" s="48" t="s">
        <v>5393</v>
      </c>
      <c r="AN36" s="245" t="s">
        <v>885</v>
      </c>
      <c r="AO36" s="854"/>
    </row>
    <row r="37" spans="1:86" ht="15" customHeight="1" x14ac:dyDescent="0.3">
      <c r="A37" s="839"/>
      <c r="B37" s="1169"/>
      <c r="C37" s="1169"/>
      <c r="D37" s="1169"/>
      <c r="E37" s="840"/>
      <c r="F37" s="230"/>
    </row>
    <row r="38" spans="1:86" ht="15" customHeight="1" x14ac:dyDescent="0.3">
      <c r="A38" s="839"/>
      <c r="B38" s="1169"/>
      <c r="C38" s="1169"/>
      <c r="D38" s="1169"/>
      <c r="E38" s="840"/>
      <c r="F38" s="230"/>
    </row>
    <row r="39" spans="1:86" ht="15" customHeight="1" x14ac:dyDescent="0.3">
      <c r="A39" s="839"/>
      <c r="B39" s="1169"/>
      <c r="C39" s="1169"/>
      <c r="D39" s="1169"/>
      <c r="E39" s="840"/>
      <c r="F39" s="230"/>
    </row>
    <row r="40" spans="1:86" ht="15" customHeight="1" x14ac:dyDescent="0.3">
      <c r="A40" s="839"/>
      <c r="B40" s="1169"/>
      <c r="C40" s="1169"/>
      <c r="D40" s="1169"/>
      <c r="E40" s="840"/>
      <c r="F40" s="230"/>
    </row>
    <row r="41" spans="1:86" ht="15" customHeight="1" x14ac:dyDescent="0.3">
      <c r="A41" s="839"/>
      <c r="B41" s="1169"/>
      <c r="C41" s="1169"/>
      <c r="D41" s="1169"/>
      <c r="E41" s="840"/>
      <c r="F41" s="230"/>
    </row>
    <row r="42" spans="1:86" ht="19" customHeight="1" x14ac:dyDescent="0.3">
      <c r="A42" s="839"/>
      <c r="B42" s="839"/>
      <c r="C42" s="839"/>
      <c r="D42" s="839"/>
      <c r="E42" s="839"/>
      <c r="F42" s="230"/>
    </row>
    <row r="43" spans="1:86" ht="20" customHeight="1" x14ac:dyDescent="0.3">
      <c r="A43" s="845"/>
      <c r="B43" s="845"/>
      <c r="C43" s="845"/>
      <c r="D43" s="845"/>
      <c r="E43" s="845"/>
      <c r="F43" s="806"/>
      <c r="AP43" s="48" t="str">
        <f ca="1">AP45</f>
        <v>Vouched this day on April 27, 2025</v>
      </c>
    </row>
    <row r="44" spans="1:86" ht="300" customHeight="1" x14ac:dyDescent="0.3">
      <c r="A44" s="845"/>
      <c r="B44" s="1162" t="str">
        <f>AI44</f>
        <v>THIS CERTIFIES THAT</v>
      </c>
      <c r="C44" s="1161" t="str">
        <f>AI45</f>
        <v>Steph Turner</v>
      </c>
      <c r="D44" s="1163" t="str">
        <f>AI46</f>
        <v>has an 86% likelihood of being actually innocent of a wrongful conviction, when compared to exonerations of similar circumstances.</v>
      </c>
      <c r="E44" s="846" t="str">
        <f>AO44</f>
        <v>Vouched by 30 Steph's supporters</v>
      </c>
      <c r="F44" s="806"/>
      <c r="AI44" s="48" t="str">
        <f>IF(C1770=AG1770,"WE CERTIFY THAT","THIS CERTIFIES THAT")</f>
        <v>THIS CERTIFIES THAT</v>
      </c>
      <c r="AO44" s="48" t="str">
        <f>IF(AD1=AI1,BI44,AP44)</f>
        <v>Vouched by 30 Steph's supporters</v>
      </c>
      <c r="AP44" s="48" t="str">
        <f>IF(C1770=AG1770,"Vouched for by VALUE RELATING",BB44)</f>
        <v>Vouched by 30 Steph's supporters</v>
      </c>
      <c r="BB44" s="14" t="str">
        <f>CONCATENATE(BD44,BE44,BF44,BG44)</f>
        <v>Vouched by 30 Steph's supporters</v>
      </c>
      <c r="BD44" s="48" t="s">
        <v>5418</v>
      </c>
      <c r="BE44" s="48" t="str">
        <f>IF(AX1845&gt;19,CONCATENATE(AX1845," "),"many of ")</f>
        <v xml:space="preserve">30 </v>
      </c>
      <c r="BF44" s="48" t="str">
        <f>AN202</f>
        <v>Steph</v>
      </c>
      <c r="BG44" s="245" t="s">
        <v>5419</v>
      </c>
      <c r="BI44" s="48" t="s">
        <v>5457</v>
      </c>
      <c r="BT44" s="642" t="str">
        <f>CONCATENATE(BV44,BW44,BX44,BY44,BZ44)</f>
        <v xml:space="preserve">has an 86% likelihood of being actually innocent </v>
      </c>
      <c r="BU44" s="245" t="s">
        <v>885</v>
      </c>
      <c r="BV44" s="48" t="s">
        <v>5368</v>
      </c>
      <c r="BW44" s="386" t="str">
        <f>IF(OR(BX44=8,BX44=18,AND(BX44&gt;=80,BX44&lt;=89)),"an ","a ")</f>
        <v xml:space="preserve">an </v>
      </c>
      <c r="BX44" s="386">
        <f>AI1984</f>
        <v>86</v>
      </c>
      <c r="BY44" s="245" t="s">
        <v>5417</v>
      </c>
      <c r="CD44" s="441" t="s">
        <v>5454</v>
      </c>
    </row>
    <row r="45" spans="1:86" ht="35" customHeight="1" x14ac:dyDescent="0.3">
      <c r="A45" s="845"/>
      <c r="B45" s="1162"/>
      <c r="C45" s="1161"/>
      <c r="D45" s="1163"/>
      <c r="E45" s="847"/>
      <c r="F45" s="806"/>
      <c r="AI45" s="48" t="str">
        <f>BG202</f>
        <v>Steph Turner</v>
      </c>
      <c r="AP45" s="48" t="str">
        <f ca="1">IF(AD1=AI1,AX45,CONCATENATE(AQ45,AR45,AS45))</f>
        <v>Vouched this day on April 27, 2025</v>
      </c>
      <c r="AQ45" s="48" t="s">
        <v>5416</v>
      </c>
      <c r="AR45" s="1164" t="str">
        <f ca="1">TEXT(BM45,"MMMM DD, YYYY")</f>
        <v>April 27, 2025</v>
      </c>
      <c r="AS45" s="1165"/>
      <c r="AT45" s="1165"/>
      <c r="AU45" s="1165"/>
      <c r="AV45" s="1165"/>
      <c r="AX45" s="48" t="s">
        <v>5456</v>
      </c>
      <c r="BM45" s="1165">
        <f ca="1">TODAY()</f>
        <v>45774</v>
      </c>
      <c r="BN45" s="1165"/>
      <c r="BO45" s="1165"/>
      <c r="BP45" s="1165"/>
      <c r="BQ45" s="1165"/>
      <c r="BT45" s="642" t="str">
        <f t="shared" ref="BT45" si="7">CONCATENATE(BV45,BW45,BX45,BY45,BZ45)</f>
        <v xml:space="preserve">of a wrongful conviction, when compared to </v>
      </c>
      <c r="BU45" s="245" t="s">
        <v>885</v>
      </c>
      <c r="BV45" s="48" t="s">
        <v>5369</v>
      </c>
      <c r="CH45" s="855" t="s">
        <v>5455</v>
      </c>
    </row>
    <row r="46" spans="1:86" ht="300" customHeight="1" x14ac:dyDescent="0.3">
      <c r="A46" s="845"/>
      <c r="B46" s="1162"/>
      <c r="C46" s="1161"/>
      <c r="D46" s="1163"/>
      <c r="E46" s="848" t="str">
        <f ca="1">AP45</f>
        <v>Vouched this day on April 27, 2025</v>
      </c>
      <c r="F46" s="806"/>
      <c r="AI46" s="48" t="str">
        <f>IF(AD1=AI1,CD44,CONCATENATE(BT44,BT45,BT46))</f>
        <v>has an 86% likelihood of being actually innocent of a wrongful conviction, when compared to exonerations of similar circumstances.</v>
      </c>
      <c r="BT46" s="642" t="str">
        <f>CONCATENATE(BV46,BW46,BX46,BY46,BZ46)</f>
        <v>exonerations of similar circumstances.</v>
      </c>
      <c r="BU46" s="245" t="s">
        <v>885</v>
      </c>
      <c r="BV46" s="48" t="s">
        <v>5370</v>
      </c>
    </row>
    <row r="47" spans="1:86" ht="20" customHeight="1" thickBot="1" x14ac:dyDescent="0.35">
      <c r="A47" s="845"/>
      <c r="B47" s="845"/>
      <c r="C47" s="845"/>
      <c r="D47" s="845"/>
      <c r="E47" s="845"/>
      <c r="F47" s="806"/>
    </row>
    <row r="48" spans="1:86" ht="14.5" hidden="1" thickBot="1" x14ac:dyDescent="0.35"/>
    <row r="49" spans="1:69" ht="14.5" hidden="1" thickBot="1" x14ac:dyDescent="0.35"/>
    <row r="50" spans="1:69" ht="14.5" hidden="1" thickBot="1" x14ac:dyDescent="0.35"/>
    <row r="51" spans="1:69" ht="40" customHeight="1" thickTop="1" thickBot="1" x14ac:dyDescent="0.6">
      <c r="A51" s="1"/>
      <c r="B51" s="2">
        <f>E780</f>
        <v>0.85512499999999969</v>
      </c>
      <c r="C51" s="592" t="str">
        <f>IF(B52&lt;1,BJ51,BQ51)</f>
        <v>Likely innocence</v>
      </c>
      <c r="D51" s="3" t="str">
        <f>IF(B52&gt;B51,BG52,BG51)</f>
        <v>strong claim</v>
      </c>
      <c r="E51" s="1"/>
      <c r="F51" s="1"/>
      <c r="AC51" s="528">
        <f>IF(AND($B51&gt;0,$B51&lt;=0.2),AQ51,0)</f>
        <v>0</v>
      </c>
      <c r="AD51" s="5">
        <f>IF(AND($B51&gt;0.2,$B51&lt;=0.4),AR51,0)</f>
        <v>0</v>
      </c>
      <c r="AE51" s="5">
        <f>IF(AND($B51&gt;0.4,$B51&lt;=0.6),AS51,0)</f>
        <v>0</v>
      </c>
      <c r="AF51" s="5">
        <f>IF(AND($B51&gt;0.6,$B51&lt;=0.8),AT51,0)</f>
        <v>0</v>
      </c>
      <c r="AG51" s="5" t="str">
        <f>IF(AND($B51&gt;0.8,$B51&lt;=1),AU51,0)</f>
        <v>strong claim</v>
      </c>
      <c r="AI51" s="48" t="s">
        <v>0</v>
      </c>
      <c r="AJ51" s="48" t="s">
        <v>1</v>
      </c>
      <c r="AK51" s="48" t="s">
        <v>2</v>
      </c>
      <c r="AL51" s="48" t="s">
        <v>3</v>
      </c>
      <c r="AM51" s="48" t="s">
        <v>4</v>
      </c>
      <c r="AO51" s="6" t="s">
        <v>5</v>
      </c>
      <c r="AQ51" s="7" t="str">
        <f>CONCATENATE(AI51,$AO51)</f>
        <v>weak claim</v>
      </c>
      <c r="AR51" s="8" t="str">
        <f>CONCATENATE(AJ51,$AO51)</f>
        <v>poor claim</v>
      </c>
      <c r="AS51" s="9" t="str">
        <f>CONCATENATE(AK51,$AO51)</f>
        <v>fair claim</v>
      </c>
      <c r="AT51" s="10" t="str">
        <f>CONCATENATE(AL51,$AO51)</f>
        <v>good claim</v>
      </c>
      <c r="AU51" s="11" t="str">
        <f>CONCATENATE(AM51,$AO51)</f>
        <v>strong claim</v>
      </c>
      <c r="AX51" s="529" t="str">
        <f>IF(AND($B$51&gt;0,$B$51&lt;=0.2),AQ51,IF(AND($B$51&gt;0.2,$B$51&lt;=0.4),AR51,IF(AND($B$51&gt;0.4,$B$51&lt;=0.6),AS51,IF(AND($B$51&gt;0.6,$B$51&lt;=0.8),AT51,IF(AND($B$51&gt;0.8,$B$51&lt;=1),AU51,0)))))</f>
        <v>strong claim</v>
      </c>
      <c r="BB51" s="12" t="s">
        <v>6</v>
      </c>
      <c r="BG51" s="13" t="str">
        <f>IF(AND(B51&gt;0,B51&lt;=0.2),AQ51,IF(AND(B51&gt;0.2,B51&lt;=0.4),AR51,IF(AND(B51&gt;0.4,B51&lt;=0.6),AS51,IF(AND(B51&gt;0.6,B51&lt;=0.8),AT51,IF(AND(B51&gt;0.8,B51&lt;=1),AU51,"")))))</f>
        <v>strong claim</v>
      </c>
      <c r="BJ51" s="598" t="s">
        <v>3931</v>
      </c>
      <c r="BQ51" s="598" t="s">
        <v>3983</v>
      </c>
    </row>
    <row r="52" spans="1:69" ht="20" customHeight="1" thickTop="1" x14ac:dyDescent="0.3">
      <c r="A52" s="1"/>
      <c r="B52" s="989">
        <f>E781</f>
        <v>0.38949999999999996</v>
      </c>
      <c r="C52" s="991" t="str">
        <f>IF(B52=1,BQ52,BJ52)</f>
        <v>Verification progress</v>
      </c>
      <c r="D52" s="13"/>
      <c r="E52" s="1"/>
      <c r="F52" s="1"/>
      <c r="AQ52" s="7" t="str">
        <f>AQ51</f>
        <v>weak claim</v>
      </c>
      <c r="AR52" s="8" t="str">
        <f>AR51</f>
        <v>poor claim</v>
      </c>
      <c r="AS52" s="9" t="str">
        <f>AS51</f>
        <v>fair claim</v>
      </c>
      <c r="AT52" s="10" t="str">
        <f>AT51</f>
        <v>good claim</v>
      </c>
      <c r="AU52" s="11" t="str">
        <f>AU51</f>
        <v>strong claim</v>
      </c>
      <c r="AX52" s="529" t="str">
        <f>IF(AND($B$52&gt;0,$B$52&lt;=0.2),AQ52,IF(AND($B$52&gt;0.2,$B$52&lt;=0.4),AR52,IF(AND($B$52&gt;0.4,$B$52&lt;=0.6),AS52,IF(AND($B$52&gt;0.6,$B$52&lt;=0.8),AT71,IF(AND($B$52&gt;0.8,$B$52&lt;=1),AU52,0)))))</f>
        <v>poor claim</v>
      </c>
      <c r="BG52" s="13" t="str">
        <f>IF(AND(B52&gt;0.4,B52&lt;=0.6),AS52,IF(AND(B52&gt;0.6,B52&lt;=0.8),AT52,""))</f>
        <v/>
      </c>
      <c r="BJ52" s="591" t="str">
        <f>IF(C498="","Verification progress",C498)</f>
        <v>Verification progress</v>
      </c>
      <c r="BQ52" s="591" t="s">
        <v>3984</v>
      </c>
    </row>
    <row r="53" spans="1:69" ht="20" customHeight="1" thickBot="1" x14ac:dyDescent="0.4">
      <c r="A53" s="1"/>
      <c r="B53" s="990"/>
      <c r="C53" s="992"/>
      <c r="D53" s="993" t="s">
        <v>7</v>
      </c>
      <c r="E53" s="1"/>
      <c r="F53" s="1"/>
      <c r="AE53"/>
      <c r="AQ53" s="7"/>
      <c r="AR53" s="8"/>
      <c r="AS53" s="9"/>
      <c r="AT53" s="10"/>
      <c r="AU53" s="11"/>
      <c r="BG53" s="13"/>
      <c r="BL53" s="245"/>
    </row>
    <row r="54" spans="1:69" ht="5" customHeight="1" thickTop="1" x14ac:dyDescent="0.3">
      <c r="A54" s="1"/>
      <c r="B54" s="1"/>
      <c r="C54" s="1"/>
      <c r="D54" s="993"/>
      <c r="E54" s="1"/>
      <c r="F54" s="1"/>
    </row>
    <row r="55" spans="1:69" ht="45" customHeight="1" x14ac:dyDescent="0.45">
      <c r="A55" s="1194" t="s">
        <v>5575</v>
      </c>
      <c r="B55" s="1193" t="s">
        <v>5576</v>
      </c>
      <c r="C55" s="16"/>
      <c r="D55" s="993"/>
      <c r="E55" s="1"/>
      <c r="F55" s="1"/>
      <c r="G55" s="440"/>
      <c r="AE55"/>
      <c r="BF55" s="17"/>
      <c r="BG55" s="18" t="s">
        <v>9</v>
      </c>
      <c r="BH55" s="18"/>
    </row>
    <row r="56" spans="1:69" ht="10" customHeight="1" thickBot="1" x14ac:dyDescent="0.35">
      <c r="A56" s="1"/>
      <c r="B56" s="1"/>
      <c r="C56" s="1"/>
      <c r="D56" s="993"/>
      <c r="E56" s="1"/>
      <c r="F56" s="1"/>
    </row>
    <row r="57" spans="1:69" ht="21" thickBot="1" x14ac:dyDescent="0.5">
      <c r="A57" s="1"/>
      <c r="B57" s="599" t="s">
        <v>3940</v>
      </c>
      <c r="C57" s="600" t="str">
        <f>IF(OR(C202=AD202,D202=AH202),AD202,CONCATENATE(C202," ",D202))</f>
        <v>Steph Turner</v>
      </c>
      <c r="D57" s="993"/>
      <c r="E57" s="1"/>
      <c r="F57" s="1"/>
    </row>
    <row r="58" spans="1:69" ht="15" customHeight="1" thickBot="1" x14ac:dyDescent="0.35">
      <c r="A58" s="1"/>
      <c r="B58" s="19"/>
      <c r="C58" s="20"/>
      <c r="D58" s="993"/>
      <c r="E58" s="1"/>
      <c r="F58" s="1"/>
    </row>
    <row r="59" spans="1:69" ht="5" customHeight="1" thickBot="1" x14ac:dyDescent="0.35">
      <c r="A59" s="1"/>
      <c r="B59" s="19"/>
      <c r="C59" s="1"/>
      <c r="D59" s="993"/>
      <c r="E59" s="1"/>
      <c r="F59" s="1"/>
    </row>
    <row r="60" spans="1:69" ht="21" thickBot="1" x14ac:dyDescent="0.5">
      <c r="A60" s="1"/>
      <c r="B60" s="599" t="s">
        <v>3941</v>
      </c>
      <c r="C60" s="600" t="str">
        <f>IF(OR(C212=AD212,D212=AH212),AD212,CONCATENATE(C212," ",D212))</f>
        <v>FIRST NAME</v>
      </c>
      <c r="D60" s="993"/>
      <c r="E60" s="1"/>
      <c r="F60" s="1"/>
    </row>
    <row r="61" spans="1:69" ht="15" customHeight="1" thickBot="1" x14ac:dyDescent="0.35">
      <c r="A61" s="1"/>
      <c r="B61" s="19"/>
      <c r="C61" s="20"/>
      <c r="D61" s="994"/>
      <c r="E61" s="1"/>
      <c r="F61" s="1"/>
    </row>
    <row r="62" spans="1:69" ht="10" customHeight="1" x14ac:dyDescent="0.3">
      <c r="A62" s="1"/>
      <c r="B62" s="1"/>
      <c r="C62" s="1"/>
      <c r="D62" s="1"/>
      <c r="E62" s="1"/>
      <c r="F62" s="1"/>
    </row>
    <row r="63" spans="1:69" ht="20.399999999999999" customHeight="1" thickBot="1" x14ac:dyDescent="0.4">
      <c r="A63" s="1"/>
      <c r="B63" s="21" t="s">
        <v>10</v>
      </c>
      <c r="C63" s="1"/>
      <c r="D63" s="1"/>
      <c r="E63" s="1"/>
      <c r="F63" s="1"/>
    </row>
    <row r="64" spans="1:69" ht="90" customHeight="1" thickTop="1" thickBot="1" x14ac:dyDescent="0.35">
      <c r="A64" s="1"/>
      <c r="B64" s="995" t="str">
        <f>IF(B909="",AG64,B909)</f>
        <v>Asexual person comes out as transgender in early 90s, gets falsely accused as being a “sexual predator” homophobic stereotype. Convicted without evidence. Must register as sex offender for life. Forced into poverty and homelessness.</v>
      </c>
      <c r="C64" s="996"/>
      <c r="D64" s="997"/>
      <c r="E64" s="22"/>
      <c r="F64" s="1"/>
      <c r="AG64" s="23" t="s">
        <v>11</v>
      </c>
    </row>
    <row r="65" spans="1:33" ht="10" customHeight="1" thickTop="1" thickBot="1" x14ac:dyDescent="0.35">
      <c r="A65" s="1"/>
      <c r="B65" s="1"/>
      <c r="C65" s="1"/>
      <c r="D65" s="1"/>
      <c r="E65" s="1"/>
      <c r="F65" s="1"/>
    </row>
    <row r="66" spans="1:33" ht="16.25" customHeight="1" thickTop="1" thickBot="1" x14ac:dyDescent="0.4">
      <c r="A66" s="1"/>
      <c r="B66" s="24" t="str">
        <f t="shared" ref="B66:B73" si="8">IF(C66=C913,B913,"")</f>
        <v>Highlight 1</v>
      </c>
      <c r="C66" s="998" t="str">
        <f>IF(OR(C913="",C913=AG913),AR913,C913)</f>
        <v>No criminal history</v>
      </c>
      <c r="D66" s="998"/>
      <c r="E66" s="1"/>
      <c r="F66" s="1"/>
    </row>
    <row r="67" spans="1:33" ht="19" thickTop="1" thickBot="1" x14ac:dyDescent="0.4">
      <c r="A67" s="1"/>
      <c r="B67" s="24" t="str">
        <f t="shared" si="8"/>
        <v>Highlight 2</v>
      </c>
      <c r="C67" s="998" t="str">
        <f>IF(OR(C914="",C914=AG914),AR914,C914)</f>
        <v>Consistently maintained innocence, took no plea deals</v>
      </c>
      <c r="D67" s="998"/>
      <c r="E67" s="1"/>
      <c r="F67" s="1"/>
    </row>
    <row r="68" spans="1:33" ht="19" thickTop="1" thickBot="1" x14ac:dyDescent="0.4">
      <c r="A68" s="1"/>
      <c r="B68" s="24" t="str">
        <f t="shared" si="8"/>
        <v>Highlight 3</v>
      </c>
      <c r="C68" s="998" t="str">
        <f t="shared" ref="C68:C73" si="9">IF(OR(C915="",C915=AG915),AR915,C915)</f>
        <v>Transphobic investigation and prosecution</v>
      </c>
      <c r="D68" s="998"/>
      <c r="E68" s="1"/>
      <c r="F68" s="1"/>
    </row>
    <row r="69" spans="1:33" ht="19" thickTop="1" thickBot="1" x14ac:dyDescent="0.4">
      <c r="A69" s="1"/>
      <c r="B69" s="24" t="str">
        <f t="shared" si="8"/>
        <v>Highlight 4</v>
      </c>
      <c r="C69" s="998" t="str">
        <f t="shared" si="9"/>
        <v>Convicted without corroborating evidence</v>
      </c>
      <c r="D69" s="998"/>
      <c r="E69" s="1"/>
      <c r="F69" s="1"/>
    </row>
    <row r="70" spans="1:33" ht="19" thickTop="1" thickBot="1" x14ac:dyDescent="0.4">
      <c r="A70" s="1"/>
      <c r="B70" s="24" t="str">
        <f t="shared" si="8"/>
        <v>Highlight 5</v>
      </c>
      <c r="C70" s="998" t="str">
        <f t="shared" si="9"/>
        <v>Climate of sex abuse hysteria</v>
      </c>
      <c r="D70" s="998"/>
      <c r="E70" s="1"/>
      <c r="F70" s="1"/>
    </row>
    <row r="71" spans="1:33" ht="19" thickTop="1" thickBot="1" x14ac:dyDescent="0.4">
      <c r="A71" s="1"/>
      <c r="B71" s="24" t="str">
        <f t="shared" si="8"/>
        <v>Highlight 6</v>
      </c>
      <c r="C71" s="998" t="str">
        <f t="shared" si="9"/>
        <v>Media sensationalized coverage</v>
      </c>
      <c r="D71" s="998"/>
      <c r="E71" s="1"/>
      <c r="F71" s="1"/>
    </row>
    <row r="72" spans="1:33" ht="19" thickTop="1" thickBot="1" x14ac:dyDescent="0.4">
      <c r="A72" s="1"/>
      <c r="B72" s="24" t="str">
        <f t="shared" si="8"/>
        <v>Highlight 7</v>
      </c>
      <c r="C72" s="998" t="str">
        <f t="shared" si="9"/>
        <v>Exculpatory evidence overlooked with untested DNA</v>
      </c>
      <c r="D72" s="998"/>
      <c r="E72" s="1"/>
      <c r="F72" s="1"/>
    </row>
    <row r="73" spans="1:33" ht="19" thickTop="1" thickBot="1" x14ac:dyDescent="0.4">
      <c r="A73" s="1"/>
      <c r="B73" s="24" t="str">
        <f t="shared" si="8"/>
        <v>Highlight 8</v>
      </c>
      <c r="C73" s="998" t="str">
        <f t="shared" si="9"/>
        <v>Asexual transperson must register for life as "sex offender"</v>
      </c>
      <c r="D73" s="998"/>
      <c r="E73" s="1"/>
      <c r="F73" s="1"/>
    </row>
    <row r="74" spans="1:33" ht="19" thickTop="1" thickBot="1" x14ac:dyDescent="0.35">
      <c r="A74" s="1"/>
      <c r="B74" s="24"/>
      <c r="C74" s="24"/>
      <c r="D74" s="24"/>
      <c r="E74" s="1"/>
      <c r="F74" s="1"/>
    </row>
    <row r="75" spans="1:33" ht="18.5" thickTop="1" thickBot="1" x14ac:dyDescent="0.4">
      <c r="A75" s="1"/>
      <c r="B75" s="616" t="str">
        <f>CONCATENATE(B922,":")</f>
        <v>Tagline:</v>
      </c>
      <c r="C75" s="998" t="str">
        <f>IF(C922=AG921,AR922,C922)</f>
        <v>Asexual transperson registered for life as a sex offender</v>
      </c>
      <c r="D75" s="998"/>
      <c r="E75" s="1"/>
      <c r="F75" s="1"/>
    </row>
    <row r="76" spans="1:33" ht="18.5" thickTop="1" x14ac:dyDescent="0.3">
      <c r="A76" s="1"/>
      <c r="B76" s="24"/>
      <c r="C76" s="1"/>
      <c r="D76" s="24"/>
      <c r="E76" s="1"/>
      <c r="F76" s="1"/>
    </row>
    <row r="77" spans="1:33" ht="18.5" thickBot="1" x14ac:dyDescent="0.4">
      <c r="A77" s="1"/>
      <c r="B77" s="21" t="s">
        <v>12</v>
      </c>
      <c r="C77" s="1"/>
      <c r="D77" s="24"/>
      <c r="E77" s="1"/>
      <c r="F77" s="1"/>
    </row>
    <row r="78" spans="1:33" ht="85" customHeight="1" thickTop="1" thickBot="1" x14ac:dyDescent="0.35">
      <c r="A78" s="1"/>
      <c r="B78" s="999" t="str">
        <f>IF(B926="",AG78,B926)</f>
        <v>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C78" s="1000"/>
      <c r="D78" s="1001"/>
      <c r="E78" s="1"/>
      <c r="F78" s="1"/>
      <c r="AG78" s="23" t="s">
        <v>13</v>
      </c>
    </row>
    <row r="79" spans="1:33" ht="10" customHeight="1" thickTop="1" x14ac:dyDescent="0.3">
      <c r="A79" s="1"/>
      <c r="B79" s="24"/>
      <c r="C79" s="1"/>
      <c r="D79" s="24"/>
      <c r="E79" s="1"/>
      <c r="F79" s="1"/>
    </row>
    <row r="80" spans="1:33" ht="10" customHeight="1" x14ac:dyDescent="0.3">
      <c r="A80" s="1"/>
      <c r="B80" s="1"/>
      <c r="C80" s="1"/>
      <c r="D80" s="24"/>
      <c r="E80" s="1"/>
      <c r="F80" s="1"/>
    </row>
    <row r="81" spans="1:62" ht="18" x14ac:dyDescent="0.35">
      <c r="A81" s="1"/>
      <c r="B81" s="21" t="s">
        <v>14</v>
      </c>
      <c r="C81" s="1"/>
      <c r="D81" s="24"/>
      <c r="E81" s="1"/>
      <c r="F81" s="1"/>
    </row>
    <row r="82" spans="1:62" ht="5" customHeight="1" thickBot="1" x14ac:dyDescent="0.35">
      <c r="A82" s="1"/>
      <c r="B82" s="1"/>
      <c r="C82" s="1"/>
      <c r="D82" s="1"/>
      <c r="E82" s="1"/>
      <c r="F82" s="1"/>
    </row>
    <row r="83" spans="1:62" ht="400" customHeight="1" thickTop="1" thickBot="1" x14ac:dyDescent="0.35">
      <c r="A83" s="1"/>
      <c r="B83" s="999" t="str">
        <f>IF(B935="",AG83,B935)</f>
        <v>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
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
A neighborhood child drew curious, peeping into Janet’s window to gawk at what she called the "man with lipstick." When caught not being home on time, the child leveled bizarre claims of sex abuse unbecoming from a child. Exposed to porn?
The child then dragged Steph into her transphobic-indoctrinated accusations. The child claimed Steph posed with her as if she, the young child, was stabbing Steph in the chest with a jelly stained butter knife. She claimed this was to scare her from talking to police, that we would say she was the aggressor. Unbelievable? Not if you already believe trans people are subhuman.
Child testimonies back then were often coached. Trans people were easily vilified. Since no corroborating evidence was necessary back then to convict for sexual misconduct, both transwomen were wrongly convicted and sentenced to long terms in men’s prisons, where Steph’s codefendant transgender sibling died in 2001.
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v>
      </c>
      <c r="C83" s="1000"/>
      <c r="D83" s="1001"/>
      <c r="E83" s="1"/>
      <c r="F83" s="1"/>
      <c r="AG83" s="23" t="s">
        <v>15</v>
      </c>
    </row>
    <row r="84" spans="1:62" ht="30" customHeight="1" thickTop="1" x14ac:dyDescent="0.3">
      <c r="A84" s="1"/>
      <c r="B84" s="25">
        <f ca="1">IF(AD265=0,0,AD265)</f>
        <v>600000</v>
      </c>
      <c r="C84" s="26" t="str">
        <f ca="1">IF(B84="","","estimated eligible compensation under state law")</f>
        <v>estimated eligible compensation under state law</v>
      </c>
      <c r="D84" s="1"/>
      <c r="E84" s="1"/>
      <c r="F84" s="1"/>
    </row>
    <row r="85" spans="1:62" ht="5" customHeight="1" x14ac:dyDescent="0.3">
      <c r="A85" s="1"/>
      <c r="B85" s="25"/>
      <c r="C85" s="26"/>
      <c r="D85" s="1"/>
      <c r="E85" s="1"/>
      <c r="F85" s="1"/>
    </row>
    <row r="86" spans="1:62" x14ac:dyDescent="0.3">
      <c r="A86" s="1"/>
      <c r="B86" s="1"/>
      <c r="C86" s="1"/>
      <c r="D86" s="1"/>
      <c r="E86" s="1"/>
      <c r="F86" s="1"/>
    </row>
    <row r="87" spans="1:62" ht="30" customHeight="1" x14ac:dyDescent="0.3">
      <c r="A87" s="1"/>
      <c r="B87" s="27"/>
      <c r="C87" s="27"/>
      <c r="D87" s="27"/>
      <c r="E87" s="1"/>
      <c r="F87" s="1"/>
    </row>
    <row r="88" spans="1:62" ht="30" customHeight="1" x14ac:dyDescent="0.3">
      <c r="A88" s="1"/>
      <c r="B88" s="27"/>
      <c r="C88" s="27"/>
      <c r="D88" s="27"/>
      <c r="E88" s="1"/>
      <c r="F88" s="1"/>
    </row>
    <row r="89" spans="1:62" ht="30" customHeight="1" x14ac:dyDescent="0.3">
      <c r="A89" s="1"/>
      <c r="B89" s="27"/>
      <c r="C89" s="27"/>
      <c r="D89" s="27"/>
      <c r="E89" s="1"/>
      <c r="F89" s="1"/>
    </row>
    <row r="90" spans="1:62" ht="30" customHeight="1" x14ac:dyDescent="0.3">
      <c r="A90" s="1"/>
      <c r="B90" s="27"/>
      <c r="C90" s="27"/>
      <c r="D90" s="27"/>
      <c r="E90" s="1"/>
      <c r="F90" s="1"/>
    </row>
    <row r="91" spans="1:62" ht="30" customHeight="1" x14ac:dyDescent="0.3">
      <c r="A91" s="1"/>
      <c r="B91" s="27"/>
      <c r="C91" s="27"/>
      <c r="D91" s="27"/>
      <c r="E91" s="1"/>
      <c r="F91" s="1"/>
    </row>
    <row r="92" spans="1:62" ht="30" customHeight="1" x14ac:dyDescent="0.3">
      <c r="A92" s="1"/>
      <c r="B92" s="27"/>
      <c r="C92" s="27"/>
      <c r="D92" s="27"/>
      <c r="E92" s="1"/>
      <c r="F92" s="1"/>
    </row>
    <row r="93" spans="1:62" ht="30" customHeight="1" x14ac:dyDescent="0.3">
      <c r="A93" s="1"/>
      <c r="B93" s="1002" t="s">
        <v>16</v>
      </c>
      <c r="C93" s="1002"/>
      <c r="D93" s="1002"/>
      <c r="E93" s="1"/>
      <c r="F93" s="1"/>
    </row>
    <row r="94" spans="1:62" ht="15" customHeight="1" x14ac:dyDescent="0.3">
      <c r="A94" s="1"/>
      <c r="B94" s="25"/>
      <c r="C94" s="26"/>
      <c r="D94" s="1"/>
      <c r="E94" s="1"/>
      <c r="F94" s="1"/>
    </row>
    <row r="95" spans="1:62" ht="20" customHeight="1" x14ac:dyDescent="0.3">
      <c r="A95" s="1"/>
      <c r="B95" s="986" t="s">
        <v>17</v>
      </c>
      <c r="C95" s="986"/>
      <c r="D95" s="986"/>
      <c r="E95" s="1"/>
      <c r="F95" s="1"/>
    </row>
    <row r="96" spans="1:62" ht="72" customHeight="1" x14ac:dyDescent="0.3">
      <c r="A96" s="1"/>
      <c r="B96" s="988" t="str">
        <f>AC856</f>
        <v>Collateral consequences create second-class citizens, often without measurable outcomes to test if meeting their intended purpose. Consequently, they can have the opposite effect, like enabling recidivism--even among the wrongly convicted. this claimant reports enduring so many of these consequences to the point of being cut off from opportunities to live independently. You can help change this.</v>
      </c>
      <c r="C96" s="988"/>
      <c r="D96" s="988"/>
      <c r="E96" s="1"/>
      <c r="F96" s="1"/>
      <c r="BH96" s="25" t="s">
        <v>18</v>
      </c>
      <c r="BJ96" s="28" t="s">
        <v>19</v>
      </c>
    </row>
    <row r="97" spans="1:62" ht="5" customHeight="1" x14ac:dyDescent="0.3">
      <c r="A97" s="1"/>
      <c r="B97" s="25"/>
      <c r="C97" s="26"/>
      <c r="D97" s="1"/>
      <c r="E97" s="1"/>
      <c r="F97" s="1"/>
      <c r="BH97" s="25"/>
      <c r="BJ97" s="28"/>
    </row>
    <row r="98" spans="1:62" ht="20" customHeight="1" x14ac:dyDescent="0.3">
      <c r="A98" s="1"/>
      <c r="B98" s="986" t="s">
        <v>20</v>
      </c>
      <c r="C98" s="986"/>
      <c r="D98" s="986"/>
      <c r="E98" s="1"/>
      <c r="F98" s="1"/>
      <c r="BH98" s="25" t="s">
        <v>21</v>
      </c>
    </row>
    <row r="99" spans="1:62" ht="60" customHeight="1" x14ac:dyDescent="0.3">
      <c r="A99" s="1"/>
      <c r="B99" s="988" t="str">
        <f>AC875</f>
        <v>Collateral consequences also impact others in Steph Turner's life. Steph Turner shares how family members have suffered from anxiety, depression, divorce, housing instability, poverty, stigma, targeted by bullies, You can help improve their lives too!</v>
      </c>
      <c r="C99" s="988"/>
      <c r="D99" s="988"/>
      <c r="E99" s="1"/>
      <c r="F99" s="1"/>
      <c r="BH99" s="25"/>
    </row>
    <row r="100" spans="1:62" ht="5" customHeight="1" x14ac:dyDescent="0.3">
      <c r="A100" s="1"/>
      <c r="B100" s="25"/>
      <c r="C100" s="26"/>
      <c r="D100" s="1"/>
      <c r="E100" s="1"/>
      <c r="F100" s="1"/>
      <c r="BH100" s="25"/>
    </row>
    <row r="101" spans="1:62" ht="20" customHeight="1" x14ac:dyDescent="0.3">
      <c r="A101" s="1"/>
      <c r="B101" s="986" t="s">
        <v>22</v>
      </c>
      <c r="C101" s="986"/>
      <c r="D101" s="986"/>
      <c r="E101" s="1"/>
      <c r="F101" s="1"/>
      <c r="BH101" s="25" t="s">
        <v>23</v>
      </c>
    </row>
    <row r="102" spans="1:62" ht="60" customHeight="1" x14ac:dyDescent="0.3">
      <c r="A102" s="1"/>
      <c r="B102" s="988" t="str">
        <f>AC900</f>
        <v xml:space="preserve">Despite challenging 1) economic needs, and other needs, this claimant aspires toward 7) income independence, 8) maintaining healthy lifestyle, 9) overcoming depression &amp; anxiety, 10) restoring familiy ties, and other life improvements. Removing illicit discrimination will go a long way toward improving this claimant's life. </v>
      </c>
      <c r="C102" s="988"/>
      <c r="D102" s="988"/>
      <c r="E102" s="1"/>
      <c r="F102" s="1"/>
      <c r="BH102" s="25"/>
    </row>
    <row r="103" spans="1:62" ht="5" customHeight="1" x14ac:dyDescent="0.3">
      <c r="A103" s="1"/>
      <c r="B103" s="25"/>
      <c r="C103" s="26"/>
      <c r="D103" s="1"/>
      <c r="E103" s="1"/>
      <c r="F103" s="1"/>
      <c r="BH103" s="25"/>
    </row>
    <row r="104" spans="1:62" ht="15" customHeight="1" x14ac:dyDescent="0.3">
      <c r="A104" s="1"/>
      <c r="B104" s="25"/>
      <c r="C104" s="26"/>
      <c r="D104" s="1"/>
      <c r="E104" s="1"/>
      <c r="F104" s="1"/>
      <c r="AD104" s="807" t="str">
        <f>IF(B265="","",B265)</f>
        <v>Michigan</v>
      </c>
      <c r="AE104" s="30"/>
      <c r="AF104" s="30"/>
      <c r="AG104" s="30"/>
      <c r="AH104" s="31"/>
      <c r="AI104" s="806" t="str">
        <f>IF(D331=0,"",D331)</f>
        <v>yes</v>
      </c>
      <c r="BH104" s="25"/>
    </row>
    <row r="105" spans="1:62" ht="20" customHeight="1" x14ac:dyDescent="0.3">
      <c r="A105" s="1"/>
      <c r="B105" s="986" t="s">
        <v>24</v>
      </c>
      <c r="C105" s="986"/>
      <c r="D105" s="986"/>
      <c r="E105" s="1"/>
      <c r="F105" s="1"/>
      <c r="AD105" s="48" t="s">
        <v>25</v>
      </c>
      <c r="BH105" s="25" t="s">
        <v>26</v>
      </c>
    </row>
    <row r="106" spans="1:62" ht="60" customHeight="1" x14ac:dyDescent="0.3">
      <c r="A106" s="1"/>
      <c r="B106" s="988" t="str">
        <f>IF(AD104=0,AD105,AC3206)</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C106" s="988"/>
      <c r="D106" s="988"/>
      <c r="E106" s="1"/>
      <c r="F106" s="1"/>
      <c r="AD106" s="48" t="str">
        <f>IF(AND($AD$104=$B3216,$AI$104=$B$3212),AC3216,"")</f>
        <v/>
      </c>
    </row>
    <row r="107" spans="1:62" ht="15" customHeight="1" x14ac:dyDescent="0.3">
      <c r="A107" s="1"/>
      <c r="B107" s="25"/>
      <c r="C107" s="26"/>
      <c r="D107" s="1"/>
      <c r="E107" s="1"/>
      <c r="F107" s="1"/>
    </row>
    <row r="108" spans="1:62" ht="20" customHeight="1" x14ac:dyDescent="0.3">
      <c r="A108" s="1"/>
      <c r="B108" s="986" t="s">
        <v>27</v>
      </c>
      <c r="C108" s="986"/>
      <c r="D108" s="986"/>
      <c r="E108" s="1"/>
      <c r="F108" s="1"/>
    </row>
    <row r="109" spans="1:62" ht="50" customHeight="1" x14ac:dyDescent="0.3">
      <c r="A109" s="1"/>
      <c r="B109" s="987" t="str">
        <f>AD984</f>
        <v>Steph understandably experiences some anxiety from the wrongful conviction. Once hired, much of that should clear up. If not, Value Relating can help.</v>
      </c>
      <c r="C109" s="987"/>
      <c r="D109" s="987"/>
      <c r="E109" s="1"/>
      <c r="F109" s="1"/>
    </row>
    <row r="110" spans="1:62" ht="50" customHeight="1" x14ac:dyDescent="0.3">
      <c r="A110" s="1"/>
      <c r="B110" s="987" t="str">
        <f>AD1107</f>
        <v>Steph understandably experiences some depression from the wrongful conviction. The wrongful conviction produces plenty of depressing economic conditions. Once hired, much of that should clear up. If not, Value Relating can help.</v>
      </c>
      <c r="C110" s="987"/>
      <c r="D110" s="987"/>
      <c r="E110" s="1"/>
      <c r="F110" s="1"/>
      <c r="AD110" s="48" t="str">
        <f>CONCATENATE(AG111,AO112,AG113)</f>
        <v>You need those you trust to be trustworthy. Right? You need them to make informed decisions about you, so they don’t waste your precious time. Likewise, Steph needs those they trust, like you, to be trustworthy. They need those like you to be better informed in their decisions regarding them. Acknowledging the widespread problem of wrongful convictions is a start. Using this estimate of innocence can help you make better decisions.</v>
      </c>
    </row>
    <row r="111" spans="1:62" ht="15" customHeight="1" x14ac:dyDescent="0.3">
      <c r="A111" s="1"/>
      <c r="B111" s="25"/>
      <c r="C111" s="26"/>
      <c r="D111" s="1"/>
      <c r="E111" s="1"/>
      <c r="F111" s="1"/>
      <c r="AG111" s="48" t="s">
        <v>28</v>
      </c>
    </row>
    <row r="112" spans="1:62" ht="15" customHeight="1" x14ac:dyDescent="0.3">
      <c r="A112" s="1"/>
      <c r="B112" s="986" t="s">
        <v>29</v>
      </c>
      <c r="C112" s="986"/>
      <c r="D112" s="986"/>
      <c r="E112" s="1"/>
      <c r="F112" s="1"/>
      <c r="AG112" s="48" t="s">
        <v>30</v>
      </c>
      <c r="AI112" s="48" t="str">
        <f>IF(C202="","You",C202)</f>
        <v>Steph</v>
      </c>
      <c r="AO112" s="48" t="str">
        <f>IF(OR(AI112=AD202,AI112=""),AG112,AI112)</f>
        <v>Steph</v>
      </c>
    </row>
    <row r="113" spans="1:33" ht="85" customHeight="1" x14ac:dyDescent="0.3">
      <c r="A113" s="1"/>
      <c r="B113" s="988" t="str">
        <f>AD110</f>
        <v>You need those you trust to be trustworthy. Right? You need them to make informed decisions about you, so they don’t waste your precious time. Likewise, Steph needs those they trust, like you, to be trustworthy. They need those like you to be better informed in their decisions regarding them. Acknowledging the widespread problem of wrongful convictions is a start. Using this estimate of innocence can help you make better decisions.</v>
      </c>
      <c r="C113" s="988"/>
      <c r="D113" s="988"/>
      <c r="E113" s="1"/>
      <c r="F113" s="1"/>
      <c r="AG113" s="48" t="s">
        <v>31</v>
      </c>
    </row>
    <row r="114" spans="1:33" ht="35" customHeight="1" x14ac:dyDescent="0.3">
      <c r="A114" s="1"/>
      <c r="B114" s="25"/>
      <c r="C114" s="26"/>
      <c r="D114" s="1"/>
      <c r="E114" s="1"/>
      <c r="F114" s="1"/>
    </row>
    <row r="115" spans="1:33" ht="30" customHeight="1" x14ac:dyDescent="0.4">
      <c r="A115" s="32" t="s">
        <v>32</v>
      </c>
      <c r="B115" s="1"/>
      <c r="C115" s="1"/>
      <c r="D115" s="1"/>
      <c r="E115" s="1"/>
      <c r="F115" s="1"/>
      <c r="AG115" s="48" t="str">
        <f>AD984</f>
        <v>Steph understandably experiences some anxiety from the wrongful conviction. Once hired, much of that should clear up. If not, Value Relating can help.</v>
      </c>
    </row>
    <row r="116" spans="1:33" ht="15" customHeight="1" x14ac:dyDescent="0.3">
      <c r="A116" s="1"/>
      <c r="B116" s="25"/>
      <c r="C116" s="26"/>
      <c r="D116" s="1"/>
      <c r="E116" s="1"/>
      <c r="F116" s="1"/>
    </row>
    <row r="117" spans="1:33" ht="15" customHeight="1" x14ac:dyDescent="0.3">
      <c r="A117" s="1"/>
      <c r="B117" s="25"/>
      <c r="C117" s="26"/>
      <c r="D117" s="1"/>
      <c r="E117" s="1"/>
      <c r="F117" s="1"/>
    </row>
    <row r="118" spans="1:33" ht="15" customHeight="1" x14ac:dyDescent="0.3">
      <c r="A118" s="1"/>
      <c r="B118" s="25"/>
      <c r="C118" s="26"/>
      <c r="D118" s="1"/>
      <c r="E118" s="1"/>
      <c r="F118" s="1"/>
    </row>
    <row r="119" spans="1:33" ht="15" customHeight="1" x14ac:dyDescent="0.3">
      <c r="A119" s="1"/>
      <c r="B119" s="25"/>
      <c r="C119" s="26"/>
      <c r="D119" s="1"/>
      <c r="E119" s="1"/>
      <c r="F119" s="1"/>
    </row>
    <row r="120" spans="1:33" ht="15" customHeight="1" x14ac:dyDescent="0.3">
      <c r="A120" s="1"/>
      <c r="B120" s="25"/>
      <c r="C120" s="26"/>
      <c r="D120" s="1"/>
      <c r="E120" s="1"/>
      <c r="F120" s="1"/>
    </row>
    <row r="121" spans="1:33" ht="15" customHeight="1" x14ac:dyDescent="0.3">
      <c r="A121" s="1"/>
      <c r="B121" s="1"/>
      <c r="C121" s="26"/>
      <c r="D121" s="1"/>
      <c r="E121" s="1"/>
      <c r="F121" s="1"/>
    </row>
    <row r="122" spans="1:33" ht="30" customHeight="1" x14ac:dyDescent="0.3">
      <c r="A122" s="1"/>
      <c r="B122" s="1"/>
      <c r="C122" s="26"/>
      <c r="D122" s="1"/>
      <c r="E122" s="1"/>
      <c r="F122" s="1"/>
    </row>
    <row r="123" spans="1:33" ht="15" customHeight="1" x14ac:dyDescent="0.3">
      <c r="A123" s="1"/>
      <c r="B123" s="1"/>
      <c r="C123" s="26"/>
      <c r="D123" s="1"/>
      <c r="E123" s="1"/>
      <c r="F123" s="1"/>
    </row>
    <row r="124" spans="1:33" ht="15" customHeight="1" x14ac:dyDescent="0.3">
      <c r="A124" s="1"/>
      <c r="B124" s="1"/>
      <c r="C124" s="26"/>
      <c r="D124" s="1"/>
      <c r="E124" s="1"/>
      <c r="F124" s="1"/>
    </row>
    <row r="125" spans="1:33" ht="15" customHeight="1" x14ac:dyDescent="0.3">
      <c r="A125" s="1"/>
      <c r="B125" s="25"/>
      <c r="C125" s="26"/>
      <c r="D125" s="1"/>
      <c r="E125" s="1"/>
      <c r="F125" s="1"/>
    </row>
    <row r="126" spans="1:33" ht="15" customHeight="1" x14ac:dyDescent="0.3">
      <c r="A126" s="1"/>
      <c r="B126" s="25"/>
      <c r="C126" s="26"/>
      <c r="D126" s="1"/>
      <c r="E126" s="1"/>
      <c r="F126" s="1"/>
    </row>
    <row r="127" spans="1:33" ht="15" customHeight="1" x14ac:dyDescent="0.3">
      <c r="A127" s="1"/>
      <c r="B127" s="25"/>
      <c r="C127" s="26"/>
      <c r="D127" s="1"/>
      <c r="E127" s="1"/>
      <c r="F127" s="1"/>
    </row>
    <row r="128" spans="1:33" ht="15" customHeight="1" x14ac:dyDescent="0.3">
      <c r="A128" s="1"/>
      <c r="B128" s="25"/>
      <c r="C128" s="26"/>
      <c r="D128" s="1"/>
      <c r="E128" s="1"/>
      <c r="F128" s="1"/>
    </row>
    <row r="129" spans="1:6" ht="15" customHeight="1" x14ac:dyDescent="0.3">
      <c r="A129" s="1"/>
      <c r="B129" s="25"/>
      <c r="C129" s="26"/>
      <c r="D129" s="1"/>
      <c r="E129" s="1"/>
      <c r="F129" s="1"/>
    </row>
    <row r="130" spans="1:6" ht="15" customHeight="1" x14ac:dyDescent="0.3">
      <c r="A130" s="1"/>
      <c r="B130" s="25"/>
      <c r="C130" s="26"/>
      <c r="D130" s="1"/>
      <c r="E130" s="1"/>
      <c r="F130" s="1"/>
    </row>
    <row r="131" spans="1:6" ht="15" customHeight="1" x14ac:dyDescent="0.3">
      <c r="A131" s="1"/>
      <c r="B131" s="25"/>
      <c r="C131" s="26"/>
      <c r="D131" s="1"/>
      <c r="E131" s="1"/>
      <c r="F131" s="1"/>
    </row>
    <row r="132" spans="1:6" ht="15" customHeight="1" x14ac:dyDescent="0.3">
      <c r="A132" s="1"/>
      <c r="B132" s="25"/>
      <c r="C132" s="26"/>
      <c r="D132" s="1"/>
      <c r="E132" s="1"/>
      <c r="F132" s="1"/>
    </row>
    <row r="133" spans="1:6" ht="15" customHeight="1" x14ac:dyDescent="0.3">
      <c r="A133" s="1"/>
      <c r="B133" s="25"/>
      <c r="C133" s="26"/>
      <c r="D133" s="1"/>
      <c r="E133" s="1"/>
      <c r="F133" s="1"/>
    </row>
    <row r="134" spans="1:6" ht="15" customHeight="1" x14ac:dyDescent="0.3">
      <c r="A134" s="1"/>
      <c r="B134" s="25"/>
      <c r="C134" s="1003" t="s">
        <v>33</v>
      </c>
      <c r="D134" s="1004" t="s">
        <v>34</v>
      </c>
      <c r="E134" s="1004"/>
      <c r="F134" s="1"/>
    </row>
    <row r="135" spans="1:6" ht="15" customHeight="1" thickBot="1" x14ac:dyDescent="0.35">
      <c r="A135" s="1"/>
      <c r="B135" s="25"/>
      <c r="C135" s="1003"/>
      <c r="D135" s="1004"/>
      <c r="E135" s="1004"/>
      <c r="F135" s="1"/>
    </row>
    <row r="136" spans="1:6" ht="15" customHeight="1" x14ac:dyDescent="0.3">
      <c r="A136" s="1"/>
      <c r="B136" s="979" t="s">
        <v>35</v>
      </c>
      <c r="C136" s="980" t="s">
        <v>36</v>
      </c>
      <c r="D136" s="982" t="s">
        <v>3924</v>
      </c>
      <c r="E136" s="983"/>
      <c r="F136" s="1"/>
    </row>
    <row r="137" spans="1:6" ht="15" customHeight="1" x14ac:dyDescent="0.3">
      <c r="A137" s="1"/>
      <c r="B137" s="979"/>
      <c r="C137" s="981"/>
      <c r="D137" s="984"/>
      <c r="E137" s="985"/>
      <c r="F137" s="1"/>
    </row>
    <row r="138" spans="1:6" ht="15" customHeight="1" x14ac:dyDescent="0.3">
      <c r="A138" s="1"/>
      <c r="B138" s="979" t="s">
        <v>37</v>
      </c>
      <c r="C138" s="981" t="s">
        <v>38</v>
      </c>
      <c r="D138" s="984" t="s">
        <v>39</v>
      </c>
      <c r="E138" s="985"/>
      <c r="F138" s="1"/>
    </row>
    <row r="139" spans="1:6" ht="15" customHeight="1" x14ac:dyDescent="0.3">
      <c r="A139" s="1"/>
      <c r="B139" s="979"/>
      <c r="C139" s="981"/>
      <c r="D139" s="984"/>
      <c r="E139" s="985"/>
      <c r="F139" s="1"/>
    </row>
    <row r="140" spans="1:6" ht="15" customHeight="1" x14ac:dyDescent="0.3">
      <c r="A140" s="1"/>
      <c r="B140" s="979" t="s">
        <v>40</v>
      </c>
      <c r="C140" s="981" t="s">
        <v>41</v>
      </c>
      <c r="D140" s="984" t="s">
        <v>42</v>
      </c>
      <c r="E140" s="985"/>
      <c r="F140" s="1"/>
    </row>
    <row r="141" spans="1:6" ht="15" customHeight="1" x14ac:dyDescent="0.3">
      <c r="A141" s="1"/>
      <c r="B141" s="979"/>
      <c r="C141" s="981"/>
      <c r="D141" s="984"/>
      <c r="E141" s="985"/>
      <c r="F141" s="1"/>
    </row>
    <row r="142" spans="1:6" ht="15" customHeight="1" x14ac:dyDescent="0.3">
      <c r="A142" s="1"/>
      <c r="B142" s="979" t="s">
        <v>43</v>
      </c>
      <c r="C142" s="981" t="s">
        <v>44</v>
      </c>
      <c r="D142" s="984" t="s">
        <v>5578</v>
      </c>
      <c r="E142" s="985"/>
      <c r="F142" s="1"/>
    </row>
    <row r="143" spans="1:6" ht="15" customHeight="1" x14ac:dyDescent="0.3">
      <c r="A143" s="1"/>
      <c r="B143" s="979"/>
      <c r="C143" s="981"/>
      <c r="D143" s="984"/>
      <c r="E143" s="985"/>
      <c r="F143" s="1"/>
    </row>
    <row r="144" spans="1:6" ht="15" customHeight="1" x14ac:dyDescent="0.3">
      <c r="A144" s="1"/>
      <c r="B144" s="979" t="s">
        <v>46</v>
      </c>
      <c r="C144" s="981" t="s">
        <v>47</v>
      </c>
      <c r="D144" s="984" t="s">
        <v>48</v>
      </c>
      <c r="E144" s="985"/>
      <c r="F144" s="1"/>
    </row>
    <row r="145" spans="1:77" ht="15" customHeight="1" x14ac:dyDescent="0.3">
      <c r="A145" s="1"/>
      <c r="B145" s="979"/>
      <c r="C145" s="981"/>
      <c r="D145" s="984"/>
      <c r="E145" s="985"/>
      <c r="F145" s="1"/>
    </row>
    <row r="146" spans="1:77" ht="15" customHeight="1" x14ac:dyDescent="0.3">
      <c r="A146" s="1"/>
      <c r="B146" s="979" t="s">
        <v>49</v>
      </c>
      <c r="C146" s="981" t="s">
        <v>50</v>
      </c>
      <c r="D146" s="984" t="s">
        <v>51</v>
      </c>
      <c r="E146" s="985"/>
      <c r="F146" s="1"/>
      <c r="BY146" s="28" t="s">
        <v>19</v>
      </c>
    </row>
    <row r="147" spans="1:77" ht="15" customHeight="1" x14ac:dyDescent="0.3">
      <c r="A147" s="1"/>
      <c r="B147" s="979"/>
      <c r="C147" s="981"/>
      <c r="D147" s="984"/>
      <c r="E147" s="985"/>
      <c r="F147" s="1"/>
      <c r="BY147" s="28" t="s">
        <v>52</v>
      </c>
    </row>
    <row r="148" spans="1:77" ht="15" customHeight="1" x14ac:dyDescent="0.3">
      <c r="A148" s="1"/>
      <c r="B148" s="979" t="s">
        <v>53</v>
      </c>
      <c r="C148" s="981" t="s">
        <v>54</v>
      </c>
      <c r="D148" s="984" t="s">
        <v>55</v>
      </c>
      <c r="E148" s="985"/>
      <c r="F148" s="1"/>
      <c r="BY148" s="28" t="s">
        <v>56</v>
      </c>
    </row>
    <row r="149" spans="1:77" ht="15" customHeight="1" x14ac:dyDescent="0.3">
      <c r="A149" s="1"/>
      <c r="B149" s="979"/>
      <c r="C149" s="981"/>
      <c r="D149" s="984"/>
      <c r="E149" s="985"/>
      <c r="F149" s="1"/>
      <c r="BY149" s="28" t="s">
        <v>57</v>
      </c>
    </row>
    <row r="150" spans="1:77" ht="15" customHeight="1" x14ac:dyDescent="0.3">
      <c r="A150" s="1"/>
      <c r="B150" s="979" t="s">
        <v>58</v>
      </c>
      <c r="C150" s="981" t="s">
        <v>59</v>
      </c>
      <c r="D150" s="984" t="s">
        <v>60</v>
      </c>
      <c r="E150" s="985"/>
      <c r="F150" s="1"/>
    </row>
    <row r="151" spans="1:77" ht="15" customHeight="1" thickBot="1" x14ac:dyDescent="0.35">
      <c r="A151" s="1"/>
      <c r="B151" s="979"/>
      <c r="C151" s="1011"/>
      <c r="D151" s="1012"/>
      <c r="E151" s="1013"/>
      <c r="F151" s="1"/>
    </row>
    <row r="152" spans="1:77" ht="15" customHeight="1" x14ac:dyDescent="0.35">
      <c r="A152" s="1"/>
      <c r="B152" s="25"/>
      <c r="C152" s="26"/>
      <c r="D152" s="1"/>
      <c r="E152" s="1"/>
      <c r="F152" s="1"/>
      <c r="AL152"/>
    </row>
    <row r="153" spans="1:77" ht="15" customHeight="1" x14ac:dyDescent="0.3">
      <c r="A153" s="1"/>
      <c r="B153" s="25"/>
      <c r="C153" s="26"/>
      <c r="D153" s="1"/>
      <c r="E153" s="1"/>
      <c r="F153" s="1"/>
    </row>
    <row r="154" spans="1:77" ht="50" customHeight="1" x14ac:dyDescent="0.3">
      <c r="A154" s="1"/>
      <c r="B154" s="25"/>
      <c r="C154" s="26"/>
      <c r="D154" s="1"/>
      <c r="E154" s="1"/>
      <c r="F154" s="1"/>
    </row>
    <row r="155" spans="1:77" ht="10" customHeight="1" x14ac:dyDescent="0.3">
      <c r="A155" s="1"/>
      <c r="B155" s="25"/>
      <c r="C155" s="26"/>
      <c r="D155" s="1"/>
      <c r="E155" s="1"/>
      <c r="F155" s="1"/>
    </row>
    <row r="156" spans="1:77" ht="25" customHeight="1" x14ac:dyDescent="0.45">
      <c r="A156" s="1198" t="s">
        <v>5577</v>
      </c>
      <c r="B156" s="1"/>
      <c r="C156" s="1"/>
      <c r="D156" s="1"/>
      <c r="E156" s="1"/>
      <c r="F156" s="1"/>
    </row>
    <row r="157" spans="1:77" ht="5" customHeight="1" x14ac:dyDescent="0.4">
      <c r="A157" s="33"/>
      <c r="B157" s="1"/>
      <c r="C157" s="1"/>
      <c r="D157" s="1"/>
      <c r="E157" s="1"/>
      <c r="F157" s="1"/>
    </row>
    <row r="158" spans="1:77" ht="18" customHeight="1" x14ac:dyDescent="0.65">
      <c r="A158" s="34" t="s">
        <v>94</v>
      </c>
      <c r="B158" s="34" t="str">
        <f>B199</f>
        <v>Case information</v>
      </c>
      <c r="C158" s="1"/>
      <c r="D158" s="1"/>
      <c r="E158" s="1"/>
      <c r="F158" s="1"/>
    </row>
    <row r="159" spans="1:77" ht="14" customHeight="1" x14ac:dyDescent="0.3">
      <c r="A159" s="35"/>
      <c r="B159" s="38" t="s">
        <v>63</v>
      </c>
      <c r="C159" s="35"/>
      <c r="D159" s="35"/>
      <c r="E159" s="1"/>
      <c r="F159" s="1"/>
    </row>
    <row r="160" spans="1:77" ht="18" customHeight="1" x14ac:dyDescent="0.65">
      <c r="A160" s="34" t="s">
        <v>228</v>
      </c>
      <c r="B160" s="34" t="str">
        <f>B355</f>
        <v>Documentation for verification</v>
      </c>
      <c r="C160" s="1"/>
      <c r="D160" s="1"/>
      <c r="E160" s="1"/>
      <c r="F160" s="1"/>
    </row>
    <row r="161" spans="1:6" ht="14" customHeight="1" x14ac:dyDescent="0.3">
      <c r="A161" s="35"/>
      <c r="B161" s="38" t="s">
        <v>65</v>
      </c>
      <c r="C161" s="35"/>
      <c r="D161" s="35"/>
      <c r="E161" s="1"/>
      <c r="F161" s="1"/>
    </row>
    <row r="162" spans="1:6" ht="18" customHeight="1" x14ac:dyDescent="0.65">
      <c r="A162" s="36" t="s">
        <v>66</v>
      </c>
      <c r="B162" s="37" t="str">
        <f>B521</f>
        <v>Common factors in wrongful convictions</v>
      </c>
      <c r="C162" s="1"/>
      <c r="D162" s="1"/>
      <c r="E162" s="1"/>
      <c r="F162" s="1"/>
    </row>
    <row r="163" spans="1:6" ht="14" customHeight="1" x14ac:dyDescent="0.45">
      <c r="A163" s="36"/>
      <c r="B163" s="445" t="s">
        <v>67</v>
      </c>
      <c r="C163" s="35"/>
      <c r="D163" s="35"/>
      <c r="E163" s="1"/>
      <c r="F163" s="1"/>
    </row>
    <row r="164" spans="1:6" ht="18" customHeight="1" x14ac:dyDescent="0.65">
      <c r="A164" s="36" t="s">
        <v>68</v>
      </c>
      <c r="B164" s="37" t="str">
        <f>B556</f>
        <v>Evidentiary factors</v>
      </c>
      <c r="C164" s="1"/>
      <c r="D164" s="1"/>
      <c r="E164" s="1"/>
      <c r="F164" s="1"/>
    </row>
    <row r="165" spans="1:6" ht="14" customHeight="1" x14ac:dyDescent="0.45">
      <c r="A165" s="36"/>
      <c r="B165" s="445" t="s">
        <v>69</v>
      </c>
      <c r="C165" s="35"/>
      <c r="D165" s="35"/>
      <c r="E165" s="1"/>
      <c r="F165" s="1"/>
    </row>
    <row r="166" spans="1:6" ht="18" customHeight="1" x14ac:dyDescent="0.65">
      <c r="A166" s="36" t="s">
        <v>70</v>
      </c>
      <c r="B166" s="37" t="str">
        <f>B590</f>
        <v>Investigative factors</v>
      </c>
      <c r="C166" s="1"/>
      <c r="D166" s="1"/>
      <c r="E166" s="1"/>
      <c r="F166" s="1"/>
    </row>
    <row r="167" spans="1:6" ht="14" customHeight="1" x14ac:dyDescent="0.45">
      <c r="A167" s="36"/>
      <c r="B167" s="445" t="s">
        <v>71</v>
      </c>
      <c r="C167" s="35"/>
      <c r="D167" s="35"/>
      <c r="E167" s="1"/>
      <c r="F167" s="1"/>
    </row>
    <row r="168" spans="1:6" ht="18" customHeight="1" x14ac:dyDescent="0.65">
      <c r="A168" s="36" t="s">
        <v>72</v>
      </c>
      <c r="B168" s="37" t="str">
        <f>B624</f>
        <v>Complicating factors</v>
      </c>
      <c r="C168" s="1"/>
      <c r="D168" s="1"/>
      <c r="E168" s="1"/>
      <c r="F168" s="1"/>
    </row>
    <row r="169" spans="1:6" ht="14" customHeight="1" x14ac:dyDescent="0.45">
      <c r="A169" s="36"/>
      <c r="B169" s="445" t="s">
        <v>73</v>
      </c>
      <c r="C169" s="35"/>
      <c r="D169" s="35"/>
      <c r="E169" s="1"/>
      <c r="F169" s="1"/>
    </row>
    <row r="170" spans="1:6" ht="18" customHeight="1" x14ac:dyDescent="0.65">
      <c r="A170" s="36" t="s">
        <v>74</v>
      </c>
      <c r="B170" s="37" t="str">
        <f>B658</f>
        <v>Claimant’s demonstratable innocence</v>
      </c>
      <c r="C170" s="1"/>
      <c r="D170" s="1"/>
      <c r="E170" s="1"/>
      <c r="F170" s="1"/>
    </row>
    <row r="171" spans="1:6" ht="14" customHeight="1" x14ac:dyDescent="0.45">
      <c r="A171" s="36"/>
      <c r="B171" s="445" t="s">
        <v>75</v>
      </c>
      <c r="C171" s="35"/>
      <c r="D171" s="35"/>
      <c r="E171" s="1"/>
      <c r="F171" s="1"/>
    </row>
    <row r="172" spans="1:6" ht="18" customHeight="1" x14ac:dyDescent="0.65">
      <c r="A172" s="36" t="s">
        <v>76</v>
      </c>
      <c r="B172" s="37" t="str">
        <f>B706</f>
        <v>Claimant’s innocence recognized by others</v>
      </c>
      <c r="C172" s="1"/>
      <c r="D172" s="1"/>
      <c r="E172" s="1"/>
      <c r="F172" s="1"/>
    </row>
    <row r="173" spans="1:6" ht="14" customHeight="1" x14ac:dyDescent="0.45">
      <c r="A173" s="36"/>
      <c r="B173" s="445" t="s">
        <v>77</v>
      </c>
      <c r="C173" s="35"/>
      <c r="D173" s="35"/>
      <c r="E173" s="1"/>
      <c r="F173" s="1"/>
    </row>
    <row r="174" spans="1:6" ht="18" customHeight="1" x14ac:dyDescent="0.65">
      <c r="A174" s="36" t="s">
        <v>78</v>
      </c>
      <c r="B174" s="37" t="str">
        <f>B745</f>
        <v>Other</v>
      </c>
      <c r="C174" s="1"/>
      <c r="D174" s="1"/>
      <c r="E174" s="1"/>
      <c r="F174" s="1"/>
    </row>
    <row r="175" spans="1:6" ht="14" customHeight="1" x14ac:dyDescent="0.45">
      <c r="A175" s="36"/>
      <c r="B175" s="445" t="s">
        <v>79</v>
      </c>
      <c r="C175" s="35"/>
      <c r="D175" s="35"/>
      <c r="E175" s="1"/>
      <c r="F175" s="1"/>
    </row>
    <row r="176" spans="1:6" ht="18" customHeight="1" x14ac:dyDescent="0.65">
      <c r="A176" s="36" t="s">
        <v>80</v>
      </c>
      <c r="B176" s="37" t="str">
        <f>B755</f>
        <v>Process</v>
      </c>
      <c r="C176" s="1"/>
      <c r="D176" s="1"/>
      <c r="E176" s="1"/>
      <c r="F176" s="1"/>
    </row>
    <row r="177" spans="1:47" ht="14" customHeight="1" x14ac:dyDescent="0.45">
      <c r="A177" s="36"/>
      <c r="B177" s="445" t="s">
        <v>81</v>
      </c>
      <c r="C177" s="35"/>
      <c r="D177" s="35"/>
      <c r="E177" s="1"/>
      <c r="F177" s="1"/>
    </row>
    <row r="178" spans="1:47" ht="18" customHeight="1" x14ac:dyDescent="0.65">
      <c r="A178" s="34" t="s">
        <v>82</v>
      </c>
      <c r="B178" s="34" t="str">
        <f>B783</f>
        <v>Requests and responses for exoneration help</v>
      </c>
      <c r="C178" s="1"/>
      <c r="D178" s="1"/>
      <c r="E178" s="1"/>
      <c r="F178" s="1"/>
      <c r="AU178"/>
    </row>
    <row r="179" spans="1:47" ht="14" customHeight="1" x14ac:dyDescent="0.65">
      <c r="A179" s="34"/>
      <c r="B179" s="38" t="s">
        <v>83</v>
      </c>
      <c r="C179" s="35"/>
      <c r="D179" s="35"/>
      <c r="E179" s="1"/>
      <c r="F179" s="1"/>
    </row>
    <row r="180" spans="1:47" ht="18" customHeight="1" x14ac:dyDescent="0.65">
      <c r="A180" s="34" t="s">
        <v>84</v>
      </c>
      <c r="B180" s="34" t="str">
        <f>B826</f>
        <v>Collateral consequences of wrongful conviction</v>
      </c>
      <c r="C180" s="1"/>
      <c r="D180" s="1"/>
      <c r="E180" s="1"/>
      <c r="F180" s="1"/>
      <c r="AB180"/>
    </row>
    <row r="181" spans="1:47" ht="14" customHeight="1" x14ac:dyDescent="0.3">
      <c r="A181" s="35"/>
      <c r="B181" s="38" t="s">
        <v>85</v>
      </c>
      <c r="C181" s="35"/>
      <c r="D181" s="35"/>
      <c r="E181" s="1"/>
      <c r="F181" s="1"/>
    </row>
    <row r="182" spans="1:47" ht="18" customHeight="1" x14ac:dyDescent="0.65">
      <c r="A182" s="34" t="s">
        <v>86</v>
      </c>
      <c r="B182" s="34" t="str">
        <f>B903</f>
        <v>Claimant narrative</v>
      </c>
      <c r="C182" s="1"/>
      <c r="D182" s="1"/>
      <c r="E182" s="1"/>
      <c r="F182" s="1"/>
    </row>
    <row r="183" spans="1:47" ht="14" customHeight="1" x14ac:dyDescent="0.3">
      <c r="A183" s="35"/>
      <c r="B183" s="38" t="s">
        <v>87</v>
      </c>
      <c r="C183" s="35"/>
      <c r="D183" s="35"/>
      <c r="E183" s="1"/>
      <c r="F183" s="1"/>
    </row>
    <row r="184" spans="1:47" ht="18" customHeight="1" x14ac:dyDescent="0.65">
      <c r="A184" s="34" t="str">
        <f>A1126</f>
        <v>G.</v>
      </c>
      <c r="B184" s="34" t="str">
        <f>B1126</f>
        <v>Compensation</v>
      </c>
      <c r="C184" s="1"/>
      <c r="D184" s="1"/>
      <c r="E184" s="1"/>
      <c r="F184" s="1"/>
    </row>
    <row r="185" spans="1:47" ht="14" customHeight="1" x14ac:dyDescent="0.3">
      <c r="A185" s="1"/>
      <c r="B185" s="38" t="s">
        <v>90</v>
      </c>
      <c r="C185" s="1"/>
      <c r="D185" s="1"/>
      <c r="E185" s="1"/>
      <c r="F185" s="1"/>
    </row>
    <row r="186" spans="1:47" ht="18" customHeight="1" x14ac:dyDescent="0.65">
      <c r="A186" s="34" t="str">
        <f>A1168</f>
        <v>H.</v>
      </c>
      <c r="B186" s="34" t="str">
        <f>B1168</f>
        <v>You're not alone</v>
      </c>
      <c r="C186" s="1"/>
      <c r="D186" s="1"/>
      <c r="E186" s="1"/>
      <c r="F186" s="1"/>
    </row>
    <row r="187" spans="1:47" ht="14" customHeight="1" x14ac:dyDescent="0.3">
      <c r="A187" s="1"/>
      <c r="B187" s="38" t="s">
        <v>93</v>
      </c>
      <c r="C187" s="1"/>
      <c r="D187" s="1"/>
      <c r="E187" s="1"/>
      <c r="F187" s="1"/>
    </row>
    <row r="188" spans="1:47" ht="18" customHeight="1" x14ac:dyDescent="0.65">
      <c r="A188" s="437"/>
      <c r="B188" s="437"/>
      <c r="C188" s="1"/>
      <c r="D188" s="1"/>
      <c r="E188" s="1"/>
      <c r="F188" s="1"/>
    </row>
    <row r="189" spans="1:47" ht="14" customHeight="1" x14ac:dyDescent="0.3">
      <c r="A189" s="438"/>
      <c r="B189" s="439"/>
      <c r="C189" s="1"/>
      <c r="D189" s="1"/>
      <c r="E189" s="1"/>
      <c r="F189" s="1"/>
    </row>
    <row r="190" spans="1:47" ht="18" customHeight="1" x14ac:dyDescent="0.65">
      <c r="A190" s="437"/>
      <c r="B190" s="437"/>
      <c r="C190" s="1"/>
      <c r="D190" s="1"/>
      <c r="E190" s="1"/>
      <c r="F190" s="1"/>
      <c r="AB190"/>
    </row>
    <row r="191" spans="1:47" ht="14" customHeight="1" x14ac:dyDescent="0.3">
      <c r="A191" s="438"/>
      <c r="B191" s="439"/>
      <c r="C191" s="1"/>
      <c r="D191" s="1"/>
      <c r="E191" s="1"/>
      <c r="F191" s="1"/>
    </row>
    <row r="192" spans="1:47" ht="18" customHeight="1" x14ac:dyDescent="0.65">
      <c r="A192" s="437"/>
      <c r="B192" s="437"/>
      <c r="C192" s="1"/>
      <c r="D192" s="1"/>
      <c r="E192" s="1"/>
      <c r="F192" s="1"/>
    </row>
    <row r="193" spans="1:63" ht="14" customHeight="1" x14ac:dyDescent="0.3">
      <c r="A193" s="438"/>
      <c r="B193" s="439"/>
      <c r="C193" s="1"/>
      <c r="D193" s="1"/>
      <c r="E193" s="1"/>
      <c r="F193" s="1"/>
    </row>
    <row r="194" spans="1:63" ht="18" customHeight="1" x14ac:dyDescent="0.65">
      <c r="A194" s="437"/>
      <c r="B194" s="437"/>
      <c r="C194" s="1"/>
      <c r="D194" s="1"/>
      <c r="E194" s="1"/>
      <c r="F194" s="1"/>
    </row>
    <row r="195" spans="1:63" ht="14" customHeight="1" x14ac:dyDescent="0.3">
      <c r="A195" s="438"/>
      <c r="B195" s="439"/>
      <c r="C195" s="1"/>
      <c r="D195" s="1"/>
      <c r="E195" s="1"/>
      <c r="F195" s="1"/>
    </row>
    <row r="196" spans="1:63" ht="18" customHeight="1" x14ac:dyDescent="0.3">
      <c r="A196" s="1"/>
      <c r="B196" s="1"/>
      <c r="C196" s="1"/>
      <c r="D196" s="1"/>
      <c r="E196" s="1"/>
      <c r="F196" s="1"/>
    </row>
    <row r="197" spans="1:63" ht="14" customHeight="1" x14ac:dyDescent="0.3">
      <c r="A197" s="1"/>
      <c r="B197" s="1"/>
      <c r="C197" s="1"/>
      <c r="D197" s="1"/>
      <c r="E197" s="1"/>
      <c r="F197" s="1"/>
    </row>
    <row r="198" spans="1:63" ht="8" customHeight="1" x14ac:dyDescent="0.3">
      <c r="A198" s="1"/>
      <c r="B198" s="1"/>
      <c r="C198" s="1"/>
      <c r="D198" s="1"/>
      <c r="E198" s="1"/>
      <c r="F198" s="1"/>
    </row>
    <row r="199" spans="1:63" ht="30" customHeight="1" x14ac:dyDescent="0.3">
      <c r="A199" s="40" t="s">
        <v>94</v>
      </c>
      <c r="B199" s="40" t="s">
        <v>95</v>
      </c>
      <c r="C199" s="40"/>
      <c r="D199" s="40"/>
      <c r="E199" s="436"/>
      <c r="F199" s="436" t="s">
        <v>869</v>
      </c>
      <c r="AA199" s="605" t="s">
        <v>3945</v>
      </c>
      <c r="AB199" s="597"/>
      <c r="AC199" s="597"/>
      <c r="AD199" s="597"/>
      <c r="AE199" s="597"/>
      <c r="AF199" s="597"/>
      <c r="AG199" s="597"/>
    </row>
    <row r="200" spans="1:63" ht="17.5" x14ac:dyDescent="0.35">
      <c r="A200" s="41"/>
      <c r="B200" s="1016" t="s">
        <v>96</v>
      </c>
      <c r="C200" s="1016"/>
      <c r="D200" s="1016"/>
      <c r="E200" s="42"/>
      <c r="F200" s="42"/>
      <c r="AD200" s="643" t="s">
        <v>102</v>
      </c>
      <c r="AE200" s="642"/>
      <c r="AF200" s="642"/>
      <c r="AG200" s="642"/>
      <c r="AH200" s="642"/>
      <c r="AI200" s="642"/>
      <c r="AK200" s="641" t="s">
        <v>4169</v>
      </c>
      <c r="AL200" s="642"/>
      <c r="AM200" s="642"/>
      <c r="AP200"/>
    </row>
    <row r="201" spans="1:63" ht="10" customHeight="1" thickBot="1" x14ac:dyDescent="0.35">
      <c r="A201" s="94"/>
      <c r="B201" s="94"/>
      <c r="C201" s="94"/>
      <c r="D201" s="94"/>
      <c r="E201" s="94"/>
      <c r="F201" s="1"/>
    </row>
    <row r="202" spans="1:63" ht="25" customHeight="1" thickTop="1" thickBot="1" x14ac:dyDescent="0.5">
      <c r="A202" s="94"/>
      <c r="B202" s="43" t="s">
        <v>97</v>
      </c>
      <c r="C202" s="44" t="s">
        <v>98</v>
      </c>
      <c r="D202" s="44" t="s">
        <v>99</v>
      </c>
      <c r="E202" s="94"/>
      <c r="F202" s="1"/>
      <c r="AD202" s="48" t="str">
        <f>"FIRST NAME"</f>
        <v>FIRST NAME</v>
      </c>
      <c r="AH202" s="48" t="s">
        <v>100</v>
      </c>
      <c r="AN202" s="29" t="str">
        <f>IF(NOT(C202=AD202),C202,"Claimant")</f>
        <v>Steph</v>
      </c>
      <c r="AO202" s="670"/>
      <c r="AP202" s="30"/>
      <c r="AQ202" s="30"/>
      <c r="AR202" s="30"/>
      <c r="AS202" s="30"/>
      <c r="AT202" s="31"/>
      <c r="AX202" s="1145">
        <f>(AX203*0.15)/2</f>
        <v>165000</v>
      </c>
      <c r="AY202" s="1145"/>
      <c r="AZ202" s="1145"/>
      <c r="BA202" s="1145"/>
      <c r="BB202" s="1145"/>
      <c r="BG202" s="619" t="str">
        <f>IF(OR(C202=AD202,C202=""),"Claimant",CONCATENATE(C202," ",D202))</f>
        <v>Steph Turner</v>
      </c>
      <c r="BJ202" s="48" t="str">
        <f>LOWER(C202)</f>
        <v>steph</v>
      </c>
      <c r="BK202" s="48" t="str">
        <f>LOWER(D202)</f>
        <v>turner</v>
      </c>
    </row>
    <row r="203" spans="1:63" ht="15" thickTop="1" thickBot="1" x14ac:dyDescent="0.35">
      <c r="A203" s="94"/>
      <c r="B203" s="94"/>
      <c r="C203" s="45" t="s">
        <v>3606</v>
      </c>
      <c r="D203" s="45" t="s">
        <v>101</v>
      </c>
      <c r="E203" s="94"/>
      <c r="F203" s="1"/>
      <c r="AX203" s="1145">
        <v>2200000</v>
      </c>
      <c r="AY203" s="1145"/>
      <c r="AZ203" s="1145"/>
      <c r="BA203" s="1145"/>
      <c r="BB203" s="1145"/>
    </row>
    <row r="204" spans="1:63" ht="15" thickTop="1" thickBot="1" x14ac:dyDescent="0.35">
      <c r="A204" s="94"/>
      <c r="B204" s="94"/>
      <c r="C204" s="46" t="s">
        <v>102</v>
      </c>
      <c r="D204" s="47" t="s">
        <v>5481</v>
      </c>
      <c r="E204" s="94"/>
      <c r="F204" s="1"/>
      <c r="AD204" s="48" t="str">
        <f>IF(C204="",CONCATENATE(AN202,"'s email address"),C204)</f>
        <v>valuerelating@gmail.com</v>
      </c>
      <c r="AN204" s="48" t="str">
        <f>IF(D204="",CONCATENATE(AN202,"'s phone number"),D204)</f>
        <v>(920) 445-8760</v>
      </c>
    </row>
    <row r="205" spans="1:63" ht="15" thickTop="1" thickBot="1" x14ac:dyDescent="0.35">
      <c r="A205" s="94"/>
      <c r="B205" s="45" t="s">
        <v>3823</v>
      </c>
      <c r="C205" s="45" t="s">
        <v>103</v>
      </c>
      <c r="D205" s="45" t="s">
        <v>3825</v>
      </c>
      <c r="E205" s="94"/>
      <c r="F205" s="1"/>
      <c r="AJ205" s="1015">
        <v>37798</v>
      </c>
      <c r="AK205" s="1015"/>
      <c r="AL205" s="1015"/>
      <c r="AM205" s="48" t="s">
        <v>104</v>
      </c>
      <c r="AQ205" s="1005"/>
      <c r="AR205" s="1005"/>
    </row>
    <row r="206" spans="1:63" ht="15" thickTop="1" thickBot="1" x14ac:dyDescent="0.35">
      <c r="A206" s="94"/>
      <c r="B206" s="46">
        <v>23000</v>
      </c>
      <c r="C206" s="46" t="s">
        <v>105</v>
      </c>
      <c r="D206" s="46" t="s">
        <v>3826</v>
      </c>
      <c r="E206" s="94"/>
      <c r="F206" s="1"/>
      <c r="AA206" s="597">
        <v>1</v>
      </c>
      <c r="AB206" s="49" t="s">
        <v>3937</v>
      </c>
      <c r="AC206" s="49"/>
      <c r="AD206" s="49"/>
      <c r="AE206" s="49"/>
      <c r="AF206" s="49"/>
      <c r="AJ206" s="50">
        <f>IF(AND(D259&lt;AJ205,C206=AQ206),2,1)</f>
        <v>2</v>
      </c>
      <c r="AK206" s="50" t="s">
        <v>106</v>
      </c>
      <c r="AM206" s="50">
        <f>IF($AF$646&gt;2,1.12,1)</f>
        <v>1.1200000000000001</v>
      </c>
      <c r="AO206" s="50">
        <f>IF($AF$651&gt;2,1.12,1)</f>
        <v>1.1200000000000001</v>
      </c>
      <c r="AQ206" s="48" t="str">
        <f>B2722</f>
        <v>other (explain in box)</v>
      </c>
      <c r="BB206" s="51">
        <f>ROUND(AJ206*AM206*AO206,1)</f>
        <v>2.5</v>
      </c>
      <c r="BG206" s="48" t="str">
        <f>IF($D$206=$C$2720,"He",IF($D$206=$C$2721,"She",IF($D$206=$C$2722,"They",IF($D$206=$C$2723,$AN$202,"Claimant"))))</f>
        <v>He</v>
      </c>
      <c r="BH206" s="48" t="str">
        <f>IF($D$206=$C$2720,"he",IF($D$206=$C$2721,"she",IF($D$206=$C$2722,"they",IF($D$206=$C$2723,$AN$202,"claimant"))))</f>
        <v>he</v>
      </c>
      <c r="BI206" s="48" t="str">
        <f>IF($D$206=$C$2720,"him",IF($D$206=$C$2721,"her",IF($D$206=$C$2722,"them",IF($D$206=$C$2723,$AN$202,"claimant"))))</f>
        <v>him</v>
      </c>
      <c r="BJ206" s="48" t="str">
        <f>IF($D$206=$C$2720,"his",IF($D$206=$C$2721,"hers",IF($D$206=$C$2722,"their",IF($D$206=$C$2723,CONCATENATE($AN$202,"'s"),"claimant's"))))</f>
        <v>his</v>
      </c>
      <c r="BK206" s="48" t="str">
        <f>IF($D$206=$C$2720,"His",IF($D$206=$C$2721,"Her",IF($D$206=$C$2722,"Their",IF($D$206=$C$2723,CONCATENATE($AN$202,"'s"),"claimant's"))))</f>
        <v>His</v>
      </c>
    </row>
    <row r="207" spans="1:63" ht="15" thickTop="1" thickBot="1" x14ac:dyDescent="0.35">
      <c r="A207" s="94"/>
      <c r="B207" s="94"/>
      <c r="C207" s="45" t="s">
        <v>107</v>
      </c>
      <c r="D207" s="45" t="s">
        <v>108</v>
      </c>
      <c r="E207" s="94"/>
      <c r="F207" s="1"/>
    </row>
    <row r="208" spans="1:63" ht="15" thickTop="1" thickBot="1" x14ac:dyDescent="0.35">
      <c r="A208" s="94"/>
      <c r="B208" s="94"/>
      <c r="C208" s="46" t="s">
        <v>109</v>
      </c>
      <c r="D208" s="46" t="s">
        <v>110</v>
      </c>
      <c r="E208" s="94"/>
      <c r="F208" s="1"/>
      <c r="AA208" s="597">
        <f>AA206+1</f>
        <v>2</v>
      </c>
      <c r="AB208" s="49" t="s">
        <v>3938</v>
      </c>
      <c r="AC208" s="49"/>
      <c r="AD208" s="49"/>
      <c r="AE208" s="49"/>
      <c r="AF208" s="49"/>
      <c r="AH208" s="48" t="str">
        <f>B2727</f>
        <v>primarily white</v>
      </c>
      <c r="AL208" s="48" t="str">
        <f>B2728</f>
        <v>primarily black</v>
      </c>
      <c r="AP208" s="48" t="str">
        <f>B2729</f>
        <v>nonwhite hispanic</v>
      </c>
      <c r="AU208" s="48" t="str">
        <f>B2730</f>
        <v>other (explain in box)</v>
      </c>
    </row>
    <row r="209" spans="1:59" ht="15" thickTop="1" thickBot="1" x14ac:dyDescent="0.35">
      <c r="A209" s="94"/>
      <c r="B209" s="94"/>
      <c r="C209" s="45" t="s">
        <v>111</v>
      </c>
      <c r="D209" s="94"/>
      <c r="E209" s="94"/>
      <c r="F209" s="1"/>
      <c r="AH209" s="48">
        <f>IF($C208=AH208,1,0)</f>
        <v>1</v>
      </c>
      <c r="AI209" s="48">
        <f>IF($AF$646&gt;2,1.5,1)</f>
        <v>1.5</v>
      </c>
      <c r="AJ209" s="48">
        <f>IF($AF$651&gt;2,1.5,1)</f>
        <v>1.5</v>
      </c>
      <c r="AK209" s="50">
        <f>AH209*AI209*AJ209</f>
        <v>2.25</v>
      </c>
      <c r="AL209" s="48">
        <f>IF($C208=AL208,3,0)</f>
        <v>0</v>
      </c>
      <c r="AM209" s="48">
        <f>IF($AF$646&gt;2,1.5,0)</f>
        <v>1.5</v>
      </c>
      <c r="AN209" s="48">
        <f>IF($AF$651&gt;2,1.5,0)</f>
        <v>1.5</v>
      </c>
      <c r="AO209" s="50">
        <f>AL209*AM209*AN209</f>
        <v>0</v>
      </c>
      <c r="AP209" s="48">
        <f>IF($C208=AP208,2,0)</f>
        <v>0</v>
      </c>
      <c r="AQ209" s="48">
        <f>IF($AF$646&gt;2,1.5,1)</f>
        <v>1.5</v>
      </c>
      <c r="AR209" s="48">
        <f>IF($AF$651&gt;2,1.5,1)</f>
        <v>1.5</v>
      </c>
      <c r="AS209" s="50">
        <f>AP209*AQ209*AR209</f>
        <v>0</v>
      </c>
      <c r="AU209" s="48">
        <f>IF($C208=AU208,1.5,0)</f>
        <v>0</v>
      </c>
      <c r="AV209" s="48">
        <f>IF($AF$646&gt;2,1.5,1)</f>
        <v>1.5</v>
      </c>
      <c r="AW209" s="48">
        <f>IF($AF$651&gt;2,1.5,1)</f>
        <v>1.5</v>
      </c>
      <c r="AX209" s="50">
        <f>AU209*AV209*AW209</f>
        <v>0</v>
      </c>
      <c r="AZ209" s="52">
        <f>(MAX(AK209,AO209,AS209,AX209))-2.25</f>
        <v>0</v>
      </c>
      <c r="BB209" s="53">
        <f>IF(AZ209=-2.25,0,AZ209)</f>
        <v>0</v>
      </c>
    </row>
    <row r="210" spans="1:59" ht="45" customHeight="1" thickTop="1" thickBot="1" x14ac:dyDescent="0.35">
      <c r="A210" s="94"/>
      <c r="B210" s="94"/>
      <c r="C210" s="1006" t="s">
        <v>5146</v>
      </c>
      <c r="D210" s="1007"/>
      <c r="E210" s="94"/>
      <c r="F210" s="1"/>
      <c r="AV210" s="48" t="str">
        <f>C212</f>
        <v>FIRST NAME</v>
      </c>
    </row>
    <row r="211" spans="1:59" ht="5" customHeight="1" thickTop="1" thickBot="1" x14ac:dyDescent="0.35">
      <c r="A211" s="94"/>
      <c r="B211" s="94"/>
      <c r="C211" s="94"/>
      <c r="D211" s="94"/>
      <c r="E211" s="94"/>
      <c r="F211" s="1"/>
    </row>
    <row r="212" spans="1:59" ht="25" customHeight="1" thickTop="1" thickBot="1" x14ac:dyDescent="0.5">
      <c r="A212" s="94"/>
      <c r="B212" s="43" t="s">
        <v>112</v>
      </c>
      <c r="C212" s="44" t="str">
        <f>AD212</f>
        <v>FIRST NAME</v>
      </c>
      <c r="D212" s="44" t="str">
        <f>AH212</f>
        <v>LAST NAME</v>
      </c>
      <c r="E212" s="94"/>
      <c r="F212" s="1"/>
      <c r="AD212" s="48" t="s">
        <v>773</v>
      </c>
      <c r="AH212" s="48" t="s">
        <v>100</v>
      </c>
      <c r="AN212" s="29" t="str">
        <f>IF(NOT(C212=AD212),C212,"Proxy")</f>
        <v>Proxy</v>
      </c>
      <c r="AO212" s="30"/>
      <c r="AP212" s="30"/>
      <c r="AQ212" s="30"/>
      <c r="AR212" s="30"/>
      <c r="AS212" s="30"/>
      <c r="AT212" s="31"/>
      <c r="AV212" s="48" t="str">
        <f>CONCATENATE(AD212," ",AH212)</f>
        <v>FIRST NAME LAST NAME</v>
      </c>
      <c r="BG212" s="619" t="str">
        <f>IF(OR(C212=AD212,C212=""),"Proxy",CONCATENATE(C212," ",D212))</f>
        <v>Proxy</v>
      </c>
    </row>
    <row r="213" spans="1:59" ht="15" thickTop="1" thickBot="1" x14ac:dyDescent="0.35">
      <c r="A213" s="94"/>
      <c r="B213" s="94"/>
      <c r="C213" s="45" t="s">
        <v>113</v>
      </c>
      <c r="D213" s="45" t="s">
        <v>101</v>
      </c>
      <c r="E213" s="94"/>
      <c r="F213" s="1"/>
    </row>
    <row r="214" spans="1:59" ht="15" thickTop="1" thickBot="1" x14ac:dyDescent="0.35">
      <c r="A214" s="94"/>
      <c r="B214" s="94"/>
      <c r="C214" s="46"/>
      <c r="D214" s="47"/>
      <c r="E214" s="94"/>
      <c r="F214" s="1"/>
      <c r="AD214" s="48" t="str">
        <f>IF(C214="",CONCATENATE(AN212,"'s email address"),C214)</f>
        <v>Proxy's email address</v>
      </c>
      <c r="AN214" s="48" t="str">
        <f>IF(D214="",CONCATENATE(AN212,"'s phone number"),M214)</f>
        <v>Proxy's phone number</v>
      </c>
    </row>
    <row r="215" spans="1:59" ht="15" thickTop="1" thickBot="1" x14ac:dyDescent="0.35">
      <c r="A215" s="94"/>
      <c r="B215" s="94"/>
      <c r="C215" s="45" t="s">
        <v>114</v>
      </c>
      <c r="D215" s="45" t="s">
        <v>115</v>
      </c>
      <c r="E215" s="94"/>
      <c r="F215" s="1"/>
    </row>
    <row r="216" spans="1:59" ht="15" thickTop="1" thickBot="1" x14ac:dyDescent="0.35">
      <c r="A216" s="94"/>
      <c r="B216" s="94"/>
      <c r="C216" s="54"/>
      <c r="D216" s="47"/>
      <c r="E216" s="94"/>
      <c r="F216" s="1"/>
    </row>
    <row r="217" spans="1:59" ht="10" customHeight="1" thickTop="1" thickBot="1" x14ac:dyDescent="0.35">
      <c r="A217" s="94"/>
      <c r="B217" s="94"/>
      <c r="C217" s="94"/>
      <c r="D217" s="94"/>
      <c r="E217" s="94"/>
      <c r="F217" s="1"/>
    </row>
    <row r="218" spans="1:59" ht="15" customHeight="1" thickTop="1" thickBot="1" x14ac:dyDescent="0.35">
      <c r="A218" s="538" t="s">
        <v>3970</v>
      </c>
      <c r="B218" s="94"/>
      <c r="C218" s="94"/>
      <c r="D218" s="94"/>
      <c r="E218" s="94"/>
      <c r="F218" s="1"/>
    </row>
    <row r="219" spans="1:59" ht="15" customHeight="1" thickTop="1" thickBot="1" x14ac:dyDescent="0.35">
      <c r="A219" s="809" t="s">
        <v>5145</v>
      </c>
      <c r="B219" s="57" t="s">
        <v>3971</v>
      </c>
      <c r="C219" s="94"/>
      <c r="D219" s="94"/>
      <c r="E219" s="94"/>
      <c r="F219" s="1"/>
    </row>
    <row r="220" spans="1:59" ht="15" customHeight="1" thickBot="1" x14ac:dyDescent="0.35">
      <c r="A220" s="94"/>
      <c r="B220" s="1014" t="s">
        <v>3972</v>
      </c>
      <c r="C220" s="1014"/>
      <c r="D220" s="1014"/>
      <c r="E220" s="94"/>
      <c r="F220" s="1"/>
      <c r="AA220" s="607"/>
      <c r="AB220" s="608"/>
      <c r="AC220" s="608"/>
      <c r="AD220" s="608"/>
      <c r="AE220" s="608"/>
      <c r="AF220" s="608"/>
      <c r="AO220" s="52">
        <f>IF(B220=B2748,E2748,IF(B220=B2749,E2749,IF(B220=B2750,E2750,IF(B220=B2751,E2751,IF(B220=B2752,E2752,IF(B220=B2753,E2753,IF(B220=B2754,E2754,0)))))))</f>
        <v>25</v>
      </c>
      <c r="AQ220" s="953">
        <f>AO220</f>
        <v>25</v>
      </c>
      <c r="AR220" s="952"/>
    </row>
    <row r="221" spans="1:59" ht="15" customHeight="1" thickBot="1" x14ac:dyDescent="0.35">
      <c r="A221" s="809" t="s">
        <v>5145</v>
      </c>
      <c r="B221" s="57" t="s">
        <v>3815</v>
      </c>
      <c r="C221" s="94"/>
      <c r="D221" s="94"/>
      <c r="E221" s="94"/>
      <c r="F221" s="1"/>
    </row>
    <row r="222" spans="1:59" ht="15" customHeight="1" thickBot="1" x14ac:dyDescent="0.35">
      <c r="A222" s="94"/>
      <c r="B222" s="1014" t="s">
        <v>3980</v>
      </c>
      <c r="C222" s="1014"/>
      <c r="D222" s="1014"/>
      <c r="E222" s="94"/>
      <c r="F222" s="1"/>
      <c r="AA222" s="607"/>
      <c r="AB222" s="608"/>
      <c r="AC222" s="608"/>
      <c r="AD222" s="608"/>
      <c r="AE222" s="608"/>
      <c r="AF222" s="608"/>
      <c r="AO222" s="52">
        <f>IF(B222=B2757,E2757,IF(B222=B2758,E2758,0))</f>
        <v>0</v>
      </c>
      <c r="AQ222" s="953">
        <f>AQ220+AO222</f>
        <v>25</v>
      </c>
      <c r="AR222" s="952"/>
    </row>
    <row r="223" spans="1:59" ht="13" customHeight="1" thickBot="1" x14ac:dyDescent="0.35">
      <c r="A223" s="94"/>
      <c r="B223" s="94"/>
      <c r="C223" s="94"/>
      <c r="D223" s="94"/>
      <c r="E223" s="94"/>
      <c r="F223" s="1"/>
    </row>
    <row r="224" spans="1:59" ht="16.5" thickTop="1" thickBot="1" x14ac:dyDescent="0.35">
      <c r="A224" s="538" t="s">
        <v>118</v>
      </c>
      <c r="B224" s="56"/>
      <c r="C224" s="94"/>
      <c r="D224" s="94"/>
      <c r="E224" s="94"/>
      <c r="F224" s="1"/>
    </row>
    <row r="225" spans="1:54" ht="20" customHeight="1" thickTop="1" thickBot="1" x14ac:dyDescent="0.35">
      <c r="A225" s="94"/>
      <c r="B225" s="57" t="s">
        <v>119</v>
      </c>
      <c r="C225" s="57" t="s">
        <v>120</v>
      </c>
      <c r="D225" s="57" t="s">
        <v>121</v>
      </c>
      <c r="E225" s="94"/>
      <c r="F225" s="1"/>
      <c r="AK225" s="48">
        <f>SUM(AK226:AK235)</f>
        <v>2</v>
      </c>
      <c r="AM225" s="48">
        <f>SUM(AM226:AM235)</f>
        <v>2</v>
      </c>
      <c r="AO225" s="52">
        <f>IF(AND(AK225=0,AM225=0),0.0000001,AK225/AM225)</f>
        <v>1</v>
      </c>
      <c r="AQ225" s="953">
        <f>ROUND(AQ222+AO225,0)</f>
        <v>26</v>
      </c>
      <c r="AR225" s="952"/>
    </row>
    <row r="226" spans="1:54" s="63" customFormat="1" ht="30" customHeight="1" thickTop="1" thickBot="1" x14ac:dyDescent="0.35">
      <c r="A226" s="58">
        <f>IF(B226="","",1)</f>
        <v>1</v>
      </c>
      <c r="B226" s="59" t="s">
        <v>122</v>
      </c>
      <c r="C226" s="59" t="s">
        <v>123</v>
      </c>
      <c r="D226" s="60" t="s">
        <v>3608</v>
      </c>
      <c r="E226" s="58"/>
      <c r="F226" s="61"/>
      <c r="G226" s="62"/>
      <c r="H226" s="62"/>
      <c r="I226" s="62"/>
      <c r="J226" s="62"/>
      <c r="K226" s="62"/>
      <c r="L226" s="62"/>
      <c r="M226" s="62"/>
      <c r="N226" s="62"/>
      <c r="O226" s="62"/>
      <c r="P226" s="62"/>
      <c r="Q226" s="62"/>
      <c r="R226" s="62"/>
      <c r="S226" s="62"/>
      <c r="T226" s="62"/>
      <c r="U226" s="62"/>
      <c r="V226" s="62"/>
      <c r="W226" s="62"/>
      <c r="X226" s="62"/>
      <c r="Y226" s="62"/>
      <c r="Z226" s="62"/>
      <c r="AA226" s="597">
        <f>AA208+1</f>
        <v>3</v>
      </c>
      <c r="AB226" s="49" t="s">
        <v>3942</v>
      </c>
      <c r="AC226" s="49"/>
      <c r="AD226" s="49"/>
      <c r="AE226" s="49"/>
      <c r="AF226" s="49"/>
      <c r="AK226" s="609">
        <f t="shared" ref="AK226:AK235" si="10">IF(D226=D$2762,E$2762,IF(D226=D$2763,E$2763,IF(D226=D$2764,E$2764,IF(D226=D$2765,E$2765,IF(D226=D$2766,E$2766,IF(D226=D$2767,E$2767,IF(D226=D$2768,E$2768,IF(D226=D$2769,E$2769,IF(D226=D$2770,E$2770,IF(D226=D$2771,E$2771,IF(D226=D$2772,E$2772,0)))))))))))</f>
        <v>1</v>
      </c>
      <c r="AM226" s="63">
        <f>IF(AK226=0,0,1)</f>
        <v>1</v>
      </c>
      <c r="BB226" s="64"/>
    </row>
    <row r="227" spans="1:54" s="63" customFormat="1" ht="30" customHeight="1" thickTop="1" thickBot="1" x14ac:dyDescent="0.35">
      <c r="A227" s="58">
        <f>IF(B227="","",1+A226)</f>
        <v>2</v>
      </c>
      <c r="B227" s="59" t="s">
        <v>122</v>
      </c>
      <c r="C227" s="59" t="s">
        <v>123</v>
      </c>
      <c r="D227" s="60" t="s">
        <v>3608</v>
      </c>
      <c r="E227" s="58"/>
      <c r="F227" s="61"/>
      <c r="G227" s="62"/>
      <c r="H227" s="62"/>
      <c r="I227" s="62"/>
      <c r="J227" s="62"/>
      <c r="K227" s="62"/>
      <c r="L227" s="62"/>
      <c r="M227" s="62"/>
      <c r="N227" s="62"/>
      <c r="O227" s="62"/>
      <c r="P227" s="62"/>
      <c r="Q227" s="62"/>
      <c r="R227" s="62"/>
      <c r="S227" s="62"/>
      <c r="T227" s="62"/>
      <c r="U227" s="62"/>
      <c r="V227" s="62"/>
      <c r="W227" s="62"/>
      <c r="X227" s="62"/>
      <c r="Y227" s="62"/>
      <c r="Z227" s="62"/>
      <c r="AA227" s="597"/>
      <c r="AB227" s="49" t="s">
        <v>3942</v>
      </c>
      <c r="AC227" s="49"/>
      <c r="AD227" s="49"/>
      <c r="AE227" s="49"/>
      <c r="AF227" s="49"/>
      <c r="AK227" s="609">
        <f t="shared" si="10"/>
        <v>1</v>
      </c>
      <c r="AM227" s="63">
        <f t="shared" ref="AM227:AM235" si="11">IF(AK227=0,0,1)</f>
        <v>1</v>
      </c>
      <c r="BB227" s="64"/>
    </row>
    <row r="228" spans="1:54" s="63" customFormat="1" ht="30" customHeight="1" thickTop="1" thickBot="1" x14ac:dyDescent="0.35">
      <c r="A228" s="58" t="str">
        <f t="shared" ref="A228:A235" si="12">IF(B228="","",1+A227)</f>
        <v/>
      </c>
      <c r="B228" s="59"/>
      <c r="C228" s="59"/>
      <c r="D228" s="60"/>
      <c r="E228" s="58"/>
      <c r="F228" s="61"/>
      <c r="G228" s="62"/>
      <c r="H228" s="62"/>
      <c r="I228" s="62"/>
      <c r="J228" s="62"/>
      <c r="K228" s="62"/>
      <c r="L228" s="62"/>
      <c r="M228" s="62"/>
      <c r="N228" s="62"/>
      <c r="O228" s="62"/>
      <c r="P228" s="62"/>
      <c r="Q228" s="62"/>
      <c r="R228" s="62"/>
      <c r="S228" s="62"/>
      <c r="T228" s="62"/>
      <c r="U228" s="62"/>
      <c r="V228" s="62"/>
      <c r="W228" s="62"/>
      <c r="X228" s="62"/>
      <c r="Y228" s="62"/>
      <c r="Z228" s="62"/>
      <c r="AA228" s="597"/>
      <c r="AB228" s="49" t="s">
        <v>3942</v>
      </c>
      <c r="AC228" s="49"/>
      <c r="AD228" s="49"/>
      <c r="AE228" s="49"/>
      <c r="AF228" s="49"/>
      <c r="AK228" s="609">
        <f t="shared" si="10"/>
        <v>0</v>
      </c>
      <c r="AM228" s="63">
        <f t="shared" si="11"/>
        <v>0</v>
      </c>
      <c r="BB228" s="64"/>
    </row>
    <row r="229" spans="1:54" s="63" customFormat="1" ht="30" customHeight="1" thickTop="1" thickBot="1" x14ac:dyDescent="0.35">
      <c r="A229" s="58" t="str">
        <f t="shared" si="12"/>
        <v/>
      </c>
      <c r="B229" s="59"/>
      <c r="C229" s="59"/>
      <c r="D229" s="60"/>
      <c r="E229" s="58"/>
      <c r="F229" s="61"/>
      <c r="G229" s="62"/>
      <c r="H229" s="62"/>
      <c r="I229" s="62"/>
      <c r="J229" s="62"/>
      <c r="K229" s="62"/>
      <c r="L229" s="62"/>
      <c r="M229" s="62"/>
      <c r="N229" s="62"/>
      <c r="O229" s="62"/>
      <c r="P229" s="62"/>
      <c r="Q229" s="62"/>
      <c r="R229" s="62"/>
      <c r="S229" s="62"/>
      <c r="T229" s="62"/>
      <c r="U229" s="62"/>
      <c r="V229" s="62"/>
      <c r="W229" s="62"/>
      <c r="X229" s="62"/>
      <c r="Y229" s="62"/>
      <c r="Z229" s="62"/>
      <c r="AA229" s="597"/>
      <c r="AB229" s="49" t="s">
        <v>3942</v>
      </c>
      <c r="AC229" s="49"/>
      <c r="AD229" s="49"/>
      <c r="AE229" s="49"/>
      <c r="AF229" s="49"/>
      <c r="AK229" s="609">
        <f t="shared" si="10"/>
        <v>0</v>
      </c>
      <c r="AM229" s="63">
        <f t="shared" si="11"/>
        <v>0</v>
      </c>
      <c r="BB229" s="64"/>
    </row>
    <row r="230" spans="1:54" s="63" customFormat="1" ht="30" customHeight="1" thickTop="1" thickBot="1" x14ac:dyDescent="0.35">
      <c r="A230" s="58" t="str">
        <f t="shared" si="12"/>
        <v/>
      </c>
      <c r="B230" s="59"/>
      <c r="C230" s="59"/>
      <c r="D230" s="60"/>
      <c r="E230" s="58"/>
      <c r="F230" s="61"/>
      <c r="G230" s="62"/>
      <c r="H230" s="62"/>
      <c r="I230" s="62"/>
      <c r="J230" s="62"/>
      <c r="K230" s="62"/>
      <c r="L230" s="62"/>
      <c r="M230" s="62"/>
      <c r="N230" s="62"/>
      <c r="O230" s="62"/>
      <c r="P230" s="62"/>
      <c r="Q230" s="62"/>
      <c r="R230" s="62"/>
      <c r="S230" s="62"/>
      <c r="T230" s="62"/>
      <c r="U230" s="62"/>
      <c r="V230" s="62"/>
      <c r="W230" s="62"/>
      <c r="X230" s="62"/>
      <c r="Y230" s="62"/>
      <c r="Z230" s="62"/>
      <c r="AA230" s="597"/>
      <c r="AB230" s="49" t="s">
        <v>3942</v>
      </c>
      <c r="AC230" s="49"/>
      <c r="AD230" s="49"/>
      <c r="AE230" s="49"/>
      <c r="AF230" s="49"/>
      <c r="AK230" s="609">
        <f t="shared" si="10"/>
        <v>0</v>
      </c>
      <c r="AM230" s="63">
        <f t="shared" si="11"/>
        <v>0</v>
      </c>
      <c r="BB230" s="64"/>
    </row>
    <row r="231" spans="1:54" s="63" customFormat="1" ht="30" customHeight="1" thickTop="1" thickBot="1" x14ac:dyDescent="0.35">
      <c r="A231" s="58" t="str">
        <f t="shared" si="12"/>
        <v/>
      </c>
      <c r="B231" s="59"/>
      <c r="C231" s="59"/>
      <c r="D231" s="60"/>
      <c r="E231" s="58"/>
      <c r="F231" s="61"/>
      <c r="G231" s="62"/>
      <c r="H231" s="62"/>
      <c r="I231" s="62"/>
      <c r="J231" s="62"/>
      <c r="K231" s="62"/>
      <c r="L231" s="62"/>
      <c r="M231" s="62"/>
      <c r="N231" s="62"/>
      <c r="O231" s="62"/>
      <c r="P231" s="62"/>
      <c r="Q231" s="62"/>
      <c r="R231" s="62"/>
      <c r="S231" s="62"/>
      <c r="T231" s="62"/>
      <c r="U231" s="62"/>
      <c r="V231" s="62"/>
      <c r="W231" s="62"/>
      <c r="X231" s="62"/>
      <c r="Y231" s="62"/>
      <c r="Z231" s="62"/>
      <c r="AA231" s="597"/>
      <c r="AB231" s="49" t="s">
        <v>3942</v>
      </c>
      <c r="AC231" s="49"/>
      <c r="AD231" s="49"/>
      <c r="AE231" s="49"/>
      <c r="AF231" s="49"/>
      <c r="AK231" s="609">
        <f t="shared" si="10"/>
        <v>0</v>
      </c>
      <c r="AM231" s="63">
        <f t="shared" si="11"/>
        <v>0</v>
      </c>
      <c r="BB231" s="64"/>
    </row>
    <row r="232" spans="1:54" s="63" customFormat="1" ht="30" customHeight="1" thickTop="1" thickBot="1" x14ac:dyDescent="0.35">
      <c r="A232" s="58" t="str">
        <f t="shared" si="12"/>
        <v/>
      </c>
      <c r="B232" s="59"/>
      <c r="C232" s="59"/>
      <c r="D232" s="60"/>
      <c r="E232" s="58"/>
      <c r="F232" s="61"/>
      <c r="G232" s="62"/>
      <c r="H232" s="62"/>
      <c r="I232" s="62"/>
      <c r="J232" s="62"/>
      <c r="K232" s="62"/>
      <c r="L232" s="62"/>
      <c r="M232" s="62"/>
      <c r="N232" s="62"/>
      <c r="O232" s="62"/>
      <c r="P232" s="62"/>
      <c r="Q232" s="62"/>
      <c r="R232" s="62"/>
      <c r="S232" s="62"/>
      <c r="T232" s="62"/>
      <c r="U232" s="62"/>
      <c r="V232" s="62"/>
      <c r="W232" s="62"/>
      <c r="X232" s="62"/>
      <c r="Y232" s="62"/>
      <c r="Z232" s="62"/>
      <c r="AA232" s="597"/>
      <c r="AB232" s="49" t="s">
        <v>3942</v>
      </c>
      <c r="AC232" s="49"/>
      <c r="AD232" s="49"/>
      <c r="AE232" s="49"/>
      <c r="AF232" s="49"/>
      <c r="AK232" s="609">
        <f t="shared" si="10"/>
        <v>0</v>
      </c>
      <c r="AM232" s="63">
        <f t="shared" si="11"/>
        <v>0</v>
      </c>
      <c r="BB232" s="64"/>
    </row>
    <row r="233" spans="1:54" s="63" customFormat="1" ht="30" hidden="1" customHeight="1" thickTop="1" thickBot="1" x14ac:dyDescent="0.35">
      <c r="A233" s="58" t="str">
        <f t="shared" si="12"/>
        <v/>
      </c>
      <c r="B233" s="59"/>
      <c r="C233" s="59"/>
      <c r="D233" s="60"/>
      <c r="E233" s="58"/>
      <c r="F233" s="61"/>
      <c r="G233" s="62"/>
      <c r="H233" s="62"/>
      <c r="I233" s="62"/>
      <c r="J233" s="62"/>
      <c r="K233" s="62"/>
      <c r="L233" s="62"/>
      <c r="M233" s="62"/>
      <c r="N233" s="62"/>
      <c r="O233" s="62"/>
      <c r="P233" s="62"/>
      <c r="Q233" s="62"/>
      <c r="R233" s="62"/>
      <c r="S233" s="62"/>
      <c r="T233" s="62"/>
      <c r="U233" s="62"/>
      <c r="V233" s="62"/>
      <c r="W233" s="62"/>
      <c r="X233" s="62"/>
      <c r="Y233" s="62"/>
      <c r="Z233" s="62"/>
      <c r="AA233" s="597"/>
      <c r="AB233" s="49" t="s">
        <v>3942</v>
      </c>
      <c r="AC233" s="49"/>
      <c r="AD233" s="49"/>
      <c r="AE233" s="49"/>
      <c r="AF233" s="49"/>
      <c r="AK233" s="63">
        <f t="shared" si="10"/>
        <v>0</v>
      </c>
      <c r="AM233" s="63">
        <f t="shared" si="11"/>
        <v>0</v>
      </c>
      <c r="BB233" s="64"/>
    </row>
    <row r="234" spans="1:54" s="63" customFormat="1" ht="30" hidden="1" customHeight="1" thickTop="1" thickBot="1" x14ac:dyDescent="0.35">
      <c r="A234" s="58" t="str">
        <f t="shared" si="12"/>
        <v/>
      </c>
      <c r="B234" s="59"/>
      <c r="C234" s="59"/>
      <c r="D234" s="60"/>
      <c r="E234" s="58"/>
      <c r="F234" s="61"/>
      <c r="G234" s="62"/>
      <c r="H234" s="62"/>
      <c r="I234" s="62"/>
      <c r="J234" s="62"/>
      <c r="K234" s="62"/>
      <c r="L234" s="62"/>
      <c r="M234" s="62"/>
      <c r="N234" s="62"/>
      <c r="O234" s="62"/>
      <c r="P234" s="62"/>
      <c r="Q234" s="62"/>
      <c r="R234" s="62"/>
      <c r="S234" s="62"/>
      <c r="T234" s="62"/>
      <c r="U234" s="62"/>
      <c r="V234" s="62"/>
      <c r="W234" s="62"/>
      <c r="X234" s="62"/>
      <c r="Y234" s="62"/>
      <c r="Z234" s="62"/>
      <c r="AA234" s="597"/>
      <c r="AB234" s="49" t="s">
        <v>3942</v>
      </c>
      <c r="AC234" s="49"/>
      <c r="AD234" s="49"/>
      <c r="AE234" s="49"/>
      <c r="AF234" s="49"/>
      <c r="AK234" s="63">
        <f t="shared" si="10"/>
        <v>0</v>
      </c>
      <c r="AM234" s="63">
        <f t="shared" si="11"/>
        <v>0</v>
      </c>
      <c r="BB234" s="64"/>
    </row>
    <row r="235" spans="1:54" s="63" customFormat="1" ht="30" hidden="1" customHeight="1" thickTop="1" thickBot="1" x14ac:dyDescent="0.35">
      <c r="A235" s="58" t="str">
        <f t="shared" si="12"/>
        <v/>
      </c>
      <c r="B235" s="59"/>
      <c r="C235" s="59"/>
      <c r="D235" s="60"/>
      <c r="E235" s="58"/>
      <c r="F235" s="61"/>
      <c r="G235" s="62"/>
      <c r="H235" s="62"/>
      <c r="I235" s="62"/>
      <c r="J235" s="62"/>
      <c r="K235" s="62"/>
      <c r="L235" s="62"/>
      <c r="M235" s="62"/>
      <c r="N235" s="62"/>
      <c r="O235" s="62"/>
      <c r="P235" s="62"/>
      <c r="Q235" s="62"/>
      <c r="R235" s="62"/>
      <c r="S235" s="62"/>
      <c r="T235" s="62"/>
      <c r="U235" s="62"/>
      <c r="V235" s="62"/>
      <c r="W235" s="62"/>
      <c r="X235" s="62"/>
      <c r="Y235" s="62"/>
      <c r="Z235" s="62"/>
      <c r="AA235" s="597"/>
      <c r="AB235" s="49" t="s">
        <v>3942</v>
      </c>
      <c r="AC235" s="49"/>
      <c r="AD235" s="49"/>
      <c r="AE235" s="49"/>
      <c r="AF235" s="49"/>
      <c r="AK235" s="63">
        <f t="shared" si="10"/>
        <v>0</v>
      </c>
      <c r="AM235" s="63">
        <f t="shared" si="11"/>
        <v>0</v>
      </c>
      <c r="BB235" s="64"/>
    </row>
    <row r="236" spans="1:54" ht="10" customHeight="1" thickTop="1" x14ac:dyDescent="0.3">
      <c r="A236" s="94"/>
      <c r="B236" s="65"/>
      <c r="C236" s="45"/>
      <c r="D236" s="45"/>
      <c r="E236" s="94"/>
      <c r="F236" s="1"/>
    </row>
    <row r="237" spans="1:54" ht="15" customHeight="1" thickBot="1" x14ac:dyDescent="0.35">
      <c r="A237" s="94"/>
      <c r="B237" s="45" t="s">
        <v>3617</v>
      </c>
      <c r="C237" s="45"/>
      <c r="D237" s="45"/>
      <c r="E237" s="94"/>
      <c r="F237" s="1"/>
    </row>
    <row r="238" spans="1:54" ht="35" customHeight="1" thickTop="1" thickBot="1" x14ac:dyDescent="0.35">
      <c r="A238" s="94"/>
      <c r="B238" s="1006"/>
      <c r="C238" s="1008"/>
      <c r="D238" s="1007"/>
      <c r="E238" s="94"/>
      <c r="F238" s="1"/>
    </row>
    <row r="239" spans="1:54" ht="15" customHeight="1" thickTop="1" thickBot="1" x14ac:dyDescent="0.35">
      <c r="A239" s="94"/>
      <c r="B239" s="45" t="s">
        <v>3616</v>
      </c>
      <c r="C239" s="45"/>
      <c r="D239" s="45"/>
      <c r="E239" s="94"/>
      <c r="F239" s="1"/>
    </row>
    <row r="240" spans="1:54" ht="35" customHeight="1" thickTop="1" thickBot="1" x14ac:dyDescent="0.35">
      <c r="A240" s="94"/>
      <c r="B240" s="1006"/>
      <c r="C240" s="1008"/>
      <c r="D240" s="1007"/>
      <c r="E240" s="94"/>
      <c r="F240" s="1"/>
    </row>
    <row r="241" spans="1:58" ht="5" customHeight="1" thickTop="1" thickBot="1" x14ac:dyDescent="0.35">
      <c r="A241" s="55"/>
      <c r="B241" s="45"/>
      <c r="C241" s="45"/>
      <c r="D241" s="45"/>
      <c r="E241" s="94"/>
      <c r="F241" s="1"/>
    </row>
    <row r="242" spans="1:58" ht="16.5" thickTop="1" thickBot="1" x14ac:dyDescent="0.35">
      <c r="A242" s="538" t="s">
        <v>124</v>
      </c>
      <c r="B242" s="56"/>
      <c r="C242" s="45"/>
      <c r="D242" s="45"/>
      <c r="E242" s="94"/>
      <c r="F242" s="1"/>
      <c r="AI242" s="66">
        <f>SUM(AD243:AD256)</f>
        <v>0</v>
      </c>
    </row>
    <row r="243" spans="1:58" ht="15" thickTop="1" thickBot="1" x14ac:dyDescent="0.35">
      <c r="A243" s="94"/>
      <c r="B243" s="45" t="s">
        <v>125</v>
      </c>
      <c r="C243" s="45"/>
      <c r="D243" s="54" t="s">
        <v>126</v>
      </c>
      <c r="E243" s="94"/>
      <c r="F243" s="1"/>
      <c r="AA243" s="601">
        <f>AA226+1</f>
        <v>4</v>
      </c>
      <c r="AB243" s="522" t="s">
        <v>3965</v>
      </c>
      <c r="AC243" s="522"/>
      <c r="AD243" s="522"/>
      <c r="AE243" s="522"/>
      <c r="AF243" s="522"/>
      <c r="AI243" s="48">
        <f>IF(D243="no, I pled not guilty",1,0)</f>
        <v>1</v>
      </c>
      <c r="AO243" s="610"/>
      <c r="AQ243" s="953">
        <f>AQ225+AO243</f>
        <v>26</v>
      </c>
      <c r="AR243" s="952"/>
      <c r="AU243" s="48" t="s">
        <v>5407</v>
      </c>
      <c r="AV243" s="642" t="str">
        <f>IF(AND(D243=B2776,C244&lt;&gt;"",D246=B2780,D250=D2778),AZ243,"")</f>
        <v/>
      </c>
      <c r="AW243" s="245" t="s">
        <v>885</v>
      </c>
      <c r="AZ243" s="48" t="s">
        <v>5406</v>
      </c>
    </row>
    <row r="244" spans="1:58" ht="15.65" customHeight="1" thickTop="1" thickBot="1" x14ac:dyDescent="0.35">
      <c r="A244" s="809" t="s">
        <v>5145</v>
      </c>
      <c r="B244" s="45" t="str">
        <f>IF(D243=B2776,AG244,"")</f>
        <v/>
      </c>
      <c r="C244" s="1009"/>
      <c r="D244" s="1010"/>
      <c r="E244" s="94"/>
      <c r="F244" s="1"/>
      <c r="AD244" s="246" t="str">
        <f>IF(B244="","N/A","")</f>
        <v>N/A</v>
      </c>
      <c r="AG244" s="48" t="s">
        <v>3923</v>
      </c>
    </row>
    <row r="245" spans="1:58" ht="40" customHeight="1" thickTop="1" thickBot="1" x14ac:dyDescent="0.35">
      <c r="A245" s="94"/>
      <c r="B245" s="1006"/>
      <c r="C245" s="1008"/>
      <c r="D245" s="1007"/>
      <c r="E245" s="94"/>
      <c r="F245" s="1"/>
    </row>
    <row r="246" spans="1:58" ht="15" thickTop="1" thickBot="1" x14ac:dyDescent="0.35">
      <c r="A246" s="94"/>
      <c r="B246" s="45" t="str">
        <f>IF(NOT(D243=B2777),"Did you try withdrawing your plea? (If not, why not?)","")</f>
        <v/>
      </c>
      <c r="C246" s="45"/>
      <c r="D246" s="54"/>
      <c r="E246" s="94"/>
      <c r="F246" s="94"/>
      <c r="AA246" s="601">
        <f>AA243+1</f>
        <v>5</v>
      </c>
      <c r="AB246" s="522" t="s">
        <v>3966</v>
      </c>
      <c r="AC246" s="522"/>
      <c r="AD246" s="522"/>
      <c r="AE246" s="522"/>
      <c r="AF246" s="522"/>
      <c r="AO246" s="610"/>
      <c r="AQ246" s="953">
        <f>AQ243+AO246</f>
        <v>26</v>
      </c>
      <c r="AR246" s="952"/>
    </row>
    <row r="247" spans="1:58" ht="40" customHeight="1" thickTop="1" thickBot="1" x14ac:dyDescent="0.35">
      <c r="A247" s="94"/>
      <c r="B247" s="1006"/>
      <c r="C247" s="1008"/>
      <c r="D247" s="1007"/>
      <c r="E247" s="94"/>
      <c r="F247" s="1"/>
    </row>
    <row r="248" spans="1:58" ht="15" customHeight="1" thickTop="1" thickBot="1" x14ac:dyDescent="0.35">
      <c r="A248" s="94"/>
      <c r="B248" s="45" t="str">
        <f>IF(D243&lt;&gt;"","Offered a plea deal?","")</f>
        <v>Offered a plea deal?</v>
      </c>
      <c r="C248" s="45"/>
      <c r="D248" s="67" t="s">
        <v>127</v>
      </c>
      <c r="E248" s="94"/>
      <c r="F248" s="1"/>
      <c r="AA248" s="597">
        <f>AA246+1</f>
        <v>6</v>
      </c>
      <c r="AB248" s="49" t="s">
        <v>3939</v>
      </c>
      <c r="AC248" s="49"/>
      <c r="AD248" s="49"/>
      <c r="AE248" s="49"/>
      <c r="AF248" s="49"/>
      <c r="AI248" s="48">
        <f>IF(D248="never open to any plea deal",1,0)</f>
        <v>1</v>
      </c>
    </row>
    <row r="249" spans="1:58" ht="40" customHeight="1" thickTop="1" thickBot="1" x14ac:dyDescent="0.35">
      <c r="A249" s="94"/>
      <c r="B249" s="1006"/>
      <c r="C249" s="1008"/>
      <c r="D249" s="1007"/>
      <c r="E249" s="94"/>
      <c r="F249" s="1"/>
      <c r="AC249" s="23"/>
    </row>
    <row r="250" spans="1:58" ht="15" customHeight="1" thickTop="1" thickBot="1" x14ac:dyDescent="0.35">
      <c r="A250" s="94"/>
      <c r="B250" s="45" t="s">
        <v>128</v>
      </c>
      <c r="C250" s="94"/>
      <c r="D250" s="67" t="s">
        <v>1304</v>
      </c>
      <c r="E250" s="94"/>
      <c r="F250" s="1"/>
      <c r="AA250" s="597">
        <f>AA248+1</f>
        <v>7</v>
      </c>
      <c r="AB250" s="49" t="s">
        <v>3943</v>
      </c>
      <c r="AC250" s="49"/>
      <c r="AD250" s="49"/>
      <c r="AE250" s="49"/>
      <c r="AF250" s="49"/>
      <c r="AI250" s="48">
        <f>MAX(AJ250:AL250)</f>
        <v>1</v>
      </c>
      <c r="AJ250" s="48">
        <f>IF($D$250=D2775,1,0)</f>
        <v>0</v>
      </c>
      <c r="AK250" s="48">
        <f>IF($D$250=D2776,1,0)</f>
        <v>1</v>
      </c>
      <c r="AL250" s="48">
        <f>IF($D$250=D2777,1,0)</f>
        <v>0</v>
      </c>
      <c r="AO250" s="52">
        <f>IF(D250=D2775,E2775,IF(D250=D2776,E2776,IF(D250=D2777,E2777,IF(D250=D2778,E2778,IF(D250=D2779,E2779,IF(D250=D2780,E2780,0))))))</f>
        <v>0.9</v>
      </c>
      <c r="AQ250" s="953">
        <f>AQ246+AO250</f>
        <v>26.9</v>
      </c>
      <c r="AR250" s="952"/>
      <c r="AU250" s="48" t="s">
        <v>5408</v>
      </c>
      <c r="AV250" s="642" t="str">
        <f>IF(OR(D250=D2775,D250=D2776,D250=D2777),AZ250,"")</f>
        <v xml:space="preserve">Steph has always maintained his innocence. </v>
      </c>
      <c r="AZ250" s="843" t="str">
        <f>CONCATENATE(BB250,BD250,BE250,BF250)</f>
        <v xml:space="preserve">Steph has always maintained his innocence. </v>
      </c>
      <c r="BB250" s="14" t="str">
        <f>AN202</f>
        <v>Steph</v>
      </c>
      <c r="BD250" s="48" t="s">
        <v>5396</v>
      </c>
      <c r="BE250" s="48" t="str">
        <f>BJ206</f>
        <v>his</v>
      </c>
      <c r="BF250" s="48" t="s">
        <v>5375</v>
      </c>
    </row>
    <row r="251" spans="1:58" ht="10" customHeight="1" thickTop="1" x14ac:dyDescent="0.3">
      <c r="A251" s="94"/>
      <c r="B251" s="94"/>
      <c r="C251" s="94"/>
      <c r="D251" s="94"/>
      <c r="E251" s="94"/>
      <c r="F251" s="1"/>
      <c r="AC251" s="23"/>
    </row>
    <row r="252" spans="1:58" ht="15" customHeight="1" thickBot="1" x14ac:dyDescent="0.35">
      <c r="A252" s="94"/>
      <c r="B252" s="70" t="s">
        <v>132</v>
      </c>
      <c r="C252" s="70" t="s">
        <v>133</v>
      </c>
      <c r="D252" s="70" t="s">
        <v>134</v>
      </c>
      <c r="E252" s="94"/>
      <c r="F252" s="1"/>
      <c r="AC252" s="23"/>
    </row>
    <row r="253" spans="1:58" ht="15" customHeight="1" thickTop="1" thickBot="1" x14ac:dyDescent="0.4">
      <c r="A253" s="94"/>
      <c r="B253" s="71">
        <v>34157</v>
      </c>
      <c r="C253" s="71">
        <v>34157</v>
      </c>
      <c r="D253" s="71">
        <v>34159</v>
      </c>
      <c r="E253" s="94"/>
      <c r="F253" s="1"/>
      <c r="AC253" s="23"/>
      <c r="AI253" s="1015">
        <f>C253+3</f>
        <v>34160</v>
      </c>
      <c r="AJ253" s="968"/>
      <c r="AK253" s="968"/>
    </row>
    <row r="254" spans="1:58" ht="5" customHeight="1" thickTop="1" thickBot="1" x14ac:dyDescent="0.35">
      <c r="A254" s="94"/>
      <c r="B254" s="45"/>
      <c r="C254" s="45"/>
      <c r="D254" s="45"/>
      <c r="E254" s="94"/>
      <c r="F254" s="1"/>
      <c r="AC254" s="23"/>
    </row>
    <row r="255" spans="1:58" ht="16.5" thickTop="1" thickBot="1" x14ac:dyDescent="0.35">
      <c r="A255" s="538" t="s">
        <v>138</v>
      </c>
      <c r="B255" s="45"/>
      <c r="C255" s="45"/>
      <c r="D255" s="45"/>
      <c r="E255" s="94"/>
      <c r="F255" s="1"/>
    </row>
    <row r="256" spans="1:58" ht="15.65" customHeight="1" thickTop="1" thickBot="1" x14ac:dyDescent="0.35">
      <c r="A256" s="94"/>
      <c r="B256" s="45" t="s">
        <v>140</v>
      </c>
      <c r="C256" s="45"/>
      <c r="D256" s="67" t="s">
        <v>137</v>
      </c>
      <c r="E256" s="94"/>
      <c r="F256" s="1"/>
      <c r="AA256" s="597">
        <f>AA250+1</f>
        <v>8</v>
      </c>
      <c r="AB256" s="49" t="s">
        <v>3944</v>
      </c>
      <c r="AC256" s="49"/>
      <c r="AD256" s="49"/>
      <c r="AE256" s="49"/>
      <c r="AF256" s="49"/>
      <c r="AO256" s="52">
        <f>IF(D256=B2805,C2805,IF(D256=B2806,C2806,IF(D256=B2807,C2807,IF(D256=B2808,C2808,IF(D256=B2809,C2809,IF(D256=B2810,C2810,0))))))</f>
        <v>0.5</v>
      </c>
      <c r="AQ256" s="953">
        <f>AQ250+AO256</f>
        <v>27.4</v>
      </c>
      <c r="AR256" s="952"/>
    </row>
    <row r="257" spans="1:44" ht="40" customHeight="1" thickTop="1" thickBot="1" x14ac:dyDescent="0.35">
      <c r="A257" s="94"/>
      <c r="B257" s="1006"/>
      <c r="C257" s="1008"/>
      <c r="D257" s="1007"/>
      <c r="E257" s="94"/>
      <c r="F257" s="1"/>
    </row>
    <row r="258" spans="1:44" ht="15" thickTop="1" thickBot="1" x14ac:dyDescent="0.35">
      <c r="A258" s="94"/>
      <c r="B258" s="70" t="s">
        <v>141</v>
      </c>
      <c r="C258" s="70" t="str">
        <f>IF(A2804=1,C2803,"")</f>
        <v>Jury selection date</v>
      </c>
      <c r="D258" s="70" t="s">
        <v>142</v>
      </c>
      <c r="E258" s="94"/>
      <c r="F258" s="1"/>
    </row>
    <row r="259" spans="1:44" ht="15" thickTop="1" thickBot="1" x14ac:dyDescent="0.35">
      <c r="A259" s="94"/>
      <c r="B259" s="71">
        <v>34170</v>
      </c>
      <c r="C259" s="71">
        <v>34303</v>
      </c>
      <c r="D259" s="71">
        <v>34316</v>
      </c>
      <c r="E259" s="94"/>
      <c r="F259" s="1"/>
      <c r="AA259" s="597">
        <f>AA256+1</f>
        <v>9</v>
      </c>
      <c r="AB259" s="49" t="s">
        <v>3968</v>
      </c>
      <c r="AC259" s="49"/>
      <c r="AD259" s="49"/>
      <c r="AE259" s="49"/>
      <c r="AF259" s="49"/>
      <c r="AG259" s="918">
        <f>IF(D259="",0,YEAR(D259))</f>
        <v>1993</v>
      </c>
      <c r="AH259" s="918"/>
      <c r="AJ259" s="918">
        <v>1989</v>
      </c>
      <c r="AK259" s="918"/>
      <c r="AO259" s="52">
        <f>IF(AND(AG259&lt;&gt;0,AG259&lt;=AJ259),1,0)</f>
        <v>0</v>
      </c>
      <c r="AQ259" s="953">
        <f>AQ256+AO259</f>
        <v>27.4</v>
      </c>
      <c r="AR259" s="952"/>
    </row>
    <row r="260" spans="1:44" ht="15" thickTop="1" thickBot="1" x14ac:dyDescent="0.35">
      <c r="A260" s="94"/>
      <c r="B260" s="72" t="str">
        <f>IF(D256&lt;&gt;"","Anything else about the conviction you can add?","")</f>
        <v>Anything else about the conviction you can add?</v>
      </c>
      <c r="C260" s="45"/>
      <c r="D260" s="45"/>
      <c r="E260" s="94"/>
      <c r="F260" s="1"/>
    </row>
    <row r="261" spans="1:44" ht="40" customHeight="1" thickTop="1" thickBot="1" x14ac:dyDescent="0.35">
      <c r="A261" s="94"/>
      <c r="B261" s="1006" t="s">
        <v>5147</v>
      </c>
      <c r="C261" s="1008"/>
      <c r="D261" s="1007"/>
      <c r="E261" s="94"/>
      <c r="F261" s="1"/>
    </row>
    <row r="262" spans="1:44" ht="5" customHeight="1" thickTop="1" thickBot="1" x14ac:dyDescent="0.35">
      <c r="A262" s="94"/>
      <c r="B262" s="94"/>
      <c r="C262" s="94"/>
      <c r="D262" s="94"/>
      <c r="E262" s="94"/>
      <c r="F262" s="1"/>
    </row>
    <row r="263" spans="1:44" ht="25" customHeight="1" thickTop="1" thickBot="1" x14ac:dyDescent="0.35">
      <c r="A263" s="94"/>
      <c r="B263" s="537" t="s">
        <v>144</v>
      </c>
      <c r="C263" s="94"/>
      <c r="D263" s="94"/>
      <c r="E263" s="94"/>
      <c r="F263" s="1"/>
    </row>
    <row r="264" spans="1:44" ht="15" thickTop="1" x14ac:dyDescent="0.35">
      <c r="A264" s="94"/>
      <c r="B264" s="73" t="s">
        <v>145</v>
      </c>
      <c r="C264" s="73" t="str">
        <f>IF(B265="Alaska","Borough:",IF(B265="Louisiana","Parish:","County:"))</f>
        <v>County:</v>
      </c>
      <c r="D264" s="73" t="s">
        <v>146</v>
      </c>
      <c r="E264" s="94"/>
      <c r="F264" s="1"/>
      <c r="AC264" s="74"/>
      <c r="AD264" s="74"/>
      <c r="AE264" s="74"/>
      <c r="AF264" s="74"/>
      <c r="AG264" s="74"/>
      <c r="AI264"/>
      <c r="AJ264"/>
      <c r="AK264"/>
    </row>
    <row r="265" spans="1:44" ht="14.5" x14ac:dyDescent="0.35">
      <c r="A265" s="94"/>
      <c r="B265" s="810" t="s">
        <v>147</v>
      </c>
      <c r="C265" s="811" t="s">
        <v>148</v>
      </c>
      <c r="D265" s="812" t="s">
        <v>149</v>
      </c>
      <c r="E265" s="94"/>
      <c r="F265" s="1"/>
      <c r="AD265" s="1018">
        <f ca="1">IF(AND($B$265=B3281,$D$331="yes"),BB3281,IF(AND($B$265=B3282,$D$331="yes"),BB3282,IF(AND($B$265=B3283,$D$331="yes"),BB3283,IF(AND($B$265=B3284,$D$331="yes"),BB3284,IF(AND($B$265=B3285,$D$331="yes"),BB3285,IF(AND($B$265=B3286,$D$331="yes"),BB3286,IF(AND($B$265=B3287,$D$331="yes"),BB3287,IF(AND($B$265=B3288,$D$331="yes"),BB3288,IF(AND($B$265=B3289,$D$331="yes"),BB3289,IF(AND($B$265=B3290,$D$331="yes"),BB3290,IF(AND($B$265=B3291,$D$331="yes"),BB3291,IF(AND($B$265=B3292,$D$331="yes"),BB3292,IF(AND($B$265=B3293,$D$331="yes"),BB3293,IF(AND($B$265=B3294,$D$331="yes"),BB3294,IF(AND($B$265=B3295,$D$331="yes"),BB3295,IF(AND($B$265=B3296,$D$331="yes"),BB3296,IF(AND($B$265=B3297,$D$331="yes"),BB3297,IF(AND($B$265=B3298,$D$331="yes"),BB3298,IF(AND($B$265=B3299,$D$331="yes"),BB3299,IF(AND($B$265=B3300,$D$331="yes"),BB3300,IF(AND($B$265=B3301,$D$331="yes"),BB3301,IF(AND($B$265=B3302,$D$331="yes"),BB3302,IF(AND($B$265=B3303,$D$331="yes"),BB3303,IF(AND($B$265=B3304,$D$331="yes"),BB3304,IF(AND($B$265=B3305,$D$331="yes"),BB3305,IF(AND($B$265=B3306,$D$331="yes"),BB3306,IF(AND($B$265=B3307,$D$331="yes"),BB3307,IF(AND($B$265=B3308,$D$331="yes"),BB3308,IF(AND($B$265=B3309,$D$331="yes"),BB3309,IF(AND($B$265=B3310,$D$331="yes"),BB3310,IF(AND($B$265=B3311,$D$331="yes"),BB3311,IF(AND($B$265=B3312,$D$331="yes"),BB3312,IF(AND($B$265=B3313,$D$331="yes"),BB3313,IF(AND($B$265=B3314,$D$331="yes"),BB3314,IF(AND($B$265=B3315,$D$331="yes"),BB3315,IF(AND($B$265=B3316,$D$331="yes"),BB3316,IF(AND($B$265=B3317,$D$331="yes"),BB3317,IF(AND($B$265=B3318,$D$331="yes"),BB3318,IF(AND($B$265=B3319,$D$331="yes"),BB3319,IF(AND($B$265=B3320,$D$331="yes"),BB3320,IF(AND($B$265=B3321,$D$331="yes"),BB3321,IF(AND($B$265=B3322,$D$331="yes"),BB3322,IF(AND($B$265=B3323,$D$331="yes"),BB3323,IF(AND($B$265=B3324,$D$331="yes"),BB3324,IF(AND($B$265=B3325,$D$331="yes"),BB3325,IF(AND($B$265=B3326,$D$331="yes"),BB3326,IF(AND($B$265=B3327,$D$331="yes"),BB3327,IF(AND($B$265=B3328,$D$331="yes"),BB3328,IF(AND($B$265=B3329,$D$331="yes"),BB3329,IF(AND($B$265=B3330,$D$331="yes"),BB3330,IF(AND($B$265=B3331,$D$331="yes"),BB3331,IF(AND($B$265=B3332,$D$331="yes"),BB3332,0))))))))))))))))))))))))))))))))))))))))))))))))))))</f>
        <v>600000</v>
      </c>
      <c r="AE265" s="1018"/>
      <c r="AF265" s="1018"/>
      <c r="AG265" s="1018"/>
      <c r="AH265" s="1018"/>
      <c r="AJ265"/>
      <c r="AK265"/>
    </row>
    <row r="266" spans="1:44" ht="10" customHeight="1" x14ac:dyDescent="0.35">
      <c r="A266" s="94"/>
      <c r="B266" s="94"/>
      <c r="C266" s="94"/>
      <c r="D266" s="94"/>
      <c r="E266" s="94"/>
      <c r="F266" s="1"/>
      <c r="AC266" s="74"/>
      <c r="AD266" s="74"/>
      <c r="AE266" s="74"/>
      <c r="AF266" s="74"/>
      <c r="AG266" s="74"/>
      <c r="AI266"/>
      <c r="AJ266"/>
      <c r="AK266"/>
    </row>
    <row r="267" spans="1:44" x14ac:dyDescent="0.3">
      <c r="A267" s="94"/>
      <c r="B267" s="87" t="s">
        <v>150</v>
      </c>
      <c r="C267" s="94"/>
      <c r="D267" s="94"/>
      <c r="E267" s="94"/>
      <c r="F267" s="1"/>
    </row>
    <row r="268" spans="1:44" ht="14.5" thickBot="1" x14ac:dyDescent="0.35">
      <c r="A268" s="94"/>
      <c r="B268" s="45" t="s">
        <v>153</v>
      </c>
      <c r="C268" s="76" t="s">
        <v>154</v>
      </c>
      <c r="D268" s="76" t="s">
        <v>155</v>
      </c>
      <c r="E268" s="94"/>
      <c r="F268" s="1"/>
    </row>
    <row r="269" spans="1:44" ht="15" thickTop="1" thickBot="1" x14ac:dyDescent="0.35">
      <c r="A269" s="94"/>
      <c r="B269" s="47" t="s">
        <v>5154</v>
      </c>
      <c r="C269" s="47" t="s">
        <v>5150</v>
      </c>
      <c r="D269" s="47" t="s">
        <v>5149</v>
      </c>
      <c r="E269" s="94"/>
      <c r="F269" s="1"/>
    </row>
    <row r="270" spans="1:44" ht="14.5" thickTop="1" x14ac:dyDescent="0.3">
      <c r="A270" s="94"/>
      <c r="B270" s="87" t="s">
        <v>159</v>
      </c>
      <c r="C270" s="45"/>
      <c r="D270" s="45"/>
      <c r="E270" s="94"/>
      <c r="F270" s="1"/>
    </row>
    <row r="271" spans="1:44" ht="14.5" thickBot="1" x14ac:dyDescent="0.35">
      <c r="A271" s="94"/>
      <c r="B271" s="45" t="s">
        <v>153</v>
      </c>
      <c r="C271" s="76" t="s">
        <v>1400</v>
      </c>
      <c r="D271" s="76" t="s">
        <v>160</v>
      </c>
      <c r="E271" s="94"/>
      <c r="F271" s="1"/>
    </row>
    <row r="272" spans="1:44" ht="15" customHeight="1" thickTop="1" thickBot="1" x14ac:dyDescent="0.35">
      <c r="A272" s="94"/>
      <c r="B272" s="47" t="s">
        <v>5151</v>
      </c>
      <c r="C272" s="47" t="s">
        <v>5153</v>
      </c>
      <c r="D272" s="47" t="s">
        <v>5152</v>
      </c>
      <c r="E272" s="94"/>
      <c r="F272" s="1"/>
    </row>
    <row r="273" spans="1:61" ht="5" customHeight="1" thickTop="1" thickBot="1" x14ac:dyDescent="0.35">
      <c r="A273" s="94"/>
      <c r="B273" s="94"/>
      <c r="C273" s="94"/>
      <c r="D273" s="94"/>
      <c r="E273" s="94"/>
      <c r="F273" s="1"/>
    </row>
    <row r="274" spans="1:61" ht="15.65" customHeight="1" thickTop="1" thickBot="1" x14ac:dyDescent="0.35">
      <c r="A274" s="94"/>
      <c r="B274" s="45" t="s">
        <v>162</v>
      </c>
      <c r="C274" s="54" t="s">
        <v>5148</v>
      </c>
      <c r="D274" s="47" t="s">
        <v>3613</v>
      </c>
      <c r="E274" s="94"/>
      <c r="F274" s="1"/>
    </row>
    <row r="275" spans="1:61" ht="15" thickTop="1" thickBot="1" x14ac:dyDescent="0.35">
      <c r="A275" s="94"/>
      <c r="B275" s="45" t="s">
        <v>163</v>
      </c>
      <c r="C275" s="54" t="s">
        <v>164</v>
      </c>
      <c r="D275" s="47" t="s">
        <v>165</v>
      </c>
      <c r="E275" s="94"/>
      <c r="F275" s="1"/>
      <c r="BI275" s="386">
        <f>AX1902</f>
        <v>86</v>
      </c>
    </row>
    <row r="276" spans="1:61" ht="15" thickTop="1" thickBot="1" x14ac:dyDescent="0.35">
      <c r="A276" s="94"/>
      <c r="B276" s="94"/>
      <c r="C276" s="94"/>
      <c r="D276" s="94"/>
      <c r="E276" s="94"/>
      <c r="F276" s="1"/>
    </row>
    <row r="277" spans="1:61" ht="15" thickTop="1" thickBot="1" x14ac:dyDescent="0.35">
      <c r="A277" s="94"/>
      <c r="B277" s="45" t="s">
        <v>171</v>
      </c>
      <c r="C277" s="94"/>
      <c r="D277" s="77">
        <v>1</v>
      </c>
      <c r="E277" s="94"/>
      <c r="F277" s="1"/>
    </row>
    <row r="278" spans="1:61" ht="15" thickTop="1" thickBot="1" x14ac:dyDescent="0.35">
      <c r="A278" s="94"/>
      <c r="B278" s="1019" t="str">
        <f>IF(D277&gt;0,"Codefendant(s) information","")</f>
        <v>Codefendant(s) information</v>
      </c>
      <c r="C278" s="1019"/>
      <c r="D278" s="1019"/>
      <c r="E278" s="94"/>
      <c r="F278" s="1"/>
    </row>
    <row r="279" spans="1:61" ht="15" thickTop="1" thickBot="1" x14ac:dyDescent="0.35">
      <c r="A279" s="94">
        <f>IF(D$277&gt;0,1,"")</f>
        <v>1</v>
      </c>
      <c r="B279" s="78" t="str">
        <f>IF(D$277&gt;0,"NAME ","")</f>
        <v xml:space="preserve">NAME </v>
      </c>
      <c r="C279" s="78" t="str">
        <f>IF($D$277&gt;0,"charged as?","")</f>
        <v>charged as?</v>
      </c>
      <c r="D279" s="78" t="str">
        <f>IF($D$277&gt;0,"how adjudicated?","")</f>
        <v>how adjudicated?</v>
      </c>
      <c r="E279" s="94"/>
      <c r="F279" s="1"/>
    </row>
    <row r="280" spans="1:61" ht="15" thickTop="1" thickBot="1" x14ac:dyDescent="0.35">
      <c r="A280" s="94"/>
      <c r="B280" s="78" t="str">
        <f>IF($D$277&gt;0,"relation?","")</f>
        <v>relation?</v>
      </c>
      <c r="C280" s="78" t="str">
        <f>IF($D$277&gt;0,"convicted as?","")</f>
        <v>convicted as?</v>
      </c>
      <c r="D280" s="78" t="str">
        <f>IF($D$277&gt;0,"verdict?","")</f>
        <v>verdict?</v>
      </c>
      <c r="E280" s="94"/>
      <c r="F280" s="1"/>
    </row>
    <row r="281" spans="1:61" ht="15" thickTop="1" thickBot="1" x14ac:dyDescent="0.35">
      <c r="A281" s="94"/>
      <c r="B281" s="78" t="str">
        <f>IF($D$277&gt;0,"know location?","")</f>
        <v>know location?</v>
      </c>
      <c r="C281" s="78" t="str">
        <f>IF($D$277&gt;0,"claims to know real culprit?","")</f>
        <v>claims to know real culprit?</v>
      </c>
      <c r="D281" s="78" t="str">
        <f>IF($D$277&gt;0,"also claims innocence?","")</f>
        <v>also claims innocence?</v>
      </c>
      <c r="E281" s="94"/>
      <c r="F281" s="1"/>
    </row>
    <row r="282" spans="1:61" ht="5" customHeight="1" thickTop="1" thickBot="1" x14ac:dyDescent="0.35">
      <c r="A282" s="94"/>
      <c r="B282" s="94"/>
      <c r="C282" s="94"/>
      <c r="D282" s="94"/>
      <c r="E282" s="94"/>
      <c r="F282" s="1"/>
    </row>
    <row r="283" spans="1:61" ht="15" thickTop="1" thickBot="1" x14ac:dyDescent="0.35">
      <c r="A283" s="94" t="str">
        <f>IF(D$277&gt;1,2,"")</f>
        <v/>
      </c>
      <c r="B283" s="78" t="str">
        <f>IF(D$277&gt;1,"NAME ","")</f>
        <v/>
      </c>
      <c r="C283" s="78" t="str">
        <f>IF($D$277&gt;1,"charged as?","")</f>
        <v/>
      </c>
      <c r="D283" s="78" t="str">
        <f>IF($D$277&gt;1,"how adjudicated?","")</f>
        <v/>
      </c>
      <c r="E283" s="94"/>
      <c r="F283" s="1"/>
    </row>
    <row r="284" spans="1:61" ht="15" thickTop="1" thickBot="1" x14ac:dyDescent="0.35">
      <c r="A284" s="94"/>
      <c r="B284" s="78" t="str">
        <f>IF($D$277&gt;1,"relation?","")</f>
        <v/>
      </c>
      <c r="C284" s="78" t="str">
        <f>IF($D$277&gt;1,"convicted as?","")</f>
        <v/>
      </c>
      <c r="D284" s="78" t="str">
        <f>IF($D$277&gt;1,"verdict?","")</f>
        <v/>
      </c>
      <c r="E284" s="94"/>
      <c r="F284" s="1"/>
    </row>
    <row r="285" spans="1:61" ht="15" thickTop="1" thickBot="1" x14ac:dyDescent="0.35">
      <c r="A285" s="94"/>
      <c r="B285" s="78" t="str">
        <f>IF($D$277&gt;1,"know location?","")</f>
        <v/>
      </c>
      <c r="C285" s="78" t="str">
        <f>IF($D$277&gt;1,"claims to know real culprit?","")</f>
        <v/>
      </c>
      <c r="D285" s="78" t="str">
        <f>IF($D$277&gt;1,"also claims innocence?","")</f>
        <v/>
      </c>
      <c r="E285" s="94"/>
      <c r="F285" s="1"/>
    </row>
    <row r="286" spans="1:61" ht="5" customHeight="1" thickTop="1" thickBot="1" x14ac:dyDescent="0.35">
      <c r="A286" s="94"/>
      <c r="B286" s="94"/>
      <c r="C286" s="94"/>
      <c r="D286" s="94"/>
      <c r="E286" s="94"/>
      <c r="F286" s="1"/>
    </row>
    <row r="287" spans="1:61" ht="15" thickTop="1" thickBot="1" x14ac:dyDescent="0.35">
      <c r="A287" s="94" t="str">
        <f>IF(D$277&gt;2,3,"")</f>
        <v/>
      </c>
      <c r="B287" s="78" t="str">
        <f>IF(D$277&gt;2,"NAME ","")</f>
        <v/>
      </c>
      <c r="C287" s="78" t="str">
        <f>IF($D$277&gt;2,"charged as?","")</f>
        <v/>
      </c>
      <c r="D287" s="78" t="str">
        <f>IF($D$277&gt;2,"how adjudicated?","")</f>
        <v/>
      </c>
      <c r="E287" s="94"/>
      <c r="F287" s="1"/>
    </row>
    <row r="288" spans="1:61" ht="15" thickTop="1" thickBot="1" x14ac:dyDescent="0.35">
      <c r="A288" s="94"/>
      <c r="B288" s="78" t="str">
        <f>IF($D$277&gt;2,"relation?","")</f>
        <v/>
      </c>
      <c r="C288" s="78" t="str">
        <f>IF($D$277&gt;2,"convicted as?","")</f>
        <v/>
      </c>
      <c r="D288" s="78" t="str">
        <f>IF($D$277&gt;2,"verdict?","")</f>
        <v/>
      </c>
      <c r="E288" s="94"/>
      <c r="F288" s="1"/>
    </row>
    <row r="289" spans="1:6" ht="15" thickTop="1" thickBot="1" x14ac:dyDescent="0.35">
      <c r="A289" s="94"/>
      <c r="B289" s="78" t="str">
        <f>IF($D$277&gt;2,"know location?","")</f>
        <v/>
      </c>
      <c r="C289" s="78" t="str">
        <f>IF($D$277&gt;2,"claims to know real culprit?","")</f>
        <v/>
      </c>
      <c r="D289" s="78" t="str">
        <f>IF($D$277&gt;2,"also claims innocence?","")</f>
        <v/>
      </c>
      <c r="E289" s="94"/>
      <c r="F289" s="1"/>
    </row>
    <row r="290" spans="1:6" ht="5" customHeight="1" thickTop="1" thickBot="1" x14ac:dyDescent="0.35">
      <c r="A290" s="94"/>
      <c r="B290" s="94"/>
      <c r="C290" s="94"/>
      <c r="D290" s="94"/>
      <c r="E290" s="94"/>
      <c r="F290" s="1"/>
    </row>
    <row r="291" spans="1:6" ht="15" thickTop="1" thickBot="1" x14ac:dyDescent="0.35">
      <c r="A291" s="94" t="str">
        <f>IF(D$277&gt;3,4,"")</f>
        <v/>
      </c>
      <c r="B291" s="78" t="str">
        <f>IF(D$277&gt;3,"NAME ","")</f>
        <v/>
      </c>
      <c r="C291" s="78" t="str">
        <f>IF($D$277&gt;3,"charged as?","")</f>
        <v/>
      </c>
      <c r="D291" s="78" t="str">
        <f>IF($D$277&gt;3,"how adjudicated?","")</f>
        <v/>
      </c>
      <c r="E291" s="94"/>
      <c r="F291" s="1"/>
    </row>
    <row r="292" spans="1:6" ht="15" thickTop="1" thickBot="1" x14ac:dyDescent="0.35">
      <c r="A292" s="94"/>
      <c r="B292" s="78" t="str">
        <f>IF($D$277&gt;3,"relation?","")</f>
        <v/>
      </c>
      <c r="C292" s="78" t="str">
        <f>IF($D$277&gt;3,"convicted as?","")</f>
        <v/>
      </c>
      <c r="D292" s="78" t="str">
        <f>IF($D$277&gt;3,"verdict?","")</f>
        <v/>
      </c>
      <c r="E292" s="94"/>
      <c r="F292" s="1"/>
    </row>
    <row r="293" spans="1:6" ht="15" thickTop="1" thickBot="1" x14ac:dyDescent="0.35">
      <c r="A293" s="94"/>
      <c r="B293" s="78" t="str">
        <f>IF($D$277&gt;3,"know location?","")</f>
        <v/>
      </c>
      <c r="C293" s="78" t="str">
        <f>IF($D$277&gt;3,"claims to know real culprit?","")</f>
        <v/>
      </c>
      <c r="D293" s="78" t="str">
        <f>IF($D$277&gt;3,"also claims innocence?","")</f>
        <v/>
      </c>
      <c r="E293" s="94"/>
      <c r="F293" s="1"/>
    </row>
    <row r="294" spans="1:6" ht="5" customHeight="1" thickTop="1" thickBot="1" x14ac:dyDescent="0.35">
      <c r="A294" s="94"/>
      <c r="B294" s="94"/>
      <c r="C294" s="94"/>
      <c r="D294" s="94"/>
      <c r="E294" s="94"/>
      <c r="F294" s="1"/>
    </row>
    <row r="295" spans="1:6" ht="15" thickTop="1" thickBot="1" x14ac:dyDescent="0.35">
      <c r="A295" s="94" t="str">
        <f>IF(D$277&gt;4,5,"")</f>
        <v/>
      </c>
      <c r="B295" s="78" t="str">
        <f>IF(D$277&gt;4,"NAME ","")</f>
        <v/>
      </c>
      <c r="C295" s="78" t="str">
        <f>IF($D$277&gt;4,"charged as?","")</f>
        <v/>
      </c>
      <c r="D295" s="78" t="str">
        <f>IF($D$277&gt;4,"how adjudicated?","")</f>
        <v/>
      </c>
      <c r="E295" s="94"/>
      <c r="F295" s="1"/>
    </row>
    <row r="296" spans="1:6" ht="15" thickTop="1" thickBot="1" x14ac:dyDescent="0.35">
      <c r="A296" s="94"/>
      <c r="B296" s="78" t="str">
        <f>IF($D$277&gt;4,"relation?","")</f>
        <v/>
      </c>
      <c r="C296" s="78" t="str">
        <f>IF($D$277&gt;4,"convicted as?","")</f>
        <v/>
      </c>
      <c r="D296" s="78" t="str">
        <f>IF($D$277&gt;4,"verdict?","")</f>
        <v/>
      </c>
      <c r="E296" s="94"/>
      <c r="F296" s="1"/>
    </row>
    <row r="297" spans="1:6" ht="15" thickTop="1" thickBot="1" x14ac:dyDescent="0.35">
      <c r="A297" s="94"/>
      <c r="B297" s="78" t="str">
        <f>IF($D$277&gt;4,"know location?","")</f>
        <v/>
      </c>
      <c r="C297" s="78" t="str">
        <f>IF($D$277&gt;4,"claims to know real culprit?","")</f>
        <v/>
      </c>
      <c r="D297" s="78" t="str">
        <f>IF($D$277&gt;4,"also claims innocence?","")</f>
        <v/>
      </c>
      <c r="E297" s="94"/>
      <c r="F297" s="1"/>
    </row>
    <row r="298" spans="1:6" ht="5" customHeight="1" thickTop="1" thickBot="1" x14ac:dyDescent="0.35">
      <c r="A298" s="94"/>
      <c r="B298" s="94"/>
      <c r="C298" s="94"/>
      <c r="D298" s="94"/>
      <c r="E298" s="94"/>
      <c r="F298" s="1"/>
    </row>
    <row r="299" spans="1:6" ht="15" thickTop="1" thickBot="1" x14ac:dyDescent="0.35">
      <c r="A299" s="94" t="str">
        <f>IF(D$277&gt;5,6,"")</f>
        <v/>
      </c>
      <c r="B299" s="78" t="str">
        <f>IF(D$277&gt;5,"NAME ","")</f>
        <v/>
      </c>
      <c r="C299" s="78" t="str">
        <f>IF($D$277&gt;5,"charged as?","")</f>
        <v/>
      </c>
      <c r="D299" s="78" t="str">
        <f>IF($D$277&gt;5,"how adjudicated?","")</f>
        <v/>
      </c>
      <c r="E299" s="94"/>
      <c r="F299" s="1"/>
    </row>
    <row r="300" spans="1:6" ht="15" thickTop="1" thickBot="1" x14ac:dyDescent="0.35">
      <c r="A300" s="94"/>
      <c r="B300" s="78" t="str">
        <f>IF($D$277&gt;5,"relation?","")</f>
        <v/>
      </c>
      <c r="C300" s="78" t="str">
        <f>IF($D$277&gt;5,"convicted as?","")</f>
        <v/>
      </c>
      <c r="D300" s="78" t="str">
        <f>IF($D$277&gt;5,"verdict?","")</f>
        <v/>
      </c>
      <c r="E300" s="94"/>
      <c r="F300" s="1"/>
    </row>
    <row r="301" spans="1:6" ht="15" thickTop="1" thickBot="1" x14ac:dyDescent="0.35">
      <c r="A301" s="94"/>
      <c r="B301" s="78" t="str">
        <f>IF($D$277&gt;5,"know location?","")</f>
        <v/>
      </c>
      <c r="C301" s="78" t="str">
        <f>IF($D$277&gt;5,"claims to know real culprit?","")</f>
        <v/>
      </c>
      <c r="D301" s="78" t="str">
        <f>IF($D$277&gt;5,"also claims innocence?","")</f>
        <v/>
      </c>
      <c r="E301" s="94"/>
      <c r="F301" s="1"/>
    </row>
    <row r="302" spans="1:6" ht="5" customHeight="1" thickTop="1" x14ac:dyDescent="0.3">
      <c r="A302" s="94"/>
      <c r="B302" s="94"/>
      <c r="C302" s="94"/>
      <c r="D302" s="94"/>
      <c r="E302" s="94"/>
      <c r="F302" s="1"/>
    </row>
    <row r="303" spans="1:6" ht="15" customHeight="1" thickBot="1" x14ac:dyDescent="0.35">
      <c r="A303" s="94"/>
      <c r="B303" s="45" t="s">
        <v>183</v>
      </c>
      <c r="C303" s="94"/>
      <c r="D303" s="45"/>
      <c r="E303" s="94"/>
      <c r="F303" s="1"/>
    </row>
    <row r="304" spans="1:6" ht="60" customHeight="1" thickTop="1" thickBot="1" x14ac:dyDescent="0.35">
      <c r="A304" s="94"/>
      <c r="B304" s="957" t="s">
        <v>184</v>
      </c>
      <c r="C304" s="958"/>
      <c r="D304" s="959"/>
      <c r="E304" s="94"/>
      <c r="F304" s="1"/>
    </row>
    <row r="305" spans="1:60" ht="14.5" thickTop="1" x14ac:dyDescent="0.3">
      <c r="A305" s="94"/>
      <c r="B305" s="45"/>
      <c r="C305" s="45"/>
      <c r="D305" s="45"/>
      <c r="E305" s="45"/>
      <c r="F305" s="1"/>
    </row>
    <row r="306" spans="1:60" ht="15" thickBot="1" x14ac:dyDescent="0.4">
      <c r="A306" s="94"/>
      <c r="B306" s="70" t="s">
        <v>187</v>
      </c>
      <c r="C306" s="70" t="s">
        <v>188</v>
      </c>
      <c r="D306" s="70" t="s">
        <v>189</v>
      </c>
      <c r="E306" s="94"/>
      <c r="F306" s="1"/>
      <c r="AC306" s="69"/>
    </row>
    <row r="307" spans="1:60" ht="15.5" thickTop="1" thickBot="1" x14ac:dyDescent="0.4">
      <c r="A307" s="94"/>
      <c r="B307" s="71">
        <v>34367</v>
      </c>
      <c r="C307" s="71">
        <v>34157</v>
      </c>
      <c r="D307" s="77" t="s">
        <v>190</v>
      </c>
      <c r="E307" s="94"/>
      <c r="F307" s="1"/>
      <c r="AC307" s="69"/>
    </row>
    <row r="308" spans="1:60" ht="14.5" thickTop="1" x14ac:dyDescent="0.3">
      <c r="A308" s="94"/>
      <c r="B308" s="45"/>
      <c r="C308" s="45"/>
      <c r="D308" s="45"/>
      <c r="E308" s="94"/>
      <c r="F308" s="1"/>
    </row>
    <row r="309" spans="1:60" ht="14.5" thickBot="1" x14ac:dyDescent="0.35">
      <c r="A309" s="94"/>
      <c r="B309" s="70" t="s">
        <v>194</v>
      </c>
      <c r="C309" s="70" t="s">
        <v>195</v>
      </c>
      <c r="D309" s="70" t="s">
        <v>196</v>
      </c>
      <c r="E309" s="94"/>
      <c r="F309" s="1"/>
    </row>
    <row r="310" spans="1:60" ht="15" thickTop="1" thickBot="1" x14ac:dyDescent="0.35">
      <c r="A310" s="94"/>
      <c r="B310" s="71">
        <v>35060</v>
      </c>
      <c r="C310" s="71">
        <v>35803</v>
      </c>
      <c r="D310" s="80" t="s">
        <v>197</v>
      </c>
      <c r="E310" s="94"/>
      <c r="F310" s="1"/>
      <c r="AA310" s="597">
        <f>AA259+1</f>
        <v>10</v>
      </c>
      <c r="AB310" s="49" t="s">
        <v>3969</v>
      </c>
      <c r="AC310" s="49"/>
      <c r="AD310" s="49"/>
      <c r="AE310" s="49"/>
      <c r="AF310" s="49"/>
      <c r="AO310" s="52">
        <f>IF(D310=D2739,E2739,IF(D310=D2740,E2740,IF(D310=D2741,E2741,IF(D310=D2742,E2742,IF(D310=D2743,E2743,0)))))</f>
        <v>5</v>
      </c>
      <c r="AQ310" s="953">
        <f>AQ259+AO310</f>
        <v>32.4</v>
      </c>
      <c r="AR310" s="952"/>
    </row>
    <row r="311" spans="1:60" ht="15" thickTop="1" thickBot="1" x14ac:dyDescent="0.35">
      <c r="A311" s="94"/>
      <c r="B311" s="45" t="s">
        <v>198</v>
      </c>
      <c r="C311" s="94"/>
      <c r="D311" s="94"/>
      <c r="E311" s="94"/>
      <c r="F311" s="1"/>
      <c r="AV311" s="52" t="str">
        <f>IF(D$314=C2916,AZ311,IF(D$314=C2917,AZ311,IF(D$314=C2918,AZ311,IF(D$314=C2919,AZ311,IF(D$314=C2920,AZ311,IF(D$314=C2921,AZ311,IF(D$314=C2922,AZ311,IF(D$314=C2923,AZ311,IF(D$314=C2924,AZ311,IF(D$314=C2925,BD311,IF(D$314=C2926,BD311,IF(D$314=C2927,BD311,IF(D$314=C2928,BD311,IF(D$314=C2929,BD311,IF(D$314=C2930,BD311,IF(D$314=C2931,BB311,IF(D$314=C2932,AZ311,IF(D$314=C2933,BD311,IF(D$314=C2934,BD311,IF(D$314=C2935,BD311,IF(D$314=C2936,BD311,"damaged reputation")))))))))))))))))))))</f>
        <v xml:space="preserve"> currently underemployed because of a crime he didn't do. </v>
      </c>
      <c r="AZ311" s="48" t="str">
        <f>CONCATENATE(" is currently serving time for a crime ",$BH$206," didn't do. ")</f>
        <v xml:space="preserve"> is currently serving time for a crime he didn't do. </v>
      </c>
      <c r="BB311" s="48" t="str">
        <f>CONCATENATE(" must register for a sex crime ",$BH$206," didn't do. ")</f>
        <v xml:space="preserve"> must register for a sex crime he didn't do. </v>
      </c>
      <c r="BD311" s="48" t="str">
        <f>CONCATENATE(" currently underemployed because of a crime ",$BH$206," didn't do. ")</f>
        <v xml:space="preserve"> currently underemployed because of a crime he didn't do. </v>
      </c>
      <c r="BE311" s="245" t="s">
        <v>885</v>
      </c>
    </row>
    <row r="312" spans="1:60" ht="45" customHeight="1" thickTop="1" thickBot="1" x14ac:dyDescent="0.35">
      <c r="A312" s="94"/>
      <c r="B312" s="957"/>
      <c r="C312" s="958"/>
      <c r="D312" s="959"/>
      <c r="E312" s="94"/>
      <c r="F312" s="1"/>
      <c r="AV312" s="52" t="str">
        <f>IF(D$314=C2917,AZ312,IF(D$314=C2918,AZ312,IF(D$314=C2919,AZ312,IF(D$314=C2920,AZ312,IF(D$314=C2921,AZ312,IF(D$314=C2922,AZ312,IF(D$314=C2923,AZ312,IF(D$314=C2924,AZ312,IF(D$314=C2925,AZ312,IF(D$314=C2926,BD312,IF(D$314=C2927,BD312,IF(D$314=C2928,BD312,IF(D$314=C2929,BD312,IF(D$314=C2930,BD312,IF(D$314=C2931,BD312,IF(D$314=C2932,BB312,IF(D$314=C2933,AZ312,IF(D$314=C2934,BD312,IF(D$314=C2935,BD312,IF(D$314=C2936,BD312,IF(D$314=C2937,BD312,"damaged reputation")))))))))))))))))))))</f>
        <v xml:space="preserve"> struggles with poverty</v>
      </c>
      <c r="AZ312" s="48" t="s">
        <v>4191</v>
      </c>
      <c r="BB312" s="14" t="s">
        <v>4192</v>
      </c>
      <c r="BD312" s="48" t="s">
        <v>4193</v>
      </c>
      <c r="BE312" s="245" t="s">
        <v>885</v>
      </c>
    </row>
    <row r="313" spans="1:60" ht="7" customHeight="1" thickTop="1" thickBot="1" x14ac:dyDescent="0.35">
      <c r="A313" s="94"/>
      <c r="B313" s="94"/>
      <c r="C313" s="94"/>
      <c r="D313" s="94"/>
      <c r="E313" s="94"/>
      <c r="F313" s="1"/>
      <c r="BE313" s="245" t="s">
        <v>885</v>
      </c>
    </row>
    <row r="314" spans="1:60" ht="15" thickTop="1" thickBot="1" x14ac:dyDescent="0.35">
      <c r="A314" s="94"/>
      <c r="B314" s="45" t="s">
        <v>199</v>
      </c>
      <c r="C314" s="94"/>
      <c r="D314" s="81" t="s">
        <v>200</v>
      </c>
      <c r="E314" s="94"/>
      <c r="F314" s="1"/>
      <c r="AA314" s="601">
        <f>AA310+1</f>
        <v>11</v>
      </c>
      <c r="AB314" s="522" t="s">
        <v>3967</v>
      </c>
      <c r="AC314" s="522"/>
      <c r="AD314" s="522"/>
      <c r="AE314" s="522"/>
      <c r="AF314" s="522"/>
      <c r="AO314" s="611">
        <f>IF(D314=C2918,B2918,IF(D314=C2919,B2919,IF(D314=C2920,B2920,IF(D314=C2921,B2921,IF(D314=C2922,B2922,IF(D314=C2923,B2923,IF(D314=C2924,B2924,IF(D314=C2925,B2925,IF(D314=C2926,B2926,IF(D314=C2927,B2927,IF(D314=C2928,B2928,IF(D314=C2929,B2929,IF(D314=C2930,B2930,IF(D314=C2931,B2931,IF(D314=C2932,B2932,IF(D314=C2933,B2933,IF(D314=C2934,B2934,IF(D314=C2935,B2935,IF(D314=C2936,B2936,IF(D314=C2937,B2937,IF(D314=C2938,B2938,IF(D314=C2939,B25952))))))))))))))))))))))</f>
        <v>0</v>
      </c>
      <c r="AQ314" s="953">
        <f>AQ310+AO314</f>
        <v>32.4</v>
      </c>
      <c r="AR314" s="952"/>
      <c r="AV314" s="52" t="str">
        <f>IF(D$314=C2919,AZ314,IF(D$314=C2920,AZ314,IF(D$314=C2921,AZ314,IF(D$314=C2922,AZ314,IF(D$314=C2923,AZ314,IF(D$314=C2924,AZ314,IF(D$314=C2925,AZ314,IF(D$314=C2926,AZ314,IF(D$314=C2927,AZ314,IF(D$314=C2928,BD314,IF(D$314=C2929,BD314,IF(D$314=C2930,BD314,IF(D$314=C2931,BD314,IF(D$314=C2932,BD314,IF(D$314=C2933,BD314,IF(D$314=C2934,BB314,IF(D$314=C2935,AZ314,IF(D$314=C2936,BD314,IF(D$314=C2937,BD314,IF(D$314=C2938,BD314,IF(D$314=C2939,BD314,"damaged reputation")))))))))))))))))))))</f>
        <v>falsely registered as a sex offender</v>
      </c>
      <c r="AZ314" s="48" t="s">
        <v>4065</v>
      </c>
      <c r="BB314" s="48" t="s">
        <v>4072</v>
      </c>
      <c r="BD314" s="48" t="s">
        <v>4073</v>
      </c>
      <c r="BE314" s="245" t="s">
        <v>885</v>
      </c>
    </row>
    <row r="315" spans="1:60" ht="15" thickTop="1" x14ac:dyDescent="0.35">
      <c r="A315" s="94"/>
      <c r="B315" s="85" t="str">
        <f>IF($AK$315=1,"Inmate #","")</f>
        <v/>
      </c>
      <c r="C315" s="85" t="str">
        <f>IF($AK$315=1,"Current correctional facility","")</f>
        <v/>
      </c>
      <c r="D315" s="85" t="str">
        <f>IF($AK$315=1,"City, ST zip code","")</f>
        <v/>
      </c>
      <c r="E315" s="94"/>
      <c r="F315" s="1"/>
      <c r="AK315" s="280">
        <f>SUM(AL315:AS315)</f>
        <v>0</v>
      </c>
      <c r="AL315" s="82">
        <f>IF(D314=C2919,1,0)</f>
        <v>0</v>
      </c>
      <c r="AM315" s="82">
        <f>IF(D314=C2920,1,0)</f>
        <v>0</v>
      </c>
      <c r="AN315" s="82">
        <f>IF(D314=C2921,1,0)</f>
        <v>0</v>
      </c>
      <c r="AO315" s="82">
        <f>IF(D314=C2922,1,0)</f>
        <v>0</v>
      </c>
      <c r="AP315" s="82">
        <f>IF(D314=C2923,1,0)</f>
        <v>0</v>
      </c>
      <c r="AQ315" s="82">
        <f>IF(D314=C2924,1,0)</f>
        <v>0</v>
      </c>
      <c r="AR315" s="82">
        <f>IF(D314=C2925,1,0)</f>
        <v>0</v>
      </c>
      <c r="AS315" s="82">
        <f>IF(D314=C2927,1,0)</f>
        <v>0</v>
      </c>
      <c r="AT315" s="82"/>
      <c r="AU315" s="82">
        <f>IF(AK315=1,0,1)</f>
        <v>1</v>
      </c>
      <c r="AV315" s="82">
        <f>IF(D$314=C2936,1,0)</f>
        <v>0</v>
      </c>
      <c r="AW315" s="82">
        <f>IF(D$314=C2937,1,0)</f>
        <v>0</v>
      </c>
      <c r="AX315" s="82">
        <f>IF(D$314=C2938,1,0)</f>
        <v>0</v>
      </c>
      <c r="AY315" s="83">
        <f>MAX(AV315:AX315)</f>
        <v>0</v>
      </c>
      <c r="AZ315" s="82"/>
      <c r="BA315" s="82"/>
      <c r="BB315" s="82"/>
      <c r="BC315" s="82"/>
      <c r="BD315" s="82"/>
      <c r="BE315" s="82"/>
      <c r="BF315" s="82"/>
      <c r="BG315" s="82"/>
      <c r="BH315" s="84" t="s">
        <v>201</v>
      </c>
    </row>
    <row r="316" spans="1:60" x14ac:dyDescent="0.3">
      <c r="A316" s="94"/>
      <c r="B316" s="539"/>
      <c r="C316" s="540"/>
      <c r="D316" s="541"/>
      <c r="E316" s="94"/>
      <c r="F316" s="1"/>
      <c r="AU316" s="82"/>
      <c r="AV316" s="82" t="str">
        <f>IF(AY315&gt;0,BD316,BG316)</f>
        <v>no new charges</v>
      </c>
      <c r="AW316" s="82"/>
      <c r="AX316" s="82"/>
      <c r="AY316" s="82"/>
      <c r="AZ316" s="82"/>
      <c r="BA316" s="82" t="str">
        <f>IF(OR(AK315&gt;0,AY315&gt;0),BD316,BG316)</f>
        <v>no new charges</v>
      </c>
      <c r="BB316" s="82"/>
      <c r="BC316" s="82"/>
      <c r="BD316" s="82" t="s">
        <v>202</v>
      </c>
      <c r="BE316" s="82"/>
      <c r="BF316" s="82"/>
      <c r="BG316" s="82" t="s">
        <v>203</v>
      </c>
      <c r="BH316" s="82"/>
    </row>
    <row r="317" spans="1:60" ht="5" customHeight="1" x14ac:dyDescent="0.3">
      <c r="A317" s="94"/>
      <c r="B317" s="86"/>
      <c r="C317" s="86"/>
      <c r="D317" s="86"/>
      <c r="E317" s="94"/>
      <c r="F317" s="1"/>
      <c r="BB317" s="48"/>
    </row>
    <row r="318" spans="1:60" ht="15" customHeight="1" x14ac:dyDescent="0.3">
      <c r="A318" s="94"/>
      <c r="B318" s="86"/>
      <c r="C318" s="86"/>
      <c r="D318" s="86"/>
      <c r="E318" s="94"/>
      <c r="F318" s="1"/>
    </row>
    <row r="319" spans="1:60" ht="14.5" thickBot="1" x14ac:dyDescent="0.35">
      <c r="A319" s="94"/>
      <c r="B319" s="87" t="s">
        <v>204</v>
      </c>
      <c r="C319" s="45"/>
      <c r="D319" s="45"/>
      <c r="E319" s="94"/>
      <c r="F319" s="1"/>
    </row>
    <row r="320" spans="1:60" ht="15" thickTop="1" thickBot="1" x14ac:dyDescent="0.35">
      <c r="A320" s="94"/>
      <c r="B320" s="45" t="s">
        <v>205</v>
      </c>
      <c r="C320" s="94"/>
      <c r="D320" s="79">
        <v>34157</v>
      </c>
      <c r="E320" s="45"/>
      <c r="F320" s="1"/>
    </row>
    <row r="321" spans="1:60" ht="15" thickTop="1" thickBot="1" x14ac:dyDescent="0.35">
      <c r="A321" s="94"/>
      <c r="B321" s="45" t="str">
        <f>IF($AK$315=0,"Date released from prison:","Earliest release date (if applicable):")</f>
        <v>Date released from prison:</v>
      </c>
      <c r="C321" s="94"/>
      <c r="D321" s="79">
        <v>38617</v>
      </c>
      <c r="E321" s="94"/>
      <c r="F321" s="1"/>
      <c r="AB321" s="1017">
        <f>IF(D321="",AG321-C307,D321-C307)</f>
        <v>4460</v>
      </c>
      <c r="AC321" s="1017"/>
      <c r="AE321" s="612">
        <f>ROUNDDOWN((AB321/365.25),0)</f>
        <v>12</v>
      </c>
      <c r="AG321" s="889">
        <f ca="1">TODAY()</f>
        <v>45774</v>
      </c>
      <c r="AH321" s="889"/>
      <c r="AI321" s="1020">
        <f ca="1">AG321-C307</f>
        <v>11617</v>
      </c>
      <c r="AJ321" s="1020"/>
      <c r="AL321" s="612">
        <f ca="1">ROUNDDOWN((AI321/365.25),0)</f>
        <v>31</v>
      </c>
    </row>
    <row r="322" spans="1:60" ht="15" thickTop="1" thickBot="1" x14ac:dyDescent="0.35">
      <c r="A322" s="94"/>
      <c r="B322" s="45" t="str">
        <f>IF($D$314="on parole","Date expected to end parole:","Date released from parole (if applicable):")</f>
        <v>Date released from parole (if applicable):</v>
      </c>
      <c r="C322" s="94"/>
      <c r="D322" s="79"/>
      <c r="E322" s="94"/>
      <c r="F322" s="1"/>
      <c r="AB322" s="1017">
        <f>IF(D322="",0,D322-D321)</f>
        <v>0</v>
      </c>
      <c r="AC322" s="1017">
        <f>D321-D321</f>
        <v>0</v>
      </c>
      <c r="AE322" s="613">
        <f>ROUND((AB322/365.25),1)</f>
        <v>0</v>
      </c>
    </row>
    <row r="323" spans="1:60" ht="15" thickTop="1" thickBot="1" x14ac:dyDescent="0.35">
      <c r="A323" s="94"/>
      <c r="B323" s="45" t="str">
        <f>IF($D$314="on probation","Date expected to end probation:","Date released from probation (if applicable):")</f>
        <v>Date released from probation (if applicable):</v>
      </c>
      <c r="C323" s="94"/>
      <c r="D323" s="47"/>
      <c r="E323" s="94"/>
      <c r="F323" s="1"/>
      <c r="AO323" s="52"/>
    </row>
    <row r="324" spans="1:60" ht="15" thickTop="1" thickBot="1" x14ac:dyDescent="0.35">
      <c r="A324" s="94"/>
      <c r="B324" s="962" t="s">
        <v>206</v>
      </c>
      <c r="C324" s="963"/>
      <c r="D324" s="89" t="s">
        <v>207</v>
      </c>
      <c r="E324" s="94"/>
      <c r="F324" s="1"/>
      <c r="AA324" s="597">
        <f>AA314+1</f>
        <v>12</v>
      </c>
      <c r="AB324" s="49" t="s">
        <v>3947</v>
      </c>
      <c r="AC324" s="49"/>
      <c r="AD324" s="49"/>
      <c r="AE324" s="49"/>
      <c r="AF324" s="49"/>
      <c r="AO324" s="52">
        <f>IF(D324=D2921,1,0)</f>
        <v>1</v>
      </c>
      <c r="AQ324" s="953">
        <f>AQ314+AO324</f>
        <v>33.4</v>
      </c>
      <c r="AR324" s="952"/>
      <c r="AU324" s="48" t="s">
        <v>5409</v>
      </c>
      <c r="AV324" s="642" t="str">
        <f>IF(D324=D2921,AZ324,"")</f>
        <v>Steph faced a lengthy "trial penalty" sentence.</v>
      </c>
      <c r="AZ324" s="843" t="str">
        <f>CONCATENATE(BB324,BC324,BC224,BD324,BE324,BF324)</f>
        <v>Steph faced a lengthy "trial penalty" sentence.</v>
      </c>
      <c r="BB324" s="14" t="str">
        <f>AN202</f>
        <v>Steph</v>
      </c>
      <c r="BC324" s="48" t="s">
        <v>5398</v>
      </c>
    </row>
    <row r="325" spans="1:60" ht="15" thickTop="1" thickBot="1" x14ac:dyDescent="0.35">
      <c r="A325" s="809" t="s">
        <v>5145</v>
      </c>
      <c r="B325" s="72" t="s">
        <v>3932</v>
      </c>
      <c r="C325" s="593"/>
      <c r="D325" s="89">
        <v>1</v>
      </c>
      <c r="E325" s="94"/>
      <c r="F325" s="1"/>
      <c r="AA325" s="597">
        <f>AA324+1</f>
        <v>13</v>
      </c>
      <c r="AB325" s="49" t="s">
        <v>3981</v>
      </c>
      <c r="AC325" s="49"/>
      <c r="AD325" s="49"/>
      <c r="AE325" s="49"/>
      <c r="AF325" s="49"/>
      <c r="AK325" s="48">
        <f>IF(D325=E$2950,F$2950,IF(D325=E$2951,F$2951,IF(D325=E$2952,F$2952,IF(D325=E$2953,F$2953,IF(D325=E$2954,F$2954,IF(D325=E$2955,F$2955,IF(D325=E$2956,F$2956,IF(D325=E$2957,F$2957,IF(D325=E$2958,F$2958,IF(D325=E$2959,F$2959,IF(D325=E$2960,F$2960,IF(D325=E$2961,F$2961,0))))))))))))</f>
        <v>1</v>
      </c>
      <c r="AM325" s="614">
        <f>IF(D321="",0,AK325/AE$321)</f>
        <v>8.3333333333333329E-2</v>
      </c>
      <c r="AN325" s="52">
        <f>IF(AND(AM325&gt;=0,AM325&lt;0.1),1,IF(AND(AM325&gt;=0.1,AM325&lt;0.2),0.75,IF(AND(AM325&gt;=0.2,AM325&lt;0.3),0.5,IF(AND(AM325&gt;=0.3,AM325&lt;0.4),0.25,IF(AND(AM325&gt;=0.4,AM325&lt;0.5),0.1,0)))))</f>
        <v>1</v>
      </c>
      <c r="AO325" s="52">
        <f>IF(D325="",0,AN325)</f>
        <v>1</v>
      </c>
      <c r="AQ325" s="951">
        <f>AQ324+AO325</f>
        <v>34.4</v>
      </c>
      <c r="AR325" s="952"/>
      <c r="AU325" s="48" t="s">
        <v>5410</v>
      </c>
      <c r="AV325" s="642" t="str">
        <f>IF(D325=0,AZ325,"")</f>
        <v/>
      </c>
      <c r="AZ325" s="843" t="str">
        <f t="shared" ref="AZ325:AZ328" si="13">CONCATENATE(BB325,BC325,BC225,BD325,BE325,BF325)</f>
        <v xml:space="preserve">Steph had no disciplinary issues while incarcerated. </v>
      </c>
      <c r="BB325" s="14" t="str">
        <f>BB324</f>
        <v>Steph</v>
      </c>
      <c r="BC325" s="48" t="s">
        <v>5399</v>
      </c>
    </row>
    <row r="326" spans="1:60" ht="15" thickTop="1" thickBot="1" x14ac:dyDescent="0.35">
      <c r="A326" s="809" t="s">
        <v>5145</v>
      </c>
      <c r="B326" s="72" t="s">
        <v>3949</v>
      </c>
      <c r="C326" s="593"/>
      <c r="D326" s="89" t="s">
        <v>3950</v>
      </c>
      <c r="E326" s="94"/>
      <c r="F326" s="1"/>
      <c r="AA326" s="597">
        <f>AA325+1</f>
        <v>14</v>
      </c>
      <c r="AB326" s="49" t="s">
        <v>3958</v>
      </c>
      <c r="AC326" s="49"/>
      <c r="AD326" s="49"/>
      <c r="AE326" s="49"/>
      <c r="AF326" s="49"/>
      <c r="AO326" s="52">
        <f>IF(D326=D2929,E2929,IF(D326=D2930,E2930,IF(D326=D2931,E2931,IF(D326=D2932,E2932,IF(D326=D2933,E2933,IF(D326=D2934,E2934,IF(D326=D2935,E2935,IF(D326=D2936,E2936,0))))))))</f>
        <v>0.25</v>
      </c>
      <c r="AQ326" s="951">
        <f>AQ325+AO326</f>
        <v>34.65</v>
      </c>
      <c r="AR326" s="952"/>
      <c r="AU326" s="48" t="s">
        <v>5411</v>
      </c>
      <c r="AV326" s="642" t="str">
        <f>IF(D326=D2929,AZ326,"")</f>
        <v/>
      </c>
      <c r="AZ326" s="843" t="str">
        <f t="shared" si="13"/>
        <v xml:space="preserve">Steph refused required rehab at risk of retributions. </v>
      </c>
      <c r="BB326" s="14" t="str">
        <f t="shared" ref="BB326:BB328" si="14">BB325</f>
        <v>Steph</v>
      </c>
      <c r="BC326" s="48" t="s">
        <v>5400</v>
      </c>
    </row>
    <row r="327" spans="1:60" ht="15" thickTop="1" thickBot="1" x14ac:dyDescent="0.35">
      <c r="A327" s="94"/>
      <c r="B327" s="45" t="s">
        <v>208</v>
      </c>
      <c r="C327" s="94"/>
      <c r="D327" s="47">
        <v>3</v>
      </c>
      <c r="E327" s="94"/>
      <c r="F327" s="1"/>
      <c r="AA327" s="597">
        <f>AA326+1</f>
        <v>15</v>
      </c>
      <c r="AB327" s="49" t="s">
        <v>3960</v>
      </c>
      <c r="AC327" s="49"/>
      <c r="AD327" s="49"/>
      <c r="AE327" s="49"/>
      <c r="AF327" s="49"/>
      <c r="AK327" s="48">
        <f>IF(D327=E$2950,F$2950,IF(D327=E$2951,F$2951,IF(D327=E$2952,F$2952,IF(D327=E$2953,F$2953,IF(D327=E$2954,F$2954,IF(D327=E$2955,F$2955,IF(D327=E$2956,F$2956,IF(D327=E$2957,F$2957,IF(D327=E$2958,F$2958,IF(D327=E$2959,F$2959,IF(D327=E$2960,F$2960,IF(D327=E$2961,F$2961,0))))))))))))</f>
        <v>3</v>
      </c>
      <c r="AM327" s="614">
        <f>IF(D321="",0,(AK327/AE$321)*2)</f>
        <v>0.5</v>
      </c>
      <c r="AO327" s="52">
        <f>IF(AM327&lt;1,AM327,1)</f>
        <v>0.5</v>
      </c>
      <c r="AQ327" s="951">
        <f>AQ326+AO327</f>
        <v>35.15</v>
      </c>
      <c r="AR327" s="952"/>
      <c r="AU327" s="48" t="s">
        <v>5412</v>
      </c>
      <c r="AV327" s="642" t="str">
        <f>IF(D327&gt;2,AZ327,"")</f>
        <v xml:space="preserve">Steph maintained innocence to parole board, costing parole eligibility. </v>
      </c>
      <c r="AZ327" s="843" t="str">
        <f t="shared" si="13"/>
        <v xml:space="preserve">Steph maintained innocence to parole board, costing parole eligibility. </v>
      </c>
      <c r="BB327" s="14" t="str">
        <f t="shared" si="14"/>
        <v>Steph</v>
      </c>
      <c r="BC327" s="48" t="s">
        <v>5403</v>
      </c>
      <c r="BH327" s="48" t="s">
        <v>5401</v>
      </c>
    </row>
    <row r="328" spans="1:60" ht="15" thickTop="1" thickBot="1" x14ac:dyDescent="0.35">
      <c r="A328" s="94"/>
      <c r="B328" s="962" t="str">
        <f>IF(AK315=0,"Discharged from max sentence due to innocence claim?","Expect to serve full sentence due to innocence claim?")</f>
        <v>Discharged from max sentence due to innocence claim?</v>
      </c>
      <c r="C328" s="963"/>
      <c r="D328" s="90" t="s">
        <v>166</v>
      </c>
      <c r="E328" s="94"/>
      <c r="F328" s="1"/>
      <c r="AA328" s="597">
        <f>AA327+1</f>
        <v>16</v>
      </c>
      <c r="AB328" s="49" t="s">
        <v>3959</v>
      </c>
      <c r="AC328" s="49"/>
      <c r="AD328" s="49"/>
      <c r="AE328" s="49"/>
      <c r="AF328" s="49"/>
      <c r="AO328" s="52">
        <f>IF(D328=B2955,1,0)</f>
        <v>1</v>
      </c>
      <c r="AQ328" s="951">
        <f>AQ327+AO328</f>
        <v>36.15</v>
      </c>
      <c r="AR328" s="952"/>
      <c r="AU328" s="48" t="s">
        <v>5413</v>
      </c>
      <c r="AV328" s="642" t="str">
        <f>IF(D328="yes",AZ328,"")</f>
        <v xml:space="preserve">Steph served the full sentence because of maintaining his innocence. </v>
      </c>
      <c r="AZ328" s="843" t="str">
        <f t="shared" si="13"/>
        <v xml:space="preserve">Steph served the full sentence because of maintaining his innocence. </v>
      </c>
      <c r="BB328" s="14" t="str">
        <f t="shared" si="14"/>
        <v>Steph</v>
      </c>
      <c r="BC328" s="48" t="s">
        <v>5431</v>
      </c>
      <c r="BD328" s="48" t="str">
        <f>BJ206</f>
        <v>his</v>
      </c>
      <c r="BE328" s="48" t="s">
        <v>5375</v>
      </c>
    </row>
    <row r="329" spans="1:60" ht="15" thickTop="1" thickBot="1" x14ac:dyDescent="0.35">
      <c r="A329" s="94"/>
      <c r="B329" s="962" t="s">
        <v>209</v>
      </c>
      <c r="C329" s="963"/>
      <c r="D329" s="90" t="s">
        <v>210</v>
      </c>
      <c r="E329" s="94"/>
      <c r="F329" s="1"/>
      <c r="AM329" s="91" t="str">
        <f>IF(AND(AO329&gt;0,AO329&lt;3),"Sex offender registry end date:",IF(AND(AO329&gt;2,AO329&lt;4),"Sex offender registry as of today:",""))</f>
        <v>Sex offender registry as of today:</v>
      </c>
      <c r="AO329" s="52">
        <f>MAX(AP329:AS329)</f>
        <v>3</v>
      </c>
      <c r="AP329" s="48">
        <f>IF($D$329=C2942,E2942,-1)</f>
        <v>-1</v>
      </c>
      <c r="AQ329" s="48">
        <f>IF($D$329=C2943,E2943,-1)</f>
        <v>-1</v>
      </c>
      <c r="AR329" s="48">
        <f>IF($D$329=C2944,E2944,-1)</f>
        <v>-1</v>
      </c>
      <c r="AS329" s="48">
        <f>IF($D$329=C2945,E2945,-1)</f>
        <v>3</v>
      </c>
    </row>
    <row r="330" spans="1:60" ht="15.65" customHeight="1" thickTop="1" thickBot="1" x14ac:dyDescent="0.35">
      <c r="A330" s="94"/>
      <c r="B330" s="962" t="str">
        <f>AM329</f>
        <v>Sex offender registry as of today:</v>
      </c>
      <c r="C330" s="963"/>
      <c r="D330" s="79">
        <f ca="1">TODAY()</f>
        <v>45774</v>
      </c>
      <c r="E330" s="94"/>
      <c r="F330" s="1"/>
      <c r="AB330" s="1005">
        <f ca="1">D330-D321</f>
        <v>7157</v>
      </c>
      <c r="AC330" s="1005"/>
      <c r="AD330" s="88">
        <f ca="1">ROUND((AB330/365.25),0)</f>
        <v>20</v>
      </c>
      <c r="AE330" s="88">
        <f ca="1">MAX(AE322,AD330)</f>
        <v>20</v>
      </c>
      <c r="AF330" s="889">
        <f ca="1">TODAY()</f>
        <v>45774</v>
      </c>
      <c r="AG330" s="889"/>
      <c r="AV330" s="642" t="str">
        <f>IF(OR(D329=C2944,D329=C2945),"a","")</f>
        <v>a</v>
      </c>
    </row>
    <row r="331" spans="1:60" ht="15" thickTop="1" thickBot="1" x14ac:dyDescent="0.35">
      <c r="A331" s="94"/>
      <c r="B331" s="962" t="s">
        <v>211</v>
      </c>
      <c r="C331" s="963"/>
      <c r="D331" s="89" t="s">
        <v>166</v>
      </c>
      <c r="E331" s="94"/>
      <c r="F331" s="1"/>
    </row>
    <row r="332" spans="1:60" ht="15" thickTop="1" thickBot="1" x14ac:dyDescent="0.35">
      <c r="A332" s="94"/>
      <c r="B332" s="45" t="s">
        <v>3624</v>
      </c>
      <c r="C332" s="94"/>
      <c r="D332" s="89" t="s">
        <v>3628</v>
      </c>
      <c r="E332" s="94"/>
      <c r="F332" s="1"/>
    </row>
    <row r="333" spans="1:60" ht="21" customHeight="1" thickTop="1" x14ac:dyDescent="0.3">
      <c r="A333" s="94"/>
      <c r="B333" s="45" t="s">
        <v>212</v>
      </c>
      <c r="C333" s="94"/>
      <c r="D333" s="94"/>
      <c r="E333" s="94"/>
      <c r="F333" s="1"/>
    </row>
    <row r="334" spans="1:60" ht="14.5" thickBot="1" x14ac:dyDescent="0.35">
      <c r="A334" s="94"/>
      <c r="B334" s="94" t="s">
        <v>213</v>
      </c>
      <c r="C334" s="94" t="s">
        <v>214</v>
      </c>
      <c r="D334" s="94" t="s">
        <v>215</v>
      </c>
      <c r="E334" s="94"/>
      <c r="F334" s="1"/>
    </row>
    <row r="335" spans="1:60" ht="15" thickTop="1" thickBot="1" x14ac:dyDescent="0.35">
      <c r="A335" s="94"/>
      <c r="B335" s="92" t="s">
        <v>166</v>
      </c>
      <c r="C335" s="77" t="s">
        <v>166</v>
      </c>
      <c r="D335" s="77" t="s">
        <v>216</v>
      </c>
      <c r="E335" s="94"/>
      <c r="F335" s="1"/>
    </row>
    <row r="336" spans="1:60" ht="8" customHeight="1" thickTop="1" thickBot="1" x14ac:dyDescent="0.35">
      <c r="A336" s="94"/>
      <c r="B336" s="45"/>
      <c r="C336" s="94"/>
      <c r="D336" s="94"/>
      <c r="E336" s="94"/>
      <c r="F336" s="1"/>
    </row>
    <row r="337" spans="1:61" ht="15" thickTop="1" thickBot="1" x14ac:dyDescent="0.35">
      <c r="A337" s="94"/>
      <c r="B337" s="45" t="s">
        <v>3630</v>
      </c>
      <c r="C337" s="45"/>
      <c r="D337" s="77">
        <v>4</v>
      </c>
      <c r="E337" s="94"/>
      <c r="F337" s="1"/>
      <c r="AA337" s="597">
        <f>AA328+1</f>
        <v>17</v>
      </c>
      <c r="AB337" s="49" t="s">
        <v>3961</v>
      </c>
      <c r="AC337" s="49"/>
      <c r="AD337" s="49"/>
      <c r="AE337" s="49"/>
      <c r="AF337" s="49"/>
      <c r="AL337" s="48" t="str">
        <f>IF($D337=E2942,"none",IF($D337=$E$2943,"one",IF($D337=$E$2944,"two",IF($D337=$E$2945,"three",IF($D337=$E$2946,"four",IF($D337=$E$2947,"five or more",""))))))</f>
        <v>four</v>
      </c>
      <c r="AO337" s="52">
        <f>IF(D337=E2942,F2942,IF(D337=E2943,F2943,IF(D337=E2944,F2944,IF(D337=E2945,F2945,IF(D337=E2946,F2946,IF(D337=E2947,F2947,0))))))</f>
        <v>0.8</v>
      </c>
      <c r="AQ337" s="951">
        <f>AQ328+AO337</f>
        <v>36.949999999999996</v>
      </c>
      <c r="AR337" s="952"/>
      <c r="AV337" s="48" t="str">
        <f>IF(AN202=0,"Claimant",AN202)</f>
        <v>Steph</v>
      </c>
      <c r="AX337" s="48" t="s">
        <v>4048</v>
      </c>
      <c r="AZ337" s="48" t="str">
        <f>IF($D337=K2942,"none",IF($D337=$E$2943,"one",IF($D337=$E$2944,"two",IF($D337=$E$2945,"three",IF($D337=$E$2946,"four",IF($D337=$E$2947,"over four",""))))))</f>
        <v>four</v>
      </c>
      <c r="BB337" s="14" t="s">
        <v>4049</v>
      </c>
      <c r="BI337" s="52" t="str">
        <f>IF(D337=0,CONCATENATE(AV337," has yet to ask for help from an innocence project. "),IF(D337=1,CONCATENATE(AV337," once asked for help from an innocence project. "),CONCATENATE(AV337,AX337,AZ337,BB337)))</f>
        <v xml:space="preserve">Steph has asked for help from innocence projects four times. </v>
      </c>
    </row>
    <row r="338" spans="1:61" ht="15" thickTop="1" thickBot="1" x14ac:dyDescent="0.35">
      <c r="A338" s="94"/>
      <c r="B338" s="45" t="str">
        <f>IF(D337&gt;E2942,"What was the response? Explain further below.","Please explain why not in box below.")</f>
        <v>What was the response? Explain further below.</v>
      </c>
      <c r="C338" s="94"/>
      <c r="D338" s="93" t="s">
        <v>217</v>
      </c>
      <c r="E338" s="94"/>
      <c r="F338" s="1"/>
      <c r="AA338" s="597">
        <f>AA337+1</f>
        <v>18</v>
      </c>
      <c r="AB338" s="49" t="s">
        <v>3962</v>
      </c>
      <c r="AC338" s="49"/>
      <c r="AD338" s="49"/>
      <c r="AE338" s="49"/>
      <c r="AF338" s="49"/>
      <c r="AO338" s="52">
        <f>IF(D338=B2964,1,0)</f>
        <v>1</v>
      </c>
      <c r="AQ338" s="951">
        <f>AQ337+AO338</f>
        <v>37.949999999999996</v>
      </c>
      <c r="AR338" s="952"/>
      <c r="AV338" s="48" t="str">
        <f>BG206</f>
        <v>He</v>
      </c>
      <c r="AX338" s="48" t="str">
        <f>IF($D338=$B$2961," never received a reply to ",IF($D338=$B$2962," was told ",IF($D338=$B$2963," was told ",IF($D338=$B$2964," was told ",IF($D338=$B$2965," was denied ","")))))</f>
        <v xml:space="preserve"> was told </v>
      </c>
      <c r="AZ338" s="48" t="str">
        <f>IF(D338=B2964,"they",IF(D338=B2965,"their",BJ206))</f>
        <v>they</v>
      </c>
      <c r="BB338" s="48" t="str">
        <f>IF($D338=$B$2961,"  inquery. ",IF($D338=$B$2962," case did not merit review. ",IF($D338=$B$2963," case did not fit their criteria. ",IF($D338=$B$2964," had to priortize their service to others. ",IF($D338=$B$2965," help for some reason. ","")))))</f>
        <v xml:space="preserve"> had to priortize their service to others. </v>
      </c>
      <c r="BI338" s="52" t="str">
        <f>IF(D337=0,"",CONCATENATE(AV338,AX338,AZ338,BB338))</f>
        <v xml:space="preserve">He was told they had to priortize their service to others. </v>
      </c>
    </row>
    <row r="339" spans="1:61" ht="15" thickTop="1" thickBot="1" x14ac:dyDescent="0.35">
      <c r="A339" s="94"/>
      <c r="B339" s="964" t="str">
        <f>IF(D338=B2964,C2964,"")</f>
        <v>but had to prioritize their resources for others whose liberty was more in jeopardy.</v>
      </c>
      <c r="C339" s="964"/>
      <c r="D339" s="964"/>
      <c r="E339" s="94"/>
      <c r="F339" s="1"/>
    </row>
    <row r="340" spans="1:61" ht="45" customHeight="1" thickTop="1" thickBot="1" x14ac:dyDescent="0.35">
      <c r="A340" s="94"/>
      <c r="B340" s="957" t="s">
        <v>220</v>
      </c>
      <c r="C340" s="958"/>
      <c r="D340" s="959"/>
      <c r="E340" s="94"/>
      <c r="F340" s="1"/>
    </row>
    <row r="341" spans="1:61" ht="8" customHeight="1" thickTop="1" x14ac:dyDescent="0.3">
      <c r="A341" s="94"/>
      <c r="B341" s="45"/>
      <c r="C341" s="94"/>
      <c r="D341" s="94"/>
      <c r="E341" s="94"/>
      <c r="F341" s="1"/>
    </row>
    <row r="342" spans="1:61" ht="14.5" thickBot="1" x14ac:dyDescent="0.35">
      <c r="A342" s="94"/>
      <c r="B342" s="45" t="s">
        <v>221</v>
      </c>
      <c r="C342" s="94"/>
      <c r="D342" s="45" t="s">
        <v>222</v>
      </c>
      <c r="E342" s="94"/>
      <c r="F342" s="1"/>
    </row>
    <row r="343" spans="1:61" ht="15" thickTop="1" thickBot="1" x14ac:dyDescent="0.35">
      <c r="A343" s="94"/>
      <c r="B343" s="955" t="s">
        <v>223</v>
      </c>
      <c r="C343" s="956"/>
      <c r="D343" s="79"/>
      <c r="E343" s="94"/>
      <c r="F343" s="1"/>
      <c r="AA343" s="597">
        <f>AA338+1</f>
        <v>19</v>
      </c>
      <c r="AB343" s="49" t="s">
        <v>3948</v>
      </c>
      <c r="AC343" s="49"/>
      <c r="AD343" s="49"/>
      <c r="AE343" s="49"/>
      <c r="AF343" s="49"/>
      <c r="AH343" s="95" t="str">
        <f>IF(B343=B2968,"No other criminal history","")</f>
        <v>No other criminal history</v>
      </c>
      <c r="AI343" s="96"/>
      <c r="AJ343" s="96"/>
      <c r="AK343" s="96"/>
      <c r="AL343" s="96"/>
      <c r="AM343" s="96"/>
      <c r="AO343" s="603">
        <f>IF(B343=B2968,C2968,IF(B343=B2969,C2969,IF(B343=B2970,C2970,IF(B343=B2971,C2971,IF(B343=B2972,C2972,IF(B343=B2973,C2973,IF(B343=B2974,C2974,IF(B343=B2975,C2975,IF(B343=B2976,C2976,IF(B343=B2977,C2977,0))))))))))</f>
        <v>1</v>
      </c>
      <c r="AP343" s="14"/>
      <c r="AQ343" s="951">
        <f>AQ338+AO343</f>
        <v>38.949999999999996</v>
      </c>
      <c r="AR343" s="952"/>
      <c r="AU343" s="48" t="s">
        <v>5414</v>
      </c>
      <c r="AV343" s="642" t="str">
        <f>IF(B343=B2968,AZ343,"")</f>
        <v xml:space="preserve">Steph has no other criminal history. </v>
      </c>
      <c r="AZ343" s="843" t="str">
        <f>CONCATENATE(BB343,BC343,BD343)</f>
        <v xml:space="preserve">Steph has no other criminal history. </v>
      </c>
      <c r="BB343" s="14" t="str">
        <f>AN202</f>
        <v>Steph</v>
      </c>
      <c r="BC343" s="48" t="s">
        <v>5397</v>
      </c>
    </row>
    <row r="344" spans="1:61" ht="15" thickTop="1" thickBot="1" x14ac:dyDescent="0.35">
      <c r="A344" s="94"/>
      <c r="B344" s="45" t="s">
        <v>224</v>
      </c>
      <c r="C344" s="45"/>
      <c r="D344" s="45"/>
      <c r="E344" s="94"/>
      <c r="F344" s="1"/>
      <c r="AA344" s="597">
        <f>AA343+1</f>
        <v>20</v>
      </c>
      <c r="AB344" s="49" t="s">
        <v>3982</v>
      </c>
      <c r="AC344" s="49"/>
      <c r="AD344" s="49"/>
      <c r="AE344" s="49"/>
      <c r="AF344" s="49"/>
      <c r="AO344" s="603">
        <f>IF(D343=D2968,1,IF(D343=D2969,0.5,0))</f>
        <v>0</v>
      </c>
      <c r="AQ344" s="951">
        <f>AQ343+AO344</f>
        <v>38.949999999999996</v>
      </c>
      <c r="AR344" s="952"/>
    </row>
    <row r="345" spans="1:61" ht="45" customHeight="1" thickTop="1" thickBot="1" x14ac:dyDescent="0.35">
      <c r="A345" s="94"/>
      <c r="B345" s="957"/>
      <c r="C345" s="958"/>
      <c r="D345" s="959"/>
      <c r="E345" s="94"/>
      <c r="F345" s="1"/>
    </row>
    <row r="346" spans="1:61" ht="8" customHeight="1" thickTop="1" x14ac:dyDescent="0.3">
      <c r="A346" s="94"/>
      <c r="B346" s="94"/>
      <c r="C346" s="94"/>
      <c r="D346" s="94"/>
      <c r="E346" s="94"/>
      <c r="F346" s="1"/>
    </row>
    <row r="347" spans="1:61" ht="14.5" thickBot="1" x14ac:dyDescent="0.35">
      <c r="A347" s="94"/>
      <c r="B347" s="45" t="s">
        <v>225</v>
      </c>
      <c r="C347" s="94"/>
      <c r="D347" s="94"/>
      <c r="E347" s="94"/>
      <c r="F347" s="1"/>
    </row>
    <row r="348" spans="1:61" ht="45" customHeight="1" thickTop="1" thickBot="1" x14ac:dyDescent="0.35">
      <c r="A348" s="94"/>
      <c r="B348" s="957" t="str">
        <f>AE348</f>
        <v>My 3 young daughters never accused me since I never touched them inappropriately. An Olan Mills professional portrait of them was taken in the search warrant as "child pornagraphy".</v>
      </c>
      <c r="C348" s="958"/>
      <c r="D348" s="959"/>
      <c r="E348" s="94"/>
      <c r="F348" s="1"/>
      <c r="AE348" s="23" t="s">
        <v>226</v>
      </c>
    </row>
    <row r="349" spans="1:61" ht="8" customHeight="1" thickTop="1" x14ac:dyDescent="0.3">
      <c r="A349" s="94"/>
      <c r="B349" s="45"/>
      <c r="C349" s="94"/>
      <c r="D349" s="94"/>
      <c r="E349" s="94"/>
      <c r="F349" s="1"/>
    </row>
    <row r="350" spans="1:61" ht="30" customHeight="1" thickBot="1" x14ac:dyDescent="0.35">
      <c r="A350" s="94"/>
      <c r="B350" s="960" t="s">
        <v>227</v>
      </c>
      <c r="C350" s="960"/>
      <c r="D350" s="960"/>
      <c r="E350" s="94"/>
      <c r="F350" s="1"/>
    </row>
    <row r="351" spans="1:61" ht="45" customHeight="1" thickTop="1" thickBot="1" x14ac:dyDescent="0.35">
      <c r="A351" s="94"/>
      <c r="B351" s="957" t="str">
        <f>AE351</f>
        <v xml:space="preserve">Codefendant had a long rap sheet, but no history of sexual violence. Seems to have overcome previous criminality and shame by accepting being transgender. At the time I struggled with codependency and by appearances prone to appease codefendant's requests than stand up for myself. At the time, I was in bankruptcy. </v>
      </c>
      <c r="C351" s="958"/>
      <c r="D351" s="959"/>
      <c r="E351" s="94"/>
      <c r="F351" s="1"/>
      <c r="AE351" s="23" t="s">
        <v>5402</v>
      </c>
    </row>
    <row r="352" spans="1:61" ht="8" customHeight="1" thickTop="1" x14ac:dyDescent="0.3">
      <c r="A352" s="94"/>
      <c r="B352" s="94"/>
      <c r="C352" s="94"/>
      <c r="D352" s="94"/>
      <c r="E352" s="94"/>
      <c r="F352" s="1"/>
    </row>
    <row r="353" spans="1:63" ht="45" customHeight="1" x14ac:dyDescent="0.3">
      <c r="A353" s="94"/>
      <c r="B353" s="961" t="str">
        <f>IF(AB353&lt;&gt;"","Thanks for answering all those questions. They understandably bring up a lot of painful stuff. Together, let's give your pain some purpose by bringing this injustice to an end. And next provide documentation to help verify your innocence claim.","Please review your answers and fill any unfinished items. You've come this far, and we trust you can do it. You deserve to bring this injustice to an end.")</f>
        <v>Please review your answers and fill any unfinished items. You've come this far, and we trust you can do it. You deserve to bring this injustice to an end.</v>
      </c>
      <c r="C353" s="961"/>
      <c r="D353" s="961"/>
      <c r="E353" s="94"/>
      <c r="F353" s="1"/>
    </row>
    <row r="354" spans="1:63" ht="8" customHeight="1" x14ac:dyDescent="0.3">
      <c r="A354" s="94"/>
      <c r="B354" s="45"/>
      <c r="C354" s="94"/>
      <c r="D354" s="94"/>
      <c r="E354" s="94"/>
      <c r="F354" s="1"/>
    </row>
    <row r="355" spans="1:63" ht="30" customHeight="1" x14ac:dyDescent="0.35">
      <c r="A355" s="40" t="s">
        <v>228</v>
      </c>
      <c r="B355" s="40" t="s">
        <v>229</v>
      </c>
      <c r="C355" s="40"/>
      <c r="D355" s="40"/>
      <c r="E355" s="436"/>
      <c r="F355" s="436" t="s">
        <v>869</v>
      </c>
      <c r="AC355" s="954">
        <f>D2991</f>
        <v>0.5</v>
      </c>
      <c r="AD355" s="954"/>
    </row>
    <row r="356" spans="1:63" ht="17.5" x14ac:dyDescent="0.35">
      <c r="A356" s="97" t="s">
        <v>230</v>
      </c>
      <c r="B356" s="98"/>
      <c r="C356" s="98"/>
      <c r="D356" s="98"/>
      <c r="E356" s="99"/>
      <c r="F356" s="97"/>
      <c r="AC356" s="48" t="s">
        <v>231</v>
      </c>
      <c r="AK356" s="48">
        <v>9.9999999999999998E-13</v>
      </c>
      <c r="AL356" s="5">
        <f>COUNT(AK359,AK369,AK379,AK389,AK399,AK409,AK419,AK429,AK439,AK449,AK459,AK469,AK479,AK489)</f>
        <v>7</v>
      </c>
      <c r="AN356" s="100">
        <f>MAX(AK356:AL356)</f>
        <v>7</v>
      </c>
      <c r="AP356" s="101">
        <f>AQ356-0.25</f>
        <v>0</v>
      </c>
      <c r="AQ356" s="101">
        <f>AR356-0.25</f>
        <v>0.25</v>
      </c>
      <c r="AR356" s="101">
        <f>AS356-0.25</f>
        <v>0.5</v>
      </c>
      <c r="AS356" s="101">
        <f>AT356-0.25</f>
        <v>0.75</v>
      </c>
      <c r="AT356" s="101">
        <v>1</v>
      </c>
      <c r="BF356" s="102">
        <v>0.05</v>
      </c>
      <c r="BH356" s="102">
        <v>0.1</v>
      </c>
    </row>
    <row r="357" spans="1:63" ht="20" customHeight="1" x14ac:dyDescent="0.35">
      <c r="A357" s="103">
        <v>1</v>
      </c>
      <c r="B357" s="103" t="s">
        <v>232</v>
      </c>
      <c r="C357" s="103"/>
      <c r="D357" s="104">
        <f>IF(AN359&gt;0,AN359,0)</f>
        <v>7.1428571428571425E-2</v>
      </c>
      <c r="E357" s="105"/>
      <c r="F357" s="1"/>
    </row>
    <row r="358" spans="1:63" s="109" customFormat="1" ht="18" customHeight="1" thickBot="1" x14ac:dyDescent="0.35">
      <c r="A358" s="106"/>
      <c r="B358" s="975" t="s">
        <v>233</v>
      </c>
      <c r="C358" s="975"/>
      <c r="D358" s="975"/>
      <c r="E358" s="107"/>
      <c r="F358" s="1"/>
      <c r="G358" s="108"/>
      <c r="H358" s="108"/>
      <c r="I358" s="108"/>
      <c r="J358" s="108"/>
      <c r="K358" s="108"/>
      <c r="L358" s="108"/>
      <c r="M358" s="108"/>
      <c r="N358" s="108"/>
      <c r="O358" s="108"/>
      <c r="P358" s="108"/>
      <c r="Q358" s="108"/>
      <c r="R358" s="108"/>
      <c r="S358" s="108"/>
      <c r="T358" s="108"/>
      <c r="U358" s="108"/>
      <c r="V358" s="108"/>
      <c r="W358" s="108"/>
      <c r="X358" s="108"/>
      <c r="Y358" s="108"/>
      <c r="Z358" s="108"/>
      <c r="AC358" s="110">
        <v>1</v>
      </c>
      <c r="AD358" s="111">
        <f>AC358-($AC358/5)</f>
        <v>0.8</v>
      </c>
      <c r="AE358" s="112">
        <f>AD358-($AC358/5)</f>
        <v>0.60000000000000009</v>
      </c>
      <c r="AF358" s="113">
        <f>AE358-($AC358/5)</f>
        <v>0.40000000000000008</v>
      </c>
      <c r="AG358" s="114">
        <f>AF358-($AC358/5)</f>
        <v>0.20000000000000007</v>
      </c>
      <c r="AH358" s="115">
        <f>AG358-($AC358/5)</f>
        <v>0</v>
      </c>
      <c r="BB358" s="116" t="s">
        <v>234</v>
      </c>
      <c r="BC358" s="48"/>
      <c r="BD358" s="116" t="s">
        <v>235</v>
      </c>
      <c r="BG358" s="117" t="s">
        <v>236</v>
      </c>
      <c r="BH358" s="118"/>
      <c r="BI358" s="119" t="s">
        <v>237</v>
      </c>
      <c r="BJ358" s="120"/>
    </row>
    <row r="359" spans="1:63" ht="15.5" thickTop="1" thickBot="1" x14ac:dyDescent="0.4">
      <c r="A359" s="106"/>
      <c r="B359" s="976" t="s">
        <v>238</v>
      </c>
      <c r="C359" s="977"/>
      <c r="D359" s="978"/>
      <c r="E359" s="121"/>
      <c r="F359" s="1"/>
      <c r="AC359" s="101">
        <f t="shared" ref="AC359:AH359" si="15">IF($B359=AC$2984,AC358,0)</f>
        <v>1</v>
      </c>
      <c r="AD359" s="101">
        <f t="shared" si="15"/>
        <v>0</v>
      </c>
      <c r="AE359" s="101">
        <f t="shared" si="15"/>
        <v>0</v>
      </c>
      <c r="AF359" s="101">
        <f t="shared" si="15"/>
        <v>0</v>
      </c>
      <c r="AG359" s="101">
        <f t="shared" si="15"/>
        <v>0</v>
      </c>
      <c r="AH359" s="101">
        <f t="shared" si="15"/>
        <v>0</v>
      </c>
      <c r="AI359" s="122">
        <f>SUM(AC359:AH359)</f>
        <v>1</v>
      </c>
      <c r="AK359" s="967">
        <f>IF(AI359&gt;0,AI359,"")</f>
        <v>1</v>
      </c>
      <c r="AL359" s="968"/>
      <c r="AN359" s="969">
        <f>(AI359/$AN$356)/2</f>
        <v>7.1428571428571425E-2</v>
      </c>
      <c r="AO359" s="970"/>
      <c r="BB359" s="116" t="s">
        <v>239</v>
      </c>
      <c r="BD359" s="116" t="s">
        <v>239</v>
      </c>
      <c r="BG359" s="117" t="s">
        <v>240</v>
      </c>
      <c r="BH359" s="123">
        <f>BH356</f>
        <v>0.1</v>
      </c>
      <c r="BI359" s="119" t="s">
        <v>240</v>
      </c>
      <c r="BJ359" s="124">
        <f>1-BH359</f>
        <v>0.9</v>
      </c>
    </row>
    <row r="360" spans="1:63" ht="15.5" thickTop="1" thickBot="1" x14ac:dyDescent="0.35">
      <c r="A360" s="106"/>
      <c r="B360" s="1021" t="s">
        <v>241</v>
      </c>
      <c r="C360" s="1022"/>
      <c r="D360" s="1023"/>
      <c r="E360" s="121"/>
      <c r="F360" s="1"/>
      <c r="AC360" s="109"/>
      <c r="BB360" s="157">
        <f>$AC$1712</f>
        <v>10</v>
      </c>
      <c r="BD360" s="157">
        <f>$AC$1713</f>
        <v>25</v>
      </c>
      <c r="BG360" s="125" t="str">
        <f>BB358</f>
        <v>low</v>
      </c>
      <c r="BH360" s="125" t="str">
        <f>BD358</f>
        <v>high</v>
      </c>
      <c r="BI360" s="125" t="str">
        <f>BB358</f>
        <v>low</v>
      </c>
      <c r="BJ360" s="125" t="str">
        <f>BD358</f>
        <v>high</v>
      </c>
    </row>
    <row r="361" spans="1:63" ht="15" thickTop="1" thickBot="1" x14ac:dyDescent="0.35">
      <c r="A361" s="106"/>
      <c r="B361" s="107" t="str">
        <f>IF(B359="","","Add any relevant info in box below to help us help you with your trial transcripts.")</f>
        <v>Add any relevant info in box below to help us help you with your trial transcripts.</v>
      </c>
      <c r="C361" s="106"/>
      <c r="D361" s="106"/>
      <c r="E361" s="121"/>
      <c r="F361" s="1"/>
      <c r="AC361" s="109"/>
      <c r="BB361" s="157">
        <f>IF(AK365=$AC$356,0,(BB360*AK365))</f>
        <v>5545.2</v>
      </c>
      <c r="BD361" s="157">
        <f>IF(AK365=$AC$356,0,(BD360*AK365))</f>
        <v>13863</v>
      </c>
      <c r="BG361" s="157">
        <f>BB361*BH359</f>
        <v>554.52</v>
      </c>
      <c r="BH361" s="157">
        <f>BD361*BH359</f>
        <v>1386.3000000000002</v>
      </c>
      <c r="BI361" s="157">
        <f>BB361*BJ359</f>
        <v>4990.68</v>
      </c>
      <c r="BJ361" s="157">
        <f>BD361*BJ359</f>
        <v>12476.7</v>
      </c>
    </row>
    <row r="362" spans="1:63" ht="67" customHeight="1" thickTop="1" thickBot="1" x14ac:dyDescent="0.35">
      <c r="A362" s="106"/>
      <c r="B362" s="972"/>
      <c r="C362" s="973"/>
      <c r="D362" s="974"/>
      <c r="E362" s="121"/>
      <c r="F362" s="1"/>
      <c r="AC362" s="109"/>
      <c r="BJ362" s="126">
        <f>MIN(BJ361,($D$1486*10))</f>
        <v>0</v>
      </c>
    </row>
    <row r="363" spans="1:63" ht="20" customHeight="1" thickTop="1" thickBot="1" x14ac:dyDescent="0.35">
      <c r="A363" s="106"/>
      <c r="B363" s="127" t="str">
        <f>IF(B359="","","SUPPORTER REVIEW: Prepare for Independent Verifier")</f>
        <v>SUPPORTER REVIEW: Prepare for Independent Verifier</v>
      </c>
      <c r="C363" s="106"/>
      <c r="D363" s="106"/>
      <c r="E363" s="121"/>
      <c r="F363" s="1"/>
      <c r="AC363" s="109"/>
      <c r="BJ363" s="128"/>
    </row>
    <row r="364" spans="1:63" ht="14.5" thickTop="1" x14ac:dyDescent="0.3">
      <c r="A364" s="106"/>
      <c r="B364" s="129" t="str">
        <f>IF(B359="","","How many pages?")</f>
        <v>How many pages?</v>
      </c>
      <c r="C364" s="130" t="str">
        <f>IF(AJ365&gt;30,"check if URL works, report from list below","")</f>
        <v>check if URL works, report from list below</v>
      </c>
      <c r="D364" s="131" t="str">
        <f>IF(B359="","","Estimated time to verify")</f>
        <v>Estimated time to verify</v>
      </c>
      <c r="E364" s="121"/>
      <c r="F364" s="1"/>
      <c r="AP364" s="48" t="s">
        <v>242</v>
      </c>
      <c r="AT364" s="132" t="str">
        <f>IF(AND(AJ365&gt;30,B365&gt;0),"ready","not ready")</f>
        <v>ready</v>
      </c>
      <c r="AU364" s="132"/>
      <c r="AV364" s="132"/>
      <c r="BB364" s="48"/>
      <c r="BF364" s="102">
        <f>BF356</f>
        <v>0.05</v>
      </c>
      <c r="BG364" s="157">
        <f>BG361*$BF364</f>
        <v>27.725999999999999</v>
      </c>
      <c r="BH364" s="157">
        <f>BH361*$BF364</f>
        <v>69.315000000000012</v>
      </c>
      <c r="BI364" s="157">
        <f>BI361*$BF364</f>
        <v>249.53400000000002</v>
      </c>
      <c r="BJ364" s="157">
        <f>BJ361*$BF364</f>
        <v>623.83500000000004</v>
      </c>
    </row>
    <row r="365" spans="1:63" ht="14.5" thickBot="1" x14ac:dyDescent="0.35">
      <c r="A365" s="106"/>
      <c r="B365" s="133">
        <v>4621</v>
      </c>
      <c r="C365" s="134" t="s">
        <v>243</v>
      </c>
      <c r="D365" s="135" t="str">
        <f>IF(B364="","",CONCATENATE(AK365,AL365))</f>
        <v>554.52 hours</v>
      </c>
      <c r="E365" s="136"/>
      <c r="F365" s="1"/>
      <c r="AD365" s="137">
        <f>IF(B359=B$2984,G$2984,AC364)</f>
        <v>0.12</v>
      </c>
      <c r="AE365" s="138">
        <f>IF(B359=B$2985,G$2985,AD364)</f>
        <v>0</v>
      </c>
      <c r="AF365" s="139">
        <f>IF(B359=B$2986,G$2986,AE364)</f>
        <v>0</v>
      </c>
      <c r="AG365" s="140">
        <f>IF(B359=B$2987,G$2987,AF364)</f>
        <v>0</v>
      </c>
      <c r="AH365" s="7"/>
      <c r="AI365" s="141">
        <f>MAX(AD365:AG365)</f>
        <v>0.12</v>
      </c>
      <c r="AJ365" s="48">
        <f>LEN(B359)</f>
        <v>37</v>
      </c>
      <c r="AK365" s="142">
        <f>IF(B365="",$AC$356,B365*AI365)</f>
        <v>554.52</v>
      </c>
      <c r="AL365" s="48" t="s">
        <v>244</v>
      </c>
      <c r="AN365" s="48">
        <f>B365*AI365</f>
        <v>554.52</v>
      </c>
      <c r="AP365" s="143" t="str">
        <f>IF($C365=$D$2984,AP$356,"")</f>
        <v/>
      </c>
      <c r="AQ365" s="144" t="str">
        <f>IF($C365=$D$2985,AQ$356,"")</f>
        <v/>
      </c>
      <c r="AR365" s="145" t="str">
        <f>IF($C365=$D$2986,AR$356,"")</f>
        <v/>
      </c>
      <c r="AS365" s="146" t="str">
        <f>IF($C365=$D$2987,AS$356,"")</f>
        <v/>
      </c>
      <c r="AT365" s="147">
        <f>IF($C365=$D$2988,AT$356,"")</f>
        <v>1</v>
      </c>
      <c r="AU365" s="148">
        <f>MAX(AP365:AS365)</f>
        <v>0</v>
      </c>
      <c r="AV365" s="142"/>
      <c r="AX365" s="48">
        <f>IF(AK365=$AC$356,0,AK365)</f>
        <v>554.52</v>
      </c>
      <c r="BB365" s="48"/>
      <c r="BG365" s="149">
        <f>BG361*0.95</f>
        <v>526.79399999999998</v>
      </c>
      <c r="BH365" s="149">
        <f>BH361*0.95</f>
        <v>1316.9850000000001</v>
      </c>
      <c r="BI365" s="149">
        <f>BI361*0.95</f>
        <v>4741.1459999999997</v>
      </c>
      <c r="BJ365" s="149">
        <f>BJ361*0.95</f>
        <v>11852.865</v>
      </c>
    </row>
    <row r="366" spans="1:63" ht="14.5" thickTop="1" x14ac:dyDescent="0.3">
      <c r="A366" s="106"/>
      <c r="B366" s="106"/>
      <c r="C366" s="106"/>
      <c r="D366" s="106"/>
      <c r="E366" s="121"/>
      <c r="F366" s="1"/>
      <c r="BK366" s="365"/>
    </row>
    <row r="367" spans="1:63" ht="20" customHeight="1" x14ac:dyDescent="0.3">
      <c r="A367" s="103">
        <f>A357+1</f>
        <v>2</v>
      </c>
      <c r="B367" s="103" t="s">
        <v>245</v>
      </c>
      <c r="C367" s="103"/>
      <c r="D367" s="104">
        <f>IF(AN369&gt;0,AN369,0)</f>
        <v>7.1428571428571425E-2</v>
      </c>
      <c r="E367" s="121"/>
      <c r="F367" s="1"/>
      <c r="BK367" s="365"/>
    </row>
    <row r="368" spans="1:63" ht="18" customHeight="1" x14ac:dyDescent="0.3">
      <c r="A368" s="103"/>
      <c r="B368" s="965" t="s">
        <v>3804</v>
      </c>
      <c r="C368" s="965"/>
      <c r="D368" s="965"/>
      <c r="E368" s="121"/>
      <c r="F368" s="1"/>
      <c r="AC368" s="110">
        <v>1</v>
      </c>
      <c r="AD368" s="111">
        <f>AC368-($AC368/5)</f>
        <v>0.8</v>
      </c>
      <c r="AE368" s="112">
        <f>AD368-($AC368/5)</f>
        <v>0.60000000000000009</v>
      </c>
      <c r="AF368" s="113">
        <f>AE368-($AC368/5)</f>
        <v>0.40000000000000008</v>
      </c>
      <c r="AG368" s="114">
        <f>AF368-($AC368/5)</f>
        <v>0.20000000000000007</v>
      </c>
      <c r="AH368" s="115">
        <f>AG368-($AC368/5)</f>
        <v>0</v>
      </c>
      <c r="AI368" s="109"/>
      <c r="AP368" s="109"/>
      <c r="AQ368" s="109"/>
      <c r="AR368" s="109"/>
      <c r="AS368" s="109"/>
      <c r="AT368" s="109"/>
      <c r="AU368" s="109"/>
      <c r="AV368" s="109"/>
      <c r="AW368" s="109"/>
      <c r="AX368" s="109"/>
      <c r="AY368" s="109"/>
      <c r="AZ368" s="109"/>
      <c r="BA368" s="109"/>
      <c r="BB368" s="116" t="s">
        <v>234</v>
      </c>
      <c r="BD368" s="116" t="s">
        <v>235</v>
      </c>
      <c r="BE368" s="109"/>
      <c r="BF368" s="109"/>
      <c r="BG368" s="117" t="s">
        <v>236</v>
      </c>
      <c r="BH368" s="118"/>
      <c r="BI368" s="119" t="s">
        <v>237</v>
      </c>
      <c r="BJ368" s="120"/>
    </row>
    <row r="369" spans="1:62" ht="14.5" x14ac:dyDescent="0.35">
      <c r="A369" s="106"/>
      <c r="B369" s="966" t="s">
        <v>238</v>
      </c>
      <c r="C369" s="966"/>
      <c r="D369" s="966"/>
      <c r="E369" s="121"/>
      <c r="F369" s="1"/>
      <c r="AC369" s="101">
        <f t="shared" ref="AC369:AH369" si="16">IF($B369=AC$2984,AC368,0)</f>
        <v>1</v>
      </c>
      <c r="AD369" s="101">
        <f t="shared" si="16"/>
        <v>0</v>
      </c>
      <c r="AE369" s="101">
        <f t="shared" si="16"/>
        <v>0</v>
      </c>
      <c r="AF369" s="101">
        <f t="shared" si="16"/>
        <v>0</v>
      </c>
      <c r="AG369" s="101">
        <f t="shared" si="16"/>
        <v>0</v>
      </c>
      <c r="AH369" s="101">
        <f t="shared" si="16"/>
        <v>0</v>
      </c>
      <c r="AI369" s="122">
        <f>SUM(AC369:AH369)</f>
        <v>1</v>
      </c>
      <c r="AK369" s="967">
        <f>IF(AI369&gt;0,AI369,"")</f>
        <v>1</v>
      </c>
      <c r="AL369" s="968"/>
      <c r="AN369" s="969">
        <f>(AI369/$AN$356)/2</f>
        <v>7.1428571428571425E-2</v>
      </c>
      <c r="AO369" s="970"/>
      <c r="BB369" s="116" t="s">
        <v>239</v>
      </c>
      <c r="BD369" s="116" t="s">
        <v>239</v>
      </c>
      <c r="BG369" s="117" t="s">
        <v>240</v>
      </c>
      <c r="BH369" s="123">
        <f>BH359</f>
        <v>0.1</v>
      </c>
      <c r="BI369" s="119" t="s">
        <v>240</v>
      </c>
      <c r="BJ369" s="124">
        <f>1-BH369</f>
        <v>0.9</v>
      </c>
    </row>
    <row r="370" spans="1:62" ht="14.5" x14ac:dyDescent="0.3">
      <c r="A370" s="106"/>
      <c r="B370" s="971" t="s">
        <v>241</v>
      </c>
      <c r="C370" s="971"/>
      <c r="D370" s="971"/>
      <c r="E370" s="121"/>
      <c r="F370" s="1"/>
      <c r="BB370" s="157">
        <f>$AC$1712</f>
        <v>10</v>
      </c>
      <c r="BD370" s="157">
        <f>$AC$1713</f>
        <v>25</v>
      </c>
      <c r="BG370" s="125" t="str">
        <f>BB368</f>
        <v>low</v>
      </c>
      <c r="BH370" s="125" t="str">
        <f>BD368</f>
        <v>high</v>
      </c>
      <c r="BI370" s="125" t="str">
        <f>BB368</f>
        <v>low</v>
      </c>
      <c r="BJ370" s="125" t="str">
        <f>BD368</f>
        <v>high</v>
      </c>
    </row>
    <row r="371" spans="1:62" ht="14.5" thickBot="1" x14ac:dyDescent="0.35">
      <c r="A371" s="106"/>
      <c r="B371" s="107" t="str">
        <f>IF(B369="","","Add any relevant info in box below to help us help you with your discovery documents.")</f>
        <v>Add any relevant info in box below to help us help you with your discovery documents.</v>
      </c>
      <c r="C371" s="106"/>
      <c r="D371" s="106"/>
      <c r="E371" s="121"/>
      <c r="F371" s="1"/>
      <c r="BB371" s="157">
        <f>IF(AK375=$AC$356,0,(BB370*AK375))</f>
        <v>43.2</v>
      </c>
      <c r="BD371" s="157">
        <f>IF(AK375=$AC$356,0,(BD370*AK375))</f>
        <v>108</v>
      </c>
      <c r="BG371" s="157">
        <f>BB371*BH369</f>
        <v>4.32</v>
      </c>
      <c r="BH371" s="157">
        <f>BD371*BH369</f>
        <v>10.8</v>
      </c>
      <c r="BI371" s="157">
        <f>BB371*BJ369</f>
        <v>38.880000000000003</v>
      </c>
      <c r="BJ371" s="157">
        <f>BD371*BJ369</f>
        <v>97.2</v>
      </c>
    </row>
    <row r="372" spans="1:62" ht="67" customHeight="1" thickTop="1" thickBot="1" x14ac:dyDescent="0.35">
      <c r="A372" s="106"/>
      <c r="B372" s="972"/>
      <c r="C372" s="973"/>
      <c r="D372" s="974"/>
      <c r="E372" s="121"/>
      <c r="F372" s="1"/>
      <c r="BJ372" s="126">
        <f>MIN(BJ371,($D$1486*10))</f>
        <v>0</v>
      </c>
    </row>
    <row r="373" spans="1:62" ht="16.5" thickTop="1" thickBot="1" x14ac:dyDescent="0.35">
      <c r="A373" s="106"/>
      <c r="B373" s="127" t="str">
        <f>IF(B369="","","SUPPORTER REVIEW: Prepare for Independent Verifier")</f>
        <v>SUPPORTER REVIEW: Prepare for Independent Verifier</v>
      </c>
      <c r="C373" s="106"/>
      <c r="D373" s="106"/>
      <c r="E373" s="121"/>
      <c r="F373" s="1"/>
      <c r="BJ373" s="128"/>
    </row>
    <row r="374" spans="1:62" ht="14.5" thickTop="1" x14ac:dyDescent="0.3">
      <c r="A374" s="106"/>
      <c r="B374" s="129" t="str">
        <f>IF(B369="","","How many pages?")</f>
        <v>How many pages?</v>
      </c>
      <c r="C374" s="130" t="str">
        <f>IF(AJ375&gt;30,"check if URL works, report from list below","")</f>
        <v>check if URL works, report from list below</v>
      </c>
      <c r="D374" s="131" t="str">
        <f>IF(B369="","","Estimated time to verify")</f>
        <v>Estimated time to verify</v>
      </c>
      <c r="E374" s="121"/>
      <c r="F374" s="1"/>
      <c r="AP374" s="48" t="s">
        <v>242</v>
      </c>
      <c r="AT374" s="132" t="str">
        <f>IF(AND(AJ375&gt;30,B375&gt;0),"ready","not ready")</f>
        <v>ready</v>
      </c>
      <c r="AU374" s="132"/>
      <c r="AV374" s="132"/>
      <c r="BB374" s="48"/>
      <c r="BF374" s="102">
        <f>BF364</f>
        <v>0.05</v>
      </c>
      <c r="BG374" s="157">
        <f>BG371*$BF374</f>
        <v>0.21600000000000003</v>
      </c>
      <c r="BH374" s="157">
        <f>BH371*$BF374</f>
        <v>0.54</v>
      </c>
      <c r="BI374" s="157">
        <f>BI371*$BF374</f>
        <v>1.9440000000000002</v>
      </c>
      <c r="BJ374" s="157">
        <f>BJ371*$BF374</f>
        <v>4.8600000000000003</v>
      </c>
    </row>
    <row r="375" spans="1:62" ht="14.5" thickBot="1" x14ac:dyDescent="0.35">
      <c r="A375" s="106"/>
      <c r="B375" s="150">
        <v>36</v>
      </c>
      <c r="C375" s="134" t="s">
        <v>243</v>
      </c>
      <c r="D375" s="135" t="str">
        <f>IF(B374="","",CONCATENATE(AK375,AL375))</f>
        <v>4.32 hours</v>
      </c>
      <c r="E375" s="121"/>
      <c r="F375" s="1"/>
      <c r="AD375" s="137">
        <f>IF(B369=B$2984,G$2984,AC374)</f>
        <v>0.12</v>
      </c>
      <c r="AE375" s="138">
        <f>IF(B369=B$2985,G$2985,AD374)</f>
        <v>0</v>
      </c>
      <c r="AF375" s="139">
        <f>IF(B369=B$2986,G$2986,AE374)</f>
        <v>0</v>
      </c>
      <c r="AG375" s="140">
        <f>IF(B369=B$2987,G$2987,AF374)</f>
        <v>0</v>
      </c>
      <c r="AH375" s="7"/>
      <c r="AI375" s="141">
        <f>MAX(AD375:AG375)</f>
        <v>0.12</v>
      </c>
      <c r="AJ375" s="48">
        <f>LEN(B369)</f>
        <v>37</v>
      </c>
      <c r="AK375" s="142">
        <f>IF(B375="",$AC$356,B375*AI375)</f>
        <v>4.32</v>
      </c>
      <c r="AL375" s="48" t="s">
        <v>244</v>
      </c>
      <c r="AN375" s="48">
        <f>B375*AI375</f>
        <v>4.32</v>
      </c>
      <c r="AP375" s="143" t="str">
        <f>IF($C375=$D$2984,AP$356,"")</f>
        <v/>
      </c>
      <c r="AQ375" s="144" t="str">
        <f>IF($C375=$D$2985,AQ$356,"")</f>
        <v/>
      </c>
      <c r="AR375" s="145" t="str">
        <f>IF($C375=$D$2986,AR$356,"")</f>
        <v/>
      </c>
      <c r="AS375" s="146" t="str">
        <f>IF($C375=$D$2987,AS$356,"")</f>
        <v/>
      </c>
      <c r="AT375" s="147">
        <f>IF($C375=$D$2988,AT$356,"")</f>
        <v>1</v>
      </c>
      <c r="AU375" s="148">
        <f>MAX(AP375:AS375)</f>
        <v>0</v>
      </c>
      <c r="AV375" s="142"/>
      <c r="AX375" s="101">
        <f>IF(AK375=$AC$356,0,AK375)</f>
        <v>4.32</v>
      </c>
      <c r="BB375" s="48"/>
      <c r="BG375" s="149">
        <f>BG371*0.95</f>
        <v>4.1040000000000001</v>
      </c>
      <c r="BH375" s="149">
        <f>BH371*0.95</f>
        <v>10.26</v>
      </c>
      <c r="BI375" s="149">
        <f>BI371*0.95</f>
        <v>36.936</v>
      </c>
      <c r="BJ375" s="149">
        <f>BJ371*0.95</f>
        <v>92.34</v>
      </c>
    </row>
    <row r="376" spans="1:62" ht="14.5" thickTop="1" x14ac:dyDescent="0.3">
      <c r="A376" s="106"/>
      <c r="B376" s="106"/>
      <c r="C376" s="106"/>
      <c r="D376" s="106"/>
      <c r="E376" s="121"/>
      <c r="F376" s="1"/>
    </row>
    <row r="377" spans="1:62" ht="20" customHeight="1" x14ac:dyDescent="0.3">
      <c r="A377" s="103">
        <f>A367+1</f>
        <v>3</v>
      </c>
      <c r="B377" s="103" t="s">
        <v>246</v>
      </c>
      <c r="C377" s="103"/>
      <c r="D377" s="104">
        <f>IF(AN379&gt;0,AN379,0)</f>
        <v>7.1428571428571425E-2</v>
      </c>
      <c r="E377" s="121"/>
      <c r="F377" s="1"/>
    </row>
    <row r="378" spans="1:62" ht="18" customHeight="1" x14ac:dyDescent="0.3">
      <c r="A378" s="103"/>
      <c r="B378" s="965" t="s">
        <v>3803</v>
      </c>
      <c r="C378" s="965"/>
      <c r="D378" s="965"/>
      <c r="E378" s="121"/>
      <c r="F378" s="1"/>
      <c r="AC378" s="110">
        <v>1</v>
      </c>
      <c r="AD378" s="111">
        <f>AC378-($AC378/5)</f>
        <v>0.8</v>
      </c>
      <c r="AE378" s="112">
        <f>AD378-($AC378/5)</f>
        <v>0.60000000000000009</v>
      </c>
      <c r="AF378" s="113">
        <f>AE378-($AC378/5)</f>
        <v>0.40000000000000008</v>
      </c>
      <c r="AG378" s="114">
        <f>AF378-($AC378/5)</f>
        <v>0.20000000000000007</v>
      </c>
      <c r="AH378" s="115">
        <f>AG378-($AC378/5)</f>
        <v>0</v>
      </c>
      <c r="AI378" s="109"/>
      <c r="AP378" s="109"/>
      <c r="AQ378" s="109"/>
      <c r="AR378" s="109"/>
      <c r="AS378" s="109"/>
      <c r="AT378" s="109"/>
      <c r="AU378" s="109"/>
      <c r="AV378" s="109"/>
      <c r="AW378" s="109"/>
      <c r="AX378" s="109"/>
      <c r="AY378" s="109"/>
      <c r="AZ378" s="109"/>
      <c r="BA378" s="109"/>
      <c r="BB378" s="116" t="s">
        <v>234</v>
      </c>
      <c r="BD378" s="116" t="s">
        <v>235</v>
      </c>
      <c r="BE378" s="109"/>
      <c r="BF378" s="109"/>
      <c r="BG378" s="117" t="s">
        <v>236</v>
      </c>
      <c r="BH378" s="118"/>
      <c r="BI378" s="119" t="s">
        <v>237</v>
      </c>
      <c r="BJ378" s="120"/>
    </row>
    <row r="379" spans="1:62" ht="14.5" x14ac:dyDescent="0.35">
      <c r="A379" s="106"/>
      <c r="B379" s="966" t="s">
        <v>238</v>
      </c>
      <c r="C379" s="966"/>
      <c r="D379" s="966"/>
      <c r="E379" s="121"/>
      <c r="F379" s="1"/>
      <c r="AC379" s="101">
        <f t="shared" ref="AC379:AH379" si="17">IF($B379=AC$2984,AC378,0)</f>
        <v>1</v>
      </c>
      <c r="AD379" s="101">
        <f t="shared" si="17"/>
        <v>0</v>
      </c>
      <c r="AE379" s="101">
        <f t="shared" si="17"/>
        <v>0</v>
      </c>
      <c r="AF379" s="101">
        <f t="shared" si="17"/>
        <v>0</v>
      </c>
      <c r="AG379" s="101">
        <f t="shared" si="17"/>
        <v>0</v>
      </c>
      <c r="AH379" s="101">
        <f t="shared" si="17"/>
        <v>0</v>
      </c>
      <c r="AI379" s="122">
        <f>SUM(AC379:AH379)</f>
        <v>1</v>
      </c>
      <c r="AK379" s="967">
        <f>IF(AI379&gt;0,AI379,"")</f>
        <v>1</v>
      </c>
      <c r="AL379" s="968"/>
      <c r="AN379" s="969">
        <f>(AI379/$AN$356)/2</f>
        <v>7.1428571428571425E-2</v>
      </c>
      <c r="AO379" s="970"/>
      <c r="BB379" s="116" t="s">
        <v>239</v>
      </c>
      <c r="BD379" s="116" t="s">
        <v>239</v>
      </c>
      <c r="BG379" s="117" t="s">
        <v>240</v>
      </c>
      <c r="BH379" s="123">
        <f>BH369</f>
        <v>0.1</v>
      </c>
      <c r="BI379" s="119" t="s">
        <v>240</v>
      </c>
      <c r="BJ379" s="124">
        <f>1-BH379</f>
        <v>0.9</v>
      </c>
    </row>
    <row r="380" spans="1:62" ht="14.5" x14ac:dyDescent="0.3">
      <c r="A380" s="106"/>
      <c r="B380" s="971" t="s">
        <v>241</v>
      </c>
      <c r="C380" s="971"/>
      <c r="D380" s="971"/>
      <c r="E380" s="121"/>
      <c r="F380" s="1"/>
      <c r="BB380" s="157">
        <f>$AC$1712</f>
        <v>10</v>
      </c>
      <c r="BD380" s="157">
        <f>$AC$1713</f>
        <v>25</v>
      </c>
      <c r="BG380" s="125" t="str">
        <f>BB378</f>
        <v>low</v>
      </c>
      <c r="BH380" s="125" t="str">
        <f>BD378</f>
        <v>high</v>
      </c>
      <c r="BI380" s="125" t="str">
        <f>BB378</f>
        <v>low</v>
      </c>
      <c r="BJ380" s="125" t="str">
        <f>BD378</f>
        <v>high</v>
      </c>
    </row>
    <row r="381" spans="1:62" ht="14.5" thickBot="1" x14ac:dyDescent="0.35">
      <c r="A381" s="106"/>
      <c r="B381" s="107" t="str">
        <f>IF(B379="","","Add any relevant info in box below to help us help you with your other trial documents.")</f>
        <v>Add any relevant info in box below to help us help you with your other trial documents.</v>
      </c>
      <c r="C381" s="106"/>
      <c r="D381" s="106"/>
      <c r="E381" s="121"/>
      <c r="F381" s="1"/>
      <c r="BB381" s="157">
        <f>IF(AK385=$AC$356,0,(BB380*AK385))</f>
        <v>4.8</v>
      </c>
      <c r="BD381" s="157">
        <f>IF(AK385=$AC$356,0,(BD380*AK385))</f>
        <v>12</v>
      </c>
      <c r="BG381" s="157">
        <f>BB381*BH379</f>
        <v>0.48</v>
      </c>
      <c r="BH381" s="157">
        <f>BD381*BH379</f>
        <v>1.2000000000000002</v>
      </c>
      <c r="BI381" s="157">
        <f>BB381*BJ379</f>
        <v>4.32</v>
      </c>
      <c r="BJ381" s="157">
        <f>BD381*BJ379</f>
        <v>10.8</v>
      </c>
    </row>
    <row r="382" spans="1:62" ht="67" customHeight="1" thickTop="1" thickBot="1" x14ac:dyDescent="0.35">
      <c r="A382" s="106"/>
      <c r="B382" s="972"/>
      <c r="C382" s="973"/>
      <c r="D382" s="974"/>
      <c r="E382" s="121"/>
      <c r="F382" s="1"/>
      <c r="BJ382" s="126">
        <f>MIN(BJ381,($D$1486*10))</f>
        <v>0</v>
      </c>
    </row>
    <row r="383" spans="1:62" ht="16.5" thickTop="1" thickBot="1" x14ac:dyDescent="0.35">
      <c r="A383" s="106"/>
      <c r="B383" s="127" t="str">
        <f>IF(B379="","","SUPPORTER REVIEW: Prepare for Independent Verifier")</f>
        <v>SUPPORTER REVIEW: Prepare for Independent Verifier</v>
      </c>
      <c r="C383" s="106"/>
      <c r="D383" s="106"/>
      <c r="E383" s="121"/>
      <c r="F383" s="1"/>
      <c r="BJ383" s="128"/>
    </row>
    <row r="384" spans="1:62" ht="14.5" thickTop="1" x14ac:dyDescent="0.3">
      <c r="A384" s="106"/>
      <c r="B384" s="129" t="str">
        <f>IF(B379="","","How many pages?")</f>
        <v>How many pages?</v>
      </c>
      <c r="C384" s="130" t="str">
        <f>IF(AJ385&gt;30,"check if URL works, report from list below","")</f>
        <v>check if URL works, report from list below</v>
      </c>
      <c r="D384" s="131" t="str">
        <f>IF(B379="","","Estimated time to verify")</f>
        <v>Estimated time to verify</v>
      </c>
      <c r="E384" s="121"/>
      <c r="F384" s="1"/>
      <c r="AP384" s="48" t="s">
        <v>242</v>
      </c>
      <c r="AT384" s="132" t="str">
        <f>IF(AND(AJ385&gt;30,B385&gt;0),"ready","not ready")</f>
        <v>ready</v>
      </c>
      <c r="AU384" s="132"/>
      <c r="AV384" s="132"/>
      <c r="BB384" s="48"/>
      <c r="BF384" s="102">
        <f>BF374</f>
        <v>0.05</v>
      </c>
      <c r="BG384" s="157">
        <f>BG381*$BF384</f>
        <v>2.4E-2</v>
      </c>
      <c r="BH384" s="157">
        <f>BH381*$BF384</f>
        <v>6.0000000000000012E-2</v>
      </c>
      <c r="BI384" s="157">
        <f>BI381*$BF384</f>
        <v>0.21600000000000003</v>
      </c>
      <c r="BJ384" s="157">
        <f>BJ381*$BF384</f>
        <v>0.54</v>
      </c>
    </row>
    <row r="385" spans="1:62" ht="14.5" thickBot="1" x14ac:dyDescent="0.35">
      <c r="A385" s="106"/>
      <c r="B385" s="150">
        <v>4</v>
      </c>
      <c r="C385" s="134" t="s">
        <v>243</v>
      </c>
      <c r="D385" s="135" t="str">
        <f>IF(B384="","",CONCATENATE(AK385,AL385))</f>
        <v>0.48 hours</v>
      </c>
      <c r="E385" s="121"/>
      <c r="F385" s="1"/>
      <c r="AD385" s="137">
        <f>IF(B379=B$2984,G$2984,AC384)</f>
        <v>0.12</v>
      </c>
      <c r="AE385" s="138">
        <f>IF(B379=B$2985,G$2985,AD384)</f>
        <v>0</v>
      </c>
      <c r="AF385" s="139">
        <f>IF(B379=B$2986,G$2986,AE384)</f>
        <v>0</v>
      </c>
      <c r="AG385" s="140">
        <f>IF(B379=B$2987,G$2987,AF384)</f>
        <v>0</v>
      </c>
      <c r="AH385" s="7"/>
      <c r="AI385" s="141">
        <f>MAX(AD385:AG385)</f>
        <v>0.12</v>
      </c>
      <c r="AJ385" s="48">
        <f>LEN(B379)</f>
        <v>37</v>
      </c>
      <c r="AK385" s="142">
        <f>IF(B385="",$AC$356,B385*AI385)</f>
        <v>0.48</v>
      </c>
      <c r="AL385" s="48" t="s">
        <v>244</v>
      </c>
      <c r="AN385" s="48">
        <f>B385*AI385</f>
        <v>0.48</v>
      </c>
      <c r="AP385" s="143" t="str">
        <f>IF($C385=$D$2984,AP$356,"")</f>
        <v/>
      </c>
      <c r="AQ385" s="144" t="str">
        <f>IF($C385=$D$2985,AQ$356,"")</f>
        <v/>
      </c>
      <c r="AR385" s="145" t="str">
        <f>IF($C385=$D$2986,AR$356,"")</f>
        <v/>
      </c>
      <c r="AS385" s="146" t="str">
        <f>IF($C385=$D$2987,AS$356,"")</f>
        <v/>
      </c>
      <c r="AT385" s="147">
        <f>IF($C385=$D$2988,AT$356,"")</f>
        <v>1</v>
      </c>
      <c r="AU385" s="148">
        <f>MAX(AP385:AS385)</f>
        <v>0</v>
      </c>
      <c r="AV385" s="142"/>
      <c r="AX385" s="101">
        <f>IF(AK385=$AC$356,0,AK385)</f>
        <v>0.48</v>
      </c>
      <c r="BB385" s="48"/>
      <c r="BG385" s="149">
        <f>BG381*0.95</f>
        <v>0.45599999999999996</v>
      </c>
      <c r="BH385" s="149">
        <f>BH381*0.95</f>
        <v>1.1400000000000001</v>
      </c>
      <c r="BI385" s="149">
        <f>BI381*0.95</f>
        <v>4.1040000000000001</v>
      </c>
      <c r="BJ385" s="149">
        <f>BJ381*0.95</f>
        <v>10.26</v>
      </c>
    </row>
    <row r="386" spans="1:62" ht="13" customHeight="1" thickTop="1" x14ac:dyDescent="0.3">
      <c r="A386" s="106"/>
      <c r="B386" s="106"/>
      <c r="C386" s="106"/>
      <c r="D386" s="106"/>
      <c r="E386" s="121"/>
      <c r="F386" s="1"/>
    </row>
    <row r="387" spans="1:62" ht="20" customHeight="1" x14ac:dyDescent="0.3">
      <c r="A387" s="103">
        <f>A377+1</f>
        <v>4</v>
      </c>
      <c r="B387" s="103" t="s">
        <v>248</v>
      </c>
      <c r="C387" s="103"/>
      <c r="D387" s="104">
        <f>IF(AN389&gt;0,AN389,0)</f>
        <v>0</v>
      </c>
      <c r="E387" s="121"/>
      <c r="F387" s="1"/>
    </row>
    <row r="388" spans="1:62" ht="18" customHeight="1" x14ac:dyDescent="0.3">
      <c r="A388" s="103"/>
      <c r="B388" s="965" t="s">
        <v>249</v>
      </c>
      <c r="C388" s="965"/>
      <c r="D388" s="965"/>
      <c r="E388" s="121"/>
      <c r="F388" s="1"/>
      <c r="AC388" s="110">
        <v>1</v>
      </c>
      <c r="AD388" s="111">
        <f>AC388-($AC388/5)</f>
        <v>0.8</v>
      </c>
      <c r="AE388" s="112">
        <f>AD388-($AC388/5)</f>
        <v>0.60000000000000009</v>
      </c>
      <c r="AF388" s="113">
        <f>AE388-($AC388/5)</f>
        <v>0.40000000000000008</v>
      </c>
      <c r="AG388" s="114">
        <f>AF388-($AC388/5)</f>
        <v>0.20000000000000007</v>
      </c>
      <c r="AP388" s="109"/>
      <c r="AQ388" s="109"/>
      <c r="AR388" s="109"/>
      <c r="AS388" s="109"/>
      <c r="AT388" s="109"/>
      <c r="AU388" s="109"/>
      <c r="AV388" s="109"/>
      <c r="AW388" s="109"/>
      <c r="AX388" s="109"/>
      <c r="AY388" s="109"/>
      <c r="AZ388" s="109"/>
      <c r="BA388" s="109"/>
      <c r="BB388" s="116" t="s">
        <v>234</v>
      </c>
      <c r="BD388" s="116" t="s">
        <v>235</v>
      </c>
      <c r="BE388" s="109"/>
      <c r="BF388" s="109"/>
      <c r="BG388" s="117" t="s">
        <v>236</v>
      </c>
      <c r="BH388" s="118"/>
      <c r="BI388" s="119" t="s">
        <v>237</v>
      </c>
      <c r="BJ388" s="120"/>
    </row>
    <row r="389" spans="1:62" ht="14.5" x14ac:dyDescent="0.35">
      <c r="A389" s="106"/>
      <c r="B389" s="966"/>
      <c r="C389" s="966"/>
      <c r="D389" s="966"/>
      <c r="E389" s="121"/>
      <c r="F389" s="1"/>
      <c r="AC389" s="101">
        <f t="shared" ref="AC389:AH389" si="18">IF($B389=AC$2984,AC388,0)</f>
        <v>0</v>
      </c>
      <c r="AD389" s="101">
        <f t="shared" si="18"/>
        <v>0</v>
      </c>
      <c r="AE389" s="101">
        <f t="shared" si="18"/>
        <v>0</v>
      </c>
      <c r="AF389" s="101">
        <f t="shared" si="18"/>
        <v>0</v>
      </c>
      <c r="AG389" s="101">
        <f t="shared" si="18"/>
        <v>0</v>
      </c>
      <c r="AH389" s="101">
        <f t="shared" si="18"/>
        <v>0</v>
      </c>
      <c r="AI389" s="151">
        <f>SUM(AC389:AH389)</f>
        <v>0</v>
      </c>
      <c r="AK389" s="967" t="str">
        <f>IF(AI389&gt;0,AI389,"")</f>
        <v/>
      </c>
      <c r="AL389" s="968"/>
      <c r="AN389" s="969">
        <f>(AI389/$AN$356)/2</f>
        <v>0</v>
      </c>
      <c r="AO389" s="970"/>
      <c r="BB389" s="116" t="s">
        <v>239</v>
      </c>
      <c r="BD389" s="116" t="s">
        <v>239</v>
      </c>
      <c r="BG389" s="117" t="s">
        <v>240</v>
      </c>
      <c r="BH389" s="123">
        <f>BH379</f>
        <v>0.1</v>
      </c>
      <c r="BI389" s="119" t="s">
        <v>240</v>
      </c>
      <c r="BJ389" s="124">
        <f>1-BH389</f>
        <v>0.9</v>
      </c>
    </row>
    <row r="390" spans="1:62" ht="14.5" x14ac:dyDescent="0.3">
      <c r="A390" s="106"/>
      <c r="B390" s="971"/>
      <c r="C390" s="971"/>
      <c r="D390" s="971"/>
      <c r="E390" s="121"/>
      <c r="F390" s="1"/>
      <c r="BB390" s="157">
        <f>$AC$1712</f>
        <v>10</v>
      </c>
      <c r="BD390" s="157">
        <f>$AC$1713</f>
        <v>25</v>
      </c>
      <c r="BG390" s="125" t="str">
        <f>BB388</f>
        <v>low</v>
      </c>
      <c r="BH390" s="125" t="str">
        <f>BD388</f>
        <v>high</v>
      </c>
      <c r="BI390" s="125" t="str">
        <f>BB388</f>
        <v>low</v>
      </c>
      <c r="BJ390" s="125" t="str">
        <f>BD388</f>
        <v>high</v>
      </c>
    </row>
    <row r="391" spans="1:62" ht="14.5" thickBot="1" x14ac:dyDescent="0.35">
      <c r="A391" s="106"/>
      <c r="B391" s="107" t="str">
        <f>IF(B389="","","Add any relevant info in box below to help us help you with your interrogation transcripts.")</f>
        <v/>
      </c>
      <c r="C391" s="152"/>
      <c r="D391" s="152"/>
      <c r="E391" s="121"/>
      <c r="F391" s="1"/>
      <c r="BB391" s="157">
        <f>IF(AK395=$AC$356,0,(BB390*AK395))</f>
        <v>0</v>
      </c>
      <c r="BD391" s="157">
        <f>IF(AK395=$AC$356,0,(BD390*AK395))</f>
        <v>0</v>
      </c>
      <c r="BG391" s="157">
        <f>BB391*BH389</f>
        <v>0</v>
      </c>
      <c r="BH391" s="157">
        <f>BD391*BH389</f>
        <v>0</v>
      </c>
      <c r="BI391" s="157">
        <f>BB391*BJ389</f>
        <v>0</v>
      </c>
      <c r="BJ391" s="157">
        <f>BD391*BJ389</f>
        <v>0</v>
      </c>
    </row>
    <row r="392" spans="1:62" ht="85" customHeight="1" thickTop="1" thickBot="1" x14ac:dyDescent="0.35">
      <c r="A392" s="106"/>
      <c r="B392" s="972"/>
      <c r="C392" s="973"/>
      <c r="D392" s="974"/>
      <c r="E392" s="136"/>
      <c r="F392" s="1"/>
      <c r="BJ392" s="126">
        <f>MIN(BJ391,($D$1486*10))</f>
        <v>0</v>
      </c>
    </row>
    <row r="393" spans="1:62" ht="16.5" thickTop="1" thickBot="1" x14ac:dyDescent="0.35">
      <c r="A393" s="106"/>
      <c r="B393" s="127" t="str">
        <f>IF(B389="","","SUPPORTER REVIEW: Prepare for Independent Verifier")</f>
        <v/>
      </c>
      <c r="C393" s="106"/>
      <c r="D393" s="106"/>
      <c r="E393" s="136"/>
      <c r="F393" s="1"/>
      <c r="BJ393" s="128"/>
    </row>
    <row r="394" spans="1:62" ht="14.5" thickTop="1" x14ac:dyDescent="0.3">
      <c r="A394" s="106"/>
      <c r="B394" s="129" t="str">
        <f>IF(B389="","","How many pages?")</f>
        <v/>
      </c>
      <c r="C394" s="130" t="str">
        <f>IF(AJ395&gt;30,"check if URL works, report from list below","")</f>
        <v/>
      </c>
      <c r="D394" s="131" t="str">
        <f>IF(B389="","","Estimated time to verify")</f>
        <v/>
      </c>
      <c r="E394" s="106"/>
      <c r="F394" s="1"/>
      <c r="AP394" s="48" t="s">
        <v>242</v>
      </c>
      <c r="AT394" s="132" t="str">
        <f>IF(AND(AJ395&gt;30,B395&gt;0),"ready","not ready")</f>
        <v>not ready</v>
      </c>
      <c r="AU394" s="132"/>
      <c r="AV394" s="132"/>
      <c r="BB394" s="48"/>
      <c r="BF394" s="102">
        <f>BF384</f>
        <v>0.05</v>
      </c>
      <c r="BG394" s="157">
        <f>BG391*$BF394</f>
        <v>0</v>
      </c>
      <c r="BH394" s="157">
        <f>BH391*$BF394</f>
        <v>0</v>
      </c>
      <c r="BI394" s="157">
        <f>BI391*$BF394</f>
        <v>0</v>
      </c>
      <c r="BJ394" s="157">
        <f>BJ391*$BF394</f>
        <v>0</v>
      </c>
    </row>
    <row r="395" spans="1:62" ht="14.5" thickBot="1" x14ac:dyDescent="0.35">
      <c r="A395" s="106"/>
      <c r="B395" s="150"/>
      <c r="C395" s="134"/>
      <c r="D395" s="135" t="str">
        <f>IF(B394="","",CONCATENATE(AK395,AL395))</f>
        <v/>
      </c>
      <c r="E395" s="106"/>
      <c r="F395" s="1"/>
      <c r="AD395" s="137">
        <f>IF(B389=B$2984,G$2984,AC394)</f>
        <v>0</v>
      </c>
      <c r="AE395" s="138">
        <f>IF(B389=B$2985,G$2985,AD394)</f>
        <v>0</v>
      </c>
      <c r="AF395" s="139">
        <f>IF(B389=B$2986,G$2986,AE394)</f>
        <v>0</v>
      </c>
      <c r="AG395" s="140">
        <f>IF(B389=B$2987,G$2987,AF394)</f>
        <v>0</v>
      </c>
      <c r="AH395" s="7"/>
      <c r="AI395" s="141">
        <f>MAX(AD395:AG395)</f>
        <v>0</v>
      </c>
      <c r="AJ395" s="48">
        <f>LEN(B389)</f>
        <v>0</v>
      </c>
      <c r="AK395" s="142" t="str">
        <f>IF(B395="",$AC$356,B395*AI395)</f>
        <v>in estimated</v>
      </c>
      <c r="AL395" s="48" t="s">
        <v>244</v>
      </c>
      <c r="AN395" s="48">
        <f>B395*AI395</f>
        <v>0</v>
      </c>
      <c r="AP395" s="143" t="str">
        <f>IF($C395=$D$2984,AP$356,"")</f>
        <v/>
      </c>
      <c r="AQ395" s="144" t="str">
        <f>IF($C395=$D$2985,AQ$356,"")</f>
        <v/>
      </c>
      <c r="AR395" s="145" t="str">
        <f>IF($C395=$D$2986,AR$356,"")</f>
        <v/>
      </c>
      <c r="AS395" s="146" t="str">
        <f>IF($C395=$D$2987,AS$356,"")</f>
        <v/>
      </c>
      <c r="AT395" s="147" t="str">
        <f>IF($C395=$D$2988,AT$356,"")</f>
        <v/>
      </c>
      <c r="AU395" s="148">
        <f>MAX(AP395:AS395)</f>
        <v>0</v>
      </c>
      <c r="AV395" s="142"/>
      <c r="AX395" s="101">
        <f>IF(AK395=$AC$356,0,AK395)</f>
        <v>0</v>
      </c>
      <c r="BB395" s="48"/>
      <c r="BG395" s="149">
        <f>BG391*0.95</f>
        <v>0</v>
      </c>
      <c r="BH395" s="149">
        <f>BH391*0.95</f>
        <v>0</v>
      </c>
      <c r="BI395" s="149">
        <f>BI391*0.95</f>
        <v>0</v>
      </c>
      <c r="BJ395" s="149">
        <f>BJ391*0.95</f>
        <v>0</v>
      </c>
    </row>
    <row r="396" spans="1:62" ht="14.5" thickTop="1" x14ac:dyDescent="0.3">
      <c r="A396" s="106"/>
      <c r="B396" s="106"/>
      <c r="C396" s="106"/>
      <c r="D396" s="106"/>
      <c r="E396" s="106"/>
      <c r="F396" s="1"/>
    </row>
    <row r="397" spans="1:62" ht="20" customHeight="1" x14ac:dyDescent="0.3">
      <c r="A397" s="103">
        <f>A387+1</f>
        <v>5</v>
      </c>
      <c r="B397" s="103" t="s">
        <v>250</v>
      </c>
      <c r="C397" s="103"/>
      <c r="D397" s="104">
        <f>IF(AN399&gt;0,AN399,0)</f>
        <v>7.1428571428571425E-2</v>
      </c>
      <c r="E397" s="121"/>
      <c r="F397" s="1"/>
    </row>
    <row r="398" spans="1:62" ht="18" customHeight="1" x14ac:dyDescent="0.3">
      <c r="A398" s="103"/>
      <c r="B398" s="153" t="s">
        <v>3802</v>
      </c>
      <c r="C398" s="153"/>
      <c r="D398" s="153"/>
      <c r="E398" s="121"/>
      <c r="F398" s="1"/>
      <c r="AC398" s="110">
        <v>1</v>
      </c>
      <c r="AD398" s="111">
        <f>AC398-($AC398/5)</f>
        <v>0.8</v>
      </c>
      <c r="AE398" s="112">
        <f>AD398-($AC398/5)</f>
        <v>0.60000000000000009</v>
      </c>
      <c r="AF398" s="113">
        <f>AE398-($AC398/5)</f>
        <v>0.40000000000000008</v>
      </c>
      <c r="AG398" s="114">
        <f>AF398-($AC398/5)</f>
        <v>0.20000000000000007</v>
      </c>
      <c r="AH398" s="115">
        <f>AG398-($AC398/5)</f>
        <v>0</v>
      </c>
      <c r="AI398" s="109"/>
      <c r="AP398" s="109"/>
      <c r="AQ398" s="109"/>
      <c r="AR398" s="109"/>
      <c r="AS398" s="109"/>
      <c r="AT398" s="109"/>
      <c r="AU398" s="109"/>
      <c r="AV398" s="109"/>
      <c r="AW398" s="109"/>
      <c r="AX398" s="109"/>
      <c r="AY398" s="109"/>
      <c r="AZ398" s="109"/>
      <c r="BA398" s="109"/>
      <c r="BB398" s="116" t="s">
        <v>234</v>
      </c>
      <c r="BD398" s="116" t="s">
        <v>235</v>
      </c>
      <c r="BE398" s="109"/>
      <c r="BF398" s="109"/>
      <c r="BG398" s="117" t="s">
        <v>236</v>
      </c>
      <c r="BH398" s="118"/>
      <c r="BI398" s="119" t="s">
        <v>237</v>
      </c>
      <c r="BJ398" s="120"/>
    </row>
    <row r="399" spans="1:62" ht="14.5" x14ac:dyDescent="0.35">
      <c r="A399" s="106"/>
      <c r="B399" s="966" t="s">
        <v>238</v>
      </c>
      <c r="C399" s="966"/>
      <c r="D399" s="966"/>
      <c r="E399" s="121"/>
      <c r="F399" s="1"/>
      <c r="AC399" s="101">
        <f t="shared" ref="AC399:AH399" si="19">IF($B399=AC$2984,AC398,0)</f>
        <v>1</v>
      </c>
      <c r="AD399" s="101">
        <f t="shared" si="19"/>
        <v>0</v>
      </c>
      <c r="AE399" s="101">
        <f t="shared" si="19"/>
        <v>0</v>
      </c>
      <c r="AF399" s="101">
        <f t="shared" si="19"/>
        <v>0</v>
      </c>
      <c r="AG399" s="101">
        <f t="shared" si="19"/>
        <v>0</v>
      </c>
      <c r="AH399" s="101">
        <f t="shared" si="19"/>
        <v>0</v>
      </c>
      <c r="AI399" s="151">
        <f>SUM(AC399:AH399)</f>
        <v>1</v>
      </c>
      <c r="AK399" s="967">
        <f>IF(AI399&gt;0,AI399,"")</f>
        <v>1</v>
      </c>
      <c r="AL399" s="968"/>
      <c r="AN399" s="969">
        <f>(AI399/$AN$356)/2</f>
        <v>7.1428571428571425E-2</v>
      </c>
      <c r="AO399" s="970"/>
      <c r="BB399" s="116" t="s">
        <v>239</v>
      </c>
      <c r="BD399" s="116" t="s">
        <v>239</v>
      </c>
      <c r="BG399" s="117" t="s">
        <v>240</v>
      </c>
      <c r="BH399" s="123">
        <f>BH389</f>
        <v>0.1</v>
      </c>
      <c r="BI399" s="119" t="s">
        <v>240</v>
      </c>
      <c r="BJ399" s="124">
        <f>1-BH399</f>
        <v>0.9</v>
      </c>
    </row>
    <row r="400" spans="1:62" ht="14.5" x14ac:dyDescent="0.3">
      <c r="A400" s="106"/>
      <c r="B400" s="971" t="s">
        <v>251</v>
      </c>
      <c r="C400" s="971"/>
      <c r="D400" s="971"/>
      <c r="E400" s="121"/>
      <c r="F400" s="1"/>
      <c r="BB400" s="157">
        <f>$AC$1712</f>
        <v>10</v>
      </c>
      <c r="BD400" s="157">
        <f>$AC$1713</f>
        <v>25</v>
      </c>
      <c r="BG400" s="125" t="str">
        <f>BB398</f>
        <v>low</v>
      </c>
      <c r="BH400" s="125" t="str">
        <f>BD398</f>
        <v>high</v>
      </c>
      <c r="BI400" s="125" t="str">
        <f>BB398</f>
        <v>low</v>
      </c>
      <c r="BJ400" s="125" t="str">
        <f>BD398</f>
        <v>high</v>
      </c>
    </row>
    <row r="401" spans="1:62" ht="14.5" thickBot="1" x14ac:dyDescent="0.35">
      <c r="A401" s="106"/>
      <c r="B401" s="107" t="str">
        <f>IF(B399="","","Add any relevant info in box below to help us help you with your new trial motion documents.")</f>
        <v>Add any relevant info in box below to help us help you with your new trial motion documents.</v>
      </c>
      <c r="C401" s="152"/>
      <c r="D401" s="152"/>
      <c r="E401" s="121"/>
      <c r="F401" s="1"/>
      <c r="BB401" s="157">
        <f>IF(AK405=$AC$356,0,(BB400*AK405))</f>
        <v>15.600000000000001</v>
      </c>
      <c r="BD401" s="157">
        <f>IF(AK405=$AC$356,0,(BD400*AK405))</f>
        <v>39</v>
      </c>
      <c r="BG401" s="157">
        <f>BB401*BH399</f>
        <v>1.5600000000000003</v>
      </c>
      <c r="BH401" s="157">
        <f>BD401*BH399</f>
        <v>3.9000000000000004</v>
      </c>
      <c r="BI401" s="157">
        <f>BB401*BJ399</f>
        <v>14.040000000000001</v>
      </c>
      <c r="BJ401" s="157">
        <f>BD401*BJ399</f>
        <v>35.1</v>
      </c>
    </row>
    <row r="402" spans="1:62" ht="85" customHeight="1" thickTop="1" thickBot="1" x14ac:dyDescent="0.35">
      <c r="A402" s="106"/>
      <c r="B402" s="972"/>
      <c r="C402" s="973"/>
      <c r="D402" s="974"/>
      <c r="E402" s="121"/>
      <c r="F402" s="1"/>
      <c r="BJ402" s="126">
        <f>MIN(BJ401,($D$1486*10))</f>
        <v>0</v>
      </c>
    </row>
    <row r="403" spans="1:62" ht="16.5" thickTop="1" thickBot="1" x14ac:dyDescent="0.35">
      <c r="A403" s="106"/>
      <c r="B403" s="127" t="str">
        <f>IF(B399="","","SUPPORTER REVIEW: Prepare for Independent Verifier")</f>
        <v>SUPPORTER REVIEW: Prepare for Independent Verifier</v>
      </c>
      <c r="C403" s="106"/>
      <c r="D403" s="106"/>
      <c r="E403" s="121"/>
      <c r="F403" s="1"/>
      <c r="BJ403" s="128"/>
    </row>
    <row r="404" spans="1:62" ht="14.5" thickTop="1" x14ac:dyDescent="0.3">
      <c r="A404" s="106"/>
      <c r="B404" s="129" t="str">
        <f>IF(B399="","","How many pages?")</f>
        <v>How many pages?</v>
      </c>
      <c r="C404" s="130" t="str">
        <f>IF(AJ405&gt;30,"check if URL works, report from list below","")</f>
        <v>check if URL works, report from list below</v>
      </c>
      <c r="D404" s="131" t="str">
        <f>IF(B399="","","Estimated time to verify")</f>
        <v>Estimated time to verify</v>
      </c>
      <c r="E404" s="121"/>
      <c r="F404" s="1"/>
      <c r="AP404" s="48" t="s">
        <v>242</v>
      </c>
      <c r="AT404" s="132" t="str">
        <f>IF(AND(AJ405&gt;30,B405&gt;0),"ready","not ready")</f>
        <v>ready</v>
      </c>
      <c r="AU404" s="132"/>
      <c r="AV404" s="132"/>
      <c r="BB404" s="48"/>
      <c r="BF404" s="102">
        <f>BF394</f>
        <v>0.05</v>
      </c>
      <c r="BG404" s="157">
        <f>BG401*$BF404</f>
        <v>7.8000000000000014E-2</v>
      </c>
      <c r="BH404" s="157">
        <f>BH401*$BF404</f>
        <v>0.19500000000000003</v>
      </c>
      <c r="BI404" s="157">
        <f>BI401*$BF404</f>
        <v>0.70200000000000007</v>
      </c>
      <c r="BJ404" s="157">
        <f>BJ401*$BF404</f>
        <v>1.7550000000000001</v>
      </c>
    </row>
    <row r="405" spans="1:62" ht="14.5" thickBot="1" x14ac:dyDescent="0.35">
      <c r="A405" s="106"/>
      <c r="B405" s="150">
        <v>13</v>
      </c>
      <c r="C405" s="134" t="s">
        <v>243</v>
      </c>
      <c r="D405" s="135" t="str">
        <f>IF(B404="","",CONCATENATE(AK405,AL405))</f>
        <v>1.56 hours</v>
      </c>
      <c r="E405" s="121"/>
      <c r="F405" s="1"/>
      <c r="AD405" s="137">
        <f>IF(B399=B$2984,G$2984,AC404)</f>
        <v>0.12</v>
      </c>
      <c r="AE405" s="138">
        <f>IF(B399=B$2985,G$2985,AD404)</f>
        <v>0</v>
      </c>
      <c r="AF405" s="139">
        <f>IF(B399=B$2986,G$2986,AE404)</f>
        <v>0</v>
      </c>
      <c r="AG405" s="140">
        <f>IF(B399=B$2987,G$2987,AF404)</f>
        <v>0</v>
      </c>
      <c r="AH405" s="7"/>
      <c r="AI405" s="141">
        <f>MAX(AD405:AG405)</f>
        <v>0.12</v>
      </c>
      <c r="AJ405" s="48">
        <f>LEN(B399)</f>
        <v>37</v>
      </c>
      <c r="AK405" s="142">
        <f>IF(B405="",$AC$356,B405*AI405)</f>
        <v>1.56</v>
      </c>
      <c r="AL405" s="48" t="s">
        <v>244</v>
      </c>
      <c r="AN405" s="48">
        <f>B405*AI405</f>
        <v>1.56</v>
      </c>
      <c r="AP405" s="143" t="str">
        <f>IF($C405=$D$2984,AP$356,"")</f>
        <v/>
      </c>
      <c r="AQ405" s="144" t="str">
        <f>IF($C405=$D$2985,AQ$356,"")</f>
        <v/>
      </c>
      <c r="AR405" s="145" t="str">
        <f>IF($C405=$D$2986,AR$356,"")</f>
        <v/>
      </c>
      <c r="AS405" s="146" t="str">
        <f>IF($C405=$D$2987,AS$356,"")</f>
        <v/>
      </c>
      <c r="AT405" s="147">
        <f>IF($C405=$D$2988,AT$356,"")</f>
        <v>1</v>
      </c>
      <c r="AU405" s="148">
        <f>MAX(AP405:AS405)</f>
        <v>0</v>
      </c>
      <c r="AV405" s="142"/>
      <c r="AX405" s="101">
        <f>IF(AK405=$AC$356,0,AK405)</f>
        <v>1.56</v>
      </c>
      <c r="BB405" s="48"/>
      <c r="BG405" s="149">
        <f>BG401*0.95</f>
        <v>1.4820000000000002</v>
      </c>
      <c r="BH405" s="149">
        <f>BH401*0.95</f>
        <v>3.7050000000000001</v>
      </c>
      <c r="BI405" s="149">
        <f>BI401*0.95</f>
        <v>13.338000000000001</v>
      </c>
      <c r="BJ405" s="149">
        <f>BJ401*0.95</f>
        <v>33.344999999999999</v>
      </c>
    </row>
    <row r="406" spans="1:62" ht="14.5" thickTop="1" x14ac:dyDescent="0.3">
      <c r="A406" s="106"/>
      <c r="B406" s="106"/>
      <c r="C406" s="106"/>
      <c r="D406" s="106"/>
      <c r="E406" s="121"/>
      <c r="F406" s="1"/>
    </row>
    <row r="407" spans="1:62" ht="20" customHeight="1" x14ac:dyDescent="0.3">
      <c r="A407" s="103">
        <f>A397+1</f>
        <v>6</v>
      </c>
      <c r="B407" s="103" t="s">
        <v>252</v>
      </c>
      <c r="C407" s="103"/>
      <c r="D407" s="104">
        <f>IF(AN409&gt;0,AN409,0)</f>
        <v>7.1428571428571425E-2</v>
      </c>
      <c r="E407" s="121"/>
      <c r="F407" s="1"/>
    </row>
    <row r="408" spans="1:62" ht="18" customHeight="1" x14ac:dyDescent="0.3">
      <c r="A408" s="103"/>
      <c r="B408" s="965" t="s">
        <v>3808</v>
      </c>
      <c r="C408" s="965"/>
      <c r="D408" s="965"/>
      <c r="E408" s="121"/>
      <c r="F408" s="1"/>
      <c r="AC408" s="110">
        <v>1</v>
      </c>
      <c r="AD408" s="111">
        <f>AC408-($AC408/5)</f>
        <v>0.8</v>
      </c>
      <c r="AE408" s="112">
        <f>AD408-($AC408/5)</f>
        <v>0.60000000000000009</v>
      </c>
      <c r="AF408" s="113">
        <f>AE408-($AC408/5)</f>
        <v>0.40000000000000008</v>
      </c>
      <c r="AG408" s="114">
        <f>AF408-($AC408/5)</f>
        <v>0.20000000000000007</v>
      </c>
      <c r="AH408" s="115">
        <f>AG408-($AC408/5)</f>
        <v>0</v>
      </c>
      <c r="AI408" s="109"/>
      <c r="AP408" s="109"/>
      <c r="AQ408" s="109"/>
      <c r="AR408" s="109"/>
      <c r="AS408" s="109"/>
      <c r="AT408" s="109"/>
      <c r="AU408" s="109"/>
      <c r="AV408" s="109"/>
      <c r="AW408" s="109"/>
      <c r="AX408" s="109"/>
      <c r="AY408" s="109"/>
      <c r="AZ408" s="109"/>
      <c r="BA408" s="109"/>
      <c r="BB408" s="116" t="s">
        <v>234</v>
      </c>
      <c r="BD408" s="116" t="s">
        <v>235</v>
      </c>
      <c r="BE408" s="109"/>
      <c r="BF408" s="109"/>
      <c r="BG408" s="117" t="s">
        <v>236</v>
      </c>
      <c r="BH408" s="118"/>
      <c r="BI408" s="119" t="s">
        <v>237</v>
      </c>
      <c r="BJ408" s="120"/>
    </row>
    <row r="409" spans="1:62" ht="14.5" x14ac:dyDescent="0.35">
      <c r="A409" s="106"/>
      <c r="B409" s="966" t="s">
        <v>238</v>
      </c>
      <c r="C409" s="966"/>
      <c r="D409" s="966"/>
      <c r="E409" s="121"/>
      <c r="F409" s="1"/>
      <c r="AC409" s="101">
        <f t="shared" ref="AC409:AH409" si="20">IF($B409=AC$2984,AC408,0)</f>
        <v>1</v>
      </c>
      <c r="AD409" s="101">
        <f t="shared" si="20"/>
        <v>0</v>
      </c>
      <c r="AE409" s="101">
        <f t="shared" si="20"/>
        <v>0</v>
      </c>
      <c r="AF409" s="101">
        <f t="shared" si="20"/>
        <v>0</v>
      </c>
      <c r="AG409" s="101">
        <f t="shared" si="20"/>
        <v>0</v>
      </c>
      <c r="AH409" s="101">
        <f t="shared" si="20"/>
        <v>0</v>
      </c>
      <c r="AI409" s="151">
        <f>SUM(AC409:AH409)</f>
        <v>1</v>
      </c>
      <c r="AK409" s="967">
        <f>IF(AI409&gt;0,AI409,"")</f>
        <v>1</v>
      </c>
      <c r="AL409" s="968"/>
      <c r="AN409" s="969">
        <f>(AI409/$AN$356)/2</f>
        <v>7.1428571428571425E-2</v>
      </c>
      <c r="AO409" s="970"/>
      <c r="BB409" s="116" t="s">
        <v>239</v>
      </c>
      <c r="BD409" s="116" t="s">
        <v>239</v>
      </c>
      <c r="BG409" s="117" t="s">
        <v>240</v>
      </c>
      <c r="BH409" s="123">
        <f>BH399</f>
        <v>0.1</v>
      </c>
      <c r="BI409" s="119" t="s">
        <v>240</v>
      </c>
      <c r="BJ409" s="124">
        <f>1-BH409</f>
        <v>0.9</v>
      </c>
    </row>
    <row r="410" spans="1:62" ht="14.5" x14ac:dyDescent="0.3">
      <c r="A410" s="106"/>
      <c r="B410" s="971" t="s">
        <v>253</v>
      </c>
      <c r="C410" s="971"/>
      <c r="D410" s="971"/>
      <c r="E410" s="121"/>
      <c r="F410" s="1"/>
      <c r="BB410" s="157">
        <f>$AC$1712</f>
        <v>10</v>
      </c>
      <c r="BD410" s="157">
        <f>$AC$1713</f>
        <v>25</v>
      </c>
      <c r="BG410" s="125" t="str">
        <f>BB408</f>
        <v>low</v>
      </c>
      <c r="BH410" s="125" t="str">
        <f>BD408</f>
        <v>high</v>
      </c>
      <c r="BI410" s="125" t="str">
        <f>BB408</f>
        <v>low</v>
      </c>
      <c r="BJ410" s="125" t="str">
        <f>BD408</f>
        <v>high</v>
      </c>
    </row>
    <row r="411" spans="1:62" ht="14.5" thickBot="1" x14ac:dyDescent="0.35">
      <c r="A411" s="106"/>
      <c r="B411" s="152" t="str">
        <f>IF(B389="","","Add any relevant info in box below to help us help you with your PIR.")</f>
        <v/>
      </c>
      <c r="C411" s="152"/>
      <c r="D411" s="152"/>
      <c r="E411" s="121"/>
      <c r="F411" s="1"/>
      <c r="BB411" s="157">
        <f>IF(AK415=$AC$356,0,(BB410*AK415))</f>
        <v>9.6</v>
      </c>
      <c r="BD411" s="157">
        <f>IF(AK415=$AC$356,0,(BD410*AK415))</f>
        <v>24</v>
      </c>
      <c r="BG411" s="157">
        <f>BB411*BH409</f>
        <v>0.96</v>
      </c>
      <c r="BH411" s="157">
        <f>BD411*BH409</f>
        <v>2.4000000000000004</v>
      </c>
      <c r="BI411" s="157">
        <f>BB411*BJ409</f>
        <v>8.64</v>
      </c>
      <c r="BJ411" s="157">
        <f>BD411*BJ409</f>
        <v>21.6</v>
      </c>
    </row>
    <row r="412" spans="1:62" ht="85" customHeight="1" thickTop="1" thickBot="1" x14ac:dyDescent="0.35">
      <c r="A412" s="106"/>
      <c r="B412" s="972"/>
      <c r="C412" s="973"/>
      <c r="D412" s="974"/>
      <c r="E412" s="121"/>
      <c r="F412" s="1"/>
      <c r="BJ412" s="126">
        <f>MIN(BJ411,($D$1486*10))</f>
        <v>0</v>
      </c>
    </row>
    <row r="413" spans="1:62" ht="16.5" thickTop="1" thickBot="1" x14ac:dyDescent="0.35">
      <c r="A413" s="106"/>
      <c r="B413" s="127" t="str">
        <f>IF(B409="","","SUPPORTER REVIEW: Prepare for Independent Verifier")</f>
        <v>SUPPORTER REVIEW: Prepare for Independent Verifier</v>
      </c>
      <c r="C413" s="106"/>
      <c r="D413" s="106"/>
      <c r="E413" s="121"/>
      <c r="F413" s="1"/>
      <c r="BJ413" s="128"/>
    </row>
    <row r="414" spans="1:62" ht="14.5" thickTop="1" x14ac:dyDescent="0.3">
      <c r="A414" s="106"/>
      <c r="B414" s="129" t="str">
        <f>IF(B409="","","How many pages?")</f>
        <v>How many pages?</v>
      </c>
      <c r="C414" s="130" t="str">
        <f>IF(AJ415&gt;30,"check if URL works, report from list below","")</f>
        <v>check if URL works, report from list below</v>
      </c>
      <c r="D414" s="131" t="str">
        <f>IF(B409="","","Estimated time to verify")</f>
        <v>Estimated time to verify</v>
      </c>
      <c r="E414" s="121"/>
      <c r="F414" s="1"/>
      <c r="AP414" s="48" t="s">
        <v>242</v>
      </c>
      <c r="AT414" s="132" t="str">
        <f>IF(AND(AJ415&gt;30,B415&gt;0),"ready","not ready")</f>
        <v>ready</v>
      </c>
      <c r="AU414" s="132"/>
      <c r="AV414" s="132"/>
      <c r="BB414" s="48"/>
      <c r="BF414" s="102">
        <f>BF404</f>
        <v>0.05</v>
      </c>
      <c r="BG414" s="157">
        <f>BG411*$BF414</f>
        <v>4.8000000000000001E-2</v>
      </c>
      <c r="BH414" s="157">
        <f>BH411*$BF414</f>
        <v>0.12000000000000002</v>
      </c>
      <c r="BI414" s="157">
        <f>BI411*$BF414</f>
        <v>0.43200000000000005</v>
      </c>
      <c r="BJ414" s="157">
        <f>BJ411*$BF414</f>
        <v>1.08</v>
      </c>
    </row>
    <row r="415" spans="1:62" ht="14.5" thickBot="1" x14ac:dyDescent="0.35">
      <c r="A415" s="106"/>
      <c r="B415" s="150">
        <v>8</v>
      </c>
      <c r="C415" s="134" t="s">
        <v>243</v>
      </c>
      <c r="D415" s="135" t="str">
        <f>IF(B414="","",CONCATENATE(AK415,AL415))</f>
        <v>0.96 hours</v>
      </c>
      <c r="E415" s="121"/>
      <c r="F415" s="1"/>
      <c r="AD415" s="137">
        <f>IF(B409=B$2984,G$2984,AC414)</f>
        <v>0.12</v>
      </c>
      <c r="AE415" s="138">
        <f>IF(B409=B$2985,G$2985,AD414)</f>
        <v>0</v>
      </c>
      <c r="AF415" s="139">
        <f>IF(B409=B$2986,G$2986,AE414)</f>
        <v>0</v>
      </c>
      <c r="AG415" s="140">
        <f>IF(B409=B$2987,G$2987,AF414)</f>
        <v>0</v>
      </c>
      <c r="AH415" s="7"/>
      <c r="AI415" s="141">
        <f>MAX(AD415:AG415)</f>
        <v>0.12</v>
      </c>
      <c r="AJ415" s="48">
        <f>LEN(B409)</f>
        <v>37</v>
      </c>
      <c r="AK415" s="142">
        <f>IF(B415="",$AC$356,B415*AI415)</f>
        <v>0.96</v>
      </c>
      <c r="AL415" s="48" t="s">
        <v>244</v>
      </c>
      <c r="AN415" s="48">
        <f>B415*AI415</f>
        <v>0.96</v>
      </c>
      <c r="AP415" s="143" t="str">
        <f>IF($C415=$D$2984,AP$356,"")</f>
        <v/>
      </c>
      <c r="AQ415" s="144" t="str">
        <f>IF($C415=$D$2985,AQ$356,"")</f>
        <v/>
      </c>
      <c r="AR415" s="145" t="str">
        <f>IF($C415=$D$2986,AR$356,"")</f>
        <v/>
      </c>
      <c r="AS415" s="146" t="str">
        <f>IF($C415=$D$2987,AS$356,"")</f>
        <v/>
      </c>
      <c r="AT415" s="147">
        <f>IF($C415=$D$2988,AT$356,"")</f>
        <v>1</v>
      </c>
      <c r="AU415" s="148">
        <f>MAX(AP415:AS415)</f>
        <v>0</v>
      </c>
      <c r="AV415" s="142"/>
      <c r="AX415" s="101">
        <f>IF(AK415=$AC$356,0,AK415)</f>
        <v>0.96</v>
      </c>
      <c r="BB415" s="48"/>
      <c r="BG415" s="149">
        <f>BG411*0.95</f>
        <v>0.91199999999999992</v>
      </c>
      <c r="BH415" s="149">
        <f>BH411*0.95</f>
        <v>2.2800000000000002</v>
      </c>
      <c r="BI415" s="149">
        <f>BI411*0.95</f>
        <v>8.2080000000000002</v>
      </c>
      <c r="BJ415" s="149">
        <f>BJ411*0.95</f>
        <v>20.52</v>
      </c>
    </row>
    <row r="416" spans="1:62" ht="13" customHeight="1" thickTop="1" x14ac:dyDescent="0.3">
      <c r="A416" s="106"/>
      <c r="B416" s="106"/>
      <c r="C416" s="106"/>
      <c r="D416" s="106"/>
      <c r="E416" s="121"/>
      <c r="F416" s="1"/>
    </row>
    <row r="417" spans="1:62" ht="20" customHeight="1" x14ac:dyDescent="0.3">
      <c r="A417" s="103">
        <f>A407+1</f>
        <v>7</v>
      </c>
      <c r="B417" s="103" t="s">
        <v>254</v>
      </c>
      <c r="C417" s="103"/>
      <c r="D417" s="104">
        <f>IF(AN419&gt;0,AN419,0)</f>
        <v>7.1428571428571425E-2</v>
      </c>
      <c r="E417" s="121"/>
      <c r="F417" s="1"/>
    </row>
    <row r="418" spans="1:62" ht="18" customHeight="1" x14ac:dyDescent="0.3">
      <c r="A418" s="103"/>
      <c r="B418" s="965" t="s">
        <v>3809</v>
      </c>
      <c r="C418" s="965"/>
      <c r="D418" s="965"/>
      <c r="E418" s="121"/>
      <c r="F418" s="1"/>
      <c r="AC418" s="110">
        <v>1</v>
      </c>
      <c r="AD418" s="111">
        <f>AC418-($AC418/5)</f>
        <v>0.8</v>
      </c>
      <c r="AE418" s="112">
        <f>AD418-($AC418/5)</f>
        <v>0.60000000000000009</v>
      </c>
      <c r="AF418" s="113">
        <f>AE418-($AC418/5)</f>
        <v>0.40000000000000008</v>
      </c>
      <c r="AG418" s="114">
        <f>AF418-($AC418/5)</f>
        <v>0.20000000000000007</v>
      </c>
      <c r="AH418" s="115">
        <f>AG418-($AC418/5)</f>
        <v>0</v>
      </c>
      <c r="AI418" s="109"/>
      <c r="AP418" s="109"/>
      <c r="AQ418" s="109"/>
      <c r="AR418" s="109"/>
      <c r="AS418" s="109"/>
      <c r="AT418" s="109"/>
      <c r="AU418" s="109"/>
      <c r="AV418" s="109"/>
      <c r="AW418" s="109"/>
      <c r="AX418" s="109"/>
      <c r="AY418" s="109"/>
      <c r="AZ418" s="109"/>
      <c r="BA418" s="109"/>
      <c r="BB418" s="116" t="s">
        <v>234</v>
      </c>
      <c r="BD418" s="116" t="s">
        <v>235</v>
      </c>
      <c r="BE418" s="109"/>
      <c r="BF418" s="109"/>
      <c r="BG418" s="117" t="s">
        <v>236</v>
      </c>
      <c r="BH418" s="118"/>
      <c r="BI418" s="119" t="s">
        <v>237</v>
      </c>
      <c r="BJ418" s="120"/>
    </row>
    <row r="419" spans="1:62" ht="14.5" x14ac:dyDescent="0.35">
      <c r="A419" s="106"/>
      <c r="B419" s="966" t="s">
        <v>238</v>
      </c>
      <c r="C419" s="966"/>
      <c r="D419" s="966"/>
      <c r="E419" s="121"/>
      <c r="F419" s="1"/>
      <c r="AC419" s="101">
        <f t="shared" ref="AC419:AH419" si="21">IF($B419=AC$2984,AC418,0)</f>
        <v>1</v>
      </c>
      <c r="AD419" s="101">
        <f t="shared" si="21"/>
        <v>0</v>
      </c>
      <c r="AE419" s="101">
        <f t="shared" si="21"/>
        <v>0</v>
      </c>
      <c r="AF419" s="101">
        <f t="shared" si="21"/>
        <v>0</v>
      </c>
      <c r="AG419" s="101">
        <f t="shared" si="21"/>
        <v>0</v>
      </c>
      <c r="AH419" s="101">
        <f t="shared" si="21"/>
        <v>0</v>
      </c>
      <c r="AI419" s="151">
        <f>SUM(AC419:AH419)</f>
        <v>1</v>
      </c>
      <c r="AK419" s="967">
        <f>IF(AI419&gt;0,AI419,"")</f>
        <v>1</v>
      </c>
      <c r="AL419" s="968"/>
      <c r="AN419" s="969">
        <f>(AI419/$AN$356)/2</f>
        <v>7.1428571428571425E-2</v>
      </c>
      <c r="AO419" s="970"/>
      <c r="BB419" s="116" t="s">
        <v>239</v>
      </c>
      <c r="BD419" s="116" t="s">
        <v>239</v>
      </c>
      <c r="BG419" s="117" t="s">
        <v>240</v>
      </c>
      <c r="BH419" s="123">
        <f>BH409</f>
        <v>0.1</v>
      </c>
      <c r="BI419" s="119" t="s">
        <v>240</v>
      </c>
      <c r="BJ419" s="124">
        <f>1-BH419</f>
        <v>0.9</v>
      </c>
    </row>
    <row r="420" spans="1:62" ht="14.5" x14ac:dyDescent="0.3">
      <c r="A420" s="106"/>
      <c r="B420" s="971" t="s">
        <v>255</v>
      </c>
      <c r="C420" s="971"/>
      <c r="D420" s="971"/>
      <c r="E420" s="121"/>
      <c r="F420" s="1"/>
      <c r="BB420" s="157">
        <f>$AC$1712</f>
        <v>10</v>
      </c>
      <c r="BD420" s="157">
        <f>$AC$1713</f>
        <v>25</v>
      </c>
      <c r="BG420" s="125" t="str">
        <f>BB418</f>
        <v>low</v>
      </c>
      <c r="BH420" s="125" t="str">
        <f>BD418</f>
        <v>high</v>
      </c>
      <c r="BI420" s="125" t="str">
        <f>BB418</f>
        <v>low</v>
      </c>
      <c r="BJ420" s="125" t="str">
        <f>BD418</f>
        <v>high</v>
      </c>
    </row>
    <row r="421" spans="1:62" ht="14.5" thickBot="1" x14ac:dyDescent="0.35">
      <c r="A421" s="106"/>
      <c r="B421" s="152" t="str">
        <f>IF(B399="","","Add any relevant info in box below to help us help you with your appeal documents.")</f>
        <v>Add any relevant info in box below to help us help you with your appeal documents.</v>
      </c>
      <c r="C421" s="152"/>
      <c r="D421" s="152"/>
      <c r="E421" s="121"/>
      <c r="F421" s="1"/>
      <c r="BB421" s="157">
        <f>IF(AK425=$AC$356,0,(BB420*AK425))</f>
        <v>72</v>
      </c>
      <c r="BD421" s="157">
        <f>IF(AK425=$AC$356,0,(BD420*AK425))</f>
        <v>179.99999999999997</v>
      </c>
      <c r="BG421" s="157">
        <f>BB421*BH419</f>
        <v>7.2</v>
      </c>
      <c r="BH421" s="157">
        <f>BD421*BH419</f>
        <v>17.999999999999996</v>
      </c>
      <c r="BI421" s="157">
        <f>BB421*BJ419</f>
        <v>64.8</v>
      </c>
      <c r="BJ421" s="157">
        <f>BD421*BJ419</f>
        <v>161.99999999999997</v>
      </c>
    </row>
    <row r="422" spans="1:62" ht="85" customHeight="1" thickTop="1" thickBot="1" x14ac:dyDescent="0.35">
      <c r="A422" s="106"/>
      <c r="B422" s="972"/>
      <c r="C422" s="973"/>
      <c r="D422" s="974"/>
      <c r="E422" s="121"/>
      <c r="F422" s="1"/>
      <c r="BJ422" s="126">
        <f>MIN(BJ421,($D$1486*10))</f>
        <v>0</v>
      </c>
    </row>
    <row r="423" spans="1:62" ht="16.5" thickTop="1" thickBot="1" x14ac:dyDescent="0.35">
      <c r="A423" s="106"/>
      <c r="B423" s="127" t="str">
        <f>IF(B419="","","SUPPORTER REVIEW: Prepare for Independent Verifier")</f>
        <v>SUPPORTER REVIEW: Prepare for Independent Verifier</v>
      </c>
      <c r="C423" s="106"/>
      <c r="D423" s="106"/>
      <c r="E423" s="121"/>
      <c r="F423" s="1"/>
      <c r="BJ423" s="128"/>
    </row>
    <row r="424" spans="1:62" ht="14.5" thickTop="1" x14ac:dyDescent="0.3">
      <c r="A424" s="106"/>
      <c r="B424" s="129" t="str">
        <f>IF(B419="","","How many pages?")</f>
        <v>How many pages?</v>
      </c>
      <c r="C424" s="130" t="str">
        <f>IF(AJ425&gt;30,"check if URL works, report from list below","")</f>
        <v>check if URL works, report from list below</v>
      </c>
      <c r="D424" s="131" t="str">
        <f>IF(B419="","","Estimated time to verify")</f>
        <v>Estimated time to verify</v>
      </c>
      <c r="E424" s="121"/>
      <c r="F424" s="1"/>
      <c r="AP424" s="48" t="s">
        <v>242</v>
      </c>
      <c r="AT424" s="132" t="str">
        <f>IF(AND(AJ425&gt;30,B425&gt;0),"ready","not ready")</f>
        <v>ready</v>
      </c>
      <c r="AU424" s="132"/>
      <c r="AV424" s="132"/>
      <c r="BB424" s="48"/>
      <c r="BF424" s="102">
        <f>BF414</f>
        <v>0.05</v>
      </c>
      <c r="BG424" s="157">
        <f>BG421*$BF424</f>
        <v>0.36000000000000004</v>
      </c>
      <c r="BH424" s="157">
        <f>BH421*$BF424</f>
        <v>0.89999999999999991</v>
      </c>
      <c r="BI424" s="157">
        <f>BI421*$BF424</f>
        <v>3.24</v>
      </c>
      <c r="BJ424" s="157">
        <f>BJ421*$BF424</f>
        <v>8.1</v>
      </c>
    </row>
    <row r="425" spans="1:62" ht="14.5" thickBot="1" x14ac:dyDescent="0.35">
      <c r="A425" s="106"/>
      <c r="B425" s="150">
        <v>60</v>
      </c>
      <c r="C425" s="134" t="s">
        <v>243</v>
      </c>
      <c r="D425" s="135" t="str">
        <f>IF(B424="","",CONCATENATE(AK425,AL425))</f>
        <v>7.2 hours</v>
      </c>
      <c r="E425" s="121"/>
      <c r="F425" s="1"/>
      <c r="AD425" s="137">
        <f>IF(B419=B$2984,G$2984,AC424)</f>
        <v>0.12</v>
      </c>
      <c r="AE425" s="138">
        <f>IF(B419=B$2985,G$2985,AD424)</f>
        <v>0</v>
      </c>
      <c r="AF425" s="139">
        <f>IF(B419=B$2986,G$2986,AE424)</f>
        <v>0</v>
      </c>
      <c r="AG425" s="140">
        <f>IF(B419=B$2987,G$2987,AF424)</f>
        <v>0</v>
      </c>
      <c r="AH425" s="7"/>
      <c r="AI425" s="141">
        <f>MAX(AD425:AG425)</f>
        <v>0.12</v>
      </c>
      <c r="AJ425" s="48">
        <f>LEN(B419)</f>
        <v>37</v>
      </c>
      <c r="AK425" s="142">
        <f>IF(B425="",$AC$356,B425*AI425)</f>
        <v>7.1999999999999993</v>
      </c>
      <c r="AL425" s="48" t="s">
        <v>244</v>
      </c>
      <c r="AN425" s="48">
        <f>B425*AI425</f>
        <v>7.1999999999999993</v>
      </c>
      <c r="AP425" s="143" t="str">
        <f>IF($C425=$D$2984,AP$356,"")</f>
        <v/>
      </c>
      <c r="AQ425" s="144" t="str">
        <f>IF($C425=$D$2985,AQ$356,"")</f>
        <v/>
      </c>
      <c r="AR425" s="145" t="str">
        <f>IF($C425=$D$2986,AR$356,"")</f>
        <v/>
      </c>
      <c r="AS425" s="146" t="str">
        <f>IF($C425=$D$2987,AS$356,"")</f>
        <v/>
      </c>
      <c r="AT425" s="147">
        <f>IF($C425=$D$2988,AT$356,"")</f>
        <v>1</v>
      </c>
      <c r="AU425" s="148">
        <f>MAX(AP425:AS425)</f>
        <v>0</v>
      </c>
      <c r="AV425" s="142"/>
      <c r="AX425" s="101">
        <f>IF(AK425=$AC$356,0,AK425)</f>
        <v>7.1999999999999993</v>
      </c>
      <c r="BB425" s="48"/>
      <c r="BG425" s="149">
        <f>BG421*0.95</f>
        <v>6.84</v>
      </c>
      <c r="BH425" s="149">
        <f>BH421*0.95</f>
        <v>17.099999999999994</v>
      </c>
      <c r="BI425" s="149">
        <f>BI421*0.95</f>
        <v>61.559999999999995</v>
      </c>
      <c r="BJ425" s="149">
        <f>BJ421*0.95</f>
        <v>153.89999999999998</v>
      </c>
    </row>
    <row r="426" spans="1:62" ht="14.5" thickTop="1" x14ac:dyDescent="0.3">
      <c r="A426" s="106"/>
      <c r="B426" s="106"/>
      <c r="C426" s="106"/>
      <c r="D426" s="106"/>
      <c r="E426" s="121"/>
      <c r="F426" s="1"/>
    </row>
    <row r="427" spans="1:62" ht="20" customHeight="1" x14ac:dyDescent="0.3">
      <c r="A427" s="103">
        <f>A417+1</f>
        <v>8</v>
      </c>
      <c r="B427" s="103" t="s">
        <v>256</v>
      </c>
      <c r="C427" s="103"/>
      <c r="D427" s="104">
        <f>IF(AN429&gt;0,AN429,0)</f>
        <v>7.1428571428571425E-2</v>
      </c>
      <c r="E427" s="121"/>
      <c r="F427" s="1"/>
    </row>
    <row r="428" spans="1:62" ht="18" customHeight="1" x14ac:dyDescent="0.3">
      <c r="A428" s="103"/>
      <c r="B428" s="965" t="s">
        <v>3810</v>
      </c>
      <c r="C428" s="965"/>
      <c r="D428" s="965"/>
      <c r="E428" s="121"/>
      <c r="F428" s="1"/>
      <c r="AC428" s="110">
        <v>1</v>
      </c>
      <c r="AD428" s="111">
        <f>AC428-($AC428/5)</f>
        <v>0.8</v>
      </c>
      <c r="AE428" s="112">
        <f>AD428-($AC428/5)</f>
        <v>0.60000000000000009</v>
      </c>
      <c r="AF428" s="113">
        <f>AE428-($AC428/5)</f>
        <v>0.40000000000000008</v>
      </c>
      <c r="AG428" s="114">
        <f>AF428-($AC428/5)</f>
        <v>0.20000000000000007</v>
      </c>
      <c r="AH428" s="115">
        <f>AG428-($AC428/5)</f>
        <v>0</v>
      </c>
      <c r="AI428" s="109"/>
      <c r="AP428" s="109"/>
      <c r="AQ428" s="109"/>
      <c r="AR428" s="109"/>
      <c r="AS428" s="109"/>
      <c r="AT428" s="109"/>
      <c r="AU428" s="109"/>
      <c r="AV428" s="109"/>
      <c r="AW428" s="109"/>
      <c r="AX428" s="109"/>
      <c r="AY428" s="109"/>
      <c r="AZ428" s="109"/>
      <c r="BA428" s="109"/>
      <c r="BB428" s="116" t="s">
        <v>234</v>
      </c>
      <c r="BD428" s="116" t="s">
        <v>235</v>
      </c>
      <c r="BE428" s="109"/>
      <c r="BF428" s="109"/>
      <c r="BG428" s="117" t="s">
        <v>236</v>
      </c>
      <c r="BH428" s="118"/>
      <c r="BI428" s="119" t="s">
        <v>237</v>
      </c>
      <c r="BJ428" s="120"/>
    </row>
    <row r="429" spans="1:62" ht="14.5" x14ac:dyDescent="0.35">
      <c r="A429" s="106"/>
      <c r="B429" s="966" t="s">
        <v>238</v>
      </c>
      <c r="C429" s="966"/>
      <c r="D429" s="966"/>
      <c r="E429" s="121"/>
      <c r="F429" s="1"/>
      <c r="AC429" s="101">
        <f t="shared" ref="AC429:AH429" si="22">IF($B429=AC$2984,AC428,0)</f>
        <v>1</v>
      </c>
      <c r="AD429" s="101">
        <f t="shared" si="22"/>
        <v>0</v>
      </c>
      <c r="AE429" s="101">
        <f t="shared" si="22"/>
        <v>0</v>
      </c>
      <c r="AF429" s="101">
        <f t="shared" si="22"/>
        <v>0</v>
      </c>
      <c r="AG429" s="101">
        <f t="shared" si="22"/>
        <v>0</v>
      </c>
      <c r="AH429" s="101">
        <f t="shared" si="22"/>
        <v>0</v>
      </c>
      <c r="AI429" s="151">
        <f>SUM(AC429:AH429)</f>
        <v>1</v>
      </c>
      <c r="AK429" s="967">
        <f>IF(AI429&gt;0,AI429,"")</f>
        <v>1</v>
      </c>
      <c r="AL429" s="968"/>
      <c r="AN429" s="969">
        <f>(AI429/$AN$356)/2</f>
        <v>7.1428571428571425E-2</v>
      </c>
      <c r="AO429" s="970"/>
      <c r="BB429" s="116" t="s">
        <v>239</v>
      </c>
      <c r="BD429" s="116" t="s">
        <v>239</v>
      </c>
      <c r="BG429" s="117" t="s">
        <v>240</v>
      </c>
      <c r="BH429" s="123">
        <f>BH419</f>
        <v>0.1</v>
      </c>
      <c r="BI429" s="119" t="s">
        <v>240</v>
      </c>
      <c r="BJ429" s="124">
        <f>1-BH429</f>
        <v>0.9</v>
      </c>
    </row>
    <row r="430" spans="1:62" ht="14.5" x14ac:dyDescent="0.3">
      <c r="A430" s="106"/>
      <c r="B430" s="971" t="s">
        <v>257</v>
      </c>
      <c r="C430" s="971"/>
      <c r="D430" s="971"/>
      <c r="E430" s="121"/>
      <c r="F430" s="1"/>
      <c r="BB430" s="157">
        <f>$AC$1712</f>
        <v>10</v>
      </c>
      <c r="BD430" s="157">
        <f>$AC$1713</f>
        <v>25</v>
      </c>
      <c r="BG430" s="125" t="str">
        <f>BB428</f>
        <v>low</v>
      </c>
      <c r="BH430" s="125" t="str">
        <f>BD428</f>
        <v>high</v>
      </c>
      <c r="BI430" s="125" t="str">
        <f>BB428</f>
        <v>low</v>
      </c>
      <c r="BJ430" s="125" t="str">
        <f>BD428</f>
        <v>high</v>
      </c>
    </row>
    <row r="431" spans="1:62" ht="14.5" thickBot="1" x14ac:dyDescent="0.35">
      <c r="A431" s="106"/>
      <c r="B431" s="152" t="str">
        <f>IF(B399="","","Add any relevant info in box below to help us help you with the appellate opinion document.")</f>
        <v>Add any relevant info in box below to help us help you with the appellate opinion document.</v>
      </c>
      <c r="C431" s="152"/>
      <c r="D431" s="152"/>
      <c r="E431" s="121"/>
      <c r="F431" s="1"/>
      <c r="BB431" s="157">
        <f>IF(AK435=$AC$356,0,(BB430*AK435))</f>
        <v>10.8</v>
      </c>
      <c r="BD431" s="157">
        <f>IF(AK435=$AC$356,0,(BD430*AK435))</f>
        <v>27</v>
      </c>
      <c r="BG431" s="157">
        <f>BB431*BH429</f>
        <v>1.08</v>
      </c>
      <c r="BH431" s="157">
        <f>BD431*BH429</f>
        <v>2.7</v>
      </c>
      <c r="BI431" s="157">
        <f>BB431*BJ429</f>
        <v>9.7200000000000006</v>
      </c>
      <c r="BJ431" s="157">
        <f>BD431*BJ429</f>
        <v>24.3</v>
      </c>
    </row>
    <row r="432" spans="1:62" ht="85" customHeight="1" thickTop="1" thickBot="1" x14ac:dyDescent="0.35">
      <c r="A432" s="106"/>
      <c r="B432" s="972"/>
      <c r="C432" s="973"/>
      <c r="D432" s="974"/>
      <c r="E432" s="121"/>
      <c r="F432" s="1"/>
      <c r="BJ432" s="126">
        <f>MIN(BJ431,($D$1486*10))</f>
        <v>0</v>
      </c>
    </row>
    <row r="433" spans="1:62" ht="16.5" thickTop="1" thickBot="1" x14ac:dyDescent="0.35">
      <c r="A433" s="106"/>
      <c r="B433" s="127" t="str">
        <f>IF(B429="","","SUPPORTER REVIEW: Prepare for Independent Verifier")</f>
        <v>SUPPORTER REVIEW: Prepare for Independent Verifier</v>
      </c>
      <c r="C433" s="106"/>
      <c r="D433" s="106"/>
      <c r="E433" s="121"/>
      <c r="F433" s="1"/>
      <c r="BJ433" s="128"/>
    </row>
    <row r="434" spans="1:62" ht="14.5" thickTop="1" x14ac:dyDescent="0.3">
      <c r="A434" s="106"/>
      <c r="B434" s="129" t="str">
        <f>IF(B429="","","How many pages?")</f>
        <v>How many pages?</v>
      </c>
      <c r="C434" s="130" t="str">
        <f>IF(AJ435&gt;30,"check if URL works, report from list below","")</f>
        <v>check if URL works, report from list below</v>
      </c>
      <c r="D434" s="131" t="str">
        <f>IF(B429="","","Estimated time to verify")</f>
        <v>Estimated time to verify</v>
      </c>
      <c r="E434" s="121"/>
      <c r="F434" s="1"/>
      <c r="AP434" s="48" t="s">
        <v>242</v>
      </c>
      <c r="AT434" s="132" t="str">
        <f>IF(AND(AJ435&gt;30,B435&gt;0),"ready","not ready")</f>
        <v>ready</v>
      </c>
      <c r="AU434" s="132"/>
      <c r="AV434" s="132"/>
      <c r="BB434" s="48"/>
      <c r="BF434" s="102">
        <f>BF424</f>
        <v>0.05</v>
      </c>
      <c r="BG434" s="157">
        <f>BG431*$BF434</f>
        <v>5.4000000000000006E-2</v>
      </c>
      <c r="BH434" s="157">
        <f>BH431*$BF434</f>
        <v>0.13500000000000001</v>
      </c>
      <c r="BI434" s="157">
        <f>BI431*$BF434</f>
        <v>0.48600000000000004</v>
      </c>
      <c r="BJ434" s="157">
        <f>BJ431*$BF434</f>
        <v>1.2150000000000001</v>
      </c>
    </row>
    <row r="435" spans="1:62" ht="14.5" thickBot="1" x14ac:dyDescent="0.35">
      <c r="A435" s="106"/>
      <c r="B435" s="150">
        <v>9</v>
      </c>
      <c r="C435" s="134" t="s">
        <v>243</v>
      </c>
      <c r="D435" s="135" t="str">
        <f>IF(B434="","",CONCATENATE(AK435,AL435))</f>
        <v>1.08 hours</v>
      </c>
      <c r="E435" s="121"/>
      <c r="F435" s="1"/>
      <c r="AD435" s="137">
        <f>IF(B429=B$2984,G$2984,AC434)</f>
        <v>0.12</v>
      </c>
      <c r="AE435" s="138">
        <f>IF(B429=B$2985,G$2985,AD434)</f>
        <v>0</v>
      </c>
      <c r="AF435" s="139">
        <f>IF(B429=B$2986,G$2986,AE434)</f>
        <v>0</v>
      </c>
      <c r="AG435" s="140">
        <f>IF(B429=B$2987,G$2987,AF434)</f>
        <v>0</v>
      </c>
      <c r="AH435" s="7"/>
      <c r="AI435" s="141">
        <f>MAX(AD435:AG435)</f>
        <v>0.12</v>
      </c>
      <c r="AJ435" s="48">
        <f>LEN(B429)</f>
        <v>37</v>
      </c>
      <c r="AK435" s="142">
        <f>IF(B435="",$AC$356,B435*AI435)</f>
        <v>1.08</v>
      </c>
      <c r="AL435" s="48" t="s">
        <v>244</v>
      </c>
      <c r="AN435" s="48">
        <f>B435*AI435</f>
        <v>1.08</v>
      </c>
      <c r="AP435" s="143" t="str">
        <f>IF($C435=$D$2984,AP$356,"")</f>
        <v/>
      </c>
      <c r="AQ435" s="144" t="str">
        <f>IF($C435=$D$2985,AQ$356,"")</f>
        <v/>
      </c>
      <c r="AR435" s="145" t="str">
        <f>IF($C435=$D$2986,AR$356,"")</f>
        <v/>
      </c>
      <c r="AS435" s="146" t="str">
        <f>IF($C435=$D$2987,AS$356,"")</f>
        <v/>
      </c>
      <c r="AT435" s="147">
        <f>IF($C435=$D$2988,AT$356,"")</f>
        <v>1</v>
      </c>
      <c r="AU435" s="148">
        <f>MAX(AP435:AS435)</f>
        <v>0</v>
      </c>
      <c r="AV435" s="142"/>
      <c r="AX435" s="101">
        <f>IF(AK435=$AC$356,0,AK435)</f>
        <v>1.08</v>
      </c>
      <c r="BB435" s="48"/>
      <c r="BG435" s="149">
        <f>BG431*0.95</f>
        <v>1.026</v>
      </c>
      <c r="BH435" s="149">
        <f>BH431*0.95</f>
        <v>2.5649999999999999</v>
      </c>
      <c r="BI435" s="149">
        <f>BI431*0.95</f>
        <v>9.234</v>
      </c>
      <c r="BJ435" s="149">
        <f>BJ431*0.95</f>
        <v>23.085000000000001</v>
      </c>
    </row>
    <row r="436" spans="1:62" ht="14.5" thickTop="1" x14ac:dyDescent="0.3">
      <c r="A436" s="106"/>
      <c r="B436" s="106"/>
      <c r="C436" s="106"/>
      <c r="D436" s="106"/>
      <c r="E436" s="121"/>
      <c r="F436" s="1"/>
    </row>
    <row r="437" spans="1:62" ht="20" customHeight="1" x14ac:dyDescent="0.3">
      <c r="A437" s="103">
        <f>A427+1</f>
        <v>9</v>
      </c>
      <c r="B437" s="103" t="s">
        <v>258</v>
      </c>
      <c r="C437" s="103"/>
      <c r="D437" s="104">
        <f>IF(AN439&gt;0,AN439,0)</f>
        <v>0</v>
      </c>
      <c r="E437" s="121"/>
      <c r="F437" s="1"/>
    </row>
    <row r="438" spans="1:62" ht="18" customHeight="1" x14ac:dyDescent="0.3">
      <c r="A438" s="103"/>
      <c r="B438" s="965" t="s">
        <v>3811</v>
      </c>
      <c r="C438" s="965"/>
      <c r="D438" s="965"/>
      <c r="E438" s="121"/>
      <c r="F438" s="1"/>
      <c r="AC438" s="110">
        <v>1</v>
      </c>
      <c r="AD438" s="111">
        <f>AC438-($AC438/5)</f>
        <v>0.8</v>
      </c>
      <c r="AE438" s="112">
        <f>AD438-($AC438/5)</f>
        <v>0.60000000000000009</v>
      </c>
      <c r="AF438" s="113">
        <f>AE438-($AC438/5)</f>
        <v>0.40000000000000008</v>
      </c>
      <c r="AG438" s="114">
        <f>AF438-($AC438/5)</f>
        <v>0.20000000000000007</v>
      </c>
      <c r="AH438" s="115">
        <f>AG438-($AC438/5)</f>
        <v>0</v>
      </c>
      <c r="AI438" s="109"/>
      <c r="AP438" s="109"/>
      <c r="AQ438" s="109"/>
      <c r="AR438" s="109"/>
      <c r="AS438" s="109"/>
      <c r="AT438" s="109"/>
      <c r="AU438" s="109"/>
      <c r="AV438" s="109"/>
      <c r="AW438" s="109"/>
      <c r="AX438" s="109"/>
      <c r="AY438" s="109"/>
      <c r="AZ438" s="109"/>
      <c r="BA438" s="109"/>
      <c r="BB438" s="116" t="s">
        <v>234</v>
      </c>
      <c r="BD438" s="116" t="s">
        <v>235</v>
      </c>
      <c r="BE438" s="109"/>
      <c r="BF438" s="109"/>
      <c r="BG438" s="117" t="s">
        <v>236</v>
      </c>
      <c r="BH438" s="118"/>
      <c r="BI438" s="119" t="s">
        <v>237</v>
      </c>
      <c r="BJ438" s="120"/>
    </row>
    <row r="439" spans="1:62" ht="14.5" x14ac:dyDescent="0.35">
      <c r="A439" s="106"/>
      <c r="B439" s="966"/>
      <c r="C439" s="966"/>
      <c r="D439" s="966"/>
      <c r="E439" s="121"/>
      <c r="F439" s="1"/>
      <c r="AC439" s="101">
        <f t="shared" ref="AC439:AH439" si="23">IF($B439=AC$2984,AC438,0)</f>
        <v>0</v>
      </c>
      <c r="AD439" s="101">
        <f t="shared" si="23"/>
        <v>0</v>
      </c>
      <c r="AE439" s="101">
        <f t="shared" si="23"/>
        <v>0</v>
      </c>
      <c r="AF439" s="101">
        <f t="shared" si="23"/>
        <v>0</v>
      </c>
      <c r="AG439" s="101">
        <f t="shared" si="23"/>
        <v>0</v>
      </c>
      <c r="AH439" s="101">
        <f t="shared" si="23"/>
        <v>0</v>
      </c>
      <c r="AI439" s="151">
        <f>SUM(AC439:AH439)</f>
        <v>0</v>
      </c>
      <c r="AK439" s="967" t="str">
        <f>IF(AI439&gt;0,AI439,"")</f>
        <v/>
      </c>
      <c r="AL439" s="968"/>
      <c r="AN439" s="969">
        <f>(AI439/$AN$356)/2</f>
        <v>0</v>
      </c>
      <c r="AO439" s="970"/>
      <c r="BB439" s="116" t="s">
        <v>239</v>
      </c>
      <c r="BD439" s="116" t="s">
        <v>239</v>
      </c>
      <c r="BG439" s="117" t="s">
        <v>240</v>
      </c>
      <c r="BH439" s="123">
        <f>BH429</f>
        <v>0.1</v>
      </c>
      <c r="BI439" s="119" t="s">
        <v>240</v>
      </c>
      <c r="BJ439" s="124">
        <f>1-BH439</f>
        <v>0.9</v>
      </c>
    </row>
    <row r="440" spans="1:62" ht="14.5" x14ac:dyDescent="0.3">
      <c r="A440" s="106"/>
      <c r="B440" s="971"/>
      <c r="C440" s="971"/>
      <c r="D440" s="971"/>
      <c r="E440" s="121"/>
      <c r="F440" s="1"/>
      <c r="BB440" s="157">
        <f>$AC$1712</f>
        <v>10</v>
      </c>
      <c r="BD440" s="157">
        <f>$AC$1713</f>
        <v>25</v>
      </c>
      <c r="BG440" s="125" t="str">
        <f>BB438</f>
        <v>low</v>
      </c>
      <c r="BH440" s="125" t="str">
        <f>BD438</f>
        <v>high</v>
      </c>
      <c r="BI440" s="125" t="str">
        <f>BB438</f>
        <v>low</v>
      </c>
      <c r="BJ440" s="125" t="str">
        <f>BD438</f>
        <v>high</v>
      </c>
    </row>
    <row r="441" spans="1:62" ht="14.5" thickBot="1" x14ac:dyDescent="0.35">
      <c r="A441" s="106"/>
      <c r="B441" s="152" t="str">
        <f>IF(B399="","","Add any relevant info in box below to help us help you with your other remedy documents.")</f>
        <v>Add any relevant info in box below to help us help you with your other remedy documents.</v>
      </c>
      <c r="C441" s="152"/>
      <c r="D441" s="152"/>
      <c r="E441" s="121"/>
      <c r="F441" s="1"/>
      <c r="BB441" s="157">
        <f>IF(AK445=$AC$356,0,(BB440*AK445))</f>
        <v>0</v>
      </c>
      <c r="BD441" s="157">
        <f>IF(AK445=$AC$356,0,(BD440*AK445))</f>
        <v>0</v>
      </c>
      <c r="BG441" s="157">
        <f>BB441*BH439</f>
        <v>0</v>
      </c>
      <c r="BH441" s="157">
        <f>BD441*BH439</f>
        <v>0</v>
      </c>
      <c r="BI441" s="157">
        <f>BB441*BJ439</f>
        <v>0</v>
      </c>
      <c r="BJ441" s="157">
        <f>BD441*BJ439</f>
        <v>0</v>
      </c>
    </row>
    <row r="442" spans="1:62" ht="85" customHeight="1" thickTop="1" thickBot="1" x14ac:dyDescent="0.35">
      <c r="A442" s="106"/>
      <c r="B442" s="972"/>
      <c r="C442" s="973"/>
      <c r="D442" s="974"/>
      <c r="E442" s="121"/>
      <c r="F442" s="1"/>
      <c r="BJ442" s="126">
        <f>MIN(BJ441,($D$1486*10))</f>
        <v>0</v>
      </c>
    </row>
    <row r="443" spans="1:62" ht="16.5" thickTop="1" thickBot="1" x14ac:dyDescent="0.35">
      <c r="A443" s="106"/>
      <c r="B443" s="127" t="str">
        <f>IF(B439="","","SUPPORTER REVIEW: Prepare for Independent Verifier")</f>
        <v/>
      </c>
      <c r="C443" s="106"/>
      <c r="D443" s="106"/>
      <c r="E443" s="121"/>
      <c r="F443" s="1"/>
      <c r="BJ443" s="128"/>
    </row>
    <row r="444" spans="1:62" ht="14.5" thickTop="1" x14ac:dyDescent="0.3">
      <c r="A444" s="106"/>
      <c r="B444" s="129" t="str">
        <f>IF(B439="","","How many pages?")</f>
        <v/>
      </c>
      <c r="C444" s="130" t="str">
        <f>IF(AJ445&gt;30,"check if URL works, report from list below","")</f>
        <v/>
      </c>
      <c r="D444" s="131" t="str">
        <f>IF(B439="","","Estimated time to verify")</f>
        <v/>
      </c>
      <c r="E444" s="121"/>
      <c r="F444" s="1"/>
      <c r="AP444" s="48" t="s">
        <v>242</v>
      </c>
      <c r="AT444" s="132" t="str">
        <f>IF(AND(AJ445&gt;30,B445&gt;0),"ready","not ready")</f>
        <v>not ready</v>
      </c>
      <c r="AU444" s="132"/>
      <c r="AV444" s="132"/>
      <c r="BB444" s="48"/>
      <c r="BF444" s="102">
        <f>BF434</f>
        <v>0.05</v>
      </c>
      <c r="BG444" s="157">
        <f>BG441*$BF444</f>
        <v>0</v>
      </c>
      <c r="BH444" s="157">
        <f>BH441*$BF444</f>
        <v>0</v>
      </c>
      <c r="BI444" s="157">
        <f>BI441*$BF444</f>
        <v>0</v>
      </c>
      <c r="BJ444" s="157">
        <f>BJ441*$BF444</f>
        <v>0</v>
      </c>
    </row>
    <row r="445" spans="1:62" ht="14.5" thickBot="1" x14ac:dyDescent="0.35">
      <c r="A445" s="106"/>
      <c r="B445" s="150"/>
      <c r="C445" s="134"/>
      <c r="D445" s="135" t="str">
        <f>IF(B444="","",CONCATENATE(AK445,AL445))</f>
        <v/>
      </c>
      <c r="E445" s="121"/>
      <c r="F445" s="1"/>
      <c r="AD445" s="137">
        <f>IF(B439=B$2984,G$2984,AC444)</f>
        <v>0</v>
      </c>
      <c r="AE445" s="138">
        <f>IF(B439=B$2985,G$2985,AD444)</f>
        <v>0</v>
      </c>
      <c r="AF445" s="139">
        <f>IF(B439=B$2986,G$2986,AE444)</f>
        <v>0</v>
      </c>
      <c r="AG445" s="140">
        <f>IF(B439=B$2987,G$2987,AF444)</f>
        <v>0</v>
      </c>
      <c r="AH445" s="7"/>
      <c r="AI445" s="141">
        <f>MAX(AD445:AG445)</f>
        <v>0</v>
      </c>
      <c r="AJ445" s="48">
        <f>LEN(B439)</f>
        <v>0</v>
      </c>
      <c r="AK445" s="142" t="str">
        <f>IF(B445="",$AC$356,B445*AI445)</f>
        <v>in estimated</v>
      </c>
      <c r="AL445" s="48" t="s">
        <v>244</v>
      </c>
      <c r="AN445" s="48">
        <f>B445*AI445</f>
        <v>0</v>
      </c>
      <c r="AP445" s="143" t="str">
        <f>IF($C445=$D$2984,AP$356,"")</f>
        <v/>
      </c>
      <c r="AQ445" s="144" t="str">
        <f>IF($C445=$D$2985,AQ$356,"")</f>
        <v/>
      </c>
      <c r="AR445" s="145" t="str">
        <f>IF($C445=$D$2986,AR$356,"")</f>
        <v/>
      </c>
      <c r="AS445" s="146" t="str">
        <f>IF($C445=$D$2987,AS$356,"")</f>
        <v/>
      </c>
      <c r="AT445" s="147" t="str">
        <f>IF($C445=$D$2988,AT$356,"")</f>
        <v/>
      </c>
      <c r="AU445" s="148">
        <f>MAX(AP445:AS445)</f>
        <v>0</v>
      </c>
      <c r="AV445" s="142"/>
      <c r="AX445" s="101">
        <f>IF(AK445=$AC$356,0,AK445)</f>
        <v>0</v>
      </c>
      <c r="BB445" s="48"/>
      <c r="BG445" s="149">
        <f>BG441*0.95</f>
        <v>0</v>
      </c>
      <c r="BH445" s="149">
        <f>BH441*0.95</f>
        <v>0</v>
      </c>
      <c r="BI445" s="149">
        <f>BI441*0.95</f>
        <v>0</v>
      </c>
      <c r="BJ445" s="149">
        <f>BJ441*0.95</f>
        <v>0</v>
      </c>
    </row>
    <row r="446" spans="1:62" ht="13" customHeight="1" thickTop="1" x14ac:dyDescent="0.3">
      <c r="A446" s="106"/>
      <c r="B446" s="106"/>
      <c r="C446" s="106"/>
      <c r="D446" s="106"/>
      <c r="E446" s="121"/>
      <c r="F446" s="1"/>
    </row>
    <row r="447" spans="1:62" ht="20" customHeight="1" x14ac:dyDescent="0.3">
      <c r="A447" s="103">
        <f>A437+1</f>
        <v>10</v>
      </c>
      <c r="B447" s="103" t="s">
        <v>3634</v>
      </c>
      <c r="C447" s="103"/>
      <c r="D447" s="104">
        <f>IF(AN449&gt;0,AN449,0)</f>
        <v>0</v>
      </c>
      <c r="E447" s="121"/>
      <c r="F447" s="1"/>
    </row>
    <row r="448" spans="1:62" ht="18" customHeight="1" x14ac:dyDescent="0.3">
      <c r="A448" s="103"/>
      <c r="B448" s="965" t="s">
        <v>3812</v>
      </c>
      <c r="C448" s="965"/>
      <c r="D448" s="965"/>
      <c r="E448" s="121"/>
      <c r="F448" s="1"/>
      <c r="AC448" s="110">
        <v>1</v>
      </c>
      <c r="AD448" s="111">
        <f>AC448-($AC448/5)</f>
        <v>0.8</v>
      </c>
      <c r="AE448" s="112">
        <f>AD448-($AC448/5)</f>
        <v>0.60000000000000009</v>
      </c>
      <c r="AF448" s="113">
        <f>AE448-($AC448/5)</f>
        <v>0.40000000000000008</v>
      </c>
      <c r="AG448" s="114">
        <f>AF448-($AC448/5)</f>
        <v>0.20000000000000007</v>
      </c>
      <c r="AH448" s="115">
        <f>AG448-($AC448/5)</f>
        <v>0</v>
      </c>
      <c r="AI448" s="109"/>
      <c r="AP448" s="109"/>
      <c r="AQ448" s="109"/>
      <c r="AR448" s="109"/>
      <c r="AS448" s="109"/>
      <c r="AT448" s="109"/>
      <c r="AU448" s="109"/>
      <c r="AV448" s="109"/>
      <c r="AW448" s="109"/>
      <c r="AX448" s="109"/>
      <c r="AY448" s="109"/>
      <c r="AZ448" s="109"/>
      <c r="BA448" s="109"/>
      <c r="BB448" s="116" t="s">
        <v>234</v>
      </c>
      <c r="BD448" s="116" t="s">
        <v>235</v>
      </c>
      <c r="BE448" s="109"/>
      <c r="BF448" s="109"/>
      <c r="BG448" s="117" t="s">
        <v>236</v>
      </c>
      <c r="BH448" s="118"/>
      <c r="BI448" s="119" t="s">
        <v>237</v>
      </c>
      <c r="BJ448" s="120"/>
    </row>
    <row r="449" spans="1:62" ht="14.5" x14ac:dyDescent="0.35">
      <c r="A449" s="106"/>
      <c r="B449" s="966"/>
      <c r="C449" s="966"/>
      <c r="D449" s="966"/>
      <c r="E449" s="121"/>
      <c r="F449" s="1"/>
      <c r="AC449" s="101">
        <f t="shared" ref="AC449:AH449" si="24">IF($B449=AC$2984,AC448,0)</f>
        <v>0</v>
      </c>
      <c r="AD449" s="101">
        <f t="shared" si="24"/>
        <v>0</v>
      </c>
      <c r="AE449" s="101">
        <f t="shared" si="24"/>
        <v>0</v>
      </c>
      <c r="AF449" s="101">
        <f t="shared" si="24"/>
        <v>0</v>
      </c>
      <c r="AG449" s="101">
        <f t="shared" si="24"/>
        <v>0</v>
      </c>
      <c r="AH449" s="101">
        <f t="shared" si="24"/>
        <v>0</v>
      </c>
      <c r="AI449" s="151">
        <f>SUM(AC449:AH449)</f>
        <v>0</v>
      </c>
      <c r="AK449" s="967" t="str">
        <f>IF(AI449&gt;0,AI449,"")</f>
        <v/>
      </c>
      <c r="AL449" s="968"/>
      <c r="AN449" s="969">
        <f>(AI449/$AN$356)/2</f>
        <v>0</v>
      </c>
      <c r="AO449" s="970"/>
      <c r="BB449" s="116" t="s">
        <v>239</v>
      </c>
      <c r="BD449" s="116" t="s">
        <v>239</v>
      </c>
      <c r="BG449" s="117" t="s">
        <v>240</v>
      </c>
      <c r="BH449" s="123">
        <f>BH439</f>
        <v>0.1</v>
      </c>
      <c r="BI449" s="119" t="s">
        <v>240</v>
      </c>
      <c r="BJ449" s="124">
        <f>1-BH449</f>
        <v>0.9</v>
      </c>
    </row>
    <row r="450" spans="1:62" ht="14.5" x14ac:dyDescent="0.3">
      <c r="A450" s="106"/>
      <c r="B450" s="971"/>
      <c r="C450" s="971"/>
      <c r="D450" s="971"/>
      <c r="E450" s="121"/>
      <c r="F450" s="1"/>
      <c r="BB450" s="157">
        <f>$AC$1712</f>
        <v>10</v>
      </c>
      <c r="BD450" s="157">
        <f>$AC$1713</f>
        <v>25</v>
      </c>
      <c r="BG450" s="125" t="str">
        <f>BB448</f>
        <v>low</v>
      </c>
      <c r="BH450" s="125" t="str">
        <f>BD448</f>
        <v>high</v>
      </c>
      <c r="BI450" s="125" t="str">
        <f>BB448</f>
        <v>low</v>
      </c>
      <c r="BJ450" s="125" t="str">
        <f>BD448</f>
        <v>high</v>
      </c>
    </row>
    <row r="451" spans="1:62" ht="14.5" thickBot="1" x14ac:dyDescent="0.35">
      <c r="A451" s="106"/>
      <c r="B451" s="152" t="str">
        <f>IF(B399="","","Add any relevant info in box below to help us help you with your IP correspondence.")</f>
        <v>Add any relevant info in box below to help us help you with your IP correspondence.</v>
      </c>
      <c r="C451" s="152"/>
      <c r="D451" s="152"/>
      <c r="E451" s="121"/>
      <c r="F451" s="1"/>
      <c r="BB451" s="157">
        <f>IF(AK455=$AC$356,0,(BB450*AK455))</f>
        <v>0</v>
      </c>
      <c r="BD451" s="157">
        <f>IF(AK455=$AC$356,0,(BD450*AK455))</f>
        <v>0</v>
      </c>
      <c r="BG451" s="157">
        <f>BB451*BH449</f>
        <v>0</v>
      </c>
      <c r="BH451" s="157">
        <f>BD451*BH449</f>
        <v>0</v>
      </c>
      <c r="BI451" s="157">
        <f>BB451*BJ449</f>
        <v>0</v>
      </c>
      <c r="BJ451" s="157">
        <f>BD451*BJ449</f>
        <v>0</v>
      </c>
    </row>
    <row r="452" spans="1:62" ht="85" customHeight="1" thickTop="1" thickBot="1" x14ac:dyDescent="0.35">
      <c r="A452" s="106"/>
      <c r="B452" s="972"/>
      <c r="C452" s="973"/>
      <c r="D452" s="974"/>
      <c r="E452" s="121"/>
      <c r="F452" s="1"/>
      <c r="BJ452" s="126">
        <f>MIN(BJ451,($D$1486*10))</f>
        <v>0</v>
      </c>
    </row>
    <row r="453" spans="1:62" ht="16.5" thickTop="1" thickBot="1" x14ac:dyDescent="0.35">
      <c r="A453" s="106"/>
      <c r="B453" s="127" t="str">
        <f>IF(B449="","","SUPPORTER REVIEW: Prepare for Independent Verifier")</f>
        <v/>
      </c>
      <c r="C453" s="106"/>
      <c r="D453" s="106"/>
      <c r="E453" s="121"/>
      <c r="F453" s="1"/>
      <c r="BJ453" s="128"/>
    </row>
    <row r="454" spans="1:62" ht="14.5" thickTop="1" x14ac:dyDescent="0.3">
      <c r="A454" s="106"/>
      <c r="B454" s="129" t="str">
        <f>IF(B449="","","How many pages?")</f>
        <v/>
      </c>
      <c r="C454" s="130" t="str">
        <f>IF(AJ455&gt;30,"check if URL works, report from list below","")</f>
        <v/>
      </c>
      <c r="D454" s="131" t="str">
        <f>IF(B449="","","Estimated time to verify")</f>
        <v/>
      </c>
      <c r="E454" s="121"/>
      <c r="F454" s="1"/>
      <c r="AP454" s="48" t="s">
        <v>242</v>
      </c>
      <c r="AT454" s="132" t="str">
        <f>IF(AND(AJ455&gt;30,B455&gt;0),"ready","not ready")</f>
        <v>not ready</v>
      </c>
      <c r="AU454" s="132"/>
      <c r="AV454" s="132"/>
      <c r="BB454" s="48"/>
      <c r="BF454" s="102">
        <f>BF444</f>
        <v>0.05</v>
      </c>
      <c r="BG454" s="157">
        <f>BG451*$BF454</f>
        <v>0</v>
      </c>
      <c r="BH454" s="157">
        <f>BH451*$BF454</f>
        <v>0</v>
      </c>
      <c r="BI454" s="157">
        <f>BI451*$BF454</f>
        <v>0</v>
      </c>
      <c r="BJ454" s="157">
        <f>BJ451*$BF454</f>
        <v>0</v>
      </c>
    </row>
    <row r="455" spans="1:62" ht="14.5" thickBot="1" x14ac:dyDescent="0.35">
      <c r="A455" s="106"/>
      <c r="B455" s="150"/>
      <c r="C455" s="134"/>
      <c r="D455" s="135" t="str">
        <f>IF(B454="","",CONCATENATE(AK455,AL455))</f>
        <v/>
      </c>
      <c r="E455" s="121"/>
      <c r="F455" s="1"/>
      <c r="AD455" s="137">
        <f>IF(B449=B$2984,G$2984,AC454)</f>
        <v>0</v>
      </c>
      <c r="AE455" s="138">
        <f>IF(B449=B$2985,G$2985,AD454)</f>
        <v>0</v>
      </c>
      <c r="AF455" s="139">
        <f>IF(B449=B$2986,G$2986,AE454)</f>
        <v>0</v>
      </c>
      <c r="AG455" s="140">
        <f>IF(B449=B$2987,G$2987,AF454)</f>
        <v>0</v>
      </c>
      <c r="AH455" s="7"/>
      <c r="AI455" s="141">
        <f>MAX(AD455:AG455)</f>
        <v>0</v>
      </c>
      <c r="AJ455" s="48">
        <f>LEN(B449)</f>
        <v>0</v>
      </c>
      <c r="AK455" s="142" t="str">
        <f>IF(B455="",$AC$356,B455*AI455)</f>
        <v>in estimated</v>
      </c>
      <c r="AL455" s="48" t="s">
        <v>244</v>
      </c>
      <c r="AN455" s="48">
        <f>B455*AI455</f>
        <v>0</v>
      </c>
      <c r="AP455" s="143" t="str">
        <f>IF($C455=$D$2984,AP$356,"")</f>
        <v/>
      </c>
      <c r="AQ455" s="144" t="str">
        <f>IF($C455=$D$2985,AQ$356,"")</f>
        <v/>
      </c>
      <c r="AR455" s="145" t="str">
        <f>IF($C455=$D$2986,AR$356,"")</f>
        <v/>
      </c>
      <c r="AS455" s="146" t="str">
        <f>IF($C455=$D$2987,AS$356,"")</f>
        <v/>
      </c>
      <c r="AT455" s="147" t="str">
        <f>IF($C455=$D$2988,AT$356,"")</f>
        <v/>
      </c>
      <c r="AU455" s="148">
        <f>MAX(AP455:AS455)</f>
        <v>0</v>
      </c>
      <c r="AV455" s="142"/>
      <c r="AX455" s="101">
        <f>IF(AK455=$AC$356,0,AK455)</f>
        <v>0</v>
      </c>
      <c r="BB455" s="48"/>
      <c r="BG455" s="149">
        <f>BG451*0.95</f>
        <v>0</v>
      </c>
      <c r="BH455" s="149">
        <f>BH451*0.95</f>
        <v>0</v>
      </c>
      <c r="BI455" s="149">
        <f>BI451*0.95</f>
        <v>0</v>
      </c>
      <c r="BJ455" s="149">
        <f>BJ451*0.95</f>
        <v>0</v>
      </c>
    </row>
    <row r="456" spans="1:62" ht="14.5" thickTop="1" x14ac:dyDescent="0.3">
      <c r="A456" s="106"/>
      <c r="B456" s="106"/>
      <c r="C456" s="106"/>
      <c r="D456" s="106"/>
      <c r="E456" s="121"/>
      <c r="F456" s="1"/>
    </row>
    <row r="457" spans="1:62" ht="20" customHeight="1" x14ac:dyDescent="0.3">
      <c r="A457" s="103">
        <f>A447+1</f>
        <v>11</v>
      </c>
      <c r="B457" s="103" t="s">
        <v>259</v>
      </c>
      <c r="C457" s="103"/>
      <c r="D457" s="104">
        <f>IF(AN459&gt;0,AN459,0)</f>
        <v>0</v>
      </c>
      <c r="E457" s="121"/>
      <c r="F457" s="1"/>
    </row>
    <row r="458" spans="1:62" ht="18" customHeight="1" x14ac:dyDescent="0.3">
      <c r="A458" s="103"/>
      <c r="B458" s="965" t="s">
        <v>3806</v>
      </c>
      <c r="C458" s="965"/>
      <c r="D458" s="965"/>
      <c r="E458" s="121"/>
      <c r="F458" s="1"/>
      <c r="AC458" s="110">
        <v>1</v>
      </c>
      <c r="AD458" s="111">
        <f>AC458-($AC458/5)</f>
        <v>0.8</v>
      </c>
      <c r="AE458" s="112">
        <f>AD458-($AC458/5)</f>
        <v>0.60000000000000009</v>
      </c>
      <c r="AF458" s="113">
        <f>AE458-($AC458/5)</f>
        <v>0.40000000000000008</v>
      </c>
      <c r="AG458" s="114">
        <f>AF458-($AC458/5)</f>
        <v>0.20000000000000007</v>
      </c>
      <c r="AH458" s="115">
        <f>AG458-($AC458/5)</f>
        <v>0</v>
      </c>
      <c r="AI458" s="109"/>
      <c r="AP458" s="109"/>
      <c r="AQ458" s="109"/>
      <c r="AR458" s="109"/>
      <c r="AS458" s="109"/>
      <c r="AT458" s="109"/>
      <c r="AU458" s="109"/>
      <c r="AV458" s="109"/>
      <c r="AW458" s="109"/>
      <c r="AX458" s="109"/>
      <c r="AY458" s="109"/>
      <c r="AZ458" s="109"/>
      <c r="BA458" s="109"/>
      <c r="BB458" s="116" t="s">
        <v>234</v>
      </c>
      <c r="BD458" s="116" t="s">
        <v>235</v>
      </c>
      <c r="BE458" s="109"/>
      <c r="BF458" s="109"/>
      <c r="BG458" s="117" t="s">
        <v>236</v>
      </c>
      <c r="BH458" s="118"/>
      <c r="BI458" s="119" t="s">
        <v>237</v>
      </c>
      <c r="BJ458" s="120"/>
    </row>
    <row r="459" spans="1:62" ht="14.5" x14ac:dyDescent="0.35">
      <c r="A459" s="106"/>
      <c r="B459" s="966"/>
      <c r="C459" s="966"/>
      <c r="D459" s="966"/>
      <c r="E459" s="121"/>
      <c r="F459" s="1"/>
      <c r="AC459" s="101">
        <f t="shared" ref="AC459:AH459" si="25">IF($B459=AC$2984,AC458,0)</f>
        <v>0</v>
      </c>
      <c r="AD459" s="101">
        <f t="shared" si="25"/>
        <v>0</v>
      </c>
      <c r="AE459" s="101">
        <f t="shared" si="25"/>
        <v>0</v>
      </c>
      <c r="AF459" s="101">
        <f t="shared" si="25"/>
        <v>0</v>
      </c>
      <c r="AG459" s="101">
        <f t="shared" si="25"/>
        <v>0</v>
      </c>
      <c r="AH459" s="101">
        <f t="shared" si="25"/>
        <v>0</v>
      </c>
      <c r="AI459" s="151">
        <f>SUM(AC459:AH459)</f>
        <v>0</v>
      </c>
      <c r="AK459" s="967" t="str">
        <f>IF(AI459&gt;0,AI459,"")</f>
        <v/>
      </c>
      <c r="AL459" s="968"/>
      <c r="AN459" s="969">
        <f>(AI459/$AN$356)/2</f>
        <v>0</v>
      </c>
      <c r="AO459" s="970"/>
      <c r="BB459" s="116" t="s">
        <v>239</v>
      </c>
      <c r="BD459" s="116" t="s">
        <v>239</v>
      </c>
      <c r="BG459" s="117" t="s">
        <v>240</v>
      </c>
      <c r="BH459" s="123">
        <f>BH449</f>
        <v>0.1</v>
      </c>
      <c r="BI459" s="119" t="s">
        <v>240</v>
      </c>
      <c r="BJ459" s="124">
        <f>1-BH459</f>
        <v>0.9</v>
      </c>
    </row>
    <row r="460" spans="1:62" ht="14.5" x14ac:dyDescent="0.3">
      <c r="A460" s="106"/>
      <c r="B460" s="971"/>
      <c r="C460" s="971"/>
      <c r="D460" s="971"/>
      <c r="E460" s="121"/>
      <c r="F460" s="1"/>
      <c r="BB460" s="157">
        <f>$AC$1712</f>
        <v>10</v>
      </c>
      <c r="BD460" s="157">
        <f>$AC$1713</f>
        <v>25</v>
      </c>
      <c r="BG460" s="125" t="str">
        <f>BB458</f>
        <v>low</v>
      </c>
      <c r="BH460" s="125" t="str">
        <f>BD458</f>
        <v>high</v>
      </c>
      <c r="BI460" s="125" t="str">
        <f>BB458</f>
        <v>low</v>
      </c>
      <c r="BJ460" s="125" t="str">
        <f>BD458</f>
        <v>high</v>
      </c>
    </row>
    <row r="461" spans="1:62" ht="14.5" thickBot="1" x14ac:dyDescent="0.35">
      <c r="A461" s="106"/>
      <c r="B461" s="152" t="str">
        <f>IF(B399="","","Add any relevant info in box below regarding your professional support documents.")</f>
        <v>Add any relevant info in box below regarding your professional support documents.</v>
      </c>
      <c r="C461" s="152"/>
      <c r="D461" s="152"/>
      <c r="E461" s="121"/>
      <c r="F461" s="1"/>
      <c r="BB461" s="157">
        <f>IF(AK465=$AC$356,0,(BB460*AK465))</f>
        <v>0</v>
      </c>
      <c r="BD461" s="157">
        <f>IF(AK465=$AC$356,0,(BD460*AK465))</f>
        <v>0</v>
      </c>
      <c r="BG461" s="157">
        <f>BB461*BH459</f>
        <v>0</v>
      </c>
      <c r="BH461" s="157">
        <f>BD461*BH459</f>
        <v>0</v>
      </c>
      <c r="BI461" s="157">
        <f>BB461*BJ459</f>
        <v>0</v>
      </c>
      <c r="BJ461" s="157">
        <f>BD461*BJ459</f>
        <v>0</v>
      </c>
    </row>
    <row r="462" spans="1:62" ht="85" customHeight="1" thickTop="1" thickBot="1" x14ac:dyDescent="0.35">
      <c r="A462" s="106"/>
      <c r="B462" s="972"/>
      <c r="C462" s="973"/>
      <c r="D462" s="974"/>
      <c r="E462" s="121"/>
      <c r="F462" s="1"/>
      <c r="BJ462" s="126">
        <f>MIN(BJ461,($D$1486*10))</f>
        <v>0</v>
      </c>
    </row>
    <row r="463" spans="1:62" ht="16.5" thickTop="1" thickBot="1" x14ac:dyDescent="0.35">
      <c r="A463" s="106"/>
      <c r="B463" s="127" t="str">
        <f>IF(B459="","","SUPPORTER REVIEW: Prepare for Independent Verifier")</f>
        <v/>
      </c>
      <c r="C463" s="106"/>
      <c r="D463" s="106"/>
      <c r="E463" s="121"/>
      <c r="F463" s="1"/>
      <c r="BJ463" s="128"/>
    </row>
    <row r="464" spans="1:62" ht="14.5" thickTop="1" x14ac:dyDescent="0.3">
      <c r="A464" s="106"/>
      <c r="B464" s="129" t="str">
        <f>IF(B459="","","How many pages?")</f>
        <v/>
      </c>
      <c r="C464" s="130" t="str">
        <f>IF(AJ465&gt;30,"check if URL works, report from list below","")</f>
        <v/>
      </c>
      <c r="D464" s="131" t="str">
        <f>IF(B459="","","Estimated time to verify")</f>
        <v/>
      </c>
      <c r="E464" s="121"/>
      <c r="F464" s="1"/>
      <c r="AP464" s="48" t="s">
        <v>242</v>
      </c>
      <c r="AT464" s="132" t="str">
        <f>IF(AND(AJ465&gt;30,B465&gt;0),"ready","not ready")</f>
        <v>not ready</v>
      </c>
      <c r="AU464" s="132"/>
      <c r="AV464" s="132"/>
      <c r="BB464" s="48"/>
      <c r="BF464" s="102">
        <f>BF454</f>
        <v>0.05</v>
      </c>
      <c r="BG464" s="157">
        <f>BG461*$BF464</f>
        <v>0</v>
      </c>
      <c r="BH464" s="157">
        <f>BH461*$BF464</f>
        <v>0</v>
      </c>
      <c r="BI464" s="157">
        <f>BI461*$BF464</f>
        <v>0</v>
      </c>
      <c r="BJ464" s="157">
        <f>BJ461*$BF464</f>
        <v>0</v>
      </c>
    </row>
    <row r="465" spans="1:62" ht="14.5" thickBot="1" x14ac:dyDescent="0.35">
      <c r="A465" s="106"/>
      <c r="B465" s="150"/>
      <c r="C465" s="134"/>
      <c r="D465" s="135" t="str">
        <f>IF(B464="","",CONCATENATE(AK465,AL465))</f>
        <v/>
      </c>
      <c r="E465" s="121"/>
      <c r="F465" s="1"/>
      <c r="AD465" s="137">
        <f>IF(B459=B$2984,G$2984,AC464)</f>
        <v>0</v>
      </c>
      <c r="AE465" s="138">
        <f>IF(B459=B$2985,G$2985,AD464)</f>
        <v>0</v>
      </c>
      <c r="AF465" s="139">
        <f>IF(B459=B$2986,G$2986,AE464)</f>
        <v>0</v>
      </c>
      <c r="AG465" s="140">
        <f>IF(B459=B$2987,G$2987,AF464)</f>
        <v>0</v>
      </c>
      <c r="AH465" s="7"/>
      <c r="AI465" s="141">
        <f>MAX(AD465:AG465)</f>
        <v>0</v>
      </c>
      <c r="AJ465" s="48">
        <f>LEN(B459)</f>
        <v>0</v>
      </c>
      <c r="AK465" s="142" t="str">
        <f>IF(B465="",$AC$356,B465*AI465)</f>
        <v>in estimated</v>
      </c>
      <c r="AL465" s="48" t="s">
        <v>244</v>
      </c>
      <c r="AN465" s="48">
        <f>B465*AI465</f>
        <v>0</v>
      </c>
      <c r="AP465" s="143" t="str">
        <f>IF($C465=$D$2984,AP$356,"")</f>
        <v/>
      </c>
      <c r="AQ465" s="144" t="str">
        <f>IF($C465=$D$2985,AQ$356,"")</f>
        <v/>
      </c>
      <c r="AR465" s="145" t="str">
        <f>IF($C465=$D$2986,AR$356,"")</f>
        <v/>
      </c>
      <c r="AS465" s="146" t="str">
        <f>IF($C465=$D$2987,AS$356,"")</f>
        <v/>
      </c>
      <c r="AT465" s="147" t="str">
        <f>IF($C465=$D$2988,AT$356,"")</f>
        <v/>
      </c>
      <c r="AU465" s="148">
        <f>MAX(AP465:AS465)</f>
        <v>0</v>
      </c>
      <c r="AV465" s="142"/>
      <c r="AX465" s="101">
        <f>IF(AK465=$AC$356,0,AK465)</f>
        <v>0</v>
      </c>
      <c r="BB465" s="48"/>
      <c r="BG465" s="149">
        <f>BG461*0.95</f>
        <v>0</v>
      </c>
      <c r="BH465" s="149">
        <f>BH461*0.95</f>
        <v>0</v>
      </c>
      <c r="BI465" s="149">
        <f>BI461*0.95</f>
        <v>0</v>
      </c>
      <c r="BJ465" s="149">
        <f>BJ461*0.95</f>
        <v>0</v>
      </c>
    </row>
    <row r="466" spans="1:62" ht="14.5" thickTop="1" x14ac:dyDescent="0.3">
      <c r="A466" s="106"/>
      <c r="B466" s="106"/>
      <c r="C466" s="106"/>
      <c r="D466" s="106"/>
      <c r="E466" s="121"/>
      <c r="F466" s="1"/>
    </row>
    <row r="467" spans="1:62" ht="20" customHeight="1" x14ac:dyDescent="0.3">
      <c r="A467" s="103">
        <f>A457+1</f>
        <v>12</v>
      </c>
      <c r="B467" s="103" t="s">
        <v>3805</v>
      </c>
      <c r="C467" s="103"/>
      <c r="D467" s="104">
        <f>IF(AN469&gt;0,AN469,0)</f>
        <v>0</v>
      </c>
      <c r="E467" s="121"/>
      <c r="F467" s="1"/>
    </row>
    <row r="468" spans="1:62" ht="18" customHeight="1" x14ac:dyDescent="0.3">
      <c r="A468" s="103"/>
      <c r="B468" s="965" t="s">
        <v>3807</v>
      </c>
      <c r="C468" s="965"/>
      <c r="D468" s="965"/>
      <c r="E468" s="121"/>
      <c r="F468" s="1"/>
      <c r="AC468" s="110">
        <v>1</v>
      </c>
      <c r="AD468" s="111">
        <f>AC468-($AC468/5)</f>
        <v>0.8</v>
      </c>
      <c r="AE468" s="112">
        <f>AD468-($AC468/5)</f>
        <v>0.60000000000000009</v>
      </c>
      <c r="AF468" s="113">
        <f>AE468-($AC468/5)</f>
        <v>0.40000000000000008</v>
      </c>
      <c r="AG468" s="114">
        <f>AF468-($AC468/5)</f>
        <v>0.20000000000000007</v>
      </c>
      <c r="AH468" s="115">
        <f>AG468-($AC468/5)</f>
        <v>0</v>
      </c>
      <c r="AI468" s="109"/>
      <c r="AP468" s="109"/>
      <c r="AQ468" s="109"/>
      <c r="AR468" s="109"/>
      <c r="AS468" s="109"/>
      <c r="AT468" s="109"/>
      <c r="AU468" s="109"/>
      <c r="AV468" s="109"/>
      <c r="AW468" s="109"/>
      <c r="AX468" s="109"/>
      <c r="AY468" s="109"/>
      <c r="AZ468" s="109"/>
      <c r="BA468" s="109"/>
      <c r="BB468" s="116" t="s">
        <v>234</v>
      </c>
      <c r="BD468" s="116" t="s">
        <v>235</v>
      </c>
      <c r="BE468" s="109"/>
      <c r="BF468" s="109"/>
      <c r="BG468" s="117" t="s">
        <v>236</v>
      </c>
      <c r="BH468" s="118"/>
      <c r="BI468" s="119" t="s">
        <v>237</v>
      </c>
      <c r="BJ468" s="120"/>
    </row>
    <row r="469" spans="1:62" ht="14.5" x14ac:dyDescent="0.35">
      <c r="A469" s="106"/>
      <c r="B469" s="966"/>
      <c r="C469" s="966"/>
      <c r="D469" s="966"/>
      <c r="E469" s="121"/>
      <c r="F469" s="1"/>
      <c r="AC469" s="101">
        <f t="shared" ref="AC469:AH469" si="26">IF($B469=AC$2984,AC468,0)</f>
        <v>0</v>
      </c>
      <c r="AD469" s="101">
        <f t="shared" si="26"/>
        <v>0</v>
      </c>
      <c r="AE469" s="101">
        <f t="shared" si="26"/>
        <v>0</v>
      </c>
      <c r="AF469" s="101">
        <f t="shared" si="26"/>
        <v>0</v>
      </c>
      <c r="AG469" s="101">
        <f t="shared" si="26"/>
        <v>0</v>
      </c>
      <c r="AH469" s="101">
        <f t="shared" si="26"/>
        <v>0</v>
      </c>
      <c r="AI469" s="151">
        <f>SUM(AC469:AH469)</f>
        <v>0</v>
      </c>
      <c r="AK469" s="967" t="str">
        <f>IF(AI469&gt;0,AI469,"")</f>
        <v/>
      </c>
      <c r="AL469" s="968"/>
      <c r="AN469" s="969">
        <f>(AI469/$AN$356)/2</f>
        <v>0</v>
      </c>
      <c r="AO469" s="970"/>
      <c r="BB469" s="116" t="s">
        <v>239</v>
      </c>
      <c r="BD469" s="116" t="s">
        <v>239</v>
      </c>
      <c r="BG469" s="117" t="s">
        <v>240</v>
      </c>
      <c r="BH469" s="123">
        <f>BH459</f>
        <v>0.1</v>
      </c>
      <c r="BI469" s="119" t="s">
        <v>240</v>
      </c>
      <c r="BJ469" s="124">
        <f>1-BH469</f>
        <v>0.9</v>
      </c>
    </row>
    <row r="470" spans="1:62" ht="14.5" x14ac:dyDescent="0.3">
      <c r="A470" s="106"/>
      <c r="B470" s="971"/>
      <c r="C470" s="971"/>
      <c r="D470" s="971"/>
      <c r="E470" s="121"/>
      <c r="F470" s="1"/>
      <c r="BB470" s="157">
        <f>$AC$1712</f>
        <v>10</v>
      </c>
      <c r="BD470" s="157">
        <f>$AC$1713</f>
        <v>25</v>
      </c>
      <c r="BG470" s="125" t="str">
        <f>BB468</f>
        <v>low</v>
      </c>
      <c r="BH470" s="125" t="str">
        <f>BD468</f>
        <v>high</v>
      </c>
      <c r="BI470" s="125" t="str">
        <f>BB468</f>
        <v>low</v>
      </c>
      <c r="BJ470" s="125" t="str">
        <f>BD468</f>
        <v>high</v>
      </c>
    </row>
    <row r="471" spans="1:62" ht="14.5" thickBot="1" x14ac:dyDescent="0.35">
      <c r="A471" s="106"/>
      <c r="B471" s="152" t="str">
        <f>IF(B399="","","Add any relevant info in box below about any correspondence with the media..")</f>
        <v>Add any relevant info in box below about any correspondence with the media..</v>
      </c>
      <c r="C471" s="152"/>
      <c r="D471" s="152"/>
      <c r="E471" s="121"/>
      <c r="F471" s="1"/>
      <c r="BB471" s="157">
        <f>IF(AK475=$AC$356,0,(BB470*AK475))</f>
        <v>0</v>
      </c>
      <c r="BD471" s="157">
        <f>IF(AK475=$AC$356,0,(BD470*AK475))</f>
        <v>0</v>
      </c>
      <c r="BG471" s="157">
        <f>BB471*BH469</f>
        <v>0</v>
      </c>
      <c r="BH471" s="157">
        <f>BD471*BH469</f>
        <v>0</v>
      </c>
      <c r="BI471" s="157">
        <f>BB471*BJ469</f>
        <v>0</v>
      </c>
      <c r="BJ471" s="157">
        <f>BD471*BJ469</f>
        <v>0</v>
      </c>
    </row>
    <row r="472" spans="1:62" ht="85" customHeight="1" thickTop="1" thickBot="1" x14ac:dyDescent="0.35">
      <c r="A472" s="106"/>
      <c r="B472" s="972"/>
      <c r="C472" s="973"/>
      <c r="D472" s="974"/>
      <c r="E472" s="121"/>
      <c r="F472" s="1"/>
      <c r="BJ472" s="126">
        <f>MIN(BJ471,($D$1486*10))</f>
        <v>0</v>
      </c>
    </row>
    <row r="473" spans="1:62" ht="16.5" thickTop="1" thickBot="1" x14ac:dyDescent="0.35">
      <c r="A473" s="106"/>
      <c r="B473" s="127" t="str">
        <f>IF(B469="","","SUPPORTER REVIEW: Prepare for Independent Verifier")</f>
        <v/>
      </c>
      <c r="C473" s="106"/>
      <c r="D473" s="106"/>
      <c r="E473" s="121"/>
      <c r="F473" s="1"/>
      <c r="BJ473" s="128"/>
    </row>
    <row r="474" spans="1:62" ht="15" customHeight="1" thickTop="1" x14ac:dyDescent="0.3">
      <c r="A474" s="106"/>
      <c r="B474" s="129" t="str">
        <f>IF(B469="","","How many pages?")</f>
        <v/>
      </c>
      <c r="C474" s="130" t="str">
        <f>IF(AJ475&gt;30,"check if URL works, report from list below","")</f>
        <v/>
      </c>
      <c r="D474" s="131" t="str">
        <f>IF(B469="","","Estimated time to verify")</f>
        <v/>
      </c>
      <c r="E474" s="121"/>
      <c r="F474" s="1"/>
      <c r="AP474" s="48" t="s">
        <v>242</v>
      </c>
      <c r="AT474" s="132" t="str">
        <f>IF(AND(AJ475&gt;30,B475&gt;0),"ready","not ready")</f>
        <v>not ready</v>
      </c>
      <c r="AU474" s="132"/>
      <c r="AV474" s="132"/>
      <c r="BB474" s="48"/>
      <c r="BF474" s="102">
        <f>BF464</f>
        <v>0.05</v>
      </c>
      <c r="BG474" s="157">
        <f>BG471*$BF474</f>
        <v>0</v>
      </c>
      <c r="BH474" s="157">
        <f>BH471*$BF474</f>
        <v>0</v>
      </c>
      <c r="BI474" s="157">
        <f>BI471*$BF474</f>
        <v>0</v>
      </c>
      <c r="BJ474" s="157">
        <f>BJ471*$BF474</f>
        <v>0</v>
      </c>
    </row>
    <row r="475" spans="1:62" ht="15" customHeight="1" thickBot="1" x14ac:dyDescent="0.35">
      <c r="A475" s="106"/>
      <c r="B475" s="150"/>
      <c r="C475" s="134"/>
      <c r="D475" s="135" t="str">
        <f>IF(B474="","",CONCATENATE(AK475,AL475))</f>
        <v/>
      </c>
      <c r="E475" s="121"/>
      <c r="F475" s="1"/>
      <c r="AD475" s="137">
        <f>IF(B469=B$2984,G$2984,AC474)</f>
        <v>0</v>
      </c>
      <c r="AE475" s="138">
        <f>IF(B469=B$2985,G$2985,AD474)</f>
        <v>0</v>
      </c>
      <c r="AF475" s="139">
        <f>IF(B469=B$2986,G$2986,AE474)</f>
        <v>0</v>
      </c>
      <c r="AG475" s="140">
        <f>IF(B469=B$2987,G$2987,AF474)</f>
        <v>0</v>
      </c>
      <c r="AH475" s="7"/>
      <c r="AI475" s="141">
        <f>MAX(AD475:AG475)</f>
        <v>0</v>
      </c>
      <c r="AJ475" s="48">
        <f>LEN(B469)</f>
        <v>0</v>
      </c>
      <c r="AK475" s="142" t="str">
        <f>IF(B475="",$AC$356,B475*AI475)</f>
        <v>in estimated</v>
      </c>
      <c r="AL475" s="48" t="s">
        <v>244</v>
      </c>
      <c r="AN475" s="48">
        <f>B475*AI475</f>
        <v>0</v>
      </c>
      <c r="AP475" s="143" t="str">
        <f>IF($C475=$D$2984,AP$356,"")</f>
        <v/>
      </c>
      <c r="AQ475" s="144" t="str">
        <f>IF($C475=$D$2985,AQ$356,"")</f>
        <v/>
      </c>
      <c r="AR475" s="145" t="str">
        <f>IF($C475=$D$2986,AR$356,"")</f>
        <v/>
      </c>
      <c r="AS475" s="146" t="str">
        <f>IF($C475=$D$2987,AS$356,"")</f>
        <v/>
      </c>
      <c r="AT475" s="147" t="str">
        <f>IF($C475=$D$2988,AT$356,"")</f>
        <v/>
      </c>
      <c r="AU475" s="148">
        <f>MAX(AP475:AS475)</f>
        <v>0</v>
      </c>
      <c r="AV475" s="142"/>
      <c r="AX475" s="101">
        <f>IF(AK475=$AC$356,0,AK475)</f>
        <v>0</v>
      </c>
      <c r="BB475" s="48"/>
      <c r="BG475" s="149">
        <f>BG471*0.95</f>
        <v>0</v>
      </c>
      <c r="BH475" s="149">
        <f>BH471*0.95</f>
        <v>0</v>
      </c>
      <c r="BI475" s="149">
        <f>BI471*0.95</f>
        <v>0</v>
      </c>
      <c r="BJ475" s="149">
        <f>BJ471*0.95</f>
        <v>0</v>
      </c>
    </row>
    <row r="476" spans="1:62" ht="12" customHeight="1" thickTop="1" x14ac:dyDescent="0.3">
      <c r="A476" s="106"/>
      <c r="B476" s="106"/>
      <c r="C476" s="106"/>
      <c r="D476" s="106"/>
      <c r="E476" s="121"/>
      <c r="F476" s="1"/>
    </row>
    <row r="477" spans="1:62" ht="20" customHeight="1" x14ac:dyDescent="0.3">
      <c r="A477" s="103">
        <f>A467+1</f>
        <v>13</v>
      </c>
      <c r="B477" s="103" t="s">
        <v>260</v>
      </c>
      <c r="C477" s="103"/>
      <c r="D477" s="104">
        <f>IF(AN479&gt;0,AN479,0)</f>
        <v>0</v>
      </c>
      <c r="E477" s="121"/>
      <c r="F477" s="1"/>
    </row>
    <row r="478" spans="1:62" ht="18" customHeight="1" x14ac:dyDescent="0.3">
      <c r="A478" s="103"/>
      <c r="B478" s="965" t="s">
        <v>3813</v>
      </c>
      <c r="C478" s="965"/>
      <c r="D478" s="965"/>
      <c r="E478" s="121"/>
      <c r="F478" s="1"/>
      <c r="AC478" s="110">
        <v>1</v>
      </c>
      <c r="AD478" s="111">
        <f>AC478-($AC478/5)</f>
        <v>0.8</v>
      </c>
      <c r="AE478" s="112">
        <f>AD478-($AC478/5)</f>
        <v>0.60000000000000009</v>
      </c>
      <c r="AF478" s="113">
        <f>AE478-($AC478/5)</f>
        <v>0.40000000000000008</v>
      </c>
      <c r="AG478" s="114">
        <f>AF478-($AC478/5)</f>
        <v>0.20000000000000007</v>
      </c>
      <c r="AH478" s="115">
        <f>AG478-($AC478/5)</f>
        <v>0</v>
      </c>
      <c r="AI478" s="109"/>
      <c r="AP478" s="109"/>
      <c r="AQ478" s="109"/>
      <c r="AR478" s="109"/>
      <c r="AS478" s="109"/>
      <c r="AT478" s="109"/>
      <c r="AU478" s="109"/>
      <c r="AV478" s="109"/>
      <c r="AW478" s="109"/>
      <c r="AX478" s="109"/>
      <c r="AY478" s="109"/>
      <c r="AZ478" s="109"/>
      <c r="BA478" s="109"/>
      <c r="BB478" s="116" t="s">
        <v>234</v>
      </c>
      <c r="BD478" s="116" t="s">
        <v>235</v>
      </c>
      <c r="BE478" s="109"/>
      <c r="BF478" s="109"/>
      <c r="BG478" s="117" t="s">
        <v>236</v>
      </c>
      <c r="BH478" s="118"/>
      <c r="BI478" s="119" t="s">
        <v>237</v>
      </c>
      <c r="BJ478" s="120"/>
    </row>
    <row r="479" spans="1:62" ht="14.5" x14ac:dyDescent="0.35">
      <c r="A479" s="106"/>
      <c r="B479" s="966"/>
      <c r="C479" s="966"/>
      <c r="D479" s="966"/>
      <c r="E479" s="121"/>
      <c r="F479" s="1"/>
      <c r="AC479" s="101">
        <f t="shared" ref="AC479:AH479" si="27">IF($B479=AC$2984,AC478,0)</f>
        <v>0</v>
      </c>
      <c r="AD479" s="101">
        <f t="shared" si="27"/>
        <v>0</v>
      </c>
      <c r="AE479" s="101">
        <f t="shared" si="27"/>
        <v>0</v>
      </c>
      <c r="AF479" s="101">
        <f t="shared" si="27"/>
        <v>0</v>
      </c>
      <c r="AG479" s="101">
        <f t="shared" si="27"/>
        <v>0</v>
      </c>
      <c r="AH479" s="101">
        <f t="shared" si="27"/>
        <v>0</v>
      </c>
      <c r="AI479" s="151">
        <f>SUM(AC479:AH479)</f>
        <v>0</v>
      </c>
      <c r="AK479" s="967" t="str">
        <f>IF(AI479&gt;0,AI479,"")</f>
        <v/>
      </c>
      <c r="AL479" s="968"/>
      <c r="AN479" s="969">
        <f>(AI479/$AN$356)/2</f>
        <v>0</v>
      </c>
      <c r="AO479" s="970"/>
      <c r="BB479" s="116" t="s">
        <v>239</v>
      </c>
      <c r="BD479" s="116" t="s">
        <v>239</v>
      </c>
      <c r="BG479" s="117" t="s">
        <v>240</v>
      </c>
      <c r="BH479" s="123">
        <f>BH469</f>
        <v>0.1</v>
      </c>
      <c r="BI479" s="119" t="s">
        <v>240</v>
      </c>
      <c r="BJ479" s="124">
        <f>1-BH479</f>
        <v>0.9</v>
      </c>
    </row>
    <row r="480" spans="1:62" ht="14.5" x14ac:dyDescent="0.3">
      <c r="A480" s="106"/>
      <c r="B480" s="971"/>
      <c r="C480" s="971"/>
      <c r="D480" s="971"/>
      <c r="E480" s="121"/>
      <c r="F480" s="1"/>
      <c r="BB480" s="157">
        <f>$AC$1712</f>
        <v>10</v>
      </c>
      <c r="BD480" s="157">
        <f>$AC$1713</f>
        <v>25</v>
      </c>
      <c r="BG480" s="125" t="str">
        <f>BB478</f>
        <v>low</v>
      </c>
      <c r="BH480" s="125" t="str">
        <f>BD478</f>
        <v>high</v>
      </c>
      <c r="BI480" s="125" t="str">
        <f>BB478</f>
        <v>low</v>
      </c>
      <c r="BJ480" s="125" t="str">
        <f>BD478</f>
        <v>high</v>
      </c>
    </row>
    <row r="481" spans="1:62" ht="14.4" customHeight="1" thickBot="1" x14ac:dyDescent="0.35">
      <c r="A481" s="106"/>
      <c r="B481" s="152" t="str">
        <f>IF(B399="","","Add any relevant info in box below to help us help you with your other documents.")</f>
        <v>Add any relevant info in box below to help us help you with your other documents.</v>
      </c>
      <c r="C481" s="152"/>
      <c r="D481" s="152"/>
      <c r="E481" s="121"/>
      <c r="F481" s="1"/>
      <c r="BB481" s="157">
        <f>IF(AK485=$AC$356,0,(BB480*AK485))</f>
        <v>0</v>
      </c>
      <c r="BD481" s="157">
        <f>IF(AK485=$AC$356,0,(BD480*AK485))</f>
        <v>0</v>
      </c>
      <c r="BG481" s="157">
        <f>BB481*BH479</f>
        <v>0</v>
      </c>
      <c r="BH481" s="157">
        <f>BD481*BH479</f>
        <v>0</v>
      </c>
      <c r="BI481" s="157">
        <f>BB481*BJ479</f>
        <v>0</v>
      </c>
      <c r="BJ481" s="157">
        <f>BD481*BJ479</f>
        <v>0</v>
      </c>
    </row>
    <row r="482" spans="1:62" ht="85" customHeight="1" thickTop="1" thickBot="1" x14ac:dyDescent="0.35">
      <c r="A482" s="106"/>
      <c r="B482" s="972"/>
      <c r="C482" s="973"/>
      <c r="D482" s="974"/>
      <c r="E482" s="121"/>
      <c r="F482" s="1"/>
      <c r="BJ482" s="126">
        <f>MIN(BJ481,($D$1486*10))</f>
        <v>0</v>
      </c>
    </row>
    <row r="483" spans="1:62" ht="16.75" customHeight="1" thickTop="1" thickBot="1" x14ac:dyDescent="0.35">
      <c r="A483" s="106"/>
      <c r="B483" s="127" t="str">
        <f>IF(B479="","","SUPPORTER REVIEW: Prepare for Independent Verifier")</f>
        <v/>
      </c>
      <c r="C483" s="106"/>
      <c r="D483" s="106"/>
      <c r="E483" s="121"/>
      <c r="F483" s="1"/>
      <c r="BJ483" s="128"/>
    </row>
    <row r="484" spans="1:62" ht="15" customHeight="1" thickTop="1" x14ac:dyDescent="0.3">
      <c r="A484" s="106"/>
      <c r="B484" s="129" t="str">
        <f>IF(B479="","","How many pages?")</f>
        <v/>
      </c>
      <c r="C484" s="130" t="str">
        <f>IF(AJ485&gt;30,"check if URL works, report from list below","")</f>
        <v/>
      </c>
      <c r="D484" s="131" t="str">
        <f>IF(B479="","","Estimated time to verify")</f>
        <v/>
      </c>
      <c r="E484" s="121"/>
      <c r="F484" s="1"/>
      <c r="AP484" s="48" t="s">
        <v>242</v>
      </c>
      <c r="AT484" s="132" t="str">
        <f>IF(AND(AJ485&gt;30,B485&gt;0),"ready","not ready")</f>
        <v>not ready</v>
      </c>
      <c r="AU484" s="132"/>
      <c r="AV484" s="132"/>
      <c r="BB484" s="48"/>
      <c r="BF484" s="102">
        <f>BF474</f>
        <v>0.05</v>
      </c>
      <c r="BG484" s="157">
        <f>BG481*$BF484</f>
        <v>0</v>
      </c>
      <c r="BH484" s="157">
        <f>BH481*$BF484</f>
        <v>0</v>
      </c>
      <c r="BI484" s="157">
        <f>BI481*$BF484</f>
        <v>0</v>
      </c>
      <c r="BJ484" s="157">
        <f>BJ481*$BF484</f>
        <v>0</v>
      </c>
    </row>
    <row r="485" spans="1:62" ht="15" customHeight="1" thickBot="1" x14ac:dyDescent="0.35">
      <c r="A485" s="106"/>
      <c r="B485" s="150"/>
      <c r="C485" s="134"/>
      <c r="D485" s="135" t="str">
        <f>IF(B484="","",CONCATENATE(AK485,AL485))</f>
        <v/>
      </c>
      <c r="E485" s="121"/>
      <c r="F485" s="1"/>
      <c r="AD485" s="137">
        <f>IF(B479=B$2984,G$2984,AC484)</f>
        <v>0</v>
      </c>
      <c r="AE485" s="138">
        <f>IF(B479=B$2985,G$2985,AD484)</f>
        <v>0</v>
      </c>
      <c r="AF485" s="139">
        <f>IF(B479=B$2986,G$2986,AE484)</f>
        <v>0</v>
      </c>
      <c r="AG485" s="140">
        <f>IF(B479=B$2987,G$2987,AF484)</f>
        <v>0</v>
      </c>
      <c r="AH485" s="7"/>
      <c r="AI485" s="141">
        <f>MAX(AD485:AG485)</f>
        <v>0</v>
      </c>
      <c r="AJ485" s="48">
        <f>LEN(B479)</f>
        <v>0</v>
      </c>
      <c r="AK485" s="142" t="str">
        <f>IF(B485="",$AC$356,B485*AI485)</f>
        <v>in estimated</v>
      </c>
      <c r="AL485" s="48" t="s">
        <v>244</v>
      </c>
      <c r="AN485" s="48">
        <f>B485*AI485</f>
        <v>0</v>
      </c>
      <c r="AP485" s="143" t="str">
        <f>IF($C485=$D$2984,AP$356,"")</f>
        <v/>
      </c>
      <c r="AQ485" s="144" t="str">
        <f>IF($C485=$D$2985,AQ$356,"")</f>
        <v/>
      </c>
      <c r="AR485" s="145" t="str">
        <f>IF($C485=$D$2986,AR$356,"")</f>
        <v/>
      </c>
      <c r="AS485" s="146" t="str">
        <f>IF($C485=$D$2987,AS$356,"")</f>
        <v/>
      </c>
      <c r="AT485" s="147" t="str">
        <f>IF($C485=$D$2988,AT$356,"")</f>
        <v/>
      </c>
      <c r="AU485" s="148">
        <f>MAX(AP485:AS485)</f>
        <v>0</v>
      </c>
      <c r="AV485" s="142"/>
      <c r="AX485" s="101">
        <f>IF(AK485=$AC$356,0,AK485)</f>
        <v>0</v>
      </c>
      <c r="BB485" s="48"/>
      <c r="BG485" s="149">
        <f>BG481*0.95</f>
        <v>0</v>
      </c>
      <c r="BH485" s="149">
        <f>BH481*0.95</f>
        <v>0</v>
      </c>
      <c r="BI485" s="149">
        <f>BI481*0.95</f>
        <v>0</v>
      </c>
      <c r="BJ485" s="149">
        <f>BJ481*0.95</f>
        <v>0</v>
      </c>
    </row>
    <row r="486" spans="1:62" ht="14.4" customHeight="1" thickTop="1" x14ac:dyDescent="0.3">
      <c r="A486" s="106"/>
      <c r="B486" s="106"/>
      <c r="C486" s="106"/>
      <c r="D486" s="106"/>
      <c r="E486" s="121"/>
      <c r="F486" s="1"/>
    </row>
    <row r="487" spans="1:62" ht="20" customHeight="1" x14ac:dyDescent="0.3">
      <c r="A487" s="103">
        <f>A477+1</f>
        <v>14</v>
      </c>
      <c r="B487" s="103" t="s">
        <v>261</v>
      </c>
      <c r="C487" s="103"/>
      <c r="D487" s="104">
        <f>IF(AN489&gt;0,AN489,0)</f>
        <v>0</v>
      </c>
      <c r="E487" s="121"/>
      <c r="F487" s="1"/>
    </row>
    <row r="488" spans="1:62" ht="18" customHeight="1" x14ac:dyDescent="0.3">
      <c r="A488" s="103"/>
      <c r="B488" s="965" t="s">
        <v>3814</v>
      </c>
      <c r="C488" s="965"/>
      <c r="D488" s="965"/>
      <c r="E488" s="121"/>
      <c r="F488" s="1"/>
      <c r="AC488" s="110">
        <v>1</v>
      </c>
      <c r="AD488" s="111">
        <f>AC488-($AC488/5)</f>
        <v>0.8</v>
      </c>
      <c r="AE488" s="112">
        <f>AD488-($AC488/5)</f>
        <v>0.60000000000000009</v>
      </c>
      <c r="AF488" s="113">
        <f>AE488-($AC488/5)</f>
        <v>0.40000000000000008</v>
      </c>
      <c r="AG488" s="114">
        <f>AF488-($AC488/5)</f>
        <v>0.20000000000000007</v>
      </c>
      <c r="AH488" s="115">
        <f>AG488-($AC488/5)</f>
        <v>0</v>
      </c>
      <c r="AI488" s="109"/>
      <c r="AP488" s="109"/>
      <c r="AQ488" s="109"/>
      <c r="AR488" s="109"/>
      <c r="AS488" s="109"/>
      <c r="AT488" s="109"/>
      <c r="AU488" s="109"/>
      <c r="AV488" s="109"/>
      <c r="AW488" s="109"/>
      <c r="AX488" s="109"/>
      <c r="AY488" s="109"/>
      <c r="AZ488" s="109"/>
      <c r="BA488" s="109"/>
      <c r="BB488" s="116" t="s">
        <v>234</v>
      </c>
      <c r="BD488" s="116" t="s">
        <v>235</v>
      </c>
      <c r="BE488" s="109"/>
      <c r="BF488" s="109"/>
      <c r="BG488" s="117" t="s">
        <v>236</v>
      </c>
      <c r="BH488" s="118"/>
      <c r="BI488" s="119" t="s">
        <v>237</v>
      </c>
      <c r="BJ488" s="120"/>
    </row>
    <row r="489" spans="1:62" ht="14.5" x14ac:dyDescent="0.35">
      <c r="A489" s="106"/>
      <c r="B489" s="966"/>
      <c r="C489" s="966"/>
      <c r="D489" s="966"/>
      <c r="E489" s="121"/>
      <c r="F489" s="1"/>
      <c r="AC489" s="101">
        <f t="shared" ref="AC489:AH489" si="28">IF($B489=AC$2984,AC488,0)</f>
        <v>0</v>
      </c>
      <c r="AD489" s="101">
        <f t="shared" si="28"/>
        <v>0</v>
      </c>
      <c r="AE489" s="101">
        <f t="shared" si="28"/>
        <v>0</v>
      </c>
      <c r="AF489" s="101">
        <f t="shared" si="28"/>
        <v>0</v>
      </c>
      <c r="AG489" s="101">
        <f t="shared" si="28"/>
        <v>0</v>
      </c>
      <c r="AH489" s="101">
        <f t="shared" si="28"/>
        <v>0</v>
      </c>
      <c r="AI489" s="151">
        <f>SUM(AC489:AH489)</f>
        <v>0</v>
      </c>
      <c r="AK489" s="967" t="str">
        <f>IF(AI489&gt;0,AI489,"")</f>
        <v/>
      </c>
      <c r="AL489" s="968"/>
      <c r="AN489" s="969">
        <f>(AI489/$AN$356)/2</f>
        <v>0</v>
      </c>
      <c r="AO489" s="970"/>
      <c r="BB489" s="116" t="s">
        <v>239</v>
      </c>
      <c r="BD489" s="116" t="s">
        <v>239</v>
      </c>
      <c r="BG489" s="117" t="s">
        <v>240</v>
      </c>
      <c r="BH489" s="123">
        <f>BH479</f>
        <v>0.1</v>
      </c>
      <c r="BI489" s="119" t="s">
        <v>240</v>
      </c>
      <c r="BJ489" s="124">
        <f>1-BH489</f>
        <v>0.9</v>
      </c>
    </row>
    <row r="490" spans="1:62" ht="14.5" x14ac:dyDescent="0.3">
      <c r="A490" s="106"/>
      <c r="B490" s="971"/>
      <c r="C490" s="971"/>
      <c r="D490" s="971"/>
      <c r="E490" s="121"/>
      <c r="F490" s="1"/>
      <c r="BB490" s="157">
        <f>$AC$1712</f>
        <v>10</v>
      </c>
      <c r="BD490" s="157">
        <f>$AC$1713</f>
        <v>25</v>
      </c>
      <c r="BG490" s="125" t="str">
        <f>BB488</f>
        <v>low</v>
      </c>
      <c r="BH490" s="125" t="str">
        <f>BD488</f>
        <v>high</v>
      </c>
      <c r="BI490" s="125" t="str">
        <f>BB488</f>
        <v>low</v>
      </c>
      <c r="BJ490" s="125" t="str">
        <f>BD488</f>
        <v>high</v>
      </c>
    </row>
    <row r="491" spans="1:62" ht="14.4" customHeight="1" thickBot="1" x14ac:dyDescent="0.35">
      <c r="A491" s="106"/>
      <c r="B491" s="152" t="str">
        <f>IF(B399="","","Add any relevant info in box below to help us help you with your other supportive materials.")</f>
        <v>Add any relevant info in box below to help us help you with your other supportive materials.</v>
      </c>
      <c r="C491" s="152"/>
      <c r="D491" s="152"/>
      <c r="E491" s="121"/>
      <c r="F491" s="1"/>
      <c r="BB491" s="157">
        <f>IF(AK495=$AC$356,0,(BB490*AK495))</f>
        <v>0</v>
      </c>
      <c r="BD491" s="157">
        <f>IF(AK495=$AC$356,0,(BD490*AK495))</f>
        <v>0</v>
      </c>
      <c r="BG491" s="157">
        <f>BB491*BH489</f>
        <v>0</v>
      </c>
      <c r="BH491" s="157">
        <f>BD491*BH489</f>
        <v>0</v>
      </c>
      <c r="BI491" s="157">
        <f>BB491*BJ489</f>
        <v>0</v>
      </c>
      <c r="BJ491" s="157">
        <f>BD491*BJ489</f>
        <v>0</v>
      </c>
    </row>
    <row r="492" spans="1:62" ht="85" customHeight="1" thickTop="1" thickBot="1" x14ac:dyDescent="0.35">
      <c r="A492" s="106"/>
      <c r="B492" s="972"/>
      <c r="C492" s="973"/>
      <c r="D492" s="974"/>
      <c r="E492" s="121"/>
      <c r="F492" s="1"/>
      <c r="BJ492" s="126">
        <f>MIN(BJ491,($D$1486*10))</f>
        <v>0</v>
      </c>
    </row>
    <row r="493" spans="1:62" ht="16.75" customHeight="1" thickTop="1" thickBot="1" x14ac:dyDescent="0.35">
      <c r="A493" s="106"/>
      <c r="B493" s="127" t="str">
        <f>IF(B489="","","SUPPORTER REVIEW: Prepare for Independent Verifier")</f>
        <v/>
      </c>
      <c r="C493" s="106"/>
      <c r="D493" s="106"/>
      <c r="E493" s="121"/>
      <c r="F493" s="1"/>
      <c r="BJ493" s="128"/>
    </row>
    <row r="494" spans="1:62" ht="14.5" thickTop="1" x14ac:dyDescent="0.3">
      <c r="A494" s="106"/>
      <c r="B494" s="129" t="str">
        <f>IF(B489="","","How many pages?")</f>
        <v/>
      </c>
      <c r="C494" s="130" t="str">
        <f>IF(AJ495&gt;30,"check if URL works, report from list below","")</f>
        <v/>
      </c>
      <c r="D494" s="131" t="str">
        <f>IF(B489="","","Estimated time to verify")</f>
        <v/>
      </c>
      <c r="E494" s="121"/>
      <c r="F494" s="1"/>
      <c r="AP494" s="48" t="s">
        <v>242</v>
      </c>
      <c r="AT494" s="132" t="str">
        <f>IF(AND(AJ495&gt;30,B495&gt;0),"ready","not ready")</f>
        <v>not ready</v>
      </c>
      <c r="AU494" s="132"/>
      <c r="AV494" s="132"/>
      <c r="BB494" s="48"/>
      <c r="BF494" s="102">
        <f>BF484</f>
        <v>0.05</v>
      </c>
      <c r="BG494" s="157">
        <f>BG491*$BF494</f>
        <v>0</v>
      </c>
      <c r="BH494" s="157">
        <f>BH491*$BF494</f>
        <v>0</v>
      </c>
      <c r="BI494" s="157">
        <f>BI491*$BF494</f>
        <v>0</v>
      </c>
      <c r="BJ494" s="157">
        <f>BJ491*$BF494</f>
        <v>0</v>
      </c>
    </row>
    <row r="495" spans="1:62" ht="14.5" thickBot="1" x14ac:dyDescent="0.35">
      <c r="A495" s="106"/>
      <c r="B495" s="150"/>
      <c r="C495" s="134"/>
      <c r="D495" s="135" t="str">
        <f>IF(B494="","",CONCATENATE(AK495,AL495))</f>
        <v/>
      </c>
      <c r="E495" s="121"/>
      <c r="F495" s="1"/>
      <c r="AD495" s="137">
        <f>IF(B489=B$2984,G$2984,AC494)</f>
        <v>0</v>
      </c>
      <c r="AE495" s="138">
        <f>IF(B489=B$2985,G$2985,AD494)</f>
        <v>0</v>
      </c>
      <c r="AF495" s="139">
        <f>IF(B489=B$2986,G$2986,AE494)</f>
        <v>0</v>
      </c>
      <c r="AG495" s="140">
        <f>IF(B489=B$2987,G$2987,AF494)</f>
        <v>0</v>
      </c>
      <c r="AH495" s="7"/>
      <c r="AI495" s="141">
        <f>MAX(AD495:AG495)</f>
        <v>0</v>
      </c>
      <c r="AJ495" s="48">
        <f>LEN(B489)</f>
        <v>0</v>
      </c>
      <c r="AK495" s="142" t="str">
        <f>IF(B495="",$AC$356,B495*AI495)</f>
        <v>in estimated</v>
      </c>
      <c r="AL495" s="48" t="s">
        <v>244</v>
      </c>
      <c r="AN495" s="48">
        <f>B495*AI495</f>
        <v>0</v>
      </c>
      <c r="AP495" s="143" t="str">
        <f>IF($C495=$D$2984,AP$356,"")</f>
        <v/>
      </c>
      <c r="AQ495" s="144" t="str">
        <f>IF($C495=$D$2985,AQ$356,"")</f>
        <v/>
      </c>
      <c r="AR495" s="145" t="str">
        <f>IF($C495=$D$2986,AR$356,"")</f>
        <v/>
      </c>
      <c r="AS495" s="146" t="str">
        <f>IF($C495=$D$2987,AS$356,"")</f>
        <v/>
      </c>
      <c r="AT495" s="147" t="str">
        <f>IF($C495=$D$2988,AT$356,"")</f>
        <v/>
      </c>
      <c r="AU495" s="148">
        <f>MAX(AP495:AS495)</f>
        <v>0</v>
      </c>
      <c r="AV495" s="142"/>
      <c r="AX495" s="101">
        <f>IF(AK495=$AC$356,0,AK495)</f>
        <v>0</v>
      </c>
      <c r="BB495" s="48"/>
      <c r="BG495" s="149">
        <f>BG491*0.95</f>
        <v>0</v>
      </c>
      <c r="BH495" s="149">
        <f>BH491*0.95</f>
        <v>0</v>
      </c>
      <c r="BI495" s="149">
        <f>BI491*0.95</f>
        <v>0</v>
      </c>
      <c r="BJ495" s="149">
        <f>BJ491*0.95</f>
        <v>0</v>
      </c>
    </row>
    <row r="496" spans="1:62" ht="14.5" thickTop="1" x14ac:dyDescent="0.3">
      <c r="A496" s="106"/>
      <c r="B496" s="106"/>
      <c r="C496" s="106"/>
      <c r="D496" s="106"/>
      <c r="E496" s="121"/>
      <c r="F496" s="1"/>
    </row>
    <row r="497" spans="1:68" x14ac:dyDescent="0.3">
      <c r="A497" s="106"/>
      <c r="B497" s="106"/>
      <c r="C497" s="106"/>
      <c r="D497" s="106"/>
      <c r="E497" s="121"/>
      <c r="F497" s="1"/>
    </row>
    <row r="498" spans="1:68" ht="25" customHeight="1" x14ac:dyDescent="0.3">
      <c r="A498" s="106"/>
      <c r="B498" s="154">
        <f>(D357+D367+D377+D387+D397+D407+D417+D427+D437+D447+D457+D467+D477+D487)*D2991</f>
        <v>0.24999999999999994</v>
      </c>
      <c r="C498" s="155" t="str">
        <f>IF(B498&gt;0,"Verification progress","")</f>
        <v>Verification progress</v>
      </c>
      <c r="D498" s="106"/>
      <c r="E498" s="121"/>
      <c r="F498" s="1"/>
      <c r="BG498" s="156">
        <f>BG361+BG371+BG381+BG391+BG401+BG411++BG421+BG431+BG441+BG451+BG461+BG471+BG481+BG491</f>
        <v>570.12000000000012</v>
      </c>
      <c r="BH498" s="156">
        <f>BH361+BH371+BH381+BH391+BH401+BH411++BH421+BH431+BH441+BH451+BH461+BH471+BH481+BH491</f>
        <v>1425.3000000000004</v>
      </c>
      <c r="BI498" s="156">
        <f>BI361+BI371+BI381+BI391+BI401+BI411++BI421+BI431+BI441+BI451+BI461+BI471+BI481+BI491</f>
        <v>5131.0800000000008</v>
      </c>
      <c r="BJ498" s="156">
        <f>BJ361+BJ371+BJ381+BJ391+BJ401+BJ411++BJ421+BJ431+BJ441+BJ451+BJ461+BJ471+BJ481+BJ491</f>
        <v>12827.7</v>
      </c>
    </row>
    <row r="499" spans="1:68" ht="13.75" customHeight="1" x14ac:dyDescent="0.35">
      <c r="A499" s="106"/>
      <c r="B499" s="154"/>
      <c r="C499" s="106"/>
      <c r="D499" s="106"/>
      <c r="E499" s="121"/>
      <c r="F499" s="1"/>
      <c r="AK499" s="48">
        <f>SUM(AK365:AK495)</f>
        <v>576.12000000000012</v>
      </c>
      <c r="AL499" s="48" t="str">
        <f>AL495</f>
        <v xml:space="preserve"> hours</v>
      </c>
      <c r="AP499" s="48">
        <f>ROUNDUP(AX499,0)</f>
        <v>571</v>
      </c>
      <c r="AX499" s="48">
        <f>AX365+AX375+AX385+AX395+AX405+AX415+AX425+AX435+AX445+AX455+AX465+AX475+AX485+AX495</f>
        <v>570.12000000000012</v>
      </c>
      <c r="BB499" s="1024">
        <f>BB361+BB371+BB381+BB391+BB401+BB411+BB421+BB431+BB441+BB451+BB461+BB471+BB481+BB491</f>
        <v>5701.2000000000007</v>
      </c>
      <c r="BC499" s="968"/>
      <c r="BD499" s="1024">
        <f>BD361+BD371+BD381+BD391+BD401+BD411+BD421+BD431+BD441+BD451+BD461+BD471+BD481+BD491</f>
        <v>14253</v>
      </c>
      <c r="BE499" s="968"/>
      <c r="BF499" s="158">
        <f>BF494</f>
        <v>0.05</v>
      </c>
      <c r="BG499" s="159">
        <f t="shared" ref="BG499:BJ500" si="29">BG364+BG374++BG384+BG394+BG404+BG414+BG424+BG434+BG444+BG454+BG464+BG474+BG484+BG494</f>
        <v>28.505999999999997</v>
      </c>
      <c r="BH499" s="159">
        <f t="shared" si="29"/>
        <v>71.265000000000029</v>
      </c>
      <c r="BI499" s="159">
        <f t="shared" si="29"/>
        <v>256.55399999999997</v>
      </c>
      <c r="BJ499" s="159">
        <f t="shared" si="29"/>
        <v>641.3850000000001</v>
      </c>
    </row>
    <row r="500" spans="1:68" ht="16" customHeight="1" x14ac:dyDescent="0.35">
      <c r="A500" s="106"/>
      <c r="B500" s="1025" t="s">
        <v>3868</v>
      </c>
      <c r="C500" s="1025"/>
      <c r="D500" s="590" t="s">
        <v>3930</v>
      </c>
      <c r="E500" s="121"/>
      <c r="F500" s="1"/>
      <c r="AF500" s="48" t="s">
        <v>3816</v>
      </c>
      <c r="BB500" s="157"/>
      <c r="BC500"/>
      <c r="BD500" s="157"/>
      <c r="BE500"/>
      <c r="BF500" s="160"/>
      <c r="BG500" s="161">
        <f t="shared" si="29"/>
        <v>541.61400000000003</v>
      </c>
      <c r="BH500" s="161">
        <f t="shared" si="29"/>
        <v>1354.0350000000001</v>
      </c>
      <c r="BI500" s="161">
        <f t="shared" si="29"/>
        <v>4874.5259999999998</v>
      </c>
      <c r="BJ500" s="161">
        <f>BJ365+BJ375++BJ385+BJ395+BJ405+BJ415+BJ425+BJ435+BJ445+BJ455+BJ465+BJ475+BJ485+BJ495</f>
        <v>12186.314999999999</v>
      </c>
    </row>
    <row r="501" spans="1:68" ht="13.75" customHeight="1" x14ac:dyDescent="0.35">
      <c r="A501" s="106"/>
      <c r="B501" s="106"/>
      <c r="C501" s="106"/>
      <c r="D501" s="106"/>
      <c r="E501" s="121"/>
      <c r="F501" s="1"/>
      <c r="AF501" s="48" t="s">
        <v>3817</v>
      </c>
      <c r="AZ501" s="48" t="str">
        <f>BG206</f>
        <v>He</v>
      </c>
      <c r="BB501" s="157" t="s">
        <v>4087</v>
      </c>
      <c r="BC501"/>
      <c r="BD501" s="157" t="str">
        <f>AD1890</f>
        <v>Marie</v>
      </c>
      <c r="BE501"/>
      <c r="BF501" s="245" t="str">
        <f>IF(B500=B2992,D2992,IF(B500=B2993,D2993,IF(B500=B2994,D2994,IF(B500=B2995,D2995,IF(B500=B2996,D2996,IF(B500=B2997,D2997,IF(B500=B2998,D2998,IF(B500=B2999,D2999,IF(B500=B3000,D3000,IF(B500=B3001,D3001,""))))))))))</f>
        <v xml:space="preserve">, checking if the links work for </v>
      </c>
      <c r="BG501" s="48" t="str">
        <f>BJ206</f>
        <v>his</v>
      </c>
      <c r="BH501" s="48" t="s">
        <v>4088</v>
      </c>
      <c r="BP501" s="622" t="str">
        <f>CONCATENATE(AZ501,BB501,BD501,BF501,BG501,BH501)</f>
        <v xml:space="preserve">He needs your help, Marie, checking if the links work for his case documents. </v>
      </c>
    </row>
    <row r="502" spans="1:68" ht="13.75" customHeight="1" x14ac:dyDescent="0.35">
      <c r="A502" s="106"/>
      <c r="B502" s="162" t="s">
        <v>262</v>
      </c>
      <c r="C502" s="106"/>
      <c r="D502" s="106"/>
      <c r="E502" s="121"/>
      <c r="F502" s="1"/>
      <c r="AI502" s="48">
        <v>2</v>
      </c>
      <c r="AJ502" s="48">
        <f>AI502+2</f>
        <v>4</v>
      </c>
      <c r="AK502" s="48" t="s">
        <v>263</v>
      </c>
      <c r="BB502" s="157"/>
      <c r="BC502"/>
      <c r="BD502" s="157"/>
      <c r="BE502"/>
    </row>
    <row r="503" spans="1:68" s="166" customFormat="1" ht="20" customHeight="1" thickBot="1" x14ac:dyDescent="0.35">
      <c r="A503" s="162"/>
      <c r="B503" s="163" t="str">
        <f>IF(AND(AD518&gt;=AI502,AD518&lt;AJ502),AK502,IF(AND(AD518&gt;=AI503,AD518&lt;AJ503),AK503,IF(AND(AD518&gt;=AI504,AD518&lt;AJ504),AK504,AK502)))</f>
        <v>You can improve your baseline score by checking off these to-do list items.</v>
      </c>
      <c r="C503" s="162"/>
      <c r="D503" s="162"/>
      <c r="E503" s="164"/>
      <c r="F503" s="1"/>
      <c r="G503" s="165"/>
      <c r="H503" s="165"/>
      <c r="I503" s="165"/>
      <c r="J503" s="165"/>
      <c r="K503" s="165"/>
      <c r="L503" s="165"/>
      <c r="M503" s="165"/>
      <c r="N503" s="165"/>
      <c r="O503" s="165"/>
      <c r="P503" s="165"/>
      <c r="Q503" s="165"/>
      <c r="R503" s="165"/>
      <c r="S503" s="165"/>
      <c r="T503" s="165"/>
      <c r="U503" s="165"/>
      <c r="V503" s="165"/>
      <c r="W503" s="165"/>
      <c r="X503" s="165"/>
      <c r="Y503" s="165"/>
      <c r="Z503" s="165"/>
      <c r="AI503" s="166">
        <f>AJ502</f>
        <v>4</v>
      </c>
      <c r="AJ503" s="48">
        <f>AI503+5</f>
        <v>9</v>
      </c>
      <c r="AK503" s="48" t="s">
        <v>264</v>
      </c>
      <c r="BB503" s="167"/>
      <c r="BD503" s="167"/>
      <c r="BJ503" s="681"/>
      <c r="BP503" s="680" t="str">
        <f>CONCATENATE(BF501,BG501,BH501)</f>
        <v xml:space="preserve">, checking if the links work for his case documents. </v>
      </c>
    </row>
    <row r="504" spans="1:68" ht="13.75" customHeight="1" thickTop="1" thickBot="1" x14ac:dyDescent="0.4">
      <c r="A504" s="106"/>
      <c r="B504" s="168" t="s">
        <v>265</v>
      </c>
      <c r="C504" s="169" t="s">
        <v>266</v>
      </c>
      <c r="D504" s="107"/>
      <c r="E504" s="121"/>
      <c r="F504" s="1"/>
      <c r="AD504" s="52">
        <f>SUM(AE504:AG504)</f>
        <v>1</v>
      </c>
      <c r="AE504" s="48">
        <f>IF(B504=AK516,1,0)</f>
        <v>1</v>
      </c>
      <c r="AF504" s="48">
        <f>IF(B504=AK517,2,0)</f>
        <v>0</v>
      </c>
      <c r="AG504" s="48">
        <f>IF(B504=AK518,3,0)</f>
        <v>0</v>
      </c>
      <c r="AI504" s="166">
        <f>AJ503</f>
        <v>9</v>
      </c>
      <c r="AJ504" s="48">
        <f>AI504+3</f>
        <v>12</v>
      </c>
      <c r="AK504" s="48" t="s">
        <v>267</v>
      </c>
      <c r="BB504" s="157" t="s">
        <v>4538</v>
      </c>
      <c r="BC504"/>
      <c r="BD504" s="157" t="str">
        <f>BG501</f>
        <v>his</v>
      </c>
      <c r="BE504" t="s">
        <v>4537</v>
      </c>
      <c r="BF504" s="245" t="str">
        <f>IF(B500=B2992,AV2992,IF(B500=B2993,AV2993,IF(B500=B2994,AV2994,IF(B500=B2995,AV2995,IF(B500=B2996,AV2996,IF(B500=B2997,AV2997,IF(B500=B2998,AV2998,IF(B500=B2999,AV2999,IF(B500=B3000,AV3000,IF(B500=B3001,AV3001,""))))))))))</f>
        <v xml:space="preserve">identify any support in his case documents. </v>
      </c>
      <c r="BJ504" s="245" t="s">
        <v>885</v>
      </c>
      <c r="BP504" s="52" t="str">
        <f>CONCATENATE(BB504,BD504,BE504,BF504)</f>
        <v xml:space="preserve">, as his support team works to identify any support in his case documents. </v>
      </c>
    </row>
    <row r="505" spans="1:68" ht="5" customHeight="1" thickTop="1" thickBot="1" x14ac:dyDescent="0.4">
      <c r="A505" s="107"/>
      <c r="B505" s="107"/>
      <c r="C505" s="169"/>
      <c r="D505" s="107"/>
      <c r="E505" s="121"/>
      <c r="F505" s="1"/>
      <c r="BB505" s="157"/>
      <c r="BC505"/>
      <c r="BD505" s="157"/>
      <c r="BE505"/>
    </row>
    <row r="506" spans="1:68" ht="13.75" customHeight="1" thickTop="1" thickBot="1" x14ac:dyDescent="0.4">
      <c r="A506" s="106"/>
      <c r="B506" s="168" t="s">
        <v>265</v>
      </c>
      <c r="C506" s="169" t="s">
        <v>269</v>
      </c>
      <c r="D506" s="107"/>
      <c r="E506" s="121"/>
      <c r="F506" s="1"/>
      <c r="AD506" s="52">
        <f>SUM(AE506:AG506)</f>
        <v>1</v>
      </c>
      <c r="AE506" s="48">
        <f>IF(B506=AK516,1,0)</f>
        <v>1</v>
      </c>
      <c r="AF506" s="48">
        <f>IF(B506=AK517,2,0)</f>
        <v>0</v>
      </c>
      <c r="AG506" s="48">
        <f>IF(B506=AK518,3,0)</f>
        <v>0</v>
      </c>
      <c r="BB506" s="157"/>
      <c r="BC506"/>
      <c r="BD506" s="157"/>
      <c r="BE506"/>
    </row>
    <row r="507" spans="1:68" ht="5" customHeight="1" thickTop="1" thickBot="1" x14ac:dyDescent="0.4">
      <c r="A507" s="107"/>
      <c r="B507" s="107"/>
      <c r="C507" s="169"/>
      <c r="D507" s="107"/>
      <c r="E507" s="121"/>
      <c r="F507" s="1"/>
      <c r="BB507" s="157"/>
      <c r="BC507"/>
      <c r="BD507" s="157"/>
      <c r="BE507"/>
    </row>
    <row r="508" spans="1:68" ht="13.75" hidden="1" customHeight="1" thickTop="1" thickBot="1" x14ac:dyDescent="0.4">
      <c r="A508" s="106"/>
      <c r="B508" s="170"/>
      <c r="C508" s="169"/>
      <c r="D508" s="107"/>
      <c r="E508" s="121"/>
      <c r="F508" s="1"/>
      <c r="AD508" s="52">
        <f>SUM(AE508:AG508)</f>
        <v>6</v>
      </c>
      <c r="AE508" s="48">
        <f>IF(B508=AK520,1,0)</f>
        <v>1</v>
      </c>
      <c r="AF508" s="48">
        <f>IF(B508=AK521,2,0)</f>
        <v>2</v>
      </c>
      <c r="AG508" s="48">
        <f>IF(B508=AK522,3,0)</f>
        <v>3</v>
      </c>
      <c r="BB508" s="157"/>
      <c r="BC508"/>
      <c r="BD508" s="157"/>
      <c r="BE508"/>
    </row>
    <row r="509" spans="1:68" ht="5" hidden="1" customHeight="1" thickTop="1" thickBot="1" x14ac:dyDescent="0.4">
      <c r="A509" s="107"/>
      <c r="B509" s="107"/>
      <c r="C509" s="169"/>
      <c r="D509" s="107"/>
      <c r="E509" s="121"/>
      <c r="F509" s="1"/>
      <c r="BB509" s="157"/>
      <c r="BC509"/>
      <c r="BD509" s="157"/>
      <c r="BE509"/>
    </row>
    <row r="510" spans="1:68" ht="13.75" hidden="1" customHeight="1" thickTop="1" thickBot="1" x14ac:dyDescent="0.4">
      <c r="A510" s="106"/>
      <c r="B510" s="170"/>
      <c r="C510" s="169"/>
      <c r="D510" s="107"/>
      <c r="E510" s="121"/>
      <c r="F510" s="1"/>
      <c r="AD510" s="52" t="e">
        <f>SUM(AE510:AG510)</f>
        <v>#REF!</v>
      </c>
      <c r="AE510" s="48">
        <f>IF(B510=AK522,1,0)</f>
        <v>1</v>
      </c>
      <c r="AF510" s="48">
        <f>IF(B510=AK523,2,0)</f>
        <v>2</v>
      </c>
      <c r="AG510" s="48" t="e">
        <f>IF(B510=#REF!,3,0)</f>
        <v>#REF!</v>
      </c>
      <c r="BB510" s="157"/>
      <c r="BC510"/>
      <c r="BD510" s="157"/>
      <c r="BE510"/>
    </row>
    <row r="511" spans="1:68" ht="5" hidden="1" customHeight="1" thickTop="1" thickBot="1" x14ac:dyDescent="0.4">
      <c r="A511" s="107"/>
      <c r="B511" s="107"/>
      <c r="C511" s="169"/>
      <c r="D511" s="107"/>
      <c r="E511" s="121"/>
      <c r="F511" s="1"/>
      <c r="BB511" s="157"/>
      <c r="BC511"/>
      <c r="BD511" s="157"/>
      <c r="BE511"/>
    </row>
    <row r="512" spans="1:68" ht="13.75" hidden="1" customHeight="1" thickTop="1" thickBot="1" x14ac:dyDescent="0.4">
      <c r="A512" s="106"/>
      <c r="B512" s="170"/>
      <c r="C512" s="169"/>
      <c r="D512" s="107"/>
      <c r="E512" s="121"/>
      <c r="F512" s="1"/>
      <c r="AD512" s="52" t="e">
        <f>SUM(AE512:AG512)</f>
        <v>#REF!</v>
      </c>
      <c r="AE512" s="48" t="e">
        <f>IF(B512=#REF!,1,0)</f>
        <v>#REF!</v>
      </c>
      <c r="AF512" s="48">
        <f>IF(B512=AK525,2,0)</f>
        <v>2</v>
      </c>
      <c r="AG512" s="48">
        <f>IF(B512=AK526,3,0)</f>
        <v>3</v>
      </c>
      <c r="BB512" s="157"/>
      <c r="BC512"/>
      <c r="BD512" s="157"/>
      <c r="BE512"/>
    </row>
    <row r="513" spans="1:68" ht="5" hidden="1" customHeight="1" thickTop="1" thickBot="1" x14ac:dyDescent="0.4">
      <c r="A513" s="107"/>
      <c r="B513" s="107"/>
      <c r="C513" s="169"/>
      <c r="D513" s="107"/>
      <c r="E513" s="121"/>
      <c r="F513" s="1"/>
      <c r="BB513" s="157"/>
      <c r="BC513"/>
      <c r="BD513" s="157"/>
      <c r="BE513"/>
    </row>
    <row r="514" spans="1:68" ht="13.75" hidden="1" customHeight="1" thickTop="1" thickBot="1" x14ac:dyDescent="0.4">
      <c r="A514" s="106"/>
      <c r="B514" s="170"/>
      <c r="C514" s="169"/>
      <c r="D514" s="107"/>
      <c r="E514" s="121"/>
      <c r="F514" s="1"/>
      <c r="AD514" s="52">
        <f>SUM(AE514:AG514)</f>
        <v>6</v>
      </c>
      <c r="AE514" s="48">
        <f>IF(B514=AK526,1,0)</f>
        <v>1</v>
      </c>
      <c r="AF514" s="48">
        <f>IF(B514=AK527,2,0)</f>
        <v>2</v>
      </c>
      <c r="AG514" s="48">
        <f>IF(B514=AK528,3,0)</f>
        <v>3</v>
      </c>
      <c r="BB514" s="157"/>
      <c r="BC514"/>
      <c r="BD514" s="157"/>
      <c r="BE514"/>
    </row>
    <row r="515" spans="1:68" ht="5" hidden="1" customHeight="1" thickTop="1" thickBot="1" x14ac:dyDescent="0.4">
      <c r="A515" s="107"/>
      <c r="B515" s="107"/>
      <c r="C515" s="169"/>
      <c r="D515" s="107"/>
      <c r="E515" s="121"/>
      <c r="F515" s="1"/>
      <c r="BB515" s="157"/>
      <c r="BC515"/>
      <c r="BD515" s="157"/>
      <c r="BE515"/>
    </row>
    <row r="516" spans="1:68" ht="13.75" customHeight="1" thickTop="1" thickBot="1" x14ac:dyDescent="0.4">
      <c r="A516" s="106"/>
      <c r="B516" s="168" t="s">
        <v>265</v>
      </c>
      <c r="C516" s="169" t="s">
        <v>271</v>
      </c>
      <c r="D516" s="107"/>
      <c r="E516" s="121"/>
      <c r="F516" s="1"/>
      <c r="AD516" s="52">
        <f>SUM(AE516:AG516)</f>
        <v>1</v>
      </c>
      <c r="AE516" s="48">
        <f>IF(B516=AK516,1,0)</f>
        <v>1</v>
      </c>
      <c r="AF516" s="48">
        <f>IF(B516=AK517,2,0)</f>
        <v>0</v>
      </c>
      <c r="AG516" s="48">
        <f>IF(B516=AK518,3,0)</f>
        <v>0</v>
      </c>
      <c r="AK516" s="48" t="s">
        <v>265</v>
      </c>
      <c r="BB516" s="157"/>
      <c r="BC516"/>
      <c r="BD516" s="157"/>
      <c r="BE516"/>
    </row>
    <row r="517" spans="1:68" ht="5" customHeight="1" thickTop="1" x14ac:dyDescent="0.35">
      <c r="A517" s="106"/>
      <c r="B517" s="106"/>
      <c r="C517" s="106"/>
      <c r="D517" s="107"/>
      <c r="E517" s="121"/>
      <c r="F517" s="1"/>
      <c r="AK517" s="48" t="s">
        <v>270</v>
      </c>
      <c r="BB517" s="157"/>
      <c r="BC517"/>
      <c r="BD517" s="157"/>
      <c r="BE517"/>
    </row>
    <row r="518" spans="1:68" ht="13.75" customHeight="1" x14ac:dyDescent="0.35">
      <c r="A518" s="106"/>
      <c r="B518" s="171" t="s">
        <v>272</v>
      </c>
      <c r="C518" s="107"/>
      <c r="D518" s="107"/>
      <c r="E518" s="121"/>
      <c r="F518" s="1"/>
      <c r="AD518" s="172">
        <f>AD504+AD506+AD516</f>
        <v>3</v>
      </c>
      <c r="AK518" s="48" t="s">
        <v>268</v>
      </c>
      <c r="BB518" s="157"/>
      <c r="BC518"/>
      <c r="BD518" s="157"/>
      <c r="BE518"/>
    </row>
    <row r="519" spans="1:68" ht="13.75" customHeight="1" x14ac:dyDescent="0.35">
      <c r="A519" s="106"/>
      <c r="B519" s="171" t="s">
        <v>273</v>
      </c>
      <c r="C519" s="106"/>
      <c r="D519" s="106"/>
      <c r="E519" s="121"/>
      <c r="F519" s="1"/>
      <c r="BB519" s="157"/>
      <c r="BC519"/>
      <c r="BD519" s="157"/>
      <c r="BE519"/>
    </row>
    <row r="520" spans="1:68" ht="14" customHeight="1" x14ac:dyDescent="0.3">
      <c r="A520" s="106"/>
      <c r="B520" s="106"/>
      <c r="C520" s="106"/>
      <c r="D520" s="106"/>
      <c r="E520" s="121"/>
      <c r="F520" s="1"/>
      <c r="AB520" s="48" t="str">
        <f>AB521</f>
        <v xml:space="preserve">The most significant factors include , government misconduct, misapplied forensic science, and possibly others less significantly. </v>
      </c>
    </row>
    <row r="521" spans="1:68" ht="30" customHeight="1" x14ac:dyDescent="0.3">
      <c r="A521" s="1199" t="s">
        <v>66</v>
      </c>
      <c r="B521" s="40" t="s">
        <v>274</v>
      </c>
      <c r="C521" s="40"/>
      <c r="D521" s="40"/>
      <c r="E521" s="436"/>
      <c r="F521" s="436" t="s">
        <v>869</v>
      </c>
      <c r="AB521" s="618" t="str">
        <f>IF(AND(B527&lt;&gt;$B$3011,B532&lt;&gt;$B$3011,B538&lt;&gt;$B$3011,B543&lt;&gt;$B$3011,B549&lt;&gt;$B$3011,B554&lt;&gt;$B$3011),"No significant factors common in exonerations. ",CONCATENATE(AJ521,AM521,AN521,AO521,AP521,AQ521,AR521,AS521,AT521,AU521,AV521,AZ521))</f>
        <v xml:space="preserve">The most significant factors include , government misconduct, misapplied forensic science, and possibly others less significantly. </v>
      </c>
      <c r="AJ521" s="48" t="s">
        <v>4027</v>
      </c>
      <c r="AM521" s="48" t="str">
        <f>IF(AM523="","",AM523)</f>
        <v/>
      </c>
      <c r="AN521" s="48" t="str">
        <f>IF(AO521="","",", ")</f>
        <v/>
      </c>
      <c r="AO521" s="48" t="str">
        <f>AM528</f>
        <v/>
      </c>
      <c r="AP521" s="48" t="str">
        <f>IF(AQ521="","",", ")</f>
        <v xml:space="preserve">, </v>
      </c>
      <c r="AQ521" s="48" t="str">
        <f>AM534</f>
        <v>government misconduct</v>
      </c>
      <c r="AR521" s="48" t="str">
        <f>IF(AS521="","",", ")</f>
        <v xml:space="preserve">, </v>
      </c>
      <c r="AS521" s="48" t="str">
        <f>AM539</f>
        <v>misapplied forensic science</v>
      </c>
      <c r="AT521" s="48" t="str">
        <f>IF(AU521="","",", ")</f>
        <v/>
      </c>
      <c r="AU521" s="48" t="str">
        <f>AM545</f>
        <v/>
      </c>
      <c r="AV521" s="48" t="str">
        <f>IF(AW521="","",", ")</f>
        <v/>
      </c>
      <c r="AX521" s="48" t="str">
        <f>AM550</f>
        <v/>
      </c>
      <c r="AZ521" s="48" t="s">
        <v>4031</v>
      </c>
      <c r="BG521" s="621">
        <f>AK523+AK528+AK534+AK539+AK545+AK550</f>
        <v>3</v>
      </c>
      <c r="BH521" s="48" t="str">
        <f>IF(OR(C202=AD202,C202=""),"Claimant",C202)</f>
        <v>Steph</v>
      </c>
      <c r="BI521" s="48" t="s">
        <v>4033</v>
      </c>
      <c r="BJ521" s="48" t="str">
        <f>IF(BG521=0,"no",IF(BG521=1,"one",IF(BG521=2,"two",IF(BG521=3,"three",IF(BG521=4,"four",IF(BG521=5,"five",IF(BG521=6,"six",IF(BG521=7,"seven",IF(BG521=8,"eight",IF(BG521=9,"nine",IF(BG521=10,"ten","")))))))))))</f>
        <v>three</v>
      </c>
      <c r="BK521" s="48" t="s">
        <v>4038</v>
      </c>
      <c r="BL521" s="48" t="str">
        <f>IF(BG521=1,"factor","factors")</f>
        <v>factors</v>
      </c>
      <c r="BM521" s="48" t="s">
        <v>4035</v>
      </c>
      <c r="BN521" s="48" t="s">
        <v>4029</v>
      </c>
      <c r="BO521" s="48" t="s">
        <v>4034</v>
      </c>
      <c r="BP521" s="622" t="str">
        <f>CONCATENATE(BH521,BI521,BJ521,BK521,BL521,BM521,BN521)</f>
        <v xml:space="preserve">Steph asserts three of six known factors common in wrongful convictions. </v>
      </c>
    </row>
    <row r="522" spans="1:68" s="109" customFormat="1" ht="20" customHeight="1" x14ac:dyDescent="0.3">
      <c r="A522" s="97" t="s">
        <v>275</v>
      </c>
      <c r="B522" s="98"/>
      <c r="C522" s="98"/>
      <c r="D522" s="98"/>
      <c r="E522" s="174"/>
      <c r="F522" s="97"/>
      <c r="G522" s="108"/>
      <c r="H522" s="4"/>
      <c r="I522" s="108"/>
      <c r="J522" s="108"/>
      <c r="K522" s="108"/>
      <c r="L522" s="108"/>
      <c r="M522" s="108"/>
      <c r="N522" s="108"/>
      <c r="O522" s="108"/>
      <c r="P522" s="108"/>
      <c r="Q522" s="108"/>
      <c r="R522" s="108"/>
      <c r="S522" s="108"/>
      <c r="T522" s="108"/>
      <c r="U522" s="108"/>
      <c r="V522" s="108"/>
      <c r="W522" s="108"/>
      <c r="X522" s="108"/>
      <c r="Y522" s="108"/>
      <c r="Z522" s="108"/>
      <c r="AA522" s="48"/>
      <c r="AB522" s="175">
        <v>0</v>
      </c>
      <c r="AC522" s="176">
        <f>AD522/2</f>
        <v>1.25</v>
      </c>
      <c r="AD522" s="177">
        <f>AE522/2</f>
        <v>2.5</v>
      </c>
      <c r="AE522" s="178">
        <v>5</v>
      </c>
      <c r="AN522" s="179">
        <f>AE522*-2</f>
        <v>-10</v>
      </c>
      <c r="AO522" s="175">
        <f>AE522*-1</f>
        <v>-5</v>
      </c>
      <c r="AP522" s="175">
        <f>AD522*-1</f>
        <v>-2.5</v>
      </c>
      <c r="AQ522" s="180">
        <f>AE522*-0.1</f>
        <v>-0.5</v>
      </c>
      <c r="AR522" s="180">
        <v>0</v>
      </c>
      <c r="AS522" s="180">
        <f>AE522*0.1</f>
        <v>0.5</v>
      </c>
      <c r="AT522" s="177">
        <f>AD522</f>
        <v>2.5</v>
      </c>
      <c r="AU522" s="178">
        <f>AE522</f>
        <v>5</v>
      </c>
      <c r="AV522" s="181"/>
      <c r="BB522" s="182"/>
      <c r="BG522" s="183">
        <f>MIN(BI522:BJ522)</f>
        <v>0.38949999999999996</v>
      </c>
      <c r="BH522" s="377"/>
      <c r="BI522" s="109">
        <v>0.5</v>
      </c>
      <c r="BJ522" s="182">
        <f>AQ343*0.01</f>
        <v>0.38949999999999996</v>
      </c>
      <c r="BP522" s="623" t="str">
        <f>IF(BG521=0,"",CONCATENATE(BH521,BI521,BJ521,BK521,BO521,AM521,AN521,AO521,AP521,AQ521,AR521,AS521,AT521,AU521,AV521,AX521,AZ521))</f>
        <v xml:space="preserve">Steph asserts three of six known : , government misconduct, misapplied forensic science, and possibly others less significantly. </v>
      </c>
    </row>
    <row r="523" spans="1:68" ht="20" customHeight="1" x14ac:dyDescent="0.3">
      <c r="A523" s="184">
        <f>A487+1</f>
        <v>15</v>
      </c>
      <c r="B523" s="184" t="s">
        <v>276</v>
      </c>
      <c r="C523" s="184"/>
      <c r="D523" s="185" t="str">
        <f>IF(B525="","If claimed, explain in white box below.","")</f>
        <v>If claimed, explain in white box below.</v>
      </c>
      <c r="E523" s="184"/>
      <c r="F523" s="1"/>
      <c r="AB523" s="48">
        <f>A523</f>
        <v>15</v>
      </c>
      <c r="AC523" s="48" t="s">
        <v>3986</v>
      </c>
      <c r="AK523" s="620">
        <f>IF(AL523=0,0,1)</f>
        <v>0</v>
      </c>
      <c r="AL523" s="48">
        <f>IF(B527=B$3008,E$3008,IF(B527=B$3009,E$3009,IF(B527=B$3010,E$3010,IF(B527=B$3011,E$3011,0))))</f>
        <v>0</v>
      </c>
      <c r="AM523" s="233" t="str">
        <f>IF(AL523=$E$3011,AC523,"")</f>
        <v/>
      </c>
    </row>
    <row r="524" spans="1:68" ht="45" customHeight="1" x14ac:dyDescent="0.3">
      <c r="A524" s="186"/>
      <c r="B524" s="1031" t="s">
        <v>5479</v>
      </c>
      <c r="C524" s="1032"/>
      <c r="D524" s="1033"/>
      <c r="E524" s="187"/>
      <c r="F524" s="1"/>
    </row>
    <row r="525" spans="1:68" ht="215" customHeight="1" thickBot="1" x14ac:dyDescent="0.35">
      <c r="A525" s="186"/>
      <c r="B525" s="1026"/>
      <c r="C525" s="1027"/>
      <c r="D525" s="1028"/>
      <c r="E525" s="187"/>
      <c r="F525" s="1"/>
      <c r="AA525" s="48">
        <v>1</v>
      </c>
      <c r="AB525" s="849">
        <f>IF(B527="",0,1)</f>
        <v>1</v>
      </c>
      <c r="AC525" s="853">
        <f>IF(B527=B$3008,D$3008,IF(B527=B$3009,D$3009,IF(B527=B$3010,D$3010,IF(B527=B$3011,D$3011,0))))</f>
        <v>0</v>
      </c>
      <c r="AE525" s="850">
        <f>IF(D527=B$3022,E$3022,IF(D527=B$3023,E$3023,IF(D527=B$3024,E$3024,IF(D527=B$3025,E$3025,IF(D527=B$3026,E$3026,IF(D527=B$3027,E$3027,IF(D527=B$3028,E$3028,IF(D527=B$3029,E$3029,D30412))))))))</f>
        <v>0</v>
      </c>
      <c r="BG525" s="52" t="s">
        <v>277</v>
      </c>
    </row>
    <row r="526" spans="1:68" ht="15" customHeight="1" thickTop="1" thickBot="1" x14ac:dyDescent="0.35">
      <c r="A526" s="186"/>
      <c r="B526" s="188" t="str">
        <f>IF(B525="","","Claimed?")</f>
        <v/>
      </c>
      <c r="C526" s="188" t="str">
        <f>IF(B526="","","Verifiable?")</f>
        <v/>
      </c>
      <c r="D526" s="189" t="str">
        <f>IF(C527="","","Independent verification")</f>
        <v/>
      </c>
      <c r="E526" s="1029">
        <f>BI527</f>
        <v>0.38949999999999996</v>
      </c>
      <c r="F526" s="1030"/>
      <c r="AA526" s="52"/>
      <c r="AB526" s="52" t="s">
        <v>278</v>
      </c>
      <c r="AF526" s="151"/>
      <c r="AG526" s="52" t="s">
        <v>279</v>
      </c>
      <c r="AM526" s="151"/>
      <c r="AN526" s="52" t="s">
        <v>280</v>
      </c>
      <c r="AV526" s="190"/>
      <c r="AX526" s="191" t="s">
        <v>281</v>
      </c>
      <c r="AZ526" s="192" t="s">
        <v>282</v>
      </c>
      <c r="BB526" s="193" t="s">
        <v>283</v>
      </c>
      <c r="BD526" s="192" t="s">
        <v>284</v>
      </c>
      <c r="BG526" s="194" t="s">
        <v>281</v>
      </c>
      <c r="BH526" s="195" t="s">
        <v>282</v>
      </c>
      <c r="BI526" s="194" t="s">
        <v>285</v>
      </c>
      <c r="BJ526" s="195" t="s">
        <v>286</v>
      </c>
    </row>
    <row r="527" spans="1:68" ht="13.75" customHeight="1" thickTop="1" thickBot="1" x14ac:dyDescent="0.35">
      <c r="A527" s="186"/>
      <c r="B527" s="196" t="s">
        <v>287</v>
      </c>
      <c r="C527" s="197"/>
      <c r="D527" s="198"/>
      <c r="E527" s="1029">
        <f>BJ527</f>
        <v>0.38949999999999996</v>
      </c>
      <c r="F527" s="1030"/>
      <c r="AA527" s="101"/>
      <c r="AB527" s="101">
        <f>IF(B527=$B$3008,$AB$522,0)</f>
        <v>0</v>
      </c>
      <c r="AC527" s="101">
        <f>IF(B527=$B$3009,$AC$522,0)</f>
        <v>0</v>
      </c>
      <c r="AD527" s="101">
        <f>IF(B527=$B$3010,$AD$522,0)</f>
        <v>0</v>
      </c>
      <c r="AE527" s="101">
        <f>IF(B527=$B$3011,$AE$522,0)</f>
        <v>0</v>
      </c>
      <c r="AF527" s="122">
        <f>SUM(AB527:AE527)</f>
        <v>0</v>
      </c>
      <c r="AG527" s="101">
        <f>IF(C527=$B$3014,$E$3014,0)</f>
        <v>0</v>
      </c>
      <c r="AH527" s="101">
        <f>IF(C527=$B$3015,$E$3015,0)</f>
        <v>0</v>
      </c>
      <c r="AI527" s="101">
        <f>IF(C527=$B$3016,$E$3016,0)</f>
        <v>0</v>
      </c>
      <c r="AJ527" s="101">
        <f>IF(C527=$B$3017,$E$3017,0)</f>
        <v>0</v>
      </c>
      <c r="AK527" s="101">
        <f>IF(C527=$B$3018,$E$3018,0)</f>
        <v>0</v>
      </c>
      <c r="AL527" s="101">
        <f>IF(C527=$B$3019,$E$3019,0)</f>
        <v>0</v>
      </c>
      <c r="AM527" s="122">
        <f>SUM(AG527:AL527)</f>
        <v>0</v>
      </c>
      <c r="AN527" s="101">
        <f>IF($D527=$B$3022,AN$522,0)</f>
        <v>0</v>
      </c>
      <c r="AO527" s="101">
        <f>IF($D527=$B$3023,AO$522,0)</f>
        <v>0</v>
      </c>
      <c r="AP527" s="101">
        <f>IF($D527=$B$3024,AP$522,0)</f>
        <v>0</v>
      </c>
      <c r="AQ527" s="101">
        <f>IF($D527=$B$3025,AQ$522,0)</f>
        <v>0</v>
      </c>
      <c r="AR527" s="101">
        <f>IF($D527=$B$3026,AR$522,0)</f>
        <v>0</v>
      </c>
      <c r="AS527" s="101">
        <f>IF($D527=$B$3027,AS$522,0)</f>
        <v>0</v>
      </c>
      <c r="AT527" s="101">
        <f>IF($D527=$B$3028,AT$522,0)</f>
        <v>0</v>
      </c>
      <c r="AU527" s="101">
        <f>IF($D527=$B$3029,AU$522,0)</f>
        <v>0</v>
      </c>
      <c r="AV527" s="199">
        <f>SUM(AN527:AU527)</f>
        <v>0</v>
      </c>
      <c r="AX527" s="200">
        <f>AF527*AM527</f>
        <v>0</v>
      </c>
      <c r="AZ527" s="146">
        <f>AX527+(AV527*AM527)</f>
        <v>0</v>
      </c>
      <c r="BB527" s="201">
        <f>(AF527*AM527)*0.01</f>
        <v>0</v>
      </c>
      <c r="BD527" s="202">
        <f>AZ527*0.01</f>
        <v>0</v>
      </c>
      <c r="BE527" s="377"/>
      <c r="BG527" s="201">
        <f>IF(AF527&gt;0,BG522+BB527,BG522)</f>
        <v>0.38949999999999996</v>
      </c>
      <c r="BH527" s="202">
        <f>IF(AV527&gt;0,BG522+BD527,BG522)</f>
        <v>0.38949999999999996</v>
      </c>
      <c r="BI527" s="201">
        <f>IF(BG527&gt;0.99,0.99,BG527)</f>
        <v>0.38949999999999996</v>
      </c>
      <c r="BJ527" s="202">
        <f>IF(BH527&gt;0.99,0.99,BH527)</f>
        <v>0.38949999999999996</v>
      </c>
    </row>
    <row r="528" spans="1:68" ht="20" customHeight="1" thickTop="1" x14ac:dyDescent="0.3">
      <c r="A528" s="184">
        <f>A523+1</f>
        <v>16</v>
      </c>
      <c r="B528" s="184" t="s">
        <v>288</v>
      </c>
      <c r="C528" s="184"/>
      <c r="D528" s="185" t="str">
        <f>IF(B530="","If claimed, explain in white box below.","")</f>
        <v>If claimed, explain in white box below.</v>
      </c>
      <c r="E528" s="187"/>
      <c r="F528" s="1"/>
      <c r="AB528" s="48">
        <f>A528</f>
        <v>16</v>
      </c>
      <c r="AC528" s="48" t="s">
        <v>3987</v>
      </c>
      <c r="AK528" s="620">
        <f>IF(AL528=0,0,1)</f>
        <v>0</v>
      </c>
      <c r="AL528" s="48">
        <f>IF(B532=B$3008,E$3008,IF(B532=B$3009,E$3009,IF(B532=B$3010,E$3010,IF(B532=B$3011,E$3011,0))))</f>
        <v>0</v>
      </c>
      <c r="AM528" s="233" t="str">
        <f>IF(AL528=$E$3011,AC528,"")</f>
        <v/>
      </c>
      <c r="AZ528" s="203">
        <f>IF(AV527=0,0,(AX527+(AV527*AM527)))</f>
        <v>0</v>
      </c>
    </row>
    <row r="529" spans="1:62" ht="45" customHeight="1" x14ac:dyDescent="0.3">
      <c r="A529" s="186"/>
      <c r="B529" s="1031" t="s">
        <v>289</v>
      </c>
      <c r="C529" s="1032"/>
      <c r="D529" s="1033"/>
      <c r="E529" s="187"/>
      <c r="F529" s="1"/>
    </row>
    <row r="530" spans="1:62" ht="220" customHeight="1" thickBot="1" x14ac:dyDescent="0.35">
      <c r="A530" s="186"/>
      <c r="B530" s="1026"/>
      <c r="C530" s="1027"/>
      <c r="D530" s="1028"/>
      <c r="E530" s="187"/>
      <c r="F530" s="1"/>
      <c r="AA530" s="48">
        <f>AA525+1</f>
        <v>2</v>
      </c>
      <c r="AB530" s="849">
        <f>IF(B532="",0,1)</f>
        <v>1</v>
      </c>
      <c r="AE530" s="850">
        <f>IF(D532=B$3022,E$3022,IF(D532=B$3023,E$3023,IF(D532=B$3024,E$3024,IF(D532=B$3025,E$3025,IF(D532=B$3026,E$3026,IF(D532=B$3027,E$3027,IF(D532=B$3028,E$3028,IF(D532=B$3029,E$3029,D30417))))))))</f>
        <v>0</v>
      </c>
    </row>
    <row r="531" spans="1:62" ht="13.75" customHeight="1" thickTop="1" thickBot="1" x14ac:dyDescent="0.35">
      <c r="A531" s="186"/>
      <c r="B531" s="188" t="str">
        <f>IF(B530="","","Claimed?")</f>
        <v/>
      </c>
      <c r="C531" s="188" t="str">
        <f>IF(B531="","","Verifiable?")</f>
        <v/>
      </c>
      <c r="D531" s="189" t="str">
        <f>IF(C532="","","Independent verification")</f>
        <v/>
      </c>
      <c r="E531" s="1029">
        <f>BI532</f>
        <v>0.38949999999999996</v>
      </c>
      <c r="F531" s="1030"/>
      <c r="AA531" s="52"/>
      <c r="AB531" s="52" t="s">
        <v>278</v>
      </c>
      <c r="AF531" s="204"/>
      <c r="AG531" s="52" t="s">
        <v>279</v>
      </c>
      <c r="AM531" s="205"/>
      <c r="AN531" s="52" t="s">
        <v>280</v>
      </c>
      <c r="AV531" s="206"/>
      <c r="AX531" s="191" t="s">
        <v>281</v>
      </c>
      <c r="AZ531" s="192" t="s">
        <v>282</v>
      </c>
      <c r="BB531" s="193" t="s">
        <v>283</v>
      </c>
      <c r="BD531" s="192" t="s">
        <v>284</v>
      </c>
      <c r="BG531" s="194" t="s">
        <v>290</v>
      </c>
      <c r="BH531" s="195" t="s">
        <v>291</v>
      </c>
      <c r="BI531" s="194" t="s">
        <v>285</v>
      </c>
      <c r="BJ531" s="195" t="s">
        <v>286</v>
      </c>
    </row>
    <row r="532" spans="1:62" ht="15" thickTop="1" thickBot="1" x14ac:dyDescent="0.35">
      <c r="A532" s="186"/>
      <c r="B532" s="196" t="s">
        <v>287</v>
      </c>
      <c r="C532" s="197"/>
      <c r="D532" s="207"/>
      <c r="E532" s="1029">
        <f>BJ532</f>
        <v>0.38949999999999996</v>
      </c>
      <c r="F532" s="1030"/>
      <c r="AA532" s="101"/>
      <c r="AB532" s="101">
        <f>IF(B532=$B$3008,$AB$522,0)</f>
        <v>0</v>
      </c>
      <c r="AC532" s="101">
        <f>IF(B532=$B$3009,$AC$522,0)</f>
        <v>0</v>
      </c>
      <c r="AD532" s="101">
        <f>IF(B532=$B$3010,$AD$522,0)</f>
        <v>0</v>
      </c>
      <c r="AE532" s="101">
        <f>IF(B532=$B$3011,$AE$522,0)</f>
        <v>0</v>
      </c>
      <c r="AF532" s="208">
        <f>SUM(AB532:AE532)</f>
        <v>0</v>
      </c>
      <c r="AG532" s="101">
        <f>IF(C532=$B$3014,$E$3014,0)</f>
        <v>0</v>
      </c>
      <c r="AH532" s="101">
        <f>IF(C532=$B$3015,$E$3015,0)</f>
        <v>0</v>
      </c>
      <c r="AI532" s="101">
        <f>IF(C532=$B$3016,$E$3016,0)</f>
        <v>0</v>
      </c>
      <c r="AJ532" s="101">
        <f>IF(C532=$B$3017,$E$3017,0)</f>
        <v>0</v>
      </c>
      <c r="AK532" s="101">
        <f>IF(C532=$B$3018,$E$3018,0)</f>
        <v>0</v>
      </c>
      <c r="AL532" s="101">
        <f>IF(C532=$B$3019,$E$3019,0)</f>
        <v>0</v>
      </c>
      <c r="AM532" s="209">
        <f>SUM(AG532:AL532)</f>
        <v>0</v>
      </c>
      <c r="AN532" s="101">
        <f>IF($D532=$B$3022,AN$522,0)</f>
        <v>0</v>
      </c>
      <c r="AO532" s="101">
        <f>IF($D532=$B$3023,AO$522,0)</f>
        <v>0</v>
      </c>
      <c r="AP532" s="101">
        <f>IF($D532=$B$3024,AP$522,0)</f>
        <v>0</v>
      </c>
      <c r="AQ532" s="101">
        <f>IF($D532=$B$3025,AQ$522,0)</f>
        <v>0</v>
      </c>
      <c r="AR532" s="101">
        <f>IF($D532=$B$3026,AR$522,0)</f>
        <v>0</v>
      </c>
      <c r="AS532" s="101">
        <f>IF($D532=$B$3027,AS$522,0)</f>
        <v>0</v>
      </c>
      <c r="AT532" s="101">
        <f>IF($D532=$B$3028,AT$522,0)</f>
        <v>0</v>
      </c>
      <c r="AU532" s="101">
        <f>IF($D532=$B$3029,AU$522,0)</f>
        <v>0</v>
      </c>
      <c r="AV532" s="210">
        <f>SUM(AN532:AU532)</f>
        <v>0</v>
      </c>
      <c r="AX532" s="200">
        <f>AF532*AM532</f>
        <v>0</v>
      </c>
      <c r="AZ532" s="146">
        <f>AX532+(AV532*AM532)</f>
        <v>0</v>
      </c>
      <c r="BB532" s="201">
        <f>(AF532*AM532)*0.01</f>
        <v>0</v>
      </c>
      <c r="BD532" s="202">
        <f>AZ532*0.01</f>
        <v>0</v>
      </c>
      <c r="BE532" s="377"/>
      <c r="BG532" s="201">
        <f>IF(AF532&gt;0,BG527+BB532,BG527)</f>
        <v>0.38949999999999996</v>
      </c>
      <c r="BH532" s="202">
        <f>IF(AV532&gt;0,BH527+BD532,BH527)</f>
        <v>0.38949999999999996</v>
      </c>
      <c r="BI532" s="201">
        <f>IF(BG532&gt;0.99,0.99,BG532)</f>
        <v>0.38949999999999996</v>
      </c>
      <c r="BJ532" s="202">
        <f>IF(BH532&gt;0.99,0.99,BH532)</f>
        <v>0.38949999999999996</v>
      </c>
    </row>
    <row r="533" spans="1:62" ht="5" customHeight="1" thickTop="1" x14ac:dyDescent="0.3">
      <c r="A533" s="187"/>
      <c r="B533" s="187"/>
      <c r="C533" s="187"/>
      <c r="D533" s="187"/>
      <c r="E533" s="187"/>
      <c r="F533" s="1"/>
    </row>
    <row r="534" spans="1:62" ht="20" customHeight="1" x14ac:dyDescent="0.3">
      <c r="A534" s="184">
        <f>A528+1</f>
        <v>17</v>
      </c>
      <c r="B534" s="184" t="s">
        <v>292</v>
      </c>
      <c r="C534" s="184"/>
      <c r="D534" s="185" t="str">
        <f>IF(B536="","If claimed, explain in white box below.","")</f>
        <v/>
      </c>
      <c r="E534" s="187"/>
      <c r="F534" s="1"/>
      <c r="AB534" s="48">
        <f>A534</f>
        <v>17</v>
      </c>
      <c r="AC534" s="48" t="s">
        <v>4028</v>
      </c>
      <c r="AK534" s="620">
        <f>IF(AL534=0,0,1)</f>
        <v>1</v>
      </c>
      <c r="AL534" s="48">
        <f>IF(B538=B$3008,E$3008,IF(B538=B$3009,E$3009,IF(B538=B$3010,E$3010,IF(B538=B$3011,E$3011,0))))</f>
        <v>4</v>
      </c>
      <c r="AM534" s="233" t="str">
        <f>IF(AL534=$E$3011,AC534,"")</f>
        <v>government misconduct</v>
      </c>
    </row>
    <row r="535" spans="1:62" ht="45" customHeight="1" x14ac:dyDescent="0.3">
      <c r="A535" s="186"/>
      <c r="B535" s="1031" t="s">
        <v>293</v>
      </c>
      <c r="C535" s="1032"/>
      <c r="D535" s="1033"/>
      <c r="E535" s="187"/>
      <c r="F535" s="1"/>
    </row>
    <row r="536" spans="1:62" ht="235" customHeight="1" thickBot="1" x14ac:dyDescent="0.35">
      <c r="A536" s="186"/>
      <c r="B536" s="1026" t="s">
        <v>294</v>
      </c>
      <c r="C536" s="1027"/>
      <c r="D536" s="1028"/>
      <c r="E536" s="187"/>
      <c r="F536" s="1"/>
      <c r="AA536" s="48">
        <f>AA530+1</f>
        <v>3</v>
      </c>
      <c r="AB536" s="849">
        <f>IF(B538="",0,1)</f>
        <v>1</v>
      </c>
      <c r="AC536" s="853">
        <f>IF(B538=B$3008,D$3008,IF(B538=B$3009,D$3009,IF(B538=B$3010,D$3010,IF(B538=B$3011,D$3011,0))))</f>
        <v>1</v>
      </c>
      <c r="AE536" s="850">
        <f>IF(D538=B$3022,E$3022,IF(D538=B$3023,E$3023,IF(D538=B$3024,E$3024,IF(D538=B$3025,E$3025,IF(D538=B$3026,E$3026,IF(D538=B$3027,E$3027,IF(D538=B$3028,E$3028,IF(D538=B$3029,E$3029,D30423))))))))</f>
        <v>0</v>
      </c>
    </row>
    <row r="537" spans="1:62" ht="15" thickTop="1" thickBot="1" x14ac:dyDescent="0.35">
      <c r="A537" s="186"/>
      <c r="B537" s="188" t="str">
        <f>IF(B536="","","Claimed?")</f>
        <v>Claimed?</v>
      </c>
      <c r="C537" s="188" t="str">
        <f>IF(B537="","","Verifiable?")</f>
        <v>Verifiable?</v>
      </c>
      <c r="D537" s="189" t="str">
        <f>IF(C538="","","Independent verification")</f>
        <v>Independent verification</v>
      </c>
      <c r="E537" s="1029">
        <f>BI538</f>
        <v>0.41449999999999998</v>
      </c>
      <c r="F537" s="1030"/>
      <c r="AA537" s="52"/>
      <c r="AB537" s="52" t="s">
        <v>278</v>
      </c>
      <c r="AF537" s="204"/>
      <c r="AG537" s="52" t="s">
        <v>279</v>
      </c>
      <c r="AM537" s="205"/>
      <c r="AN537" s="52" t="s">
        <v>280</v>
      </c>
      <c r="AV537" s="206"/>
      <c r="AX537" s="191" t="s">
        <v>281</v>
      </c>
      <c r="AZ537" s="192" t="s">
        <v>282</v>
      </c>
      <c r="BB537" s="193" t="s">
        <v>283</v>
      </c>
      <c r="BD537" s="192" t="s">
        <v>284</v>
      </c>
      <c r="BG537" s="194" t="s">
        <v>290</v>
      </c>
      <c r="BH537" s="195" t="s">
        <v>291</v>
      </c>
      <c r="BI537" s="194" t="s">
        <v>285</v>
      </c>
      <c r="BJ537" s="195" t="s">
        <v>286</v>
      </c>
    </row>
    <row r="538" spans="1:62" ht="15" thickTop="1" thickBot="1" x14ac:dyDescent="0.35">
      <c r="A538" s="186"/>
      <c r="B538" s="196" t="s">
        <v>295</v>
      </c>
      <c r="C538" s="197" t="s">
        <v>296</v>
      </c>
      <c r="D538" s="211"/>
      <c r="E538" s="1029">
        <f>BJ538</f>
        <v>0.38949999999999996</v>
      </c>
      <c r="F538" s="1030"/>
      <c r="AA538" s="101"/>
      <c r="AB538" s="101">
        <f>IF(B538=$B$3008,$AB$522,0)</f>
        <v>0</v>
      </c>
      <c r="AC538" s="101">
        <f>IF(B538=$B$3009,$AC$522,0)</f>
        <v>0</v>
      </c>
      <c r="AD538" s="101">
        <f>IF(B538=$B$3010,$AD$522,0)</f>
        <v>0</v>
      </c>
      <c r="AE538" s="101">
        <f>IF(B538=$B$3011,$AE$522,0)</f>
        <v>5</v>
      </c>
      <c r="AF538" s="208">
        <f>SUM(AB538:AE538)</f>
        <v>5</v>
      </c>
      <c r="AG538" s="101">
        <f>IF(C538=$B$3014,$E$3014,0)</f>
        <v>0</v>
      </c>
      <c r="AH538" s="101">
        <f>IF(C538=$B$3015,$E$3015,0)</f>
        <v>0</v>
      </c>
      <c r="AI538" s="101">
        <f>IF(C538=$B$3016,$E$3016,0)</f>
        <v>0</v>
      </c>
      <c r="AJ538" s="101">
        <f>IF(C538=$B$3017,$E$3017,0)</f>
        <v>0</v>
      </c>
      <c r="AK538" s="101">
        <f>IF(C538=$B$3018,$E$3018,0)</f>
        <v>0</v>
      </c>
      <c r="AL538" s="101">
        <f>IF(C538=$B$3019,$E$3019,0)</f>
        <v>0.5</v>
      </c>
      <c r="AM538" s="209">
        <f>SUM(AG538:AL538)</f>
        <v>0.5</v>
      </c>
      <c r="AN538" s="101">
        <f>IF($D538=$B$3022,AN$522,0)</f>
        <v>0</v>
      </c>
      <c r="AO538" s="101">
        <f>IF($D538=$B$3023,AO$522,0)</f>
        <v>0</v>
      </c>
      <c r="AP538" s="101">
        <f>IF($D538=$B$3024,AP$522,0)</f>
        <v>0</v>
      </c>
      <c r="AQ538" s="101">
        <f>IF($D538=$B$3025,AQ$522,0)</f>
        <v>0</v>
      </c>
      <c r="AR538" s="101">
        <f>IF($D538=$B$3026,AR$522,0)</f>
        <v>0</v>
      </c>
      <c r="AS538" s="101">
        <f>IF($D538=$B$3027,AS$522,0)</f>
        <v>0</v>
      </c>
      <c r="AT538" s="101">
        <f>IF($D538=$B$3028,AT$522,0)</f>
        <v>0</v>
      </c>
      <c r="AU538" s="101">
        <f>IF($D538=$B$3029,AU$522,0)</f>
        <v>0</v>
      </c>
      <c r="AV538" s="210">
        <f>SUM(AN538:AU538)</f>
        <v>0</v>
      </c>
      <c r="AX538" s="200">
        <f>AF538*AM538</f>
        <v>2.5</v>
      </c>
      <c r="AZ538" s="146">
        <f>AX538+(AV538*AM538)</f>
        <v>2.5</v>
      </c>
      <c r="BB538" s="201">
        <f>(AF538*AM538)*0.01</f>
        <v>2.5000000000000001E-2</v>
      </c>
      <c r="BD538" s="202">
        <f>AZ538*0.01</f>
        <v>2.5000000000000001E-2</v>
      </c>
      <c r="BE538" s="377"/>
      <c r="BG538" s="201">
        <f>IF(AF538&gt;0,BG532+BB538,BG532)</f>
        <v>0.41449999999999998</v>
      </c>
      <c r="BH538" s="202">
        <f>IF(AV538&gt;0,BH532+BD538,BH532)</f>
        <v>0.38949999999999996</v>
      </c>
      <c r="BI538" s="201">
        <f>IF(BG538&gt;0.99,0.99,BG538)</f>
        <v>0.41449999999999998</v>
      </c>
      <c r="BJ538" s="202">
        <f>IF(BH538&gt;0.99,0.99,BH538)</f>
        <v>0.38949999999999996</v>
      </c>
    </row>
    <row r="539" spans="1:62" ht="20" customHeight="1" thickTop="1" x14ac:dyDescent="0.3">
      <c r="A539" s="184">
        <f>A534+1</f>
        <v>18</v>
      </c>
      <c r="B539" s="184" t="s">
        <v>297</v>
      </c>
      <c r="C539" s="184"/>
      <c r="D539" s="185" t="str">
        <f>IF(B541="","If claimed, explain in white box below.","")</f>
        <v/>
      </c>
      <c r="E539" s="212"/>
      <c r="F539" s="1"/>
      <c r="AB539" s="48">
        <f>A539</f>
        <v>18</v>
      </c>
      <c r="AC539" s="48" t="s">
        <v>3988</v>
      </c>
      <c r="AK539" s="620">
        <f>IF(AL539=0,0,1)</f>
        <v>1</v>
      </c>
      <c r="AL539" s="48">
        <f>IF(B543=B$3008,E$3008,IF(B543=B$3009,E$3009,IF(B543=B$3010,E$3010,IF(B543=B$3011,E$3011,0))))</f>
        <v>4</v>
      </c>
      <c r="AM539" s="233" t="str">
        <f>IF(AL539=$E$3011,AC539,"")</f>
        <v>misapplied forensic science</v>
      </c>
    </row>
    <row r="540" spans="1:62" ht="55" customHeight="1" x14ac:dyDescent="0.3">
      <c r="A540" s="186"/>
      <c r="B540" s="1031" t="s">
        <v>298</v>
      </c>
      <c r="C540" s="1032"/>
      <c r="D540" s="1033"/>
      <c r="E540" s="187"/>
      <c r="F540" s="1"/>
    </row>
    <row r="541" spans="1:62" ht="235" customHeight="1" thickBot="1" x14ac:dyDescent="0.35">
      <c r="A541" s="186"/>
      <c r="B541" s="1026" t="s">
        <v>299</v>
      </c>
      <c r="C541" s="1027"/>
      <c r="D541" s="1028"/>
      <c r="E541" s="187"/>
      <c r="F541" s="1"/>
      <c r="AA541" s="48">
        <f>AA536+1</f>
        <v>4</v>
      </c>
      <c r="AB541" s="849">
        <f>IF(B543="",0,1)</f>
        <v>1</v>
      </c>
      <c r="AE541" s="850">
        <f>IF(D543=B$3022,E$3022,IF(D543=B$3023,E$3023,IF(D543=B$3024,E$3024,IF(D543=B$3025,E$3025,IF(D543=B$3026,E$3026,IF(D543=B$3027,E$3027,IF(D543=B$3028,E$3028,IF(D543=B$3029,E$3029,D30428))))))))</f>
        <v>0</v>
      </c>
    </row>
    <row r="542" spans="1:62" ht="15" thickTop="1" thickBot="1" x14ac:dyDescent="0.35">
      <c r="A542" s="186"/>
      <c r="B542" s="188" t="str">
        <f>IF(B541="","","Claimed?")</f>
        <v>Claimed?</v>
      </c>
      <c r="C542" s="188" t="str">
        <f>IF(B542="","","Verifiable?")</f>
        <v>Verifiable?</v>
      </c>
      <c r="D542" s="189" t="str">
        <f>IF(C543="","","Independent verification")</f>
        <v>Independent verification</v>
      </c>
      <c r="E542" s="1029">
        <f>BI543</f>
        <v>0.4395</v>
      </c>
      <c r="F542" s="1030"/>
      <c r="AA542" s="52"/>
      <c r="AB542" s="52" t="s">
        <v>278</v>
      </c>
      <c r="AF542" s="204"/>
      <c r="AG542" s="52" t="s">
        <v>279</v>
      </c>
      <c r="AM542" s="205"/>
      <c r="AN542" s="52" t="s">
        <v>280</v>
      </c>
      <c r="AV542" s="206"/>
      <c r="AX542" s="191" t="s">
        <v>281</v>
      </c>
      <c r="AZ542" s="192" t="s">
        <v>282</v>
      </c>
      <c r="BB542" s="193" t="s">
        <v>283</v>
      </c>
      <c r="BD542" s="192" t="s">
        <v>284</v>
      </c>
      <c r="BG542" s="194" t="s">
        <v>290</v>
      </c>
      <c r="BH542" s="195" t="s">
        <v>291</v>
      </c>
      <c r="BI542" s="194" t="s">
        <v>285</v>
      </c>
      <c r="BJ542" s="195" t="s">
        <v>286</v>
      </c>
    </row>
    <row r="543" spans="1:62" ht="15" thickTop="1" thickBot="1" x14ac:dyDescent="0.35">
      <c r="A543" s="186"/>
      <c r="B543" s="196" t="s">
        <v>295</v>
      </c>
      <c r="C543" s="197" t="s">
        <v>296</v>
      </c>
      <c r="D543" s="207"/>
      <c r="E543" s="1029">
        <f>BJ543</f>
        <v>0.38949999999999996</v>
      </c>
      <c r="F543" s="1030"/>
      <c r="AA543" s="101"/>
      <c r="AB543" s="101">
        <f>IF(B543=$B$3008,$AB$522,0)</f>
        <v>0</v>
      </c>
      <c r="AC543" s="101">
        <f>IF(B543=$B$3009,$AC$522,0)</f>
        <v>0</v>
      </c>
      <c r="AD543" s="101">
        <f>IF(B543=$B$3010,$AD$522,0)</f>
        <v>0</v>
      </c>
      <c r="AE543" s="101">
        <f>IF(B543=$B$3011,$AE$522,0)</f>
        <v>5</v>
      </c>
      <c r="AF543" s="208">
        <f>SUM(AB543:AE543)</f>
        <v>5</v>
      </c>
      <c r="AG543" s="101">
        <f>IF(C543=$B$3014,$E$3014,0)</f>
        <v>0</v>
      </c>
      <c r="AH543" s="101">
        <f>IF(C543=$B$3015,$E$3015,0)</f>
        <v>0</v>
      </c>
      <c r="AI543" s="101">
        <f>IF(C543=$B$3016,$E$3016,0)</f>
        <v>0</v>
      </c>
      <c r="AJ543" s="101">
        <f>IF(C543=$B$3017,$E$3017,0)</f>
        <v>0</v>
      </c>
      <c r="AK543" s="101">
        <f>IF(C543=$B$3018,$E$3018,0)</f>
        <v>0</v>
      </c>
      <c r="AL543" s="101">
        <f>IF(C543=$B$3019,$E$3019,0)</f>
        <v>0.5</v>
      </c>
      <c r="AM543" s="209">
        <f>SUM(AG543:AL543)</f>
        <v>0.5</v>
      </c>
      <c r="AN543" s="101">
        <f>IF($D543=$B$3022,AN$522,0)</f>
        <v>0</v>
      </c>
      <c r="AO543" s="101">
        <f>IF($D543=$B$3023,AO$522,0)</f>
        <v>0</v>
      </c>
      <c r="AP543" s="101">
        <f>IF($D543=$B$3024,AP$522,0)</f>
        <v>0</v>
      </c>
      <c r="AQ543" s="101">
        <f>IF($D543=$B$3025,AQ$522,0)</f>
        <v>0</v>
      </c>
      <c r="AR543" s="101">
        <f>IF($D543=$B$3026,AR$522,0)</f>
        <v>0</v>
      </c>
      <c r="AS543" s="101">
        <f>IF($D543=$B$3027,AS$522,0)</f>
        <v>0</v>
      </c>
      <c r="AT543" s="101">
        <f>IF($D543=$B$3028,AT$522,0)</f>
        <v>0</v>
      </c>
      <c r="AU543" s="101">
        <f>IF($D543=$B$3029,AU$522,0)</f>
        <v>0</v>
      </c>
      <c r="AV543" s="210">
        <f>SUM(AN543:AU543)</f>
        <v>0</v>
      </c>
      <c r="AX543" s="200">
        <f>AF543*AM543</f>
        <v>2.5</v>
      </c>
      <c r="AZ543" s="146">
        <f>AX543+(AV543*AM543)</f>
        <v>2.5</v>
      </c>
      <c r="BB543" s="201">
        <f>(AF543*AM543)*0.01</f>
        <v>2.5000000000000001E-2</v>
      </c>
      <c r="BD543" s="202">
        <f>AZ543*0.01</f>
        <v>2.5000000000000001E-2</v>
      </c>
      <c r="BE543" s="377"/>
      <c r="BG543" s="201">
        <f>IF(AF543&gt;0,BG538+BB543,BG538)</f>
        <v>0.4395</v>
      </c>
      <c r="BH543" s="202">
        <f>IF(AV543&gt;0,BH538+BD543,BH538)</f>
        <v>0.38949999999999996</v>
      </c>
      <c r="BI543" s="201">
        <f>IF(BG543&gt;0.99,0.99,BG543)</f>
        <v>0.4395</v>
      </c>
      <c r="BJ543" s="202">
        <f>IF(BH543&gt;0.99,0.99,BH543)</f>
        <v>0.38949999999999996</v>
      </c>
    </row>
    <row r="544" spans="1:62" ht="5" customHeight="1" thickTop="1" x14ac:dyDescent="0.3">
      <c r="A544" s="187"/>
      <c r="B544" s="187"/>
      <c r="C544" s="187"/>
      <c r="D544" s="187"/>
      <c r="E544" s="187"/>
      <c r="F544" s="1"/>
    </row>
    <row r="545" spans="1:68" ht="20" customHeight="1" x14ac:dyDescent="0.3">
      <c r="A545" s="184">
        <f>A539+1</f>
        <v>19</v>
      </c>
      <c r="B545" s="184" t="s">
        <v>300</v>
      </c>
      <c r="C545" s="184"/>
      <c r="D545" s="185" t="str">
        <f>IF(B547="","If claimed, explain in white box below.","")</f>
        <v>If claimed, explain in white box below.</v>
      </c>
      <c r="E545" s="212"/>
      <c r="F545" s="1"/>
      <c r="AB545" s="48">
        <f>A545</f>
        <v>19</v>
      </c>
      <c r="AC545" s="48" t="s">
        <v>3990</v>
      </c>
      <c r="AK545" s="620">
        <f>IF(AL545=0,0,1)</f>
        <v>0</v>
      </c>
      <c r="AL545" s="48">
        <f>IF(B549=B$3008,E$3008,IF(B549=B$3009,E$3009,IF(B549=B$3010,E$3010,IF(B549=B$3011,E$3011,0))))</f>
        <v>0</v>
      </c>
      <c r="AM545" s="233" t="str">
        <f>IF(AL545=$E$3011,AC545,"")</f>
        <v/>
      </c>
    </row>
    <row r="546" spans="1:68" ht="45" customHeight="1" x14ac:dyDescent="0.3">
      <c r="A546" s="186"/>
      <c r="B546" s="1031" t="s">
        <v>301</v>
      </c>
      <c r="C546" s="1032"/>
      <c r="D546" s="1033"/>
      <c r="E546" s="187"/>
      <c r="F546" s="1"/>
    </row>
    <row r="547" spans="1:68" ht="235" customHeight="1" thickBot="1" x14ac:dyDescent="0.35">
      <c r="A547" s="186"/>
      <c r="B547" s="1026"/>
      <c r="C547" s="1027"/>
      <c r="D547" s="1028"/>
      <c r="E547" s="187"/>
      <c r="F547" s="1"/>
      <c r="AA547" s="48">
        <f>AA541+1</f>
        <v>5</v>
      </c>
      <c r="AB547" s="849">
        <f>IF(B549="",0,1)</f>
        <v>1</v>
      </c>
      <c r="AC547" s="853">
        <f>IF(B549=B$3008,D$3008,IF(B549=B$3009,D$3009,IF(B549=B$3010,D$3010,IF(B549=B$3011,D$3011,0))))</f>
        <v>0</v>
      </c>
      <c r="AE547" s="850">
        <f>IF(D549=B$3022,E$3022,IF(D549=B$3023,E$3023,IF(D549=B$3024,E$3024,IF(D549=B$3025,E$3025,IF(D549=B$3026,E$3026,IF(D549=B$3027,E$3027,IF(D549=B$3028,E$3028,IF(D549=B$3029,E$3029,D30434))))))))</f>
        <v>0</v>
      </c>
    </row>
    <row r="548" spans="1:68" ht="15" thickTop="1" thickBot="1" x14ac:dyDescent="0.35">
      <c r="A548" s="186"/>
      <c r="B548" s="188" t="str">
        <f>IF(B547="","","Claimed?")</f>
        <v/>
      </c>
      <c r="C548" s="188" t="str">
        <f>IF(B548="","","Verifiable?")</f>
        <v/>
      </c>
      <c r="D548" s="189" t="str">
        <f>IF(C549="","","Independent verification")</f>
        <v/>
      </c>
      <c r="E548" s="1029">
        <f>BI549</f>
        <v>0.4395</v>
      </c>
      <c r="F548" s="1030"/>
      <c r="AA548" s="52"/>
      <c r="AB548" s="52" t="s">
        <v>278</v>
      </c>
      <c r="AF548" s="204"/>
      <c r="AG548" s="52" t="s">
        <v>279</v>
      </c>
      <c r="AM548" s="205"/>
      <c r="AN548" s="52" t="s">
        <v>280</v>
      </c>
      <c r="AV548" s="206"/>
      <c r="AX548" s="191" t="s">
        <v>281</v>
      </c>
      <c r="AZ548" s="192" t="s">
        <v>282</v>
      </c>
      <c r="BB548" s="193" t="s">
        <v>283</v>
      </c>
      <c r="BD548" s="192" t="s">
        <v>284</v>
      </c>
      <c r="BG548" s="194" t="s">
        <v>290</v>
      </c>
      <c r="BH548" s="195" t="s">
        <v>291</v>
      </c>
      <c r="BI548" s="194" t="s">
        <v>285</v>
      </c>
      <c r="BJ548" s="195" t="s">
        <v>286</v>
      </c>
    </row>
    <row r="549" spans="1:68" ht="15" thickTop="1" thickBot="1" x14ac:dyDescent="0.35">
      <c r="A549" s="186"/>
      <c r="B549" s="196" t="s">
        <v>287</v>
      </c>
      <c r="C549" s="197"/>
      <c r="D549" s="207"/>
      <c r="E549" s="1029">
        <f>BJ549</f>
        <v>0.38949999999999996</v>
      </c>
      <c r="F549" s="1030"/>
      <c r="AA549" s="101"/>
      <c r="AB549" s="101">
        <f>IF(B549=$B$3008,$AB$522,0)</f>
        <v>0</v>
      </c>
      <c r="AC549" s="101">
        <f>IF(B549=$B$3009,$AC$522,0)</f>
        <v>0</v>
      </c>
      <c r="AD549" s="101">
        <f>IF(B549=$B$3010,$AD$522,0)</f>
        <v>0</v>
      </c>
      <c r="AE549" s="101">
        <f>IF(B549=$B$3011,$AE$522,0)</f>
        <v>0</v>
      </c>
      <c r="AF549" s="208">
        <f>SUM(AB549:AE549)</f>
        <v>0</v>
      </c>
      <c r="AG549" s="101">
        <f>IF(C549=$B$3014,$E$3014,0)</f>
        <v>0</v>
      </c>
      <c r="AH549" s="101">
        <f>IF(C549=$B$3015,$E$3015,0)</f>
        <v>0</v>
      </c>
      <c r="AI549" s="101">
        <f>IF(C549=$B$3016,$E$3016,0)</f>
        <v>0</v>
      </c>
      <c r="AJ549" s="101">
        <f>IF(C549=$B$3017,$E$3017,0)</f>
        <v>0</v>
      </c>
      <c r="AK549" s="101">
        <f>IF(C549=$B$3018,$E$3018,0)</f>
        <v>0</v>
      </c>
      <c r="AL549" s="101">
        <f>IF(C549=$B$3019,$E$3019,0)</f>
        <v>0</v>
      </c>
      <c r="AM549" s="209">
        <f>SUM(AG549:AL549)</f>
        <v>0</v>
      </c>
      <c r="AN549" s="101">
        <f>IF($D549=$B$3022,AN$522,0)</f>
        <v>0</v>
      </c>
      <c r="AO549" s="101">
        <f>IF($D549=$B$3023,AO$522,0)</f>
        <v>0</v>
      </c>
      <c r="AP549" s="101">
        <f>IF($D549=$B$3024,AP$522,0)</f>
        <v>0</v>
      </c>
      <c r="AQ549" s="101">
        <f>IF($D549=$B$3025,AQ$522,0)</f>
        <v>0</v>
      </c>
      <c r="AR549" s="101">
        <f>IF($D549=$B$3026,AR$522,0)</f>
        <v>0</v>
      </c>
      <c r="AS549" s="101">
        <f>IF($D549=$B$3027,AS$522,0)</f>
        <v>0</v>
      </c>
      <c r="AT549" s="101">
        <f>IF($D549=$B$3028,AT$522,0)</f>
        <v>0</v>
      </c>
      <c r="AU549" s="101">
        <f>IF($D549=$B$3029,AU$522,0)</f>
        <v>0</v>
      </c>
      <c r="AV549" s="210">
        <f>SUM(AN549:AU549)</f>
        <v>0</v>
      </c>
      <c r="AX549" s="200">
        <f>AF549*AM549</f>
        <v>0</v>
      </c>
      <c r="AZ549" s="146">
        <f>AX549+(AV549*AM549)</f>
        <v>0</v>
      </c>
      <c r="BB549" s="201">
        <f>(AF549*AM549)*0.01</f>
        <v>0</v>
      </c>
      <c r="BD549" s="202">
        <f>AZ549*0.01</f>
        <v>0</v>
      </c>
      <c r="BE549" s="377"/>
      <c r="BG549" s="201">
        <f>IF(AF549&gt;0,BG543+BB549,BG543)</f>
        <v>0.4395</v>
      </c>
      <c r="BH549" s="202">
        <f>IF(AV549&gt;0,BH543+BD549,BH543)</f>
        <v>0.38949999999999996</v>
      </c>
      <c r="BI549" s="201">
        <f>IF(BG549&gt;0.99,0.99,BG549)</f>
        <v>0.4395</v>
      </c>
      <c r="BJ549" s="202">
        <f>IF(BH549&gt;0.99,0.99,BH549)</f>
        <v>0.38949999999999996</v>
      </c>
    </row>
    <row r="550" spans="1:68" ht="20" customHeight="1" thickTop="1" x14ac:dyDescent="0.3">
      <c r="A550" s="184">
        <f>A545+1</f>
        <v>20</v>
      </c>
      <c r="B550" s="184" t="s">
        <v>302</v>
      </c>
      <c r="C550" s="184"/>
      <c r="D550" s="185" t="str">
        <f>IF(B552="","If claimed, explain in white box below.","")</f>
        <v>If claimed, explain in white box below.</v>
      </c>
      <c r="E550" s="212"/>
      <c r="F550" s="1"/>
      <c r="AB550" s="48">
        <f>A550</f>
        <v>20</v>
      </c>
      <c r="AC550" s="48" t="s">
        <v>3989</v>
      </c>
      <c r="AK550" s="620">
        <f>IF(AL550=0,0,1)</f>
        <v>1</v>
      </c>
      <c r="AL550" s="48">
        <f>IF(B554=B$3008,E$3008,IF(B554=B$3009,E$3009,IF(B554=B$3010,E$3010,IF(B554=B$3011,E$3011,0))))</f>
        <v>1</v>
      </c>
      <c r="AM550" s="233" t="str">
        <f>IF(AL550=$E$3011,AC550,"")</f>
        <v/>
      </c>
      <c r="BC550" s="14"/>
    </row>
    <row r="551" spans="1:68" ht="45" customHeight="1" x14ac:dyDescent="0.3">
      <c r="A551" s="186"/>
      <c r="B551" s="1031" t="s">
        <v>303</v>
      </c>
      <c r="C551" s="1032"/>
      <c r="D551" s="1033"/>
      <c r="E551" s="187"/>
      <c r="F551" s="1"/>
    </row>
    <row r="552" spans="1:68" ht="235" customHeight="1" thickBot="1" x14ac:dyDescent="0.35">
      <c r="A552" s="186"/>
      <c r="B552" s="1026"/>
      <c r="C552" s="1027"/>
      <c r="D552" s="1028"/>
      <c r="E552" s="187"/>
      <c r="F552" s="1"/>
      <c r="AA552" s="48">
        <f>AA547+1</f>
        <v>6</v>
      </c>
      <c r="AB552" s="849">
        <f>IF(B554="",0,1)</f>
        <v>1</v>
      </c>
      <c r="AC552" s="853">
        <f>IF(B554=B$3008,D$3008,IF(B554=B$3009,D$3009,IF(B554=B$3010,D$3010,IF(B554=B$3011,D$3011,0))))</f>
        <v>0.25</v>
      </c>
      <c r="AE552" s="850">
        <f>IF(D554=B$3022,E$3022,IF(D554=B$3023,E$3023,IF(D554=B$3024,E$3024,IF(D554=B$3025,E$3025,IF(D554=B$3026,E$3026,IF(D554=B$3027,E$3027,IF(D554=B$3028,E$3028,IF(D554=B$3029,E$3029,D30439))))))))</f>
        <v>0</v>
      </c>
    </row>
    <row r="553" spans="1:68" ht="15" thickTop="1" thickBot="1" x14ac:dyDescent="0.35">
      <c r="A553" s="186"/>
      <c r="B553" s="188" t="str">
        <f>IF(B552="","","Claimed?")</f>
        <v/>
      </c>
      <c r="C553" s="188" t="str">
        <f>IF(B553="","","Verifiable?")</f>
        <v/>
      </c>
      <c r="D553" s="189" t="str">
        <f>IF(C554="","","Independent verification")</f>
        <v/>
      </c>
      <c r="E553" s="1029">
        <f>BI554</f>
        <v>0.4395</v>
      </c>
      <c r="F553" s="1030"/>
      <c r="AA553" s="52"/>
      <c r="AB553" s="52" t="s">
        <v>278</v>
      </c>
      <c r="AF553" s="204"/>
      <c r="AG553" s="52" t="s">
        <v>279</v>
      </c>
      <c r="AM553" s="205"/>
      <c r="AN553" s="52" t="s">
        <v>280</v>
      </c>
      <c r="AV553" s="206"/>
      <c r="AX553" s="191" t="s">
        <v>281</v>
      </c>
      <c r="AZ553" s="192" t="s">
        <v>282</v>
      </c>
      <c r="BB553" s="193" t="s">
        <v>283</v>
      </c>
      <c r="BD553" s="192" t="s">
        <v>284</v>
      </c>
      <c r="BG553" s="194" t="s">
        <v>290</v>
      </c>
      <c r="BH553" s="195" t="s">
        <v>291</v>
      </c>
      <c r="BI553" s="194" t="s">
        <v>285</v>
      </c>
      <c r="BJ553" s="195" t="s">
        <v>286</v>
      </c>
    </row>
    <row r="554" spans="1:68" ht="15" thickTop="1" thickBot="1" x14ac:dyDescent="0.35">
      <c r="A554" s="186"/>
      <c r="B554" s="196" t="s">
        <v>304</v>
      </c>
      <c r="C554" s="197"/>
      <c r="D554" s="207"/>
      <c r="E554" s="1029">
        <f>BJ554</f>
        <v>0.38949999999999996</v>
      </c>
      <c r="F554" s="1030"/>
      <c r="AA554" s="101"/>
      <c r="AB554" s="101">
        <f>IF(B554=$B$3008,$AB$522,0)</f>
        <v>0</v>
      </c>
      <c r="AC554" s="101">
        <f>IF(B554=$B$3009,$AC$522,0)</f>
        <v>1.25</v>
      </c>
      <c r="AD554" s="101">
        <f>IF(B554=$B$3010,$AD$522,0)</f>
        <v>0</v>
      </c>
      <c r="AE554" s="101">
        <f>IF(B554=$B$3011,$AE$522,0)</f>
        <v>0</v>
      </c>
      <c r="AF554" s="208">
        <f>SUM(AB554:AE554)</f>
        <v>1.25</v>
      </c>
      <c r="AG554" s="101">
        <f>IF(C554=$B$3014,$E$3014,0)</f>
        <v>0</v>
      </c>
      <c r="AH554" s="101">
        <f>IF(C554=$B$3015,$E$3015,0)</f>
        <v>0</v>
      </c>
      <c r="AI554" s="101">
        <f>IF(C554=$B$3016,$E$3016,0)</f>
        <v>0</v>
      </c>
      <c r="AJ554" s="101">
        <f>IF(C554=$B$3017,$E$3017,0)</f>
        <v>0</v>
      </c>
      <c r="AK554" s="101">
        <f>IF(C554=$B$3018,$E$3018,0)</f>
        <v>0</v>
      </c>
      <c r="AL554" s="101">
        <f>IF(C554=$B$3019,$E$3019,0)</f>
        <v>0</v>
      </c>
      <c r="AM554" s="209">
        <f>SUM(AG554:AL554)</f>
        <v>0</v>
      </c>
      <c r="AN554" s="101">
        <f>IF($D554=$B$3022,AN$522,0)</f>
        <v>0</v>
      </c>
      <c r="AO554" s="101">
        <f>IF($D554=$B$3023,AO$522,0)</f>
        <v>0</v>
      </c>
      <c r="AP554" s="101">
        <f>IF($D554=$B$3024,AP$522,0)</f>
        <v>0</v>
      </c>
      <c r="AQ554" s="101">
        <f>IF($D554=$B$3025,AQ$522,0)</f>
        <v>0</v>
      </c>
      <c r="AR554" s="101">
        <f>IF($D554=$B$3026,AR$522,0)</f>
        <v>0</v>
      </c>
      <c r="AS554" s="101">
        <f>IF($D554=$B$3027,AS$522,0)</f>
        <v>0</v>
      </c>
      <c r="AT554" s="101">
        <f>IF($D554=$B$3028,AT$522,0)</f>
        <v>0</v>
      </c>
      <c r="AU554" s="101">
        <f>IF($D554=$B$3029,AU$522,0)</f>
        <v>0</v>
      </c>
      <c r="AV554" s="210">
        <f>SUM(AN554:AU554)</f>
        <v>0</v>
      </c>
      <c r="AX554" s="200">
        <f>AF554*AM554</f>
        <v>0</v>
      </c>
      <c r="AZ554" s="146">
        <f>AX554+(AV554*AM554)</f>
        <v>0</v>
      </c>
      <c r="BB554" s="201">
        <f>(AF554*AM554)*0.01</f>
        <v>0</v>
      </c>
      <c r="BD554" s="202">
        <f>AZ554*0.01</f>
        <v>0</v>
      </c>
      <c r="BE554" s="377"/>
      <c r="BG554" s="201">
        <f>IF(AF554&gt;0,BG549+BB554,BG549)</f>
        <v>0.4395</v>
      </c>
      <c r="BH554" s="202">
        <f>IF(AV554&gt;0,BH549+BD554,BH549)</f>
        <v>0.38949999999999996</v>
      </c>
      <c r="BI554" s="201">
        <f>IF(BG554&gt;0.99,0.99,BG554)</f>
        <v>0.4395</v>
      </c>
      <c r="BJ554" s="202">
        <f>IF(BH554&gt;0.99,0.99,BH554)</f>
        <v>0.38949999999999996</v>
      </c>
    </row>
    <row r="555" spans="1:68" ht="14.5" thickTop="1" x14ac:dyDescent="0.3">
      <c r="A555" s="186"/>
      <c r="B555" s="187"/>
      <c r="C555" s="187"/>
      <c r="D555" s="187"/>
      <c r="E555" s="187"/>
      <c r="F555" s="1"/>
      <c r="AB555" s="48" t="str">
        <f>AB556</f>
        <v xml:space="preserve">The most significant evidentary factors include access to post-conviction DNA testing, non-DNA evidence yet to be considered, existence of exculpatory evidence, conviction was not corraborated by the evidence, conviction was based on a irrational theory of guilt, and possibly others less significantly. </v>
      </c>
    </row>
    <row r="556" spans="1:68" ht="30" customHeight="1" x14ac:dyDescent="0.3">
      <c r="A556" s="1199" t="s">
        <v>68</v>
      </c>
      <c r="B556" s="40" t="s">
        <v>306</v>
      </c>
      <c r="C556" s="40"/>
      <c r="D556" s="40"/>
      <c r="E556" s="436"/>
      <c r="F556" s="436" t="s">
        <v>869</v>
      </c>
      <c r="AB556" s="618" t="str">
        <f>IF(AND(B562&lt;&gt;$B$3011,B567&lt;&gt;$B$3011,B572&lt;&gt;$B$3011,B578&lt;&gt;$B$3011,B583&lt;&gt;$B$3011,B588&lt;&gt;$B$3011),"No significant evidentiary factors. ",CONCATENATE(AJ556,AM556,AN556,AO556,AP556,AQ556,AR556,AS556,AT556,AU556,AV556,AZ556))</f>
        <v xml:space="preserve">The most significant evidentary factors include access to post-conviction DNA testing, non-DNA evidence yet to be considered, existence of exculpatory evidence, conviction was not corraborated by the evidence, conviction was based on a irrational theory of guilt, and possibly others less significantly. </v>
      </c>
      <c r="AJ556" s="48" t="s">
        <v>4030</v>
      </c>
      <c r="AM556" s="48" t="str">
        <f>IF(AM558="","",AM558)</f>
        <v>access to post-conviction DNA testing</v>
      </c>
      <c r="AN556" s="48" t="str">
        <f>IF(AO556="","",", ")</f>
        <v xml:space="preserve">, </v>
      </c>
      <c r="AO556" s="48" t="str">
        <f>AM563</f>
        <v>non-DNA evidence yet to be considered</v>
      </c>
      <c r="AP556" s="48" t="str">
        <f>IF(AQ556="","",", ")</f>
        <v xml:space="preserve">, </v>
      </c>
      <c r="AQ556" s="48" t="str">
        <f>AM568</f>
        <v>existence of exculpatory evidence</v>
      </c>
      <c r="AR556" s="48" t="str">
        <f>IF(AS556="","",", ")</f>
        <v xml:space="preserve">, </v>
      </c>
      <c r="AS556" s="48" t="str">
        <f>AM574</f>
        <v>conviction was not corraborated by the evidence</v>
      </c>
      <c r="AT556" s="48" t="str">
        <f>IF(AU556="","",", ")</f>
        <v xml:space="preserve">, </v>
      </c>
      <c r="AU556" s="48" t="str">
        <f>AM579</f>
        <v>conviction was based on a irrational theory of guilt</v>
      </c>
      <c r="AV556" s="48" t="str">
        <f>IF(AW556="","",", ")</f>
        <v/>
      </c>
      <c r="AX556" s="48" t="str">
        <f>AM584</f>
        <v>no actual crime occurred</v>
      </c>
      <c r="AZ556" s="48" t="s">
        <v>4031</v>
      </c>
      <c r="BG556" s="621">
        <f>AK558+AK563+AK569+AK574+AK579+AK584+AK592+AK597+AK602+AK608+AK613+AK618+AK623+AK626+AK631+AK636+AK642+AK647+AK652+AK657+AK665+AK670+AK676+AK681+AK686+AK692++AK708+AK713+AK718+AK724+AK729+AK734+AK739+AK747+AK757+AK762+AK767+AK772+AK777</f>
        <v>26</v>
      </c>
      <c r="BH556" s="48" t="str">
        <f>IF(OR(C202=AD202,C202=""),"Claimant",BG206)</f>
        <v>He</v>
      </c>
      <c r="BI556" s="48" t="s">
        <v>4036</v>
      </c>
      <c r="BJ556" s="48">
        <f>IF(BG556=0,"no",IF(BG556=1,"one",IF(BG556=2,"two",IF(BG556=3,"three",IF(BG556=4,"four",IF(BG556=5,"five",IF(BG556=6,"six",IF(BG556=7,"seven",IF(BG556=8,"eight",IF(BG556=9,"nine",IF(BG556=10,"ten",IF(BG556=11,"eleven",IF(BG556=12,"twelve",BG556)))))))))))))</f>
        <v>26</v>
      </c>
      <c r="BK556" s="48" t="s">
        <v>4037</v>
      </c>
      <c r="BL556" s="48" t="str">
        <f>IF(BG556=1,"factor","factors")</f>
        <v>factors</v>
      </c>
      <c r="BM556" s="48" t="s">
        <v>4089</v>
      </c>
      <c r="BN556" s="48" t="s">
        <v>4029</v>
      </c>
      <c r="BO556" s="48" t="s">
        <v>4034</v>
      </c>
      <c r="BP556" s="622" t="str">
        <f>CONCATENATE(BH556,BI556,BJ556,BK556,BL556,BM556,BN556)</f>
        <v xml:space="preserve">He identifies 26 other important factors known to wrongly convict the innocent. </v>
      </c>
    </row>
    <row r="557" spans="1:68" ht="20" customHeight="1" x14ac:dyDescent="0.3">
      <c r="A557" s="97" t="s">
        <v>307</v>
      </c>
      <c r="B557" s="98"/>
      <c r="C557" s="98"/>
      <c r="D557" s="98"/>
      <c r="E557" s="99"/>
      <c r="F557" s="97"/>
      <c r="AA557" s="175"/>
      <c r="AB557" s="175">
        <v>0</v>
      </c>
      <c r="AC557" s="176">
        <f>AD557/2</f>
        <v>1</v>
      </c>
      <c r="AD557" s="177">
        <f>AE557/2</f>
        <v>2</v>
      </c>
      <c r="AE557" s="178">
        <v>4</v>
      </c>
      <c r="AF557" s="109"/>
      <c r="AG557" s="109"/>
      <c r="AH557" s="109"/>
      <c r="AI557" s="109"/>
      <c r="AJ557" s="109"/>
      <c r="AK557" s="109"/>
      <c r="AL557" s="109"/>
      <c r="AM557" s="109"/>
      <c r="AN557" s="179">
        <f>AE557*-2</f>
        <v>-8</v>
      </c>
      <c r="AO557" s="175">
        <f>AE557*-1</f>
        <v>-4</v>
      </c>
      <c r="AP557" s="175">
        <f>AD557*-1</f>
        <v>-2</v>
      </c>
      <c r="AQ557" s="180">
        <f>AE557*-0.1</f>
        <v>-0.4</v>
      </c>
      <c r="AR557" s="180">
        <v>0</v>
      </c>
      <c r="AS557" s="180">
        <f>AE557*0.1</f>
        <v>0.4</v>
      </c>
      <c r="AT557" s="177">
        <f>AD557</f>
        <v>2</v>
      </c>
      <c r="AU557" s="178">
        <f>AE557</f>
        <v>4</v>
      </c>
      <c r="AV557" s="181"/>
      <c r="AW557" s="109"/>
      <c r="AX557" s="109"/>
      <c r="AY557" s="109"/>
      <c r="AZ557" s="109"/>
      <c r="BA557" s="109"/>
      <c r="BB557" s="182"/>
      <c r="BC557" s="109"/>
      <c r="BD557" s="109"/>
      <c r="BE557" s="109"/>
      <c r="BF557" s="109"/>
      <c r="BG557" s="213">
        <f>BG522</f>
        <v>0.38949999999999996</v>
      </c>
      <c r="BH557" s="377"/>
      <c r="BI557" s="109"/>
    </row>
    <row r="558" spans="1:68" ht="15.5" x14ac:dyDescent="0.3">
      <c r="A558" s="184">
        <f>A550+1</f>
        <v>21</v>
      </c>
      <c r="B558" s="184" t="s">
        <v>308</v>
      </c>
      <c r="C558" s="184"/>
      <c r="D558" s="185" t="str">
        <f>IF(B560="","If claimed, explain in white box below.","")</f>
        <v/>
      </c>
      <c r="E558" s="187"/>
      <c r="F558" s="1"/>
      <c r="AB558" s="48">
        <f>A558</f>
        <v>21</v>
      </c>
      <c r="AC558" s="48" t="s">
        <v>3991</v>
      </c>
      <c r="AK558" s="620">
        <f>IF(AL558=0,0,1)</f>
        <v>1</v>
      </c>
      <c r="AL558" s="48">
        <f>IF(B562=B$3008,E$3008,IF(B562=B$3009,E$3009,IF(B562=B$3010,E$3010,IF(B562=B$3011,E$3011,0))))</f>
        <v>4</v>
      </c>
      <c r="AM558" s="233" t="str">
        <f>IF(AL558=$E$3011,AC558,"")</f>
        <v>access to post-conviction DNA testing</v>
      </c>
    </row>
    <row r="559" spans="1:68" x14ac:dyDescent="0.3">
      <c r="A559" s="186"/>
      <c r="B559" s="1031" t="s">
        <v>309</v>
      </c>
      <c r="C559" s="1032"/>
      <c r="D559" s="1033"/>
      <c r="E559" s="187"/>
      <c r="F559" s="1"/>
    </row>
    <row r="560" spans="1:68" ht="147" customHeight="1" thickBot="1" x14ac:dyDescent="0.35">
      <c r="A560" s="186"/>
      <c r="B560" s="1026" t="s">
        <v>310</v>
      </c>
      <c r="C560" s="1027"/>
      <c r="D560" s="1028"/>
      <c r="E560" s="187"/>
      <c r="F560" s="1"/>
      <c r="AA560" s="48">
        <f>AA552+1</f>
        <v>7</v>
      </c>
      <c r="AB560" s="849">
        <f>IF(B562="",0,1)</f>
        <v>1</v>
      </c>
      <c r="AC560" s="853">
        <f>IF(B562=B$3008,D$3008,IF(B562=B$3009,D$3009,IF(B562=B$3010,D$3010,IF(B562=B$3011,D$3011,0))))</f>
        <v>1</v>
      </c>
      <c r="AE560" s="850">
        <f>IF(D562=B$3022,E$3022,IF(D562=B$3023,E$3023,IF(D562=B$3024,E$3024,IF(D562=B$3025,E$3025,IF(D562=B$3026,E$3026,IF(D562=B$3027,E$3027,IF(D562=B$3028,E$3028,IF(D562=B$3029,E$3029,D30447))))))))</f>
        <v>0</v>
      </c>
    </row>
    <row r="561" spans="1:62" ht="15" thickTop="1" thickBot="1" x14ac:dyDescent="0.35">
      <c r="A561" s="186"/>
      <c r="B561" s="188" t="str">
        <f>IF(B560="","","Claimed?")</f>
        <v>Claimed?</v>
      </c>
      <c r="C561" s="188" t="str">
        <f>IF(B561="","","Verifiable?")</f>
        <v>Verifiable?</v>
      </c>
      <c r="D561" s="189" t="str">
        <f>IF(C562="","","Independent verification")</f>
        <v>Independent verification</v>
      </c>
      <c r="E561" s="1029">
        <f>BI562</f>
        <v>0.46200000000000002</v>
      </c>
      <c r="F561" s="1030"/>
      <c r="AA561" s="52"/>
      <c r="AB561" s="52" t="s">
        <v>278</v>
      </c>
      <c r="AF561" s="204"/>
      <c r="AG561" s="52" t="s">
        <v>279</v>
      </c>
      <c r="AM561" s="205"/>
      <c r="AN561" s="52" t="s">
        <v>280</v>
      </c>
      <c r="AV561" s="206"/>
      <c r="AX561" s="191" t="s">
        <v>281</v>
      </c>
      <c r="AZ561" s="192" t="s">
        <v>282</v>
      </c>
      <c r="BB561" s="193" t="s">
        <v>283</v>
      </c>
      <c r="BD561" s="192" t="s">
        <v>284</v>
      </c>
      <c r="BG561" s="194" t="s">
        <v>290</v>
      </c>
      <c r="BH561" s="195" t="s">
        <v>291</v>
      </c>
      <c r="BI561" s="194" t="s">
        <v>285</v>
      </c>
      <c r="BJ561" s="195" t="s">
        <v>286</v>
      </c>
    </row>
    <row r="562" spans="1:62" ht="15" thickTop="1" thickBot="1" x14ac:dyDescent="0.35">
      <c r="A562" s="186"/>
      <c r="B562" s="196" t="s">
        <v>295</v>
      </c>
      <c r="C562" s="197" t="s">
        <v>311</v>
      </c>
      <c r="D562" s="207"/>
      <c r="E562" s="1029">
        <f>BJ562</f>
        <v>0.38949999999999996</v>
      </c>
      <c r="F562" s="1030"/>
      <c r="AA562" s="101"/>
      <c r="AB562" s="101">
        <f>IF(B562=$B$3008,$AB$522,0)</f>
        <v>0</v>
      </c>
      <c r="AC562" s="101">
        <f>IF(B562=$B$3009,$AC$522,0)</f>
        <v>0</v>
      </c>
      <c r="AD562" s="101">
        <f>IF(B562=$B$3010,$AD$522,0)</f>
        <v>0</v>
      </c>
      <c r="AE562" s="101">
        <f>IF(B562=$B$3011,$AE$522,0)</f>
        <v>5</v>
      </c>
      <c r="AF562" s="208">
        <f>SUM(AB562:AE562)</f>
        <v>5</v>
      </c>
      <c r="AG562" s="101">
        <f>IF(C562=$B$3014,$E$3014,0)</f>
        <v>0</v>
      </c>
      <c r="AH562" s="101">
        <f>IF(C562=$B$3015,$E$3015,0)</f>
        <v>0</v>
      </c>
      <c r="AI562" s="101">
        <f>IF(C562=$B$3016,$E$3016,0)</f>
        <v>0</v>
      </c>
      <c r="AJ562" s="101">
        <f>IF(C562=$B$3017,$E$3017,0)</f>
        <v>0</v>
      </c>
      <c r="AK562" s="101">
        <f>IF(C562=$B$3018,$E$3018,0)</f>
        <v>0.45</v>
      </c>
      <c r="AL562" s="101">
        <f>IF(C562=$B$3019,$E$3019,0)</f>
        <v>0</v>
      </c>
      <c r="AM562" s="209">
        <f>SUM(AG562:AL562)</f>
        <v>0.45</v>
      </c>
      <c r="AN562" s="101">
        <f>IF($D562=$B$3022,AN$522,0)</f>
        <v>0</v>
      </c>
      <c r="AO562" s="101">
        <f>IF($D562=$B$3023,AO$522,0)</f>
        <v>0</v>
      </c>
      <c r="AP562" s="101">
        <f>IF($D562=$B$3024,AP$522,0)</f>
        <v>0</v>
      </c>
      <c r="AQ562" s="101">
        <f>IF($D562=$B$3025,AQ$522,0)</f>
        <v>0</v>
      </c>
      <c r="AR562" s="101">
        <f>IF($D562=$B$3026,AR$522,0)</f>
        <v>0</v>
      </c>
      <c r="AS562" s="101">
        <f>IF($D562=$B$3027,AS$522,0)</f>
        <v>0</v>
      </c>
      <c r="AT562" s="101">
        <f>IF($D562=$B$3028,AT$522,0)</f>
        <v>0</v>
      </c>
      <c r="AU562" s="101">
        <f>IF($D562=$B$3029,AU$522,0)</f>
        <v>0</v>
      </c>
      <c r="AV562" s="210">
        <f>SUM(AN562:AU562)</f>
        <v>0</v>
      </c>
      <c r="AX562" s="200">
        <f>AF562*AM562</f>
        <v>2.25</v>
      </c>
      <c r="AZ562" s="146">
        <f>AX562+(AV562*AM562)</f>
        <v>2.25</v>
      </c>
      <c r="BB562" s="201">
        <f>(AF562*AM562)*0.01</f>
        <v>2.2499999999999999E-2</v>
      </c>
      <c r="BD562" s="202">
        <f>AZ562*0.01</f>
        <v>2.2499999999999999E-2</v>
      </c>
      <c r="BE562" s="377"/>
      <c r="BG562" s="201">
        <f>IF(AF562&gt;0,BG554+BB562,BG554)</f>
        <v>0.46200000000000002</v>
      </c>
      <c r="BH562" s="202">
        <f>IF(AV562&gt;0,BH554+BD562,BH554)</f>
        <v>0.38949999999999996</v>
      </c>
      <c r="BI562" s="201">
        <f>IF(BG562&gt;0.99,0.99,BG562)</f>
        <v>0.46200000000000002</v>
      </c>
      <c r="BJ562" s="202">
        <f>IF(BH562&gt;0.99,0.99,BH562)</f>
        <v>0.38949999999999996</v>
      </c>
    </row>
    <row r="563" spans="1:62" ht="16" thickTop="1" x14ac:dyDescent="0.3">
      <c r="A563" s="184">
        <f>A558+1</f>
        <v>22</v>
      </c>
      <c r="B563" s="184" t="s">
        <v>312</v>
      </c>
      <c r="C563" s="184"/>
      <c r="D563" s="185" t="str">
        <f>IF(B565="","If claimed, explain in white box below.","")</f>
        <v/>
      </c>
      <c r="E563" s="187"/>
      <c r="F563" s="1"/>
      <c r="AB563" s="48">
        <f>A563</f>
        <v>22</v>
      </c>
      <c r="AC563" s="48" t="s">
        <v>3992</v>
      </c>
      <c r="AK563" s="620">
        <f>IF(AL563=0,0,1)</f>
        <v>1</v>
      </c>
      <c r="AL563" s="48">
        <f>IF(B567=B$3008,E$3008,IF(B567=B$3009,E$3009,IF(B567=B$3010,E$3010,IF(B567=B$3011,E$3011,0))))</f>
        <v>4</v>
      </c>
      <c r="AM563" s="233" t="str">
        <f>IF(AL563=$E$3011,AC563,"")</f>
        <v>non-DNA evidence yet to be considered</v>
      </c>
    </row>
    <row r="564" spans="1:62" x14ac:dyDescent="0.3">
      <c r="A564" s="186"/>
      <c r="B564" s="1031" t="s">
        <v>313</v>
      </c>
      <c r="C564" s="1032"/>
      <c r="D564" s="1033"/>
      <c r="E564" s="187"/>
      <c r="F564" s="1"/>
    </row>
    <row r="565" spans="1:62" ht="147" customHeight="1" thickBot="1" x14ac:dyDescent="0.35">
      <c r="A565" s="186"/>
      <c r="B565" s="1026" t="s">
        <v>314</v>
      </c>
      <c r="C565" s="1027"/>
      <c r="D565" s="1028"/>
      <c r="E565" s="187"/>
      <c r="F565" s="1"/>
      <c r="AA565" s="48">
        <f>AA560+1</f>
        <v>8</v>
      </c>
      <c r="AB565" s="849">
        <f>IF(B567="",0,1)</f>
        <v>1</v>
      </c>
      <c r="AC565" s="853">
        <f>IF(B567=B$3008,D$3008,IF(B567=B$3009,D$3009,IF(B567=B$3010,D$3010,IF(B567=B$3011,D$3011,0))))</f>
        <v>1</v>
      </c>
      <c r="AE565" s="850">
        <f>IF(D567=B$3022,E$3022,IF(D567=B$3023,E$3023,IF(D567=B$3024,E$3024,IF(D567=B$3025,E$3025,IF(D567=B$3026,E$3026,IF(D567=B$3027,E$3027,IF(D567=B$3028,E$3028,IF(D567=B$3029,E$3029,D30452))))))))</f>
        <v>0</v>
      </c>
    </row>
    <row r="566" spans="1:62" ht="15" thickTop="1" thickBot="1" x14ac:dyDescent="0.35">
      <c r="A566" s="186"/>
      <c r="B566" s="188" t="str">
        <f>IF(B565="","","Claimed?")</f>
        <v>Claimed?</v>
      </c>
      <c r="C566" s="188" t="str">
        <f>IF(B566="","","Verifiable?")</f>
        <v>Verifiable?</v>
      </c>
      <c r="D566" s="189" t="str">
        <f>IF(C567="","","Independent verification")</f>
        <v>Independent verification</v>
      </c>
      <c r="E566" s="1029">
        <f>BI567</f>
        <v>0.47700000000000004</v>
      </c>
      <c r="F566" s="1030"/>
      <c r="AA566" s="52"/>
      <c r="AB566" s="52" t="s">
        <v>278</v>
      </c>
      <c r="AF566" s="204"/>
      <c r="AG566" s="52" t="s">
        <v>279</v>
      </c>
      <c r="AM566" s="205"/>
      <c r="AN566" s="52" t="s">
        <v>280</v>
      </c>
      <c r="AV566" s="206"/>
      <c r="AX566" s="191" t="s">
        <v>281</v>
      </c>
      <c r="AZ566" s="192" t="s">
        <v>282</v>
      </c>
      <c r="BB566" s="193" t="s">
        <v>283</v>
      </c>
      <c r="BD566" s="192" t="s">
        <v>284</v>
      </c>
      <c r="BG566" s="194" t="s">
        <v>290</v>
      </c>
      <c r="BH566" s="195" t="s">
        <v>291</v>
      </c>
      <c r="BI566" s="194" t="s">
        <v>285</v>
      </c>
      <c r="BJ566" s="195" t="s">
        <v>286</v>
      </c>
    </row>
    <row r="567" spans="1:62" ht="15" thickTop="1" thickBot="1" x14ac:dyDescent="0.35">
      <c r="A567" s="186"/>
      <c r="B567" s="196" t="s">
        <v>295</v>
      </c>
      <c r="C567" s="197" t="s">
        <v>315</v>
      </c>
      <c r="D567" s="207"/>
      <c r="E567" s="1029">
        <f>BJ567</f>
        <v>0.38949999999999996</v>
      </c>
      <c r="F567" s="1030"/>
      <c r="AA567" s="101"/>
      <c r="AB567" s="101">
        <f>IF(B567=$B$3008,$AB$522,0)</f>
        <v>0</v>
      </c>
      <c r="AC567" s="101">
        <f>IF(B567=$B$3009,$AC$522,0)</f>
        <v>0</v>
      </c>
      <c r="AD567" s="101">
        <f>IF(B567=$B$3010,$AD$522,0)</f>
        <v>0</v>
      </c>
      <c r="AE567" s="101">
        <f>IF(B567=$B$3011,$AE$522,0)</f>
        <v>5</v>
      </c>
      <c r="AF567" s="208">
        <f>SUM(AB567:AE567)</f>
        <v>5</v>
      </c>
      <c r="AG567" s="101">
        <f>IF(C567=$B$3014,$E$3014,0)</f>
        <v>0</v>
      </c>
      <c r="AH567" s="101">
        <f>IF(C567=$B$3015,$E$3015,0)</f>
        <v>0.30000000000000004</v>
      </c>
      <c r="AI567" s="101">
        <f>IF(C567=$B$3016,$E$3016,0)</f>
        <v>0</v>
      </c>
      <c r="AJ567" s="101">
        <f>IF(C567=$B$3017,$E$3017,0)</f>
        <v>0</v>
      </c>
      <c r="AK567" s="101">
        <f>IF(C567=$B$3018,$E$3018,0)</f>
        <v>0</v>
      </c>
      <c r="AL567" s="101">
        <f>IF(C567=$B$3019,$E$3019,0)</f>
        <v>0</v>
      </c>
      <c r="AM567" s="209">
        <f>SUM(AG567:AL567)</f>
        <v>0.30000000000000004</v>
      </c>
      <c r="AN567" s="101">
        <f>IF($D567=$B$3022,AN$522,0)</f>
        <v>0</v>
      </c>
      <c r="AO567" s="101">
        <f>IF($D567=$B$3023,AO$522,0)</f>
        <v>0</v>
      </c>
      <c r="AP567" s="101">
        <f>IF($D567=$B$3024,AP$522,0)</f>
        <v>0</v>
      </c>
      <c r="AQ567" s="101">
        <f>IF($D567=$B$3025,AQ$522,0)</f>
        <v>0</v>
      </c>
      <c r="AR567" s="101">
        <f>IF($D567=$B$3026,AR$522,0)</f>
        <v>0</v>
      </c>
      <c r="AS567" s="101">
        <f>IF($D567=$B$3027,AS$522,0)</f>
        <v>0</v>
      </c>
      <c r="AT567" s="101">
        <f>IF($D567=$B$3028,AT$522,0)</f>
        <v>0</v>
      </c>
      <c r="AU567" s="101">
        <f>IF($D567=$B$3029,AU$522,0)</f>
        <v>0</v>
      </c>
      <c r="AV567" s="210">
        <f>SUM(AN567:AU567)</f>
        <v>0</v>
      </c>
      <c r="AX567" s="200">
        <f>AF567*AM567</f>
        <v>1.5000000000000002</v>
      </c>
      <c r="AZ567" s="146">
        <f>AX567+(AV567*AM567)</f>
        <v>1.5000000000000002</v>
      </c>
      <c r="BB567" s="201">
        <f>(AF567*AM567)*0.01</f>
        <v>1.5000000000000003E-2</v>
      </c>
      <c r="BD567" s="202">
        <f>AZ567*0.01</f>
        <v>1.5000000000000003E-2</v>
      </c>
      <c r="BE567" s="377"/>
      <c r="BG567" s="201">
        <f>IF(AF567&gt;0,BG562+BB567,BG562)</f>
        <v>0.47700000000000004</v>
      </c>
      <c r="BH567" s="202">
        <f>IF(AV567&gt;0,BH562+BD567,BH562)</f>
        <v>0.38949999999999996</v>
      </c>
      <c r="BI567" s="201">
        <f>IF(BG567&gt;0.99,0.99,BG567)</f>
        <v>0.47700000000000004</v>
      </c>
      <c r="BJ567" s="202">
        <f>IF(BH567&gt;0.99,0.99,BH567)</f>
        <v>0.38949999999999996</v>
      </c>
    </row>
    <row r="568" spans="1:62" ht="16" thickTop="1" x14ac:dyDescent="0.3">
      <c r="A568" s="184">
        <f>A563+1</f>
        <v>23</v>
      </c>
      <c r="B568" s="184" t="s">
        <v>316</v>
      </c>
      <c r="C568" s="184"/>
      <c r="D568" s="185" t="str">
        <f>IF(B570="","If claimed, explain in white box below.","")</f>
        <v/>
      </c>
      <c r="E568" s="187"/>
      <c r="F568" s="1"/>
      <c r="AB568" s="48">
        <f>A568</f>
        <v>23</v>
      </c>
      <c r="AC568" s="48" t="s">
        <v>3993</v>
      </c>
      <c r="AK568" s="620">
        <f>IF(AL568=0,0,1)</f>
        <v>1</v>
      </c>
      <c r="AL568" s="48">
        <f>IF(B572=B$3008,E$3008,IF(B572=B$3009,E$3009,IF(B572=B$3010,E$3010,IF(B572=B$3011,E$3011,0))))</f>
        <v>4</v>
      </c>
      <c r="AM568" s="233" t="str">
        <f>IF(AL568=$E$3011,AC568,"")</f>
        <v>existence of exculpatory evidence</v>
      </c>
    </row>
    <row r="569" spans="1:62" x14ac:dyDescent="0.3">
      <c r="A569" s="186"/>
      <c r="B569" s="1031" t="s">
        <v>317</v>
      </c>
      <c r="C569" s="1032"/>
      <c r="D569" s="1033"/>
      <c r="E569" s="187"/>
      <c r="F569" s="1"/>
    </row>
    <row r="570" spans="1:62" ht="147" customHeight="1" thickBot="1" x14ac:dyDescent="0.35">
      <c r="A570" s="186"/>
      <c r="B570" s="1026" t="s">
        <v>318</v>
      </c>
      <c r="C570" s="1027"/>
      <c r="D570" s="1028"/>
      <c r="E570" s="187"/>
      <c r="F570" s="1"/>
      <c r="AA570" s="48">
        <f>AA565+1</f>
        <v>9</v>
      </c>
      <c r="AB570" s="849">
        <f>IF(B572="",0,1)</f>
        <v>1</v>
      </c>
      <c r="AC570" s="853">
        <f>IF(B572=B$3008,D$3008,IF(B572=B$3009,D$3009,IF(B572=B$3010,D$3010,IF(B572=B$3011,D$3011,0))))</f>
        <v>1</v>
      </c>
      <c r="AE570" s="850">
        <f>IF(D572=B$3022,E$3022,IF(D572=B$3023,E$3023,IF(D572=B$3024,E$3024,IF(D572=B$3025,E$3025,IF(D572=B$3026,E$3026,IF(D572=B$3027,E$3027,IF(D572=B$3028,E$3028,IF(D572=B$3029,E$3029,D30457))))))))</f>
        <v>0</v>
      </c>
    </row>
    <row r="571" spans="1:62" ht="15" thickTop="1" thickBot="1" x14ac:dyDescent="0.35">
      <c r="A571" s="186"/>
      <c r="B571" s="188" t="str">
        <f>IF(B570="","","Claimed?")</f>
        <v>Claimed?</v>
      </c>
      <c r="C571" s="188" t="str">
        <f>IF(B571="","","Verifiable?")</f>
        <v>Verifiable?</v>
      </c>
      <c r="D571" s="189" t="str">
        <f>IF(C572="","","Independent verification")</f>
        <v>Independent verification</v>
      </c>
      <c r="E571" s="1029">
        <f>BI572</f>
        <v>0.502</v>
      </c>
      <c r="F571" s="1030"/>
      <c r="AA571" s="52"/>
      <c r="AB571" s="52" t="s">
        <v>278</v>
      </c>
      <c r="AF571" s="204"/>
      <c r="AG571" s="52" t="s">
        <v>279</v>
      </c>
      <c r="AM571" s="205"/>
      <c r="AN571" s="52" t="s">
        <v>280</v>
      </c>
      <c r="AV571" s="206"/>
      <c r="AX571" s="191" t="s">
        <v>281</v>
      </c>
      <c r="AZ571" s="192" t="s">
        <v>282</v>
      </c>
      <c r="BB571" s="193" t="s">
        <v>283</v>
      </c>
      <c r="BD571" s="192" t="s">
        <v>284</v>
      </c>
      <c r="BG571" s="194" t="s">
        <v>290</v>
      </c>
      <c r="BH571" s="195" t="s">
        <v>291</v>
      </c>
      <c r="BI571" s="194" t="s">
        <v>285</v>
      </c>
      <c r="BJ571" s="195" t="s">
        <v>286</v>
      </c>
    </row>
    <row r="572" spans="1:62" ht="15" thickTop="1" thickBot="1" x14ac:dyDescent="0.35">
      <c r="A572" s="186"/>
      <c r="B572" s="196" t="s">
        <v>295</v>
      </c>
      <c r="C572" s="197" t="s">
        <v>296</v>
      </c>
      <c r="D572" s="207"/>
      <c r="E572" s="1029">
        <f>BJ572</f>
        <v>0.38949999999999996</v>
      </c>
      <c r="F572" s="1030"/>
      <c r="AA572" s="101"/>
      <c r="AB572" s="101">
        <f>IF(B572=$B$3008,$AB$522,0)</f>
        <v>0</v>
      </c>
      <c r="AC572" s="101">
        <f>IF(B572=$B$3009,$AC$522,0)</f>
        <v>0</v>
      </c>
      <c r="AD572" s="101">
        <f>IF(B572=$B$3010,$AD$522,0)</f>
        <v>0</v>
      </c>
      <c r="AE572" s="101">
        <f>IF(B572=$B$3011,$AE$522,0)</f>
        <v>5</v>
      </c>
      <c r="AF572" s="208">
        <f>SUM(AB572:AE572)</f>
        <v>5</v>
      </c>
      <c r="AG572" s="101">
        <f>IF(C572=$B$3014,$E$3014,0)</f>
        <v>0</v>
      </c>
      <c r="AH572" s="101">
        <f>IF(C572=$B$3015,$E$3015,0)</f>
        <v>0</v>
      </c>
      <c r="AI572" s="101">
        <f>IF(C572=$B$3016,$E$3016,0)</f>
        <v>0</v>
      </c>
      <c r="AJ572" s="101">
        <f>IF(C572=$B$3017,$E$3017,0)</f>
        <v>0</v>
      </c>
      <c r="AK572" s="101">
        <f>IF(C572=$B$3018,$E$3018,0)</f>
        <v>0</v>
      </c>
      <c r="AL572" s="101">
        <f>IF(C572=$B$3019,$E$3019,0)</f>
        <v>0.5</v>
      </c>
      <c r="AM572" s="209">
        <f>SUM(AG572:AL572)</f>
        <v>0.5</v>
      </c>
      <c r="AN572" s="101">
        <f>IF($D572=$B$3022,AN$522,0)</f>
        <v>0</v>
      </c>
      <c r="AO572" s="101">
        <f>IF($D572=$B$3023,AO$522,0)</f>
        <v>0</v>
      </c>
      <c r="AP572" s="101">
        <f>IF($D572=$B$3024,AP$522,0)</f>
        <v>0</v>
      </c>
      <c r="AQ572" s="101">
        <f>IF($D572=$B$3025,AQ$522,0)</f>
        <v>0</v>
      </c>
      <c r="AR572" s="101">
        <f>IF($D572=$B$3026,AR$522,0)</f>
        <v>0</v>
      </c>
      <c r="AS572" s="101">
        <f>IF($D572=$B$3027,AS$522,0)</f>
        <v>0</v>
      </c>
      <c r="AT572" s="101">
        <f>IF($D572=$B$3028,AT$522,0)</f>
        <v>0</v>
      </c>
      <c r="AU572" s="101">
        <f>IF($D572=$B$3029,AU$522,0)</f>
        <v>0</v>
      </c>
      <c r="AV572" s="210">
        <f>SUM(AN572:AU572)</f>
        <v>0</v>
      </c>
      <c r="AX572" s="200">
        <f>AF572*AM572</f>
        <v>2.5</v>
      </c>
      <c r="AZ572" s="146">
        <f>AX572+(AV572*AM572)</f>
        <v>2.5</v>
      </c>
      <c r="BB572" s="201">
        <f>(AF572*AM572)*0.01</f>
        <v>2.5000000000000001E-2</v>
      </c>
      <c r="BD572" s="202">
        <f>AZ572*0.01</f>
        <v>2.5000000000000001E-2</v>
      </c>
      <c r="BE572" s="377"/>
      <c r="BG572" s="201">
        <f>IF(AF572&gt;0,BG567+BB572,BG567)</f>
        <v>0.502</v>
      </c>
      <c r="BH572" s="202">
        <f>IF(AV572&gt;0,BH567+BD572,BH567)</f>
        <v>0.38949999999999996</v>
      </c>
      <c r="BI572" s="201">
        <f>IF(BG572&gt;0.99,0.99,BG572)</f>
        <v>0.502</v>
      </c>
      <c r="BJ572" s="202">
        <f>IF(BH572&gt;0.99,0.99,BH572)</f>
        <v>0.38949999999999996</v>
      </c>
    </row>
    <row r="573" spans="1:62" ht="5" customHeight="1" thickTop="1" x14ac:dyDescent="0.3">
      <c r="A573" s="187"/>
      <c r="B573" s="187"/>
      <c r="C573" s="187"/>
      <c r="D573" s="187"/>
      <c r="E573" s="187"/>
      <c r="F573" s="1"/>
    </row>
    <row r="574" spans="1:62" ht="15.5" x14ac:dyDescent="0.3">
      <c r="A574" s="184">
        <f>A568+1</f>
        <v>24</v>
      </c>
      <c r="B574" s="184" t="s">
        <v>319</v>
      </c>
      <c r="C574" s="184"/>
      <c r="D574" s="185" t="str">
        <f>IF(B576="","If claimed, explain in white box below.","")</f>
        <v/>
      </c>
      <c r="E574" s="187"/>
      <c r="F574" s="1"/>
      <c r="AB574" s="48">
        <f>A574</f>
        <v>24</v>
      </c>
      <c r="AC574" s="48" t="s">
        <v>4024</v>
      </c>
      <c r="AK574" s="620">
        <f>IF(AL574=0,0,1)</f>
        <v>1</v>
      </c>
      <c r="AL574" s="48">
        <f>IF(B578=B$3008,E$3008,IF(B578=B$3009,E$3009,IF(B578=B$3010,E$3010,IF(B578=B$3011,E$3011,0))))</f>
        <v>4</v>
      </c>
      <c r="AM574" s="233" t="str">
        <f>IF(AL574=$E$3011,AC574,"")</f>
        <v>conviction was not corraborated by the evidence</v>
      </c>
    </row>
    <row r="575" spans="1:62" x14ac:dyDescent="0.3">
      <c r="A575" s="186"/>
      <c r="B575" s="1031" t="s">
        <v>320</v>
      </c>
      <c r="C575" s="1032"/>
      <c r="D575" s="1033"/>
      <c r="E575" s="187"/>
      <c r="F575" s="1"/>
    </row>
    <row r="576" spans="1:62" ht="160" customHeight="1" thickBot="1" x14ac:dyDescent="0.35">
      <c r="A576" s="186"/>
      <c r="B576" s="1026" t="s">
        <v>321</v>
      </c>
      <c r="C576" s="1027"/>
      <c r="D576" s="1028"/>
      <c r="E576" s="187"/>
      <c r="F576" s="1"/>
      <c r="AA576" s="48">
        <f>AA570+1</f>
        <v>10</v>
      </c>
      <c r="AB576" s="849">
        <f>IF(B578="",0,1)</f>
        <v>1</v>
      </c>
      <c r="AC576" s="853">
        <f>IF(B578=B$3008,D$3008,IF(B578=B$3009,D$3009,IF(B578=B$3010,D$3010,IF(B578=B$3011,D$3011,0))))</f>
        <v>1</v>
      </c>
      <c r="AE576" s="850">
        <f>IF(D578=B$3022,E$3022,IF(D578=B$3023,E$3023,IF(D578=B$3024,E$3024,IF(D578=B$3025,E$3025,IF(D578=B$3026,E$3026,IF(D578=B$3027,E$3027,IF(D578=B$3028,E$3028,IF(D578=B$3029,E$3029,D30463))))))))</f>
        <v>0</v>
      </c>
    </row>
    <row r="577" spans="1:62" ht="15" thickTop="1" thickBot="1" x14ac:dyDescent="0.35">
      <c r="A577" s="186"/>
      <c r="B577" s="188" t="str">
        <f>IF(B576="","","Claimed?")</f>
        <v>Claimed?</v>
      </c>
      <c r="C577" s="188" t="str">
        <f>IF(B577="","","Verifiable?")</f>
        <v>Verifiable?</v>
      </c>
      <c r="D577" s="189" t="str">
        <f>IF(C578="","","Independent verification")</f>
        <v>Independent verification</v>
      </c>
      <c r="E577" s="1029">
        <f>BI578</f>
        <v>0.51949999999999996</v>
      </c>
      <c r="F577" s="1030"/>
      <c r="AA577" s="52"/>
      <c r="AB577" s="52" t="s">
        <v>278</v>
      </c>
      <c r="AF577" s="204"/>
      <c r="AG577" s="52" t="s">
        <v>279</v>
      </c>
      <c r="AM577" s="205"/>
      <c r="AN577" s="52" t="s">
        <v>280</v>
      </c>
      <c r="AV577" s="206"/>
      <c r="AX577" s="191" t="s">
        <v>281</v>
      </c>
      <c r="AZ577" s="192" t="s">
        <v>282</v>
      </c>
      <c r="BB577" s="193" t="s">
        <v>283</v>
      </c>
      <c r="BD577" s="192" t="s">
        <v>284</v>
      </c>
      <c r="BG577" s="194" t="s">
        <v>290</v>
      </c>
      <c r="BH577" s="195" t="s">
        <v>291</v>
      </c>
      <c r="BI577" s="194" t="s">
        <v>285</v>
      </c>
      <c r="BJ577" s="195" t="s">
        <v>286</v>
      </c>
    </row>
    <row r="578" spans="1:62" ht="15" thickTop="1" thickBot="1" x14ac:dyDescent="0.35">
      <c r="A578" s="186"/>
      <c r="B578" s="196" t="s">
        <v>295</v>
      </c>
      <c r="C578" s="197" t="s">
        <v>322</v>
      </c>
      <c r="D578" s="207"/>
      <c r="E578" s="1029">
        <f>BJ578</f>
        <v>0.38949999999999996</v>
      </c>
      <c r="F578" s="1030"/>
      <c r="AA578" s="101"/>
      <c r="AB578" s="101">
        <f>IF(B578=$B$3008,$AB$522,0)</f>
        <v>0</v>
      </c>
      <c r="AC578" s="101">
        <f>IF(B578=$B$3009,$AC$522,0)</f>
        <v>0</v>
      </c>
      <c r="AD578" s="101">
        <f>IF(B578=$B$3010,$AD$522,0)</f>
        <v>0</v>
      </c>
      <c r="AE578" s="101">
        <f>IF(B578=$B$3011,$AE$522,0)</f>
        <v>5</v>
      </c>
      <c r="AF578" s="208">
        <f>SUM(AB578:AE578)</f>
        <v>5</v>
      </c>
      <c r="AG578" s="101">
        <f>IF(C578=$B$3014,$E$3014,0)</f>
        <v>0</v>
      </c>
      <c r="AH578" s="101">
        <f>IF(C578=$B$3015,$E$3015,0)</f>
        <v>0</v>
      </c>
      <c r="AI578" s="101">
        <f>IF(C578=$B$3016,$E$3016,0)</f>
        <v>0.35000000000000003</v>
      </c>
      <c r="AJ578" s="101">
        <f>IF(C578=$B$3017,$E$3017,0)</f>
        <v>0</v>
      </c>
      <c r="AK578" s="101">
        <f>IF(C578=$B$3018,$E$3018,0)</f>
        <v>0</v>
      </c>
      <c r="AL578" s="101">
        <f>IF(C578=$B$3019,$E$3019,0)</f>
        <v>0</v>
      </c>
      <c r="AM578" s="209">
        <f>SUM(AG578:AL578)</f>
        <v>0.35000000000000003</v>
      </c>
      <c r="AN578" s="101">
        <f>IF($D578=$B$3022,AN$522,0)</f>
        <v>0</v>
      </c>
      <c r="AO578" s="101">
        <f>IF($D578=$B$3023,AO$522,0)</f>
        <v>0</v>
      </c>
      <c r="AP578" s="101">
        <f>IF($D578=$B$3024,AP$522,0)</f>
        <v>0</v>
      </c>
      <c r="AQ578" s="101">
        <f>IF($D578=$B$3025,AQ$522,0)</f>
        <v>0</v>
      </c>
      <c r="AR578" s="101">
        <f>IF($D578=$B$3026,AR$522,0)</f>
        <v>0</v>
      </c>
      <c r="AS578" s="101">
        <f>IF($D578=$B$3027,AS$522,0)</f>
        <v>0</v>
      </c>
      <c r="AT578" s="101">
        <f>IF($D578=$B$3028,AT$522,0)</f>
        <v>0</v>
      </c>
      <c r="AU578" s="101">
        <f>IF($D578=$B$3029,AU$522,0)</f>
        <v>0</v>
      </c>
      <c r="AV578" s="210">
        <f>SUM(AN578:AU578)</f>
        <v>0</v>
      </c>
      <c r="AX578" s="200">
        <f>AF578*AM578</f>
        <v>1.7500000000000002</v>
      </c>
      <c r="AZ578" s="146">
        <f>AX578+(AV578*AM578)</f>
        <v>1.7500000000000002</v>
      </c>
      <c r="BB578" s="201">
        <f>(AF578*AM578)*0.01</f>
        <v>1.7500000000000002E-2</v>
      </c>
      <c r="BD578" s="202">
        <f>AZ578*0.01</f>
        <v>1.7500000000000002E-2</v>
      </c>
      <c r="BE578" s="377"/>
      <c r="BG578" s="201">
        <f>IF(AF578&gt;0,BG572+BB578,BG572)</f>
        <v>0.51949999999999996</v>
      </c>
      <c r="BH578" s="202">
        <f>IF(AV578&gt;0,BH572+BD578,BH572)</f>
        <v>0.38949999999999996</v>
      </c>
      <c r="BI578" s="201">
        <f>IF(BG578&gt;0.99,0.99,BG578)</f>
        <v>0.51949999999999996</v>
      </c>
      <c r="BJ578" s="202">
        <f>IF(BH578&gt;0.99,0.99,BH578)</f>
        <v>0.38949999999999996</v>
      </c>
    </row>
    <row r="579" spans="1:62" ht="16" thickTop="1" x14ac:dyDescent="0.3">
      <c r="A579" s="184">
        <f>A574+1</f>
        <v>25</v>
      </c>
      <c r="B579" s="184" t="s">
        <v>323</v>
      </c>
      <c r="C579" s="184"/>
      <c r="D579" s="185" t="str">
        <f>IF(B581="","If claimed, explain in white box below.","")</f>
        <v/>
      </c>
      <c r="E579" s="187"/>
      <c r="F579" s="1"/>
      <c r="AB579" s="48">
        <f>A579</f>
        <v>25</v>
      </c>
      <c r="AC579" s="48" t="s">
        <v>4023</v>
      </c>
      <c r="AK579" s="620">
        <f>IF(AL579=0,0,1)</f>
        <v>1</v>
      </c>
      <c r="AL579" s="48">
        <f>IF(B583=B$3008,E$3008,IF(B583=B$3009,E$3009,IF(B583=B$3010,E$3010,IF(B583=B$3011,E$3011,0))))</f>
        <v>4</v>
      </c>
      <c r="AM579" s="233" t="str">
        <f>IF(AL579=$E$3011,AC579,"")</f>
        <v>conviction was based on a irrational theory of guilt</v>
      </c>
    </row>
    <row r="580" spans="1:62" x14ac:dyDescent="0.3">
      <c r="A580" s="186"/>
      <c r="B580" s="1031" t="s">
        <v>324</v>
      </c>
      <c r="C580" s="1032"/>
      <c r="D580" s="1033"/>
      <c r="E580" s="187"/>
      <c r="F580" s="1"/>
    </row>
    <row r="581" spans="1:62" ht="160" customHeight="1" thickBot="1" x14ac:dyDescent="0.35">
      <c r="A581" s="186"/>
      <c r="B581" s="1026" t="s">
        <v>325</v>
      </c>
      <c r="C581" s="1027"/>
      <c r="D581" s="1028"/>
      <c r="E581" s="187"/>
      <c r="F581" s="1"/>
      <c r="AA581" s="48">
        <f>AA576+1</f>
        <v>11</v>
      </c>
      <c r="AB581" s="849">
        <f>IF(B583="",0,1)</f>
        <v>1</v>
      </c>
      <c r="AC581" s="853">
        <f>IF(B583=B$3008,D$3008,IF(B583=B$3009,D$3009,IF(B583=B$3010,D$3010,IF(B583=B$3011,D$3011,0))))</f>
        <v>1</v>
      </c>
      <c r="AE581" s="850">
        <f>IF(D583=B$3022,E$3022,IF(D583=B$3023,E$3023,IF(D583=B$3024,E$3024,IF(D583=B$3025,E$3025,IF(D583=B$3026,E$3026,IF(D583=B$3027,E$3027,IF(D583=B$3028,E$3028,IF(D583=B$3029,E$3029,D30468))))))))</f>
        <v>0</v>
      </c>
    </row>
    <row r="582" spans="1:62" ht="15" thickTop="1" thickBot="1" x14ac:dyDescent="0.35">
      <c r="A582" s="186"/>
      <c r="B582" s="188" t="str">
        <f>IF(B581="","","Claimed?")</f>
        <v>Claimed?</v>
      </c>
      <c r="C582" s="188" t="str">
        <f>IF(B582="","","Verifiable?")</f>
        <v>Verifiable?</v>
      </c>
      <c r="D582" s="189" t="str">
        <f>IF(C583="","","Independent verification")</f>
        <v>Independent verification</v>
      </c>
      <c r="E582" s="1029">
        <f>BI583</f>
        <v>0.54449999999999998</v>
      </c>
      <c r="F582" s="1030"/>
      <c r="AA582" s="52"/>
      <c r="AB582" s="52" t="s">
        <v>278</v>
      </c>
      <c r="AF582" s="204"/>
      <c r="AG582" s="52" t="s">
        <v>279</v>
      </c>
      <c r="AM582" s="205"/>
      <c r="AN582" s="52" t="s">
        <v>280</v>
      </c>
      <c r="AV582" s="206"/>
      <c r="AX582" s="191" t="s">
        <v>281</v>
      </c>
      <c r="AZ582" s="192" t="s">
        <v>282</v>
      </c>
      <c r="BB582" s="193" t="s">
        <v>283</v>
      </c>
      <c r="BD582" s="192" t="s">
        <v>284</v>
      </c>
      <c r="BG582" s="194" t="s">
        <v>290</v>
      </c>
      <c r="BH582" s="195" t="s">
        <v>291</v>
      </c>
      <c r="BI582" s="194" t="s">
        <v>285</v>
      </c>
      <c r="BJ582" s="195" t="s">
        <v>286</v>
      </c>
    </row>
    <row r="583" spans="1:62" ht="15" thickTop="1" thickBot="1" x14ac:dyDescent="0.35">
      <c r="A583" s="186"/>
      <c r="B583" s="196" t="s">
        <v>295</v>
      </c>
      <c r="C583" s="197" t="s">
        <v>296</v>
      </c>
      <c r="D583" s="207"/>
      <c r="E583" s="1029">
        <f>BJ583</f>
        <v>0.38949999999999996</v>
      </c>
      <c r="F583" s="1030"/>
      <c r="AA583" s="101"/>
      <c r="AB583" s="101">
        <f>IF(B583=$B$3008,$AB$522,0)</f>
        <v>0</v>
      </c>
      <c r="AC583" s="101">
        <f>IF(B583=$B$3009,$AC$522,0)</f>
        <v>0</v>
      </c>
      <c r="AD583" s="101">
        <f>IF(B583=$B$3010,$AD$522,0)</f>
        <v>0</v>
      </c>
      <c r="AE583" s="101">
        <f>IF(B583=$B$3011,$AE$522,0)</f>
        <v>5</v>
      </c>
      <c r="AF583" s="208">
        <f>SUM(AB583:AE583)</f>
        <v>5</v>
      </c>
      <c r="AG583" s="101">
        <f>IF(C583=$B$3014,$E$3014,0)</f>
        <v>0</v>
      </c>
      <c r="AH583" s="101">
        <f>IF(C583=$B$3015,$E$3015,0)</f>
        <v>0</v>
      </c>
      <c r="AI583" s="101">
        <f>IF(C583=$B$3016,$E$3016,0)</f>
        <v>0</v>
      </c>
      <c r="AJ583" s="101">
        <f>IF(C583=$B$3017,$E$3017,0)</f>
        <v>0</v>
      </c>
      <c r="AK583" s="101">
        <f>IF(C583=$B$3018,$E$3018,0)</f>
        <v>0</v>
      </c>
      <c r="AL583" s="101">
        <f>IF(C583=$B$3019,$E$3019,0)</f>
        <v>0.5</v>
      </c>
      <c r="AM583" s="209">
        <f>SUM(AG583:AL583)</f>
        <v>0.5</v>
      </c>
      <c r="AN583" s="101">
        <f>IF($D583=$B$3022,AN$522,0)</f>
        <v>0</v>
      </c>
      <c r="AO583" s="101">
        <f>IF($D583=$B$3023,AO$522,0)</f>
        <v>0</v>
      </c>
      <c r="AP583" s="101">
        <f>IF($D583=$B$3024,AP$522,0)</f>
        <v>0</v>
      </c>
      <c r="AQ583" s="101">
        <f>IF($D583=$B$3025,AQ$522,0)</f>
        <v>0</v>
      </c>
      <c r="AR583" s="101">
        <f>IF($D583=$B$3026,AR$522,0)</f>
        <v>0</v>
      </c>
      <c r="AS583" s="101">
        <f>IF($D583=$B$3027,AS$522,0)</f>
        <v>0</v>
      </c>
      <c r="AT583" s="101">
        <f>IF($D583=$B$3028,AT$522,0)</f>
        <v>0</v>
      </c>
      <c r="AU583" s="101">
        <f>IF($D583=$B$3029,AU$522,0)</f>
        <v>0</v>
      </c>
      <c r="AV583" s="210">
        <f>SUM(AN583:AU583)</f>
        <v>0</v>
      </c>
      <c r="AX583" s="200">
        <f>AF583*AM583</f>
        <v>2.5</v>
      </c>
      <c r="AZ583" s="146">
        <f>AX583+(AV583*AM583)</f>
        <v>2.5</v>
      </c>
      <c r="BB583" s="201">
        <f>(AF583*AM583)*0.01</f>
        <v>2.5000000000000001E-2</v>
      </c>
      <c r="BD583" s="202">
        <f>AZ583*0.01</f>
        <v>2.5000000000000001E-2</v>
      </c>
      <c r="BE583" s="377"/>
      <c r="BG583" s="201">
        <f>IF(AF583&gt;0,BG578+BB583,BG578)</f>
        <v>0.54449999999999998</v>
      </c>
      <c r="BH583" s="202">
        <f>IF(AV583&gt;0,BH578+BD583,BH578)</f>
        <v>0.38949999999999996</v>
      </c>
      <c r="BI583" s="201">
        <f>IF(BG583&gt;0.99,0.99,BG583)</f>
        <v>0.54449999999999998</v>
      </c>
      <c r="BJ583" s="202">
        <f>IF(BH583&gt;0.99,0.99,BH583)</f>
        <v>0.38949999999999996</v>
      </c>
    </row>
    <row r="584" spans="1:62" ht="16" thickTop="1" x14ac:dyDescent="0.3">
      <c r="A584" s="184">
        <f>A579+1</f>
        <v>26</v>
      </c>
      <c r="B584" s="184" t="s">
        <v>326</v>
      </c>
      <c r="C584" s="184"/>
      <c r="D584" s="185" t="str">
        <f>IF(B586="","If claimed, explain in white box below.","")</f>
        <v/>
      </c>
      <c r="E584" s="187"/>
      <c r="F584" s="1"/>
      <c r="AB584" s="48">
        <f>A584</f>
        <v>26</v>
      </c>
      <c r="AC584" s="48" t="s">
        <v>4022</v>
      </c>
      <c r="AK584" s="620">
        <f>IF(AL584=0,0,1)</f>
        <v>1</v>
      </c>
      <c r="AL584" s="48">
        <f>IF(B588=B$3008,E$3008,IF(B588=B$3009,E$3009,IF(B588=B$3010,E$3010,IF(B588=B$3011,E$3011,0))))</f>
        <v>4</v>
      </c>
      <c r="AM584" s="233" t="str">
        <f>IF(AL584=$E$3011,AC584,"")</f>
        <v>no actual crime occurred</v>
      </c>
    </row>
    <row r="585" spans="1:62" ht="27" customHeight="1" x14ac:dyDescent="0.3">
      <c r="A585" s="186"/>
      <c r="B585" s="1031" t="s">
        <v>3645</v>
      </c>
      <c r="C585" s="1032"/>
      <c r="D585" s="1033"/>
      <c r="E585" s="187"/>
      <c r="F585" s="1"/>
    </row>
    <row r="586" spans="1:62" ht="147" customHeight="1" thickBot="1" x14ac:dyDescent="0.35">
      <c r="A586" s="186"/>
      <c r="B586" s="1026" t="s">
        <v>327</v>
      </c>
      <c r="C586" s="1027"/>
      <c r="D586" s="1028"/>
      <c r="E586" s="187"/>
      <c r="F586" s="1"/>
      <c r="AA586" s="48">
        <f>AA581+1</f>
        <v>12</v>
      </c>
      <c r="AB586" s="849">
        <f>IF(B588="",0,1)</f>
        <v>1</v>
      </c>
      <c r="AC586" s="853">
        <f>IF(B588=B$3008,D$3008,IF(B588=B$3009,D$3009,IF(B588=B$3010,D$3010,IF(B588=B$3011,D$3011,0))))</f>
        <v>1</v>
      </c>
      <c r="AE586" s="850">
        <f>IF(D588=B$3022,E$3022,IF(D588=B$3023,E$3023,IF(D588=B$3024,E$3024,IF(D588=B$3025,E$3025,IF(D588=B$3026,E$3026,IF(D588=B$3027,E$3027,IF(D588=B$3028,E$3028,IF(D588=B$3029,E$3029,D30473))))))))</f>
        <v>0</v>
      </c>
    </row>
    <row r="587" spans="1:62" ht="15" thickTop="1" thickBot="1" x14ac:dyDescent="0.35">
      <c r="A587" s="186"/>
      <c r="B587" s="188" t="str">
        <f>IF(B586="","","Claimed?")</f>
        <v>Claimed?</v>
      </c>
      <c r="C587" s="188" t="str">
        <f>IF(B587="","","Verifiable?")</f>
        <v>Verifiable?</v>
      </c>
      <c r="D587" s="189" t="str">
        <f>IF(C588="","","Independent verification")</f>
        <v>Independent verification</v>
      </c>
      <c r="E587" s="1029">
        <f>BI588</f>
        <v>0.56950000000000001</v>
      </c>
      <c r="F587" s="1030"/>
      <c r="AA587" s="52"/>
      <c r="AB587" s="52" t="s">
        <v>278</v>
      </c>
      <c r="AF587" s="204"/>
      <c r="AG587" s="52" t="s">
        <v>279</v>
      </c>
      <c r="AM587" s="205"/>
      <c r="AN587" s="52" t="s">
        <v>280</v>
      </c>
      <c r="AV587" s="206"/>
      <c r="AX587" s="191" t="s">
        <v>281</v>
      </c>
      <c r="AZ587" s="192" t="s">
        <v>282</v>
      </c>
      <c r="BB587" s="193" t="s">
        <v>283</v>
      </c>
      <c r="BD587" s="192" t="s">
        <v>284</v>
      </c>
      <c r="BG587" s="194" t="s">
        <v>290</v>
      </c>
      <c r="BH587" s="195" t="s">
        <v>291</v>
      </c>
      <c r="BI587" s="194" t="s">
        <v>285</v>
      </c>
      <c r="BJ587" s="195" t="s">
        <v>286</v>
      </c>
    </row>
    <row r="588" spans="1:62" ht="15" thickTop="1" thickBot="1" x14ac:dyDescent="0.35">
      <c r="A588" s="186"/>
      <c r="B588" s="196" t="s">
        <v>295</v>
      </c>
      <c r="C588" s="197" t="s">
        <v>296</v>
      </c>
      <c r="D588" s="207"/>
      <c r="E588" s="1029">
        <f>E587</f>
        <v>0.56950000000000001</v>
      </c>
      <c r="F588" s="1030"/>
      <c r="AA588" s="101"/>
      <c r="AB588" s="101">
        <f>IF(B588=$B$3008,$AB$522,0)</f>
        <v>0</v>
      </c>
      <c r="AC588" s="101">
        <f>IF(B588=$B$3009,$AC$522,0)</f>
        <v>0</v>
      </c>
      <c r="AD588" s="101">
        <f>IF(B588=$B$3010,$AD$522,0)</f>
        <v>0</v>
      </c>
      <c r="AE588" s="101">
        <f>IF(B588=$B$3011,$AE$522,0)</f>
        <v>5</v>
      </c>
      <c r="AF588" s="208">
        <f>SUM(AB588:AE588)</f>
        <v>5</v>
      </c>
      <c r="AG588" s="101">
        <f>IF(C588=$B$3014,$E$3014,0)</f>
        <v>0</v>
      </c>
      <c r="AH588" s="101">
        <f>IF(C588=$B$3015,$E$3015,0)</f>
        <v>0</v>
      </c>
      <c r="AI588" s="101">
        <f>IF(C588=$B$3016,$E$3016,0)</f>
        <v>0</v>
      </c>
      <c r="AJ588" s="101">
        <f>IF(C588=$B$3017,$E$3017,0)</f>
        <v>0</v>
      </c>
      <c r="AK588" s="101">
        <f>IF(C588=$B$3018,$E$3018,0)</f>
        <v>0</v>
      </c>
      <c r="AL588" s="101">
        <f>IF(C588=$B$3019,$E$3019,0)</f>
        <v>0.5</v>
      </c>
      <c r="AM588" s="209">
        <f>SUM(AG588:AL588)</f>
        <v>0.5</v>
      </c>
      <c r="AN588" s="101">
        <f>IF($D588=$B$3022,AN$522,0)</f>
        <v>0</v>
      </c>
      <c r="AO588" s="101">
        <f>IF($D588=$B$3023,AO$522,0)</f>
        <v>0</v>
      </c>
      <c r="AP588" s="101">
        <f>IF($D588=$B$3024,AP$522,0)</f>
        <v>0</v>
      </c>
      <c r="AQ588" s="101">
        <f>IF($D588=$B$3025,AQ$522,0)</f>
        <v>0</v>
      </c>
      <c r="AR588" s="101">
        <f>IF($D588=$B$3026,AR$522,0)</f>
        <v>0</v>
      </c>
      <c r="AS588" s="101">
        <f>IF($D588=$B$3027,AS$522,0)</f>
        <v>0</v>
      </c>
      <c r="AT588" s="101">
        <f>IF($D588=$B$3028,AT$522,0)</f>
        <v>0</v>
      </c>
      <c r="AU588" s="101">
        <f>IF($D588=$B$3029,AU$522,0)</f>
        <v>0</v>
      </c>
      <c r="AV588" s="210">
        <f>SUM(AN588:AU588)</f>
        <v>0</v>
      </c>
      <c r="AX588" s="200">
        <f>AF588*AM588</f>
        <v>2.5</v>
      </c>
      <c r="AZ588" s="146">
        <f>AX588+(AV588*AM588)</f>
        <v>2.5</v>
      </c>
      <c r="BB588" s="201">
        <f>(AF588*AM588)*0.01</f>
        <v>2.5000000000000001E-2</v>
      </c>
      <c r="BD588" s="202">
        <f>AZ588*0.01</f>
        <v>2.5000000000000001E-2</v>
      </c>
      <c r="BE588" s="377"/>
      <c r="BG588" s="201">
        <f>IF(AF588&gt;0,BG583+BB588,BG583)</f>
        <v>0.56950000000000001</v>
      </c>
      <c r="BH588" s="202">
        <f>IF(AV588&gt;0,BH583+BD588,BH583)</f>
        <v>0.38949999999999996</v>
      </c>
      <c r="BI588" s="201">
        <f>IF(BG588&gt;0.99,0.99,BG588)</f>
        <v>0.56950000000000001</v>
      </c>
      <c r="BJ588" s="202">
        <f>IF(BH588&gt;0.99,0.99,BH588)</f>
        <v>0.38949999999999996</v>
      </c>
    </row>
    <row r="589" spans="1:62" ht="14.5" thickTop="1" x14ac:dyDescent="0.3">
      <c r="A589" s="186"/>
      <c r="B589" s="187"/>
      <c r="C589" s="187"/>
      <c r="D589" s="187"/>
      <c r="E589" s="187"/>
      <c r="F589" s="1"/>
    </row>
    <row r="590" spans="1:62" ht="30" customHeight="1" x14ac:dyDescent="0.3">
      <c r="A590" s="1199" t="s">
        <v>70</v>
      </c>
      <c r="B590" s="40" t="s">
        <v>328</v>
      </c>
      <c r="C590" s="40"/>
      <c r="D590" s="40"/>
      <c r="E590" s="436"/>
      <c r="F590" s="436" t="s">
        <v>869</v>
      </c>
      <c r="AB590" s="618" t="str">
        <f>IF(AND(B596&lt;&gt;$B$3011,B601&lt;&gt;$B$3011,B606&lt;&gt;$B$3011,B612&lt;&gt;$B$3011,B617&lt;&gt;$B$3011,B622&lt;&gt;$B$3011),"No significant investigative factors. ",CONCATENATE(AJ590,AM590,AN590,AO590,AP590,AQ590,AR590,AS590,AT590,AU590,AV590,AZ590))</f>
        <v xml:space="preserve">The significant investigative factors include law enforcement tunnel vision, and possibly others less significantly. </v>
      </c>
      <c r="AJ590" s="48" t="s">
        <v>4025</v>
      </c>
      <c r="AM590" s="48" t="str">
        <f>IF(AM592="","",AM592)</f>
        <v>law enforcement tunnel vision</v>
      </c>
      <c r="AN590" s="48" t="str">
        <f>IF(AO590="","",", ")</f>
        <v/>
      </c>
      <c r="AO590" s="48" t="str">
        <f>AM597</f>
        <v/>
      </c>
      <c r="AP590" s="48" t="str">
        <f>IF(AQ590="","",", ")</f>
        <v/>
      </c>
      <c r="AQ590" s="48" t="str">
        <f>AM602</f>
        <v/>
      </c>
      <c r="AR590" s="48" t="str">
        <f>IF(AS590="","",", ")</f>
        <v/>
      </c>
      <c r="AS590" s="48" t="str">
        <f>AM608</f>
        <v/>
      </c>
      <c r="AT590" s="48" t="str">
        <f>IF(AU590="","",", ")</f>
        <v/>
      </c>
      <c r="AU590" s="48" t="str">
        <f>AM613</f>
        <v/>
      </c>
      <c r="AV590" s="48" t="str">
        <f>IF(AW590="","",", ")</f>
        <v/>
      </c>
      <c r="AZ590" s="48" t="s">
        <v>4031</v>
      </c>
    </row>
    <row r="591" spans="1:62" ht="20" customHeight="1" x14ac:dyDescent="0.3">
      <c r="A591" s="97" t="s">
        <v>329</v>
      </c>
      <c r="B591" s="98"/>
      <c r="C591" s="98"/>
      <c r="D591" s="98"/>
      <c r="E591" s="99"/>
      <c r="F591" s="97"/>
      <c r="AA591" s="175"/>
      <c r="AB591" s="175">
        <v>0</v>
      </c>
      <c r="AC591" s="176">
        <f>AD591/2</f>
        <v>0.75</v>
      </c>
      <c r="AD591" s="177">
        <f>AE591/2</f>
        <v>1.5</v>
      </c>
      <c r="AE591" s="178">
        <v>3</v>
      </c>
      <c r="AF591" s="109"/>
      <c r="AG591" s="109"/>
      <c r="AH591" s="109"/>
      <c r="AI591" s="109"/>
      <c r="AJ591" s="109"/>
      <c r="AK591" s="109"/>
      <c r="AL591" s="109"/>
      <c r="AM591" s="109"/>
      <c r="AN591" s="179">
        <f>AE591*-2</f>
        <v>-6</v>
      </c>
      <c r="AO591" s="175">
        <f>AE591*-1</f>
        <v>-3</v>
      </c>
      <c r="AP591" s="175">
        <f>AD591*-1</f>
        <v>-1.5</v>
      </c>
      <c r="AQ591" s="180">
        <f>AE591*-0.1</f>
        <v>-0.30000000000000004</v>
      </c>
      <c r="AR591" s="180">
        <v>0</v>
      </c>
      <c r="AS591" s="180">
        <f>AE591*0.1</f>
        <v>0.30000000000000004</v>
      </c>
      <c r="AT591" s="177">
        <f>AD591</f>
        <v>1.5</v>
      </c>
      <c r="AU591" s="178">
        <f>AE591</f>
        <v>3</v>
      </c>
      <c r="AV591" s="181"/>
      <c r="AW591" s="109"/>
      <c r="AX591" s="109"/>
      <c r="AY591" s="109"/>
      <c r="AZ591" s="109"/>
      <c r="BA591" s="109"/>
      <c r="BB591" s="182"/>
      <c r="BC591" s="109"/>
      <c r="BD591" s="109"/>
      <c r="BE591" s="109"/>
      <c r="BF591" s="109"/>
      <c r="BG591" s="213">
        <f>BG557</f>
        <v>0.38949999999999996</v>
      </c>
    </row>
    <row r="592" spans="1:62" ht="15.5" x14ac:dyDescent="0.3">
      <c r="A592" s="184">
        <f>A584+1</f>
        <v>27</v>
      </c>
      <c r="B592" s="184" t="s">
        <v>330</v>
      </c>
      <c r="C592" s="184"/>
      <c r="D592" s="185" t="str">
        <f>IF(B594="","If claimed, explain in white box below.","")</f>
        <v/>
      </c>
      <c r="E592" s="187"/>
      <c r="F592" s="1"/>
      <c r="AB592" s="48">
        <f>A592</f>
        <v>27</v>
      </c>
      <c r="AC592" s="48" t="s">
        <v>4026</v>
      </c>
      <c r="AK592" s="620">
        <f>IF(AL592=0,0,1)</f>
        <v>1</v>
      </c>
      <c r="AL592" s="48">
        <f>IF(B596=B$3008,E$3008,IF(B596=B$3009,E$3009,IF(B596=B$3010,E$3010,IF(B596=B$3011,E$3011,0))))</f>
        <v>4</v>
      </c>
      <c r="AM592" s="233" t="str">
        <f>IF(AL592=$E$3011,AC592,"")</f>
        <v>law enforcement tunnel vision</v>
      </c>
    </row>
    <row r="593" spans="1:62" x14ac:dyDescent="0.3">
      <c r="A593" s="186"/>
      <c r="B593" s="1031" t="s">
        <v>331</v>
      </c>
      <c r="C593" s="1032"/>
      <c r="D593" s="1033"/>
      <c r="E593" s="187"/>
      <c r="F593" s="1"/>
    </row>
    <row r="594" spans="1:62" ht="137" customHeight="1" thickBot="1" x14ac:dyDescent="0.35">
      <c r="A594" s="186"/>
      <c r="B594" s="1026" t="s">
        <v>332</v>
      </c>
      <c r="C594" s="1027"/>
      <c r="D594" s="1028"/>
      <c r="E594" s="187"/>
      <c r="F594" s="1"/>
      <c r="AA594" s="48">
        <f>AA586+1</f>
        <v>13</v>
      </c>
      <c r="AB594" s="849">
        <f>IF(B596="",0,1)</f>
        <v>1</v>
      </c>
      <c r="AC594" s="853">
        <f>IF(B596=B$3008,D$3008,IF(B596=B$3009,D$3009,IF(B596=B$3010,D$3010,IF(B596=B$3011,D$3011,0))))</f>
        <v>1</v>
      </c>
      <c r="AE594" s="850">
        <f>IF(D596=B$3022,E$3022,IF(D596=B$3023,E$3023,IF(D596=B$3024,E$3024,IF(D596=B$3025,E$3025,IF(D596=B$3026,E$3026,IF(D596=B$3027,E$3027,IF(D596=B$3028,E$3028,IF(D596=B$3029,E$3029,D30481))))))))</f>
        <v>0</v>
      </c>
    </row>
    <row r="595" spans="1:62" ht="15" thickTop="1" thickBot="1" x14ac:dyDescent="0.35">
      <c r="A595" s="186"/>
      <c r="B595" s="188" t="str">
        <f>IF(B594="","","Claimed?")</f>
        <v>Claimed?</v>
      </c>
      <c r="C595" s="188" t="str">
        <f>IF(B595="","","Verifiable?")</f>
        <v>Verifiable?</v>
      </c>
      <c r="D595" s="189" t="str">
        <f>IF(C596="","","Independent verification")</f>
        <v>Independent verification</v>
      </c>
      <c r="E595" s="1029">
        <f>BI596</f>
        <v>0.58450000000000002</v>
      </c>
      <c r="F595" s="1030"/>
      <c r="AA595" s="52"/>
      <c r="AB595" s="52" t="s">
        <v>278</v>
      </c>
      <c r="AF595" s="204"/>
      <c r="AG595" s="52" t="s">
        <v>279</v>
      </c>
      <c r="AM595" s="205"/>
      <c r="AN595" s="52" t="s">
        <v>280</v>
      </c>
      <c r="AV595" s="206"/>
      <c r="AX595" s="191" t="s">
        <v>281</v>
      </c>
      <c r="AZ595" s="192" t="s">
        <v>282</v>
      </c>
      <c r="BB595" s="193" t="s">
        <v>283</v>
      </c>
      <c r="BD595" s="192" t="s">
        <v>284</v>
      </c>
      <c r="BG595" s="194" t="s">
        <v>290</v>
      </c>
      <c r="BH595" s="195" t="s">
        <v>291</v>
      </c>
      <c r="BI595" s="194" t="s">
        <v>285</v>
      </c>
      <c r="BJ595" s="195" t="s">
        <v>286</v>
      </c>
    </row>
    <row r="596" spans="1:62" ht="15" thickTop="1" thickBot="1" x14ac:dyDescent="0.35">
      <c r="A596" s="186"/>
      <c r="B596" s="196" t="s">
        <v>295</v>
      </c>
      <c r="C596" s="197" t="s">
        <v>315</v>
      </c>
      <c r="D596" s="207"/>
      <c r="E596" s="1029">
        <f>BJ596</f>
        <v>0.38949999999999996</v>
      </c>
      <c r="F596" s="1030"/>
      <c r="AA596" s="101"/>
      <c r="AB596" s="101">
        <f>IF(B596=$B$3008,$AB$522,0)</f>
        <v>0</v>
      </c>
      <c r="AC596" s="101">
        <f>IF(B596=$B$3009,$AC$522,0)</f>
        <v>0</v>
      </c>
      <c r="AD596" s="101">
        <f>IF(B596=$B$3010,$AD$522,0)</f>
        <v>0</v>
      </c>
      <c r="AE596" s="101">
        <f>IF(B596=$B$3011,$AE$522,0)</f>
        <v>5</v>
      </c>
      <c r="AF596" s="208">
        <f>SUM(AB596:AE596)</f>
        <v>5</v>
      </c>
      <c r="AG596" s="101">
        <f>IF(C596=$B$3014,$E$3014,0)</f>
        <v>0</v>
      </c>
      <c r="AH596" s="101">
        <f>IF(C596=$B$3015,$E$3015,0)</f>
        <v>0.30000000000000004</v>
      </c>
      <c r="AI596" s="101">
        <f>IF(C596=$B$3016,$E$3016,0)</f>
        <v>0</v>
      </c>
      <c r="AJ596" s="101">
        <f>IF(C596=$B$3017,$E$3017,0)</f>
        <v>0</v>
      </c>
      <c r="AK596" s="101">
        <f>IF(C596=$B$3018,$E$3018,0)</f>
        <v>0</v>
      </c>
      <c r="AL596" s="101">
        <f>IF(C596=$B$3019,$E$3019,0)</f>
        <v>0</v>
      </c>
      <c r="AM596" s="209">
        <f>SUM(AG596:AL596)</f>
        <v>0.30000000000000004</v>
      </c>
      <c r="AN596" s="101">
        <f>IF($D596=$B$3022,AN$522,0)</f>
        <v>0</v>
      </c>
      <c r="AO596" s="101">
        <f>IF($D596=$B$3023,AO$522,0)</f>
        <v>0</v>
      </c>
      <c r="AP596" s="101">
        <f>IF($D596=$B$3024,AP$522,0)</f>
        <v>0</v>
      </c>
      <c r="AQ596" s="101">
        <f>IF($D596=$B$3025,AQ$522,0)</f>
        <v>0</v>
      </c>
      <c r="AR596" s="101">
        <f>IF($D596=$B$3026,AR$522,0)</f>
        <v>0</v>
      </c>
      <c r="AS596" s="101">
        <f>IF($D596=$B$3027,AS$522,0)</f>
        <v>0</v>
      </c>
      <c r="AT596" s="101">
        <f>IF($D596=$B$3028,AT$522,0)</f>
        <v>0</v>
      </c>
      <c r="AU596" s="101">
        <f>IF($D596=$B$3029,AU$522,0)</f>
        <v>0</v>
      </c>
      <c r="AV596" s="210">
        <f>SUM(AN596:AU596)</f>
        <v>0</v>
      </c>
      <c r="AX596" s="200">
        <f>AF596*AM596</f>
        <v>1.5000000000000002</v>
      </c>
      <c r="AZ596" s="146">
        <f>AX596+(AV596*AM596)</f>
        <v>1.5000000000000002</v>
      </c>
      <c r="BB596" s="201">
        <f>(AF596*AM596)*0.01</f>
        <v>1.5000000000000003E-2</v>
      </c>
      <c r="BD596" s="202">
        <f>AZ596*0.01</f>
        <v>1.5000000000000003E-2</v>
      </c>
      <c r="BE596" s="377"/>
      <c r="BG596" s="201">
        <f>IF(AF596&gt;0,BG588+BB596,BG588)</f>
        <v>0.58450000000000002</v>
      </c>
      <c r="BH596" s="202">
        <f>IF(AV596&gt;0,BH588+BD596,BH588)</f>
        <v>0.38949999999999996</v>
      </c>
      <c r="BI596" s="201">
        <f>IF(BG596&gt;0.99,0.99,BG596)</f>
        <v>0.58450000000000002</v>
      </c>
      <c r="BJ596" s="202">
        <f>IF(BH596&gt;0.99,0.99,BH596)</f>
        <v>0.38949999999999996</v>
      </c>
    </row>
    <row r="597" spans="1:62" ht="16" thickTop="1" x14ac:dyDescent="0.3">
      <c r="A597" s="184">
        <f>A592+1</f>
        <v>28</v>
      </c>
      <c r="B597" s="184" t="s">
        <v>333</v>
      </c>
      <c r="C597" s="214"/>
      <c r="D597" s="185" t="str">
        <f>IF(B599="","If claimed, explain in white box below.","")</f>
        <v/>
      </c>
      <c r="E597" s="187"/>
      <c r="F597" s="1"/>
      <c r="AB597" s="48">
        <f>A597</f>
        <v>28</v>
      </c>
      <c r="AC597" s="48" t="s">
        <v>4021</v>
      </c>
      <c r="AK597" s="620">
        <f>IF(AL597=0,0,1)</f>
        <v>1</v>
      </c>
      <c r="AL597" s="48">
        <f>IF(B601=B$3008,E$3008,IF(B601=B$3009,E$3009,IF(B601=B$3010,E$3010,IF(B601=B$3011,E$3011,0))))</f>
        <v>2</v>
      </c>
      <c r="AM597" s="233" t="str">
        <f>IF(AL597=$E$3011,AC597,"")</f>
        <v/>
      </c>
    </row>
    <row r="598" spans="1:62" ht="42" customHeight="1" x14ac:dyDescent="0.3">
      <c r="A598" s="186"/>
      <c r="B598" s="1031" t="s">
        <v>3622</v>
      </c>
      <c r="C598" s="1032"/>
      <c r="D598" s="1033"/>
      <c r="E598" s="187"/>
      <c r="F598" s="1"/>
    </row>
    <row r="599" spans="1:62" ht="113" customHeight="1" thickBot="1" x14ac:dyDescent="0.35">
      <c r="A599" s="186"/>
      <c r="B599" s="1026" t="s">
        <v>334</v>
      </c>
      <c r="C599" s="1027"/>
      <c r="D599" s="1028"/>
      <c r="E599" s="187"/>
      <c r="F599" s="1"/>
      <c r="AA599" s="48">
        <f>AA594+1</f>
        <v>14</v>
      </c>
      <c r="AB599" s="849">
        <f>IF(B601="",0,1)</f>
        <v>1</v>
      </c>
      <c r="AC599" s="853">
        <f>IF(B601=B$3008,D$3008,IF(B601=B$3009,D$3009,IF(B601=B$3010,D$3010,IF(B601=B$3011,D$3011,0))))</f>
        <v>0.5</v>
      </c>
      <c r="AE599" s="850">
        <f>IF(D601=B$3022,E$3022,IF(D601=B$3023,E$3023,IF(D601=B$3024,E$3024,IF(D601=B$3025,E$3025,IF(D601=B$3026,E$3026,IF(D601=B$3027,E$3027,IF(D601=B$3028,E$3028,IF(D601=B$3029,E$3029,D30486))))))))</f>
        <v>0</v>
      </c>
    </row>
    <row r="600" spans="1:62" ht="15" thickTop="1" thickBot="1" x14ac:dyDescent="0.35">
      <c r="A600" s="186"/>
      <c r="B600" s="188" t="str">
        <f>IF(B599="","","Claimed?")</f>
        <v>Claimed?</v>
      </c>
      <c r="C600" s="188" t="str">
        <f>IF(B600="","","Verifiable?")</f>
        <v>Verifiable?</v>
      </c>
      <c r="D600" s="189" t="str">
        <f>IF(C601="","","Independent verification")</f>
        <v>Independent verification</v>
      </c>
      <c r="E600" s="1029">
        <f>BI601</f>
        <v>0.59699999999999998</v>
      </c>
      <c r="F600" s="1030"/>
      <c r="AA600" s="52"/>
      <c r="AB600" s="52" t="s">
        <v>278</v>
      </c>
      <c r="AF600" s="204"/>
      <c r="AG600" s="52" t="s">
        <v>279</v>
      </c>
      <c r="AM600" s="205"/>
      <c r="AN600" s="52" t="s">
        <v>280</v>
      </c>
      <c r="AV600" s="206"/>
      <c r="AX600" s="191" t="s">
        <v>281</v>
      </c>
      <c r="AZ600" s="192" t="s">
        <v>282</v>
      </c>
      <c r="BB600" s="193" t="s">
        <v>283</v>
      </c>
      <c r="BD600" s="192" t="s">
        <v>284</v>
      </c>
      <c r="BG600" s="194" t="s">
        <v>290</v>
      </c>
      <c r="BH600" s="195" t="s">
        <v>291</v>
      </c>
      <c r="BI600" s="194" t="s">
        <v>285</v>
      </c>
      <c r="BJ600" s="195" t="s">
        <v>286</v>
      </c>
    </row>
    <row r="601" spans="1:62" ht="15" thickTop="1" thickBot="1" x14ac:dyDescent="0.35">
      <c r="A601" s="186"/>
      <c r="B601" s="196" t="s">
        <v>335</v>
      </c>
      <c r="C601" s="197" t="s">
        <v>296</v>
      </c>
      <c r="D601" s="207"/>
      <c r="E601" s="1029">
        <f>BJ601</f>
        <v>0.38949999999999996</v>
      </c>
      <c r="F601" s="1030"/>
      <c r="AA601" s="101"/>
      <c r="AB601" s="101">
        <f>IF(B601=$B$3008,$AB$522,0)</f>
        <v>0</v>
      </c>
      <c r="AC601" s="101">
        <f>IF(B601=$B$3009,$AC$522,0)</f>
        <v>0</v>
      </c>
      <c r="AD601" s="101">
        <f>IF(B601=$B$3010,$AD$522,0)</f>
        <v>2.5</v>
      </c>
      <c r="AE601" s="101">
        <f>IF(B601=$B$3011,$AE$522,0)</f>
        <v>0</v>
      </c>
      <c r="AF601" s="208">
        <f>SUM(AB601:AE601)</f>
        <v>2.5</v>
      </c>
      <c r="AG601" s="101">
        <f>IF(C601=$B$3014,$E$3014,0)</f>
        <v>0</v>
      </c>
      <c r="AH601" s="101">
        <f>IF(C601=$B$3015,$E$3015,0)</f>
        <v>0</v>
      </c>
      <c r="AI601" s="101">
        <f>IF(C601=$B$3016,$E$3016,0)</f>
        <v>0</v>
      </c>
      <c r="AJ601" s="101">
        <f>IF(C601=$B$3017,$E$3017,0)</f>
        <v>0</v>
      </c>
      <c r="AK601" s="101">
        <f>IF(C601=$B$3018,$E$3018,0)</f>
        <v>0</v>
      </c>
      <c r="AL601" s="101">
        <f>IF(C601=$B$3019,$E$3019,0)</f>
        <v>0.5</v>
      </c>
      <c r="AM601" s="209">
        <f>SUM(AG601:AL601)</f>
        <v>0.5</v>
      </c>
      <c r="AN601" s="101">
        <f>IF($D601=$B$3022,AN$522,0)</f>
        <v>0</v>
      </c>
      <c r="AO601" s="101">
        <f>IF($D601=$B$3023,AO$522,0)</f>
        <v>0</v>
      </c>
      <c r="AP601" s="101">
        <f>IF($D601=$B$3024,AP$522,0)</f>
        <v>0</v>
      </c>
      <c r="AQ601" s="101">
        <f>IF($D601=$B$3025,AQ$522,0)</f>
        <v>0</v>
      </c>
      <c r="AR601" s="101">
        <f>IF($D601=$B$3026,AR$522,0)</f>
        <v>0</v>
      </c>
      <c r="AS601" s="101">
        <f>IF($D601=$B$3027,AS$522,0)</f>
        <v>0</v>
      </c>
      <c r="AT601" s="101">
        <f>IF($D601=$B$3028,AT$522,0)</f>
        <v>0</v>
      </c>
      <c r="AU601" s="101">
        <f>IF($D601=$B$3029,AU$522,0)</f>
        <v>0</v>
      </c>
      <c r="AV601" s="210">
        <f>SUM(AN601:AU601)</f>
        <v>0</v>
      </c>
      <c r="AX601" s="200">
        <f>AF601*AM601</f>
        <v>1.25</v>
      </c>
      <c r="AZ601" s="146">
        <f>AX601+(AV601*AM601)</f>
        <v>1.25</v>
      </c>
      <c r="BB601" s="201">
        <f>(AF601*AM601)*0.01</f>
        <v>1.2500000000000001E-2</v>
      </c>
      <c r="BD601" s="202">
        <f>AZ601*0.01</f>
        <v>1.2500000000000001E-2</v>
      </c>
      <c r="BE601" s="377"/>
      <c r="BG601" s="201">
        <f>IF(AF601&gt;0,BG596+BB601,BG596)</f>
        <v>0.59699999999999998</v>
      </c>
      <c r="BH601" s="202">
        <f>IF(AV601&gt;0,BH596+BD601,BH596)</f>
        <v>0.38949999999999996</v>
      </c>
      <c r="BI601" s="201">
        <f>IF(BG601&gt;0.99,0.99,BG601)</f>
        <v>0.59699999999999998</v>
      </c>
      <c r="BJ601" s="202">
        <f>IF(BH601&gt;0.99,0.99,BH601)</f>
        <v>0.38949999999999996</v>
      </c>
    </row>
    <row r="602" spans="1:62" ht="16" thickTop="1" x14ac:dyDescent="0.3">
      <c r="A602" s="184">
        <f>A597+1</f>
        <v>29</v>
      </c>
      <c r="B602" s="184" t="s">
        <v>336</v>
      </c>
      <c r="C602" s="184"/>
      <c r="D602" s="185" t="str">
        <f>IF(B604="","If claimed, explain in white box below.","")</f>
        <v>If claimed, explain in white box below.</v>
      </c>
      <c r="E602" s="187"/>
      <c r="F602" s="1"/>
      <c r="AB602" s="48">
        <f>A602</f>
        <v>29</v>
      </c>
      <c r="AC602" s="48" t="s">
        <v>4020</v>
      </c>
      <c r="AK602" s="620">
        <f>IF(AL602=0,0,1)</f>
        <v>0</v>
      </c>
      <c r="AL602" s="48">
        <f>IF(B606=B$3008,E$3008,IF(B606=B$3009,E$3009,IF(B606=B$3010,E$3010,IF(B606=B$3011,E$3011,0))))</f>
        <v>0</v>
      </c>
      <c r="AM602" s="233" t="str">
        <f>IF(AL602=$E$3011,AC602,"")</f>
        <v/>
      </c>
    </row>
    <row r="603" spans="1:62" ht="45" customHeight="1" x14ac:dyDescent="0.3">
      <c r="A603" s="186"/>
      <c r="B603" s="1031" t="s">
        <v>337</v>
      </c>
      <c r="C603" s="1032"/>
      <c r="D603" s="1033"/>
      <c r="E603" s="187"/>
      <c r="F603" s="1"/>
    </row>
    <row r="604" spans="1:62" ht="137" customHeight="1" thickBot="1" x14ac:dyDescent="0.35">
      <c r="A604" s="186"/>
      <c r="B604" s="1026"/>
      <c r="C604" s="1027"/>
      <c r="D604" s="1028"/>
      <c r="E604" s="187"/>
      <c r="F604" s="1"/>
      <c r="AA604" s="48">
        <f>AA599+1</f>
        <v>15</v>
      </c>
      <c r="AB604" s="849">
        <f>IF(B606="",0,1)</f>
        <v>1</v>
      </c>
      <c r="AC604" s="853">
        <f>IF(B606=B$3008,D$3008,IF(B606=B$3009,D$3009,IF(B606=B$3010,D$3010,IF(B606=B$3011,D$3011,0))))</f>
        <v>0</v>
      </c>
      <c r="AE604" s="850">
        <f>IF(D606=B$3022,E$3022,IF(D606=B$3023,E$3023,IF(D606=B$3024,E$3024,IF(D606=B$3025,E$3025,IF(D606=B$3026,E$3026,IF(D606=B$3027,E$3027,IF(D606=B$3028,E$3028,IF(D606=B$3029,E$3029,D30491))))))))</f>
        <v>0</v>
      </c>
    </row>
    <row r="605" spans="1:62" ht="15" thickTop="1" thickBot="1" x14ac:dyDescent="0.35">
      <c r="A605" s="186"/>
      <c r="B605" s="188" t="str">
        <f>IF(B604="","","Claimed?")</f>
        <v/>
      </c>
      <c r="C605" s="188" t="str">
        <f>IF(B605="","","Verifiable?")</f>
        <v/>
      </c>
      <c r="D605" s="189" t="str">
        <f>IF(C606="","","Independent verification")</f>
        <v/>
      </c>
      <c r="E605" s="1029">
        <f>BI606</f>
        <v>0.59699999999999998</v>
      </c>
      <c r="F605" s="1030"/>
      <c r="AA605" s="52"/>
      <c r="AB605" s="52" t="s">
        <v>278</v>
      </c>
      <c r="AF605" s="204"/>
      <c r="AG605" s="52" t="s">
        <v>279</v>
      </c>
      <c r="AM605" s="205"/>
      <c r="AN605" s="52" t="s">
        <v>280</v>
      </c>
      <c r="AV605" s="206"/>
      <c r="AX605" s="191" t="s">
        <v>281</v>
      </c>
      <c r="AZ605" s="192" t="s">
        <v>282</v>
      </c>
      <c r="BB605" s="193" t="s">
        <v>283</v>
      </c>
      <c r="BD605" s="192" t="s">
        <v>284</v>
      </c>
      <c r="BG605" s="194" t="s">
        <v>290</v>
      </c>
      <c r="BH605" s="195" t="s">
        <v>291</v>
      </c>
      <c r="BI605" s="194" t="s">
        <v>285</v>
      </c>
      <c r="BJ605" s="195" t="s">
        <v>286</v>
      </c>
    </row>
    <row r="606" spans="1:62" ht="15" thickTop="1" thickBot="1" x14ac:dyDescent="0.35">
      <c r="A606" s="186"/>
      <c r="B606" s="196" t="s">
        <v>287</v>
      </c>
      <c r="C606" s="197"/>
      <c r="D606" s="207"/>
      <c r="E606" s="1029">
        <f>BJ606</f>
        <v>0.38949999999999996</v>
      </c>
      <c r="F606" s="1030"/>
      <c r="AA606" s="101"/>
      <c r="AB606" s="101">
        <f>IF(B606=$B$3008,$AB$522,0)</f>
        <v>0</v>
      </c>
      <c r="AC606" s="101">
        <f>IF(B606=$B$3009,$AC$522,0)</f>
        <v>0</v>
      </c>
      <c r="AD606" s="101">
        <f>IF(B606=$B$3010,$AD$522,0)</f>
        <v>0</v>
      </c>
      <c r="AE606" s="101">
        <f>IF(B606=$B$3011,$AE$522,0)</f>
        <v>0</v>
      </c>
      <c r="AF606" s="208">
        <f>SUM(AB606:AE606)</f>
        <v>0</v>
      </c>
      <c r="AG606" s="101">
        <f>IF(C606=$B$3014,$E$3014,0)</f>
        <v>0</v>
      </c>
      <c r="AH606" s="101">
        <f>IF(C606=$B$3015,$E$3015,0)</f>
        <v>0</v>
      </c>
      <c r="AI606" s="101">
        <f>IF(C606=$B$3016,$E$3016,0)</f>
        <v>0</v>
      </c>
      <c r="AJ606" s="101">
        <f>IF(C606=$B$3017,$E$3017,0)</f>
        <v>0</v>
      </c>
      <c r="AK606" s="101">
        <f>IF(C606=$B$3018,$E$3018,0)</f>
        <v>0</v>
      </c>
      <c r="AL606" s="101">
        <f>IF(C606=$B$3019,$E$3019,0)</f>
        <v>0</v>
      </c>
      <c r="AM606" s="209">
        <f>SUM(AG606:AL606)</f>
        <v>0</v>
      </c>
      <c r="AN606" s="101">
        <f>IF($D606=$B$3022,AN$522,0)</f>
        <v>0</v>
      </c>
      <c r="AO606" s="101">
        <f>IF($D606=$B$3023,AO$522,0)</f>
        <v>0</v>
      </c>
      <c r="AP606" s="101">
        <f>IF($D606=$B$3024,AP$522,0)</f>
        <v>0</v>
      </c>
      <c r="AQ606" s="101">
        <f>IF($D606=$B$3025,AQ$522,0)</f>
        <v>0</v>
      </c>
      <c r="AR606" s="101">
        <f>IF($D606=$B$3026,AR$522,0)</f>
        <v>0</v>
      </c>
      <c r="AS606" s="101">
        <f>IF($D606=$B$3027,AS$522,0)</f>
        <v>0</v>
      </c>
      <c r="AT606" s="101">
        <f>IF($D606=$B$3028,AT$522,0)</f>
        <v>0</v>
      </c>
      <c r="AU606" s="101">
        <f>IF($D606=$B$3029,AU$522,0)</f>
        <v>0</v>
      </c>
      <c r="AV606" s="210">
        <f>SUM(AN606:AU606)</f>
        <v>0</v>
      </c>
      <c r="AX606" s="200">
        <f>AF606*AM606</f>
        <v>0</v>
      </c>
      <c r="AZ606" s="146">
        <f>AX606+(AV606*AM606)</f>
        <v>0</v>
      </c>
      <c r="BB606" s="201">
        <f>(AF606*AM606)*0.01</f>
        <v>0</v>
      </c>
      <c r="BD606" s="202">
        <f>AZ606*0.01</f>
        <v>0</v>
      </c>
      <c r="BE606" s="377"/>
      <c r="BG606" s="201">
        <f>IF(AF606&gt;0,BG601+BB606,BG601)</f>
        <v>0.59699999999999998</v>
      </c>
      <c r="BH606" s="202">
        <f>IF(AV606&gt;0,BH601+BD606,BH601)</f>
        <v>0.38949999999999996</v>
      </c>
      <c r="BI606" s="201">
        <f>IF(BG606&gt;0.99,0.99,BG606)</f>
        <v>0.59699999999999998</v>
      </c>
      <c r="BJ606" s="202">
        <f>IF(BH606&gt;0.99,0.99,BH606)</f>
        <v>0.38949999999999996</v>
      </c>
    </row>
    <row r="607" spans="1:62" ht="5" customHeight="1" thickTop="1" x14ac:dyDescent="0.3">
      <c r="A607" s="187"/>
      <c r="B607" s="187"/>
      <c r="C607" s="187"/>
      <c r="D607" s="187"/>
      <c r="E607" s="187"/>
      <c r="F607" s="1"/>
    </row>
    <row r="608" spans="1:62" ht="15.5" x14ac:dyDescent="0.3">
      <c r="A608" s="184">
        <f>A602+1</f>
        <v>30</v>
      </c>
      <c r="B608" s="184" t="s">
        <v>338</v>
      </c>
      <c r="C608" s="184"/>
      <c r="D608" s="185" t="str">
        <f>IF(B610="","If claimed, explain in white box below.","")</f>
        <v>If claimed, explain in white box below.</v>
      </c>
      <c r="E608" s="187"/>
      <c r="F608" s="1"/>
      <c r="AB608" s="48">
        <f>A608</f>
        <v>30</v>
      </c>
      <c r="AC608" s="48" t="s">
        <v>4019</v>
      </c>
      <c r="AK608" s="620">
        <f>IF(AL608=0,0,1)</f>
        <v>0</v>
      </c>
      <c r="AL608" s="48">
        <f>IF(B612=B$3008,E$3008,IF(B612=B$3009,E$3009,IF(B612=B$3010,E$3010,IF(B612=B$3011,E$3011,0))))</f>
        <v>0</v>
      </c>
      <c r="AM608" s="233" t="str">
        <f>IF(AL608=$E$3011,AC608,"")</f>
        <v/>
      </c>
    </row>
    <row r="609" spans="1:62" x14ac:dyDescent="0.3">
      <c r="A609" s="186"/>
      <c r="B609" s="1031" t="s">
        <v>3638</v>
      </c>
      <c r="C609" s="1032"/>
      <c r="D609" s="1033"/>
      <c r="E609" s="187"/>
      <c r="F609" s="1"/>
    </row>
    <row r="610" spans="1:62" ht="150" customHeight="1" thickBot="1" x14ac:dyDescent="0.35">
      <c r="A610" s="186"/>
      <c r="B610" s="1026"/>
      <c r="C610" s="1027"/>
      <c r="D610" s="1028"/>
      <c r="E610" s="187"/>
      <c r="F610" s="1"/>
      <c r="AA610" s="48">
        <f>AA604+1</f>
        <v>16</v>
      </c>
      <c r="AB610" s="849">
        <f>IF(B612="",0,1)</f>
        <v>1</v>
      </c>
      <c r="AC610" s="853">
        <f>IF(B612=B$3008,D$3008,IF(B612=B$3009,D$3009,IF(B612=B$3010,D$3010,IF(B612=B$3011,D$3011,0))))</f>
        <v>0</v>
      </c>
      <c r="AE610" s="850">
        <f>IF(D612=B$3022,E$3022,IF(D612=B$3023,E$3023,IF(D612=B$3024,E$3024,IF(D612=B$3025,E$3025,IF(D612=B$3026,E$3026,IF(D612=B$3027,E$3027,IF(D612=B$3028,E$3028,IF(D612=B$3029,E$3029,D30497))))))))</f>
        <v>0</v>
      </c>
    </row>
    <row r="611" spans="1:62" ht="15" thickTop="1" thickBot="1" x14ac:dyDescent="0.35">
      <c r="A611" s="186"/>
      <c r="B611" s="188" t="str">
        <f>IF(B610="","","Claimed?")</f>
        <v/>
      </c>
      <c r="C611" s="188" t="str">
        <f>IF(B611="","","Verifiable?")</f>
        <v/>
      </c>
      <c r="D611" s="189" t="str">
        <f>IF(C612="","","Independent verification")</f>
        <v/>
      </c>
      <c r="E611" s="1029">
        <f>BI612</f>
        <v>0.59699999999999998</v>
      </c>
      <c r="F611" s="1030"/>
      <c r="AA611" s="52"/>
      <c r="AB611" s="52" t="s">
        <v>278</v>
      </c>
      <c r="AF611" s="204"/>
      <c r="AG611" s="52" t="s">
        <v>279</v>
      </c>
      <c r="AM611" s="205"/>
      <c r="AN611" s="52" t="s">
        <v>280</v>
      </c>
      <c r="AV611" s="206"/>
      <c r="AX611" s="191" t="s">
        <v>281</v>
      </c>
      <c r="AZ611" s="192" t="s">
        <v>282</v>
      </c>
      <c r="BB611" s="193" t="s">
        <v>283</v>
      </c>
      <c r="BD611" s="192" t="s">
        <v>284</v>
      </c>
      <c r="BG611" s="194" t="s">
        <v>290</v>
      </c>
      <c r="BH611" s="195" t="s">
        <v>291</v>
      </c>
      <c r="BI611" s="194" t="s">
        <v>285</v>
      </c>
      <c r="BJ611" s="195" t="s">
        <v>286</v>
      </c>
    </row>
    <row r="612" spans="1:62" ht="15" thickTop="1" thickBot="1" x14ac:dyDescent="0.35">
      <c r="A612" s="186"/>
      <c r="B612" s="196" t="s">
        <v>287</v>
      </c>
      <c r="C612" s="197"/>
      <c r="D612" s="207"/>
      <c r="E612" s="1029">
        <f>BJ612</f>
        <v>0.38949999999999996</v>
      </c>
      <c r="F612" s="1030"/>
      <c r="AA612" s="101"/>
      <c r="AB612" s="101">
        <f>IF(B612=$B$3008,$AB$522,0)</f>
        <v>0</v>
      </c>
      <c r="AC612" s="101">
        <f>IF(B612=$B$3009,$AC$522,0)</f>
        <v>0</v>
      </c>
      <c r="AD612" s="101">
        <f>IF(B612=$B$3010,$AD$522,0)</f>
        <v>0</v>
      </c>
      <c r="AE612" s="101">
        <f>IF(B612=$B$3011,$AE$522,0)</f>
        <v>0</v>
      </c>
      <c r="AF612" s="208">
        <f>SUM(AB612:AE612)</f>
        <v>0</v>
      </c>
      <c r="AG612" s="101">
        <f>IF(C612=$B$3014,$E$3014,0)</f>
        <v>0</v>
      </c>
      <c r="AH612" s="101">
        <f>IF(C612=$B$3015,$E$3015,0)</f>
        <v>0</v>
      </c>
      <c r="AI612" s="101">
        <f>IF(C612=$B$3016,$E$3016,0)</f>
        <v>0</v>
      </c>
      <c r="AJ612" s="101">
        <f>IF(C612=$B$3017,$E$3017,0)</f>
        <v>0</v>
      </c>
      <c r="AK612" s="101">
        <f>IF(C612=$B$3018,$E$3018,0)</f>
        <v>0</v>
      </c>
      <c r="AL612" s="101">
        <f>IF(C612=$B$3019,$E$3019,0)</f>
        <v>0</v>
      </c>
      <c r="AM612" s="209">
        <f>SUM(AG612:AL612)</f>
        <v>0</v>
      </c>
      <c r="AN612" s="101">
        <f>IF($D612=$B$3022,AN$522,0)</f>
        <v>0</v>
      </c>
      <c r="AO612" s="101">
        <f>IF($D612=$B$3023,AO$522,0)</f>
        <v>0</v>
      </c>
      <c r="AP612" s="101">
        <f>IF($D612=$B$3024,AP$522,0)</f>
        <v>0</v>
      </c>
      <c r="AQ612" s="101">
        <f>IF($D612=$B$3025,AQ$522,0)</f>
        <v>0</v>
      </c>
      <c r="AR612" s="101">
        <f>IF($D612=$B$3026,AR$522,0)</f>
        <v>0</v>
      </c>
      <c r="AS612" s="101">
        <f>IF($D612=$B$3027,AS$522,0)</f>
        <v>0</v>
      </c>
      <c r="AT612" s="101">
        <f>IF($D612=$B$3028,AT$522,0)</f>
        <v>0</v>
      </c>
      <c r="AU612" s="101">
        <f>IF($D612=$B$3029,AU$522,0)</f>
        <v>0</v>
      </c>
      <c r="AV612" s="210">
        <f>SUM(AN612:AU612)</f>
        <v>0</v>
      </c>
      <c r="AX612" s="200">
        <f>AF612*AM612</f>
        <v>0</v>
      </c>
      <c r="AZ612" s="146">
        <f>AX612+(AV612*AM612)</f>
        <v>0</v>
      </c>
      <c r="BB612" s="201">
        <f>(AF612*AM612)*0.01</f>
        <v>0</v>
      </c>
      <c r="BD612" s="202">
        <f>AZ612*0.01</f>
        <v>0</v>
      </c>
      <c r="BE612" s="377"/>
      <c r="BG612" s="201">
        <f>IF(AF612&gt;0,BG606+BB612,BG606)</f>
        <v>0.59699999999999998</v>
      </c>
      <c r="BH612" s="202">
        <f>IF(AV612&gt;0,BH606+BD612,BH606)</f>
        <v>0.38949999999999996</v>
      </c>
      <c r="BI612" s="201">
        <f>IF(BG612&gt;0.99,0.99,BG612)</f>
        <v>0.59699999999999998</v>
      </c>
      <c r="BJ612" s="202">
        <f>IF(BH612&gt;0.99,0.99,BH612)</f>
        <v>0.38949999999999996</v>
      </c>
    </row>
    <row r="613" spans="1:62" ht="16" thickTop="1" x14ac:dyDescent="0.3">
      <c r="A613" s="184">
        <f>A608+1</f>
        <v>31</v>
      </c>
      <c r="B613" s="184" t="s">
        <v>339</v>
      </c>
      <c r="C613" s="184"/>
      <c r="D613" s="185" t="str">
        <f>IF(B615="","If claimed, explain in white box below.","")</f>
        <v>If claimed, explain in white box below.</v>
      </c>
      <c r="E613" s="187"/>
      <c r="F613" s="1"/>
      <c r="AB613" s="48">
        <f>A613</f>
        <v>31</v>
      </c>
      <c r="AC613" s="48" t="s">
        <v>4018</v>
      </c>
      <c r="AK613" s="620">
        <f>IF(AL613=0,0,1)</f>
        <v>0</v>
      </c>
      <c r="AL613" s="48">
        <f>IF(B617=B$3008,E$3008,IF(B617=B$3009,E$3009,IF(B617=B$3010,E$3010,IF(B617=B$3011,E$3011,0))))</f>
        <v>0</v>
      </c>
      <c r="AM613" s="233" t="str">
        <f>IF(AL613=$E$3011,AC613,"")</f>
        <v/>
      </c>
    </row>
    <row r="614" spans="1:62" ht="28" customHeight="1" x14ac:dyDescent="0.3">
      <c r="A614" s="186"/>
      <c r="B614" s="1031" t="s">
        <v>3644</v>
      </c>
      <c r="C614" s="1032"/>
      <c r="D614" s="1033"/>
      <c r="E614" s="187"/>
      <c r="F614" s="1"/>
    </row>
    <row r="615" spans="1:62" ht="150" customHeight="1" thickBot="1" x14ac:dyDescent="0.35">
      <c r="A615" s="186"/>
      <c r="B615" s="1026"/>
      <c r="C615" s="1027"/>
      <c r="D615" s="1028"/>
      <c r="E615" s="187"/>
      <c r="F615" s="1"/>
      <c r="AA615" s="48">
        <f>AA610+1</f>
        <v>17</v>
      </c>
      <c r="AB615" s="849">
        <f>IF(B617="",0,1)</f>
        <v>1</v>
      </c>
      <c r="AC615" s="853">
        <f>IF(B617=B$3008,D$3008,IF(B617=B$3009,D$3009,IF(B617=B$3010,D$3010,IF(B617=B$3011,D$3011,0))))</f>
        <v>0</v>
      </c>
      <c r="AE615" s="850">
        <f>IF(D617=B$3022,E$3022,IF(D617=B$3023,E$3023,IF(D617=B$3024,E$3024,IF(D617=B$3025,E$3025,IF(D617=B$3026,E$3026,IF(D617=B$3027,E$3027,IF(D617=B$3028,E$3028,IF(D617=B$3029,E$3029,D30502))))))))</f>
        <v>0</v>
      </c>
    </row>
    <row r="616" spans="1:62" ht="15" thickTop="1" thickBot="1" x14ac:dyDescent="0.35">
      <c r="A616" s="186"/>
      <c r="B616" s="188" t="str">
        <f>IF(B615="","","Claimed?")</f>
        <v/>
      </c>
      <c r="C616" s="188" t="str">
        <f>IF(B616="","","Verifiable?")</f>
        <v/>
      </c>
      <c r="D616" s="189" t="str">
        <f>IF(C617="","","Independent verification")</f>
        <v/>
      </c>
      <c r="E616" s="1029">
        <f>BI617</f>
        <v>0.59699999999999998</v>
      </c>
      <c r="F616" s="1030"/>
      <c r="AA616" s="52"/>
      <c r="AB616" s="52" t="s">
        <v>278</v>
      </c>
      <c r="AF616" s="204"/>
      <c r="AG616" s="52" t="s">
        <v>279</v>
      </c>
      <c r="AM616" s="205"/>
      <c r="AN616" s="52" t="s">
        <v>280</v>
      </c>
      <c r="AV616" s="206"/>
      <c r="AX616" s="191" t="s">
        <v>281</v>
      </c>
      <c r="AZ616" s="192" t="s">
        <v>282</v>
      </c>
      <c r="BB616" s="193" t="s">
        <v>283</v>
      </c>
      <c r="BD616" s="192" t="s">
        <v>284</v>
      </c>
      <c r="BG616" s="194" t="s">
        <v>290</v>
      </c>
      <c r="BH616" s="195" t="s">
        <v>291</v>
      </c>
      <c r="BI616" s="194" t="s">
        <v>285</v>
      </c>
      <c r="BJ616" s="195" t="s">
        <v>286</v>
      </c>
    </row>
    <row r="617" spans="1:62" ht="15" thickTop="1" thickBot="1" x14ac:dyDescent="0.35">
      <c r="A617" s="186"/>
      <c r="B617" s="196" t="s">
        <v>287</v>
      </c>
      <c r="C617" s="197"/>
      <c r="D617" s="207"/>
      <c r="E617" s="1029">
        <f>BJ617</f>
        <v>0.38949999999999996</v>
      </c>
      <c r="F617" s="1030"/>
      <c r="AA617" s="101"/>
      <c r="AB617" s="101">
        <f>IF(B617=$B$3008,$AB$522,0)</f>
        <v>0</v>
      </c>
      <c r="AC617" s="101">
        <f>IF(B617=$B$3009,$AC$522,0)</f>
        <v>0</v>
      </c>
      <c r="AD617" s="101">
        <f>IF(B617=$B$3010,$AD$522,0)</f>
        <v>0</v>
      </c>
      <c r="AE617" s="101">
        <f>IF(B617=$B$3011,$AE$522,0)</f>
        <v>0</v>
      </c>
      <c r="AF617" s="208">
        <f>SUM(AB617:AE617)</f>
        <v>0</v>
      </c>
      <c r="AG617" s="101">
        <f>IF(C617=$B$3014,$E$3014,0)</f>
        <v>0</v>
      </c>
      <c r="AH617" s="101">
        <f>IF(C617=$B$3015,$E$3015,0)</f>
        <v>0</v>
      </c>
      <c r="AI617" s="101">
        <f>IF(C617=$B$3016,$E$3016,0)</f>
        <v>0</v>
      </c>
      <c r="AJ617" s="101">
        <f>IF(C617=$B$3017,$E$3017,0)</f>
        <v>0</v>
      </c>
      <c r="AK617" s="101">
        <f>IF(C617=$B$3018,$E$3018,0)</f>
        <v>0</v>
      </c>
      <c r="AL617" s="101">
        <f>IF(C617=$B$3019,$E$3019,0)</f>
        <v>0</v>
      </c>
      <c r="AM617" s="209">
        <f>SUM(AG617:AL617)</f>
        <v>0</v>
      </c>
      <c r="AN617" s="101">
        <f>IF($D617=$B$3022,AN$522,0)</f>
        <v>0</v>
      </c>
      <c r="AO617" s="101">
        <f>IF($D617=$B$3023,AO$522,0)</f>
        <v>0</v>
      </c>
      <c r="AP617" s="101">
        <f>IF($D617=$B$3024,AP$522,0)</f>
        <v>0</v>
      </c>
      <c r="AQ617" s="101">
        <f>IF($D617=$B$3025,AQ$522,0)</f>
        <v>0</v>
      </c>
      <c r="AR617" s="101">
        <f>IF($D617=$B$3026,AR$522,0)</f>
        <v>0</v>
      </c>
      <c r="AS617" s="101">
        <f>IF($D617=$B$3027,AS$522,0)</f>
        <v>0</v>
      </c>
      <c r="AT617" s="101">
        <f>IF($D617=$B$3028,AT$522,0)</f>
        <v>0</v>
      </c>
      <c r="AU617" s="101">
        <f>IF($D617=$B$3029,AU$522,0)</f>
        <v>0</v>
      </c>
      <c r="AV617" s="210">
        <f>SUM(AN617:AU617)</f>
        <v>0</v>
      </c>
      <c r="AX617" s="200">
        <f>AF617*AM617</f>
        <v>0</v>
      </c>
      <c r="AZ617" s="146">
        <f>AX617+(AV617*AM617)</f>
        <v>0</v>
      </c>
      <c r="BB617" s="201">
        <f>(AF617*AM617)*0.01</f>
        <v>0</v>
      </c>
      <c r="BD617" s="202">
        <f>AZ617*0.01</f>
        <v>0</v>
      </c>
      <c r="BE617" s="377"/>
      <c r="BG617" s="201">
        <f>IF(AF617&gt;0,BG612+BB617,BG612)</f>
        <v>0.59699999999999998</v>
      </c>
      <c r="BH617" s="202">
        <f>IF(AV617&gt;0,BH612+BD617,BH612)</f>
        <v>0.38949999999999996</v>
      </c>
      <c r="BI617" s="201">
        <f>IF(BG617&gt;0.99,0.99,BG617)</f>
        <v>0.59699999999999998</v>
      </c>
      <c r="BJ617" s="202">
        <f>IF(BH617&gt;0.99,0.99,BH617)</f>
        <v>0.38949999999999996</v>
      </c>
    </row>
    <row r="618" spans="1:62" ht="16" thickTop="1" x14ac:dyDescent="0.3">
      <c r="A618" s="184">
        <f>A613+1</f>
        <v>32</v>
      </c>
      <c r="B618" s="184" t="s">
        <v>340</v>
      </c>
      <c r="C618" s="184"/>
      <c r="D618" s="215" t="str">
        <f>IF(B620="","If claimed, explain in white box below.","")</f>
        <v/>
      </c>
      <c r="E618" s="187"/>
      <c r="F618" s="1"/>
      <c r="AB618" s="48">
        <f>A618</f>
        <v>32</v>
      </c>
      <c r="AC618" s="48" t="s">
        <v>4017</v>
      </c>
      <c r="AK618" s="620">
        <f>IF(AL618=0,0,1)</f>
        <v>1</v>
      </c>
      <c r="AL618" s="48">
        <f>IF(B622=B$3008,E$3008,IF(B622=B$3009,E$3009,IF(B622=B$3010,E$3010,IF(B622=B$3011,E$3011,0))))</f>
        <v>4</v>
      </c>
      <c r="AM618" s="233" t="str">
        <f>IF(AL618=$E$3011,AC618,"")</f>
        <v>conviction based upon outmoded law or beliefs</v>
      </c>
    </row>
    <row r="619" spans="1:62" ht="27" customHeight="1" x14ac:dyDescent="0.3">
      <c r="A619" s="186"/>
      <c r="B619" s="1031" t="s">
        <v>3646</v>
      </c>
      <c r="C619" s="1032"/>
      <c r="D619" s="1033"/>
      <c r="E619" s="187"/>
      <c r="F619" s="1"/>
    </row>
    <row r="620" spans="1:62" ht="137" customHeight="1" thickBot="1" x14ac:dyDescent="0.35">
      <c r="A620" s="186"/>
      <c r="B620" s="1026" t="s">
        <v>341</v>
      </c>
      <c r="C620" s="1027"/>
      <c r="D620" s="1028"/>
      <c r="E620" s="187"/>
      <c r="F620" s="1"/>
      <c r="AA620" s="48">
        <f>AA615+1</f>
        <v>18</v>
      </c>
      <c r="AB620" s="849">
        <f>IF(B622="",0,1)</f>
        <v>1</v>
      </c>
      <c r="AC620" s="853">
        <f>IF(B622=B$3008,D$3008,IF(B622=B$3009,D$3009,IF(B622=B$3010,D$3010,IF(B622=B$3011,D$3011,0))))</f>
        <v>1</v>
      </c>
      <c r="AE620" s="850">
        <f>IF(D622=B$3022,E$3022,IF(D622=B$3023,E$3023,IF(D622=B$3024,E$3024,IF(D622=B$3025,E$3025,IF(D622=B$3026,E$3026,IF(D622=B$3027,E$3027,IF(D622=B$3028,E$3028,IF(D622=B$3029,E$3029,D30507))))))))</f>
        <v>0</v>
      </c>
    </row>
    <row r="621" spans="1:62" ht="15" thickTop="1" thickBot="1" x14ac:dyDescent="0.35">
      <c r="A621" s="186"/>
      <c r="B621" s="188" t="str">
        <f>IF(B620="","","Claimed?")</f>
        <v>Claimed?</v>
      </c>
      <c r="C621" s="188" t="str">
        <f>IF(B621="","","Verifiable?")</f>
        <v>Verifiable?</v>
      </c>
      <c r="D621" s="189" t="str">
        <f>IF(C622="","","Independent verification")</f>
        <v>Independent verification</v>
      </c>
      <c r="E621" s="1029">
        <f>BI622</f>
        <v>0.61449999999999994</v>
      </c>
      <c r="F621" s="1030"/>
      <c r="AA621" s="52"/>
      <c r="AB621" s="52" t="s">
        <v>278</v>
      </c>
      <c r="AF621" s="204"/>
      <c r="AG621" s="52" t="s">
        <v>279</v>
      </c>
      <c r="AM621" s="205"/>
      <c r="AN621" s="52" t="s">
        <v>280</v>
      </c>
      <c r="AV621" s="206"/>
      <c r="AX621" s="191" t="s">
        <v>281</v>
      </c>
      <c r="AZ621" s="192" t="s">
        <v>282</v>
      </c>
      <c r="BB621" s="193" t="s">
        <v>283</v>
      </c>
      <c r="BD621" s="192" t="s">
        <v>284</v>
      </c>
      <c r="BG621" s="194" t="s">
        <v>290</v>
      </c>
      <c r="BH621" s="195" t="s">
        <v>291</v>
      </c>
      <c r="BI621" s="194" t="s">
        <v>285</v>
      </c>
      <c r="BJ621" s="195" t="s">
        <v>286</v>
      </c>
    </row>
    <row r="622" spans="1:62" ht="15" thickTop="1" thickBot="1" x14ac:dyDescent="0.35">
      <c r="A622" s="186"/>
      <c r="B622" s="196" t="s">
        <v>295</v>
      </c>
      <c r="C622" s="197" t="s">
        <v>322</v>
      </c>
      <c r="D622" s="207"/>
      <c r="E622" s="1029">
        <f>BJ622</f>
        <v>0.38949999999999996</v>
      </c>
      <c r="F622" s="1030"/>
      <c r="AA622" s="101"/>
      <c r="AB622" s="101">
        <f>IF(B622=$B$3008,$AB$522,0)</f>
        <v>0</v>
      </c>
      <c r="AC622" s="101">
        <f>IF(B622=$B$3009,$AC$522,0)</f>
        <v>0</v>
      </c>
      <c r="AD622" s="101">
        <f>IF(B622=$B$3010,$AD$522,0)</f>
        <v>0</v>
      </c>
      <c r="AE622" s="101">
        <f>IF(B622=$B$3011,$AE$522,0)</f>
        <v>5</v>
      </c>
      <c r="AF622" s="208">
        <f>SUM(AB622:AE622)</f>
        <v>5</v>
      </c>
      <c r="AG622" s="101">
        <f>IF(C622=$B$3014,$E$3014,0)</f>
        <v>0</v>
      </c>
      <c r="AH622" s="101">
        <f>IF(C622=$B$3015,$E$3015,0)</f>
        <v>0</v>
      </c>
      <c r="AI622" s="101">
        <f>IF(C622=$B$3016,$E$3016,0)</f>
        <v>0.35000000000000003</v>
      </c>
      <c r="AJ622" s="101">
        <f>IF(C622=$B$3017,$E$3017,0)</f>
        <v>0</v>
      </c>
      <c r="AK622" s="101">
        <f>IF(C622=$B$3018,$E$3018,0)</f>
        <v>0</v>
      </c>
      <c r="AL622" s="101">
        <f>IF(C622=$B$3019,$E$3019,0)</f>
        <v>0</v>
      </c>
      <c r="AM622" s="209">
        <f>SUM(AG622:AL622)</f>
        <v>0.35000000000000003</v>
      </c>
      <c r="AN622" s="101">
        <f>IF($D622=$B$3022,AN$522,0)</f>
        <v>0</v>
      </c>
      <c r="AO622" s="101">
        <f>IF($D622=$B$3023,AO$522,0)</f>
        <v>0</v>
      </c>
      <c r="AP622" s="101">
        <f>IF($D622=$B$3024,AP$522,0)</f>
        <v>0</v>
      </c>
      <c r="AQ622" s="101">
        <f>IF($D622=$B$3025,AQ$522,0)</f>
        <v>0</v>
      </c>
      <c r="AR622" s="101">
        <f>IF($D622=$B$3026,AR$522,0)</f>
        <v>0</v>
      </c>
      <c r="AS622" s="101">
        <f>IF($D622=$B$3027,AS$522,0)</f>
        <v>0</v>
      </c>
      <c r="AT622" s="101">
        <f>IF($D622=$B$3028,AT$522,0)</f>
        <v>0</v>
      </c>
      <c r="AU622" s="101">
        <f>IF($D622=$B$3029,AU$522,0)</f>
        <v>0</v>
      </c>
      <c r="AV622" s="210">
        <f>SUM(AN622:AU622)</f>
        <v>0</v>
      </c>
      <c r="AX622" s="200">
        <f>AF622*AM622</f>
        <v>1.7500000000000002</v>
      </c>
      <c r="AZ622" s="146">
        <f>AX622+(AV622*AM622)</f>
        <v>1.7500000000000002</v>
      </c>
      <c r="BB622" s="201">
        <f>(AF622*AM622)*0.01</f>
        <v>1.7500000000000002E-2</v>
      </c>
      <c r="BD622" s="202">
        <f>AZ622*0.01</f>
        <v>1.7500000000000002E-2</v>
      </c>
      <c r="BE622" s="377"/>
      <c r="BG622" s="201">
        <f>IF(AF622&gt;0,BG617+BB622,BG617)</f>
        <v>0.61449999999999994</v>
      </c>
      <c r="BH622" s="202">
        <f>IF(AV622&gt;0,BH617+BD622,BH617)</f>
        <v>0.38949999999999996</v>
      </c>
      <c r="BI622" s="201">
        <f>IF(BG622&gt;0.99,0.99,BG622)</f>
        <v>0.61449999999999994</v>
      </c>
      <c r="BJ622" s="202">
        <f>IF(BH622&gt;0.99,0.99,BH622)</f>
        <v>0.38949999999999996</v>
      </c>
    </row>
    <row r="623" spans="1:62" ht="14.5" thickTop="1" x14ac:dyDescent="0.3">
      <c r="A623" s="186"/>
      <c r="B623" s="187"/>
      <c r="C623" s="187"/>
      <c r="D623" s="187"/>
      <c r="E623" s="187"/>
      <c r="F623" s="1"/>
      <c r="AK623" s="620">
        <f>IF(AL623=0,0,1)</f>
        <v>0</v>
      </c>
      <c r="AL623" s="48">
        <f>IF(B627=B$3008,E$3008,IF(B627=B$3009,E$3009,IF(B627=B$3010,E$3010,IF(B627=B$3011,E$3011,0))))</f>
        <v>0</v>
      </c>
      <c r="AM623" s="233" t="str">
        <f>IF(AL623=$E$3011,AC623,"")</f>
        <v/>
      </c>
    </row>
    <row r="624" spans="1:62" ht="30" customHeight="1" x14ac:dyDescent="0.3">
      <c r="A624" s="1199" t="s">
        <v>72</v>
      </c>
      <c r="B624" s="40" t="s">
        <v>342</v>
      </c>
      <c r="C624" s="40"/>
      <c r="D624" s="40"/>
      <c r="E624" s="436"/>
      <c r="F624" s="436" t="s">
        <v>869</v>
      </c>
      <c r="AB624" s="618" t="str">
        <f>IF(AND(B630&lt;&gt;$B$3011,B635&lt;&gt;$B$3011,B640&lt;&gt;$B$3011,B646&lt;&gt;$B$3011,B651&lt;&gt;$B$3011,B656&lt;&gt;$B$3011),"No significant investigative factors. ",CONCATENATE(AJ624,AM624,AN624,AO624,AP624,AQ624,AR624,AS624,AT624,AU624,AV624,AW624,AX624,AY624,AZ624,BA624))</f>
        <v xml:space="preserve">The significant complicating factors include , moral panic, trial by media, and possibly others less significantly. </v>
      </c>
      <c r="AJ624" s="48" t="s">
        <v>4032</v>
      </c>
      <c r="AM624" s="48" t="str">
        <f>IF(AM626="","",AM626)</f>
        <v/>
      </c>
      <c r="AN624" s="48" t="str">
        <f>IF(AO624="","",", ")</f>
        <v/>
      </c>
      <c r="AO624" s="48" t="str">
        <f>AM631</f>
        <v/>
      </c>
      <c r="AP624" s="48" t="str">
        <f>IF(AQ624="","",", ")</f>
        <v xml:space="preserve">, </v>
      </c>
      <c r="AQ624" s="48" t="str">
        <f>AM636</f>
        <v>moral panic</v>
      </c>
      <c r="AR624" s="48" t="str">
        <f>IF(AS624="","",", ")</f>
        <v/>
      </c>
      <c r="AS624" s="48" t="str">
        <f>AM642</f>
        <v/>
      </c>
      <c r="AT624" s="48" t="str">
        <f>IF(AU624="","",", ")</f>
        <v/>
      </c>
      <c r="AU624" s="48" t="str">
        <f>AM647</f>
        <v/>
      </c>
      <c r="AW624" s="48" t="str">
        <f>IF(AX624="","",", ")</f>
        <v xml:space="preserve">, </v>
      </c>
      <c r="AX624" s="48" t="str">
        <f>AM652</f>
        <v>trial by media</v>
      </c>
      <c r="AY624" s="48" t="str">
        <f>IF(AZ624="","",", ")</f>
        <v/>
      </c>
      <c r="AZ624" s="48" t="str">
        <f>AM657</f>
        <v/>
      </c>
      <c r="BA624" s="48" t="s">
        <v>4031</v>
      </c>
    </row>
    <row r="625" spans="1:62" ht="20" customHeight="1" x14ac:dyDescent="0.3">
      <c r="A625" s="97" t="s">
        <v>343</v>
      </c>
      <c r="B625" s="98"/>
      <c r="C625" s="98"/>
      <c r="D625" s="98"/>
      <c r="E625" s="99"/>
      <c r="F625" s="97"/>
      <c r="AA625" s="175"/>
      <c r="AB625" s="175">
        <v>0</v>
      </c>
      <c r="AC625" s="176">
        <f>AD625/2</f>
        <v>0.5</v>
      </c>
      <c r="AD625" s="177">
        <f>AE625/2</f>
        <v>1</v>
      </c>
      <c r="AE625" s="178">
        <v>2</v>
      </c>
      <c r="AF625" s="109"/>
      <c r="AG625" s="109"/>
      <c r="AH625" s="109"/>
      <c r="AI625" s="109"/>
      <c r="AJ625" s="109"/>
      <c r="AK625" s="109"/>
      <c r="AL625" s="109"/>
      <c r="AM625" s="109"/>
      <c r="AN625" s="179">
        <f>AE625*-2</f>
        <v>-4</v>
      </c>
      <c r="AO625" s="175">
        <f>AE625*-1</f>
        <v>-2</v>
      </c>
      <c r="AP625" s="175">
        <f>AD625*-1</f>
        <v>-1</v>
      </c>
      <c r="AQ625" s="180">
        <f>AE625*-0.1</f>
        <v>-0.2</v>
      </c>
      <c r="AR625" s="180">
        <v>0</v>
      </c>
      <c r="AS625" s="180">
        <f>AE625*0.1</f>
        <v>0.2</v>
      </c>
      <c r="AT625" s="177">
        <f>AD625</f>
        <v>1</v>
      </c>
      <c r="AU625" s="178">
        <f>AE625</f>
        <v>2</v>
      </c>
      <c r="AV625" s="181"/>
      <c r="AW625" s="109"/>
      <c r="AX625" s="109"/>
      <c r="AY625" s="109"/>
      <c r="AZ625" s="109"/>
      <c r="BA625" s="109"/>
      <c r="BB625" s="182"/>
      <c r="BC625" s="109"/>
      <c r="BD625" s="109"/>
      <c r="BE625" s="109"/>
      <c r="BF625" s="109"/>
      <c r="BG625" s="213">
        <f>BG591</f>
        <v>0.38949999999999996</v>
      </c>
    </row>
    <row r="626" spans="1:62" ht="15.5" x14ac:dyDescent="0.3">
      <c r="A626" s="184">
        <f>A618+1</f>
        <v>33</v>
      </c>
      <c r="B626" s="184" t="s">
        <v>344</v>
      </c>
      <c r="C626" s="184"/>
      <c r="D626" s="185" t="str">
        <f>IF(B628="","If claimed, explain in white box below.","")</f>
        <v/>
      </c>
      <c r="E626" s="187"/>
      <c r="F626" s="1"/>
      <c r="AB626" s="48">
        <f>A626</f>
        <v>33</v>
      </c>
      <c r="AC626" s="48" t="s">
        <v>4016</v>
      </c>
      <c r="AK626" s="620">
        <f>IF(AL626=0,0,1)</f>
        <v>1</v>
      </c>
      <c r="AL626" s="48">
        <f>IF(B630=B$3008,E$3008,IF(B630=B$3009,E$3009,IF(B630=B$3010,E$3010,IF(B630=B$3011,E$3011,0))))</f>
        <v>1</v>
      </c>
      <c r="AM626" s="233" t="str">
        <f>IF(AL626=$E$3011,AC626,"")</f>
        <v/>
      </c>
    </row>
    <row r="627" spans="1:62" ht="28" customHeight="1" x14ac:dyDescent="0.3">
      <c r="A627" s="186"/>
      <c r="B627" s="1031" t="s">
        <v>345</v>
      </c>
      <c r="C627" s="1032"/>
      <c r="D627" s="1033"/>
      <c r="E627" s="187"/>
      <c r="F627" s="1"/>
    </row>
    <row r="628" spans="1:62" ht="137" customHeight="1" thickBot="1" x14ac:dyDescent="0.35">
      <c r="A628" s="186"/>
      <c r="B628" s="1026" t="s">
        <v>346</v>
      </c>
      <c r="C628" s="1027"/>
      <c r="D628" s="1028"/>
      <c r="E628" s="187"/>
      <c r="F628" s="1"/>
      <c r="AA628" s="48">
        <f>AA620+1</f>
        <v>19</v>
      </c>
      <c r="AB628" s="849">
        <f>IF(B630="",0,1)</f>
        <v>1</v>
      </c>
      <c r="AC628" s="853">
        <f>IF(B630=B$3008,D$3008,IF(B630=B$3009,D$3009,IF(B630=B$3010,D$3010,IF(B630=B$3011,D$3011,0))))</f>
        <v>0.25</v>
      </c>
      <c r="AE628" s="850">
        <f>IF(D630=B$3022,E$3022,IF(D630=B$3023,E$3023,IF(D630=B$3024,E$3024,IF(D630=B$3025,E$3025,IF(D630=B$3026,E$3026,IF(D630=B$3027,E$3027,IF(D630=B$3028,E$3028,IF(D630=B$3029,E$3029,D30515))))))))</f>
        <v>0</v>
      </c>
    </row>
    <row r="629" spans="1:62" ht="15" thickTop="1" thickBot="1" x14ac:dyDescent="0.35">
      <c r="A629" s="186"/>
      <c r="B629" s="188" t="str">
        <f>IF(B628="","","Claimed?")</f>
        <v>Claimed?</v>
      </c>
      <c r="C629" s="188" t="str">
        <f>IF(B629="","","Verifiable?")</f>
        <v>Verifiable?</v>
      </c>
      <c r="D629" s="189" t="str">
        <f>IF(C630="","","Independent verification")</f>
        <v>Independent verification</v>
      </c>
      <c r="E629" s="1029">
        <f>BI630</f>
        <v>0.61762499999999998</v>
      </c>
      <c r="F629" s="1030"/>
      <c r="AA629" s="52"/>
      <c r="AB629" s="52" t="s">
        <v>278</v>
      </c>
      <c r="AF629" s="204"/>
      <c r="AG629" s="52" t="s">
        <v>279</v>
      </c>
      <c r="AM629" s="205"/>
      <c r="AN629" s="52" t="s">
        <v>280</v>
      </c>
      <c r="AV629" s="206"/>
      <c r="AX629" s="191" t="s">
        <v>281</v>
      </c>
      <c r="AZ629" s="192" t="s">
        <v>282</v>
      </c>
      <c r="BB629" s="193" t="s">
        <v>283</v>
      </c>
      <c r="BD629" s="192" t="s">
        <v>284</v>
      </c>
      <c r="BG629" s="194" t="s">
        <v>290</v>
      </c>
      <c r="BH629" s="195" t="s">
        <v>291</v>
      </c>
      <c r="BI629" s="194" t="s">
        <v>285</v>
      </c>
      <c r="BJ629" s="195" t="s">
        <v>286</v>
      </c>
    </row>
    <row r="630" spans="1:62" ht="15" thickTop="1" thickBot="1" x14ac:dyDescent="0.35">
      <c r="A630" s="186"/>
      <c r="B630" s="196" t="s">
        <v>304</v>
      </c>
      <c r="C630" s="197" t="s">
        <v>347</v>
      </c>
      <c r="D630" s="207"/>
      <c r="E630" s="1029">
        <f>BJ630</f>
        <v>0.38949999999999996</v>
      </c>
      <c r="F630" s="1030"/>
      <c r="AA630" s="101"/>
      <c r="AB630" s="101">
        <f>IF(B630=$B$3008,$AB$522,0)</f>
        <v>0</v>
      </c>
      <c r="AC630" s="101">
        <f>IF(B630=$B$3009,$AC$522,0)</f>
        <v>1.25</v>
      </c>
      <c r="AD630" s="101">
        <f>IF(B630=$B$3010,$AD$522,0)</f>
        <v>0</v>
      </c>
      <c r="AE630" s="101">
        <f>IF(B630=$B$3011,$AE$522,0)</f>
        <v>0</v>
      </c>
      <c r="AF630" s="208">
        <f>SUM(AB630:AE630)</f>
        <v>1.25</v>
      </c>
      <c r="AG630" s="101">
        <f>IF(C630=$B$3014,$E$3014,0)</f>
        <v>0.25000000000000006</v>
      </c>
      <c r="AH630" s="101">
        <f>IF(C630=$B$3015,$E$3015,0)</f>
        <v>0</v>
      </c>
      <c r="AI630" s="101">
        <f>IF(C630=$B$3016,$E$3016,0)</f>
        <v>0</v>
      </c>
      <c r="AJ630" s="101">
        <f>IF(C630=$B$3017,$E$3017,0)</f>
        <v>0</v>
      </c>
      <c r="AK630" s="101">
        <f>IF(C630=$B$3018,$E$3018,0)</f>
        <v>0</v>
      </c>
      <c r="AL630" s="101">
        <f>IF(C630=$B$3019,$E$3019,0)</f>
        <v>0</v>
      </c>
      <c r="AM630" s="209">
        <f>SUM(AG630:AL630)</f>
        <v>0.25000000000000006</v>
      </c>
      <c r="AN630" s="101">
        <f>IF($D630=$B$3022,AN$522,0)</f>
        <v>0</v>
      </c>
      <c r="AO630" s="101">
        <f>IF($D630=$B$3023,AO$522,0)</f>
        <v>0</v>
      </c>
      <c r="AP630" s="101">
        <f>IF($D630=$B$3024,AP$522,0)</f>
        <v>0</v>
      </c>
      <c r="AQ630" s="101">
        <f>IF($D630=$B$3025,AQ$522,0)</f>
        <v>0</v>
      </c>
      <c r="AR630" s="101">
        <f>IF($D630=$B$3026,AR$522,0)</f>
        <v>0</v>
      </c>
      <c r="AS630" s="101">
        <f>IF($D630=$B$3027,AS$522,0)</f>
        <v>0</v>
      </c>
      <c r="AT630" s="101">
        <f>IF($D630=$B$3028,AT$522,0)</f>
        <v>0</v>
      </c>
      <c r="AU630" s="101">
        <f>IF($D630=$B$3029,AU$522,0)</f>
        <v>0</v>
      </c>
      <c r="AV630" s="210">
        <f>SUM(AN630:AU630)</f>
        <v>0</v>
      </c>
      <c r="AX630" s="200">
        <f>AF630*AM630</f>
        <v>0.31250000000000006</v>
      </c>
      <c r="AZ630" s="146">
        <f>AX630+(AV630*AM630)</f>
        <v>0.31250000000000006</v>
      </c>
      <c r="BB630" s="201">
        <f>(AF630*AM630)*0.01</f>
        <v>3.1250000000000006E-3</v>
      </c>
      <c r="BD630" s="202">
        <f>AZ630*0.01</f>
        <v>3.1250000000000006E-3</v>
      </c>
      <c r="BE630" s="377"/>
      <c r="BG630" s="201">
        <f>IF(AF630&gt;0,BG622+BB630,BG622)</f>
        <v>0.61762499999999998</v>
      </c>
      <c r="BH630" s="202">
        <f>IF(AV630&gt;0,BH622+BD630,BH622)</f>
        <v>0.38949999999999996</v>
      </c>
      <c r="BI630" s="201">
        <f>IF(BG630&gt;0.99,0.99,BG630)</f>
        <v>0.61762499999999998</v>
      </c>
      <c r="BJ630" s="202">
        <f>IF(BH630&gt;0.99,0.99,BH630)</f>
        <v>0.38949999999999996</v>
      </c>
    </row>
    <row r="631" spans="1:62" ht="16" thickTop="1" x14ac:dyDescent="0.3">
      <c r="A631" s="184">
        <f>A626+1</f>
        <v>34</v>
      </c>
      <c r="B631" s="184" t="s">
        <v>348</v>
      </c>
      <c r="C631" s="184"/>
      <c r="D631" s="185" t="str">
        <f>IF(B633="","If claimed, explain in white box below.","")</f>
        <v/>
      </c>
      <c r="E631" s="187"/>
      <c r="F631" s="1"/>
      <c r="AB631" s="48">
        <f>A631</f>
        <v>34</v>
      </c>
      <c r="AK631" s="620">
        <f>IF(AL631=0,0,1)</f>
        <v>1</v>
      </c>
      <c r="AL631" s="48">
        <f>IF(B635=B$3008,E$3008,IF(B635=B$3009,E$3009,IF(B635=B$3010,E$3010,IF(B635=B$3011,E$3011,0))))</f>
        <v>2</v>
      </c>
      <c r="AM631" s="233" t="str">
        <f>IF(AL631=$E$3011,AC631,"")</f>
        <v/>
      </c>
    </row>
    <row r="632" spans="1:62" ht="28" customHeight="1" x14ac:dyDescent="0.3">
      <c r="A632" s="186"/>
      <c r="B632" s="1031" t="s">
        <v>349</v>
      </c>
      <c r="C632" s="1032"/>
      <c r="D632" s="1033"/>
      <c r="E632" s="187"/>
      <c r="F632" s="1"/>
    </row>
    <row r="633" spans="1:62" ht="137" customHeight="1" thickBot="1" x14ac:dyDescent="0.35">
      <c r="A633" s="186"/>
      <c r="B633" s="1026" t="s">
        <v>350</v>
      </c>
      <c r="C633" s="1027"/>
      <c r="D633" s="1028"/>
      <c r="E633" s="187"/>
      <c r="F633" s="1"/>
      <c r="AA633" s="48">
        <f>AA628+1</f>
        <v>20</v>
      </c>
      <c r="AB633" s="849">
        <f>IF(B635="",0,1)</f>
        <v>1</v>
      </c>
      <c r="AC633" s="853">
        <f>IF(B635=B$3008,D$3008,IF(B635=B$3009,D$3009,IF(B635=B$3010,D$3010,IF(B635=B$3011,D$3011,0))))</f>
        <v>0.5</v>
      </c>
      <c r="AE633" s="850">
        <f>IF(D635=B$3022,E$3022,IF(D635=B$3023,E$3023,IF(D635=B$3024,E$3024,IF(D635=B$3025,E$3025,IF(D635=B$3026,E$3026,IF(D635=B$3027,E$3027,IF(D635=B$3028,E$3028,IF(D635=B$3029,E$3029,D30520))))))))</f>
        <v>0</v>
      </c>
    </row>
    <row r="634" spans="1:62" ht="15" thickTop="1" thickBot="1" x14ac:dyDescent="0.35">
      <c r="A634" s="186"/>
      <c r="B634" s="188" t="str">
        <f>IF(B633="","","Claimed?")</f>
        <v>Claimed?</v>
      </c>
      <c r="C634" s="188" t="str">
        <f>IF(B634="","","Verifiable?")</f>
        <v>Verifiable?</v>
      </c>
      <c r="D634" s="189" t="str">
        <f>IF(C635="","","Independent verification")</f>
        <v>Independent verification</v>
      </c>
      <c r="E634" s="1029">
        <f>BI635</f>
        <v>0.62387499999999996</v>
      </c>
      <c r="F634" s="1030"/>
      <c r="AA634" s="52"/>
      <c r="AB634" s="52" t="s">
        <v>278</v>
      </c>
      <c r="AF634" s="204"/>
      <c r="AG634" s="52" t="s">
        <v>279</v>
      </c>
      <c r="AM634" s="205"/>
      <c r="AN634" s="52" t="s">
        <v>280</v>
      </c>
      <c r="AV634" s="206"/>
      <c r="AX634" s="191" t="s">
        <v>281</v>
      </c>
      <c r="AZ634" s="192" t="s">
        <v>282</v>
      </c>
      <c r="BB634" s="193" t="s">
        <v>283</v>
      </c>
      <c r="BD634" s="192" t="s">
        <v>284</v>
      </c>
      <c r="BG634" s="194" t="s">
        <v>290</v>
      </c>
      <c r="BH634" s="195" t="s">
        <v>291</v>
      </c>
      <c r="BI634" s="194" t="s">
        <v>285</v>
      </c>
      <c r="BJ634" s="195" t="s">
        <v>286</v>
      </c>
    </row>
    <row r="635" spans="1:62" ht="15" thickTop="1" thickBot="1" x14ac:dyDescent="0.35">
      <c r="A635" s="186"/>
      <c r="B635" s="196" t="s">
        <v>335</v>
      </c>
      <c r="C635" s="197" t="s">
        <v>347</v>
      </c>
      <c r="D635" s="207"/>
      <c r="E635" s="1029">
        <f>BJ635</f>
        <v>0.38949999999999996</v>
      </c>
      <c r="F635" s="1030"/>
      <c r="AA635" s="101"/>
      <c r="AB635" s="101">
        <f>IF(B635=$B$3008,$AB$522,0)</f>
        <v>0</v>
      </c>
      <c r="AC635" s="101">
        <f>IF(B635=$B$3009,$AC$522,0)</f>
        <v>0</v>
      </c>
      <c r="AD635" s="101">
        <f>IF(B635=$B$3010,$AD$522,0)</f>
        <v>2.5</v>
      </c>
      <c r="AE635" s="101">
        <f>IF(B635=$B$3011,$AE$522,0)</f>
        <v>0</v>
      </c>
      <c r="AF635" s="208">
        <f>SUM(AB635:AE635)</f>
        <v>2.5</v>
      </c>
      <c r="AG635" s="101">
        <f>IF(C635=$B$3014,$E$3014,0)</f>
        <v>0.25000000000000006</v>
      </c>
      <c r="AH635" s="101">
        <f>IF(C635=$B$3015,$E$3015,0)</f>
        <v>0</v>
      </c>
      <c r="AI635" s="101">
        <f>IF(C635=$B$3016,$E$3016,0)</f>
        <v>0</v>
      </c>
      <c r="AJ635" s="101">
        <f>IF(C635=$B$3017,$E$3017,0)</f>
        <v>0</v>
      </c>
      <c r="AK635" s="101">
        <f>IF(C635=$B$3018,$E$3018,0)</f>
        <v>0</v>
      </c>
      <c r="AL635" s="101">
        <f>IF(C635=$B$3019,$E$3019,0)</f>
        <v>0</v>
      </c>
      <c r="AM635" s="209">
        <f>SUM(AG635:AL635)</f>
        <v>0.25000000000000006</v>
      </c>
      <c r="AN635" s="101">
        <f>IF($D635=$B$3022,AN$522,0)</f>
        <v>0</v>
      </c>
      <c r="AO635" s="101">
        <f>IF($D635=$B$3023,AO$522,0)</f>
        <v>0</v>
      </c>
      <c r="AP635" s="101">
        <f>IF($D635=$B$3024,AP$522,0)</f>
        <v>0</v>
      </c>
      <c r="AQ635" s="101">
        <f>IF($D635=$B$3025,AQ$522,0)</f>
        <v>0</v>
      </c>
      <c r="AR635" s="101">
        <f>IF($D635=$B$3026,AR$522,0)</f>
        <v>0</v>
      </c>
      <c r="AS635" s="101">
        <f>IF($D635=$B$3027,AS$522,0)</f>
        <v>0</v>
      </c>
      <c r="AT635" s="101">
        <f>IF($D635=$B$3028,AT$522,0)</f>
        <v>0</v>
      </c>
      <c r="AU635" s="101">
        <f>IF($D635=$B$3029,AU$522,0)</f>
        <v>0</v>
      </c>
      <c r="AV635" s="210">
        <f>SUM(AN635:AU635)</f>
        <v>0</v>
      </c>
      <c r="AX635" s="200">
        <f>AF635*AM635</f>
        <v>0.62500000000000011</v>
      </c>
      <c r="AZ635" s="146">
        <f>AX635+(AV635*AM635)</f>
        <v>0.62500000000000011</v>
      </c>
      <c r="BB635" s="201">
        <f>(AF635*AM635)*0.01</f>
        <v>6.2500000000000012E-3</v>
      </c>
      <c r="BD635" s="202">
        <f>AZ635*0.01</f>
        <v>6.2500000000000012E-3</v>
      </c>
      <c r="BE635" s="377"/>
      <c r="BG635" s="201">
        <f>IF(AF635&gt;0,BG630+BB635,BG630)</f>
        <v>0.62387499999999996</v>
      </c>
      <c r="BH635" s="202">
        <f>IF(AV635&gt;0,BH630+BD635,BH630)</f>
        <v>0.38949999999999996</v>
      </c>
      <c r="BI635" s="201">
        <f>IF(BG635&gt;0.99,0.99,BG635)</f>
        <v>0.62387499999999996</v>
      </c>
      <c r="BJ635" s="202">
        <f>IF(BH635&gt;0.99,0.99,BH635)</f>
        <v>0.38949999999999996</v>
      </c>
    </row>
    <row r="636" spans="1:62" ht="16" thickTop="1" x14ac:dyDescent="0.3">
      <c r="A636" s="184">
        <f>A631+1</f>
        <v>35</v>
      </c>
      <c r="B636" s="184" t="s">
        <v>351</v>
      </c>
      <c r="C636" s="184"/>
      <c r="D636" s="185" t="str">
        <f>IF(B638="","If claimed, explain in white box below.","")</f>
        <v/>
      </c>
      <c r="E636" s="187"/>
      <c r="F636" s="1"/>
      <c r="AB636" s="48">
        <f>A636</f>
        <v>35</v>
      </c>
      <c r="AC636" s="48" t="s">
        <v>4015</v>
      </c>
      <c r="AK636" s="620">
        <f>IF(AL636=0,0,1)</f>
        <v>1</v>
      </c>
      <c r="AL636" s="48">
        <f>IF(B640=B$3008,E$3008,IF(B640=B$3009,E$3009,IF(B640=B$3010,E$3010,IF(B640=B$3011,E$3011,0))))</f>
        <v>4</v>
      </c>
      <c r="AM636" s="233" t="str">
        <f>IF(AL636=$E$3011,AC636,"")</f>
        <v>moral panic</v>
      </c>
    </row>
    <row r="637" spans="1:62" x14ac:dyDescent="0.3">
      <c r="A637" s="186"/>
      <c r="B637" s="1031" t="s">
        <v>352</v>
      </c>
      <c r="C637" s="1032"/>
      <c r="D637" s="1033"/>
      <c r="E637" s="187"/>
      <c r="F637" s="1"/>
    </row>
    <row r="638" spans="1:62" ht="137" customHeight="1" thickBot="1" x14ac:dyDescent="0.35">
      <c r="A638" s="186"/>
      <c r="B638" s="1026" t="s">
        <v>353</v>
      </c>
      <c r="C638" s="1027"/>
      <c r="D638" s="1028"/>
      <c r="E638" s="187"/>
      <c r="F638" s="1"/>
      <c r="AA638" s="48">
        <f>AA633+1</f>
        <v>21</v>
      </c>
      <c r="AB638" s="849">
        <f>IF(B640="",0,1)</f>
        <v>1</v>
      </c>
      <c r="AC638" s="853">
        <f>IF(B640=B$3008,D$3008,IF(B640=B$3009,D$3009,IF(B640=B$3010,D$3010,IF(B640=B$3011,D$3011,0))))</f>
        <v>1</v>
      </c>
      <c r="AE638" s="850">
        <f>IF(D640=B$3022,E$3022,IF(D640=B$3023,E$3023,IF(D640=B$3024,E$3024,IF(D640=B$3025,E$3025,IF(D640=B$3026,E$3026,IF(D640=B$3027,E$3027,IF(D640=B$3028,E$3028,IF(D640=B$3029,E$3029,D30525))))))))</f>
        <v>0</v>
      </c>
    </row>
    <row r="639" spans="1:62" ht="15" thickTop="1" thickBot="1" x14ac:dyDescent="0.35">
      <c r="A639" s="186"/>
      <c r="B639" s="188" t="str">
        <f>IF(B638="","","Claimed?")</f>
        <v>Claimed?</v>
      </c>
      <c r="C639" s="188" t="str">
        <f>IF(B639="","","Verifiable?")</f>
        <v>Verifiable?</v>
      </c>
      <c r="D639" s="189" t="str">
        <f>IF(C640="","","Independent verification")</f>
        <v>Independent verification</v>
      </c>
      <c r="E639" s="1029">
        <f>BI640</f>
        <v>0.64637499999999992</v>
      </c>
      <c r="F639" s="1030"/>
      <c r="AA639" s="52"/>
      <c r="AB639" s="52" t="s">
        <v>278</v>
      </c>
      <c r="AF639" s="204"/>
      <c r="AG639" s="52" t="s">
        <v>279</v>
      </c>
      <c r="AM639" s="205"/>
      <c r="AN639" s="52" t="s">
        <v>280</v>
      </c>
      <c r="AV639" s="206"/>
      <c r="AX639" s="191" t="s">
        <v>281</v>
      </c>
      <c r="AZ639" s="192" t="s">
        <v>282</v>
      </c>
      <c r="BB639" s="193" t="s">
        <v>283</v>
      </c>
      <c r="BD639" s="192" t="s">
        <v>284</v>
      </c>
      <c r="BG639" s="194" t="s">
        <v>290</v>
      </c>
      <c r="BH639" s="195" t="s">
        <v>291</v>
      </c>
      <c r="BI639" s="194" t="s">
        <v>285</v>
      </c>
      <c r="BJ639" s="195" t="s">
        <v>286</v>
      </c>
    </row>
    <row r="640" spans="1:62" ht="15" thickTop="1" thickBot="1" x14ac:dyDescent="0.35">
      <c r="A640" s="186"/>
      <c r="B640" s="196" t="s">
        <v>295</v>
      </c>
      <c r="C640" s="197" t="s">
        <v>311</v>
      </c>
      <c r="D640" s="207"/>
      <c r="E640" s="1029">
        <f>BJ640</f>
        <v>0.38949999999999996</v>
      </c>
      <c r="F640" s="1030"/>
      <c r="AA640" s="101"/>
      <c r="AB640" s="101">
        <f>IF(B640=$B$3008,$AB$522,0)</f>
        <v>0</v>
      </c>
      <c r="AC640" s="101">
        <f>IF(B640=$B$3009,$AC$522,0)</f>
        <v>0</v>
      </c>
      <c r="AD640" s="101">
        <f>IF(B640=$B$3010,$AD$522,0)</f>
        <v>0</v>
      </c>
      <c r="AE640" s="101">
        <f>IF(B640=$B$3011,$AE$522,0)</f>
        <v>5</v>
      </c>
      <c r="AF640" s="208">
        <f>SUM(AB640:AE640)</f>
        <v>5</v>
      </c>
      <c r="AG640" s="101">
        <f>IF(C640=$B$3014,$E$3014,0)</f>
        <v>0</v>
      </c>
      <c r="AH640" s="101">
        <f>IF(C640=$B$3015,$E$3015,0)</f>
        <v>0</v>
      </c>
      <c r="AI640" s="101">
        <f>IF(C640=$B$3016,$E$3016,0)</f>
        <v>0</v>
      </c>
      <c r="AJ640" s="101">
        <f>IF(C640=$B$3017,$E$3017,0)</f>
        <v>0</v>
      </c>
      <c r="AK640" s="101">
        <f>IF(C640=$B$3018,$E$3018,0)</f>
        <v>0.45</v>
      </c>
      <c r="AL640" s="101">
        <f>IF(C640=$B$3019,$E$3019,0)</f>
        <v>0</v>
      </c>
      <c r="AM640" s="209">
        <f>SUM(AG640:AL640)</f>
        <v>0.45</v>
      </c>
      <c r="AN640" s="101">
        <f>IF($D640=$B$3022,AN$522,0)</f>
        <v>0</v>
      </c>
      <c r="AO640" s="101">
        <f>IF($D640=$B$3023,AO$522,0)</f>
        <v>0</v>
      </c>
      <c r="AP640" s="101">
        <f>IF($D640=$B$3024,AP$522,0)</f>
        <v>0</v>
      </c>
      <c r="AQ640" s="101">
        <f>IF($D640=$B$3025,AQ$522,0)</f>
        <v>0</v>
      </c>
      <c r="AR640" s="101">
        <f>IF($D640=$B$3026,AR$522,0)</f>
        <v>0</v>
      </c>
      <c r="AS640" s="101">
        <f>IF($D640=$B$3027,AS$522,0)</f>
        <v>0</v>
      </c>
      <c r="AT640" s="101">
        <f>IF($D640=$B$3028,AT$522,0)</f>
        <v>0</v>
      </c>
      <c r="AU640" s="101">
        <f>IF($D640=$B$3029,AU$522,0)</f>
        <v>0</v>
      </c>
      <c r="AV640" s="210">
        <f>SUM(AN640:AU640)</f>
        <v>0</v>
      </c>
      <c r="AX640" s="200">
        <f>AF640*AM640</f>
        <v>2.25</v>
      </c>
      <c r="AZ640" s="146">
        <f>AX640+(AV640*AM640)</f>
        <v>2.25</v>
      </c>
      <c r="BB640" s="201">
        <f>(AF640*AM640)*0.01</f>
        <v>2.2499999999999999E-2</v>
      </c>
      <c r="BD640" s="202">
        <f>AZ640*0.01</f>
        <v>2.2499999999999999E-2</v>
      </c>
      <c r="BE640" s="377"/>
      <c r="BG640" s="201">
        <f>IF(AF640&gt;0,BG635+BB640,BG635)</f>
        <v>0.64637499999999992</v>
      </c>
      <c r="BH640" s="202">
        <f>IF(AV640&gt;0,BH635+BD640,BH635)</f>
        <v>0.38949999999999996</v>
      </c>
      <c r="BI640" s="201">
        <f>IF(BG640&gt;0.99,0.99,BG640)</f>
        <v>0.64637499999999992</v>
      </c>
      <c r="BJ640" s="202">
        <f>IF(BH640&gt;0.99,0.99,BH640)</f>
        <v>0.38949999999999996</v>
      </c>
    </row>
    <row r="641" spans="1:62" ht="5" customHeight="1" thickTop="1" x14ac:dyDescent="0.3">
      <c r="A641" s="187"/>
      <c r="B641" s="187"/>
      <c r="C641" s="187"/>
      <c r="D641" s="187"/>
      <c r="E641" s="187"/>
      <c r="F641" s="1"/>
    </row>
    <row r="642" spans="1:62" ht="15.5" x14ac:dyDescent="0.3">
      <c r="A642" s="184">
        <f>A636+1</f>
        <v>36</v>
      </c>
      <c r="B642" s="184" t="s">
        <v>354</v>
      </c>
      <c r="C642" s="184"/>
      <c r="D642" s="185" t="str">
        <f>IF(B644="","If claimed, explain in white box below.","")</f>
        <v/>
      </c>
      <c r="E642" s="187"/>
      <c r="F642" s="1"/>
      <c r="AB642" s="48">
        <f>A642</f>
        <v>36</v>
      </c>
      <c r="AC642" s="48" t="s">
        <v>4014</v>
      </c>
      <c r="AK642" s="620">
        <f>IF(AL642=0,0,1)</f>
        <v>1</v>
      </c>
      <c r="AL642" s="48">
        <f>IF(B646=B$3008,E$3008,IF(B646=B$3009,E$3009,IF(B646=B$3010,E$3010,IF(B646=B$3011,E$3011,0))))</f>
        <v>2</v>
      </c>
      <c r="AM642" s="233" t="str">
        <f>IF(AL642=$E$3011,AC642,"")</f>
        <v/>
      </c>
    </row>
    <row r="643" spans="1:62" ht="28" customHeight="1" x14ac:dyDescent="0.3">
      <c r="A643" s="186"/>
      <c r="B643" s="1031" t="s">
        <v>3647</v>
      </c>
      <c r="C643" s="1032"/>
      <c r="D643" s="1033"/>
      <c r="E643" s="187"/>
      <c r="F643" s="1"/>
    </row>
    <row r="644" spans="1:62" ht="150" customHeight="1" thickBot="1" x14ac:dyDescent="0.35">
      <c r="A644" s="186"/>
      <c r="B644" s="1026" t="s">
        <v>355</v>
      </c>
      <c r="C644" s="1027"/>
      <c r="D644" s="1028"/>
      <c r="E644" s="187"/>
      <c r="F644" s="1"/>
      <c r="AA644" s="48">
        <f>AA638+1</f>
        <v>22</v>
      </c>
      <c r="AB644" s="849">
        <f>IF(B646="",0,1)</f>
        <v>1</v>
      </c>
      <c r="AC644" s="853">
        <f>IF(B646=B$3008,D$3008,IF(B646=B$3009,D$3009,IF(B646=B$3010,D$3010,IF(B646=B$3011,D$3011,0))))</f>
        <v>0.5</v>
      </c>
      <c r="AE644" s="850">
        <f>IF(D646=B$3022,E$3022,IF(D646=B$3023,E$3023,IF(D646=B$3024,E$3024,IF(D646=B$3025,E$3025,IF(D646=B$3026,E$3026,IF(D646=B$3027,E$3027,IF(D646=B$3028,E$3028,IF(D646=B$3029,E$3029,D30531))))))))</f>
        <v>0</v>
      </c>
    </row>
    <row r="645" spans="1:62" ht="15" thickTop="1" thickBot="1" x14ac:dyDescent="0.35">
      <c r="A645" s="186"/>
      <c r="B645" s="188" t="str">
        <f>IF(B644="","","Claimed?")</f>
        <v>Claimed?</v>
      </c>
      <c r="C645" s="188" t="str">
        <f>IF(B645="","","Verifiable?")</f>
        <v>Verifiable?</v>
      </c>
      <c r="D645" s="189" t="str">
        <f>IF(C646="","","Independent verification")</f>
        <v>Independent verification</v>
      </c>
      <c r="E645" s="1029">
        <f>BI646</f>
        <v>0.65387499999999987</v>
      </c>
      <c r="F645" s="1030"/>
      <c r="AA645" s="52"/>
      <c r="AB645" s="52" t="s">
        <v>278</v>
      </c>
      <c r="AF645" s="204"/>
      <c r="AG645" s="52" t="s">
        <v>279</v>
      </c>
      <c r="AM645" s="205"/>
      <c r="AN645" s="52" t="s">
        <v>280</v>
      </c>
      <c r="AV645" s="206"/>
      <c r="AX645" s="191" t="s">
        <v>281</v>
      </c>
      <c r="AZ645" s="192" t="s">
        <v>282</v>
      </c>
      <c r="BB645" s="193" t="s">
        <v>283</v>
      </c>
      <c r="BD645" s="192" t="s">
        <v>284</v>
      </c>
      <c r="BG645" s="194" t="s">
        <v>290</v>
      </c>
      <c r="BH645" s="195" t="s">
        <v>291</v>
      </c>
      <c r="BI645" s="194" t="s">
        <v>285</v>
      </c>
      <c r="BJ645" s="195" t="s">
        <v>286</v>
      </c>
    </row>
    <row r="646" spans="1:62" ht="15" thickTop="1" thickBot="1" x14ac:dyDescent="0.35">
      <c r="A646" s="186"/>
      <c r="B646" s="196" t="s">
        <v>335</v>
      </c>
      <c r="C646" s="197" t="s">
        <v>315</v>
      </c>
      <c r="D646" s="207"/>
      <c r="E646" s="1029">
        <f>BJ646</f>
        <v>0.38949999999999996</v>
      </c>
      <c r="F646" s="1030"/>
      <c r="AA646" s="101"/>
      <c r="AB646" s="101">
        <f>IF(B646=$B$3008,$AB$522,0)</f>
        <v>0</v>
      </c>
      <c r="AC646" s="101">
        <f>IF(B646=$B$3009,$AC$522,0)</f>
        <v>0</v>
      </c>
      <c r="AD646" s="101">
        <f>IF(B646=$B$3010,$AD$522,0)</f>
        <v>2.5</v>
      </c>
      <c r="AE646" s="101">
        <f>IF(B646=$B$3011,$AE$522,0)</f>
        <v>0</v>
      </c>
      <c r="AF646" s="208">
        <f>SUM(AB646:AE646)</f>
        <v>2.5</v>
      </c>
      <c r="AG646" s="101">
        <f>IF(C646=$B$3014,$E$3014,0)</f>
        <v>0</v>
      </c>
      <c r="AH646" s="101">
        <f>IF(C646=$B$3015,$E$3015,0)</f>
        <v>0.30000000000000004</v>
      </c>
      <c r="AI646" s="101">
        <f>IF(C646=$B$3016,$E$3016,0)</f>
        <v>0</v>
      </c>
      <c r="AJ646" s="101">
        <f>IF(C646=$B$3017,$E$3017,0)</f>
        <v>0</v>
      </c>
      <c r="AK646" s="101">
        <f>IF(C646=$B$3018,$E$3018,0)</f>
        <v>0</v>
      </c>
      <c r="AL646" s="101">
        <f>IF(C646=$B$3019,$E$3019,0)</f>
        <v>0</v>
      </c>
      <c r="AM646" s="209">
        <f>SUM(AG646:AL646)</f>
        <v>0.30000000000000004</v>
      </c>
      <c r="AN646" s="101">
        <f>IF($D646=$B$3022,AN$522,0)</f>
        <v>0</v>
      </c>
      <c r="AO646" s="101">
        <f>IF($D646=$B$3023,AO$522,0)</f>
        <v>0</v>
      </c>
      <c r="AP646" s="101">
        <f>IF($D646=$B$3024,AP$522,0)</f>
        <v>0</v>
      </c>
      <c r="AQ646" s="101">
        <f>IF($D646=$B$3025,AQ$522,0)</f>
        <v>0</v>
      </c>
      <c r="AR646" s="101">
        <f>IF($D646=$B$3026,AR$522,0)</f>
        <v>0</v>
      </c>
      <c r="AS646" s="101">
        <f>IF($D646=$B$3027,AS$522,0)</f>
        <v>0</v>
      </c>
      <c r="AT646" s="101">
        <f>IF($D646=$B$3028,AT$522,0)</f>
        <v>0</v>
      </c>
      <c r="AU646" s="101">
        <f>IF($D646=$B$3029,AU$522,0)</f>
        <v>0</v>
      </c>
      <c r="AV646" s="210">
        <f>SUM(AN646:AU646)</f>
        <v>0</v>
      </c>
      <c r="AX646" s="200">
        <f>AF646*AM646</f>
        <v>0.75000000000000011</v>
      </c>
      <c r="AZ646" s="146">
        <f>AX646+(AV646*AM646)</f>
        <v>0.75000000000000011</v>
      </c>
      <c r="BB646" s="201">
        <f>(AF646*AM646)*0.01</f>
        <v>7.5000000000000015E-3</v>
      </c>
      <c r="BD646" s="202">
        <f>AZ646*0.01</f>
        <v>7.5000000000000015E-3</v>
      </c>
      <c r="BE646" s="377"/>
      <c r="BG646" s="201">
        <f>IF(AF646&gt;0,BG640+BB646,BG640)</f>
        <v>0.65387499999999987</v>
      </c>
      <c r="BH646" s="202">
        <f>IF(AV646&gt;0,BH640+BD646,BH640)</f>
        <v>0.38949999999999996</v>
      </c>
      <c r="BI646" s="201">
        <f>IF(BG646&gt;0.99,0.99,BG646)</f>
        <v>0.65387499999999987</v>
      </c>
      <c r="BJ646" s="202">
        <f>IF(BH646&gt;0.99,0.99,BH646)</f>
        <v>0.38949999999999996</v>
      </c>
    </row>
    <row r="647" spans="1:62" ht="16" thickTop="1" x14ac:dyDescent="0.3">
      <c r="A647" s="184">
        <f>A642+1</f>
        <v>37</v>
      </c>
      <c r="B647" s="184" t="s">
        <v>356</v>
      </c>
      <c r="C647" s="184"/>
      <c r="D647" s="185" t="str">
        <f>IF(B649="","If claimed, explain in white box below.","")</f>
        <v/>
      </c>
      <c r="E647" s="187"/>
      <c r="F647" s="1"/>
      <c r="AB647" s="48">
        <f>A647</f>
        <v>37</v>
      </c>
      <c r="AC647" s="48" t="s">
        <v>4013</v>
      </c>
      <c r="AK647" s="620">
        <f>IF(AL647=0,0,1)</f>
        <v>1</v>
      </c>
      <c r="AL647" s="48">
        <f>IF(B651=B$3008,E$3008,IF(B651=B$3009,E$3009,IF(B651=B$3010,E$3010,IF(B651=B$3011,E$3011,0))))</f>
        <v>2</v>
      </c>
      <c r="AM647" s="233" t="str">
        <f>IF(AL647=$E$3011,AC647,"")</f>
        <v/>
      </c>
    </row>
    <row r="648" spans="1:62" ht="28" customHeight="1" x14ac:dyDescent="0.3">
      <c r="A648" s="186"/>
      <c r="B648" s="1031" t="s">
        <v>357</v>
      </c>
      <c r="C648" s="1032"/>
      <c r="D648" s="1033"/>
      <c r="E648" s="187"/>
      <c r="F648" s="1"/>
    </row>
    <row r="649" spans="1:62" ht="150" customHeight="1" thickBot="1" x14ac:dyDescent="0.35">
      <c r="A649" s="186"/>
      <c r="B649" s="1026" t="s">
        <v>358</v>
      </c>
      <c r="C649" s="1027"/>
      <c r="D649" s="1028"/>
      <c r="E649" s="187"/>
      <c r="F649" s="1"/>
      <c r="AA649" s="48">
        <f>AA644+1</f>
        <v>23</v>
      </c>
      <c r="AB649" s="849">
        <f>IF(B651="",0,1)</f>
        <v>1</v>
      </c>
      <c r="AC649" s="853">
        <f>IF(B651=B$3008,D$3008,IF(B651=B$3009,D$3009,IF(B651=B$3010,D$3010,IF(B651=B$3011,D$3011,0))))</f>
        <v>0.5</v>
      </c>
      <c r="AE649" s="850">
        <f>IF(D651=B$3022,E$3022,IF(D651=B$3023,E$3023,IF(D651=B$3024,E$3024,IF(D651=B$3025,E$3025,IF(D651=B$3026,E$3026,IF(D651=B$3027,E$3027,IF(D651=B$3028,E$3028,IF(D651=B$3029,E$3029,D30536))))))))</f>
        <v>0</v>
      </c>
    </row>
    <row r="650" spans="1:62" ht="15" thickTop="1" thickBot="1" x14ac:dyDescent="0.35">
      <c r="A650" s="186"/>
      <c r="B650" s="188" t="str">
        <f>IF(B649="","","Claimed?")</f>
        <v>Claimed?</v>
      </c>
      <c r="C650" s="188" t="str">
        <f>IF(B650="","","Verifiable?")</f>
        <v>Verifiable?</v>
      </c>
      <c r="D650" s="189" t="str">
        <f>IF(C651="","","Independent verification")</f>
        <v>Independent verification</v>
      </c>
      <c r="E650" s="1029">
        <f>BI651</f>
        <v>0.66012499999999985</v>
      </c>
      <c r="F650" s="1030"/>
      <c r="AA650" s="52"/>
      <c r="AB650" s="52" t="s">
        <v>278</v>
      </c>
      <c r="AF650" s="204"/>
      <c r="AG650" s="52" t="s">
        <v>279</v>
      </c>
      <c r="AM650" s="205"/>
      <c r="AN650" s="52" t="s">
        <v>280</v>
      </c>
      <c r="AV650" s="206"/>
      <c r="AX650" s="191" t="s">
        <v>281</v>
      </c>
      <c r="AZ650" s="192" t="s">
        <v>282</v>
      </c>
      <c r="BB650" s="193" t="s">
        <v>283</v>
      </c>
      <c r="BD650" s="192" t="s">
        <v>284</v>
      </c>
      <c r="BG650" s="194" t="s">
        <v>290</v>
      </c>
      <c r="BH650" s="195" t="s">
        <v>291</v>
      </c>
      <c r="BI650" s="194" t="s">
        <v>285</v>
      </c>
      <c r="BJ650" s="195" t="s">
        <v>286</v>
      </c>
    </row>
    <row r="651" spans="1:62" ht="15" thickTop="1" thickBot="1" x14ac:dyDescent="0.35">
      <c r="A651" s="186"/>
      <c r="B651" s="196" t="s">
        <v>335</v>
      </c>
      <c r="C651" s="197" t="s">
        <v>347</v>
      </c>
      <c r="D651" s="207"/>
      <c r="E651" s="1029">
        <f>BJ651</f>
        <v>0.38949999999999996</v>
      </c>
      <c r="F651" s="1030"/>
      <c r="AA651" s="101"/>
      <c r="AB651" s="101">
        <f>IF(B651=$B$3008,$AB$522,0)</f>
        <v>0</v>
      </c>
      <c r="AC651" s="101">
        <f>IF(B651=$B$3009,$AC$522,0)</f>
        <v>0</v>
      </c>
      <c r="AD651" s="101">
        <f>IF(B651=$B$3010,$AD$522,0)</f>
        <v>2.5</v>
      </c>
      <c r="AE651" s="101">
        <f>IF(B651=$B$3011,$AE$522,0)</f>
        <v>0</v>
      </c>
      <c r="AF651" s="208">
        <f>SUM(AB651:AE651)</f>
        <v>2.5</v>
      </c>
      <c r="AG651" s="101">
        <f>IF(C651=$B$3014,$E$3014,0)</f>
        <v>0.25000000000000006</v>
      </c>
      <c r="AH651" s="101">
        <f>IF(C651=$B$3015,$E$3015,0)</f>
        <v>0</v>
      </c>
      <c r="AI651" s="101">
        <f>IF(C651=$B$3016,$E$3016,0)</f>
        <v>0</v>
      </c>
      <c r="AJ651" s="101">
        <f>IF(C651=$B$3017,$E$3017,0)</f>
        <v>0</v>
      </c>
      <c r="AK651" s="101">
        <f>IF(C651=$B$3018,$E$3018,0)</f>
        <v>0</v>
      </c>
      <c r="AL651" s="101">
        <f>IF(C651=$B$3019,$E$3019,0)</f>
        <v>0</v>
      </c>
      <c r="AM651" s="209">
        <f>SUM(AG651:AL651)</f>
        <v>0.25000000000000006</v>
      </c>
      <c r="AN651" s="101">
        <f>IF($D651=$B$3022,AN$522,0)</f>
        <v>0</v>
      </c>
      <c r="AO651" s="101">
        <f>IF($D651=$B$3023,AO$522,0)</f>
        <v>0</v>
      </c>
      <c r="AP651" s="101">
        <f>IF($D651=$B$3024,AP$522,0)</f>
        <v>0</v>
      </c>
      <c r="AQ651" s="101">
        <f>IF($D651=$B$3025,AQ$522,0)</f>
        <v>0</v>
      </c>
      <c r="AR651" s="101">
        <f>IF($D651=$B$3026,AR$522,0)</f>
        <v>0</v>
      </c>
      <c r="AS651" s="101">
        <f>IF($D651=$B$3027,AS$522,0)</f>
        <v>0</v>
      </c>
      <c r="AT651" s="101">
        <f>IF($D651=$B$3028,AT$522,0)</f>
        <v>0</v>
      </c>
      <c r="AU651" s="101">
        <f>IF($D651=$B$3029,AU$522,0)</f>
        <v>0</v>
      </c>
      <c r="AV651" s="210">
        <f>SUM(AN651:AU651)</f>
        <v>0</v>
      </c>
      <c r="AX651" s="200">
        <f>AF651*AM651</f>
        <v>0.62500000000000011</v>
      </c>
      <c r="AZ651" s="146">
        <f>AX651+(AV651*AM651)</f>
        <v>0.62500000000000011</v>
      </c>
      <c r="BB651" s="201">
        <f>(AF651*AM651)*0.01</f>
        <v>6.2500000000000012E-3</v>
      </c>
      <c r="BD651" s="202">
        <f>AZ651*0.01</f>
        <v>6.2500000000000012E-3</v>
      </c>
      <c r="BE651" s="377"/>
      <c r="BG651" s="201">
        <f>IF(AF651&gt;0,BG646+BB651,BG646)</f>
        <v>0.66012499999999985</v>
      </c>
      <c r="BH651" s="202">
        <f>IF(AV651&gt;0,BH646+BD651,BH646)</f>
        <v>0.38949999999999996</v>
      </c>
      <c r="BI651" s="201">
        <f>IF(BG651&gt;0.99,0.99,BG651)</f>
        <v>0.66012499999999985</v>
      </c>
      <c r="BJ651" s="202">
        <f>IF(BH651&gt;0.99,0.99,BH651)</f>
        <v>0.38949999999999996</v>
      </c>
    </row>
    <row r="652" spans="1:62" ht="16" thickTop="1" x14ac:dyDescent="0.3">
      <c r="A652" s="184">
        <f>A647+1</f>
        <v>38</v>
      </c>
      <c r="B652" s="184" t="s">
        <v>359</v>
      </c>
      <c r="C652" s="184"/>
      <c r="D652" s="185" t="str">
        <f>IF(B654="","If claimed, explain in white box below.","")</f>
        <v/>
      </c>
      <c r="E652" s="187"/>
      <c r="F652" s="1"/>
      <c r="AB652" s="48">
        <f>A652</f>
        <v>38</v>
      </c>
      <c r="AC652" s="48" t="s">
        <v>4047</v>
      </c>
      <c r="AK652" s="620">
        <f>IF(AL652=0,0,1)</f>
        <v>1</v>
      </c>
      <c r="AL652" s="48">
        <f>IF(B656=B$3008,E$3008,IF(B656=B$3009,E$3009,IF(B656=B$3010,E$3010,IF(B656=B$3011,E$3011,0))))</f>
        <v>4</v>
      </c>
      <c r="AM652" s="233" t="str">
        <f>IF(AL652=$E$3011,AC652,"")</f>
        <v>trial by media</v>
      </c>
    </row>
    <row r="653" spans="1:62" x14ac:dyDescent="0.3">
      <c r="A653" s="186"/>
      <c r="B653" s="1031" t="s">
        <v>360</v>
      </c>
      <c r="C653" s="1032"/>
      <c r="D653" s="1033"/>
      <c r="E653" s="187"/>
      <c r="F653" s="1"/>
    </row>
    <row r="654" spans="1:62" ht="150" customHeight="1" thickBot="1" x14ac:dyDescent="0.35">
      <c r="A654" s="186"/>
      <c r="B654" s="1026" t="s">
        <v>361</v>
      </c>
      <c r="C654" s="1027"/>
      <c r="D654" s="1028"/>
      <c r="E654" s="187"/>
      <c r="F654" s="1"/>
      <c r="AA654" s="48">
        <f>AA649+1</f>
        <v>24</v>
      </c>
      <c r="AB654" s="849">
        <f>IF(B656="",0,1)</f>
        <v>1</v>
      </c>
      <c r="AC654" s="853">
        <f>IF(B656=B$3008,D$3008,IF(B656=B$3009,D$3009,IF(B656=B$3010,D$3010,IF(B656=B$3011,D$3011,0))))</f>
        <v>1</v>
      </c>
      <c r="AE654" s="850">
        <f>IF(D656=B$3022,E$3022,IF(D656=B$3023,E$3023,IF(D656=B$3024,E$3024,IF(D656=B$3025,E$3025,IF(D656=B$3026,E$3026,IF(D656=B$3027,E$3027,IF(D656=B$3028,E$3028,IF(D656=B$3029,E$3029,D30541))))))))</f>
        <v>0</v>
      </c>
    </row>
    <row r="655" spans="1:62" ht="15" thickTop="1" thickBot="1" x14ac:dyDescent="0.35">
      <c r="A655" s="186"/>
      <c r="B655" s="188" t="str">
        <f>IF(B654="","","Claimed?")</f>
        <v>Claimed?</v>
      </c>
      <c r="C655" s="188" t="str">
        <f>IF(B655="","","Verifiable?")</f>
        <v>Verifiable?</v>
      </c>
      <c r="D655" s="189" t="str">
        <f>IF(C656="","","Independent verification")</f>
        <v>Independent verification</v>
      </c>
      <c r="E655" s="1029">
        <f>BI656</f>
        <v>0.67762499999999981</v>
      </c>
      <c r="F655" s="1030"/>
      <c r="AA655" s="52"/>
      <c r="AB655" s="52" t="s">
        <v>278</v>
      </c>
      <c r="AF655" s="204"/>
      <c r="AG655" s="52" t="s">
        <v>279</v>
      </c>
      <c r="AM655" s="205"/>
      <c r="AN655" s="52" t="s">
        <v>280</v>
      </c>
      <c r="AV655" s="206"/>
      <c r="AX655" s="191" t="s">
        <v>281</v>
      </c>
      <c r="AZ655" s="192" t="s">
        <v>282</v>
      </c>
      <c r="BB655" s="193" t="s">
        <v>283</v>
      </c>
      <c r="BD655" s="192" t="s">
        <v>284</v>
      </c>
      <c r="BG655" s="194" t="s">
        <v>290</v>
      </c>
      <c r="BH655" s="195" t="s">
        <v>291</v>
      </c>
      <c r="BI655" s="194" t="s">
        <v>285</v>
      </c>
      <c r="BJ655" s="195" t="s">
        <v>286</v>
      </c>
    </row>
    <row r="656" spans="1:62" ht="15" thickTop="1" thickBot="1" x14ac:dyDescent="0.35">
      <c r="A656" s="186"/>
      <c r="B656" s="196" t="s">
        <v>295</v>
      </c>
      <c r="C656" s="197" t="s">
        <v>322</v>
      </c>
      <c r="D656" s="207"/>
      <c r="E656" s="1029">
        <f>BJ656</f>
        <v>0.38949999999999996</v>
      </c>
      <c r="F656" s="1030"/>
      <c r="AA656" s="101"/>
      <c r="AB656" s="101">
        <f>IF(B656=$B$3008,$AB$522,0)</f>
        <v>0</v>
      </c>
      <c r="AC656" s="101">
        <f>IF(B656=$B$3009,$AC$522,0)</f>
        <v>0</v>
      </c>
      <c r="AD656" s="101">
        <f>IF(B656=$B$3010,$AD$522,0)</f>
        <v>0</v>
      </c>
      <c r="AE656" s="101">
        <f>IF(B656=$B$3011,$AE$522,0)</f>
        <v>5</v>
      </c>
      <c r="AF656" s="208">
        <f>SUM(AB656:AE656)</f>
        <v>5</v>
      </c>
      <c r="AG656" s="101">
        <f>IF(C656=$B$3014,$E$3014,0)</f>
        <v>0</v>
      </c>
      <c r="AH656" s="101">
        <f>IF(C656=$B$3015,$E$3015,0)</f>
        <v>0</v>
      </c>
      <c r="AI656" s="101">
        <f>IF(C656=$B$3016,$E$3016,0)</f>
        <v>0.35000000000000003</v>
      </c>
      <c r="AJ656" s="101">
        <f>IF(C656=$B$3017,$E$3017,0)</f>
        <v>0</v>
      </c>
      <c r="AK656" s="101">
        <f>IF(C656=$B$3018,$E$3018,0)</f>
        <v>0</v>
      </c>
      <c r="AL656" s="101">
        <f>IF(C656=$B$3019,$E$3019,0)</f>
        <v>0</v>
      </c>
      <c r="AM656" s="209">
        <f>SUM(AG656:AL656)</f>
        <v>0.35000000000000003</v>
      </c>
      <c r="AN656" s="101">
        <f>IF($D656=$B$3022,AN$522,0)</f>
        <v>0</v>
      </c>
      <c r="AO656" s="101">
        <f>IF($D656=$B$3023,AO$522,0)</f>
        <v>0</v>
      </c>
      <c r="AP656" s="101">
        <f>IF($D656=$B$3024,AP$522,0)</f>
        <v>0</v>
      </c>
      <c r="AQ656" s="101">
        <f>IF($D656=$B$3025,AQ$522,0)</f>
        <v>0</v>
      </c>
      <c r="AR656" s="101">
        <f>IF($D656=$B$3026,AR$522,0)</f>
        <v>0</v>
      </c>
      <c r="AS656" s="101">
        <f>IF($D656=$B$3027,AS$522,0)</f>
        <v>0</v>
      </c>
      <c r="AT656" s="101">
        <f>IF($D656=$B$3028,AT$522,0)</f>
        <v>0</v>
      </c>
      <c r="AU656" s="101">
        <f>IF($D656=$B$3029,AU$522,0)</f>
        <v>0</v>
      </c>
      <c r="AV656" s="210">
        <f>SUM(AN656:AU656)</f>
        <v>0</v>
      </c>
      <c r="AX656" s="200">
        <f>AF656*AM656</f>
        <v>1.7500000000000002</v>
      </c>
      <c r="AZ656" s="146">
        <f>AX656+(AV656*AM656)</f>
        <v>1.7500000000000002</v>
      </c>
      <c r="BB656" s="201">
        <f>(AF656*AM656)*0.01</f>
        <v>1.7500000000000002E-2</v>
      </c>
      <c r="BD656" s="202">
        <f>AZ656*0.01</f>
        <v>1.7500000000000002E-2</v>
      </c>
      <c r="BE656" s="377"/>
      <c r="BG656" s="201">
        <f>IF(AF656&gt;0,BG651+BB656,BG651)</f>
        <v>0.67762499999999981</v>
      </c>
      <c r="BH656" s="202">
        <f>IF(AV656&gt;0,BH651+BD656,BH651)</f>
        <v>0.38949999999999996</v>
      </c>
      <c r="BI656" s="201">
        <f>IF(BG656&gt;0.99,0.99,BG656)</f>
        <v>0.67762499999999981</v>
      </c>
      <c r="BJ656" s="202">
        <f>IF(BH656&gt;0.99,0.99,BH656)</f>
        <v>0.38949999999999996</v>
      </c>
    </row>
    <row r="657" spans="1:62" ht="14.5" thickTop="1" x14ac:dyDescent="0.3">
      <c r="A657" s="186"/>
      <c r="B657" s="187"/>
      <c r="C657" s="187"/>
      <c r="D657" s="187"/>
      <c r="E657" s="187"/>
      <c r="F657" s="1"/>
      <c r="AK657" s="620">
        <f>IF(AL657=0,0,1)</f>
        <v>0</v>
      </c>
      <c r="AL657" s="48">
        <f>IF(B661=B$3008,E$3008,IF(B661=B$3009,E$3009,IF(B661=B$3010,E$3010,IF(B661=B$3011,E$3011,0))))</f>
        <v>0</v>
      </c>
      <c r="AM657" s="233" t="str">
        <f>IF(AL657=$E$3011,AC657,"")</f>
        <v/>
      </c>
    </row>
    <row r="658" spans="1:62" ht="30" customHeight="1" x14ac:dyDescent="0.3">
      <c r="A658" s="1199" t="s">
        <v>74</v>
      </c>
      <c r="B658" s="40" t="s">
        <v>362</v>
      </c>
      <c r="C658" s="40"/>
      <c r="D658" s="40"/>
      <c r="E658" s="436"/>
      <c r="F658" s="436" t="s">
        <v>869</v>
      </c>
      <c r="AB658" s="618" t="str">
        <f>IF(AND(B664&lt;&gt;$B$3011,B669&lt;&gt;$B$3011,B674&lt;&gt;$B$3011,B680&lt;&gt;$B$3011,B685&lt;&gt;$B$3011,B690&lt;&gt;$B$3011,B696&lt;&gt;$B$3011),"No significant demonstrated innocence. ",CONCATENATE(AJ658,AM658,AN658,AO658,AP658,AQ658,AR658,AS658,AT658,AU658,AV658,AW658,AX658,AY658,AZ658,BA658))</f>
        <v xml:space="preserve">The significant complicating factors include , , no criminal history, and possibly others less significantly. </v>
      </c>
      <c r="AJ658" s="48" t="s">
        <v>4032</v>
      </c>
      <c r="AM658" s="48" t="str">
        <f>IF(AM660="","",AM660)</f>
        <v/>
      </c>
      <c r="AN658" s="48" t="str">
        <f>IF(AO658="","",", ")</f>
        <v/>
      </c>
      <c r="AO658" s="48" t="str">
        <f>AM665</f>
        <v/>
      </c>
      <c r="AP658" s="48" t="str">
        <f>IF(AQ658="","",", ")</f>
        <v/>
      </c>
      <c r="AQ658" s="48" t="str">
        <f>AM670</f>
        <v/>
      </c>
      <c r="AR658" s="48" t="str">
        <f>IF(AS658="","",", ")</f>
        <v/>
      </c>
      <c r="AS658" s="48" t="str">
        <f>AM676</f>
        <v/>
      </c>
      <c r="AT658" s="48" t="str">
        <f>IF(AU658="","",", ")</f>
        <v/>
      </c>
      <c r="AU658" s="48" t="str">
        <f>AM681</f>
        <v/>
      </c>
      <c r="AV658" s="48" t="str">
        <f>IF(AW658="","",", ")</f>
        <v xml:space="preserve">, </v>
      </c>
      <c r="AW658" s="48" t="str">
        <f>IF(AX658="","",", ")</f>
        <v xml:space="preserve">, </v>
      </c>
      <c r="AX658" s="48" t="str">
        <f>AM686</f>
        <v>no criminal history</v>
      </c>
      <c r="AY658" s="48" t="str">
        <f>IF(AZ658="","",", ")</f>
        <v/>
      </c>
      <c r="AZ658" s="48" t="str">
        <f>AM692</f>
        <v/>
      </c>
      <c r="BA658" s="48" t="s">
        <v>4031</v>
      </c>
    </row>
    <row r="659" spans="1:62" ht="20" customHeight="1" x14ac:dyDescent="0.3">
      <c r="A659" s="97" t="s">
        <v>363</v>
      </c>
      <c r="B659" s="98"/>
      <c r="C659" s="98"/>
      <c r="D659" s="98"/>
      <c r="E659" s="99"/>
      <c r="F659" s="97"/>
      <c r="AA659" s="175"/>
      <c r="AB659" s="175">
        <v>0</v>
      </c>
      <c r="AC659" s="176">
        <f>AD659/2</f>
        <v>0.25</v>
      </c>
      <c r="AD659" s="177">
        <f>AE659/2</f>
        <v>0.5</v>
      </c>
      <c r="AE659" s="178">
        <v>1</v>
      </c>
      <c r="AF659" s="109"/>
      <c r="AG659" s="109"/>
      <c r="AH659" s="109"/>
      <c r="AI659" s="109"/>
      <c r="AJ659" s="109"/>
      <c r="AK659" s="109"/>
      <c r="AL659" s="109"/>
      <c r="AM659" s="109"/>
      <c r="AN659" s="179">
        <f>AE659*-2</f>
        <v>-2</v>
      </c>
      <c r="AO659" s="175">
        <f>AE659*-1</f>
        <v>-1</v>
      </c>
      <c r="AP659" s="175">
        <f>AD659*-1</f>
        <v>-0.5</v>
      </c>
      <c r="AQ659" s="180">
        <f>AE659*-0.1</f>
        <v>-0.1</v>
      </c>
      <c r="AR659" s="180">
        <v>0</v>
      </c>
      <c r="AS659" s="180">
        <f>AE659*0.1</f>
        <v>0.1</v>
      </c>
      <c r="AT659" s="177">
        <f>AD659</f>
        <v>0.5</v>
      </c>
      <c r="AU659" s="178">
        <f>AE659</f>
        <v>1</v>
      </c>
      <c r="AV659" s="181"/>
      <c r="AW659" s="109"/>
      <c r="AX659" s="109"/>
      <c r="AY659" s="109"/>
      <c r="AZ659" s="109"/>
      <c r="BA659" s="109"/>
      <c r="BB659" s="182"/>
      <c r="BC659" s="109"/>
      <c r="BD659" s="109"/>
      <c r="BE659" s="109"/>
      <c r="BF659" s="109"/>
      <c r="BG659" s="213">
        <f>BG625</f>
        <v>0.38949999999999996</v>
      </c>
    </row>
    <row r="660" spans="1:62" ht="15.5" x14ac:dyDescent="0.3">
      <c r="A660" s="184">
        <f>A652+1</f>
        <v>39</v>
      </c>
      <c r="B660" s="184" t="s">
        <v>364</v>
      </c>
      <c r="C660" s="184"/>
      <c r="D660" s="185" t="str">
        <f>IF(B662="","If claimed, explain in white box below.","")</f>
        <v/>
      </c>
      <c r="E660" s="187"/>
      <c r="F660" s="1"/>
      <c r="AB660" s="48">
        <f>A660</f>
        <v>39</v>
      </c>
      <c r="AC660" s="48" t="s">
        <v>4012</v>
      </c>
    </row>
    <row r="661" spans="1:62" ht="28" customHeight="1" x14ac:dyDescent="0.3">
      <c r="A661" s="186"/>
      <c r="B661" s="1031" t="s">
        <v>365</v>
      </c>
      <c r="C661" s="1032"/>
      <c r="D661" s="1033"/>
      <c r="E661" s="187"/>
      <c r="F661" s="1"/>
    </row>
    <row r="662" spans="1:62" ht="138" customHeight="1" thickBot="1" x14ac:dyDescent="0.35">
      <c r="A662" s="186"/>
      <c r="B662" s="1026" t="s">
        <v>366</v>
      </c>
      <c r="C662" s="1027"/>
      <c r="D662" s="1028"/>
      <c r="E662" s="187"/>
      <c r="F662" s="1"/>
      <c r="AA662" s="48">
        <f>AA654+1</f>
        <v>25</v>
      </c>
      <c r="AB662" s="849">
        <f>IF(B664="",0,1)</f>
        <v>1</v>
      </c>
      <c r="AC662" s="853">
        <f>IF(B664=B$3008,D$3008,IF(B664=B$3009,D$3009,IF(B664=B$3010,D$3010,IF(B664=B$3011,D$3011,0))))</f>
        <v>1</v>
      </c>
      <c r="AE662" s="850">
        <f>IF(D664=B$3022,E$3022,IF(D664=B$3023,E$3023,IF(D664=B$3024,E$3024,IF(D664=B$3025,E$3025,IF(D664=B$3026,E$3026,IF(D664=B$3027,E$3027,IF(D664=B$3028,E$3028,IF(D664=B$3029,E$3029,D30549))))))))</f>
        <v>0</v>
      </c>
    </row>
    <row r="663" spans="1:62" ht="15" thickTop="1" thickBot="1" x14ac:dyDescent="0.35">
      <c r="A663" s="186"/>
      <c r="B663" s="188" t="str">
        <f>IF(B662="","","Claimed?")</f>
        <v>Claimed?</v>
      </c>
      <c r="C663" s="188" t="str">
        <f>IF(B663="","","Verifiable?")</f>
        <v>Verifiable?</v>
      </c>
      <c r="D663" s="189" t="str">
        <f>IF(C664="","","Independent verification")</f>
        <v>Independent verification</v>
      </c>
      <c r="E663" s="1029">
        <f>BI664</f>
        <v>0.70012499999999978</v>
      </c>
      <c r="F663" s="1030"/>
      <c r="AA663" s="52"/>
      <c r="AB663" s="52" t="s">
        <v>278</v>
      </c>
      <c r="AF663" s="204"/>
      <c r="AG663" s="52" t="s">
        <v>279</v>
      </c>
      <c r="AM663" s="205"/>
      <c r="AN663" s="52" t="s">
        <v>280</v>
      </c>
      <c r="AV663" s="206"/>
      <c r="AX663" s="191" t="s">
        <v>281</v>
      </c>
      <c r="AZ663" s="192" t="s">
        <v>282</v>
      </c>
      <c r="BB663" s="193" t="s">
        <v>283</v>
      </c>
      <c r="BD663" s="192" t="s">
        <v>284</v>
      </c>
      <c r="BG663" s="194" t="s">
        <v>290</v>
      </c>
      <c r="BH663" s="195" t="s">
        <v>291</v>
      </c>
      <c r="BI663" s="194" t="s">
        <v>285</v>
      </c>
      <c r="BJ663" s="195" t="s">
        <v>286</v>
      </c>
    </row>
    <row r="664" spans="1:62" ht="15" thickTop="1" thickBot="1" x14ac:dyDescent="0.35">
      <c r="A664" s="186"/>
      <c r="B664" s="196" t="s">
        <v>295</v>
      </c>
      <c r="C664" s="197" t="s">
        <v>311</v>
      </c>
      <c r="D664" s="207"/>
      <c r="E664" s="1029">
        <f>BJ664</f>
        <v>0.38949999999999996</v>
      </c>
      <c r="F664" s="1030"/>
      <c r="AA664" s="101"/>
      <c r="AB664" s="101">
        <f>IF(B664=$B$3008,$AB$522,0)</f>
        <v>0</v>
      </c>
      <c r="AC664" s="101">
        <f>IF(B664=$B$3009,$AC$522,0)</f>
        <v>0</v>
      </c>
      <c r="AD664" s="101">
        <f>IF(B664=$B$3010,$AD$522,0)</f>
        <v>0</v>
      </c>
      <c r="AE664" s="101">
        <f>IF(B664=$B$3011,$AE$522,0)</f>
        <v>5</v>
      </c>
      <c r="AF664" s="208">
        <f>SUM(AB664:AE664)</f>
        <v>5</v>
      </c>
      <c r="AG664" s="101">
        <f>IF(C664=$B$3014,$E$3014,0)</f>
        <v>0</v>
      </c>
      <c r="AH664" s="101">
        <f>IF(C664=$B$3015,$E$3015,0)</f>
        <v>0</v>
      </c>
      <c r="AI664" s="101">
        <f>IF(C664=$B$3016,$E$3016,0)</f>
        <v>0</v>
      </c>
      <c r="AJ664" s="101">
        <f>IF(C664=$B$3017,$E$3017,0)</f>
        <v>0</v>
      </c>
      <c r="AK664" s="101">
        <f>IF(C664=$B$3018,$E$3018,0)</f>
        <v>0.45</v>
      </c>
      <c r="AL664" s="101">
        <f>IF(C664=$B$3019,$E$3019,0)</f>
        <v>0</v>
      </c>
      <c r="AM664" s="209">
        <f>SUM(AG664:AL664)</f>
        <v>0.45</v>
      </c>
      <c r="AN664" s="101">
        <f>IF($D664=$B$3022,AN$522,0)</f>
        <v>0</v>
      </c>
      <c r="AO664" s="101">
        <f>IF($D664=$B$3023,AO$522,0)</f>
        <v>0</v>
      </c>
      <c r="AP664" s="101">
        <f>IF($D664=$B$3024,AP$522,0)</f>
        <v>0</v>
      </c>
      <c r="AQ664" s="101">
        <f>IF($D664=$B$3025,AQ$522,0)</f>
        <v>0</v>
      </c>
      <c r="AR664" s="101">
        <f>IF($D664=$B$3026,AR$522,0)</f>
        <v>0</v>
      </c>
      <c r="AS664" s="101">
        <f>IF($D664=$B$3027,AS$522,0)</f>
        <v>0</v>
      </c>
      <c r="AT664" s="101">
        <f>IF($D664=$B$3028,AT$522,0)</f>
        <v>0</v>
      </c>
      <c r="AU664" s="101">
        <f>IF($D664=$B$3029,AU$522,0)</f>
        <v>0</v>
      </c>
      <c r="AV664" s="210">
        <f>SUM(AN664:AU664)</f>
        <v>0</v>
      </c>
      <c r="AX664" s="200">
        <f>AF664*AM664</f>
        <v>2.25</v>
      </c>
      <c r="AZ664" s="146">
        <f>AX664+(AV664*AM664)</f>
        <v>2.25</v>
      </c>
      <c r="BB664" s="201">
        <f>(AF664*AM664)*0.01</f>
        <v>2.2499999999999999E-2</v>
      </c>
      <c r="BD664" s="202">
        <f>AZ664*0.01</f>
        <v>2.2499999999999999E-2</v>
      </c>
      <c r="BE664" s="377"/>
      <c r="BG664" s="201">
        <f>IF(AF664&gt;0,BG656+BB664,BG656)</f>
        <v>0.70012499999999978</v>
      </c>
      <c r="BH664" s="202">
        <f>IF(AV664&gt;0,BH656+BD664,BH656)</f>
        <v>0.38949999999999996</v>
      </c>
      <c r="BI664" s="201">
        <f>IF(BG664&gt;0.99,0.99,BG664)</f>
        <v>0.70012499999999978</v>
      </c>
      <c r="BJ664" s="202">
        <f>IF(BH664&gt;0.99,0.99,BH664)</f>
        <v>0.38949999999999996</v>
      </c>
    </row>
    <row r="665" spans="1:62" ht="16" thickTop="1" x14ac:dyDescent="0.3">
      <c r="A665" s="184">
        <f>A660+1</f>
        <v>40</v>
      </c>
      <c r="B665" s="184" t="s">
        <v>157</v>
      </c>
      <c r="C665" s="184"/>
      <c r="D665" s="185" t="str">
        <f>IF(B667="","If claimed, explain in white box below.","")</f>
        <v/>
      </c>
      <c r="E665" s="187"/>
      <c r="F665" s="1"/>
      <c r="AB665" s="48">
        <f>A665</f>
        <v>40</v>
      </c>
      <c r="AC665" s="48" t="s">
        <v>4011</v>
      </c>
      <c r="AK665" s="620">
        <f>IF(AL665=0,0,1)</f>
        <v>0</v>
      </c>
      <c r="AL665" s="48">
        <f>IF(B669=B$3008,E$3008,IF(B669=B$3009,E$3009,IF(B669=B$3010,E$3010,IF(B669=B$3011,E$3011,0))))</f>
        <v>0</v>
      </c>
      <c r="AM665" s="233" t="str">
        <f>IF(AL665=$E$3011,AC665,"")</f>
        <v/>
      </c>
    </row>
    <row r="666" spans="1:62" x14ac:dyDescent="0.3">
      <c r="A666" s="186"/>
      <c r="B666" s="1031" t="s">
        <v>367</v>
      </c>
      <c r="C666" s="1032"/>
      <c r="D666" s="1033"/>
      <c r="E666" s="187"/>
      <c r="F666" s="1"/>
    </row>
    <row r="667" spans="1:62" ht="138" customHeight="1" thickBot="1" x14ac:dyDescent="0.35">
      <c r="A667" s="186"/>
      <c r="B667" s="1026" t="s">
        <v>368</v>
      </c>
      <c r="C667" s="1027"/>
      <c r="D667" s="1028"/>
      <c r="E667" s="187"/>
      <c r="F667" s="1"/>
      <c r="AA667" s="48">
        <f>AA662+1</f>
        <v>26</v>
      </c>
      <c r="AB667" s="849">
        <f>IF(B669="",0,1)</f>
        <v>1</v>
      </c>
      <c r="AC667" s="853">
        <f>IF(B669=B$3008,D$3008,IF(B669=B$3009,D$3009,IF(B669=B$3010,D$3010,IF(B669=B$3011,D$3011,0))))</f>
        <v>0</v>
      </c>
      <c r="AE667" s="850">
        <f>IF(D669=B$3022,E$3022,IF(D669=B$3023,E$3023,IF(D669=B$3024,E$3024,IF(D669=B$3025,E$3025,IF(D669=B$3026,E$3026,IF(D669=B$3027,E$3027,IF(D669=B$3028,E$3028,IF(D669=B$3029,E$3029,D30554))))))))</f>
        <v>0</v>
      </c>
    </row>
    <row r="668" spans="1:62" ht="15" thickTop="1" thickBot="1" x14ac:dyDescent="0.35">
      <c r="A668" s="186"/>
      <c r="B668" s="188" t="str">
        <f>IF(B667="","","Claimed?")</f>
        <v>Claimed?</v>
      </c>
      <c r="C668" s="188" t="str">
        <f>IF(B668="","","Verifiable?")</f>
        <v>Verifiable?</v>
      </c>
      <c r="D668" s="189" t="str">
        <f>IF(C669="","","Independent verification")</f>
        <v/>
      </c>
      <c r="E668" s="1029">
        <f>BI669</f>
        <v>0.70012499999999978</v>
      </c>
      <c r="F668" s="1030"/>
      <c r="AA668" s="52"/>
      <c r="AB668" s="52" t="s">
        <v>278</v>
      </c>
      <c r="AF668" s="204"/>
      <c r="AG668" s="52" t="s">
        <v>279</v>
      </c>
      <c r="AM668" s="205"/>
      <c r="AN668" s="52" t="s">
        <v>280</v>
      </c>
      <c r="AV668" s="206"/>
      <c r="AX668" s="191" t="s">
        <v>281</v>
      </c>
      <c r="AZ668" s="192" t="s">
        <v>282</v>
      </c>
      <c r="BB668" s="193" t="s">
        <v>283</v>
      </c>
      <c r="BD668" s="192" t="s">
        <v>284</v>
      </c>
      <c r="BG668" s="194" t="s">
        <v>290</v>
      </c>
      <c r="BH668" s="195" t="s">
        <v>291</v>
      </c>
      <c r="BI668" s="194" t="s">
        <v>285</v>
      </c>
      <c r="BJ668" s="195" t="s">
        <v>286</v>
      </c>
    </row>
    <row r="669" spans="1:62" ht="15" thickTop="1" thickBot="1" x14ac:dyDescent="0.35">
      <c r="A669" s="186"/>
      <c r="B669" s="196" t="s">
        <v>287</v>
      </c>
      <c r="C669" s="197"/>
      <c r="D669" s="207"/>
      <c r="E669" s="1029">
        <f>BJ669</f>
        <v>0.38949999999999996</v>
      </c>
      <c r="F669" s="1030"/>
      <c r="AA669" s="101"/>
      <c r="AB669" s="101">
        <f>IF(B669=$B$3008,$AB$522,0)</f>
        <v>0</v>
      </c>
      <c r="AC669" s="101">
        <f>IF(B669=$B$3009,$AC$522,0)</f>
        <v>0</v>
      </c>
      <c r="AD669" s="101">
        <f>IF(B669=$B$3010,$AD$522,0)</f>
        <v>0</v>
      </c>
      <c r="AE669" s="101">
        <f>IF(B669=$B$3011,$AE$522,0)</f>
        <v>0</v>
      </c>
      <c r="AF669" s="208">
        <f>SUM(AB669:AE669)</f>
        <v>0</v>
      </c>
      <c r="AG669" s="101">
        <f>IF(C669=$B$3014,$E$3014,0)</f>
        <v>0</v>
      </c>
      <c r="AH669" s="101">
        <f>IF(C669=$B$3015,$E$3015,0)</f>
        <v>0</v>
      </c>
      <c r="AI669" s="101">
        <f>IF(C669=$B$3016,$E$3016,0)</f>
        <v>0</v>
      </c>
      <c r="AJ669" s="101">
        <f>IF(C669=$B$3017,$E$3017,0)</f>
        <v>0</v>
      </c>
      <c r="AK669" s="101">
        <f>IF(C669=$B$3018,$E$3018,0)</f>
        <v>0</v>
      </c>
      <c r="AL669" s="101">
        <f>IF(C669=$B$3019,$E$3019,0)</f>
        <v>0</v>
      </c>
      <c r="AM669" s="209">
        <f>SUM(AG669:AL669)</f>
        <v>0</v>
      </c>
      <c r="AN669" s="101">
        <f>IF($D669=$B$3022,AN$522,0)</f>
        <v>0</v>
      </c>
      <c r="AO669" s="101">
        <f>IF($D669=$B$3023,AO$522,0)</f>
        <v>0</v>
      </c>
      <c r="AP669" s="101">
        <f>IF($D669=$B$3024,AP$522,0)</f>
        <v>0</v>
      </c>
      <c r="AQ669" s="101">
        <f>IF($D669=$B$3025,AQ$522,0)</f>
        <v>0</v>
      </c>
      <c r="AR669" s="101">
        <f>IF($D669=$B$3026,AR$522,0)</f>
        <v>0</v>
      </c>
      <c r="AS669" s="101">
        <f>IF($D669=$B$3027,AS$522,0)</f>
        <v>0</v>
      </c>
      <c r="AT669" s="101">
        <f>IF($D669=$B$3028,AT$522,0)</f>
        <v>0</v>
      </c>
      <c r="AU669" s="101">
        <f>IF($D669=$B$3029,AU$522,0)</f>
        <v>0</v>
      </c>
      <c r="AV669" s="210">
        <f>SUM(AN669:AU669)</f>
        <v>0</v>
      </c>
      <c r="AX669" s="200">
        <f>AF669*AM669</f>
        <v>0</v>
      </c>
      <c r="AZ669" s="146">
        <f>AX669+(AV669*AM669)</f>
        <v>0</v>
      </c>
      <c r="BB669" s="201">
        <f>(AF669*AM669)*0.01</f>
        <v>0</v>
      </c>
      <c r="BD669" s="202">
        <f>AZ669*0.01</f>
        <v>0</v>
      </c>
      <c r="BE669" s="377"/>
      <c r="BG669" s="201">
        <f>IF(AF669&gt;0,BG664+BB669,BG664)</f>
        <v>0.70012499999999978</v>
      </c>
      <c r="BH669" s="202">
        <f>IF(AV669&gt;0,BH664+BD669,BH664)</f>
        <v>0.38949999999999996</v>
      </c>
      <c r="BI669" s="201">
        <f>IF(BG669&gt;0.99,0.99,BG669)</f>
        <v>0.70012499999999978</v>
      </c>
      <c r="BJ669" s="202">
        <f>IF(BH669&gt;0.99,0.99,BH669)</f>
        <v>0.38949999999999996</v>
      </c>
    </row>
    <row r="670" spans="1:62" ht="16" thickTop="1" x14ac:dyDescent="0.3">
      <c r="A670" s="184">
        <f>A665+1</f>
        <v>41</v>
      </c>
      <c r="B670" s="184" t="s">
        <v>369</v>
      </c>
      <c r="C670" s="184"/>
      <c r="D670" s="185" t="str">
        <f>IF(B672="","If claimed, explain in white box below.","")</f>
        <v/>
      </c>
      <c r="E670" s="187"/>
      <c r="F670" s="1"/>
      <c r="AB670" s="48">
        <f>A670</f>
        <v>41</v>
      </c>
      <c r="AC670" s="48" t="s">
        <v>4010</v>
      </c>
      <c r="AK670" s="620">
        <f>IF(AL670=0,0,1)</f>
        <v>1</v>
      </c>
      <c r="AL670" s="48">
        <f>IF(B674=B$3008,E$3008,IF(B674=B$3009,E$3009,IF(B674=B$3010,E$3010,IF(B674=B$3011,E$3011,0))))</f>
        <v>2</v>
      </c>
      <c r="AM670" s="233" t="str">
        <f>IF(AL670=$E$3011,AC670,"")</f>
        <v/>
      </c>
    </row>
    <row r="671" spans="1:62" ht="28" customHeight="1" x14ac:dyDescent="0.3">
      <c r="A671" s="186"/>
      <c r="B671" s="1031" t="s">
        <v>370</v>
      </c>
      <c r="C671" s="1032"/>
      <c r="D671" s="1033"/>
      <c r="E671" s="187"/>
      <c r="F671" s="1"/>
    </row>
    <row r="672" spans="1:62" ht="138" customHeight="1" thickBot="1" x14ac:dyDescent="0.35">
      <c r="A672" s="186"/>
      <c r="B672" s="1026" t="s">
        <v>371</v>
      </c>
      <c r="C672" s="1027"/>
      <c r="D672" s="1028"/>
      <c r="E672" s="187"/>
      <c r="F672" s="1"/>
      <c r="AA672" s="48">
        <f>AA667+1</f>
        <v>27</v>
      </c>
      <c r="AB672" s="849">
        <f>IF(B674="",0,1)</f>
        <v>1</v>
      </c>
      <c r="AC672" s="853">
        <f>IF(B674=B$3008,D$3008,IF(B674=B$3009,D$3009,IF(B674=B$3010,D$3010,IF(B674=B$3011,D$3011,0))))</f>
        <v>0.5</v>
      </c>
      <c r="AE672" s="850">
        <f>IF(D674=B$3022,E$3022,IF(D674=B$3023,E$3023,IF(D674=B$3024,E$3024,IF(D674=B$3025,E$3025,IF(D674=B$3026,E$3026,IF(D674=B$3027,E$3027,IF(D674=B$3028,E$3028,IF(D674=B$3029,E$3029,D30559))))))))</f>
        <v>0</v>
      </c>
    </row>
    <row r="673" spans="1:62" ht="15" thickTop="1" thickBot="1" x14ac:dyDescent="0.35">
      <c r="A673" s="186"/>
      <c r="B673" s="188" t="str">
        <f>IF(B672="","","Claimed?")</f>
        <v>Claimed?</v>
      </c>
      <c r="C673" s="188" t="str">
        <f>IF(B673="","","Verifiable?")</f>
        <v>Verifiable?</v>
      </c>
      <c r="D673" s="189" t="str">
        <f>IF(C674="","","Independent verification")</f>
        <v>Independent verification</v>
      </c>
      <c r="E673" s="1029">
        <f>BI674</f>
        <v>0.71137499999999976</v>
      </c>
      <c r="F673" s="1030"/>
      <c r="AA673" s="52"/>
      <c r="AB673" s="52" t="s">
        <v>278</v>
      </c>
      <c r="AF673" s="204"/>
      <c r="AG673" s="52" t="s">
        <v>279</v>
      </c>
      <c r="AM673" s="205"/>
      <c r="AN673" s="52" t="s">
        <v>280</v>
      </c>
      <c r="AV673" s="206"/>
      <c r="AX673" s="191" t="s">
        <v>281</v>
      </c>
      <c r="AZ673" s="192" t="s">
        <v>282</v>
      </c>
      <c r="BB673" s="193" t="s">
        <v>283</v>
      </c>
      <c r="BD673" s="192" t="s">
        <v>284</v>
      </c>
      <c r="BG673" s="194" t="s">
        <v>290</v>
      </c>
      <c r="BH673" s="195" t="s">
        <v>291</v>
      </c>
      <c r="BI673" s="194" t="s">
        <v>285</v>
      </c>
      <c r="BJ673" s="195" t="s">
        <v>286</v>
      </c>
    </row>
    <row r="674" spans="1:62" ht="15" thickTop="1" thickBot="1" x14ac:dyDescent="0.35">
      <c r="A674" s="186"/>
      <c r="B674" s="196" t="s">
        <v>335</v>
      </c>
      <c r="C674" s="197" t="s">
        <v>311</v>
      </c>
      <c r="D674" s="207"/>
      <c r="E674" s="1029">
        <f>BJ674</f>
        <v>0.38949999999999996</v>
      </c>
      <c r="F674" s="1030"/>
      <c r="AA674" s="101"/>
      <c r="AB674" s="101">
        <f>IF(B674=$B$3008,$AB$522,0)</f>
        <v>0</v>
      </c>
      <c r="AC674" s="101">
        <f>IF(B674=$B$3009,$AC$522,0)</f>
        <v>0</v>
      </c>
      <c r="AD674" s="101">
        <f>IF(B674=$B$3010,$AD$522,0)</f>
        <v>2.5</v>
      </c>
      <c r="AE674" s="101">
        <f>IF(B674=$B$3011,$AE$522,0)</f>
        <v>0</v>
      </c>
      <c r="AF674" s="208">
        <f>SUM(AB674:AE674)</f>
        <v>2.5</v>
      </c>
      <c r="AG674" s="101">
        <f>IF(C674=$B$3014,$E$3014,0)</f>
        <v>0</v>
      </c>
      <c r="AH674" s="101">
        <f>IF(C674=$B$3015,$E$3015,0)</f>
        <v>0</v>
      </c>
      <c r="AI674" s="101">
        <f>IF(C674=$B$3016,$E$3016,0)</f>
        <v>0</v>
      </c>
      <c r="AJ674" s="101">
        <f>IF(C674=$B$3017,$E$3017,0)</f>
        <v>0</v>
      </c>
      <c r="AK674" s="101">
        <f>IF(C674=$B$3018,$E$3018,0)</f>
        <v>0.45</v>
      </c>
      <c r="AL674" s="101">
        <f>IF(C674=$B$3019,$E$3019,0)</f>
        <v>0</v>
      </c>
      <c r="AM674" s="209">
        <f>SUM(AG674:AL674)</f>
        <v>0.45</v>
      </c>
      <c r="AN674" s="101">
        <f>IF($D674=$B$3022,AN$522,0)</f>
        <v>0</v>
      </c>
      <c r="AO674" s="101">
        <f>IF($D674=$B$3023,AO$522,0)</f>
        <v>0</v>
      </c>
      <c r="AP674" s="101">
        <f>IF($D674=$B$3024,AP$522,0)</f>
        <v>0</v>
      </c>
      <c r="AQ674" s="101">
        <f>IF($D674=$B$3025,AQ$522,0)</f>
        <v>0</v>
      </c>
      <c r="AR674" s="101">
        <f>IF($D674=$B$3026,AR$522,0)</f>
        <v>0</v>
      </c>
      <c r="AS674" s="101">
        <f>IF($D674=$B$3027,AS$522,0)</f>
        <v>0</v>
      </c>
      <c r="AT674" s="101">
        <f>IF($D674=$B$3028,AT$522,0)</f>
        <v>0</v>
      </c>
      <c r="AU674" s="101">
        <f>IF($D674=$B$3029,AU$522,0)</f>
        <v>0</v>
      </c>
      <c r="AV674" s="210">
        <f>SUM(AN674:AU674)</f>
        <v>0</v>
      </c>
      <c r="AX674" s="200">
        <f>AF674*AM674</f>
        <v>1.125</v>
      </c>
      <c r="AZ674" s="146">
        <f>AX674+(AV674*AM674)</f>
        <v>1.125</v>
      </c>
      <c r="BB674" s="201">
        <f>(AF674*AM674)*0.01</f>
        <v>1.125E-2</v>
      </c>
      <c r="BD674" s="202">
        <f>AZ674*0.01</f>
        <v>1.125E-2</v>
      </c>
      <c r="BE674" s="377"/>
      <c r="BG674" s="201">
        <f>IF(AF674&gt;0,BG669+BB674,BG669)</f>
        <v>0.71137499999999976</v>
      </c>
      <c r="BH674" s="202">
        <f>IF(AV674&gt;0,BH669+BD674,BH669)</f>
        <v>0.38949999999999996</v>
      </c>
      <c r="BI674" s="201">
        <f>IF(BG674&gt;0.99,0.99,BG674)</f>
        <v>0.71137499999999976</v>
      </c>
      <c r="BJ674" s="202">
        <f>IF(BH674&gt;0.99,0.99,BH674)</f>
        <v>0.38949999999999996</v>
      </c>
    </row>
    <row r="675" spans="1:62" ht="5" customHeight="1" thickTop="1" x14ac:dyDescent="0.3">
      <c r="A675" s="187"/>
      <c r="B675" s="187"/>
      <c r="C675" s="187"/>
      <c r="D675" s="187"/>
      <c r="E675" s="187"/>
      <c r="F675" s="1"/>
    </row>
    <row r="676" spans="1:62" ht="15.5" x14ac:dyDescent="0.3">
      <c r="A676" s="184">
        <f>A670+1</f>
        <v>42</v>
      </c>
      <c r="B676" s="184" t="s">
        <v>372</v>
      </c>
      <c r="C676" s="184"/>
      <c r="D676" s="185" t="str">
        <f>IF(B678="","If claimed, explain in white box below.","")</f>
        <v/>
      </c>
      <c r="E676" s="187"/>
      <c r="F676" s="1"/>
      <c r="AB676" s="48">
        <f>A676</f>
        <v>42</v>
      </c>
      <c r="AC676" s="48" t="s">
        <v>4009</v>
      </c>
      <c r="AK676" s="620">
        <f>IF(AL676=0,0,1)</f>
        <v>1</v>
      </c>
      <c r="AL676" s="48">
        <f>IF(B680=B$3008,E$3008,IF(B680=B$3009,E$3009,IF(B680=B$3010,E$3010,IF(B680=B$3011,E$3011,0))))</f>
        <v>2</v>
      </c>
      <c r="AM676" s="233" t="str">
        <f>IF(AL676=$E$3011,AC676,"")</f>
        <v/>
      </c>
    </row>
    <row r="677" spans="1:62" ht="28" customHeight="1" x14ac:dyDescent="0.3">
      <c r="A677" s="186"/>
      <c r="B677" s="1031" t="s">
        <v>3648</v>
      </c>
      <c r="C677" s="1032"/>
      <c r="D677" s="1033"/>
      <c r="E677" s="187"/>
      <c r="F677" s="1"/>
      <c r="AC677" s="48" t="s">
        <v>4008</v>
      </c>
    </row>
    <row r="678" spans="1:62" ht="158" customHeight="1" thickBot="1" x14ac:dyDescent="0.35">
      <c r="A678" s="186"/>
      <c r="B678" s="1026" t="s">
        <v>5156</v>
      </c>
      <c r="C678" s="1027"/>
      <c r="D678" s="1028"/>
      <c r="E678" s="187"/>
      <c r="F678" s="1"/>
      <c r="AA678" s="48">
        <f>AA672+1</f>
        <v>28</v>
      </c>
      <c r="AB678" s="849">
        <f>IF(B680="",0,1)</f>
        <v>1</v>
      </c>
      <c r="AC678" s="853">
        <f>IF(B680=B$3008,D$3008,IF(B680=B$3009,D$3009,IF(B680=B$3010,D$3010,IF(B680=B$3011,D$3011,0))))</f>
        <v>0.5</v>
      </c>
      <c r="AE678" s="850">
        <f>IF(D680=B$3022,E$3022,IF(D680=B$3023,E$3023,IF(D680=B$3024,E$3024,IF(D680=B$3025,E$3025,IF(D680=B$3026,E$3026,IF(D680=B$3027,E$3027,IF(D680=B$3028,E$3028,IF(D680=B$3029,E$3029,D30565))))))))</f>
        <v>0</v>
      </c>
    </row>
    <row r="679" spans="1:62" ht="15" thickTop="1" thickBot="1" x14ac:dyDescent="0.35">
      <c r="A679" s="186"/>
      <c r="B679" s="188" t="str">
        <f>IF(B678="","","Claimed?")</f>
        <v>Claimed?</v>
      </c>
      <c r="C679" s="188" t="str">
        <f>IF(B679="","","Verifiable?")</f>
        <v>Verifiable?</v>
      </c>
      <c r="D679" s="189" t="str">
        <f>IF(C680="","","Independent verification")</f>
        <v>Independent verification</v>
      </c>
      <c r="E679" s="1029">
        <f>BI680</f>
        <v>0.72262499999999974</v>
      </c>
      <c r="F679" s="1030"/>
      <c r="AA679" s="52"/>
      <c r="AB679" s="52" t="s">
        <v>278</v>
      </c>
      <c r="AF679" s="204"/>
      <c r="AG679" s="52" t="s">
        <v>279</v>
      </c>
      <c r="AM679" s="205"/>
      <c r="AN679" s="52" t="s">
        <v>280</v>
      </c>
      <c r="AV679" s="206"/>
      <c r="AX679" s="191" t="s">
        <v>281</v>
      </c>
      <c r="AZ679" s="192" t="s">
        <v>282</v>
      </c>
      <c r="BB679" s="193" t="s">
        <v>283</v>
      </c>
      <c r="BD679" s="192" t="s">
        <v>284</v>
      </c>
      <c r="BG679" s="194" t="s">
        <v>290</v>
      </c>
      <c r="BH679" s="195" t="s">
        <v>291</v>
      </c>
      <c r="BI679" s="194" t="s">
        <v>285</v>
      </c>
      <c r="BJ679" s="195" t="s">
        <v>286</v>
      </c>
    </row>
    <row r="680" spans="1:62" ht="15" thickTop="1" thickBot="1" x14ac:dyDescent="0.35">
      <c r="A680" s="186"/>
      <c r="B680" s="196" t="s">
        <v>335</v>
      </c>
      <c r="C680" s="197" t="s">
        <v>311</v>
      </c>
      <c r="D680" s="207"/>
      <c r="E680" s="1029">
        <f>BJ680</f>
        <v>0.38949999999999996</v>
      </c>
      <c r="F680" s="1030"/>
      <c r="AA680" s="101"/>
      <c r="AB680" s="101">
        <f>IF(B680=$B$3008,$AB$522,0)</f>
        <v>0</v>
      </c>
      <c r="AC680" s="101">
        <f>IF(B680=$B$3009,$AC$522,0)</f>
        <v>0</v>
      </c>
      <c r="AD680" s="101">
        <f>IF(B680=$B$3010,$AD$522,0)</f>
        <v>2.5</v>
      </c>
      <c r="AE680" s="101">
        <f>IF(B680=$B$3011,$AE$522,0)</f>
        <v>0</v>
      </c>
      <c r="AF680" s="216">
        <f>SUM(AB680:AE680)</f>
        <v>2.5</v>
      </c>
      <c r="AG680" s="101">
        <f>IF(C680=$B$3014,$E$3014,0)</f>
        <v>0</v>
      </c>
      <c r="AH680" s="101">
        <f>IF(C680=$B$3015,$E$3015,0)</f>
        <v>0</v>
      </c>
      <c r="AI680" s="101">
        <f>IF(C680=$B$3016,$E$3016,0)</f>
        <v>0</v>
      </c>
      <c r="AJ680" s="101">
        <f>IF(C680=$B$3017,$E$3017,0)</f>
        <v>0</v>
      </c>
      <c r="AK680" s="101">
        <f>IF(C680=$B$3018,$E$3018,0)</f>
        <v>0.45</v>
      </c>
      <c r="AL680" s="101">
        <f>IF(C680=$B$3019,$E$3019,0)</f>
        <v>0</v>
      </c>
      <c r="AM680" s="209">
        <f>SUM(AG680:AL680)</f>
        <v>0.45</v>
      </c>
      <c r="AN680" s="101">
        <f>IF($D680=$B$3022,AN$522,0)</f>
        <v>0</v>
      </c>
      <c r="AO680" s="101">
        <f>IF($D680=$B$3023,AO$522,0)</f>
        <v>0</v>
      </c>
      <c r="AP680" s="101">
        <f>IF($D680=$B$3024,AP$522,0)</f>
        <v>0</v>
      </c>
      <c r="AQ680" s="101">
        <f>IF($D680=$B$3025,AQ$522,0)</f>
        <v>0</v>
      </c>
      <c r="AR680" s="101">
        <f>IF($D680=$B$3026,AR$522,0)</f>
        <v>0</v>
      </c>
      <c r="AS680" s="101">
        <f>IF($D680=$B$3027,AS$522,0)</f>
        <v>0</v>
      </c>
      <c r="AT680" s="101">
        <f>IF($D680=$B$3028,AT$522,0)</f>
        <v>0</v>
      </c>
      <c r="AU680" s="101">
        <f>IF($D680=$B$3029,AU$522,0)</f>
        <v>0</v>
      </c>
      <c r="AV680" s="210">
        <f>SUM(AN680:AU680)</f>
        <v>0</v>
      </c>
      <c r="AX680" s="200">
        <f>AF680*AM680</f>
        <v>1.125</v>
      </c>
      <c r="AZ680" s="146">
        <f>AX680+(AV680*AM680)</f>
        <v>1.125</v>
      </c>
      <c r="BB680" s="201">
        <f>(AF680*AM680)*0.01</f>
        <v>1.125E-2</v>
      </c>
      <c r="BD680" s="202">
        <f>AZ680*0.01</f>
        <v>1.125E-2</v>
      </c>
      <c r="BE680" s="377"/>
      <c r="BG680" s="201">
        <f>IF(AF680&gt;0,BG674+BB680,BG674)</f>
        <v>0.72262499999999974</v>
      </c>
      <c r="BH680" s="202">
        <f>IF(AV680&gt;0,BH674+BD680,BH674)</f>
        <v>0.38949999999999996</v>
      </c>
      <c r="BI680" s="201">
        <f>IF(BG680&gt;0.99,0.99,BG680)</f>
        <v>0.72262499999999974</v>
      </c>
      <c r="BJ680" s="202">
        <f>IF(BH680&gt;0.99,0.99,BH680)</f>
        <v>0.38949999999999996</v>
      </c>
    </row>
    <row r="681" spans="1:62" ht="16" thickTop="1" x14ac:dyDescent="0.3">
      <c r="A681" s="184">
        <f>A676+1</f>
        <v>43</v>
      </c>
      <c r="B681" s="184" t="s">
        <v>373</v>
      </c>
      <c r="C681" s="184"/>
      <c r="D681" s="185" t="str">
        <f>IF(B683="","If claimed, explain in white box below.","")</f>
        <v/>
      </c>
      <c r="E681" s="187"/>
      <c r="F681" s="1"/>
      <c r="AB681" s="48">
        <f>A681</f>
        <v>43</v>
      </c>
      <c r="AC681" s="48" t="s">
        <v>4007</v>
      </c>
      <c r="AK681" s="620">
        <f>IF(AL681=0,0,1)</f>
        <v>1</v>
      </c>
      <c r="AL681" s="48">
        <f>IF(B685=B$3008,E$3008,IF(B685=B$3009,E$3009,IF(B685=B$3010,E$3010,IF(B685=B$3011,E$3011,0))))</f>
        <v>2</v>
      </c>
      <c r="AM681" s="233" t="str">
        <f>IF(AL681=$E$3011,AC681,"")</f>
        <v/>
      </c>
    </row>
    <row r="682" spans="1:62" x14ac:dyDescent="0.3">
      <c r="A682" s="186"/>
      <c r="B682" s="1031" t="s">
        <v>374</v>
      </c>
      <c r="C682" s="1032"/>
      <c r="D682" s="1033"/>
      <c r="E682" s="187"/>
      <c r="F682" s="1"/>
    </row>
    <row r="683" spans="1:62" ht="158" customHeight="1" thickBot="1" x14ac:dyDescent="0.35">
      <c r="A683" s="186"/>
      <c r="B683" s="1026" t="s">
        <v>375</v>
      </c>
      <c r="C683" s="1027"/>
      <c r="D683" s="1028"/>
      <c r="E683" s="187"/>
      <c r="F683" s="1"/>
      <c r="AA683" s="48">
        <f>AA678+1</f>
        <v>29</v>
      </c>
      <c r="AB683" s="849">
        <f>IF(B685="",0,1)</f>
        <v>1</v>
      </c>
      <c r="AC683" s="853">
        <f>IF(B685=B$3008,D$3008,IF(B685=B$3009,D$3009,IF(B685=B$3010,D$3010,IF(B685=B$3011,D$3011,0))))</f>
        <v>0.5</v>
      </c>
      <c r="AE683" s="850">
        <f>IF(D685=B$3022,E$3022,IF(D685=B$3023,E$3023,IF(D685=B$3024,E$3024,IF(D685=B$3025,E$3025,IF(D685=B$3026,E$3026,IF(D685=B$3027,E$3027,IF(D685=B$3028,E$3028,IF(D685=B$3029,E$3029,D30570))))))))</f>
        <v>0</v>
      </c>
    </row>
    <row r="684" spans="1:62" ht="15" thickTop="1" thickBot="1" x14ac:dyDescent="0.35">
      <c r="A684" s="186"/>
      <c r="B684" s="188" t="str">
        <f>IF(B683="","","Claimed?")</f>
        <v>Claimed?</v>
      </c>
      <c r="C684" s="188" t="str">
        <f>IF(B684="","","Verifiable?")</f>
        <v>Verifiable?</v>
      </c>
      <c r="D684" s="189" t="str">
        <f>IF(C685="","","Independent verification")</f>
        <v>Independent verification</v>
      </c>
      <c r="E684" s="1029">
        <f>BI685</f>
        <v>0.73137499999999978</v>
      </c>
      <c r="F684" s="1030"/>
      <c r="AA684" s="52"/>
      <c r="AB684" s="52" t="s">
        <v>278</v>
      </c>
      <c r="AF684" s="204"/>
      <c r="AG684" s="52" t="s">
        <v>279</v>
      </c>
      <c r="AM684" s="205"/>
      <c r="AN684" s="52" t="s">
        <v>280</v>
      </c>
      <c r="AV684" s="206"/>
      <c r="AX684" s="191" t="s">
        <v>281</v>
      </c>
      <c r="AZ684" s="192" t="s">
        <v>282</v>
      </c>
      <c r="BB684" s="193" t="s">
        <v>283</v>
      </c>
      <c r="BD684" s="192" t="s">
        <v>284</v>
      </c>
      <c r="BG684" s="194" t="s">
        <v>290</v>
      </c>
      <c r="BH684" s="195" t="s">
        <v>291</v>
      </c>
      <c r="BI684" s="194" t="s">
        <v>285</v>
      </c>
      <c r="BJ684" s="195" t="s">
        <v>286</v>
      </c>
    </row>
    <row r="685" spans="1:62" ht="15" thickTop="1" thickBot="1" x14ac:dyDescent="0.35">
      <c r="A685" s="186"/>
      <c r="B685" s="196" t="s">
        <v>335</v>
      </c>
      <c r="C685" s="197" t="s">
        <v>322</v>
      </c>
      <c r="D685" s="207"/>
      <c r="E685" s="1029">
        <f>BJ685</f>
        <v>0.38949999999999996</v>
      </c>
      <c r="F685" s="1030"/>
      <c r="AA685" s="101"/>
      <c r="AB685" s="101">
        <f>IF(B685=$B$3008,$AB$522,0)</f>
        <v>0</v>
      </c>
      <c r="AC685" s="101">
        <f>IF(B685=$B$3009,$AC$522,0)</f>
        <v>0</v>
      </c>
      <c r="AD685" s="101">
        <f>IF(B685=$B$3010,$AD$522,0)</f>
        <v>2.5</v>
      </c>
      <c r="AE685" s="101">
        <f>IF(B685=$B$3011,$AE$522,0)</f>
        <v>0</v>
      </c>
      <c r="AF685" s="208">
        <f>SUM(AB685:AE685)</f>
        <v>2.5</v>
      </c>
      <c r="AG685" s="101">
        <f>IF(C685=$B$3014,$E$3014,0)</f>
        <v>0</v>
      </c>
      <c r="AH685" s="101">
        <f>IF(C685=$B$3015,$E$3015,0)</f>
        <v>0</v>
      </c>
      <c r="AI685" s="101">
        <f>IF(C685=$B$3016,$E$3016,0)</f>
        <v>0.35000000000000003</v>
      </c>
      <c r="AJ685" s="101">
        <f>IF(C685=$B$3017,$E$3017,0)</f>
        <v>0</v>
      </c>
      <c r="AK685" s="101">
        <f>IF(C685=$B$3018,$E$3018,0)</f>
        <v>0</v>
      </c>
      <c r="AL685" s="101">
        <f>IF(C685=$B$3019,$E$3019,0)</f>
        <v>0</v>
      </c>
      <c r="AM685" s="209">
        <f>SUM(AG685:AL685)</f>
        <v>0.35000000000000003</v>
      </c>
      <c r="AN685" s="101">
        <f>IF($D685=$B$3022,AN$522,0)</f>
        <v>0</v>
      </c>
      <c r="AO685" s="101">
        <f>IF($D685=$B$3023,AO$522,0)</f>
        <v>0</v>
      </c>
      <c r="AP685" s="101">
        <f>IF($D685=$B$3024,AP$522,0)</f>
        <v>0</v>
      </c>
      <c r="AQ685" s="101">
        <f>IF($D685=$B$3025,AQ$522,0)</f>
        <v>0</v>
      </c>
      <c r="AR685" s="101">
        <f>IF($D685=$B$3026,AR$522,0)</f>
        <v>0</v>
      </c>
      <c r="AS685" s="101">
        <f>IF($D685=$B$3027,AS$522,0)</f>
        <v>0</v>
      </c>
      <c r="AT685" s="101">
        <f>IF($D685=$B$3028,AT$522,0)</f>
        <v>0</v>
      </c>
      <c r="AU685" s="101">
        <f>IF($D685=$B$3029,AU$522,0)</f>
        <v>0</v>
      </c>
      <c r="AV685" s="210">
        <f>SUM(AN685:AU685)</f>
        <v>0</v>
      </c>
      <c r="AX685" s="200">
        <f>AF685*AM685</f>
        <v>0.87500000000000011</v>
      </c>
      <c r="AZ685" s="146">
        <f>AX685+(AV685*AM685)</f>
        <v>0.87500000000000011</v>
      </c>
      <c r="BB685" s="201">
        <f>(AF685*AM685)*0.01</f>
        <v>8.7500000000000008E-3</v>
      </c>
      <c r="BD685" s="202">
        <f>AZ685*0.01</f>
        <v>8.7500000000000008E-3</v>
      </c>
      <c r="BE685" s="377"/>
      <c r="BG685" s="201">
        <f>IF(AF685&gt;0,BG680+BB685,BG680)</f>
        <v>0.73137499999999978</v>
      </c>
      <c r="BH685" s="202">
        <f>IF(AV685&gt;0,BH680+BD685,BH680)</f>
        <v>0.38949999999999996</v>
      </c>
      <c r="BI685" s="201">
        <f>IF(BG685&gt;0.99,0.99,BG685)</f>
        <v>0.73137499999999978</v>
      </c>
      <c r="BJ685" s="202">
        <f>IF(BH685&gt;0.99,0.99,BH685)</f>
        <v>0.38949999999999996</v>
      </c>
    </row>
    <row r="686" spans="1:62" ht="16" thickTop="1" x14ac:dyDescent="0.3">
      <c r="A686" s="184">
        <f>A681+1</f>
        <v>44</v>
      </c>
      <c r="B686" s="184" t="s">
        <v>376</v>
      </c>
      <c r="C686" s="184"/>
      <c r="D686" s="185" t="str">
        <f>IF(B688="","If claimed, explain in white box below.","")</f>
        <v/>
      </c>
      <c r="E686" s="187"/>
      <c r="F686" s="1"/>
      <c r="AB686" s="48">
        <f>A686</f>
        <v>44</v>
      </c>
      <c r="AC686" s="48" t="s">
        <v>4006</v>
      </c>
      <c r="AK686" s="620">
        <f>IF(AL686=0,0,1)</f>
        <v>1</v>
      </c>
      <c r="AL686" s="48">
        <f>IF(B690=B$3008,E$3008,IF(B690=B$3009,E$3009,IF(B690=B$3010,E$3010,IF(B690=B$3011,E$3011,0))))</f>
        <v>4</v>
      </c>
      <c r="AM686" s="233" t="str">
        <f>IF(AL686=$E$3011,AC686,"")</f>
        <v>no criminal history</v>
      </c>
    </row>
    <row r="687" spans="1:62" x14ac:dyDescent="0.3">
      <c r="A687" s="186"/>
      <c r="B687" s="1031" t="s">
        <v>377</v>
      </c>
      <c r="C687" s="1032"/>
      <c r="D687" s="1033"/>
      <c r="E687" s="187"/>
      <c r="F687" s="1"/>
    </row>
    <row r="688" spans="1:62" ht="158" customHeight="1" thickBot="1" x14ac:dyDescent="0.35">
      <c r="A688" s="186"/>
      <c r="B688" s="1026" t="s">
        <v>378</v>
      </c>
      <c r="C688" s="1027"/>
      <c r="D688" s="1028"/>
      <c r="E688" s="187"/>
      <c r="F688" s="1"/>
      <c r="AA688" s="48">
        <f>AA683+1</f>
        <v>30</v>
      </c>
      <c r="AB688" s="849">
        <f>IF(B690="",0,1)</f>
        <v>1</v>
      </c>
      <c r="AC688" s="853">
        <f>IF(B690=B$3008,D$3008,IF(B690=B$3009,D$3009,IF(B690=B$3010,D$3010,IF(B690=B$3011,D$3011,0))))</f>
        <v>1</v>
      </c>
      <c r="AE688" s="850">
        <f>IF(D690=B$3022,E$3022,IF(D690=B$3023,E$3023,IF(D690=B$3024,E$3024,IF(D690=B$3025,E$3025,IF(D690=B$3026,E$3026,IF(D690=B$3027,E$3027,IF(D690=B$3028,E$3028,IF(D690=B$3029,E$3029,D30575))))))))</f>
        <v>0</v>
      </c>
    </row>
    <row r="689" spans="1:62" ht="15" thickTop="1" thickBot="1" x14ac:dyDescent="0.35">
      <c r="A689" s="186"/>
      <c r="B689" s="188" t="str">
        <f>IF(B688="","","Claimed?")</f>
        <v>Claimed?</v>
      </c>
      <c r="C689" s="188" t="str">
        <f>IF(B689="","","Verifiable?")</f>
        <v>Verifiable?</v>
      </c>
      <c r="D689" s="189" t="str">
        <f>IF(C690="","","Independent verification")</f>
        <v>Independent verification</v>
      </c>
      <c r="E689" s="1029">
        <f>BI690</f>
        <v>0.75137499999999979</v>
      </c>
      <c r="F689" s="1030"/>
      <c r="AA689" s="52"/>
      <c r="AB689" s="52" t="s">
        <v>278</v>
      </c>
      <c r="AF689" s="204"/>
      <c r="AG689" s="52" t="s">
        <v>279</v>
      </c>
      <c r="AM689" s="205"/>
      <c r="AN689" s="52" t="s">
        <v>280</v>
      </c>
      <c r="AV689" s="206"/>
      <c r="AX689" s="191" t="s">
        <v>281</v>
      </c>
      <c r="AZ689" s="192" t="s">
        <v>282</v>
      </c>
      <c r="BB689" s="193" t="s">
        <v>283</v>
      </c>
      <c r="BD689" s="192" t="s">
        <v>284</v>
      </c>
      <c r="BG689" s="194" t="s">
        <v>290</v>
      </c>
      <c r="BH689" s="195" t="s">
        <v>291</v>
      </c>
      <c r="BI689" s="194" t="s">
        <v>285</v>
      </c>
      <c r="BJ689" s="195" t="s">
        <v>286</v>
      </c>
    </row>
    <row r="690" spans="1:62" ht="15" thickTop="1" thickBot="1" x14ac:dyDescent="0.35">
      <c r="A690" s="186"/>
      <c r="B690" s="196" t="s">
        <v>295</v>
      </c>
      <c r="C690" s="197" t="s">
        <v>379</v>
      </c>
      <c r="D690" s="207"/>
      <c r="E690" s="1029">
        <f>BJ690</f>
        <v>0.38949999999999996</v>
      </c>
      <c r="F690" s="1030"/>
      <c r="AA690" s="101"/>
      <c r="AB690" s="101">
        <f>IF(B690=$B$3008,$AB$522,0)</f>
        <v>0</v>
      </c>
      <c r="AC690" s="101">
        <f>IF(B690=$B$3009,$AC$522,0)</f>
        <v>0</v>
      </c>
      <c r="AD690" s="101">
        <f>IF(B690=$B$3010,$AD$522,0)</f>
        <v>0</v>
      </c>
      <c r="AE690" s="101">
        <f>IF(B690=$B$3011,$AE$522,0)</f>
        <v>5</v>
      </c>
      <c r="AF690" s="208">
        <f>SUM(AB690:AE690)</f>
        <v>5</v>
      </c>
      <c r="AG690" s="101">
        <f>IF(C690=$B$3014,$E$3014,0)</f>
        <v>0</v>
      </c>
      <c r="AH690" s="101">
        <f>IF(C690=$B$3015,$E$3015,0)</f>
        <v>0</v>
      </c>
      <c r="AI690" s="101">
        <f>IF(C690=$B$3016,$E$3016,0)</f>
        <v>0</v>
      </c>
      <c r="AJ690" s="101">
        <f>IF(C690=$B$3017,$E$3017,0)</f>
        <v>0.4</v>
      </c>
      <c r="AK690" s="101">
        <f>IF(C690=$B$3018,$E$3018,0)</f>
        <v>0</v>
      </c>
      <c r="AL690" s="101">
        <f>IF(C690=$B$3019,$E$3019,0)</f>
        <v>0</v>
      </c>
      <c r="AM690" s="209">
        <f>SUM(AG690:AL690)</f>
        <v>0.4</v>
      </c>
      <c r="AN690" s="101">
        <f>IF($D690=$B$3022,AN$522,0)</f>
        <v>0</v>
      </c>
      <c r="AO690" s="101">
        <f>IF($D690=$B$3023,AO$522,0)</f>
        <v>0</v>
      </c>
      <c r="AP690" s="101">
        <f>IF($D690=$B$3024,AP$522,0)</f>
        <v>0</v>
      </c>
      <c r="AQ690" s="101">
        <f>IF($D690=$B$3025,AQ$522,0)</f>
        <v>0</v>
      </c>
      <c r="AR690" s="101">
        <f>IF($D690=$B$3026,AR$522,0)</f>
        <v>0</v>
      </c>
      <c r="AS690" s="101">
        <f>IF($D690=$B$3027,AS$522,0)</f>
        <v>0</v>
      </c>
      <c r="AT690" s="101">
        <f>IF($D690=$B$3028,AT$522,0)</f>
        <v>0</v>
      </c>
      <c r="AU690" s="101">
        <f>IF($D690=$B$3029,AU$522,0)</f>
        <v>0</v>
      </c>
      <c r="AV690" s="210">
        <f>SUM(AN690:AU690)</f>
        <v>0</v>
      </c>
      <c r="AX690" s="200">
        <f>AF690*AM690</f>
        <v>2</v>
      </c>
      <c r="AZ690" s="146">
        <f>AX690+(AV690*AM690)</f>
        <v>2</v>
      </c>
      <c r="BB690" s="201">
        <f>(AF690*AM690)*0.01</f>
        <v>0.02</v>
      </c>
      <c r="BD690" s="202">
        <f>AZ690*0.01</f>
        <v>0.02</v>
      </c>
      <c r="BE690" s="377"/>
      <c r="BG690" s="201">
        <f>IF(AF690&gt;0,BG685+BB690,BG685)</f>
        <v>0.75137499999999979</v>
      </c>
      <c r="BH690" s="202">
        <f>IF(AV690&gt;0,BH685+BD690,BH685)</f>
        <v>0.38949999999999996</v>
      </c>
      <c r="BI690" s="201">
        <f>IF(BG690&gt;0.99,0.99,BG690)</f>
        <v>0.75137499999999979</v>
      </c>
      <c r="BJ690" s="202">
        <f>IF(BH690&gt;0.99,0.99,BH690)</f>
        <v>0.38949999999999996</v>
      </c>
    </row>
    <row r="691" spans="1:62" ht="5" customHeight="1" thickTop="1" x14ac:dyDescent="0.3">
      <c r="A691" s="187"/>
      <c r="B691" s="187"/>
      <c r="C691" s="187"/>
      <c r="D691" s="187"/>
      <c r="E691" s="187"/>
      <c r="F691" s="1"/>
      <c r="AA691" s="101"/>
      <c r="AB691" s="101"/>
      <c r="AC691" s="101"/>
      <c r="AD691" s="101"/>
      <c r="AE691" s="101"/>
      <c r="AF691" s="208"/>
      <c r="AG691" s="101"/>
      <c r="AH691" s="101"/>
      <c r="AI691" s="101"/>
      <c r="AJ691" s="101"/>
      <c r="AK691" s="101"/>
      <c r="AL691" s="101"/>
      <c r="AM691" s="209"/>
      <c r="AN691" s="101"/>
      <c r="AO691" s="101"/>
      <c r="AP691" s="101"/>
      <c r="AQ691" s="101"/>
      <c r="AR691" s="101"/>
      <c r="AS691" s="101"/>
      <c r="AT691" s="101"/>
      <c r="AU691" s="101"/>
      <c r="AV691" s="210"/>
      <c r="AX691" s="200"/>
      <c r="AZ691" s="146"/>
      <c r="BB691" s="201"/>
      <c r="BD691" s="202"/>
      <c r="BE691" s="377"/>
      <c r="BG691" s="201"/>
      <c r="BH691" s="202"/>
      <c r="BI691" s="201"/>
      <c r="BJ691" s="202"/>
    </row>
    <row r="692" spans="1:62" ht="15.5" x14ac:dyDescent="0.3">
      <c r="A692" s="184">
        <f>A686+1</f>
        <v>45</v>
      </c>
      <c r="B692" s="184" t="s">
        <v>380</v>
      </c>
      <c r="C692" s="184"/>
      <c r="D692" s="185" t="str">
        <f>IF(B694="","If claimed, explain in white box below.","")</f>
        <v/>
      </c>
      <c r="E692" s="187"/>
      <c r="F692" s="1"/>
      <c r="AB692" s="48">
        <f>A692</f>
        <v>45</v>
      </c>
      <c r="AC692" s="48" t="s">
        <v>4005</v>
      </c>
      <c r="AK692" s="620">
        <f>IF(AL692=0,0,1)</f>
        <v>1</v>
      </c>
      <c r="AL692" s="48">
        <f>IF(B696=B$3008,E$3008,IF(B696=B$3009,E$3009,IF(B696=B$3010,E$3010,IF(B696=B$3011,E$3011,0))))</f>
        <v>2</v>
      </c>
      <c r="AM692" s="233" t="str">
        <f>IF(AL692=$E$3011,AC692,"")</f>
        <v/>
      </c>
    </row>
    <row r="693" spans="1:62" x14ac:dyDescent="0.3">
      <c r="A693" s="186"/>
      <c r="B693" s="1031" t="s">
        <v>381</v>
      </c>
      <c r="C693" s="1032"/>
      <c r="D693" s="1033"/>
      <c r="E693" s="187"/>
      <c r="F693" s="1"/>
    </row>
    <row r="694" spans="1:62" ht="180" customHeight="1" thickBot="1" x14ac:dyDescent="0.35">
      <c r="A694" s="186"/>
      <c r="B694" s="1026" t="s">
        <v>382</v>
      </c>
      <c r="C694" s="1027"/>
      <c r="D694" s="1028"/>
      <c r="E694" s="187"/>
      <c r="F694" s="1"/>
      <c r="AA694" s="48">
        <f>AA688+1</f>
        <v>31</v>
      </c>
      <c r="AB694" s="849">
        <f>IF(B696="",0,1)</f>
        <v>1</v>
      </c>
      <c r="AC694" s="853">
        <f>IF(B696=B$3008,D$3008,IF(B696=B$3009,D$3009,IF(B696=B$3010,D$3010,IF(B696=B$3011,D$3011,0))))</f>
        <v>0.5</v>
      </c>
      <c r="AE694" s="850">
        <f>IF(D696=B$3022,E$3022,IF(D696=B$3023,E$3023,IF(D696=B$3024,E$3024,IF(D696=B$3025,E$3025,IF(D696=B$3026,E$3026,IF(D696=B$3027,E$3027,IF(D696=B$3028,E$3028,IF(D696=B$3029,E$3029,D30581))))))))</f>
        <v>0</v>
      </c>
    </row>
    <row r="695" spans="1:62" ht="15" thickTop="1" thickBot="1" x14ac:dyDescent="0.35">
      <c r="A695" s="186"/>
      <c r="B695" s="188" t="str">
        <f>IF(B694="","","Claimed?")</f>
        <v>Claimed?</v>
      </c>
      <c r="C695" s="188" t="str">
        <f>IF(B695="","","Verifiable?")</f>
        <v>Verifiable?</v>
      </c>
      <c r="D695" s="189" t="str">
        <f>IF(C696="","","Independent verification")</f>
        <v>Independent verification</v>
      </c>
      <c r="E695" s="1029">
        <f>BI696</f>
        <v>0.75887499999999974</v>
      </c>
      <c r="F695" s="1030"/>
      <c r="AA695" s="52"/>
      <c r="AB695" s="52" t="s">
        <v>278</v>
      </c>
      <c r="AF695" s="204"/>
      <c r="AG695" s="52" t="s">
        <v>279</v>
      </c>
      <c r="AM695" s="205"/>
      <c r="AN695" s="52" t="s">
        <v>280</v>
      </c>
      <c r="AV695" s="206"/>
      <c r="AX695" s="191" t="s">
        <v>281</v>
      </c>
      <c r="AZ695" s="192" t="s">
        <v>282</v>
      </c>
      <c r="BB695" s="193" t="s">
        <v>283</v>
      </c>
      <c r="BD695" s="192" t="s">
        <v>284</v>
      </c>
      <c r="BG695" s="194" t="s">
        <v>290</v>
      </c>
      <c r="BH695" s="195" t="s">
        <v>291</v>
      </c>
      <c r="BI695" s="194" t="s">
        <v>285</v>
      </c>
      <c r="BJ695" s="195" t="s">
        <v>286</v>
      </c>
    </row>
    <row r="696" spans="1:62" ht="15" thickTop="1" thickBot="1" x14ac:dyDescent="0.35">
      <c r="A696" s="186"/>
      <c r="B696" s="196" t="s">
        <v>335</v>
      </c>
      <c r="C696" s="197" t="s">
        <v>315</v>
      </c>
      <c r="D696" s="207"/>
      <c r="E696" s="1029">
        <f>BJ696</f>
        <v>0.38949999999999996</v>
      </c>
      <c r="F696" s="1030"/>
      <c r="AA696" s="101"/>
      <c r="AB696" s="101">
        <f>IF(B696=$B$3008,$AB$522,0)</f>
        <v>0</v>
      </c>
      <c r="AC696" s="101">
        <f>IF(B696=$B$3009,$AC$522,0)</f>
        <v>0</v>
      </c>
      <c r="AD696" s="101">
        <f>IF(B696=$B$3010,$AD$522,0)</f>
        <v>2.5</v>
      </c>
      <c r="AE696" s="101">
        <f>IF(B696=$B$3011,$AE$522,0)</f>
        <v>0</v>
      </c>
      <c r="AF696" s="208">
        <f>SUM(AB696:AE696)</f>
        <v>2.5</v>
      </c>
      <c r="AG696" s="101">
        <f>IF(C696=$B$3014,$E$3014,0)</f>
        <v>0</v>
      </c>
      <c r="AH696" s="101">
        <f>IF(C696=$B$3015,$E$3015,0)</f>
        <v>0.30000000000000004</v>
      </c>
      <c r="AI696" s="101">
        <f>IF(C696=$B$3016,$E$3016,0)</f>
        <v>0</v>
      </c>
      <c r="AJ696" s="101">
        <f>IF(C696=$B$3017,$E$3017,0)</f>
        <v>0</v>
      </c>
      <c r="AK696" s="101">
        <f>IF(C696=$B$3018,$E$3018,0)</f>
        <v>0</v>
      </c>
      <c r="AL696" s="101">
        <f>IF(C696=$B$3019,$E$3019,0)</f>
        <v>0</v>
      </c>
      <c r="AM696" s="209">
        <f>SUM(AG696:AL696)</f>
        <v>0.30000000000000004</v>
      </c>
      <c r="AN696" s="101">
        <f>IF($D696=$B$3022,AN$522,0)</f>
        <v>0</v>
      </c>
      <c r="AO696" s="101">
        <f>IF($D696=$B$3023,AO$522,0)</f>
        <v>0</v>
      </c>
      <c r="AP696" s="101">
        <f>IF($D696=$B$3024,AP$522,0)</f>
        <v>0</v>
      </c>
      <c r="AQ696" s="101">
        <f>IF($D696=$B$3025,AQ$522,0)</f>
        <v>0</v>
      </c>
      <c r="AR696" s="101">
        <f>IF($D696=$B$3026,AR$522,0)</f>
        <v>0</v>
      </c>
      <c r="AS696" s="101">
        <f>IF($D696=$B$3027,AS$522,0)</f>
        <v>0</v>
      </c>
      <c r="AT696" s="101">
        <f>IF($D696=$B$3028,AT$522,0)</f>
        <v>0</v>
      </c>
      <c r="AU696" s="101">
        <f>IF($D696=$B$3029,AU$522,0)</f>
        <v>0</v>
      </c>
      <c r="AV696" s="210">
        <f>SUM(AN696:AU696)</f>
        <v>0</v>
      </c>
      <c r="AX696" s="200">
        <f>AF696*AM696</f>
        <v>0.75000000000000011</v>
      </c>
      <c r="AZ696" s="146">
        <f>AX696+(AV696*AM696)</f>
        <v>0.75000000000000011</v>
      </c>
      <c r="BB696" s="201">
        <f>(AF696*AM696)*0.01</f>
        <v>7.5000000000000015E-3</v>
      </c>
      <c r="BD696" s="202">
        <f>AZ696*0.01</f>
        <v>7.5000000000000015E-3</v>
      </c>
      <c r="BE696" s="377"/>
      <c r="BG696" s="201">
        <f>IF(AF696&gt;0,BG690+BB696,BG690)</f>
        <v>0.75887499999999974</v>
      </c>
      <c r="BH696" s="202">
        <f>IF(AV696&gt;0,BH690+BD696,BH690)</f>
        <v>0.38949999999999996</v>
      </c>
      <c r="BI696" s="201">
        <f>IF(BG696&gt;0.99,0.99,BG696)</f>
        <v>0.75887499999999974</v>
      </c>
      <c r="BJ696" s="202">
        <f>IF(BH696&gt;0.99,0.99,BH696)</f>
        <v>0.38949999999999996</v>
      </c>
    </row>
    <row r="697" spans="1:62" ht="15" thickTop="1" thickBot="1" x14ac:dyDescent="0.35">
      <c r="A697" s="186"/>
      <c r="B697" s="217"/>
      <c r="C697" s="217"/>
      <c r="D697" s="217"/>
      <c r="E697" s="187"/>
      <c r="F697" s="1"/>
    </row>
    <row r="698" spans="1:62" x14ac:dyDescent="0.3">
      <c r="A698" s="186"/>
      <c r="B698" s="187"/>
      <c r="C698" s="187"/>
      <c r="D698" s="187"/>
      <c r="E698" s="187"/>
      <c r="F698" s="1"/>
    </row>
    <row r="699" spans="1:62" ht="15.5" x14ac:dyDescent="0.3">
      <c r="A699" s="186"/>
      <c r="B699" s="184"/>
      <c r="C699" s="187"/>
      <c r="D699" s="187"/>
      <c r="E699" s="187"/>
      <c r="F699" s="1"/>
    </row>
    <row r="700" spans="1:62" ht="20" customHeight="1" x14ac:dyDescent="0.3">
      <c r="A700" s="186"/>
      <c r="B700" s="589"/>
      <c r="C700" s="187"/>
      <c r="D700" s="187"/>
      <c r="E700" s="187"/>
      <c r="F700" s="1"/>
    </row>
    <row r="701" spans="1:62" ht="16" customHeight="1" x14ac:dyDescent="0.3">
      <c r="A701" s="186"/>
      <c r="B701" s="589"/>
      <c r="C701" s="187"/>
      <c r="D701" s="187"/>
      <c r="E701" s="187"/>
      <c r="F701" s="1"/>
    </row>
    <row r="702" spans="1:62" x14ac:dyDescent="0.3">
      <c r="A702" s="186"/>
      <c r="B702" s="187"/>
      <c r="C702" s="187"/>
      <c r="D702" s="187"/>
      <c r="E702" s="187"/>
      <c r="F702" s="1"/>
    </row>
    <row r="703" spans="1:62" ht="14.5" thickBot="1" x14ac:dyDescent="0.35">
      <c r="A703" s="186"/>
      <c r="B703" s="187"/>
      <c r="C703" s="187"/>
      <c r="D703" s="187"/>
      <c r="E703" s="187"/>
      <c r="F703" s="1"/>
    </row>
    <row r="704" spans="1:62" ht="315" customHeight="1" thickTop="1" thickBot="1" x14ac:dyDescent="0.35">
      <c r="A704" s="186"/>
      <c r="B704" s="1034"/>
      <c r="C704" s="1035"/>
      <c r="D704" s="1036"/>
      <c r="E704" s="187"/>
      <c r="F704" s="1"/>
    </row>
    <row r="705" spans="1:62" ht="14.5" thickTop="1" x14ac:dyDescent="0.3">
      <c r="A705" s="186"/>
      <c r="B705" s="187"/>
      <c r="C705" s="187"/>
      <c r="D705" s="187"/>
      <c r="E705" s="187"/>
      <c r="F705" s="1"/>
      <c r="AB705" s="48" t="str">
        <f>AB706</f>
        <v xml:space="preserve">No significant recognized innocence. </v>
      </c>
    </row>
    <row r="706" spans="1:62" ht="30" customHeight="1" x14ac:dyDescent="0.3">
      <c r="A706" s="1199" t="s">
        <v>76</v>
      </c>
      <c r="B706" s="40" t="s">
        <v>383</v>
      </c>
      <c r="C706" s="40"/>
      <c r="D706" s="40"/>
      <c r="E706" s="436"/>
      <c r="F706" s="436" t="s">
        <v>869</v>
      </c>
      <c r="AB706" s="618" t="str">
        <f>IF(AND(B712&lt;&gt;$B$3011,B717&lt;&gt;$B$3011,B722&lt;&gt;$B$3011,B728&lt;&gt;$B$3011,B733&lt;&gt;$B$3011,B738&lt;&gt;$B$3011,B743&lt;&gt;$B$3011),"No significant recognized innocence. ",CONCATENATE(AJ706,AM706,AN706,AO706,AP706,AQ706,AR706,AS706,AT706,AU706,AV706,AW706,AX706,AY706,AZ706,BA706))</f>
        <v xml:space="preserve">No significant recognized innocence. </v>
      </c>
      <c r="AJ706" s="48" t="s">
        <v>4041</v>
      </c>
      <c r="AM706" s="48" t="str">
        <f>IF(AM708="","",AM708)</f>
        <v/>
      </c>
      <c r="AN706" s="48" t="str">
        <f>IF(AO706="","",", ")</f>
        <v/>
      </c>
      <c r="AO706" s="48" t="str">
        <f>AM713</f>
        <v/>
      </c>
      <c r="AP706" s="48" t="str">
        <f>IF(AQ706="","",", ")</f>
        <v/>
      </c>
      <c r="AQ706" s="48" t="str">
        <f>AM718</f>
        <v/>
      </c>
      <c r="AR706" s="48" t="str">
        <f>IF(AS706="","",", ")</f>
        <v/>
      </c>
      <c r="AS706" s="48" t="str">
        <f>AM724</f>
        <v/>
      </c>
      <c r="AT706" s="48" t="str">
        <f>IF(AU706="","",", ")</f>
        <v/>
      </c>
      <c r="AU706" s="48" t="str">
        <f>AM729</f>
        <v/>
      </c>
      <c r="AV706" s="48" t="str">
        <f>IF(AW706="","",", ")</f>
        <v/>
      </c>
      <c r="AW706" s="48" t="str">
        <f>IF(AX706="","",", ")</f>
        <v/>
      </c>
      <c r="AX706" s="48" t="str">
        <f>AM734</f>
        <v/>
      </c>
      <c r="AY706" s="48" t="str">
        <f>IF(AZ706="","",", ")</f>
        <v/>
      </c>
      <c r="AZ706" s="48" t="str">
        <f>AM739</f>
        <v/>
      </c>
      <c r="BA706" s="48" t="s">
        <v>4031</v>
      </c>
    </row>
    <row r="707" spans="1:62" ht="20" customHeight="1" x14ac:dyDescent="0.3">
      <c r="A707" s="97" t="s">
        <v>384</v>
      </c>
      <c r="B707" s="98"/>
      <c r="C707" s="98"/>
      <c r="D707" s="98"/>
      <c r="E707" s="99"/>
      <c r="F707" s="97"/>
      <c r="AA707" s="175"/>
      <c r="AB707" s="175">
        <v>0</v>
      </c>
      <c r="AC707" s="176">
        <f>AD707/2</f>
        <v>0.25</v>
      </c>
      <c r="AD707" s="177">
        <f>AE707/2</f>
        <v>0.5</v>
      </c>
      <c r="AE707" s="178">
        <v>1</v>
      </c>
      <c r="AF707" s="109"/>
      <c r="AG707" s="109"/>
      <c r="AH707" s="109"/>
      <c r="AI707" s="109"/>
      <c r="AJ707" s="109"/>
      <c r="AK707" s="109"/>
      <c r="AL707" s="109"/>
      <c r="AM707" s="109"/>
      <c r="AN707" s="179">
        <f>AE707*-2</f>
        <v>-2</v>
      </c>
      <c r="AO707" s="175">
        <f>AE707*-1</f>
        <v>-1</v>
      </c>
      <c r="AP707" s="175">
        <f>AD707*-1</f>
        <v>-0.5</v>
      </c>
      <c r="AQ707" s="180">
        <f>AE707*-0.1</f>
        <v>-0.1</v>
      </c>
      <c r="AR707" s="180">
        <v>0</v>
      </c>
      <c r="AS707" s="180">
        <f>AE707*0.1</f>
        <v>0.1</v>
      </c>
      <c r="AT707" s="177">
        <f>AD707</f>
        <v>0.5</v>
      </c>
      <c r="AU707" s="178">
        <f>AE707</f>
        <v>1</v>
      </c>
      <c r="AV707" s="181"/>
      <c r="AW707" s="109"/>
      <c r="AX707" s="109"/>
      <c r="AY707" s="109"/>
      <c r="AZ707" s="109"/>
      <c r="BA707" s="109"/>
      <c r="BB707" s="182"/>
      <c r="BC707" s="109"/>
      <c r="BD707" s="109"/>
      <c r="BE707" s="109"/>
      <c r="BF707" s="109"/>
      <c r="BG707" s="213">
        <f>BG659</f>
        <v>0.38949999999999996</v>
      </c>
    </row>
    <row r="708" spans="1:62" ht="15.5" x14ac:dyDescent="0.3">
      <c r="A708" s="184">
        <f>A692+1</f>
        <v>46</v>
      </c>
      <c r="B708" s="184" t="s">
        <v>385</v>
      </c>
      <c r="C708" s="184"/>
      <c r="D708" s="185" t="str">
        <f>IF(B710="","If claimed, explain in white box below.","")</f>
        <v/>
      </c>
      <c r="E708" s="187"/>
      <c r="F708" s="1"/>
      <c r="AB708" s="48">
        <f>A708</f>
        <v>46</v>
      </c>
      <c r="AC708" s="48" t="s">
        <v>3994</v>
      </c>
      <c r="AK708" s="620">
        <f>IF(AL708=0,0,1)</f>
        <v>1</v>
      </c>
      <c r="AL708" s="48">
        <f>IF(B712=B$3008,E$3008,IF(B712=B$3009,E$3009,IF(B712=B$3010,E$3010,IF(B712=B$3011,E$3011,0))))</f>
        <v>2</v>
      </c>
      <c r="AM708" s="233" t="str">
        <f>IF(AL708=$E$3011,AC708,"")</f>
        <v/>
      </c>
    </row>
    <row r="709" spans="1:62" x14ac:dyDescent="0.3">
      <c r="A709" s="186"/>
      <c r="B709" s="1031" t="s">
        <v>386</v>
      </c>
      <c r="C709" s="1032"/>
      <c r="D709" s="1033"/>
      <c r="E709" s="187"/>
      <c r="F709" s="1"/>
    </row>
    <row r="710" spans="1:62" ht="145" customHeight="1" thickBot="1" x14ac:dyDescent="0.35">
      <c r="A710" s="186"/>
      <c r="B710" s="1026" t="s">
        <v>387</v>
      </c>
      <c r="C710" s="1027"/>
      <c r="D710" s="1028"/>
      <c r="E710" s="187"/>
      <c r="F710" s="1"/>
      <c r="AA710" s="48">
        <f>AA694+1</f>
        <v>32</v>
      </c>
      <c r="AB710" s="849">
        <f>IF(B712="",0,1)</f>
        <v>1</v>
      </c>
      <c r="AC710" s="853">
        <f>IF(B712=B$3008,D$3008,IF(B712=B$3009,D$3009,IF(B712=B$3010,D$3010,IF(B712=B$3011,D$3011,0))))</f>
        <v>0.5</v>
      </c>
      <c r="AE710" s="850">
        <f>IF(D712=B$3022,E$3022,IF(D712=B$3023,E$3023,IF(D712=B$3024,E$3024,IF(D712=B$3025,E$3025,IF(D712=B$3026,E$3026,IF(D712=B$3027,E$3027,IF(D712=B$3028,E$3028,IF(D712=B$3029,E$3029,D30597))))))))</f>
        <v>0</v>
      </c>
    </row>
    <row r="711" spans="1:62" ht="15" thickTop="1" thickBot="1" x14ac:dyDescent="0.35">
      <c r="A711" s="186"/>
      <c r="B711" s="188" t="str">
        <f>IF(B710="","","Claimed?")</f>
        <v>Claimed?</v>
      </c>
      <c r="C711" s="188" t="str">
        <f>IF(B711="","","Verifiable?")</f>
        <v>Verifiable?</v>
      </c>
      <c r="D711" s="189" t="str">
        <f>IF(C712="","","Independent verification")</f>
        <v>Independent verification</v>
      </c>
      <c r="E711" s="1029">
        <f>BI712</f>
        <v>0.7713749999999997</v>
      </c>
      <c r="F711" s="1030"/>
      <c r="AA711" s="52"/>
      <c r="AB711" s="52" t="s">
        <v>278</v>
      </c>
      <c r="AF711" s="204"/>
      <c r="AG711" s="52" t="s">
        <v>279</v>
      </c>
      <c r="AM711" s="205"/>
      <c r="AN711" s="52" t="s">
        <v>280</v>
      </c>
      <c r="AV711" s="206"/>
      <c r="AX711" s="191" t="s">
        <v>281</v>
      </c>
      <c r="AZ711" s="192" t="s">
        <v>282</v>
      </c>
      <c r="BB711" s="193" t="s">
        <v>283</v>
      </c>
      <c r="BD711" s="192" t="s">
        <v>284</v>
      </c>
      <c r="BG711" s="194" t="s">
        <v>290</v>
      </c>
      <c r="BH711" s="195" t="s">
        <v>291</v>
      </c>
      <c r="BI711" s="194" t="s">
        <v>285</v>
      </c>
      <c r="BJ711" s="195" t="s">
        <v>286</v>
      </c>
    </row>
    <row r="712" spans="1:62" ht="15" thickTop="1" thickBot="1" x14ac:dyDescent="0.35">
      <c r="A712" s="186"/>
      <c r="B712" s="196" t="s">
        <v>335</v>
      </c>
      <c r="C712" s="197" t="s">
        <v>296</v>
      </c>
      <c r="D712" s="207"/>
      <c r="E712" s="1029">
        <f>BJ712</f>
        <v>0.38949999999999996</v>
      </c>
      <c r="F712" s="1030"/>
      <c r="AA712" s="101"/>
      <c r="AB712" s="101">
        <f>IF(B712=$B$3008,$AB$522,0)</f>
        <v>0</v>
      </c>
      <c r="AC712" s="101">
        <f>IF(B712=$B$3009,$AC$522,0)</f>
        <v>0</v>
      </c>
      <c r="AD712" s="101">
        <f>IF(B712=$B$3010,$AD$522,0)</f>
        <v>2.5</v>
      </c>
      <c r="AE712" s="101">
        <f>IF(B712=$B$3011,$AE$522,0)</f>
        <v>0</v>
      </c>
      <c r="AF712" s="208">
        <f>SUM(AB712:AE712)</f>
        <v>2.5</v>
      </c>
      <c r="AG712" s="101">
        <f>IF(C712=$B$3014,$E$3014,0)</f>
        <v>0</v>
      </c>
      <c r="AH712" s="101">
        <f>IF(C712=$B$3015,$E$3015,0)</f>
        <v>0</v>
      </c>
      <c r="AI712" s="101">
        <f>IF(C712=$B$3016,$E$3016,0)</f>
        <v>0</v>
      </c>
      <c r="AJ712" s="101">
        <f>IF(C712=$B$3017,$E$3017,0)</f>
        <v>0</v>
      </c>
      <c r="AK712" s="101">
        <f>IF(C712=$B$3018,$E$3018,0)</f>
        <v>0</v>
      </c>
      <c r="AL712" s="101">
        <f>IF(C712=$B$3019,$E$3019,0)</f>
        <v>0.5</v>
      </c>
      <c r="AM712" s="209">
        <f>SUM(AG712:AL712)</f>
        <v>0.5</v>
      </c>
      <c r="AN712" s="101">
        <f>IF($D712=$B$3022,AN$522,0)</f>
        <v>0</v>
      </c>
      <c r="AO712" s="101">
        <f>IF($D712=$B$3023,AO$522,0)</f>
        <v>0</v>
      </c>
      <c r="AP712" s="101">
        <f>IF($D712=$B$3024,AP$522,0)</f>
        <v>0</v>
      </c>
      <c r="AQ712" s="101">
        <f>IF($D712=$B$3025,AQ$522,0)</f>
        <v>0</v>
      </c>
      <c r="AR712" s="101">
        <f>IF($D712=$B$3026,AR$522,0)</f>
        <v>0</v>
      </c>
      <c r="AS712" s="101">
        <f>IF($D712=$B$3027,AS$522,0)</f>
        <v>0</v>
      </c>
      <c r="AT712" s="101">
        <f>IF($D712=$B$3028,AT$522,0)</f>
        <v>0</v>
      </c>
      <c r="AU712" s="101">
        <f>IF($D712=$B$3029,AU$522,0)</f>
        <v>0</v>
      </c>
      <c r="AV712" s="210">
        <f>SUM(AN712:AU712)</f>
        <v>0</v>
      </c>
      <c r="AX712" s="200">
        <f>AF712*AM712</f>
        <v>1.25</v>
      </c>
      <c r="AZ712" s="146">
        <f>AX712+(AV712*AM712)</f>
        <v>1.25</v>
      </c>
      <c r="BB712" s="201">
        <f>(AF712*AM712)*0.01</f>
        <v>1.2500000000000001E-2</v>
      </c>
      <c r="BD712" s="202">
        <f>AZ712*0.01</f>
        <v>1.2500000000000001E-2</v>
      </c>
      <c r="BE712" s="377"/>
      <c r="BG712" s="201">
        <f>IF(AF712&gt;0,BG696+BB712,BG696)</f>
        <v>0.7713749999999997</v>
      </c>
      <c r="BH712" s="202">
        <f>IF(AV712&gt;0,BH696+BD712,BH696)</f>
        <v>0.38949999999999996</v>
      </c>
      <c r="BI712" s="201">
        <f>IF(BG712&gt;0.99,0.99,BG712)</f>
        <v>0.7713749999999997</v>
      </c>
      <c r="BJ712" s="202">
        <f>IF(BH712&gt;0.99,0.99,BH712)</f>
        <v>0.38949999999999996</v>
      </c>
    </row>
    <row r="713" spans="1:62" ht="16" thickTop="1" x14ac:dyDescent="0.3">
      <c r="A713" s="184">
        <f>A708+1</f>
        <v>47</v>
      </c>
      <c r="B713" s="184" t="s">
        <v>388</v>
      </c>
      <c r="C713" s="184"/>
      <c r="D713" s="185" t="str">
        <f>IF(B715="","If claimed, explain in white box below.","")</f>
        <v/>
      </c>
      <c r="E713" s="187"/>
      <c r="F713" s="1"/>
      <c r="AB713" s="48">
        <f>A713</f>
        <v>47</v>
      </c>
      <c r="AC713" s="48" t="s">
        <v>4042</v>
      </c>
      <c r="AK713" s="620">
        <f>IF(AL713=0,0,1)</f>
        <v>1</v>
      </c>
      <c r="AL713" s="48">
        <f>IF(B717=B$3008,E$3008,IF(B717=B$3009,E$3009,IF(B717=B$3010,E$3010,IF(B717=B$3011,E$3011,0))))</f>
        <v>1</v>
      </c>
      <c r="AM713" s="233" t="str">
        <f>IF(AL713=$E$3011,AC713,"")</f>
        <v/>
      </c>
    </row>
    <row r="714" spans="1:62" x14ac:dyDescent="0.3">
      <c r="A714" s="186"/>
      <c r="B714" s="1031" t="s">
        <v>389</v>
      </c>
      <c r="C714" s="1032"/>
      <c r="D714" s="1033"/>
      <c r="E714" s="187"/>
      <c r="F714" s="1"/>
    </row>
    <row r="715" spans="1:62" ht="145" customHeight="1" thickBot="1" x14ac:dyDescent="0.35">
      <c r="A715" s="186"/>
      <c r="B715" s="1026" t="s">
        <v>390</v>
      </c>
      <c r="C715" s="1027"/>
      <c r="D715" s="1028"/>
      <c r="E715" s="187"/>
      <c r="F715" s="1"/>
      <c r="AA715" s="48">
        <f>AA710+1</f>
        <v>33</v>
      </c>
      <c r="AB715" s="849">
        <f>IF(B717="",0,1)</f>
        <v>1</v>
      </c>
      <c r="AC715" s="853">
        <f>IF(B717=B$3008,D$3008,IF(B717=B$3009,D$3009,IF(B717=B$3010,D$3010,IF(B717=B$3011,D$3011,0))))</f>
        <v>0.25</v>
      </c>
      <c r="AE715" s="850">
        <f>IF(D717=B$3022,E$3022,IF(D717=B$3023,E$3023,IF(D717=B$3024,E$3024,IF(D717=B$3025,E$3025,IF(D717=B$3026,E$3026,IF(D717=B$3027,E$3027,IF(D717=B$3028,E$3028,IF(D717=B$3029,E$3029,D30602))))))))</f>
        <v>0</v>
      </c>
    </row>
    <row r="716" spans="1:62" ht="15" thickTop="1" thickBot="1" x14ac:dyDescent="0.35">
      <c r="A716" s="186"/>
      <c r="B716" s="188" t="str">
        <f>IF(B715="","","Claimed?")</f>
        <v>Claimed?</v>
      </c>
      <c r="C716" s="188" t="str">
        <f>IF(B716="","","Verifiable?")</f>
        <v>Verifiable?</v>
      </c>
      <c r="D716" s="189" t="str">
        <f>IF(C717="","","Independent verification")</f>
        <v>Independent verification</v>
      </c>
      <c r="E716" s="1029">
        <f>BI717</f>
        <v>0.77762499999999968</v>
      </c>
      <c r="F716" s="1030"/>
      <c r="AA716" s="52"/>
      <c r="AB716" s="52" t="s">
        <v>278</v>
      </c>
      <c r="AF716" s="204"/>
      <c r="AG716" s="52" t="s">
        <v>279</v>
      </c>
      <c r="AM716" s="205"/>
      <c r="AN716" s="52" t="s">
        <v>280</v>
      </c>
      <c r="AV716" s="206"/>
      <c r="AX716" s="191" t="s">
        <v>281</v>
      </c>
      <c r="AZ716" s="192" t="s">
        <v>282</v>
      </c>
      <c r="BB716" s="193" t="s">
        <v>283</v>
      </c>
      <c r="BD716" s="192" t="s">
        <v>284</v>
      </c>
      <c r="BG716" s="194" t="s">
        <v>290</v>
      </c>
      <c r="BH716" s="195" t="s">
        <v>291</v>
      </c>
      <c r="BI716" s="194" t="s">
        <v>285</v>
      </c>
      <c r="BJ716" s="195" t="s">
        <v>286</v>
      </c>
    </row>
    <row r="717" spans="1:62" ht="15" thickTop="1" thickBot="1" x14ac:dyDescent="0.35">
      <c r="A717" s="186"/>
      <c r="B717" s="196" t="s">
        <v>304</v>
      </c>
      <c r="C717" s="197" t="s">
        <v>296</v>
      </c>
      <c r="D717" s="207"/>
      <c r="E717" s="1029">
        <f>BJ717</f>
        <v>0.38949999999999996</v>
      </c>
      <c r="F717" s="1030"/>
      <c r="AA717" s="101"/>
      <c r="AB717" s="101">
        <f>IF(B717=$B$3008,$AB$522,0)</f>
        <v>0</v>
      </c>
      <c r="AC717" s="101">
        <f>IF(B717=$B$3009,$AC$522,0)</f>
        <v>1.25</v>
      </c>
      <c r="AD717" s="101">
        <f>IF(B717=$B$3010,$AD$522,0)</f>
        <v>0</v>
      </c>
      <c r="AE717" s="101">
        <f>IF(B717=$B$3011,$AE$522,0)</f>
        <v>0</v>
      </c>
      <c r="AF717" s="208">
        <f>SUM(AB717:AE717)</f>
        <v>1.25</v>
      </c>
      <c r="AG717" s="101">
        <f>IF(C717=$B$3014,$E$3014,0)</f>
        <v>0</v>
      </c>
      <c r="AH717" s="101">
        <f>IF(C717=$B$3015,$E$3015,0)</f>
        <v>0</v>
      </c>
      <c r="AI717" s="101">
        <f>IF(C717=$B$3016,$E$3016,0)</f>
        <v>0</v>
      </c>
      <c r="AJ717" s="101">
        <f>IF(C717=$B$3017,$E$3017,0)</f>
        <v>0</v>
      </c>
      <c r="AK717" s="101">
        <f>IF(C717=$B$3018,$E$3018,0)</f>
        <v>0</v>
      </c>
      <c r="AL717" s="101">
        <f>IF(C717=$B$3019,$E$3019,0)</f>
        <v>0.5</v>
      </c>
      <c r="AM717" s="209">
        <f>SUM(AG717:AL717)</f>
        <v>0.5</v>
      </c>
      <c r="AN717" s="101">
        <f>IF($D717=$B$3022,AN$522,0)</f>
        <v>0</v>
      </c>
      <c r="AO717" s="101">
        <f>IF($D717=$B$3023,AO$522,0)</f>
        <v>0</v>
      </c>
      <c r="AP717" s="101">
        <f>IF($D717=$B$3024,AP$522,0)</f>
        <v>0</v>
      </c>
      <c r="AQ717" s="101">
        <f>IF($D717=$B$3025,AQ$522,0)</f>
        <v>0</v>
      </c>
      <c r="AR717" s="101">
        <f>IF($D717=$B$3026,AR$522,0)</f>
        <v>0</v>
      </c>
      <c r="AS717" s="101">
        <f>IF($D717=$B$3027,AS$522,0)</f>
        <v>0</v>
      </c>
      <c r="AT717" s="101">
        <f>IF($D717=$B$3028,AT$522,0)</f>
        <v>0</v>
      </c>
      <c r="AU717" s="101">
        <f>IF($D717=$B$3029,AU$522,0)</f>
        <v>0</v>
      </c>
      <c r="AV717" s="210">
        <f>SUM(AN717:AU717)</f>
        <v>0</v>
      </c>
      <c r="AX717" s="200">
        <f>AF717*AM717</f>
        <v>0.625</v>
      </c>
      <c r="AZ717" s="146">
        <f>AX717+(AV717*AM717)</f>
        <v>0.625</v>
      </c>
      <c r="BB717" s="201">
        <f>(AF717*AM717)*0.01</f>
        <v>6.2500000000000003E-3</v>
      </c>
      <c r="BD717" s="202">
        <f>AZ717*0.01</f>
        <v>6.2500000000000003E-3</v>
      </c>
      <c r="BE717" s="377"/>
      <c r="BG717" s="201">
        <f>IF(AF717&gt;0,BG712+BB717,BG712)</f>
        <v>0.77762499999999968</v>
      </c>
      <c r="BH717" s="202">
        <f>IF(AV717&gt;0,BH712+BD717,BH712)</f>
        <v>0.38949999999999996</v>
      </c>
      <c r="BI717" s="201">
        <f>IF(BG717&gt;0.99,0.99,BG717)</f>
        <v>0.77762499999999968</v>
      </c>
      <c r="BJ717" s="202">
        <f>IF(BH717&gt;0.99,0.99,BH717)</f>
        <v>0.38949999999999996</v>
      </c>
    </row>
    <row r="718" spans="1:62" ht="16" thickTop="1" x14ac:dyDescent="0.3">
      <c r="A718" s="184">
        <f>A713+1</f>
        <v>48</v>
      </c>
      <c r="B718" s="184" t="s">
        <v>391</v>
      </c>
      <c r="C718" s="184"/>
      <c r="D718" s="185" t="str">
        <f>IF(B720="","If claimed, explain in white box below.","")</f>
        <v>If claimed, explain in white box below.</v>
      </c>
      <c r="E718" s="187"/>
      <c r="F718" s="1"/>
      <c r="AB718" s="48">
        <f>A718</f>
        <v>48</v>
      </c>
      <c r="AC718" s="48" t="s">
        <v>4043</v>
      </c>
      <c r="AK718" s="620">
        <f>IF(AL718=0,0,1)</f>
        <v>0</v>
      </c>
      <c r="AL718" s="48">
        <f>IF(B722=B$3008,E$3008,IF(B722=B$3009,E$3009,IF(B722=B$3010,E$3010,IF(B722=B$3011,E$3011,0))))</f>
        <v>0</v>
      </c>
      <c r="AM718" s="233" t="str">
        <f>IF(AL718=$E$3011,AC718,"")</f>
        <v/>
      </c>
    </row>
    <row r="719" spans="1:62" x14ac:dyDescent="0.3">
      <c r="A719" s="186"/>
      <c r="B719" s="1031" t="s">
        <v>392</v>
      </c>
      <c r="C719" s="1032"/>
      <c r="D719" s="1033"/>
      <c r="E719" s="187"/>
      <c r="F719" s="1"/>
    </row>
    <row r="720" spans="1:62" ht="145" customHeight="1" thickBot="1" x14ac:dyDescent="0.35">
      <c r="A720" s="186"/>
      <c r="B720" s="1026"/>
      <c r="C720" s="1027"/>
      <c r="D720" s="1028"/>
      <c r="E720" s="187"/>
      <c r="F720" s="1"/>
      <c r="AA720" s="48">
        <f>AA715+1</f>
        <v>34</v>
      </c>
      <c r="AB720" s="849">
        <f>IF(B722="",0,1)</f>
        <v>1</v>
      </c>
      <c r="AC720" s="853">
        <f>IF(B722=B$3008,D$3008,IF(B722=B$3009,D$3009,IF(B722=B$3010,D$3010,IF(B722=B$3011,D$3011,0))))</f>
        <v>0</v>
      </c>
      <c r="AE720" s="850">
        <f>IF(D722=B$3022,E$3022,IF(D722=B$3023,E$3023,IF(D722=B$3024,E$3024,IF(D722=B$3025,E$3025,IF(D722=B$3026,E$3026,IF(D722=B$3027,E$3027,IF(D722=B$3028,E$3028,IF(D722=B$3029,E$3029,D30607))))))))</f>
        <v>0</v>
      </c>
    </row>
    <row r="721" spans="1:62" ht="15" thickTop="1" thickBot="1" x14ac:dyDescent="0.35">
      <c r="A721" s="186"/>
      <c r="B721" s="188" t="str">
        <f>IF(B720="","","Claimed?")</f>
        <v/>
      </c>
      <c r="C721" s="188" t="str">
        <f>IF(B721="","","Verifiable?")</f>
        <v/>
      </c>
      <c r="D721" s="189" t="str">
        <f>IF(C722="","","Independent verification")</f>
        <v/>
      </c>
      <c r="E721" s="1029">
        <f>BI722</f>
        <v>0.77762499999999968</v>
      </c>
      <c r="F721" s="1030"/>
      <c r="AA721" s="52"/>
      <c r="AB721" s="52" t="s">
        <v>278</v>
      </c>
      <c r="AF721" s="204"/>
      <c r="AG721" s="52" t="s">
        <v>279</v>
      </c>
      <c r="AM721" s="205"/>
      <c r="AN721" s="52" t="s">
        <v>280</v>
      </c>
      <c r="AV721" s="206"/>
      <c r="AX721" s="191" t="s">
        <v>281</v>
      </c>
      <c r="AZ721" s="192" t="s">
        <v>282</v>
      </c>
      <c r="BB721" s="193" t="s">
        <v>283</v>
      </c>
      <c r="BD721" s="192" t="s">
        <v>284</v>
      </c>
      <c r="BG721" s="194" t="s">
        <v>290</v>
      </c>
      <c r="BH721" s="195" t="s">
        <v>291</v>
      </c>
      <c r="BI721" s="194" t="s">
        <v>285</v>
      </c>
      <c r="BJ721" s="195" t="s">
        <v>286</v>
      </c>
    </row>
    <row r="722" spans="1:62" ht="15" thickTop="1" thickBot="1" x14ac:dyDescent="0.35">
      <c r="A722" s="186"/>
      <c r="B722" s="196" t="s">
        <v>287</v>
      </c>
      <c r="C722" s="197"/>
      <c r="D722" s="207"/>
      <c r="E722" s="1029">
        <f>BJ722</f>
        <v>0.38949999999999996</v>
      </c>
      <c r="F722" s="1030"/>
      <c r="AA722" s="101"/>
      <c r="AB722" s="101">
        <f>IF(B722=$B$3008,$AB$522,0)</f>
        <v>0</v>
      </c>
      <c r="AC722" s="101">
        <f>IF(B722=$B$3009,$AC$522,0)</f>
        <v>0</v>
      </c>
      <c r="AD722" s="101">
        <f>IF(B722=$B$3010,$AD$522,0)</f>
        <v>0</v>
      </c>
      <c r="AE722" s="101">
        <f>IF(B722=$B$3011,$AE$522,0)</f>
        <v>0</v>
      </c>
      <c r="AF722" s="208">
        <f>SUM(AB722:AE722)</f>
        <v>0</v>
      </c>
      <c r="AG722" s="101">
        <f>IF(C722=$B$3014,$E$3014,0)</f>
        <v>0</v>
      </c>
      <c r="AH722" s="101">
        <f>IF(C722=$B$3015,$E$3015,0)</f>
        <v>0</v>
      </c>
      <c r="AI722" s="101">
        <f>IF(C722=$B$3016,$E$3016,0)</f>
        <v>0</v>
      </c>
      <c r="AJ722" s="101">
        <f>IF(C722=$B$3017,$E$3017,0)</f>
        <v>0</v>
      </c>
      <c r="AK722" s="101">
        <f>IF(C722=$B$3018,$E$3018,0)</f>
        <v>0</v>
      </c>
      <c r="AL722" s="101">
        <f>IF(C722=$B$3019,$E$3019,0)</f>
        <v>0</v>
      </c>
      <c r="AM722" s="209">
        <f>SUM(AG722:AL722)</f>
        <v>0</v>
      </c>
      <c r="AN722" s="101">
        <f>IF($D722=$B$3022,AN$522,0)</f>
        <v>0</v>
      </c>
      <c r="AO722" s="101">
        <f>IF($D722=$B$3023,AO$522,0)</f>
        <v>0</v>
      </c>
      <c r="AP722" s="101">
        <f>IF($D722=$B$3024,AP$522,0)</f>
        <v>0</v>
      </c>
      <c r="AQ722" s="101">
        <f>IF($D722=$B$3025,AQ$522,0)</f>
        <v>0</v>
      </c>
      <c r="AR722" s="101">
        <f>IF($D722=$B$3026,AR$522,0)</f>
        <v>0</v>
      </c>
      <c r="AS722" s="101">
        <f>IF($D722=$B$3027,AS$522,0)</f>
        <v>0</v>
      </c>
      <c r="AT722" s="101">
        <f>IF($D722=$B$3028,AT$522,0)</f>
        <v>0</v>
      </c>
      <c r="AU722" s="101">
        <f>IF($D722=$B$3029,AU$522,0)</f>
        <v>0</v>
      </c>
      <c r="AV722" s="210">
        <f>SUM(AN722:AU722)</f>
        <v>0</v>
      </c>
      <c r="AX722" s="200">
        <f>AF722*AM722</f>
        <v>0</v>
      </c>
      <c r="AZ722" s="146">
        <f>AX722+(AV722*AM722)</f>
        <v>0</v>
      </c>
      <c r="BB722" s="201">
        <f>(AF722*AM722)*0.01</f>
        <v>0</v>
      </c>
      <c r="BD722" s="202">
        <f>AZ722*0.01</f>
        <v>0</v>
      </c>
      <c r="BE722" s="377"/>
      <c r="BG722" s="201">
        <f>IF(AF722&gt;0,BG717+BB722,BG717)</f>
        <v>0.77762499999999968</v>
      </c>
      <c r="BH722" s="202">
        <f>IF(AV722&gt;0,BH717+BD722,BH717)</f>
        <v>0.38949999999999996</v>
      </c>
      <c r="BI722" s="201">
        <f>IF(BG722&gt;0.99,0.99,BG722)</f>
        <v>0.77762499999999968</v>
      </c>
      <c r="BJ722" s="202">
        <f>IF(BH722&gt;0.99,0.99,BH722)</f>
        <v>0.38949999999999996</v>
      </c>
    </row>
    <row r="723" spans="1:62" ht="5" customHeight="1" thickTop="1" x14ac:dyDescent="0.3">
      <c r="A723" s="186"/>
      <c r="B723" s="186"/>
      <c r="C723" s="186"/>
      <c r="D723" s="186"/>
      <c r="E723" s="186"/>
      <c r="F723" s="1"/>
      <c r="AA723" s="101"/>
      <c r="AB723" s="101"/>
      <c r="AC723" s="101"/>
      <c r="AD723" s="101"/>
      <c r="AE723" s="101"/>
      <c r="AF723" s="208"/>
      <c r="AG723" s="101"/>
      <c r="AH723" s="101"/>
      <c r="AI723" s="101"/>
      <c r="AJ723" s="101"/>
      <c r="AK723" s="101"/>
      <c r="AL723" s="101"/>
      <c r="AM723" s="209"/>
      <c r="AN723" s="101"/>
      <c r="AO723" s="101"/>
      <c r="AP723" s="101"/>
      <c r="AQ723" s="101"/>
      <c r="AR723" s="101"/>
      <c r="AS723" s="101"/>
      <c r="AT723" s="101"/>
      <c r="AU723" s="101"/>
      <c r="AV723" s="210"/>
      <c r="AX723" s="200"/>
      <c r="AZ723" s="146"/>
      <c r="BB723" s="201"/>
      <c r="BD723" s="202"/>
      <c r="BE723" s="377"/>
      <c r="BG723" s="201"/>
      <c r="BH723" s="202"/>
      <c r="BI723" s="201"/>
      <c r="BJ723" s="202"/>
    </row>
    <row r="724" spans="1:62" ht="15.5" x14ac:dyDescent="0.3">
      <c r="A724" s="184">
        <f>A718+1</f>
        <v>49</v>
      </c>
      <c r="B724" s="184" t="s">
        <v>393</v>
      </c>
      <c r="C724" s="184"/>
      <c r="D724" s="185" t="str">
        <f>IF(B726="","If claimed, explain in white box below.","")</f>
        <v>If claimed, explain in white box below.</v>
      </c>
      <c r="E724" s="187"/>
      <c r="F724" s="1"/>
      <c r="AB724" s="48">
        <f>A724</f>
        <v>49</v>
      </c>
      <c r="AC724" s="48" t="s">
        <v>4044</v>
      </c>
      <c r="AK724" s="620">
        <f>IF(AL724=0,0,1)</f>
        <v>0</v>
      </c>
      <c r="AL724" s="48">
        <f>IF(B728=B$3008,E$3008,IF(B728=B$3009,E$3009,IF(B728=B$3010,E$3010,IF(B728=B$3011,E$3011,0))))</f>
        <v>0</v>
      </c>
      <c r="AM724" s="233" t="str">
        <f>IF(AL724=$E$3011,AC724,"")</f>
        <v/>
      </c>
    </row>
    <row r="725" spans="1:62" x14ac:dyDescent="0.3">
      <c r="A725" s="186"/>
      <c r="B725" s="1031" t="s">
        <v>394</v>
      </c>
      <c r="C725" s="1032"/>
      <c r="D725" s="1033"/>
      <c r="E725" s="187"/>
      <c r="F725" s="1"/>
    </row>
    <row r="726" spans="1:62" ht="100" customHeight="1" thickBot="1" x14ac:dyDescent="0.35">
      <c r="A726" s="186"/>
      <c r="B726" s="1026"/>
      <c r="C726" s="1027"/>
      <c r="D726" s="1028"/>
      <c r="E726" s="187"/>
      <c r="F726" s="1"/>
      <c r="AA726" s="48">
        <f>AA720+1</f>
        <v>35</v>
      </c>
      <c r="AB726" s="849">
        <f>IF(B728="",0,1)</f>
        <v>1</v>
      </c>
      <c r="AC726" s="853">
        <f>IF(B728=B$3008,D$3008,IF(B728=B$3009,D$3009,IF(B728=B$3010,D$3010,IF(B728=B$3011,D$3011,0))))</f>
        <v>0</v>
      </c>
      <c r="AE726" s="850">
        <f>IF(D728=B$3022,E$3022,IF(D728=B$3023,E$3023,IF(D728=B$3024,E$3024,IF(D728=B$3025,E$3025,IF(D728=B$3026,E$3026,IF(D728=B$3027,E$3027,IF(D728=B$3028,E$3028,IF(D728=B$3029,E$3029,D30613))))))))</f>
        <v>0</v>
      </c>
    </row>
    <row r="727" spans="1:62" ht="15" thickTop="1" thickBot="1" x14ac:dyDescent="0.35">
      <c r="A727" s="186"/>
      <c r="B727" s="188" t="str">
        <f>IF(B726="","","Claimed?")</f>
        <v/>
      </c>
      <c r="C727" s="188" t="str">
        <f>IF(B727="","","Verifiable?")</f>
        <v/>
      </c>
      <c r="D727" s="189" t="str">
        <f>IF(C728="","","Independent verification")</f>
        <v/>
      </c>
      <c r="E727" s="1029">
        <f>BI728</f>
        <v>0.77762499999999968</v>
      </c>
      <c r="F727" s="1030"/>
      <c r="AA727" s="52"/>
      <c r="AB727" s="52" t="s">
        <v>278</v>
      </c>
      <c r="AF727" s="204"/>
      <c r="AG727" s="52" t="s">
        <v>279</v>
      </c>
      <c r="AM727" s="205"/>
      <c r="AN727" s="52" t="s">
        <v>280</v>
      </c>
      <c r="AV727" s="206"/>
      <c r="AX727" s="191" t="s">
        <v>281</v>
      </c>
      <c r="AZ727" s="192" t="s">
        <v>282</v>
      </c>
      <c r="BB727" s="193" t="s">
        <v>283</v>
      </c>
      <c r="BD727" s="192" t="s">
        <v>284</v>
      </c>
      <c r="BG727" s="194" t="s">
        <v>290</v>
      </c>
      <c r="BH727" s="195" t="s">
        <v>291</v>
      </c>
      <c r="BI727" s="194" t="s">
        <v>285</v>
      </c>
      <c r="BJ727" s="195" t="s">
        <v>286</v>
      </c>
    </row>
    <row r="728" spans="1:62" ht="15" thickTop="1" thickBot="1" x14ac:dyDescent="0.35">
      <c r="A728" s="186"/>
      <c r="B728" s="196" t="s">
        <v>287</v>
      </c>
      <c r="C728" s="197"/>
      <c r="D728" s="207"/>
      <c r="E728" s="1029">
        <f>BJ728</f>
        <v>0.38949999999999996</v>
      </c>
      <c r="F728" s="1030"/>
      <c r="AA728" s="101"/>
      <c r="AB728" s="101">
        <f>IF(B728=$B$3008,$AB$522,0)</f>
        <v>0</v>
      </c>
      <c r="AC728" s="101">
        <f>IF(B728=$B$3009,$AC$522,0)</f>
        <v>0</v>
      </c>
      <c r="AD728" s="101">
        <f>IF(B728=$B$3010,$AD$522,0)</f>
        <v>0</v>
      </c>
      <c r="AE728" s="101">
        <f>IF(B728=$B$3011,$AE$522,0)</f>
        <v>0</v>
      </c>
      <c r="AF728" s="208">
        <f>SUM(AB728:AE728)</f>
        <v>0</v>
      </c>
      <c r="AG728" s="101">
        <f>IF(C728=$B$3014,$E$3014,0)</f>
        <v>0</v>
      </c>
      <c r="AH728" s="101">
        <f>IF(C728=$B$3015,$E$3015,0)</f>
        <v>0</v>
      </c>
      <c r="AI728" s="101">
        <f>IF(C728=$B$3016,$E$3016,0)</f>
        <v>0</v>
      </c>
      <c r="AJ728" s="101">
        <f>IF(C728=$B$3017,$E$3017,0)</f>
        <v>0</v>
      </c>
      <c r="AK728" s="101">
        <f>IF(C728=$B$3018,$E$3018,0)</f>
        <v>0</v>
      </c>
      <c r="AL728" s="101">
        <f>IF(C728=$B$3019,$E$3019,0)</f>
        <v>0</v>
      </c>
      <c r="AM728" s="209">
        <f>SUM(AG728:AL728)</f>
        <v>0</v>
      </c>
      <c r="AN728" s="101">
        <f>IF($D728=$B$3022,AN$522,0)</f>
        <v>0</v>
      </c>
      <c r="AO728" s="101">
        <f>IF($D728=$B$3023,AO$522,0)</f>
        <v>0</v>
      </c>
      <c r="AP728" s="101">
        <f>IF($D728=$B$3024,AP$522,0)</f>
        <v>0</v>
      </c>
      <c r="AQ728" s="101">
        <f>IF($D728=$B$3025,AQ$522,0)</f>
        <v>0</v>
      </c>
      <c r="AR728" s="101">
        <f>IF($D728=$B$3026,AR$522,0)</f>
        <v>0</v>
      </c>
      <c r="AS728" s="101">
        <f>IF($D728=$B$3027,AS$522,0)</f>
        <v>0</v>
      </c>
      <c r="AT728" s="101">
        <f>IF($D728=$B$3028,AT$522,0)</f>
        <v>0</v>
      </c>
      <c r="AU728" s="101">
        <f>IF($D728=$B$3029,AU$522,0)</f>
        <v>0</v>
      </c>
      <c r="AV728" s="210">
        <f>SUM(AN728:AU728)</f>
        <v>0</v>
      </c>
      <c r="AX728" s="200">
        <f>AF728*AM728</f>
        <v>0</v>
      </c>
      <c r="AZ728" s="146">
        <f>AX728+(AV728*AM728)</f>
        <v>0</v>
      </c>
      <c r="BB728" s="201">
        <f>(AF728*AM728)*0.01</f>
        <v>0</v>
      </c>
      <c r="BD728" s="202">
        <f>AZ728*0.01</f>
        <v>0</v>
      </c>
      <c r="BE728" s="377"/>
      <c r="BG728" s="201">
        <f>IF(AF728&gt;0,BG722+BB728,BG722)</f>
        <v>0.77762499999999968</v>
      </c>
      <c r="BH728" s="202">
        <f>IF(AV728&gt;0,BH722+BD728,BH722)</f>
        <v>0.38949999999999996</v>
      </c>
      <c r="BI728" s="201">
        <f>IF(BG728&gt;0.99,0.99,BG728)</f>
        <v>0.77762499999999968</v>
      </c>
      <c r="BJ728" s="202">
        <f>IF(BH728&gt;0.99,0.99,BH728)</f>
        <v>0.38949999999999996</v>
      </c>
    </row>
    <row r="729" spans="1:62" ht="16" thickTop="1" x14ac:dyDescent="0.3">
      <c r="A729" s="184">
        <f>A724+1</f>
        <v>50</v>
      </c>
      <c r="B729" s="184" t="s">
        <v>395</v>
      </c>
      <c r="C729" s="184"/>
      <c r="D729" s="185" t="str">
        <f>IF(B731="","If claimed, explain in white box below.","")</f>
        <v>If claimed, explain in white box below.</v>
      </c>
      <c r="E729" s="187"/>
      <c r="F729" s="1"/>
      <c r="AB729" s="48">
        <f>A729</f>
        <v>50</v>
      </c>
      <c r="AC729" s="48" t="s">
        <v>4045</v>
      </c>
      <c r="AK729" s="620">
        <f>IF(AL729=0,0,1)</f>
        <v>0</v>
      </c>
      <c r="AL729" s="48">
        <f>IF(B733=B$3008,E$3008,IF(B733=B$3009,E$3009,IF(B733=B$3010,E$3010,IF(B733=B$3011,E$3011,0))))</f>
        <v>0</v>
      </c>
      <c r="AM729" s="233" t="str">
        <f>IF(AL729=$E$3011,AC729,"")</f>
        <v/>
      </c>
    </row>
    <row r="730" spans="1:62" x14ac:dyDescent="0.3">
      <c r="A730" s="186"/>
      <c r="B730" s="1031" t="s">
        <v>396</v>
      </c>
      <c r="C730" s="1032"/>
      <c r="D730" s="1033"/>
      <c r="E730" s="187"/>
      <c r="F730" s="1"/>
    </row>
    <row r="731" spans="1:62" ht="100" customHeight="1" thickBot="1" x14ac:dyDescent="0.35">
      <c r="A731" s="186"/>
      <c r="B731" s="1026"/>
      <c r="C731" s="1027"/>
      <c r="D731" s="1028"/>
      <c r="E731" s="187"/>
      <c r="F731" s="1"/>
      <c r="AA731" s="48">
        <f>AA726+1</f>
        <v>36</v>
      </c>
      <c r="AB731" s="849">
        <f>IF(B733="",0,1)</f>
        <v>1</v>
      </c>
      <c r="AC731" s="853">
        <f>IF(B733=B$3008,D$3008,IF(B733=B$3009,D$3009,IF(B733=B$3010,D$3010,IF(B733=B$3011,D$3011,0))))</f>
        <v>0</v>
      </c>
      <c r="AE731" s="850">
        <f>IF(D733=B$3022,E$3022,IF(D733=B$3023,E$3023,IF(D733=B$3024,E$3024,IF(D733=B$3025,E$3025,IF(D733=B$3026,E$3026,IF(D733=B$3027,E$3027,IF(D733=B$3028,E$3028,IF(D733=B$3029,E$3029,D30618))))))))</f>
        <v>0</v>
      </c>
    </row>
    <row r="732" spans="1:62" ht="15" thickTop="1" thickBot="1" x14ac:dyDescent="0.35">
      <c r="A732" s="186"/>
      <c r="B732" s="188" t="str">
        <f>IF(B731="","","Claimed?")</f>
        <v/>
      </c>
      <c r="C732" s="188" t="str">
        <f>IF(B732="","","Verifiable?")</f>
        <v/>
      </c>
      <c r="D732" s="189" t="str">
        <f>IF(C733="","","Independent verification")</f>
        <v/>
      </c>
      <c r="E732" s="1029">
        <f>BI733</f>
        <v>0.77762499999999968</v>
      </c>
      <c r="F732" s="1030"/>
      <c r="AA732" s="52"/>
      <c r="AB732" s="52" t="s">
        <v>278</v>
      </c>
      <c r="AF732" s="204"/>
      <c r="AG732" s="52" t="s">
        <v>279</v>
      </c>
      <c r="AM732" s="205"/>
      <c r="AN732" s="52" t="s">
        <v>280</v>
      </c>
      <c r="AV732" s="206"/>
      <c r="AX732" s="191" t="s">
        <v>281</v>
      </c>
      <c r="AZ732" s="192" t="s">
        <v>282</v>
      </c>
      <c r="BB732" s="193" t="s">
        <v>283</v>
      </c>
      <c r="BD732" s="192" t="s">
        <v>284</v>
      </c>
      <c r="BG732" s="194" t="s">
        <v>290</v>
      </c>
      <c r="BH732" s="195" t="s">
        <v>291</v>
      </c>
      <c r="BI732" s="194" t="s">
        <v>285</v>
      </c>
      <c r="BJ732" s="195" t="s">
        <v>286</v>
      </c>
    </row>
    <row r="733" spans="1:62" ht="15" thickTop="1" thickBot="1" x14ac:dyDescent="0.35">
      <c r="A733" s="186"/>
      <c r="B733" s="196" t="s">
        <v>287</v>
      </c>
      <c r="C733" s="197"/>
      <c r="D733" s="207"/>
      <c r="E733" s="1029">
        <f>BJ733</f>
        <v>0.38949999999999996</v>
      </c>
      <c r="F733" s="1030"/>
      <c r="AA733" s="101"/>
      <c r="AB733" s="101">
        <f>IF(B733=$B$3008,$AB$522,0)</f>
        <v>0</v>
      </c>
      <c r="AC733" s="101">
        <f>IF(B733=$B$3009,$AC$522,0)</f>
        <v>0</v>
      </c>
      <c r="AD733" s="101">
        <f>IF(B733=$B$3010,$AD$522,0)</f>
        <v>0</v>
      </c>
      <c r="AE733" s="101">
        <f>IF(B733=$B$3011,$AE$522,0)</f>
        <v>0</v>
      </c>
      <c r="AF733" s="208">
        <f>SUM(AB733:AE733)</f>
        <v>0</v>
      </c>
      <c r="AG733" s="101">
        <f>IF(C733=$B$3014,$E$3014,0)</f>
        <v>0</v>
      </c>
      <c r="AH733" s="101">
        <f>IF(C733=$B$3015,$E$3015,0)</f>
        <v>0</v>
      </c>
      <c r="AI733" s="101">
        <f>IF(C733=$B$3016,$E$3016,0)</f>
        <v>0</v>
      </c>
      <c r="AJ733" s="101">
        <f>IF(C733=$B$3017,$E$3017,0)</f>
        <v>0</v>
      </c>
      <c r="AK733" s="101">
        <f>IF(C733=$B$3018,$E$3018,0)</f>
        <v>0</v>
      </c>
      <c r="AL733" s="101">
        <f>IF(C733=$B$3019,$E$3019,0)</f>
        <v>0</v>
      </c>
      <c r="AM733" s="209">
        <f>SUM(AG733:AL733)</f>
        <v>0</v>
      </c>
      <c r="AN733" s="101">
        <f>IF($D733=$B$3022,AN$522,0)</f>
        <v>0</v>
      </c>
      <c r="AO733" s="101">
        <f>IF($D733=$B$3023,AO$522,0)</f>
        <v>0</v>
      </c>
      <c r="AP733" s="101">
        <f>IF($D733=$B$3024,AP$522,0)</f>
        <v>0</v>
      </c>
      <c r="AQ733" s="101">
        <f>IF($D733=$B$3025,AQ$522,0)</f>
        <v>0</v>
      </c>
      <c r="AR733" s="101">
        <f>IF($D733=$B$3026,AR$522,0)</f>
        <v>0</v>
      </c>
      <c r="AS733" s="101">
        <f>IF($D733=$B$3027,AS$522,0)</f>
        <v>0</v>
      </c>
      <c r="AT733" s="101">
        <f>IF($D733=$B$3028,AT$522,0)</f>
        <v>0</v>
      </c>
      <c r="AU733" s="101">
        <f>IF($D733=$B$3029,AU$522,0)</f>
        <v>0</v>
      </c>
      <c r="AV733" s="210">
        <f>SUM(AN733:AU733)</f>
        <v>0</v>
      </c>
      <c r="AX733" s="200">
        <f>AF733*AM733</f>
        <v>0</v>
      </c>
      <c r="AZ733" s="146">
        <f>AX733+(AV733*AM733)</f>
        <v>0</v>
      </c>
      <c r="BB733" s="201">
        <f>(AF733*AM733)*0.01</f>
        <v>0</v>
      </c>
      <c r="BD733" s="202">
        <f>AZ733*0.01</f>
        <v>0</v>
      </c>
      <c r="BE733" s="377"/>
      <c r="BG733" s="201">
        <f>IF(AF733&gt;0,BG728+BB733,BG728)</f>
        <v>0.77762499999999968</v>
      </c>
      <c r="BH733" s="202">
        <f>IF(AV733&gt;0,BH728+BD733,BH728)</f>
        <v>0.38949999999999996</v>
      </c>
      <c r="BI733" s="201">
        <f>IF(BG733&gt;0.99,0.99,BG733)</f>
        <v>0.77762499999999968</v>
      </c>
      <c r="BJ733" s="202">
        <f>IF(BH733&gt;0.99,0.99,BH733)</f>
        <v>0.38949999999999996</v>
      </c>
    </row>
    <row r="734" spans="1:62" ht="16" thickTop="1" x14ac:dyDescent="0.3">
      <c r="A734" s="184">
        <f>A729+1</f>
        <v>51</v>
      </c>
      <c r="B734" s="184" t="s">
        <v>397</v>
      </c>
      <c r="C734" s="184"/>
      <c r="D734" s="185" t="str">
        <f>IF(B736="","If claimed, explain in white box below.","")</f>
        <v/>
      </c>
      <c r="E734" s="187"/>
      <c r="F734" s="1"/>
      <c r="AB734" s="48">
        <f>A734</f>
        <v>51</v>
      </c>
      <c r="AC734" s="48" t="s">
        <v>4046</v>
      </c>
      <c r="AK734" s="620">
        <f>IF(AL734=0,0,1)</f>
        <v>1</v>
      </c>
      <c r="AL734" s="48">
        <f>IF(B738=B$3008,E$3008,IF(B738=B$3009,E$3009,IF(B738=B$3010,E$3010,IF(B738=B$3011,E$3011,0))))</f>
        <v>2</v>
      </c>
      <c r="AM734" s="233" t="str">
        <f>IF(AL734=$E$3011,AC734,"")</f>
        <v/>
      </c>
    </row>
    <row r="735" spans="1:62" x14ac:dyDescent="0.3">
      <c r="A735" s="186"/>
      <c r="B735" s="1031" t="s">
        <v>398</v>
      </c>
      <c r="C735" s="1032"/>
      <c r="D735" s="1033"/>
      <c r="E735" s="187"/>
      <c r="F735" s="1"/>
    </row>
    <row r="736" spans="1:62" ht="100" customHeight="1" thickBot="1" x14ac:dyDescent="0.35">
      <c r="A736" s="186"/>
      <c r="B736" s="1026" t="s">
        <v>399</v>
      </c>
      <c r="C736" s="1027"/>
      <c r="D736" s="1028"/>
      <c r="E736" s="187"/>
      <c r="F736" s="1"/>
      <c r="AA736" s="48">
        <f>AA731+1</f>
        <v>37</v>
      </c>
      <c r="AB736" s="849">
        <f>IF(B738="",0,1)</f>
        <v>1</v>
      </c>
      <c r="AC736" s="853">
        <f>IF(B738=B$3008,D$3008,IF(B738=B$3009,D$3009,IF(B738=B$3010,D$3010,IF(B738=B$3011,D$3011,0))))</f>
        <v>0.5</v>
      </c>
      <c r="AE736" s="850">
        <f>IF(D738=B$3022,E$3022,IF(D738=B$3023,E$3023,IF(D738=B$3024,E$3024,IF(D738=B$3025,E$3025,IF(D738=B$3026,E$3026,IF(D738=B$3027,E$3027,IF(D738=B$3028,E$3028,IF(D738=B$3029,E$3029,D30623))))))))</f>
        <v>0</v>
      </c>
    </row>
    <row r="737" spans="1:62" ht="15" thickTop="1" thickBot="1" x14ac:dyDescent="0.35">
      <c r="A737" s="186"/>
      <c r="B737" s="188" t="str">
        <f>IF(B736="","","Claimed?")</f>
        <v>Claimed?</v>
      </c>
      <c r="C737" s="188" t="str">
        <f>IF(B737="","","Verifiable?")</f>
        <v>Verifiable?</v>
      </c>
      <c r="D737" s="189" t="str">
        <f>IF(C738="","","Independent verification")</f>
        <v>Independent verification</v>
      </c>
      <c r="E737" s="1029">
        <f>BI738</f>
        <v>0.78637499999999971</v>
      </c>
      <c r="F737" s="1030"/>
      <c r="AA737" s="52"/>
      <c r="AB737" s="52" t="s">
        <v>278</v>
      </c>
      <c r="AF737" s="204"/>
      <c r="AG737" s="52" t="s">
        <v>279</v>
      </c>
      <c r="AM737" s="205"/>
      <c r="AN737" s="52" t="s">
        <v>280</v>
      </c>
      <c r="AV737" s="206"/>
      <c r="AX737" s="191" t="s">
        <v>281</v>
      </c>
      <c r="AZ737" s="192" t="s">
        <v>282</v>
      </c>
      <c r="BB737" s="193" t="s">
        <v>283</v>
      </c>
      <c r="BD737" s="192" t="s">
        <v>284</v>
      </c>
      <c r="BG737" s="194" t="s">
        <v>290</v>
      </c>
      <c r="BH737" s="195" t="s">
        <v>291</v>
      </c>
      <c r="BI737" s="194" t="s">
        <v>285</v>
      </c>
      <c r="BJ737" s="195" t="s">
        <v>286</v>
      </c>
    </row>
    <row r="738" spans="1:62" ht="15" thickTop="1" thickBot="1" x14ac:dyDescent="0.35">
      <c r="A738" s="186"/>
      <c r="B738" s="196" t="s">
        <v>335</v>
      </c>
      <c r="C738" s="197" t="s">
        <v>322</v>
      </c>
      <c r="D738" s="207"/>
      <c r="E738" s="1029">
        <f>BJ738</f>
        <v>0.38949999999999996</v>
      </c>
      <c r="F738" s="1030"/>
      <c r="AA738" s="101"/>
      <c r="AB738" s="101">
        <f>IF(B738=$B$3008,$AB$522,0)</f>
        <v>0</v>
      </c>
      <c r="AC738" s="101">
        <f>IF(B738=$B$3009,$AC$522,0)</f>
        <v>0</v>
      </c>
      <c r="AD738" s="101">
        <f>IF(B738=$B$3010,$AD$522,0)</f>
        <v>2.5</v>
      </c>
      <c r="AE738" s="101">
        <f>IF(B738=$B$3011,$AE$522,0)</f>
        <v>0</v>
      </c>
      <c r="AF738" s="208">
        <f>SUM(AB738:AE738)</f>
        <v>2.5</v>
      </c>
      <c r="AG738" s="101">
        <f>IF(C738=$B$3014,$E$3014,0)</f>
        <v>0</v>
      </c>
      <c r="AH738" s="101">
        <f>IF(C738=$B$3015,$E$3015,0)</f>
        <v>0</v>
      </c>
      <c r="AI738" s="101">
        <f>IF(C738=$B$3016,$E$3016,0)</f>
        <v>0.35000000000000003</v>
      </c>
      <c r="AJ738" s="101">
        <f>IF(C738=$B$3017,$E$3017,0)</f>
        <v>0</v>
      </c>
      <c r="AK738" s="101">
        <f>IF(C738=$B$3018,$E$3018,0)</f>
        <v>0</v>
      </c>
      <c r="AL738" s="101">
        <f>IF(C738=$B$3019,$E$3019,0)</f>
        <v>0</v>
      </c>
      <c r="AM738" s="209">
        <f>SUM(AG738:AL738)</f>
        <v>0.35000000000000003</v>
      </c>
      <c r="AN738" s="101">
        <f>IF($D738=$B$3022,AN$522,0)</f>
        <v>0</v>
      </c>
      <c r="AO738" s="101">
        <f>IF($D738=$B$3023,AO$522,0)</f>
        <v>0</v>
      </c>
      <c r="AP738" s="101">
        <f>IF($D738=$B$3024,AP$522,0)</f>
        <v>0</v>
      </c>
      <c r="AQ738" s="101">
        <f>IF($D738=$B$3025,AQ$522,0)</f>
        <v>0</v>
      </c>
      <c r="AR738" s="101">
        <f>IF($D738=$B$3026,AR$522,0)</f>
        <v>0</v>
      </c>
      <c r="AS738" s="101">
        <f>IF($D738=$B$3027,AS$522,0)</f>
        <v>0</v>
      </c>
      <c r="AT738" s="101">
        <f>IF($D738=$B$3028,AT$522,0)</f>
        <v>0</v>
      </c>
      <c r="AU738" s="101">
        <f>IF($D738=$B$3029,AU$522,0)</f>
        <v>0</v>
      </c>
      <c r="AV738" s="210">
        <f>SUM(AN738:AU738)</f>
        <v>0</v>
      </c>
      <c r="AX738" s="200">
        <f>AF738*AM738</f>
        <v>0.87500000000000011</v>
      </c>
      <c r="AZ738" s="146">
        <f>AX738+(AV738*AM738)</f>
        <v>0.87500000000000011</v>
      </c>
      <c r="BB738" s="201">
        <f>(AF738*AM738)*0.01</f>
        <v>8.7500000000000008E-3</v>
      </c>
      <c r="BD738" s="202">
        <f>AZ738*0.01</f>
        <v>8.7500000000000008E-3</v>
      </c>
      <c r="BE738" s="377"/>
      <c r="BG738" s="201">
        <f>IF(AF738&gt;0,BG733+BB738,BG733)</f>
        <v>0.78637499999999971</v>
      </c>
      <c r="BH738" s="202">
        <f>IF(AV738&gt;0,BH733+BD738,BH733)</f>
        <v>0.38949999999999996</v>
      </c>
      <c r="BI738" s="201">
        <f>IF(BG738&gt;0.99,0.99,BG738)</f>
        <v>0.78637499999999971</v>
      </c>
      <c r="BJ738" s="202">
        <f>IF(BH738&gt;0.99,0.99,BH738)</f>
        <v>0.38949999999999996</v>
      </c>
    </row>
    <row r="739" spans="1:62" ht="16" thickTop="1" x14ac:dyDescent="0.3">
      <c r="A739" s="184">
        <f>A734+1</f>
        <v>52</v>
      </c>
      <c r="B739" s="184" t="s">
        <v>400</v>
      </c>
      <c r="C739" s="184"/>
      <c r="D739" s="185" t="str">
        <f>IF(B741="","If claimed, explain in white box below.","")</f>
        <v/>
      </c>
      <c r="E739" s="187"/>
      <c r="F739" s="1"/>
      <c r="AB739" s="48">
        <f>A739</f>
        <v>52</v>
      </c>
      <c r="AC739" s="48" t="s">
        <v>3995</v>
      </c>
      <c r="AK739" s="620">
        <f>IF(AL739=0,0,1)</f>
        <v>1</v>
      </c>
      <c r="AL739" s="48">
        <f>IF(B743=B$3008,E$3008,IF(B743=B$3009,E$3009,IF(B743=B$3010,E$3010,IF(B743=B$3011,E$3011,0))))</f>
        <v>1</v>
      </c>
      <c r="AM739" s="233" t="str">
        <f>IF(AL739=$E$3011,AC739,"")</f>
        <v/>
      </c>
    </row>
    <row r="740" spans="1:62" x14ac:dyDescent="0.3">
      <c r="A740" s="186"/>
      <c r="B740" s="1031" t="s">
        <v>401</v>
      </c>
      <c r="C740" s="1032"/>
      <c r="D740" s="1033"/>
      <c r="E740" s="187"/>
      <c r="F740" s="1"/>
    </row>
    <row r="741" spans="1:62" ht="100" customHeight="1" thickBot="1" x14ac:dyDescent="0.35">
      <c r="A741" s="186"/>
      <c r="B741" s="1026" t="s">
        <v>5155</v>
      </c>
      <c r="C741" s="1027"/>
      <c r="D741" s="1028"/>
      <c r="E741" s="187"/>
      <c r="F741" s="1"/>
      <c r="AA741" s="48">
        <f>AA736+1</f>
        <v>38</v>
      </c>
      <c r="AB741" s="849">
        <f>IF(B743="",0,1)</f>
        <v>1</v>
      </c>
      <c r="AC741" s="853">
        <f>IF(B743=B$3008,D$3008,IF(B743=B$3009,D$3009,IF(B743=B$3010,D$3010,IF(B743=B$3011,D$3011,0))))</f>
        <v>0.25</v>
      </c>
      <c r="AE741" s="850">
        <f>IF(D743=B$3022,E$3022,IF(D743=B$3023,E$3023,IF(D743=B$3024,E$3024,IF(D743=B$3025,E$3025,IF(D743=B$3026,E$3026,IF(D743=B$3027,E$3027,IF(D743=B$3028,E$3028,IF(D743=B$3029,E$3029,D30628))))))))</f>
        <v>0</v>
      </c>
    </row>
    <row r="742" spans="1:62" ht="15" thickTop="1" thickBot="1" x14ac:dyDescent="0.35">
      <c r="A742" s="186"/>
      <c r="B742" s="188" t="str">
        <f>IF(B741="","","Claimed?")</f>
        <v>Claimed?</v>
      </c>
      <c r="C742" s="188" t="str">
        <f>IF(B742="","","Verifiable?")</f>
        <v>Verifiable?</v>
      </c>
      <c r="D742" s="189" t="str">
        <f>IF(C743="","","Independent verification")</f>
        <v>Independent verification</v>
      </c>
      <c r="E742" s="1029">
        <f>BI743</f>
        <v>0.79262499999999969</v>
      </c>
      <c r="F742" s="1030"/>
      <c r="AA742" s="52"/>
      <c r="AB742" s="52" t="s">
        <v>278</v>
      </c>
      <c r="AF742" s="204"/>
      <c r="AG742" s="52" t="s">
        <v>279</v>
      </c>
      <c r="AM742" s="205"/>
      <c r="AN742" s="52" t="s">
        <v>280</v>
      </c>
      <c r="AV742" s="206"/>
      <c r="AX742" s="191" t="s">
        <v>281</v>
      </c>
      <c r="AZ742" s="192" t="s">
        <v>282</v>
      </c>
      <c r="BB742" s="193" t="s">
        <v>283</v>
      </c>
      <c r="BD742" s="192" t="s">
        <v>284</v>
      </c>
      <c r="BG742" s="194" t="s">
        <v>290</v>
      </c>
      <c r="BH742" s="195" t="s">
        <v>291</v>
      </c>
      <c r="BI742" s="194" t="s">
        <v>285</v>
      </c>
      <c r="BJ742" s="195" t="s">
        <v>286</v>
      </c>
    </row>
    <row r="743" spans="1:62" ht="15" thickTop="1" thickBot="1" x14ac:dyDescent="0.35">
      <c r="A743" s="186"/>
      <c r="B743" s="196" t="s">
        <v>304</v>
      </c>
      <c r="C743" s="197" t="s">
        <v>296</v>
      </c>
      <c r="D743" s="207"/>
      <c r="E743" s="1029">
        <f>BJ743</f>
        <v>0.38949999999999996</v>
      </c>
      <c r="F743" s="1030"/>
      <c r="AA743" s="101"/>
      <c r="AB743" s="101">
        <f>IF(B743=$B$3008,$AB$522,0)</f>
        <v>0</v>
      </c>
      <c r="AC743" s="101">
        <f>IF(B743=$B$3009,$AC$522,0)</f>
        <v>1.25</v>
      </c>
      <c r="AD743" s="101">
        <f>IF(B743=$B$3010,$AD$522,0)</f>
        <v>0</v>
      </c>
      <c r="AE743" s="101">
        <f>IF(B743=$B$3011,$AE$522,0)</f>
        <v>0</v>
      </c>
      <c r="AF743" s="208">
        <f>SUM(AB743:AE743)</f>
        <v>1.25</v>
      </c>
      <c r="AG743" s="101">
        <f>IF(C743=$B$3014,$E$3014,0)</f>
        <v>0</v>
      </c>
      <c r="AH743" s="101">
        <f>IF(C743=$B$3015,$E$3015,0)</f>
        <v>0</v>
      </c>
      <c r="AI743" s="101">
        <f>IF(C743=$B$3016,$E$3016,0)</f>
        <v>0</v>
      </c>
      <c r="AJ743" s="101">
        <f>IF(C743=$B$3017,$E$3017,0)</f>
        <v>0</v>
      </c>
      <c r="AK743" s="101">
        <f>IF(C743=$B$3018,$E$3018,0)</f>
        <v>0</v>
      </c>
      <c r="AL743" s="101">
        <f>IF(C743=$B$3019,$E$3019,0)</f>
        <v>0.5</v>
      </c>
      <c r="AM743" s="209">
        <f>SUM(AG743:AL743)</f>
        <v>0.5</v>
      </c>
      <c r="AN743" s="101">
        <f>IF($D743=$B$3022,AN$522,0)</f>
        <v>0</v>
      </c>
      <c r="AO743" s="101">
        <f>IF($D743=$B$3023,AO$522,0)</f>
        <v>0</v>
      </c>
      <c r="AP743" s="101">
        <f>IF($D743=$B$3024,AP$522,0)</f>
        <v>0</v>
      </c>
      <c r="AQ743" s="101">
        <f>IF($D743=$B$3025,AQ$522,0)</f>
        <v>0</v>
      </c>
      <c r="AR743" s="101">
        <f>IF($D743=$B$3026,AR$522,0)</f>
        <v>0</v>
      </c>
      <c r="AS743" s="101">
        <f>IF($D743=$B$3027,AS$522,0)</f>
        <v>0</v>
      </c>
      <c r="AT743" s="101">
        <f>IF($D743=$B$3028,AT$522,0)</f>
        <v>0</v>
      </c>
      <c r="AU743" s="101">
        <f>IF($D743=$B$3029,AU$522,0)</f>
        <v>0</v>
      </c>
      <c r="AV743" s="210">
        <f>SUM(AN743:AU743)</f>
        <v>0</v>
      </c>
      <c r="AX743" s="200">
        <f>AF743*AM743</f>
        <v>0.625</v>
      </c>
      <c r="AZ743" s="146">
        <f>AX743+(AV743*AM743)</f>
        <v>0.625</v>
      </c>
      <c r="BB743" s="201">
        <f>(AF743*AM743)*0.01</f>
        <v>6.2500000000000003E-3</v>
      </c>
      <c r="BD743" s="202">
        <f>AZ743*0.01</f>
        <v>6.2500000000000003E-3</v>
      </c>
      <c r="BE743" s="377"/>
      <c r="BG743" s="201">
        <f>IF(AF743&gt;0,BG738+BB743,BG738)</f>
        <v>0.79262499999999969</v>
      </c>
      <c r="BH743" s="202">
        <f>IF(AV743&gt;0,BH738+BD743,BH738)</f>
        <v>0.38949999999999996</v>
      </c>
      <c r="BI743" s="201">
        <f>IF(BG743&gt;0.99,0.99,BG743)</f>
        <v>0.79262499999999969</v>
      </c>
      <c r="BJ743" s="202">
        <f>IF(BH743&gt;0.99,0.99,BH743)</f>
        <v>0.38949999999999996</v>
      </c>
    </row>
    <row r="744" spans="1:62" ht="14.5" thickTop="1" x14ac:dyDescent="0.3">
      <c r="A744" s="186"/>
      <c r="B744" s="187"/>
      <c r="C744" s="187"/>
      <c r="D744" s="187"/>
      <c r="E744" s="187"/>
      <c r="F744" s="1"/>
    </row>
    <row r="745" spans="1:62" ht="30" customHeight="1" x14ac:dyDescent="0.3">
      <c r="A745" s="1199" t="s">
        <v>78</v>
      </c>
      <c r="B745" s="40" t="s">
        <v>402</v>
      </c>
      <c r="C745" s="40"/>
      <c r="D745" s="40"/>
      <c r="E745" s="436"/>
      <c r="F745" s="436" t="s">
        <v>869</v>
      </c>
    </row>
    <row r="746" spans="1:62" ht="20" customHeight="1" x14ac:dyDescent="0.3">
      <c r="A746" s="97"/>
      <c r="B746" s="98" t="s">
        <v>403</v>
      </c>
      <c r="C746" s="98"/>
      <c r="D746" s="98"/>
      <c r="E746" s="99"/>
      <c r="F746" s="97"/>
      <c r="AA746" s="175"/>
      <c r="AB746" s="175">
        <v>0</v>
      </c>
      <c r="AC746" s="176">
        <f>AD746/2</f>
        <v>0.25</v>
      </c>
      <c r="AD746" s="177">
        <f>AE746/2</f>
        <v>0.5</v>
      </c>
      <c r="AE746" s="178">
        <v>1</v>
      </c>
      <c r="AF746" s="109"/>
      <c r="AG746" s="109"/>
      <c r="AH746" s="109"/>
      <c r="AI746" s="109"/>
      <c r="AJ746" s="109"/>
      <c r="AK746" s="109"/>
      <c r="AL746" s="109"/>
      <c r="AN746" s="179">
        <f>AE746*-2</f>
        <v>-2</v>
      </c>
      <c r="AO746" s="175">
        <f>AE746*-1</f>
        <v>-1</v>
      </c>
      <c r="AP746" s="175">
        <f>AD746*-1</f>
        <v>-0.5</v>
      </c>
      <c r="AQ746" s="180">
        <f>AE746*-0.1</f>
        <v>-0.1</v>
      </c>
      <c r="AR746" s="180">
        <v>0</v>
      </c>
      <c r="AS746" s="180">
        <f>AE746*0.1</f>
        <v>0.1</v>
      </c>
      <c r="AT746" s="177">
        <f>AD746</f>
        <v>0.5</v>
      </c>
      <c r="AU746" s="178">
        <f>AE746</f>
        <v>1</v>
      </c>
      <c r="AV746" s="181"/>
      <c r="AW746" s="109"/>
      <c r="AX746" s="109"/>
      <c r="AY746" s="109"/>
      <c r="AZ746" s="109"/>
      <c r="BA746" s="109"/>
      <c r="BB746" s="182"/>
      <c r="BC746" s="109"/>
      <c r="BD746" s="109"/>
      <c r="BE746" s="109"/>
      <c r="BF746" s="109"/>
      <c r="BG746" s="213">
        <f>BG707</f>
        <v>0.38949999999999996</v>
      </c>
    </row>
    <row r="747" spans="1:62" ht="15.5" x14ac:dyDescent="0.3">
      <c r="A747" s="184">
        <f>A739+1</f>
        <v>53</v>
      </c>
      <c r="B747" s="184" t="s">
        <v>404</v>
      </c>
      <c r="C747" s="184"/>
      <c r="D747" s="185" t="str">
        <f>IF(B749="","If claimed, explain in white box below.","")</f>
        <v/>
      </c>
      <c r="E747" s="187"/>
      <c r="F747" s="1"/>
      <c r="AB747" s="48">
        <f>A747</f>
        <v>53</v>
      </c>
      <c r="AK747" s="620">
        <f>IF(AL747=0,0,1)</f>
        <v>1</v>
      </c>
      <c r="AL747" s="48">
        <f>IF(B751=B$3008,E$3008,IF(B751=B$3009,E$3009,IF(B751=B$3010,E$3010,IF(B751=B$3011,E$3011,0))))</f>
        <v>2</v>
      </c>
      <c r="AM747" s="233" t="str">
        <f>IF(AL747=$E$3011,AC747,"")</f>
        <v/>
      </c>
    </row>
    <row r="748" spans="1:62" ht="28" customHeight="1" x14ac:dyDescent="0.3">
      <c r="A748" s="186"/>
      <c r="B748" s="1031" t="s">
        <v>3649</v>
      </c>
      <c r="C748" s="1032"/>
      <c r="D748" s="1033"/>
      <c r="E748" s="187"/>
      <c r="F748" s="1"/>
    </row>
    <row r="749" spans="1:62" ht="150" customHeight="1" thickBot="1" x14ac:dyDescent="0.35">
      <c r="A749" s="186"/>
      <c r="B749" s="1026" t="s">
        <v>405</v>
      </c>
      <c r="C749" s="1027"/>
      <c r="D749" s="1028"/>
      <c r="E749" s="187"/>
      <c r="F749" s="1"/>
      <c r="AA749" s="48">
        <f>AA741+1</f>
        <v>39</v>
      </c>
      <c r="AB749" s="849">
        <f>IF(B751="",0,1)</f>
        <v>1</v>
      </c>
      <c r="AC749" s="853">
        <f>IF(B751=B$3008,D$3008,IF(B751=B$3009,D$3009,IF(B751=B$3010,D$3010,IF(B751=B$3011,D$3011,0))))</f>
        <v>0.5</v>
      </c>
      <c r="AE749" s="850">
        <f>IF(D751=B$3022,E$3022,IF(D751=B$3023,E$3023,IF(D751=B$3024,E$3024,IF(D751=B$3025,E$3025,IF(D751=B$3026,E$3026,IF(D751=B$3027,E$3027,IF(D751=B$3028,E$3028,IF(D751=B$3029,E$3029,D30636))))))))</f>
        <v>0</v>
      </c>
    </row>
    <row r="750" spans="1:62" ht="15" thickTop="1" thickBot="1" x14ac:dyDescent="0.35">
      <c r="A750" s="186"/>
      <c r="B750" s="188" t="str">
        <f>IF(B749="","","Claimed?")</f>
        <v>Claimed?</v>
      </c>
      <c r="C750" s="188" t="str">
        <f>IF(B750="","","Verifiable?")</f>
        <v>Verifiable?</v>
      </c>
      <c r="D750" s="189" t="str">
        <f>IF(C751="","","Independent verification")</f>
        <v>Independent verification</v>
      </c>
      <c r="E750" s="1029">
        <f>BI751</f>
        <v>0.80512499999999965</v>
      </c>
      <c r="F750" s="1030"/>
      <c r="AA750" s="52"/>
      <c r="AB750" s="52" t="s">
        <v>278</v>
      </c>
      <c r="AF750" s="204"/>
      <c r="AG750" s="52" t="s">
        <v>279</v>
      </c>
      <c r="AM750" s="205"/>
      <c r="AN750" s="52" t="s">
        <v>280</v>
      </c>
      <c r="AV750" s="206"/>
      <c r="AX750" s="191" t="s">
        <v>281</v>
      </c>
      <c r="AZ750" s="192" t="s">
        <v>282</v>
      </c>
      <c r="BB750" s="193" t="s">
        <v>283</v>
      </c>
      <c r="BD750" s="192" t="s">
        <v>284</v>
      </c>
      <c r="BG750" s="194" t="s">
        <v>290</v>
      </c>
      <c r="BH750" s="195" t="s">
        <v>291</v>
      </c>
      <c r="BI750" s="194" t="s">
        <v>285</v>
      </c>
      <c r="BJ750" s="195" t="s">
        <v>286</v>
      </c>
    </row>
    <row r="751" spans="1:62" ht="15" thickTop="1" thickBot="1" x14ac:dyDescent="0.35">
      <c r="A751" s="186"/>
      <c r="B751" s="196" t="s">
        <v>335</v>
      </c>
      <c r="C751" s="197" t="s">
        <v>296</v>
      </c>
      <c r="D751" s="207"/>
      <c r="E751" s="1029">
        <f>BJ751</f>
        <v>0.38949999999999996</v>
      </c>
      <c r="F751" s="1030"/>
      <c r="AA751" s="101"/>
      <c r="AB751" s="101">
        <f>IF(B751=$B$3008,$AB$522,0)</f>
        <v>0</v>
      </c>
      <c r="AC751" s="101">
        <f>IF(B751=$B$3009,$AC$522,0)</f>
        <v>0</v>
      </c>
      <c r="AD751" s="101">
        <f>IF(B751=$B$3010,$AD$522,0)</f>
        <v>2.5</v>
      </c>
      <c r="AE751" s="101">
        <f>IF(B751=$B$3011,$AE$522,0)</f>
        <v>0</v>
      </c>
      <c r="AF751" s="208">
        <f>SUM(AB751:AE751)</f>
        <v>2.5</v>
      </c>
      <c r="AG751" s="101">
        <f>IF(C751=$B$3014,$E$3014,0)</f>
        <v>0</v>
      </c>
      <c r="AH751" s="101">
        <f>IF(C751=$B$3015,$E$3015,0)</f>
        <v>0</v>
      </c>
      <c r="AI751" s="101">
        <f>IF(C751=$B$3016,$E$3016,0)</f>
        <v>0</v>
      </c>
      <c r="AJ751" s="101">
        <f>IF(C751=$B$3017,$E$3017,0)</f>
        <v>0</v>
      </c>
      <c r="AK751" s="101">
        <f>IF(C751=$B$3018,$E$3018,0)</f>
        <v>0</v>
      </c>
      <c r="AL751" s="101">
        <f>IF(C751=$B$3019,$E$3019,0)</f>
        <v>0.5</v>
      </c>
      <c r="AM751" s="209">
        <f>SUM(AG751:AL751)</f>
        <v>0.5</v>
      </c>
      <c r="AN751" s="101">
        <f>IF($D751=$B$3022,AN$522,0)</f>
        <v>0</v>
      </c>
      <c r="AO751" s="101">
        <f>IF($D751=$B$3023,AO$522,0)</f>
        <v>0</v>
      </c>
      <c r="AP751" s="101">
        <f>IF($D751=$B$3024,AP$522,0)</f>
        <v>0</v>
      </c>
      <c r="AQ751" s="101">
        <f>IF($D751=$B$3025,AQ$522,0)</f>
        <v>0</v>
      </c>
      <c r="AR751" s="101">
        <f>IF($D751=$B$3026,AR$522,0)</f>
        <v>0</v>
      </c>
      <c r="AS751" s="101">
        <f>IF($D751=$B$3027,AS$522,0)</f>
        <v>0</v>
      </c>
      <c r="AT751" s="101">
        <f>IF($D751=$B$3028,AT$522,0)</f>
        <v>0</v>
      </c>
      <c r="AU751" s="101">
        <f>IF($D751=$B$3029,AU$522,0)</f>
        <v>0</v>
      </c>
      <c r="AV751" s="210">
        <f>SUM(AN751:AU751)</f>
        <v>0</v>
      </c>
      <c r="AX751" s="200">
        <f>AF751*AM751</f>
        <v>1.25</v>
      </c>
      <c r="AZ751" s="146">
        <f>AX751+(AV751*AM751)</f>
        <v>1.25</v>
      </c>
      <c r="BB751" s="201">
        <f>(AF751*AM751)*0.01</f>
        <v>1.2500000000000001E-2</v>
      </c>
      <c r="BD751" s="202">
        <f>AZ751*0.01</f>
        <v>1.2500000000000001E-2</v>
      </c>
      <c r="BE751" s="377"/>
      <c r="BG751" s="201">
        <f>IF(AF751&gt;0,BG743+BB751,BG743)</f>
        <v>0.80512499999999965</v>
      </c>
      <c r="BH751" s="202">
        <f>IF(AV751&gt;0,BH743+BD751,BH743)</f>
        <v>0.38949999999999996</v>
      </c>
      <c r="BI751" s="201">
        <f>IF(BG751&gt;0.99,0.99,BG751)</f>
        <v>0.80512499999999965</v>
      </c>
      <c r="BJ751" s="202">
        <f>IF(BH751&gt;0.99,0.99,BH751)</f>
        <v>0.38949999999999996</v>
      </c>
    </row>
    <row r="752" spans="1:62" ht="15" thickTop="1" thickBot="1" x14ac:dyDescent="0.35">
      <c r="A752" s="186"/>
      <c r="B752" s="187"/>
      <c r="C752" s="187"/>
      <c r="D752" s="187"/>
      <c r="E752" s="187"/>
      <c r="F752" s="1"/>
    </row>
    <row r="753" spans="1:62" ht="360" customHeight="1" thickTop="1" thickBot="1" x14ac:dyDescent="0.35">
      <c r="A753" s="186"/>
      <c r="B753" s="1034"/>
      <c r="C753" s="1035"/>
      <c r="D753" s="1036"/>
      <c r="E753" s="187"/>
      <c r="F753" s="1"/>
    </row>
    <row r="754" spans="1:62" ht="14.5" thickTop="1" x14ac:dyDescent="0.3">
      <c r="A754" s="186"/>
      <c r="B754" s="187"/>
      <c r="C754" s="187"/>
      <c r="D754" s="187"/>
      <c r="E754" s="187"/>
      <c r="F754" s="1"/>
      <c r="AB754" s="48" t="str">
        <f>AB755</f>
        <v xml:space="preserve">The significant complicating factors include , asserted right to trial, overlooked exculpatory evidence, and possibly others less significantly. </v>
      </c>
    </row>
    <row r="755" spans="1:62" ht="30" customHeight="1" x14ac:dyDescent="0.3">
      <c r="A755" s="1199" t="s">
        <v>80</v>
      </c>
      <c r="B755" s="40" t="s">
        <v>406</v>
      </c>
      <c r="C755" s="40"/>
      <c r="D755" s="40"/>
      <c r="E755" s="436"/>
      <c r="F755" s="436" t="s">
        <v>869</v>
      </c>
      <c r="AB755" s="618" t="str">
        <f>IF(AND(B761&lt;&gt;$B$3011,716&gt;$B$3011,B771&lt;&gt;$B$3011,B776&lt;&gt;$B$3011,B781&lt;&gt;$B$3011),"No significant process factors. ",CONCATENATE(AJ755,AM755,AN755,AO755,AP755,AQ755,AR755,AS755,AT755,AU755,AV755,AW755,AX755,AY755,AZ755,BA755))</f>
        <v xml:space="preserve">The significant complicating factors include , asserted right to trial, overlooked exculpatory evidence, and possibly others less significantly. </v>
      </c>
      <c r="AJ755" s="48" t="s">
        <v>4032</v>
      </c>
      <c r="AM755" s="48" t="str">
        <f>IF(AM757="","",AM757)</f>
        <v/>
      </c>
      <c r="AN755" s="48" t="str">
        <f>IF(AO755="","",", ")</f>
        <v/>
      </c>
      <c r="AO755" s="48" t="str">
        <f>AM762</f>
        <v/>
      </c>
      <c r="AP755" s="48" t="str">
        <f>IF(AQ755="","",", ")</f>
        <v xml:space="preserve">, </v>
      </c>
      <c r="AQ755" s="48" t="str">
        <f>AM767</f>
        <v>asserted right to trial</v>
      </c>
      <c r="AR755" s="48" t="str">
        <f>IF(AS755="","",", ")</f>
        <v xml:space="preserve">, </v>
      </c>
      <c r="AS755" s="48" t="str">
        <f>AM772</f>
        <v>overlooked exculpatory evidence</v>
      </c>
      <c r="AT755" s="48" t="str">
        <f>IF(AU755="","",", ")</f>
        <v/>
      </c>
      <c r="AU755" s="48" t="str">
        <f>AM777</f>
        <v/>
      </c>
      <c r="AV755" s="48" t="str">
        <f>IF(AW755="","",", ")</f>
        <v/>
      </c>
      <c r="AW755" s="48" t="str">
        <f>IF(AX755="","",", ")</f>
        <v/>
      </c>
      <c r="AY755" s="48" t="str">
        <f>IF(AZ755="","",", ")</f>
        <v/>
      </c>
      <c r="BA755" s="48" t="s">
        <v>4031</v>
      </c>
    </row>
    <row r="756" spans="1:62" ht="20" customHeight="1" x14ac:dyDescent="0.3">
      <c r="A756" s="97" t="s">
        <v>407</v>
      </c>
      <c r="B756" s="98"/>
      <c r="C756" s="98"/>
      <c r="D756" s="98"/>
      <c r="E756" s="99"/>
      <c r="F756" s="97"/>
      <c r="AA756" s="175"/>
      <c r="AB756" s="175">
        <v>0</v>
      </c>
      <c r="AC756" s="176">
        <f>AD756/2</f>
        <v>0.25</v>
      </c>
      <c r="AD756" s="177">
        <f>AE756/2</f>
        <v>0.5</v>
      </c>
      <c r="AE756" s="178">
        <v>1</v>
      </c>
      <c r="AF756" s="109"/>
      <c r="AG756" s="109"/>
      <c r="AH756" s="109"/>
      <c r="AI756" s="109"/>
      <c r="AJ756" s="109"/>
      <c r="AK756" s="109"/>
      <c r="AL756" s="109"/>
      <c r="AM756" s="109"/>
      <c r="AN756" s="179">
        <f>AE756*-2</f>
        <v>-2</v>
      </c>
      <c r="AO756" s="175">
        <f>AE756*-1</f>
        <v>-1</v>
      </c>
      <c r="AP756" s="175">
        <f>AD756*-1</f>
        <v>-0.5</v>
      </c>
      <c r="AQ756" s="180">
        <f>AE756*-0.1</f>
        <v>-0.1</v>
      </c>
      <c r="AR756" s="180">
        <v>0</v>
      </c>
      <c r="AS756" s="180">
        <f>AE756*0.1</f>
        <v>0.1</v>
      </c>
      <c r="AT756" s="177">
        <f>AD756</f>
        <v>0.5</v>
      </c>
      <c r="AU756" s="178">
        <f>AE756</f>
        <v>1</v>
      </c>
      <c r="AV756" s="181"/>
      <c r="AW756" s="109"/>
      <c r="AX756" s="109"/>
      <c r="AY756" s="109"/>
      <c r="AZ756" s="109"/>
      <c r="BA756" s="109"/>
      <c r="BB756" s="182"/>
      <c r="BC756" s="109"/>
      <c r="BD756" s="109"/>
      <c r="BE756" s="109"/>
      <c r="BF756" s="109"/>
      <c r="BG756" s="213">
        <f>BG746</f>
        <v>0.38949999999999996</v>
      </c>
    </row>
    <row r="757" spans="1:62" ht="15.5" x14ac:dyDescent="0.3">
      <c r="A757" s="184">
        <f>A747+1</f>
        <v>54</v>
      </c>
      <c r="B757" s="184" t="s">
        <v>408</v>
      </c>
      <c r="C757" s="184"/>
      <c r="D757" s="185" t="str">
        <f>IF(B759="","If claimed, explain in white box below.","")</f>
        <v>If claimed, explain in white box below.</v>
      </c>
      <c r="E757" s="187"/>
      <c r="F757" s="1"/>
      <c r="AB757" s="48">
        <f>A757</f>
        <v>54</v>
      </c>
      <c r="AC757" s="48" t="s">
        <v>3996</v>
      </c>
      <c r="AG757" s="48" t="s">
        <v>4001</v>
      </c>
      <c r="AK757" s="620">
        <f>IF(AL757=0,0,1)</f>
        <v>0</v>
      </c>
      <c r="AL757" s="48">
        <f>IF(B761=B$3008,E$3008,IF(B761=B$3009,E$3009,IF(B761=B$3010,E$3010,IF(B761=B$3011,E$3011,0))))</f>
        <v>0</v>
      </c>
      <c r="AM757" s="233" t="str">
        <f>IF(AL757=$E$3011,AC757,"")</f>
        <v/>
      </c>
    </row>
    <row r="758" spans="1:62" x14ac:dyDescent="0.3">
      <c r="A758" s="186"/>
      <c r="B758" s="1031" t="s">
        <v>3650</v>
      </c>
      <c r="C758" s="1032"/>
      <c r="D758" s="1033"/>
      <c r="E758" s="187"/>
      <c r="F758" s="1"/>
    </row>
    <row r="759" spans="1:62" ht="60" customHeight="1" thickBot="1" x14ac:dyDescent="0.35">
      <c r="A759" s="186"/>
      <c r="B759" s="1026"/>
      <c r="C759" s="1027"/>
      <c r="D759" s="1028"/>
      <c r="E759" s="187"/>
      <c r="F759" s="1"/>
      <c r="AA759" s="48">
        <f>AA749+1</f>
        <v>40</v>
      </c>
      <c r="AB759" s="849">
        <f>IF(B761="",0,1)</f>
        <v>1</v>
      </c>
      <c r="AC759" s="853">
        <f>IF(B761=B$3008,D$3008,IF(B761=B$3009,D$3009,IF(B761=B$3010,D$3010,IF(B761=B$3011,D$3011,0))))</f>
        <v>0</v>
      </c>
      <c r="AE759" s="850">
        <f>IF(D761=B$3022,E$3022,IF(D761=B$3023,E$3023,IF(D761=B$3024,E$3024,IF(D761=B$3025,E$3025,IF(D761=B$3026,E$3026,IF(D761=B$3027,E$3027,IF(D761=B$3028,E$3028,IF(D761=B$3029,E$3029,D30646))))))))</f>
        <v>0</v>
      </c>
    </row>
    <row r="760" spans="1:62" ht="15" thickTop="1" thickBot="1" x14ac:dyDescent="0.35">
      <c r="A760" s="186"/>
      <c r="B760" s="188" t="str">
        <f>IF(B759="","","Claimed?")</f>
        <v/>
      </c>
      <c r="C760" s="188" t="str">
        <f>IF(B760="","","Verifiable?")</f>
        <v/>
      </c>
      <c r="D760" s="189" t="str">
        <f>IF(C761="","","Independent verification")</f>
        <v/>
      </c>
      <c r="E760" s="1029">
        <f>BI761</f>
        <v>0.80512499999999965</v>
      </c>
      <c r="F760" s="1030"/>
      <c r="AA760" s="52"/>
      <c r="AB760" s="52" t="s">
        <v>278</v>
      </c>
      <c r="AF760" s="204"/>
      <c r="AG760" s="52" t="s">
        <v>279</v>
      </c>
      <c r="AM760" s="205"/>
      <c r="AN760" s="52" t="s">
        <v>280</v>
      </c>
      <c r="AV760" s="206"/>
      <c r="AX760" s="191" t="s">
        <v>281</v>
      </c>
      <c r="AZ760" s="192" t="s">
        <v>282</v>
      </c>
      <c r="BB760" s="193" t="s">
        <v>283</v>
      </c>
      <c r="BD760" s="192" t="s">
        <v>284</v>
      </c>
      <c r="BG760" s="194" t="s">
        <v>290</v>
      </c>
      <c r="BH760" s="195" t="s">
        <v>291</v>
      </c>
      <c r="BI760" s="194" t="s">
        <v>285</v>
      </c>
      <c r="BJ760" s="195" t="s">
        <v>286</v>
      </c>
    </row>
    <row r="761" spans="1:62" ht="15" thickTop="1" thickBot="1" x14ac:dyDescent="0.35">
      <c r="A761" s="186"/>
      <c r="B761" s="196" t="s">
        <v>287</v>
      </c>
      <c r="C761" s="197"/>
      <c r="D761" s="207"/>
      <c r="E761" s="1029">
        <f>BJ761</f>
        <v>0.38949999999999996</v>
      </c>
      <c r="F761" s="1030"/>
      <c r="AA761" s="101"/>
      <c r="AB761" s="101">
        <f>IF(B761=$B$3008,$AB$522,0)</f>
        <v>0</v>
      </c>
      <c r="AC761" s="101">
        <f>IF(B761=$B$3009,$AC$522,0)</f>
        <v>0</v>
      </c>
      <c r="AD761" s="101">
        <f>IF(B761=$B$3010,$AD$522,0)</f>
        <v>0</v>
      </c>
      <c r="AE761" s="101">
        <f>IF(B761=$B$3011,$AE$522,0)</f>
        <v>0</v>
      </c>
      <c r="AF761" s="208">
        <f>SUM(AB761:AE761)</f>
        <v>0</v>
      </c>
      <c r="AG761" s="101">
        <f>IF(C761=$B$3014,$E$3014,0)</f>
        <v>0</v>
      </c>
      <c r="AH761" s="101">
        <f>IF(C761=$B$3015,$E$3015,0)</f>
        <v>0</v>
      </c>
      <c r="AI761" s="101">
        <f>IF(C761=$B$3016,$E$3016,0)</f>
        <v>0</v>
      </c>
      <c r="AJ761" s="101">
        <f>IF(C761=$B$3017,$E$3017,0)</f>
        <v>0</v>
      </c>
      <c r="AK761" s="101">
        <f>IF(C761=$B$3018,$E$3018,0)</f>
        <v>0</v>
      </c>
      <c r="AL761" s="101">
        <f>IF(C761=$B$3019,$E$3019,0)</f>
        <v>0</v>
      </c>
      <c r="AM761" s="209">
        <f>SUM(AG761:AL761)</f>
        <v>0</v>
      </c>
      <c r="AN761" s="101">
        <f>IF($D761=$B$3022,AN$522,0)</f>
        <v>0</v>
      </c>
      <c r="AO761" s="101">
        <f>IF($D761=$B$3023,AO$522,0)</f>
        <v>0</v>
      </c>
      <c r="AP761" s="101">
        <f>IF($D761=$B$3024,AP$522,0)</f>
        <v>0</v>
      </c>
      <c r="AQ761" s="101">
        <f>IF($D761=$B$3025,AQ$522,0)</f>
        <v>0</v>
      </c>
      <c r="AR761" s="101">
        <f>IF($D761=$B$3026,AR$522,0)</f>
        <v>0</v>
      </c>
      <c r="AS761" s="101">
        <f>IF($D761=$B$3027,AS$522,0)</f>
        <v>0</v>
      </c>
      <c r="AT761" s="101">
        <f>IF($D761=$B$3028,AT$522,0)</f>
        <v>0</v>
      </c>
      <c r="AU761" s="101">
        <f>IF($D761=$B$3029,AU$522,0)</f>
        <v>0</v>
      </c>
      <c r="AV761" s="210">
        <f>SUM(AN761:AU761)</f>
        <v>0</v>
      </c>
      <c r="AX761" s="200">
        <f>AF761*AM761</f>
        <v>0</v>
      </c>
      <c r="AZ761" s="146">
        <f>AX761+(AV761*AM761)</f>
        <v>0</v>
      </c>
      <c r="BB761" s="201">
        <f>(AF761*AM761)*0.01</f>
        <v>0</v>
      </c>
      <c r="BD761" s="202">
        <f>AZ761*0.01</f>
        <v>0</v>
      </c>
      <c r="BE761" s="377"/>
      <c r="BG761" s="201">
        <f>IF(AF761&gt;0,BG751+BB761,BG751)</f>
        <v>0.80512499999999965</v>
      </c>
      <c r="BH761" s="202">
        <f>IF(AV761&gt;0,BH751+BD761,BH751)</f>
        <v>0.38949999999999996</v>
      </c>
      <c r="BI761" s="201">
        <f>IF(BG761&gt;0.99,0.99,BG761)</f>
        <v>0.80512499999999965</v>
      </c>
      <c r="BJ761" s="202">
        <f>IF(BH761&gt;0.99,0.99,BH761)</f>
        <v>0.38949999999999996</v>
      </c>
    </row>
    <row r="762" spans="1:62" ht="16" thickTop="1" x14ac:dyDescent="0.3">
      <c r="A762" s="184">
        <f>A757+1</f>
        <v>55</v>
      </c>
      <c r="B762" s="184" t="s">
        <v>410</v>
      </c>
      <c r="C762" s="184"/>
      <c r="D762" s="185" t="str">
        <f>IF(B764="","If claimed, explain in white box below.","")</f>
        <v>If claimed, explain in white box below.</v>
      </c>
      <c r="E762" s="187"/>
      <c r="F762" s="1"/>
      <c r="AB762" s="48">
        <f>A762</f>
        <v>55</v>
      </c>
      <c r="AC762" s="48" t="s">
        <v>3997</v>
      </c>
      <c r="AG762" s="48" t="s">
        <v>4000</v>
      </c>
      <c r="AK762" s="620">
        <f>IF(AL762=0,0,1)</f>
        <v>0</v>
      </c>
      <c r="AL762" s="48">
        <f>IF(B766=B$3008,E$3008,IF(B766=B$3009,E$3009,IF(B766=B$3010,E$3010,IF(B766=B$3011,E$3011,0))))</f>
        <v>0</v>
      </c>
      <c r="AM762" s="233" t="str">
        <f>IF(AL762=$E$3011,AC762,"")</f>
        <v/>
      </c>
    </row>
    <row r="763" spans="1:62" x14ac:dyDescent="0.3">
      <c r="A763" s="186"/>
      <c r="B763" s="1031" t="s">
        <v>409</v>
      </c>
      <c r="C763" s="1032"/>
      <c r="D763" s="1033"/>
      <c r="E763" s="187"/>
      <c r="F763" s="1"/>
    </row>
    <row r="764" spans="1:62" ht="60" customHeight="1" thickBot="1" x14ac:dyDescent="0.35">
      <c r="A764" s="186"/>
      <c r="B764" s="1026"/>
      <c r="C764" s="1027"/>
      <c r="D764" s="1028"/>
      <c r="E764" s="187"/>
      <c r="F764" s="1"/>
      <c r="AA764" s="48">
        <f>AA759+1</f>
        <v>41</v>
      </c>
      <c r="AB764" s="849">
        <f>IF(B766="",0,1)</f>
        <v>1</v>
      </c>
      <c r="AC764" s="853">
        <f>IF(B766=B$3008,D$3008,IF(B766=B$3009,D$3009,IF(B766=B$3010,D$3010,IF(B766=B$3011,D$3011,0))))</f>
        <v>0</v>
      </c>
      <c r="AE764" s="850">
        <f>IF(D766=B$3022,E$3022,IF(D766=B$3023,E$3023,IF(D766=B$3024,E$3024,IF(D766=B$3025,E$3025,IF(D766=B$3026,E$3026,IF(D766=B$3027,E$3027,IF(D766=B$3028,E$3028,IF(D766=B$3029,E$3029,D30651))))))))</f>
        <v>0</v>
      </c>
    </row>
    <row r="765" spans="1:62" ht="15" thickTop="1" thickBot="1" x14ac:dyDescent="0.35">
      <c r="A765" s="186"/>
      <c r="B765" s="188" t="str">
        <f>IF(B764="","","Claimed?")</f>
        <v/>
      </c>
      <c r="C765" s="188" t="str">
        <f>IF(B765="","","Verifiable?")</f>
        <v/>
      </c>
      <c r="D765" s="189" t="str">
        <f>IF(C766="","","Independent verification")</f>
        <v/>
      </c>
      <c r="E765" s="1029">
        <f>BI766</f>
        <v>0.80512499999999965</v>
      </c>
      <c r="F765" s="1030"/>
      <c r="AA765" s="52"/>
      <c r="AB765" s="52" t="s">
        <v>278</v>
      </c>
      <c r="AF765" s="204"/>
      <c r="AG765" s="52" t="s">
        <v>279</v>
      </c>
      <c r="AM765" s="205"/>
      <c r="AN765" s="52" t="s">
        <v>280</v>
      </c>
      <c r="AV765" s="206"/>
      <c r="AX765" s="191" t="s">
        <v>281</v>
      </c>
      <c r="AZ765" s="192" t="s">
        <v>282</v>
      </c>
      <c r="BB765" s="193" t="s">
        <v>283</v>
      </c>
      <c r="BD765" s="192" t="s">
        <v>284</v>
      </c>
      <c r="BG765" s="194" t="s">
        <v>290</v>
      </c>
      <c r="BH765" s="195" t="s">
        <v>291</v>
      </c>
      <c r="BI765" s="194" t="s">
        <v>285</v>
      </c>
      <c r="BJ765" s="195" t="s">
        <v>286</v>
      </c>
    </row>
    <row r="766" spans="1:62" ht="15" thickTop="1" thickBot="1" x14ac:dyDescent="0.35">
      <c r="A766" s="186"/>
      <c r="B766" s="196" t="s">
        <v>287</v>
      </c>
      <c r="C766" s="197"/>
      <c r="D766" s="207"/>
      <c r="E766" s="1029">
        <f>BJ766</f>
        <v>0.38949999999999996</v>
      </c>
      <c r="F766" s="1030"/>
      <c r="AA766" s="101"/>
      <c r="AB766" s="101">
        <f>IF(B766=$B$3008,$AB$522,0)</f>
        <v>0</v>
      </c>
      <c r="AC766" s="101">
        <f>IF(B766=$B$3009,$AC$522,0)</f>
        <v>0</v>
      </c>
      <c r="AD766" s="101">
        <f>IF(B766=$B$3010,$AD$522,0)</f>
        <v>0</v>
      </c>
      <c r="AE766" s="101">
        <f>IF(B766=$B$3011,$AE$522,0)</f>
        <v>0</v>
      </c>
      <c r="AF766" s="208">
        <f>SUM(AB766:AE766)</f>
        <v>0</v>
      </c>
      <c r="AG766" s="101">
        <f>IF(C766=$B$3014,$E$3014,0)</f>
        <v>0</v>
      </c>
      <c r="AH766" s="101">
        <f>IF(C766=$B$3015,$E$3015,0)</f>
        <v>0</v>
      </c>
      <c r="AI766" s="101">
        <f>IF(C766=$B$3016,$E$3016,0)</f>
        <v>0</v>
      </c>
      <c r="AJ766" s="101">
        <f>IF(C766=$B$3017,$E$3017,0)</f>
        <v>0</v>
      </c>
      <c r="AK766" s="101">
        <f>IF(C766=$B$3018,$E$3018,0)</f>
        <v>0</v>
      </c>
      <c r="AL766" s="101">
        <f>IF(C766=$B$3019,$E$3019,0)</f>
        <v>0</v>
      </c>
      <c r="AM766" s="209">
        <f>SUM(AG766:AL766)</f>
        <v>0</v>
      </c>
      <c r="AN766" s="101">
        <f>IF($D766=$B$3022,AN$522,0)</f>
        <v>0</v>
      </c>
      <c r="AO766" s="101">
        <f>IF($D766=$B$3023,AO$522,0)</f>
        <v>0</v>
      </c>
      <c r="AP766" s="101">
        <f>IF($D766=$B$3024,AP$522,0)</f>
        <v>0</v>
      </c>
      <c r="AQ766" s="101">
        <f>IF($D766=$B$3025,AQ$522,0)</f>
        <v>0</v>
      </c>
      <c r="AR766" s="101">
        <f>IF($D766=$B$3026,AR$522,0)</f>
        <v>0</v>
      </c>
      <c r="AS766" s="101">
        <f>IF($D766=$B$3027,AS$522,0)</f>
        <v>0</v>
      </c>
      <c r="AT766" s="101">
        <f>IF($D766=$B$3028,AT$522,0)</f>
        <v>0</v>
      </c>
      <c r="AU766" s="101">
        <f>IF($D766=$B$3029,AU$522,0)</f>
        <v>0</v>
      </c>
      <c r="AV766" s="210">
        <f>SUM(AN766:AU766)</f>
        <v>0</v>
      </c>
      <c r="AX766" s="200">
        <f>AF766*AM766</f>
        <v>0</v>
      </c>
      <c r="AZ766" s="146">
        <f>AX766+(AV766*AM766)</f>
        <v>0</v>
      </c>
      <c r="BB766" s="201">
        <f>(AF766*AM766)*0.01</f>
        <v>0</v>
      </c>
      <c r="BD766" s="202">
        <f>AZ766*0.01</f>
        <v>0</v>
      </c>
      <c r="BE766" s="377"/>
      <c r="BG766" s="201">
        <f>IF(AF766&gt;0,BG761+BB766,BG761)</f>
        <v>0.80512499999999965</v>
      </c>
      <c r="BH766" s="202">
        <f>IF(AV766&gt;0,BH761+BD766,BH761)</f>
        <v>0.38949999999999996</v>
      </c>
      <c r="BI766" s="201">
        <f>IF(BG766&gt;0.99,0.99,BG766)</f>
        <v>0.80512499999999965</v>
      </c>
      <c r="BJ766" s="202">
        <f>IF(BH766&gt;0.99,0.99,BH766)</f>
        <v>0.38949999999999996</v>
      </c>
    </row>
    <row r="767" spans="1:62" ht="16" thickTop="1" x14ac:dyDescent="0.3">
      <c r="A767" s="184">
        <f>A762+1</f>
        <v>56</v>
      </c>
      <c r="B767" s="184" t="s">
        <v>411</v>
      </c>
      <c r="C767" s="184"/>
      <c r="D767" s="185" t="str">
        <f>IF(B769="","If claimed, explain in white box below.","")</f>
        <v/>
      </c>
      <c r="E767" s="187"/>
      <c r="F767" s="1"/>
      <c r="AB767" s="48">
        <f>A767</f>
        <v>56</v>
      </c>
      <c r="AC767" s="48" t="s">
        <v>3998</v>
      </c>
      <c r="AG767" s="48" t="s">
        <v>3999</v>
      </c>
      <c r="AK767" s="620">
        <f>IF(AL767=0,0,1)</f>
        <v>1</v>
      </c>
      <c r="AL767" s="48">
        <f>IF(B771=B$3008,E$3008,IF(B771=B$3009,E$3009,IF(B771=B$3010,E$3010,IF(B771=B$3011,E$3011,0))))</f>
        <v>4</v>
      </c>
      <c r="AM767" s="233" t="str">
        <f>IF(AL767=$E$3011,AC767,"")</f>
        <v>asserted right to trial</v>
      </c>
    </row>
    <row r="768" spans="1:62" x14ac:dyDescent="0.3">
      <c r="A768" s="186"/>
      <c r="B768" s="1031" t="s">
        <v>412</v>
      </c>
      <c r="C768" s="1032"/>
      <c r="D768" s="1033"/>
      <c r="E768" s="187"/>
      <c r="F768" s="1"/>
    </row>
    <row r="769" spans="1:62" ht="60" customHeight="1" thickBot="1" x14ac:dyDescent="0.35">
      <c r="A769" s="186"/>
      <c r="B769" s="1026" t="s">
        <v>5158</v>
      </c>
      <c r="C769" s="1027"/>
      <c r="D769" s="1028"/>
      <c r="E769" s="187"/>
      <c r="F769" s="1"/>
      <c r="AA769" s="48">
        <f>AA764+1</f>
        <v>42</v>
      </c>
      <c r="AB769" s="849">
        <f>IF(B771="",0,1)</f>
        <v>1</v>
      </c>
      <c r="AC769" s="853">
        <f>IF(B771=B$3008,D$3008,IF(B771=B$3009,D$3009,IF(B771=B$3010,D$3010,IF(B771=B$3011,D$3011,0))))</f>
        <v>1</v>
      </c>
      <c r="AE769" s="850">
        <f>IF(D771=B$3022,E$3022,IF(D771=B$3023,E$3023,IF(D771=B$3024,E$3024,IF(D771=B$3025,E$3025,IF(D771=B$3026,E$3026,IF(D771=B$3027,E$3027,IF(D771=B$3028,E$3028,IF(D771=B$3029,E$3029,D30656))))))))</f>
        <v>0</v>
      </c>
    </row>
    <row r="770" spans="1:62" ht="15" thickTop="1" thickBot="1" x14ac:dyDescent="0.35">
      <c r="A770" s="186"/>
      <c r="B770" s="188" t="str">
        <f>IF(B769="","","Claimed?")</f>
        <v>Claimed?</v>
      </c>
      <c r="C770" s="188" t="str">
        <f>IF(B770="","","Verifiable?")</f>
        <v>Verifiable?</v>
      </c>
      <c r="D770" s="189" t="str">
        <f>IF(C771="","","Independent verification")</f>
        <v>Independent verification</v>
      </c>
      <c r="E770" s="1029">
        <f>BI771</f>
        <v>0.83012499999999967</v>
      </c>
      <c r="F770" s="1030"/>
      <c r="AA770" s="52"/>
      <c r="AB770" s="52" t="s">
        <v>278</v>
      </c>
      <c r="AF770" s="204"/>
      <c r="AG770" s="52" t="s">
        <v>279</v>
      </c>
      <c r="AM770" s="205"/>
      <c r="AN770" s="52" t="s">
        <v>280</v>
      </c>
      <c r="AV770" s="206"/>
      <c r="AX770" s="191" t="s">
        <v>281</v>
      </c>
      <c r="AZ770" s="192" t="s">
        <v>282</v>
      </c>
      <c r="BB770" s="193" t="s">
        <v>283</v>
      </c>
      <c r="BD770" s="192" t="s">
        <v>284</v>
      </c>
      <c r="BG770" s="194" t="s">
        <v>290</v>
      </c>
      <c r="BH770" s="195" t="s">
        <v>291</v>
      </c>
      <c r="BI770" s="194" t="s">
        <v>285</v>
      </c>
      <c r="BJ770" s="195" t="s">
        <v>286</v>
      </c>
    </row>
    <row r="771" spans="1:62" ht="15" thickTop="1" thickBot="1" x14ac:dyDescent="0.35">
      <c r="A771" s="186"/>
      <c r="B771" s="196" t="s">
        <v>295</v>
      </c>
      <c r="C771" s="197" t="s">
        <v>296</v>
      </c>
      <c r="D771" s="207"/>
      <c r="E771" s="1029">
        <f>BJ771</f>
        <v>0.38949999999999996</v>
      </c>
      <c r="F771" s="1030"/>
      <c r="AA771" s="101"/>
      <c r="AB771" s="101">
        <f>IF(B771=$B$3008,$AB$522,0)</f>
        <v>0</v>
      </c>
      <c r="AC771" s="101">
        <f>IF(B771=$B$3009,$AC$522,0)</f>
        <v>0</v>
      </c>
      <c r="AD771" s="101">
        <f>IF(B771=$B$3010,$AD$522,0)</f>
        <v>0</v>
      </c>
      <c r="AE771" s="101">
        <f>IF(B771=$B$3011,$AE$522,0)</f>
        <v>5</v>
      </c>
      <c r="AF771" s="208">
        <f>SUM(AB771:AE771)</f>
        <v>5</v>
      </c>
      <c r="AG771" s="101">
        <f>IF(C771=$B$3014,$E$3014,0)</f>
        <v>0</v>
      </c>
      <c r="AH771" s="101">
        <f>IF(C771=$B$3015,$E$3015,0)</f>
        <v>0</v>
      </c>
      <c r="AI771" s="101">
        <f>IF(C771=$B$3016,$E$3016,0)</f>
        <v>0</v>
      </c>
      <c r="AJ771" s="101">
        <f>IF(C771=$B$3017,$E$3017,0)</f>
        <v>0</v>
      </c>
      <c r="AK771" s="101">
        <f>IF(C771=$B$3018,$E$3018,0)</f>
        <v>0</v>
      </c>
      <c r="AL771" s="101">
        <f>IF(C771=$B$3019,$E$3019,0)</f>
        <v>0.5</v>
      </c>
      <c r="AM771" s="209">
        <f>SUM(AG771:AL771)</f>
        <v>0.5</v>
      </c>
      <c r="AN771" s="101">
        <f>IF($D771=$B$3022,AN$522,0)</f>
        <v>0</v>
      </c>
      <c r="AO771" s="101">
        <f>IF($D771=$B$3023,AO$522,0)</f>
        <v>0</v>
      </c>
      <c r="AP771" s="101">
        <f>IF($D771=$B$3024,AP$522,0)</f>
        <v>0</v>
      </c>
      <c r="AQ771" s="101">
        <f>IF($D771=$B$3025,AQ$522,0)</f>
        <v>0</v>
      </c>
      <c r="AR771" s="101">
        <f>IF($D771=$B$3026,AR$522,0)</f>
        <v>0</v>
      </c>
      <c r="AS771" s="101">
        <f>IF($D771=$B$3027,AS$522,0)</f>
        <v>0</v>
      </c>
      <c r="AT771" s="101">
        <f>IF($D771=$B$3028,AT$522,0)</f>
        <v>0</v>
      </c>
      <c r="AU771" s="101">
        <f>IF($D771=$B$3029,AU$522,0)</f>
        <v>0</v>
      </c>
      <c r="AV771" s="210">
        <f>SUM(AN771:AU771)</f>
        <v>0</v>
      </c>
      <c r="AX771" s="200">
        <f>AF771*AM771</f>
        <v>2.5</v>
      </c>
      <c r="AZ771" s="146">
        <f>AX771+(AV771*AM771)</f>
        <v>2.5</v>
      </c>
      <c r="BB771" s="201">
        <f>(AF771*AM771)*0.01</f>
        <v>2.5000000000000001E-2</v>
      </c>
      <c r="BD771" s="202">
        <f>AZ771*0.01</f>
        <v>2.5000000000000001E-2</v>
      </c>
      <c r="BE771" s="377"/>
      <c r="BG771" s="201">
        <f>IF(AF771&gt;0,BG766+BB771,BG766)</f>
        <v>0.83012499999999967</v>
      </c>
      <c r="BH771" s="202">
        <f>IF(AV771&gt;0,BH766+BD771,BH766)</f>
        <v>0.38949999999999996</v>
      </c>
      <c r="BI771" s="201">
        <f>IF(BG771&gt;0.99,0.99,BG771)</f>
        <v>0.83012499999999967</v>
      </c>
      <c r="BJ771" s="202">
        <f>IF(BH771&gt;0.99,0.99,BH771)</f>
        <v>0.38949999999999996</v>
      </c>
    </row>
    <row r="772" spans="1:62" ht="16" thickTop="1" x14ac:dyDescent="0.3">
      <c r="A772" s="184">
        <f>A767+1</f>
        <v>57</v>
      </c>
      <c r="B772" s="184" t="s">
        <v>413</v>
      </c>
      <c r="C772" s="184"/>
      <c r="D772" s="185" t="str">
        <f>IF(B774="","If claimed, explain in white box below.","")</f>
        <v/>
      </c>
      <c r="E772" s="187"/>
      <c r="F772" s="1"/>
      <c r="AB772" s="48">
        <f>A772</f>
        <v>57</v>
      </c>
      <c r="AC772" s="48" t="s">
        <v>4002</v>
      </c>
      <c r="AK772" s="620">
        <f>IF(AL772=0,0,1)</f>
        <v>1</v>
      </c>
      <c r="AL772" s="48">
        <f>IF(B776=B$3008,E$3008,IF(B776=B$3009,E$3009,IF(B776=B$3010,E$3010,IF(B776=B$3011,E$3011,0))))</f>
        <v>4</v>
      </c>
      <c r="AM772" s="233" t="str">
        <f>IF(AL772=$E$3011,AC772,"")</f>
        <v>overlooked exculpatory evidence</v>
      </c>
    </row>
    <row r="773" spans="1:62" x14ac:dyDescent="0.3">
      <c r="A773" s="186"/>
      <c r="B773" s="1031" t="s">
        <v>414</v>
      </c>
      <c r="C773" s="1032"/>
      <c r="D773" s="1033"/>
      <c r="E773" s="187"/>
      <c r="F773" s="1"/>
    </row>
    <row r="774" spans="1:62" ht="60" customHeight="1" thickBot="1" x14ac:dyDescent="0.35">
      <c r="A774" s="186"/>
      <c r="B774" s="1026" t="s">
        <v>5157</v>
      </c>
      <c r="C774" s="1027"/>
      <c r="D774" s="1028"/>
      <c r="E774" s="187"/>
      <c r="F774" s="1"/>
      <c r="AA774" s="48">
        <f>AA769+1</f>
        <v>43</v>
      </c>
      <c r="AB774" s="849">
        <f>IF(B776="",0,1)</f>
        <v>1</v>
      </c>
      <c r="AC774" s="853">
        <f>IF(B776=B$3008,D$3008,IF(B776=B$3009,D$3009,IF(B776=B$3010,D$3010,IF(B776=B$3011,D$3011,0))))</f>
        <v>1</v>
      </c>
      <c r="AE774" s="850">
        <f>IF(D776=B$3022,E$3022,IF(D776=B$3023,E$3023,IF(D776=B$3024,E$3024,IF(D776=B$3025,E$3025,IF(D776=B$3026,E$3026,IF(D776=B$3027,E$3027,IF(D776=B$3028,E$3028,IF(D776=B$3029,E$3029,D30661))))))))</f>
        <v>0</v>
      </c>
    </row>
    <row r="775" spans="1:62" ht="15" thickTop="1" thickBot="1" x14ac:dyDescent="0.35">
      <c r="A775" s="186"/>
      <c r="B775" s="188" t="str">
        <f>IF(B774="","","Claimed?")</f>
        <v>Claimed?</v>
      </c>
      <c r="C775" s="188" t="str">
        <f>IF(B775="","","Verifiable?")</f>
        <v>Verifiable?</v>
      </c>
      <c r="D775" s="189" t="str">
        <f>IF(C776="","","Independent verification")</f>
        <v>Independent verification</v>
      </c>
      <c r="E775" s="1029">
        <f>BI776</f>
        <v>0.85512499999999969</v>
      </c>
      <c r="F775" s="1030"/>
      <c r="AA775" s="52"/>
      <c r="AB775" s="52" t="s">
        <v>278</v>
      </c>
      <c r="AF775" s="204"/>
      <c r="AG775" s="52" t="s">
        <v>279</v>
      </c>
      <c r="AM775" s="205"/>
      <c r="AN775" s="52" t="s">
        <v>280</v>
      </c>
      <c r="AV775" s="206"/>
      <c r="AX775" s="191" t="s">
        <v>281</v>
      </c>
      <c r="AZ775" s="192" t="s">
        <v>282</v>
      </c>
      <c r="BB775" s="193" t="s">
        <v>283</v>
      </c>
      <c r="BD775" s="192" t="s">
        <v>284</v>
      </c>
      <c r="BG775" s="194" t="s">
        <v>290</v>
      </c>
      <c r="BH775" s="195" t="s">
        <v>291</v>
      </c>
      <c r="BI775" s="194" t="s">
        <v>285</v>
      </c>
      <c r="BJ775" s="195" t="s">
        <v>286</v>
      </c>
    </row>
    <row r="776" spans="1:62" ht="15" thickTop="1" thickBot="1" x14ac:dyDescent="0.35">
      <c r="A776" s="186"/>
      <c r="B776" s="196" t="s">
        <v>295</v>
      </c>
      <c r="C776" s="197" t="s">
        <v>296</v>
      </c>
      <c r="D776" s="207"/>
      <c r="E776" s="1029">
        <f>BJ776</f>
        <v>0.38949999999999996</v>
      </c>
      <c r="F776" s="1030"/>
      <c r="AA776" s="101"/>
      <c r="AB776" s="101">
        <f>IF(B776=$B$3008,$AB$522,0)</f>
        <v>0</v>
      </c>
      <c r="AC776" s="101">
        <f>IF(B776=$B$3009,$AC$522,0)</f>
        <v>0</v>
      </c>
      <c r="AD776" s="101">
        <f>IF(B776=$B$3010,$AD$522,0)</f>
        <v>0</v>
      </c>
      <c r="AE776" s="101">
        <f>IF(B776=$B$3011,$AE$522,0)</f>
        <v>5</v>
      </c>
      <c r="AF776" s="208">
        <f>SUM(AB776:AE776)</f>
        <v>5</v>
      </c>
      <c r="AG776" s="101">
        <f>IF(C776=$B$3014,$E$3014,0)</f>
        <v>0</v>
      </c>
      <c r="AH776" s="101">
        <f>IF(C776=$B$3015,$E$3015,0)</f>
        <v>0</v>
      </c>
      <c r="AI776" s="101">
        <f>IF(C776=$B$3016,$E$3016,0)</f>
        <v>0</v>
      </c>
      <c r="AJ776" s="101">
        <f>IF(C776=$B$3017,$E$3017,0)</f>
        <v>0</v>
      </c>
      <c r="AK776" s="101">
        <f>IF(C776=$B$3018,$E$3018,0)</f>
        <v>0</v>
      </c>
      <c r="AL776" s="101">
        <f>IF(C776=$B$3019,$E$3019,0)</f>
        <v>0.5</v>
      </c>
      <c r="AM776" s="209">
        <f>SUM(AG776:AL776)</f>
        <v>0.5</v>
      </c>
      <c r="AN776" s="101">
        <f>IF($D776=$B$3022,AN$522,0)</f>
        <v>0</v>
      </c>
      <c r="AO776" s="101">
        <f>IF($D776=$B$3023,AO$522,0)</f>
        <v>0</v>
      </c>
      <c r="AP776" s="101">
        <f>IF($D776=$B$3024,AP$522,0)</f>
        <v>0</v>
      </c>
      <c r="AQ776" s="101">
        <f>IF($D776=$B$3025,AQ$522,0)</f>
        <v>0</v>
      </c>
      <c r="AR776" s="101">
        <f>IF($D776=$B$3026,AR$522,0)</f>
        <v>0</v>
      </c>
      <c r="AS776" s="101">
        <f>IF($D776=$B$3027,AS$522,0)</f>
        <v>0</v>
      </c>
      <c r="AT776" s="101">
        <f>IF($D776=$B$3028,AT$522,0)</f>
        <v>0</v>
      </c>
      <c r="AU776" s="101">
        <f>IF($D776=$B$3029,AU$522,0)</f>
        <v>0</v>
      </c>
      <c r="AV776" s="210">
        <f>SUM(AN776:AU776)</f>
        <v>0</v>
      </c>
      <c r="AX776" s="200">
        <f>AF776*AM776</f>
        <v>2.5</v>
      </c>
      <c r="AZ776" s="146">
        <f>AX776+(AV776*AM776)</f>
        <v>2.5</v>
      </c>
      <c r="BB776" s="201">
        <f>(AF776*AM776)*0.01</f>
        <v>2.5000000000000001E-2</v>
      </c>
      <c r="BD776" s="202">
        <f>AZ776*0.01</f>
        <v>2.5000000000000001E-2</v>
      </c>
      <c r="BE776" s="377"/>
      <c r="BG776" s="201">
        <f>IF(AF776&gt;0,BG771+BB776,BG771)</f>
        <v>0.85512499999999969</v>
      </c>
      <c r="BH776" s="202">
        <f>IF(AV776&gt;0,BH771+BD776,BH771)</f>
        <v>0.38949999999999996</v>
      </c>
      <c r="BI776" s="201">
        <f>IF(BG776&gt;0.99,0.99,BG776)</f>
        <v>0.85512499999999969</v>
      </c>
      <c r="BJ776" s="202">
        <f>IF(BH776&gt;0.99,0.99,BH776)</f>
        <v>0.38949999999999996</v>
      </c>
    </row>
    <row r="777" spans="1:62" ht="16" thickTop="1" x14ac:dyDescent="0.3">
      <c r="A777" s="184">
        <f>A772+1</f>
        <v>58</v>
      </c>
      <c r="B777" s="184" t="s">
        <v>415</v>
      </c>
      <c r="C777" s="184"/>
      <c r="D777" s="215" t="str">
        <f>IF(B779="","If claimed, explain in white box below.","")</f>
        <v>If claimed, explain in white box below.</v>
      </c>
      <c r="E777" s="187"/>
      <c r="F777" s="1"/>
      <c r="AB777" s="48">
        <f>A777</f>
        <v>58</v>
      </c>
      <c r="AC777" s="48" t="s">
        <v>4003</v>
      </c>
      <c r="AG777" s="48" t="s">
        <v>4004</v>
      </c>
      <c r="AK777" s="620">
        <f>IF(AL777=0,0,1)</f>
        <v>0</v>
      </c>
      <c r="AL777" s="48">
        <f>IF(B781=B$3008,E$3008,IF(B781=B$3009,E$3009,IF(B781=B$3010,E$3010,IF(B781=B$3011,E$3011,0))))</f>
        <v>0</v>
      </c>
      <c r="AM777" s="233" t="str">
        <f>IF(AL777=$E$3011,AC777,"")</f>
        <v/>
      </c>
    </row>
    <row r="778" spans="1:62" x14ac:dyDescent="0.3">
      <c r="A778" s="186"/>
      <c r="B778" s="1031" t="s">
        <v>416</v>
      </c>
      <c r="C778" s="1032"/>
      <c r="D778" s="1033"/>
      <c r="E778" s="187"/>
      <c r="F778" s="1"/>
    </row>
    <row r="779" spans="1:62" ht="60" customHeight="1" thickBot="1" x14ac:dyDescent="0.35">
      <c r="A779" s="186"/>
      <c r="B779" s="1026"/>
      <c r="C779" s="1027"/>
      <c r="D779" s="1028"/>
      <c r="E779" s="187"/>
      <c r="F779" s="1"/>
      <c r="AA779" s="48">
        <f>AA774+1</f>
        <v>44</v>
      </c>
      <c r="AB779" s="849">
        <f>IF(B781="",0,1)</f>
        <v>1</v>
      </c>
      <c r="AC779" s="853">
        <f>IF(B781=B$3008,D$3008,IF(B781=B$3009,D$3009,IF(B781=B$3010,D$3010,IF(B781=B$3011,D$3011,0))))</f>
        <v>0</v>
      </c>
      <c r="AE779" s="850">
        <f>IF(D781=B$3022,E$3022,IF(D781=B$3023,E$3023,IF(D781=B$3024,E$3024,IF(D781=B$3025,E$3025,IF(D781=B$3026,E$3026,IF(D781=B$3027,E$3027,IF(D781=B$3028,E$3028,IF(D781=B$3029,E$3029,D30666))))))))</f>
        <v>0</v>
      </c>
    </row>
    <row r="780" spans="1:62" ht="15" thickTop="1" thickBot="1" x14ac:dyDescent="0.35">
      <c r="A780" s="186"/>
      <c r="B780" s="188" t="str">
        <f>IF(B779="","","Claimed?")</f>
        <v/>
      </c>
      <c r="C780" s="188" t="str">
        <f>IF(B780="","","Verifiable?")</f>
        <v/>
      </c>
      <c r="D780" s="189" t="str">
        <f>IF(C781="","","Independent verification")</f>
        <v/>
      </c>
      <c r="E780" s="1029">
        <f>BI781</f>
        <v>0.85512499999999969</v>
      </c>
      <c r="F780" s="1030"/>
      <c r="AA780" s="52"/>
      <c r="AB780" s="52" t="s">
        <v>278</v>
      </c>
      <c r="AF780" s="204"/>
      <c r="AG780" s="52" t="s">
        <v>279</v>
      </c>
      <c r="AM780" s="205"/>
      <c r="AN780" s="52" t="s">
        <v>280</v>
      </c>
      <c r="AV780" s="206"/>
      <c r="AX780" s="191" t="s">
        <v>281</v>
      </c>
      <c r="AZ780" s="192" t="s">
        <v>282</v>
      </c>
      <c r="BB780" s="193" t="s">
        <v>283</v>
      </c>
      <c r="BD780" s="192" t="s">
        <v>284</v>
      </c>
      <c r="BG780" s="194" t="s">
        <v>290</v>
      </c>
      <c r="BH780" s="195" t="s">
        <v>291</v>
      </c>
      <c r="BI780" s="194" t="s">
        <v>285</v>
      </c>
      <c r="BJ780" s="195" t="s">
        <v>286</v>
      </c>
    </row>
    <row r="781" spans="1:62" ht="15" thickTop="1" thickBot="1" x14ac:dyDescent="0.35">
      <c r="A781" s="186"/>
      <c r="B781" s="196" t="s">
        <v>287</v>
      </c>
      <c r="C781" s="197"/>
      <c r="D781" s="207"/>
      <c r="E781" s="1029">
        <f>BJ781</f>
        <v>0.38949999999999996</v>
      </c>
      <c r="F781" s="1030"/>
      <c r="AA781" s="101"/>
      <c r="AB781" s="101">
        <f>IF(B781=$B$3008,$AB$522,0)</f>
        <v>0</v>
      </c>
      <c r="AC781" s="101">
        <f>IF(B781=$B$3009,$AC$522,0)</f>
        <v>0</v>
      </c>
      <c r="AD781" s="101">
        <f>IF(B781=$B$3010,$AD$522,0)</f>
        <v>0</v>
      </c>
      <c r="AE781" s="101">
        <f>IF(B781=$B$3011,$AE$522,0)</f>
        <v>0</v>
      </c>
      <c r="AF781" s="208">
        <f>SUM(AB781:AE781)</f>
        <v>0</v>
      </c>
      <c r="AG781" s="101">
        <f>IF(C781=$B$3014,$E$3014,0)</f>
        <v>0</v>
      </c>
      <c r="AH781" s="101">
        <f>IF(C781=$B$3015,$E$3015,0)</f>
        <v>0</v>
      </c>
      <c r="AI781" s="101">
        <f>IF(C781=$B$3016,$E$3016,0)</f>
        <v>0</v>
      </c>
      <c r="AJ781" s="101">
        <f>IF(C781=$B$3017,$E$3017,0)</f>
        <v>0</v>
      </c>
      <c r="AK781" s="101">
        <f>IF(C781=$B$3018,$E$3018,0)</f>
        <v>0</v>
      </c>
      <c r="AL781" s="101">
        <f>IF(C781=$B$3019,$E$3019,0)</f>
        <v>0</v>
      </c>
      <c r="AM781" s="209">
        <f>SUM(AG781:AL781)</f>
        <v>0</v>
      </c>
      <c r="AN781" s="101">
        <f>IF($D781=$B$3022,AN$522,0)</f>
        <v>0</v>
      </c>
      <c r="AO781" s="101">
        <f>IF($D781=$B$3023,AO$522,0)</f>
        <v>0</v>
      </c>
      <c r="AP781" s="101">
        <f>IF($D781=$B$3024,AP$522,0)</f>
        <v>0</v>
      </c>
      <c r="AQ781" s="101">
        <f>IF($D781=$B$3025,AQ$522,0)</f>
        <v>0</v>
      </c>
      <c r="AR781" s="101">
        <f>IF($D781=$B$3026,AR$522,0)</f>
        <v>0</v>
      </c>
      <c r="AS781" s="101">
        <f>IF($D781=$B$3027,AS$522,0)</f>
        <v>0</v>
      </c>
      <c r="AT781" s="101">
        <f>IF($D781=$B$3028,AT$522,0)</f>
        <v>0</v>
      </c>
      <c r="AU781" s="101">
        <f>IF($D781=$B$3029,AU$522,0)</f>
        <v>0</v>
      </c>
      <c r="AV781" s="210">
        <f>SUM(AN781:AU781)</f>
        <v>0</v>
      </c>
      <c r="AX781" s="200">
        <f>AF781*AM781</f>
        <v>0</v>
      </c>
      <c r="AZ781" s="146">
        <f>AX781+(AV781*AM781)</f>
        <v>0</v>
      </c>
      <c r="BB781" s="201">
        <f>(AF781*AM781)*0.01</f>
        <v>0</v>
      </c>
      <c r="BD781" s="202">
        <f>AZ781*0.01</f>
        <v>0</v>
      </c>
      <c r="BE781" s="377"/>
      <c r="BG781" s="201">
        <f>IF(AF781&gt;0,BG776+BB781,BG776)</f>
        <v>0.85512499999999969</v>
      </c>
      <c r="BH781" s="202">
        <f>IF(AV781&gt;0,BH776+BD781,BH776)</f>
        <v>0.38949999999999996</v>
      </c>
      <c r="BI781" s="201">
        <f>IF(BG781&gt;0.99,0.99,BG781)</f>
        <v>0.85512499999999969</v>
      </c>
      <c r="BJ781" s="202">
        <f>IF(BH781&gt;0.99,0.99,BH781)</f>
        <v>0.38949999999999996</v>
      </c>
    </row>
    <row r="782" spans="1:62" ht="14.5" thickTop="1" x14ac:dyDescent="0.3">
      <c r="A782" s="186"/>
      <c r="B782" s="187"/>
      <c r="C782" s="187"/>
      <c r="D782" s="187"/>
      <c r="E782" s="187"/>
      <c r="F782" s="1"/>
    </row>
    <row r="783" spans="1:62" ht="30" customHeight="1" x14ac:dyDescent="0.3">
      <c r="A783" s="40" t="s">
        <v>82</v>
      </c>
      <c r="B783" s="40" t="s">
        <v>417</v>
      </c>
      <c r="C783" s="40"/>
      <c r="D783" s="39"/>
      <c r="E783" s="436"/>
      <c r="F783" s="436" t="s">
        <v>869</v>
      </c>
    </row>
    <row r="784" spans="1:62" ht="17.5" x14ac:dyDescent="0.3">
      <c r="A784" s="218" t="s">
        <v>418</v>
      </c>
      <c r="B784" s="98" t="s">
        <v>3652</v>
      </c>
      <c r="C784" s="98"/>
      <c r="D784" s="98"/>
      <c r="E784" s="99"/>
      <c r="F784" s="97"/>
    </row>
    <row r="785" spans="1:54" ht="15.5" x14ac:dyDescent="0.35">
      <c r="A785" s="219">
        <f>A777+1</f>
        <v>59</v>
      </c>
      <c r="B785" s="1037" t="s">
        <v>3665</v>
      </c>
      <c r="C785" s="1037"/>
      <c r="D785" s="1038"/>
      <c r="E785" s="220"/>
      <c r="F785" s="1"/>
    </row>
    <row r="786" spans="1:54" ht="13.75" customHeight="1" x14ac:dyDescent="0.3">
      <c r="A786" s="221"/>
      <c r="B786" s="548" t="s">
        <v>3651</v>
      </c>
      <c r="C786" s="220"/>
      <c r="D786" s="220"/>
      <c r="E786" s="220"/>
      <c r="F786" s="1"/>
    </row>
    <row r="787" spans="1:54" ht="15" thickBot="1" x14ac:dyDescent="0.35">
      <c r="A787" s="221"/>
      <c r="B787" s="549" t="s">
        <v>3654</v>
      </c>
      <c r="C787" s="1119" t="s">
        <v>3878</v>
      </c>
      <c r="D787" s="1120"/>
      <c r="E787" s="220"/>
      <c r="F787" s="1"/>
    </row>
    <row r="788" spans="1:54" ht="15" thickBot="1" x14ac:dyDescent="0.35">
      <c r="A788" s="221"/>
      <c r="B788" s="549" t="s">
        <v>3653</v>
      </c>
      <c r="C788" s="1119" t="s">
        <v>3883</v>
      </c>
      <c r="D788" s="1120"/>
      <c r="E788" s="220"/>
      <c r="F788" s="1"/>
    </row>
    <row r="789" spans="1:54" ht="15.5" x14ac:dyDescent="0.3">
      <c r="A789" s="219">
        <f>A785+1</f>
        <v>60</v>
      </c>
      <c r="B789" s="1121" t="s">
        <v>5159</v>
      </c>
      <c r="C789" s="1121"/>
      <c r="D789" s="1122"/>
      <c r="E789" s="220"/>
      <c r="F789" s="1"/>
    </row>
    <row r="790" spans="1:54" ht="13.75" customHeight="1" x14ac:dyDescent="0.3">
      <c r="A790" s="221"/>
      <c r="B790" s="548" t="s">
        <v>3747</v>
      </c>
      <c r="C790" s="220"/>
      <c r="D790" s="220"/>
      <c r="E790" s="220"/>
      <c r="F790" s="1"/>
    </row>
    <row r="791" spans="1:54" ht="14.4" customHeight="1" thickBot="1" x14ac:dyDescent="0.35">
      <c r="A791" s="221"/>
      <c r="B791" s="549" t="s">
        <v>3654</v>
      </c>
      <c r="C791" s="1119"/>
      <c r="D791" s="1120"/>
      <c r="E791" s="220"/>
      <c r="F791" s="1"/>
    </row>
    <row r="792" spans="1:54" ht="14.4" customHeight="1" thickBot="1" x14ac:dyDescent="0.35">
      <c r="A792" s="221"/>
      <c r="B792" s="549" t="s">
        <v>3653</v>
      </c>
      <c r="C792" s="1119"/>
      <c r="D792" s="1120"/>
      <c r="E792" s="220"/>
      <c r="F792" s="1"/>
    </row>
    <row r="793" spans="1:54" ht="15.5" x14ac:dyDescent="0.3">
      <c r="A793" s="219">
        <f>A789+1</f>
        <v>61</v>
      </c>
      <c r="B793" s="219" t="s">
        <v>419</v>
      </c>
      <c r="C793" s="219"/>
      <c r="D793" s="219"/>
      <c r="E793" s="220"/>
      <c r="F793" s="1"/>
    </row>
    <row r="794" spans="1:54" x14ac:dyDescent="0.3">
      <c r="A794" s="221"/>
      <c r="B794" s="548" t="s">
        <v>3746</v>
      </c>
      <c r="C794" s="220"/>
      <c r="D794" s="220"/>
      <c r="E794" s="220"/>
      <c r="F794" s="1"/>
    </row>
    <row r="795" spans="1:54" ht="15" thickBot="1" x14ac:dyDescent="0.35">
      <c r="A795" s="221"/>
      <c r="B795" s="549" t="s">
        <v>3654</v>
      </c>
      <c r="C795" s="1119"/>
      <c r="D795" s="1120"/>
      <c r="E795" s="220"/>
      <c r="F795" s="1"/>
      <c r="BB795" s="48"/>
    </row>
    <row r="796" spans="1:54" ht="15" thickBot="1" x14ac:dyDescent="0.35">
      <c r="A796" s="221"/>
      <c r="B796" s="549" t="s">
        <v>3653</v>
      </c>
      <c r="C796" s="1119"/>
      <c r="D796" s="1120"/>
      <c r="E796" s="220"/>
      <c r="F796" s="1"/>
      <c r="BB796" s="48"/>
    </row>
    <row r="797" spans="1:54" ht="15.5" x14ac:dyDescent="0.3">
      <c r="A797" s="219">
        <f>A793+1</f>
        <v>62</v>
      </c>
      <c r="B797" s="219" t="s">
        <v>3749</v>
      </c>
      <c r="C797" s="219"/>
      <c r="D797" s="219"/>
      <c r="E797" s="220"/>
      <c r="F797" s="1"/>
      <c r="BB797" s="48"/>
    </row>
    <row r="798" spans="1:54" x14ac:dyDescent="0.3">
      <c r="A798" s="221"/>
      <c r="B798" s="220" t="s">
        <v>3748</v>
      </c>
      <c r="C798" s="220"/>
      <c r="D798" s="220"/>
      <c r="E798" s="220"/>
      <c r="F798" s="1"/>
      <c r="BB798" s="48"/>
    </row>
    <row r="799" spans="1:54" ht="15" thickBot="1" x14ac:dyDescent="0.35">
      <c r="A799" s="221"/>
      <c r="B799" s="549" t="s">
        <v>3654</v>
      </c>
      <c r="C799" s="1119"/>
      <c r="D799" s="1120"/>
      <c r="E799" s="220"/>
      <c r="F799" s="1"/>
      <c r="BB799" s="48"/>
    </row>
    <row r="800" spans="1:54" ht="15" thickBot="1" x14ac:dyDescent="0.35">
      <c r="A800" s="221"/>
      <c r="B800" s="549" t="s">
        <v>3653</v>
      </c>
      <c r="C800" s="1119"/>
      <c r="D800" s="1120"/>
      <c r="E800" s="220"/>
      <c r="F800" s="1"/>
      <c r="BB800" s="48"/>
    </row>
    <row r="801" spans="1:60" s="23" customFormat="1" ht="35" customHeight="1" thickBot="1" x14ac:dyDescent="0.35">
      <c r="A801" s="221"/>
      <c r="B801" s="1046" t="s">
        <v>3750</v>
      </c>
      <c r="C801" s="1046"/>
      <c r="D801" s="1046"/>
      <c r="E801" s="220"/>
      <c r="F801" s="1"/>
      <c r="G801" s="222"/>
      <c r="H801" s="222"/>
      <c r="I801" s="222"/>
      <c r="J801" s="222"/>
      <c r="K801" s="222"/>
      <c r="L801" s="222"/>
      <c r="M801" s="222"/>
      <c r="N801" s="222"/>
      <c r="O801" s="222"/>
      <c r="P801" s="222"/>
      <c r="Q801" s="222"/>
      <c r="R801" s="222"/>
      <c r="S801" s="222"/>
      <c r="T801" s="222"/>
      <c r="U801" s="222"/>
      <c r="V801" s="222"/>
      <c r="W801" s="222"/>
      <c r="X801" s="222"/>
      <c r="Y801" s="222"/>
      <c r="Z801" s="222"/>
    </row>
    <row r="802" spans="1:60" ht="15" thickTop="1" thickBot="1" x14ac:dyDescent="0.35">
      <c r="A802" s="221"/>
      <c r="B802" s="223" t="s">
        <v>420</v>
      </c>
      <c r="C802" s="224"/>
      <c r="D802" s="225" t="s">
        <v>426</v>
      </c>
      <c r="E802" s="220"/>
      <c r="F802" s="1"/>
      <c r="BB802" s="48"/>
    </row>
    <row r="803" spans="1:60" ht="15" thickTop="1" thickBot="1" x14ac:dyDescent="0.35">
      <c r="A803" s="221"/>
      <c r="B803" s="223" t="s">
        <v>422</v>
      </c>
      <c r="C803" s="224"/>
      <c r="D803" s="225" t="s">
        <v>423</v>
      </c>
      <c r="E803" s="220"/>
      <c r="F803" s="1"/>
      <c r="BB803" s="48"/>
    </row>
    <row r="804" spans="1:60" ht="15" thickTop="1" thickBot="1" x14ac:dyDescent="0.35">
      <c r="A804" s="221"/>
      <c r="B804" s="223" t="s">
        <v>424</v>
      </c>
      <c r="C804" s="224"/>
      <c r="D804" s="225" t="s">
        <v>421</v>
      </c>
      <c r="E804" s="220"/>
      <c r="F804" s="1"/>
      <c r="BB804" s="48"/>
    </row>
    <row r="805" spans="1:60" ht="15" thickTop="1" thickBot="1" x14ac:dyDescent="0.35">
      <c r="A805" s="221"/>
      <c r="B805" s="223" t="s">
        <v>425</v>
      </c>
      <c r="C805" s="224"/>
      <c r="D805" s="225" t="s">
        <v>961</v>
      </c>
      <c r="E805" s="220"/>
      <c r="F805" s="1"/>
      <c r="BB805" s="48"/>
    </row>
    <row r="806" spans="1:60" ht="15" customHeight="1" thickTop="1" thickBot="1" x14ac:dyDescent="0.35">
      <c r="A806" s="221"/>
      <c r="B806" s="223" t="s">
        <v>427</v>
      </c>
      <c r="C806" s="224"/>
      <c r="D806" s="225" t="s">
        <v>960</v>
      </c>
      <c r="E806" s="220"/>
      <c r="F806" s="1"/>
      <c r="BB806" s="48"/>
    </row>
    <row r="807" spans="1:60" ht="15" customHeight="1" thickTop="1" thickBot="1" x14ac:dyDescent="0.35">
      <c r="A807" s="221"/>
      <c r="B807" s="223" t="s">
        <v>428</v>
      </c>
      <c r="C807" s="224"/>
      <c r="D807" s="225" t="s">
        <v>959</v>
      </c>
      <c r="E807" s="220"/>
      <c r="F807" s="1"/>
    </row>
    <row r="808" spans="1:60" ht="15" customHeight="1" thickTop="1" thickBot="1" x14ac:dyDescent="0.35">
      <c r="A808" s="221"/>
      <c r="B808" s="223" t="s">
        <v>429</v>
      </c>
      <c r="C808" s="225"/>
      <c r="D808" s="225"/>
      <c r="E808" s="220"/>
      <c r="F808" s="1"/>
    </row>
    <row r="809" spans="1:60" ht="15" customHeight="1" thickTop="1" x14ac:dyDescent="0.3">
      <c r="A809" s="221"/>
      <c r="B809" s="220"/>
      <c r="C809" s="220"/>
      <c r="D809" s="220"/>
      <c r="E809" s="220"/>
      <c r="F809" s="1"/>
      <c r="BB809" s="48" t="s">
        <v>1382</v>
      </c>
    </row>
    <row r="810" spans="1:60" ht="15" customHeight="1" x14ac:dyDescent="0.3">
      <c r="A810" s="219">
        <f>A797+1</f>
        <v>63</v>
      </c>
      <c r="B810" s="219" t="s">
        <v>1381</v>
      </c>
      <c r="C810" s="220"/>
      <c r="D810" s="220"/>
      <c r="E810" s="220"/>
      <c r="F810" s="1"/>
      <c r="BB810" s="48"/>
    </row>
    <row r="811" spans="1:60" ht="15" customHeight="1" thickBot="1" x14ac:dyDescent="0.35">
      <c r="A811" s="221"/>
      <c r="B811" s="220" t="s">
        <v>1326</v>
      </c>
      <c r="C811" s="220"/>
      <c r="D811" s="220"/>
      <c r="E811" s="220"/>
      <c r="F811" s="1"/>
    </row>
    <row r="812" spans="1:60" ht="15" customHeight="1" thickTop="1" thickBot="1" x14ac:dyDescent="0.35">
      <c r="A812" s="221">
        <v>1</v>
      </c>
      <c r="B812" s="223" t="s">
        <v>1327</v>
      </c>
      <c r="C812" s="220"/>
      <c r="D812" s="225" t="s">
        <v>1337</v>
      </c>
      <c r="E812" s="220"/>
      <c r="F812" s="1"/>
      <c r="AD812" s="442" t="s">
        <v>1338</v>
      </c>
      <c r="AF812" s="442" t="s">
        <v>1339</v>
      </c>
      <c r="AH812" s="442" t="s">
        <v>1346</v>
      </c>
      <c r="AJ812" s="442" t="s">
        <v>1352</v>
      </c>
      <c r="AL812" s="442" t="s">
        <v>1358</v>
      </c>
      <c r="AN812" s="442" t="s">
        <v>1364</v>
      </c>
      <c r="AP812" s="442" t="s">
        <v>1369</v>
      </c>
      <c r="AR812" s="442" t="s">
        <v>1375</v>
      </c>
      <c r="AT812" s="245" t="s">
        <v>885</v>
      </c>
      <c r="AV812" s="48">
        <f t="shared" ref="AV812:AV817" si="30">IF(D812="",0,1)</f>
        <v>1</v>
      </c>
      <c r="BB812" s="48" t="s">
        <v>1388</v>
      </c>
      <c r="BD812" s="48" t="str">
        <f>IF(AND($AV$819&gt;$AX813,$AV$819&lt;=$AZ813),BD813,IF(AND($AV$819&gt;$AX814,$AV$819&lt;=$AZ814),BD814,IF(AND($AV$819&gt;$AX$815,$AV$819&lt;=$AZ815),BD815,IF(AND($AV$819&gt;$AX816,$AV$819&lt;=$AZ816),BD816,IF(AND($AV$819&gt;$AX817,$AV$819&lt;=$AZ817),BD817,"")))))</f>
        <v>fully distrusts</v>
      </c>
      <c r="BF812" s="48" t="s">
        <v>1387</v>
      </c>
      <c r="BG812" s="48" t="str">
        <f>IF(AND($AV$819&gt;$AX813,$AV$819&lt;=$AZ813),BG813,IF(AND($AV$819&gt;$AX814,$AV$819&lt;=$AZ814),BG814,IF(AND($AV$819&gt;$AX$815,$AV$819&lt;=$AZ815),BG815,IF(AND($AV$819&gt;$AX816,$AV$819&lt;=$AZ816),BG816,IF(AND($AV$819&gt;$AX817,$AV$819&lt;=$AZ817),BG817,"")))))</f>
        <v>harmful</v>
      </c>
      <c r="BH812" s="48" t="s">
        <v>1396</v>
      </c>
    </row>
    <row r="813" spans="1:60" ht="15" customHeight="1" thickTop="1" thickBot="1" x14ac:dyDescent="0.35">
      <c r="A813" s="221">
        <f>A812+1</f>
        <v>2</v>
      </c>
      <c r="B813" s="223" t="s">
        <v>1328</v>
      </c>
      <c r="C813" s="220"/>
      <c r="D813" s="225" t="s">
        <v>1341</v>
      </c>
      <c r="E813" s="220"/>
      <c r="F813" s="1"/>
      <c r="AC813" s="48">
        <v>0</v>
      </c>
      <c r="AD813" s="441" t="s">
        <v>1334</v>
      </c>
      <c r="AE813" s="245" t="s">
        <v>885</v>
      </c>
      <c r="AF813" s="441" t="s">
        <v>1340</v>
      </c>
      <c r="AG813" s="48" t="str">
        <f>IF($D$813=AF813,$AC813,"")</f>
        <v/>
      </c>
      <c r="AH813" s="441" t="s">
        <v>1347</v>
      </c>
      <c r="AI813" s="48" t="str">
        <f>IF($D$814=AH813,$AC813,"")</f>
        <v/>
      </c>
      <c r="AJ813" s="441" t="s">
        <v>1353</v>
      </c>
      <c r="AK813" s="48" t="str">
        <f>IF($D$815=AJ813,$AC813,"")</f>
        <v/>
      </c>
      <c r="AL813" s="441" t="s">
        <v>1359</v>
      </c>
      <c r="AM813" s="48" t="str">
        <f>IF($D$816=AL813,$AC813,"")</f>
        <v/>
      </c>
      <c r="AN813" s="441" t="s">
        <v>1365</v>
      </c>
      <c r="AO813" s="48" t="str">
        <f>IF($D$817=AN813,$AC813,"")</f>
        <v/>
      </c>
      <c r="AP813" s="441" t="s">
        <v>1370</v>
      </c>
      <c r="AQ813" s="48" t="str">
        <f>IF($D$818=AP813,$AC813,"")</f>
        <v/>
      </c>
      <c r="AR813" s="441" t="s">
        <v>1376</v>
      </c>
      <c r="AS813" s="48" t="str">
        <f>IF($D$819=AR813,$AC813,"")</f>
        <v/>
      </c>
      <c r="AT813" s="245" t="s">
        <v>885</v>
      </c>
      <c r="AU813" s="443">
        <f>B51</f>
        <v>0.85512499999999969</v>
      </c>
      <c r="AV813" s="48">
        <f t="shared" si="30"/>
        <v>1</v>
      </c>
      <c r="AX813" s="48">
        <v>0</v>
      </c>
      <c r="AZ813" s="48">
        <v>0.2</v>
      </c>
      <c r="BD813" s="48" t="s">
        <v>1384</v>
      </c>
      <c r="BG813" s="48" t="s">
        <v>1391</v>
      </c>
    </row>
    <row r="814" spans="1:60" ht="15" customHeight="1" thickTop="1" thickBot="1" x14ac:dyDescent="0.35">
      <c r="A814" s="221">
        <f t="shared" ref="A814:A819" si="31">A813+1</f>
        <v>3</v>
      </c>
      <c r="B814" s="223" t="s">
        <v>1333</v>
      </c>
      <c r="C814" s="220"/>
      <c r="D814" s="225" t="s">
        <v>1348</v>
      </c>
      <c r="E814" s="220"/>
      <c r="F814" s="1"/>
      <c r="AC814" s="48">
        <v>1</v>
      </c>
      <c r="AD814" s="441" t="s">
        <v>1335</v>
      </c>
      <c r="AE814" s="245" t="s">
        <v>885</v>
      </c>
      <c r="AF814" s="441" t="s">
        <v>1341</v>
      </c>
      <c r="AG814" s="48">
        <f>IF($D$813=AF814,$AC814,"")</f>
        <v>1</v>
      </c>
      <c r="AH814" s="441" t="s">
        <v>1348</v>
      </c>
      <c r="AI814" s="48">
        <f>IF($D$814=AH814,$AC814,"")</f>
        <v>1</v>
      </c>
      <c r="AJ814" s="441" t="s">
        <v>1354</v>
      </c>
      <c r="AK814" s="48" t="str">
        <f>IF($D$815=AJ814,$AC814,"")</f>
        <v/>
      </c>
      <c r="AL814" s="441" t="s">
        <v>1360</v>
      </c>
      <c r="AM814" s="48" t="str">
        <f>IF($D$816=AL814,$AC814,"")</f>
        <v/>
      </c>
      <c r="AN814" s="441" t="s">
        <v>1366</v>
      </c>
      <c r="AO814" s="48" t="str">
        <f>IF($D$817=AN814,$AC814,"")</f>
        <v/>
      </c>
      <c r="AP814" s="441" t="s">
        <v>1371</v>
      </c>
      <c r="AQ814" s="48" t="str">
        <f>IF($D$818=AP814,$AC814,"")</f>
        <v/>
      </c>
      <c r="AR814" s="441" t="s">
        <v>1377</v>
      </c>
      <c r="AS814" s="48" t="str">
        <f>IF($D$819=AR814,$AC814,"")</f>
        <v/>
      </c>
      <c r="AT814" s="245" t="s">
        <v>885</v>
      </c>
      <c r="AU814" s="443">
        <f>B52</f>
        <v>0.38949999999999996</v>
      </c>
      <c r="AV814" s="48">
        <f t="shared" si="30"/>
        <v>1</v>
      </c>
      <c r="AX814" s="48">
        <f>AZ813</f>
        <v>0.2</v>
      </c>
      <c r="AZ814" s="48">
        <f>AZ813+0.2</f>
        <v>0.4</v>
      </c>
      <c r="BD814" s="48" t="s">
        <v>1385</v>
      </c>
      <c r="BG814" s="48" t="s">
        <v>1392</v>
      </c>
    </row>
    <row r="815" spans="1:60" ht="15" customHeight="1" thickTop="1" thickBot="1" x14ac:dyDescent="0.35">
      <c r="A815" s="221">
        <f t="shared" si="31"/>
        <v>4</v>
      </c>
      <c r="B815" s="223" t="s">
        <v>1329</v>
      </c>
      <c r="C815" s="220"/>
      <c r="D815" s="225" t="s">
        <v>1356</v>
      </c>
      <c r="E815" s="220"/>
      <c r="F815" s="1"/>
      <c r="AC815" s="48">
        <v>2</v>
      </c>
      <c r="AD815" s="441" t="s">
        <v>1336</v>
      </c>
      <c r="AE815" s="245" t="s">
        <v>885</v>
      </c>
      <c r="AF815" s="441" t="s">
        <v>1342</v>
      </c>
      <c r="AG815" s="48" t="str">
        <f>IF($D$813=AF815,$AC815,"")</f>
        <v/>
      </c>
      <c r="AH815" s="441" t="s">
        <v>1349</v>
      </c>
      <c r="AI815" s="48" t="str">
        <f>IF($D$814=AH815,$AC815,"")</f>
        <v/>
      </c>
      <c r="AJ815" s="441" t="s">
        <v>1355</v>
      </c>
      <c r="AK815" s="48" t="str">
        <f>IF($D$815=AJ815,$AC815,"")</f>
        <v/>
      </c>
      <c r="AL815" s="441" t="s">
        <v>1361</v>
      </c>
      <c r="AM815" s="48" t="str">
        <f>IF($D$816=AL815,$AC815,"")</f>
        <v/>
      </c>
      <c r="AN815" s="441" t="s">
        <v>3755</v>
      </c>
      <c r="AO815" s="48" t="str">
        <f>IF($D$817=AN815,$AC815,"")</f>
        <v/>
      </c>
      <c r="AP815" s="441" t="s">
        <v>1372</v>
      </c>
      <c r="AQ815" s="48">
        <f>IF($D$818=AP815,$AC815,"")</f>
        <v>2</v>
      </c>
      <c r="AR815" s="441" t="s">
        <v>1397</v>
      </c>
      <c r="AS815" s="48">
        <f>IF($D$819=AR815,$AC815,"")</f>
        <v>2</v>
      </c>
      <c r="AT815" s="245" t="s">
        <v>885</v>
      </c>
      <c r="AV815" s="48">
        <f t="shared" si="30"/>
        <v>1</v>
      </c>
      <c r="AX815" s="48">
        <f>AZ814</f>
        <v>0.4</v>
      </c>
      <c r="AZ815" s="48">
        <f>AZ814+0.2</f>
        <v>0.60000000000000009</v>
      </c>
      <c r="BD815" s="48" t="s">
        <v>1390</v>
      </c>
      <c r="BG815" s="48" t="s">
        <v>1393</v>
      </c>
    </row>
    <row r="816" spans="1:60" ht="15" customHeight="1" thickTop="1" thickBot="1" x14ac:dyDescent="0.35">
      <c r="A816" s="221">
        <f t="shared" si="31"/>
        <v>5</v>
      </c>
      <c r="B816" s="223" t="s">
        <v>1330</v>
      </c>
      <c r="C816" s="220"/>
      <c r="D816" s="225" t="s">
        <v>1362</v>
      </c>
      <c r="E816" s="220"/>
      <c r="F816" s="1"/>
      <c r="AC816" s="48">
        <v>3</v>
      </c>
      <c r="AD816" s="441" t="s">
        <v>1383</v>
      </c>
      <c r="AE816" s="245" t="s">
        <v>885</v>
      </c>
      <c r="AF816" s="441" t="s">
        <v>1343</v>
      </c>
      <c r="AG816" s="48" t="str">
        <f>IF($D$813=AF816,$AC816,"")</f>
        <v/>
      </c>
      <c r="AH816" s="441" t="s">
        <v>1350</v>
      </c>
      <c r="AI816" s="48" t="str">
        <f>IF($D$814=AH816,$AC816,"")</f>
        <v/>
      </c>
      <c r="AJ816" s="441" t="s">
        <v>1356</v>
      </c>
      <c r="AK816" s="48">
        <f>IF($D$815=AJ816,$AC816,"")</f>
        <v>3</v>
      </c>
      <c r="AL816" s="441" t="s">
        <v>1362</v>
      </c>
      <c r="AM816" s="48">
        <f>IF($D$816=AL816,$AC816,"")</f>
        <v>3</v>
      </c>
      <c r="AN816" s="441" t="s">
        <v>1367</v>
      </c>
      <c r="AO816" s="48" t="str">
        <f>IF($D$817=AN816,$AC816,"")</f>
        <v/>
      </c>
      <c r="AP816" s="441" t="s">
        <v>1373</v>
      </c>
      <c r="AQ816" s="48" t="str">
        <f>IF($D$818=AP816,$AC816,"")</f>
        <v/>
      </c>
      <c r="AR816" s="441" t="s">
        <v>1378</v>
      </c>
      <c r="AS816" s="48" t="str">
        <f>IF($D$819=AR816,$AC816,"")</f>
        <v/>
      </c>
      <c r="AT816" s="245" t="s">
        <v>885</v>
      </c>
      <c r="AV816" s="48">
        <f t="shared" si="30"/>
        <v>1</v>
      </c>
      <c r="AX816" s="48">
        <f>AZ815</f>
        <v>0.60000000000000009</v>
      </c>
      <c r="AZ816" s="48">
        <f>AZ815+0.2</f>
        <v>0.8</v>
      </c>
      <c r="BD816" s="48" t="s">
        <v>1386</v>
      </c>
      <c r="BG816" s="48" t="s">
        <v>1394</v>
      </c>
    </row>
    <row r="817" spans="1:59" ht="15" customHeight="1" thickTop="1" thickBot="1" x14ac:dyDescent="0.35">
      <c r="A817" s="221">
        <f t="shared" si="31"/>
        <v>6</v>
      </c>
      <c r="B817" s="223" t="s">
        <v>1331</v>
      </c>
      <c r="C817" s="220"/>
      <c r="D817" s="225" t="s">
        <v>1368</v>
      </c>
      <c r="E817" s="220"/>
      <c r="F817" s="1"/>
      <c r="AC817" s="48">
        <v>4</v>
      </c>
      <c r="AD817" s="441" t="s">
        <v>1337</v>
      </c>
      <c r="AE817" s="245" t="s">
        <v>885</v>
      </c>
      <c r="AF817" s="441" t="s">
        <v>1344</v>
      </c>
      <c r="AG817" s="48" t="str">
        <f>IF($D$813=AF817,$AC817,"")</f>
        <v/>
      </c>
      <c r="AH817" s="441" t="s">
        <v>1351</v>
      </c>
      <c r="AI817" s="48" t="str">
        <f>IF($D$814=AH817,$AC817,"")</f>
        <v/>
      </c>
      <c r="AJ817" s="441" t="s">
        <v>1357</v>
      </c>
      <c r="AK817" s="48" t="str">
        <f>IF($D$815=AJ817,$AC817,"")</f>
        <v/>
      </c>
      <c r="AL817" s="441" t="s">
        <v>1363</v>
      </c>
      <c r="AM817" s="48" t="str">
        <f>IF($D$816=AL817,$AC817,"")</f>
        <v/>
      </c>
      <c r="AN817" s="441" t="s">
        <v>1368</v>
      </c>
      <c r="AO817" s="48">
        <f>IF($D$817=AN817,$AC817,"")</f>
        <v>4</v>
      </c>
      <c r="AP817" s="441" t="s">
        <v>1374</v>
      </c>
      <c r="AQ817" s="48" t="str">
        <f>IF($D$818=AP817,$AC817,"")</f>
        <v/>
      </c>
      <c r="AR817" s="441" t="s">
        <v>1379</v>
      </c>
      <c r="AS817" s="48" t="str">
        <f>IF($D$819=AR817,$AC817,"")</f>
        <v/>
      </c>
      <c r="AT817" s="245" t="s">
        <v>885</v>
      </c>
      <c r="AV817" s="48">
        <f t="shared" si="30"/>
        <v>1</v>
      </c>
      <c r="AX817" s="48">
        <f>AZ816</f>
        <v>0.8</v>
      </c>
      <c r="AZ817" s="48">
        <f>AZ816+0.2</f>
        <v>1</v>
      </c>
      <c r="BD817" s="48" t="s">
        <v>1389</v>
      </c>
      <c r="BG817" s="48" t="s">
        <v>1395</v>
      </c>
    </row>
    <row r="818" spans="1:59" ht="15" customHeight="1" thickTop="1" thickBot="1" x14ac:dyDescent="0.35">
      <c r="A818" s="221">
        <f t="shared" si="31"/>
        <v>7</v>
      </c>
      <c r="B818" s="223" t="s">
        <v>1332</v>
      </c>
      <c r="C818" s="220"/>
      <c r="D818" s="225" t="s">
        <v>1372</v>
      </c>
      <c r="E818" s="220"/>
      <c r="F818" s="1"/>
      <c r="AD818" s="441" t="s">
        <v>912</v>
      </c>
      <c r="AE818" s="245" t="s">
        <v>885</v>
      </c>
      <c r="AF818" s="441" t="s">
        <v>1345</v>
      </c>
      <c r="AG818" s="48">
        <f>SUM(AG813:AG817)</f>
        <v>1</v>
      </c>
      <c r="AI818" s="48">
        <f>SUM(AI813:AI817)</f>
        <v>1</v>
      </c>
      <c r="AK818" s="48">
        <f>SUM(AK813:AK817)</f>
        <v>3</v>
      </c>
      <c r="AM818" s="48">
        <f>SUM(AM813:AM817)</f>
        <v>3</v>
      </c>
      <c r="AO818" s="48">
        <f>SUM(AO813:AO817)</f>
        <v>4</v>
      </c>
      <c r="AQ818" s="48">
        <f>SUM(AQ813:AQ817)</f>
        <v>2</v>
      </c>
      <c r="AS818" s="48">
        <f>SUM(AS813:AS817)</f>
        <v>2</v>
      </c>
      <c r="AT818" s="245" t="s">
        <v>885</v>
      </c>
      <c r="AU818" s="52">
        <f>SUM(AG818:AS818)</f>
        <v>16</v>
      </c>
      <c r="AV818" s="48">
        <f>SUM(AV813:AV817)</f>
        <v>5</v>
      </c>
      <c r="BB818" s="48" t="str">
        <f>CONCATENATE(BB812,BD812,BF812,BG812,BH812)</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row>
    <row r="819" spans="1:59" ht="15" customHeight="1" thickTop="1" thickBot="1" x14ac:dyDescent="0.35">
      <c r="A819" s="221">
        <f t="shared" si="31"/>
        <v>8</v>
      </c>
      <c r="B819" s="223" t="s">
        <v>1380</v>
      </c>
      <c r="C819" s="220"/>
      <c r="D819" s="225" t="s">
        <v>1397</v>
      </c>
      <c r="E819" s="220"/>
      <c r="F819" s="1"/>
      <c r="AU819" s="48">
        <v>24</v>
      </c>
      <c r="AV819" s="48">
        <f>AU818/AU819</f>
        <v>0.66666666666666663</v>
      </c>
      <c r="BB819" s="48" t="s">
        <v>3756</v>
      </c>
    </row>
    <row r="820" spans="1:59" ht="15" customHeight="1" thickTop="1" x14ac:dyDescent="0.3">
      <c r="A820" s="221"/>
      <c r="B820" s="220"/>
      <c r="C820" s="220"/>
      <c r="D820" s="220"/>
      <c r="E820" s="220"/>
      <c r="F820" s="1"/>
      <c r="BB820" s="48" t="str">
        <f>IF(AND(AV812&gt;0,AV818&gt;0),BB818,BB819)</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row>
    <row r="821" spans="1:59" ht="15" customHeight="1" x14ac:dyDescent="0.3">
      <c r="A821" s="221"/>
      <c r="B821" s="1047" t="str">
        <f>BB820</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c r="C821" s="1047"/>
      <c r="D821" s="1047"/>
      <c r="E821" s="220"/>
      <c r="F821" s="1"/>
      <c r="BB821" s="48"/>
    </row>
    <row r="822" spans="1:59" ht="15" customHeight="1" x14ac:dyDescent="0.3">
      <c r="A822" s="221"/>
      <c r="B822" s="1047"/>
      <c r="C822" s="1047"/>
      <c r="D822" s="1047"/>
      <c r="E822" s="220"/>
      <c r="F822" s="1"/>
      <c r="BB822" s="48"/>
    </row>
    <row r="823" spans="1:59" ht="15" customHeight="1" x14ac:dyDescent="0.3">
      <c r="A823" s="221"/>
      <c r="B823" s="1047"/>
      <c r="C823" s="1047"/>
      <c r="D823" s="1047"/>
      <c r="E823" s="220"/>
      <c r="F823" s="1"/>
      <c r="BB823" s="48"/>
    </row>
    <row r="824" spans="1:59" ht="15" customHeight="1" x14ac:dyDescent="0.3">
      <c r="A824" s="221"/>
      <c r="B824" s="1047"/>
      <c r="C824" s="1047"/>
      <c r="D824" s="1047"/>
      <c r="E824" s="220"/>
      <c r="F824" s="1"/>
      <c r="BB824" s="48"/>
    </row>
    <row r="825" spans="1:59" ht="10" customHeight="1" x14ac:dyDescent="0.3">
      <c r="A825" s="221"/>
      <c r="B825" s="220"/>
      <c r="C825" s="220"/>
      <c r="D825" s="220"/>
      <c r="E825" s="220"/>
      <c r="F825" s="1"/>
      <c r="BB825" s="48"/>
    </row>
    <row r="826" spans="1:59" ht="30" customHeight="1" x14ac:dyDescent="0.3">
      <c r="A826" s="40" t="s">
        <v>84</v>
      </c>
      <c r="B826" s="40" t="s">
        <v>1399</v>
      </c>
      <c r="C826" s="40"/>
      <c r="D826" s="39"/>
      <c r="E826" s="436"/>
      <c r="F826" s="436" t="s">
        <v>869</v>
      </c>
      <c r="BB826" s="48"/>
    </row>
    <row r="827" spans="1:59" ht="17.5" x14ac:dyDescent="0.3">
      <c r="A827" s="97"/>
      <c r="B827" s="98" t="s">
        <v>430</v>
      </c>
      <c r="C827" s="98"/>
      <c r="D827" s="98"/>
      <c r="E827" s="99"/>
      <c r="F827" s="97"/>
      <c r="BB827" s="48"/>
    </row>
    <row r="828" spans="1:59" x14ac:dyDescent="0.3">
      <c r="A828" s="226"/>
      <c r="B828" s="82"/>
      <c r="C828" s="82"/>
      <c r="D828" s="82"/>
      <c r="E828" s="82"/>
      <c r="F828" s="1"/>
      <c r="BB828" s="48"/>
    </row>
    <row r="829" spans="1:59" ht="160" customHeight="1" x14ac:dyDescent="0.3">
      <c r="A829" s="226"/>
      <c r="B829" s="227" t="s">
        <v>431</v>
      </c>
      <c r="C829" s="82"/>
      <c r="D829" s="82"/>
      <c r="E829" s="82"/>
      <c r="F829" s="1"/>
      <c r="BB829" s="48"/>
    </row>
    <row r="830" spans="1:59" x14ac:dyDescent="0.3">
      <c r="A830" s="226"/>
      <c r="B830" s="82"/>
      <c r="C830" s="82"/>
      <c r="D830" s="82"/>
      <c r="E830" s="82"/>
      <c r="F830" s="1"/>
      <c r="BB830" s="48"/>
    </row>
    <row r="831" spans="1:59" ht="15.5" x14ac:dyDescent="0.3">
      <c r="A831" s="228">
        <f>A810+1</f>
        <v>64</v>
      </c>
      <c r="B831" s="228" t="s">
        <v>432</v>
      </c>
      <c r="C831" s="228"/>
      <c r="D831" s="228"/>
      <c r="E831" s="82"/>
      <c r="F831" s="1"/>
      <c r="BB831" s="48"/>
    </row>
    <row r="832" spans="1:59" ht="15.5" x14ac:dyDescent="0.35">
      <c r="A832" s="226"/>
      <c r="B832" s="229" t="s">
        <v>433</v>
      </c>
      <c r="C832" s="230"/>
      <c r="D832" s="230"/>
      <c r="E832" s="82"/>
      <c r="F832" s="1"/>
      <c r="AC832" s="48">
        <v>0</v>
      </c>
      <c r="AD832" s="48">
        <v>1</v>
      </c>
      <c r="AE832" s="48">
        <v>2</v>
      </c>
      <c r="AG832" s="48">
        <v>1</v>
      </c>
      <c r="AH832" s="48">
        <v>2</v>
      </c>
      <c r="AI832" s="48">
        <v>3</v>
      </c>
      <c r="AK832" s="48" t="s">
        <v>434</v>
      </c>
      <c r="BB832" s="48"/>
    </row>
    <row r="833" spans="1:54" ht="5" customHeight="1" x14ac:dyDescent="0.3">
      <c r="A833" s="226"/>
      <c r="B833" s="82"/>
      <c r="C833" s="82"/>
      <c r="D833" s="82"/>
      <c r="E833" s="82"/>
      <c r="F833" s="1"/>
      <c r="BB833" s="48"/>
    </row>
    <row r="834" spans="1:54" x14ac:dyDescent="0.3">
      <c r="A834" s="226"/>
      <c r="B834" s="231" t="s">
        <v>435</v>
      </c>
      <c r="C834" s="232" t="s">
        <v>3757</v>
      </c>
      <c r="D834" s="231" t="s">
        <v>437</v>
      </c>
      <c r="E834" s="82"/>
      <c r="F834" s="1"/>
      <c r="AC834" s="7" t="str">
        <f t="shared" ref="AC834:AC853" si="32">IF($B834=$B$3148,AC$832,"")</f>
        <v/>
      </c>
      <c r="AD834" s="9" t="str">
        <f t="shared" ref="AD834:AD853" si="33">IF($B834=$B$3149,AD$832,"")</f>
        <v/>
      </c>
      <c r="AE834" s="233">
        <f t="shared" ref="AE834:AE853" si="34">IF($B834=$B$3150,AE$832,"")</f>
        <v>2</v>
      </c>
      <c r="AF834" s="48">
        <f t="shared" ref="AF834:AF853" si="35">SUM(AC834:AE834)</f>
        <v>2</v>
      </c>
      <c r="AG834" s="234" t="str">
        <f t="shared" ref="AG834:AG853" si="36">IF($D834=$B$3152,AG$832,"")</f>
        <v/>
      </c>
      <c r="AH834" s="234" t="str">
        <f t="shared" ref="AH834:AH853" si="37">IF($D834=$B$3153,AH$832,"")</f>
        <v/>
      </c>
      <c r="AI834" s="234">
        <f t="shared" ref="AI834:AI853" si="38">IF($D834=$B$3154,AI$832,"")</f>
        <v>3</v>
      </c>
      <c r="AJ834" s="48">
        <f>SUM(AG834:AI834)</f>
        <v>3</v>
      </c>
      <c r="AL834" s="48">
        <f>IF(AF834=0,(AJ834-AJ834),AJ834)</f>
        <v>3</v>
      </c>
      <c r="AO834" s="48">
        <f>AF834+AL834</f>
        <v>5</v>
      </c>
      <c r="AS834" s="48">
        <v>0</v>
      </c>
      <c r="AT834" s="48">
        <v>20</v>
      </c>
      <c r="AV834" s="48" t="s">
        <v>438</v>
      </c>
      <c r="BB834" s="48"/>
    </row>
    <row r="835" spans="1:54" x14ac:dyDescent="0.3">
      <c r="A835" s="226"/>
      <c r="B835" s="231"/>
      <c r="C835" s="232" t="s">
        <v>3758</v>
      </c>
      <c r="D835" s="231"/>
      <c r="E835" s="82"/>
      <c r="F835" s="1"/>
      <c r="AC835" s="7" t="str">
        <f t="shared" si="32"/>
        <v/>
      </c>
      <c r="AD835" s="9" t="str">
        <f t="shared" si="33"/>
        <v/>
      </c>
      <c r="AE835" s="233" t="str">
        <f t="shared" si="34"/>
        <v/>
      </c>
      <c r="AF835" s="48">
        <f t="shared" si="35"/>
        <v>0</v>
      </c>
      <c r="AG835" s="234" t="str">
        <f t="shared" si="36"/>
        <v/>
      </c>
      <c r="AH835" s="234" t="str">
        <f t="shared" si="37"/>
        <v/>
      </c>
      <c r="AI835" s="234" t="str">
        <f t="shared" si="38"/>
        <v/>
      </c>
      <c r="AJ835" s="48">
        <f>SUM(AG835:AI835)</f>
        <v>0</v>
      </c>
      <c r="AL835" s="48">
        <f>IF(AF835=0,(AJ835-AJ835),AJ835)</f>
        <v>0</v>
      </c>
      <c r="AO835" s="48">
        <f>AF835+AL835</f>
        <v>0</v>
      </c>
      <c r="AS835" s="48">
        <f>AT834+1</f>
        <v>21</v>
      </c>
      <c r="AT835" s="48">
        <f>AT834+AT$834</f>
        <v>40</v>
      </c>
      <c r="AV835" s="48" t="s">
        <v>440</v>
      </c>
      <c r="BB835" s="48"/>
    </row>
    <row r="836" spans="1:54" x14ac:dyDescent="0.3">
      <c r="A836" s="226"/>
      <c r="B836" s="231"/>
      <c r="C836" s="232" t="s">
        <v>3759</v>
      </c>
      <c r="D836" s="231"/>
      <c r="E836" s="82"/>
      <c r="F836" s="1"/>
      <c r="AC836" s="7" t="str">
        <f t="shared" si="32"/>
        <v/>
      </c>
      <c r="AD836" s="9" t="str">
        <f t="shared" si="33"/>
        <v/>
      </c>
      <c r="AE836" s="233" t="str">
        <f t="shared" si="34"/>
        <v/>
      </c>
      <c r="AF836" s="48">
        <f t="shared" si="35"/>
        <v>0</v>
      </c>
      <c r="AG836" s="234" t="str">
        <f t="shared" si="36"/>
        <v/>
      </c>
      <c r="AH836" s="234" t="str">
        <f t="shared" si="37"/>
        <v/>
      </c>
      <c r="AI836" s="234" t="str">
        <f t="shared" si="38"/>
        <v/>
      </c>
      <c r="AJ836" s="48">
        <f>SUM(AG836:AI836)</f>
        <v>0</v>
      </c>
      <c r="AL836" s="48">
        <f>IF(AF836=0,(AJ836-AJ836),AJ836)</f>
        <v>0</v>
      </c>
      <c r="AO836" s="48">
        <f>AF836+AL836</f>
        <v>0</v>
      </c>
      <c r="AS836" s="48">
        <f t="shared" ref="AS836:AS843" si="39">AT835+1</f>
        <v>41</v>
      </c>
      <c r="AT836" s="48">
        <f>AT835+AT$834</f>
        <v>60</v>
      </c>
      <c r="AV836" s="48" t="s">
        <v>442</v>
      </c>
      <c r="BB836" s="48"/>
    </row>
    <row r="837" spans="1:54" x14ac:dyDescent="0.3">
      <c r="A837" s="226"/>
      <c r="B837" s="231" t="s">
        <v>435</v>
      </c>
      <c r="C837" s="232" t="s">
        <v>3760</v>
      </c>
      <c r="D837" s="231" t="s">
        <v>444</v>
      </c>
      <c r="E837" s="82"/>
      <c r="F837" s="1"/>
      <c r="AC837" s="7" t="str">
        <f t="shared" si="32"/>
        <v/>
      </c>
      <c r="AD837" s="9" t="str">
        <f t="shared" si="33"/>
        <v/>
      </c>
      <c r="AE837" s="233">
        <f t="shared" si="34"/>
        <v>2</v>
      </c>
      <c r="AF837" s="48">
        <f t="shared" si="35"/>
        <v>2</v>
      </c>
      <c r="AG837" s="234" t="str">
        <f t="shared" si="36"/>
        <v/>
      </c>
      <c r="AH837" s="234">
        <f t="shared" si="37"/>
        <v>2</v>
      </c>
      <c r="AI837" s="234" t="str">
        <f t="shared" si="38"/>
        <v/>
      </c>
      <c r="AJ837" s="48">
        <f>SUM(AG837:AI837)</f>
        <v>2</v>
      </c>
      <c r="AL837" s="48">
        <f>IF(AF837=0,(AJ837-AJ837),AJ837)</f>
        <v>2</v>
      </c>
      <c r="AO837" s="48">
        <f>AF837+AL837</f>
        <v>4</v>
      </c>
      <c r="AS837" s="48">
        <f t="shared" si="39"/>
        <v>61</v>
      </c>
      <c r="AT837" s="48">
        <f>AT836+AT$834</f>
        <v>80</v>
      </c>
      <c r="AV837" s="48" t="s">
        <v>445</v>
      </c>
      <c r="BB837" s="48"/>
    </row>
    <row r="838" spans="1:54" x14ac:dyDescent="0.3">
      <c r="A838" s="226"/>
      <c r="B838" s="231"/>
      <c r="C838" s="232" t="s">
        <v>3761</v>
      </c>
      <c r="D838" s="231"/>
      <c r="E838" s="82"/>
      <c r="F838" s="1"/>
      <c r="AC838" s="7" t="str">
        <f t="shared" si="32"/>
        <v/>
      </c>
      <c r="AD838" s="9" t="str">
        <f t="shared" si="33"/>
        <v/>
      </c>
      <c r="AE838" s="233" t="str">
        <f t="shared" si="34"/>
        <v/>
      </c>
      <c r="AF838" s="48">
        <f>SUM(AC838:AE838)</f>
        <v>0</v>
      </c>
      <c r="AG838" s="234" t="str">
        <f t="shared" si="36"/>
        <v/>
      </c>
      <c r="AH838" s="234" t="str">
        <f t="shared" si="37"/>
        <v/>
      </c>
      <c r="AI838" s="234" t="str">
        <f t="shared" si="38"/>
        <v/>
      </c>
      <c r="AJ838" s="48">
        <f>SUM(AG838:AI838)</f>
        <v>0</v>
      </c>
      <c r="AL838" s="48">
        <f>IF(AF838=0,(AJ838-AJ838),AJ838)</f>
        <v>0</v>
      </c>
      <c r="AO838" s="48">
        <f>AF838+AL838</f>
        <v>0</v>
      </c>
      <c r="AS838" s="48">
        <f t="shared" si="39"/>
        <v>81</v>
      </c>
      <c r="AT838" s="48">
        <f>AT837+AT$834+1</f>
        <v>101</v>
      </c>
      <c r="AV838" s="48" t="s">
        <v>446</v>
      </c>
      <c r="BB838" s="48"/>
    </row>
    <row r="839" spans="1:54" x14ac:dyDescent="0.3">
      <c r="A839" s="226"/>
      <c r="B839" s="231"/>
      <c r="C839" s="232" t="s">
        <v>3762</v>
      </c>
      <c r="D839" s="231"/>
      <c r="E839" s="82"/>
      <c r="F839" s="1"/>
      <c r="AC839" s="7" t="str">
        <f t="shared" si="32"/>
        <v/>
      </c>
      <c r="AD839" s="9" t="str">
        <f t="shared" si="33"/>
        <v/>
      </c>
      <c r="AE839" s="233" t="str">
        <f t="shared" si="34"/>
        <v/>
      </c>
      <c r="AF839" s="48">
        <f t="shared" si="35"/>
        <v>0</v>
      </c>
      <c r="AG839" s="234" t="str">
        <f t="shared" si="36"/>
        <v/>
      </c>
      <c r="AH839" s="234" t="str">
        <f t="shared" si="37"/>
        <v/>
      </c>
      <c r="AI839" s="234" t="str">
        <f t="shared" si="38"/>
        <v/>
      </c>
      <c r="AJ839" s="48">
        <f t="shared" ref="AJ839:AJ853" si="40">SUM(AG839:AI839)</f>
        <v>0</v>
      </c>
      <c r="AL839" s="48">
        <f t="shared" ref="AL839:AL853" si="41">IF(AF839=0,(AJ839-AJ839),AJ839)</f>
        <v>0</v>
      </c>
      <c r="AO839" s="48">
        <f t="shared" ref="AO839:AO853" si="42">AF839+AL839</f>
        <v>0</v>
      </c>
      <c r="AS839" s="48">
        <f t="shared" si="39"/>
        <v>102</v>
      </c>
      <c r="AT839" s="48">
        <f>AT838+AT$834</f>
        <v>121</v>
      </c>
      <c r="BB839" s="48"/>
    </row>
    <row r="840" spans="1:54" x14ac:dyDescent="0.3">
      <c r="A840" s="226"/>
      <c r="B840" s="231"/>
      <c r="C840" s="232" t="s">
        <v>3763</v>
      </c>
      <c r="D840" s="231"/>
      <c r="E840" s="82"/>
      <c r="F840" s="1"/>
      <c r="AC840" s="7" t="str">
        <f t="shared" si="32"/>
        <v/>
      </c>
      <c r="AD840" s="9" t="str">
        <f t="shared" si="33"/>
        <v/>
      </c>
      <c r="AE840" s="233" t="str">
        <f t="shared" si="34"/>
        <v/>
      </c>
      <c r="AF840" s="48">
        <f t="shared" si="35"/>
        <v>0</v>
      </c>
      <c r="AG840" s="234" t="str">
        <f t="shared" si="36"/>
        <v/>
      </c>
      <c r="AH840" s="234" t="str">
        <f t="shared" si="37"/>
        <v/>
      </c>
      <c r="AI840" s="234" t="str">
        <f t="shared" si="38"/>
        <v/>
      </c>
      <c r="AJ840" s="48">
        <f t="shared" si="40"/>
        <v>0</v>
      </c>
      <c r="AL840" s="48">
        <f t="shared" si="41"/>
        <v>0</v>
      </c>
      <c r="AO840" s="48">
        <f t="shared" si="42"/>
        <v>0</v>
      </c>
      <c r="AS840" s="48">
        <f t="shared" si="39"/>
        <v>122</v>
      </c>
      <c r="AT840" s="48">
        <f>AT839+AT$834</f>
        <v>141</v>
      </c>
      <c r="BB840" s="48"/>
    </row>
    <row r="841" spans="1:54" x14ac:dyDescent="0.3">
      <c r="A841" s="226"/>
      <c r="B841" s="231" t="s">
        <v>435</v>
      </c>
      <c r="C841" s="232" t="s">
        <v>3764</v>
      </c>
      <c r="D841" s="231" t="s">
        <v>444</v>
      </c>
      <c r="E841" s="82"/>
      <c r="F841" s="1"/>
      <c r="AC841" s="7" t="str">
        <f t="shared" si="32"/>
        <v/>
      </c>
      <c r="AD841" s="9" t="str">
        <f t="shared" si="33"/>
        <v/>
      </c>
      <c r="AE841" s="233">
        <f t="shared" si="34"/>
        <v>2</v>
      </c>
      <c r="AF841" s="48">
        <f t="shared" si="35"/>
        <v>2</v>
      </c>
      <c r="AG841" s="234" t="str">
        <f t="shared" si="36"/>
        <v/>
      </c>
      <c r="AH841" s="234">
        <f t="shared" si="37"/>
        <v>2</v>
      </c>
      <c r="AI841" s="234" t="str">
        <f t="shared" si="38"/>
        <v/>
      </c>
      <c r="AJ841" s="48">
        <f t="shared" si="40"/>
        <v>2</v>
      </c>
      <c r="AL841" s="48">
        <f t="shared" si="41"/>
        <v>2</v>
      </c>
      <c r="AO841" s="48">
        <f t="shared" si="42"/>
        <v>4</v>
      </c>
      <c r="AS841" s="48">
        <f t="shared" si="39"/>
        <v>142</v>
      </c>
      <c r="AT841" s="48">
        <f>AT840+AT$834</f>
        <v>161</v>
      </c>
      <c r="BB841" s="48"/>
    </row>
    <row r="842" spans="1:54" x14ac:dyDescent="0.3">
      <c r="A842" s="226"/>
      <c r="B842" s="231"/>
      <c r="C842" s="232" t="s">
        <v>3765</v>
      </c>
      <c r="D842" s="231"/>
      <c r="E842" s="82"/>
      <c r="F842" s="1"/>
      <c r="AC842" s="7" t="str">
        <f t="shared" si="32"/>
        <v/>
      </c>
      <c r="AD842" s="9" t="str">
        <f t="shared" si="33"/>
        <v/>
      </c>
      <c r="AE842" s="233" t="str">
        <f t="shared" si="34"/>
        <v/>
      </c>
      <c r="AF842" s="48">
        <f t="shared" si="35"/>
        <v>0</v>
      </c>
      <c r="AG842" s="234" t="str">
        <f t="shared" si="36"/>
        <v/>
      </c>
      <c r="AH842" s="234" t="str">
        <f t="shared" si="37"/>
        <v/>
      </c>
      <c r="AI842" s="234" t="str">
        <f t="shared" si="38"/>
        <v/>
      </c>
      <c r="AJ842" s="48">
        <f t="shared" si="40"/>
        <v>0</v>
      </c>
      <c r="AL842" s="48">
        <f t="shared" si="41"/>
        <v>0</v>
      </c>
      <c r="AO842" s="48">
        <f t="shared" si="42"/>
        <v>0</v>
      </c>
      <c r="AS842" s="48">
        <f t="shared" si="39"/>
        <v>162</v>
      </c>
      <c r="AT842" s="48">
        <f>AT841+AT$834</f>
        <v>181</v>
      </c>
      <c r="BB842" s="48"/>
    </row>
    <row r="843" spans="1:54" x14ac:dyDescent="0.3">
      <c r="A843" s="226"/>
      <c r="B843" s="231"/>
      <c r="C843" s="232" t="s">
        <v>3766</v>
      </c>
      <c r="D843" s="231"/>
      <c r="E843" s="82"/>
      <c r="F843" s="1"/>
      <c r="AC843" s="7" t="str">
        <f t="shared" si="32"/>
        <v/>
      </c>
      <c r="AD843" s="9" t="str">
        <f t="shared" si="33"/>
        <v/>
      </c>
      <c r="AE843" s="233" t="str">
        <f t="shared" si="34"/>
        <v/>
      </c>
      <c r="AF843" s="48">
        <f t="shared" si="35"/>
        <v>0</v>
      </c>
      <c r="AG843" s="234" t="str">
        <f t="shared" si="36"/>
        <v/>
      </c>
      <c r="AH843" s="234" t="str">
        <f t="shared" si="37"/>
        <v/>
      </c>
      <c r="AI843" s="234" t="str">
        <f t="shared" si="38"/>
        <v/>
      </c>
      <c r="AJ843" s="48">
        <f t="shared" si="40"/>
        <v>0</v>
      </c>
      <c r="AL843" s="48">
        <f t="shared" si="41"/>
        <v>0</v>
      </c>
      <c r="AO843" s="48">
        <f t="shared" si="42"/>
        <v>0</v>
      </c>
      <c r="AS843" s="48">
        <f t="shared" si="39"/>
        <v>182</v>
      </c>
      <c r="AT843" s="48">
        <f>AT842+AT$834</f>
        <v>201</v>
      </c>
      <c r="BB843" s="48"/>
    </row>
    <row r="844" spans="1:54" x14ac:dyDescent="0.3">
      <c r="A844" s="226"/>
      <c r="B844" s="231" t="s">
        <v>452</v>
      </c>
      <c r="C844" s="232" t="s">
        <v>3767</v>
      </c>
      <c r="D844" s="231" t="s">
        <v>437</v>
      </c>
      <c r="E844" s="82"/>
      <c r="F844" s="1"/>
      <c r="AC844" s="7" t="str">
        <f t="shared" si="32"/>
        <v/>
      </c>
      <c r="AD844" s="9">
        <f t="shared" si="33"/>
        <v>1</v>
      </c>
      <c r="AE844" s="233" t="str">
        <f t="shared" si="34"/>
        <v/>
      </c>
      <c r="AF844" s="48">
        <f t="shared" si="35"/>
        <v>1</v>
      </c>
      <c r="AG844" s="234" t="str">
        <f t="shared" si="36"/>
        <v/>
      </c>
      <c r="AH844" s="234" t="str">
        <f t="shared" si="37"/>
        <v/>
      </c>
      <c r="AI844" s="234">
        <f t="shared" si="38"/>
        <v>3</v>
      </c>
      <c r="AJ844" s="48">
        <f t="shared" si="40"/>
        <v>3</v>
      </c>
      <c r="AL844" s="48">
        <f t="shared" si="41"/>
        <v>3</v>
      </c>
      <c r="AO844" s="48">
        <f t="shared" si="42"/>
        <v>4</v>
      </c>
      <c r="BB844" s="48"/>
    </row>
    <row r="845" spans="1:54" ht="14.5" x14ac:dyDescent="0.35">
      <c r="A845" s="226"/>
      <c r="B845" s="231" t="s">
        <v>452</v>
      </c>
      <c r="C845" s="232" t="s">
        <v>3768</v>
      </c>
      <c r="D845" s="231" t="s">
        <v>455</v>
      </c>
      <c r="E845" s="82"/>
      <c r="F845" s="1"/>
      <c r="AC845" s="7" t="str">
        <f t="shared" si="32"/>
        <v/>
      </c>
      <c r="AD845" s="9">
        <f t="shared" si="33"/>
        <v>1</v>
      </c>
      <c r="AE845" s="233" t="str">
        <f t="shared" si="34"/>
        <v/>
      </c>
      <c r="AF845" s="48">
        <f t="shared" si="35"/>
        <v>1</v>
      </c>
      <c r="AG845" s="234">
        <f t="shared" si="36"/>
        <v>1</v>
      </c>
      <c r="AH845" s="234" t="str">
        <f t="shared" si="37"/>
        <v/>
      </c>
      <c r="AI845" s="234" t="str">
        <f t="shared" si="38"/>
        <v/>
      </c>
      <c r="AJ845" s="48">
        <f t="shared" si="40"/>
        <v>1</v>
      </c>
      <c r="AL845" s="48">
        <f t="shared" si="41"/>
        <v>1</v>
      </c>
      <c r="AO845" s="48">
        <f t="shared" si="42"/>
        <v>2</v>
      </c>
      <c r="AR845" s="235" t="s">
        <v>456</v>
      </c>
      <c r="AS845" s="48" t="str">
        <f>IF(AY315=0,AS847,"")</f>
        <v xml:space="preserve">The fact of not being rearrested should say something loud and clear. </v>
      </c>
      <c r="BB845" s="48"/>
    </row>
    <row r="846" spans="1:54" x14ac:dyDescent="0.3">
      <c r="A846" s="226"/>
      <c r="B846" s="231" t="s">
        <v>435</v>
      </c>
      <c r="C846" s="232" t="s">
        <v>3769</v>
      </c>
      <c r="D846" s="231" t="s">
        <v>444</v>
      </c>
      <c r="E846" s="82"/>
      <c r="F846" s="1"/>
      <c r="AC846" s="7" t="str">
        <f t="shared" si="32"/>
        <v/>
      </c>
      <c r="AD846" s="9" t="str">
        <f t="shared" si="33"/>
        <v/>
      </c>
      <c r="AE846" s="233">
        <f t="shared" si="34"/>
        <v>2</v>
      </c>
      <c r="AF846" s="48">
        <f t="shared" si="35"/>
        <v>2</v>
      </c>
      <c r="AG846" s="234" t="str">
        <f t="shared" si="36"/>
        <v/>
      </c>
      <c r="AH846" s="234">
        <f t="shared" si="37"/>
        <v>2</v>
      </c>
      <c r="AI846" s="234" t="str">
        <f t="shared" si="38"/>
        <v/>
      </c>
      <c r="AJ846" s="48">
        <f t="shared" si="40"/>
        <v>2</v>
      </c>
      <c r="AL846" s="48">
        <f t="shared" si="41"/>
        <v>2</v>
      </c>
      <c r="AO846" s="48">
        <f t="shared" si="42"/>
        <v>4</v>
      </c>
      <c r="BB846" s="48"/>
    </row>
    <row r="847" spans="1:54" x14ac:dyDescent="0.3">
      <c r="A847" s="226"/>
      <c r="B847" s="231"/>
      <c r="C847" s="232" t="s">
        <v>3770</v>
      </c>
      <c r="D847" s="231"/>
      <c r="E847" s="82"/>
      <c r="F847" s="1"/>
      <c r="AC847" s="7" t="str">
        <f t="shared" si="32"/>
        <v/>
      </c>
      <c r="AD847" s="9" t="str">
        <f t="shared" si="33"/>
        <v/>
      </c>
      <c r="AE847" s="233" t="str">
        <f t="shared" si="34"/>
        <v/>
      </c>
      <c r="AF847" s="48">
        <f t="shared" si="35"/>
        <v>0</v>
      </c>
      <c r="AG847" s="234" t="str">
        <f t="shared" si="36"/>
        <v/>
      </c>
      <c r="AH847" s="234" t="str">
        <f t="shared" si="37"/>
        <v/>
      </c>
      <c r="AI847" s="234" t="str">
        <f t="shared" si="38"/>
        <v/>
      </c>
      <c r="AJ847" s="48">
        <f t="shared" si="40"/>
        <v>0</v>
      </c>
      <c r="AL847" s="48">
        <f t="shared" si="41"/>
        <v>0</v>
      </c>
      <c r="AO847" s="48">
        <f t="shared" si="42"/>
        <v>0</v>
      </c>
      <c r="AS847" s="48" t="s">
        <v>458</v>
      </c>
      <c r="BB847" s="48"/>
    </row>
    <row r="848" spans="1:54" x14ac:dyDescent="0.3">
      <c r="A848" s="226"/>
      <c r="B848" s="231"/>
      <c r="C848" s="232" t="s">
        <v>3771</v>
      </c>
      <c r="D848" s="231"/>
      <c r="E848" s="82"/>
      <c r="F848" s="1"/>
      <c r="AC848" s="7" t="str">
        <f t="shared" si="32"/>
        <v/>
      </c>
      <c r="AD848" s="9" t="str">
        <f t="shared" si="33"/>
        <v/>
      </c>
      <c r="AE848" s="233" t="str">
        <f t="shared" si="34"/>
        <v/>
      </c>
      <c r="AF848" s="48">
        <f t="shared" si="35"/>
        <v>0</v>
      </c>
      <c r="AG848" s="234" t="str">
        <f t="shared" si="36"/>
        <v/>
      </c>
      <c r="AH848" s="234" t="str">
        <f t="shared" si="37"/>
        <v/>
      </c>
      <c r="AI848" s="234" t="str">
        <f t="shared" si="38"/>
        <v/>
      </c>
      <c r="AJ848" s="48">
        <f t="shared" si="40"/>
        <v>0</v>
      </c>
      <c r="AL848" s="48">
        <f t="shared" si="41"/>
        <v>0</v>
      </c>
      <c r="AO848" s="48">
        <f t="shared" si="42"/>
        <v>0</v>
      </c>
      <c r="BB848" s="48"/>
    </row>
    <row r="849" spans="1:64" x14ac:dyDescent="0.3">
      <c r="A849" s="226"/>
      <c r="B849" s="231" t="s">
        <v>460</v>
      </c>
      <c r="C849" s="232" t="s">
        <v>3772</v>
      </c>
      <c r="D849" s="231"/>
      <c r="E849" s="82"/>
      <c r="F849" s="1"/>
      <c r="AC849" s="7">
        <f t="shared" si="32"/>
        <v>0</v>
      </c>
      <c r="AD849" s="9" t="str">
        <f t="shared" si="33"/>
        <v/>
      </c>
      <c r="AE849" s="233" t="str">
        <f t="shared" si="34"/>
        <v/>
      </c>
      <c r="AF849" s="48">
        <f t="shared" si="35"/>
        <v>0</v>
      </c>
      <c r="AG849" s="234" t="str">
        <f t="shared" si="36"/>
        <v/>
      </c>
      <c r="AH849" s="234" t="str">
        <f t="shared" si="37"/>
        <v/>
      </c>
      <c r="AI849" s="234" t="str">
        <f t="shared" si="38"/>
        <v/>
      </c>
      <c r="AJ849" s="48">
        <f t="shared" si="40"/>
        <v>0</v>
      </c>
      <c r="AL849" s="48">
        <f t="shared" si="41"/>
        <v>0</v>
      </c>
      <c r="AO849" s="48">
        <f t="shared" si="42"/>
        <v>0</v>
      </c>
      <c r="AS849" s="48" t="str">
        <f>IF(AK891=0,"This claimant",AK891)</f>
        <v>this claimant</v>
      </c>
      <c r="AV849" s="48" t="s">
        <v>462</v>
      </c>
      <c r="BB849" s="48"/>
    </row>
    <row r="850" spans="1:64" x14ac:dyDescent="0.3">
      <c r="A850" s="226"/>
      <c r="B850" s="231" t="s">
        <v>435</v>
      </c>
      <c r="C850" s="232" t="s">
        <v>3773</v>
      </c>
      <c r="D850" s="231" t="s">
        <v>437</v>
      </c>
      <c r="E850" s="82"/>
      <c r="F850" s="1"/>
      <c r="AC850" s="7" t="str">
        <f t="shared" si="32"/>
        <v/>
      </c>
      <c r="AD850" s="9" t="str">
        <f t="shared" si="33"/>
        <v/>
      </c>
      <c r="AE850" s="233">
        <f t="shared" si="34"/>
        <v>2</v>
      </c>
      <c r="AF850" s="48">
        <f t="shared" si="35"/>
        <v>2</v>
      </c>
      <c r="AG850" s="234" t="str">
        <f t="shared" si="36"/>
        <v/>
      </c>
      <c r="AH850" s="234" t="str">
        <f t="shared" si="37"/>
        <v/>
      </c>
      <c r="AI850" s="234">
        <f t="shared" si="38"/>
        <v>3</v>
      </c>
      <c r="AJ850" s="48">
        <f t="shared" si="40"/>
        <v>3</v>
      </c>
      <c r="AL850" s="48">
        <f t="shared" si="41"/>
        <v>3</v>
      </c>
      <c r="AO850" s="48">
        <f t="shared" si="42"/>
        <v>5</v>
      </c>
      <c r="BB850" s="48"/>
    </row>
    <row r="851" spans="1:64" x14ac:dyDescent="0.3">
      <c r="A851" s="226"/>
      <c r="B851" s="231" t="s">
        <v>435</v>
      </c>
      <c r="C851" s="232" t="s">
        <v>3774</v>
      </c>
      <c r="D851" s="231" t="s">
        <v>437</v>
      </c>
      <c r="E851" s="82"/>
      <c r="F851" s="1"/>
      <c r="AC851" s="7" t="str">
        <f t="shared" si="32"/>
        <v/>
      </c>
      <c r="AD851" s="9" t="str">
        <f t="shared" si="33"/>
        <v/>
      </c>
      <c r="AE851" s="233">
        <f t="shared" si="34"/>
        <v>2</v>
      </c>
      <c r="AF851" s="48">
        <f t="shared" si="35"/>
        <v>2</v>
      </c>
      <c r="AG851" s="234" t="str">
        <f t="shared" si="36"/>
        <v/>
      </c>
      <c r="AH851" s="234" t="str">
        <f t="shared" si="37"/>
        <v/>
      </c>
      <c r="AI851" s="234">
        <f t="shared" si="38"/>
        <v>3</v>
      </c>
      <c r="AJ851" s="48">
        <f t="shared" si="40"/>
        <v>3</v>
      </c>
      <c r="AL851" s="48">
        <f t="shared" si="41"/>
        <v>3</v>
      </c>
      <c r="AO851" s="48">
        <f t="shared" si="42"/>
        <v>5</v>
      </c>
      <c r="AS851" s="52" t="str">
        <f>IF(AO854=0,"",CONCATENATE(AS849,AV849,AS854,"."))</f>
        <v>this claimant reports enduring so many of these consequences to the point of being cut off from opportunities to live independently.</v>
      </c>
      <c r="BB851" s="48"/>
    </row>
    <row r="852" spans="1:64" x14ac:dyDescent="0.3">
      <c r="A852" s="226"/>
      <c r="B852" s="231" t="s">
        <v>435</v>
      </c>
      <c r="C852" s="232" t="s">
        <v>3775</v>
      </c>
      <c r="D852" s="231" t="s">
        <v>444</v>
      </c>
      <c r="E852" s="82"/>
      <c r="F852" s="1"/>
      <c r="AC852" s="7" t="str">
        <f t="shared" si="32"/>
        <v/>
      </c>
      <c r="AD852" s="9" t="str">
        <f t="shared" si="33"/>
        <v/>
      </c>
      <c r="AE852" s="233">
        <f t="shared" si="34"/>
        <v>2</v>
      </c>
      <c r="AF852" s="48">
        <f t="shared" si="35"/>
        <v>2</v>
      </c>
      <c r="AG852" s="234" t="str">
        <f t="shared" si="36"/>
        <v/>
      </c>
      <c r="AH852" s="234">
        <f t="shared" si="37"/>
        <v>2</v>
      </c>
      <c r="AI852" s="234" t="str">
        <f t="shared" si="38"/>
        <v/>
      </c>
      <c r="AJ852" s="48">
        <f t="shared" si="40"/>
        <v>2</v>
      </c>
      <c r="AL852" s="48">
        <f t="shared" si="41"/>
        <v>2</v>
      </c>
      <c r="AO852" s="48">
        <f t="shared" si="42"/>
        <v>4</v>
      </c>
      <c r="AS852" s="48" t="s">
        <v>466</v>
      </c>
      <c r="BB852" s="48"/>
    </row>
    <row r="853" spans="1:64" x14ac:dyDescent="0.3">
      <c r="A853" s="226"/>
      <c r="B853" s="231"/>
      <c r="C853" s="232" t="s">
        <v>3776</v>
      </c>
      <c r="D853" s="231"/>
      <c r="E853" s="82"/>
      <c r="F853" s="1"/>
      <c r="AC853" s="7" t="str">
        <f t="shared" si="32"/>
        <v/>
      </c>
      <c r="AD853" s="9" t="str">
        <f t="shared" si="33"/>
        <v/>
      </c>
      <c r="AE853" s="233" t="str">
        <f t="shared" si="34"/>
        <v/>
      </c>
      <c r="AF853" s="48">
        <f t="shared" si="35"/>
        <v>0</v>
      </c>
      <c r="AG853" s="234" t="str">
        <f t="shared" si="36"/>
        <v/>
      </c>
      <c r="AH853" s="234" t="str">
        <f t="shared" si="37"/>
        <v/>
      </c>
      <c r="AI853" s="234" t="str">
        <f t="shared" si="38"/>
        <v/>
      </c>
      <c r="AJ853" s="48">
        <f t="shared" si="40"/>
        <v>0</v>
      </c>
      <c r="AL853" s="48">
        <f t="shared" si="41"/>
        <v>0</v>
      </c>
      <c r="AO853" s="48">
        <f t="shared" si="42"/>
        <v>0</v>
      </c>
      <c r="BB853" s="48"/>
    </row>
    <row r="854" spans="1:64" ht="15" x14ac:dyDescent="0.3">
      <c r="A854" s="226"/>
      <c r="B854" s="82"/>
      <c r="C854" s="82"/>
      <c r="D854" s="82"/>
      <c r="E854" s="82"/>
      <c r="F854" s="1"/>
      <c r="AO854" s="236">
        <f>SUM(AO834:AO853)</f>
        <v>37</v>
      </c>
      <c r="AS854" s="237" t="str">
        <f>(IF(AND(AO854&gt;AS834,AO854&lt;AT834),AV834,IF(AND(AO854&gt;AS835,AO854&lt;AT835),AV835,IF(AND(AO854&gt;AS836,AO854&lt;AT836),AV836,IF(AND(AO854&gt;AS837,AO854&lt;AT837),AV837,IF(AND(AO854&gt;AS838,AO854&lt;AT838),AV838,""))))))</f>
        <v>cut off from opportunities to live independently</v>
      </c>
      <c r="AT854" s="237"/>
      <c r="AU854" s="237"/>
      <c r="AV854" s="237"/>
      <c r="AW854" s="237"/>
      <c r="AX854" s="237"/>
      <c r="AY854" s="237"/>
      <c r="AZ854" s="237"/>
      <c r="BA854" s="237"/>
      <c r="BB854" s="237"/>
      <c r="BC854" s="237"/>
    </row>
    <row r="855" spans="1:64" ht="20" customHeight="1" x14ac:dyDescent="0.3">
      <c r="A855" s="226"/>
      <c r="B855" s="238" t="s">
        <v>467</v>
      </c>
      <c r="C855" s="230"/>
      <c r="D855" s="230"/>
      <c r="E855" s="82"/>
      <c r="F855" s="1"/>
      <c r="BB855" s="48"/>
    </row>
    <row r="856" spans="1:64" ht="75" customHeight="1" x14ac:dyDescent="0.3">
      <c r="A856" s="226"/>
      <c r="B856" s="1048"/>
      <c r="C856" s="1048"/>
      <c r="D856" s="1048"/>
      <c r="E856" s="82"/>
      <c r="F856" s="1"/>
      <c r="AC856" s="1049" t="str">
        <f>CONCATENATE(AK832,AS851,AS852)</f>
        <v>Collateral consequences create second-class citizens, often without measurable outcomes to test if meeting their intended purpose. Consequently, they can have the opposite effect, like enabling recidivism--even among the wrongly convicted. this claimant reports enduring so many of these consequences to the point of being cut off from opportunities to live independently. You can help change this.</v>
      </c>
      <c r="AD856" s="1050"/>
      <c r="AE856" s="1050"/>
      <c r="AF856" s="1050"/>
      <c r="AG856" s="1050"/>
      <c r="AH856" s="1050"/>
      <c r="AI856" s="1050"/>
      <c r="AJ856" s="1050"/>
      <c r="AK856" s="1050"/>
      <c r="AL856" s="1050"/>
      <c r="AM856" s="1050"/>
      <c r="AN856" s="1050"/>
      <c r="AO856" s="1050"/>
      <c r="AP856" s="1050"/>
      <c r="AQ856" s="1050"/>
      <c r="AR856" s="1050"/>
      <c r="AS856" s="1050"/>
      <c r="AT856" s="1050"/>
      <c r="AU856" s="1050"/>
      <c r="AV856" s="1050"/>
      <c r="AW856" s="1050"/>
      <c r="AX856" s="1050"/>
      <c r="AY856" s="1050"/>
      <c r="AZ856" s="1050"/>
      <c r="BA856" s="1050"/>
      <c r="BB856" s="1050"/>
      <c r="BC856" s="1050"/>
      <c r="BD856" s="1051"/>
    </row>
    <row r="857" spans="1:64" x14ac:dyDescent="0.3">
      <c r="A857" s="226"/>
      <c r="B857" s="82"/>
      <c r="C857" s="82"/>
      <c r="D857" s="82"/>
      <c r="E857" s="82"/>
      <c r="F857" s="1"/>
      <c r="BB857" s="48"/>
    </row>
    <row r="858" spans="1:64" ht="15.5" x14ac:dyDescent="0.3">
      <c r="A858" s="228">
        <f>A831+1</f>
        <v>65</v>
      </c>
      <c r="B858" s="228" t="s">
        <v>468</v>
      </c>
      <c r="C858" s="228"/>
      <c r="D858" s="228"/>
      <c r="E858" s="82"/>
      <c r="F858" s="1"/>
      <c r="AC858" s="48">
        <v>0</v>
      </c>
      <c r="AD858" s="48">
        <f>AC858+1</f>
        <v>1</v>
      </c>
      <c r="AE858" s="48">
        <f>AD858+1</f>
        <v>2</v>
      </c>
      <c r="AF858" s="48">
        <f>AE858+1</f>
        <v>3</v>
      </c>
      <c r="AI858" s="48">
        <v>10</v>
      </c>
      <c r="AJ858" s="48">
        <f>AI858-1</f>
        <v>9</v>
      </c>
      <c r="AK858" s="48">
        <f t="shared" ref="AK858:AP858" si="43">AJ858-1</f>
        <v>8</v>
      </c>
      <c r="AL858" s="48">
        <f t="shared" si="43"/>
        <v>7</v>
      </c>
      <c r="AM858" s="48">
        <f t="shared" si="43"/>
        <v>6</v>
      </c>
      <c r="AN858" s="48">
        <f t="shared" si="43"/>
        <v>5</v>
      </c>
      <c r="AO858" s="48">
        <f t="shared" si="43"/>
        <v>4</v>
      </c>
      <c r="AP858" s="48">
        <f t="shared" si="43"/>
        <v>3</v>
      </c>
      <c r="BB858" s="48"/>
    </row>
    <row r="859" spans="1:64" ht="15.5" x14ac:dyDescent="0.35">
      <c r="A859" s="226"/>
      <c r="B859" s="229" t="s">
        <v>469</v>
      </c>
      <c r="C859" s="230"/>
      <c r="D859" s="230"/>
      <c r="E859" s="82"/>
      <c r="F859" s="1"/>
      <c r="AC859" s="48" t="str">
        <f>B3157</f>
        <v>not applicable</v>
      </c>
      <c r="AD859" s="48" t="str">
        <f>B3158</f>
        <v>temporary</v>
      </c>
      <c r="AE859" s="48" t="str">
        <f>B3159</f>
        <v>lasting</v>
      </c>
      <c r="AF859" s="48" t="str">
        <f>B3160</f>
        <v>permanent</v>
      </c>
      <c r="AI859" s="48" t="str">
        <f>B3162</f>
        <v>impacting everyone I know</v>
      </c>
      <c r="AJ859" s="48" t="str">
        <f>B3163</f>
        <v>impacting close friend(s)</v>
      </c>
      <c r="AK859" s="48" t="str">
        <f>B3164</f>
        <v>impacting close friends &amp; family</v>
      </c>
      <c r="AL859" s="48" t="str">
        <f>B3165</f>
        <v>impacting only family members</v>
      </c>
      <c r="AM859" s="48" t="str">
        <f>B3166</f>
        <v>impacting only my (then) partner</v>
      </c>
      <c r="AN859" s="48" t="str">
        <f>B3167</f>
        <v>impacting (then) partner &amp; kids</v>
      </c>
      <c r="AO859" s="48" t="str">
        <f>B3168</f>
        <v>impacting only my child(ren)</v>
      </c>
      <c r="AP859" s="48" t="str">
        <f>B3169</f>
        <v>impacting only my grandchild(ren)</v>
      </c>
      <c r="AX859" s="48">
        <v>360</v>
      </c>
      <c r="BI859" s="239">
        <f>SUM(AS861:AS872)</f>
        <v>106</v>
      </c>
      <c r="BJ859" s="240">
        <f>BI859/AX859</f>
        <v>0.29444444444444445</v>
      </c>
    </row>
    <row r="860" spans="1:64" ht="5" customHeight="1" x14ac:dyDescent="0.3">
      <c r="A860" s="226"/>
      <c r="B860" s="226"/>
      <c r="C860" s="226"/>
      <c r="D860" s="226"/>
      <c r="E860" s="82"/>
      <c r="F860" s="1"/>
    </row>
    <row r="861" spans="1:64" x14ac:dyDescent="0.3">
      <c r="A861" s="226"/>
      <c r="B861" s="231"/>
      <c r="C861" s="232" t="s">
        <v>3780</v>
      </c>
      <c r="D861" s="241"/>
      <c r="E861" s="82"/>
      <c r="F861" s="1"/>
      <c r="AC861" s="7">
        <f>IF($B861=AC$859,AC$858,0)</f>
        <v>0</v>
      </c>
      <c r="AD861" s="9">
        <f t="shared" ref="AD861:AF872" si="44">IF($B861=AD$859,AD$858,0)</f>
        <v>0</v>
      </c>
      <c r="AE861" s="233">
        <f t="shared" si="44"/>
        <v>0</v>
      </c>
      <c r="AF861" s="242">
        <f t="shared" si="44"/>
        <v>0</v>
      </c>
      <c r="AG861" s="243">
        <f>MAX(AC861:AF861)</f>
        <v>0</v>
      </c>
      <c r="AH861" s="48">
        <f>AG861</f>
        <v>0</v>
      </c>
      <c r="AI861" s="234">
        <f>IF($D861=AI$859,AI$858,0)</f>
        <v>0</v>
      </c>
      <c r="AJ861" s="234">
        <f t="shared" ref="AJ861:AP872" si="45">IF($D861=AJ$859,AJ$858,0)</f>
        <v>0</v>
      </c>
      <c r="AK861" s="234">
        <f t="shared" si="45"/>
        <v>0</v>
      </c>
      <c r="AL861" s="234">
        <f t="shared" si="45"/>
        <v>0</v>
      </c>
      <c r="AM861" s="234">
        <f t="shared" si="45"/>
        <v>0</v>
      </c>
      <c r="AN861" s="234">
        <f t="shared" si="45"/>
        <v>0</v>
      </c>
      <c r="AO861" s="234">
        <f t="shared" si="45"/>
        <v>0</v>
      </c>
      <c r="AP861" s="234">
        <f t="shared" si="45"/>
        <v>0</v>
      </c>
      <c r="AQ861" s="243">
        <f>IF(AG861&gt;0,MAX(AI861:AP861),0)</f>
        <v>0</v>
      </c>
      <c r="AS861" s="244" t="str">
        <f t="shared" ref="AS861:AS872" si="46">IF(AND(B861="",D861=""),"",AG861*AQ861)</f>
        <v/>
      </c>
      <c r="AV861" s="48" t="str">
        <f>IF(AF861=3,BI868,BI866)</f>
        <v xml:space="preserve">have suffered from </v>
      </c>
      <c r="BB861" s="14" t="s">
        <v>470</v>
      </c>
      <c r="BD861" s="48" t="str">
        <f t="shared" ref="BD861:BD872" si="47">IF(AS861&gt;0,C861,"")</f>
        <v>1) anxiety</v>
      </c>
      <c r="BF861" s="48" t="str">
        <f>IF(BD861="","",CONCATENATE(BB861,", "))</f>
        <v xml:space="preserve">anxiety, </v>
      </c>
      <c r="BI861" s="386">
        <v>0</v>
      </c>
      <c r="BJ861" s="386">
        <v>89</v>
      </c>
      <c r="BL861" s="48" t="s">
        <v>471</v>
      </c>
    </row>
    <row r="862" spans="1:64" x14ac:dyDescent="0.3">
      <c r="A862" s="226"/>
      <c r="B862" s="231"/>
      <c r="C862" s="232" t="s">
        <v>3781</v>
      </c>
      <c r="D862" s="241"/>
      <c r="E862" s="82"/>
      <c r="F862" s="1"/>
      <c r="AC862" s="7">
        <f t="shared" ref="AC862:AC872" si="48">IF($B862=AC$859,AC$858,0)</f>
        <v>0</v>
      </c>
      <c r="AD862" s="9">
        <f t="shared" si="44"/>
        <v>0</v>
      </c>
      <c r="AE862" s="233">
        <f t="shared" si="44"/>
        <v>0</v>
      </c>
      <c r="AF862" s="242">
        <f t="shared" si="44"/>
        <v>0</v>
      </c>
      <c r="AG862" s="243">
        <f t="shared" ref="AG862:AG872" si="49">MAX(AC862:AF862)</f>
        <v>0</v>
      </c>
      <c r="AI862" s="234">
        <f t="shared" ref="AI862:AI872" si="50">IF($D862=AI$859,AI$858,0)</f>
        <v>0</v>
      </c>
      <c r="AJ862" s="234">
        <f t="shared" si="45"/>
        <v>0</v>
      </c>
      <c r="AK862" s="234">
        <f t="shared" si="45"/>
        <v>0</v>
      </c>
      <c r="AL862" s="234">
        <f t="shared" si="45"/>
        <v>0</v>
      </c>
      <c r="AM862" s="234">
        <f t="shared" si="45"/>
        <v>0</v>
      </c>
      <c r="AN862" s="234">
        <f t="shared" si="45"/>
        <v>0</v>
      </c>
      <c r="AO862" s="234">
        <f t="shared" si="45"/>
        <v>0</v>
      </c>
      <c r="AP862" s="234">
        <f t="shared" si="45"/>
        <v>0</v>
      </c>
      <c r="AQ862" s="243">
        <f t="shared" ref="AQ862:AQ872" si="51">IF(AG862&gt;0,MAX(AI862:AP862),0)</f>
        <v>0</v>
      </c>
      <c r="AS862" s="244" t="str">
        <f t="shared" si="46"/>
        <v/>
      </c>
      <c r="BB862" s="14" t="s">
        <v>472</v>
      </c>
      <c r="BD862" s="48" t="str">
        <f t="shared" si="47"/>
        <v>2) costs to contact while in prison</v>
      </c>
      <c r="BF862" s="48" t="str">
        <f t="shared" ref="BF862:BF872" si="52">IF(BD862="","",CONCATENATE(BB862,", "))</f>
        <v xml:space="preserve">costs to contact while in prison, </v>
      </c>
      <c r="BI862" s="386">
        <f>BJ861</f>
        <v>89</v>
      </c>
      <c r="BJ862" s="386">
        <f>BI863</f>
        <v>100</v>
      </c>
    </row>
    <row r="863" spans="1:64" x14ac:dyDescent="0.3">
      <c r="A863" s="226"/>
      <c r="B863" s="231"/>
      <c r="C863" s="232" t="s">
        <v>3782</v>
      </c>
      <c r="D863" s="241"/>
      <c r="E863" s="82"/>
      <c r="F863" s="1"/>
      <c r="AC863" s="7">
        <f t="shared" si="48"/>
        <v>0</v>
      </c>
      <c r="AD863" s="9">
        <f t="shared" si="44"/>
        <v>0</v>
      </c>
      <c r="AE863" s="233">
        <f t="shared" si="44"/>
        <v>0</v>
      </c>
      <c r="AF863" s="242">
        <f t="shared" si="44"/>
        <v>0</v>
      </c>
      <c r="AG863" s="243">
        <f t="shared" si="49"/>
        <v>0</v>
      </c>
      <c r="AH863" s="48">
        <f>AG863</f>
        <v>0</v>
      </c>
      <c r="AI863" s="234">
        <f t="shared" si="50"/>
        <v>0</v>
      </c>
      <c r="AJ863" s="234">
        <f t="shared" si="45"/>
        <v>0</v>
      </c>
      <c r="AK863" s="234">
        <f t="shared" si="45"/>
        <v>0</v>
      </c>
      <c r="AL863" s="234">
        <f t="shared" si="45"/>
        <v>0</v>
      </c>
      <c r="AM863" s="234">
        <f t="shared" si="45"/>
        <v>0</v>
      </c>
      <c r="AN863" s="234">
        <f t="shared" si="45"/>
        <v>0</v>
      </c>
      <c r="AO863" s="234">
        <f t="shared" si="45"/>
        <v>0</v>
      </c>
      <c r="AP863" s="234">
        <f t="shared" si="45"/>
        <v>0</v>
      </c>
      <c r="AQ863" s="243">
        <f t="shared" si="51"/>
        <v>0</v>
      </c>
      <c r="AS863" s="244" t="str">
        <f t="shared" si="46"/>
        <v/>
      </c>
      <c r="BB863" s="14" t="s">
        <v>473</v>
      </c>
      <c r="BD863" s="48" t="str">
        <f t="shared" si="47"/>
        <v>3) depression</v>
      </c>
      <c r="BF863" s="48" t="str">
        <f t="shared" si="52"/>
        <v xml:space="preserve">depression, </v>
      </c>
      <c r="BI863" s="386">
        <v>100</v>
      </c>
      <c r="BJ863" s="386">
        <v>121</v>
      </c>
    </row>
    <row r="864" spans="1:64" x14ac:dyDescent="0.3">
      <c r="A864" s="226"/>
      <c r="B864" s="231" t="s">
        <v>474</v>
      </c>
      <c r="C864" s="232" t="s">
        <v>3783</v>
      </c>
      <c r="D864" s="241" t="s">
        <v>476</v>
      </c>
      <c r="E864" s="82"/>
      <c r="F864" s="1"/>
      <c r="AC864" s="7">
        <f t="shared" si="48"/>
        <v>0</v>
      </c>
      <c r="AD864" s="9">
        <f t="shared" si="44"/>
        <v>0</v>
      </c>
      <c r="AE864" s="233">
        <f t="shared" si="44"/>
        <v>2</v>
      </c>
      <c r="AF864" s="242">
        <f t="shared" si="44"/>
        <v>0</v>
      </c>
      <c r="AG864" s="243">
        <f t="shared" si="49"/>
        <v>2</v>
      </c>
      <c r="AH864" s="48">
        <f>AG864</f>
        <v>2</v>
      </c>
      <c r="AI864" s="234">
        <f t="shared" si="50"/>
        <v>0</v>
      </c>
      <c r="AJ864" s="234">
        <f t="shared" si="45"/>
        <v>0</v>
      </c>
      <c r="AK864" s="234">
        <f t="shared" si="45"/>
        <v>8</v>
      </c>
      <c r="AL864" s="234">
        <f t="shared" si="45"/>
        <v>0</v>
      </c>
      <c r="AM864" s="234">
        <f t="shared" si="45"/>
        <v>0</v>
      </c>
      <c r="AN864" s="234">
        <f t="shared" si="45"/>
        <v>0</v>
      </c>
      <c r="AO864" s="234">
        <f t="shared" si="45"/>
        <v>0</v>
      </c>
      <c r="AP864" s="234">
        <f t="shared" si="45"/>
        <v>0</v>
      </c>
      <c r="AQ864" s="243">
        <f t="shared" si="51"/>
        <v>8</v>
      </c>
      <c r="AS864" s="244">
        <f t="shared" si="46"/>
        <v>16</v>
      </c>
      <c r="BB864" s="14" t="s">
        <v>475</v>
      </c>
      <c r="BD864" s="48" t="str">
        <f t="shared" si="47"/>
        <v>4) divorce</v>
      </c>
      <c r="BF864" s="48" t="str">
        <f t="shared" si="52"/>
        <v xml:space="preserve">divorce, </v>
      </c>
      <c r="BI864" s="14">
        <f>BJ863</f>
        <v>121</v>
      </c>
      <c r="BJ864" s="14">
        <f>BI864+$BJ$861</f>
        <v>210</v>
      </c>
    </row>
    <row r="865" spans="1:71" x14ac:dyDescent="0.3">
      <c r="A865" s="226"/>
      <c r="B865" s="231" t="s">
        <v>474</v>
      </c>
      <c r="C865" s="232" t="s">
        <v>3784</v>
      </c>
      <c r="D865" s="241" t="s">
        <v>478</v>
      </c>
      <c r="E865" s="82"/>
      <c r="F865" s="1"/>
      <c r="AC865" s="7">
        <f t="shared" si="48"/>
        <v>0</v>
      </c>
      <c r="AD865" s="9">
        <f t="shared" si="44"/>
        <v>0</v>
      </c>
      <c r="AE865" s="233">
        <f t="shared" si="44"/>
        <v>2</v>
      </c>
      <c r="AF865" s="242">
        <f t="shared" si="44"/>
        <v>0</v>
      </c>
      <c r="AG865" s="243">
        <f t="shared" si="49"/>
        <v>2</v>
      </c>
      <c r="AH865" s="48">
        <f>AG865</f>
        <v>2</v>
      </c>
      <c r="AI865" s="234">
        <f t="shared" si="50"/>
        <v>0</v>
      </c>
      <c r="AJ865" s="234">
        <f t="shared" si="45"/>
        <v>0</v>
      </c>
      <c r="AK865" s="234">
        <f t="shared" si="45"/>
        <v>0</v>
      </c>
      <c r="AL865" s="234">
        <f t="shared" si="45"/>
        <v>7</v>
      </c>
      <c r="AM865" s="234">
        <f t="shared" si="45"/>
        <v>0</v>
      </c>
      <c r="AN865" s="234">
        <f t="shared" si="45"/>
        <v>0</v>
      </c>
      <c r="AO865" s="234">
        <f t="shared" si="45"/>
        <v>0</v>
      </c>
      <c r="AP865" s="234">
        <f t="shared" si="45"/>
        <v>0</v>
      </c>
      <c r="AQ865" s="243">
        <f t="shared" si="51"/>
        <v>7</v>
      </c>
      <c r="AS865" s="244">
        <f t="shared" si="46"/>
        <v>14</v>
      </c>
      <c r="BB865" s="14" t="s">
        <v>477</v>
      </c>
      <c r="BD865" s="48" t="str">
        <f t="shared" si="47"/>
        <v>5) housing instability</v>
      </c>
      <c r="BF865" s="48" t="str">
        <f t="shared" si="52"/>
        <v xml:space="preserve">housing instability, </v>
      </c>
      <c r="BI865" s="14">
        <f>BJ864</f>
        <v>210</v>
      </c>
      <c r="BJ865" s="14">
        <f>BI865+$BJ$861</f>
        <v>299</v>
      </c>
      <c r="BL865" s="48" t="s">
        <v>479</v>
      </c>
    </row>
    <row r="866" spans="1:71" x14ac:dyDescent="0.3">
      <c r="A866" s="226"/>
      <c r="B866" s="231" t="s">
        <v>474</v>
      </c>
      <c r="C866" s="232" t="s">
        <v>3785</v>
      </c>
      <c r="D866" s="241" t="s">
        <v>481</v>
      </c>
      <c r="E866" s="82"/>
      <c r="F866" s="1"/>
      <c r="AC866" s="7">
        <f t="shared" si="48"/>
        <v>0</v>
      </c>
      <c r="AD866" s="9">
        <f t="shared" si="44"/>
        <v>0</v>
      </c>
      <c r="AE866" s="233">
        <f t="shared" si="44"/>
        <v>2</v>
      </c>
      <c r="AF866" s="242">
        <f t="shared" si="44"/>
        <v>0</v>
      </c>
      <c r="AG866" s="243">
        <f t="shared" si="49"/>
        <v>2</v>
      </c>
      <c r="AI866" s="234">
        <f t="shared" si="50"/>
        <v>0</v>
      </c>
      <c r="AJ866" s="234">
        <f t="shared" si="45"/>
        <v>0</v>
      </c>
      <c r="AK866" s="234">
        <f t="shared" si="45"/>
        <v>0</v>
      </c>
      <c r="AL866" s="234">
        <f t="shared" si="45"/>
        <v>0</v>
      </c>
      <c r="AM866" s="234">
        <f t="shared" si="45"/>
        <v>0</v>
      </c>
      <c r="AN866" s="234">
        <f t="shared" si="45"/>
        <v>5</v>
      </c>
      <c r="AO866" s="234">
        <f t="shared" si="45"/>
        <v>0</v>
      </c>
      <c r="AP866" s="234">
        <f t="shared" si="45"/>
        <v>0</v>
      </c>
      <c r="AQ866" s="243">
        <f t="shared" si="51"/>
        <v>5</v>
      </c>
      <c r="AS866" s="244">
        <f t="shared" si="46"/>
        <v>10</v>
      </c>
      <c r="AV866" s="48" t="s">
        <v>482</v>
      </c>
      <c r="BB866" s="14" t="s">
        <v>480</v>
      </c>
      <c r="BD866" s="48" t="str">
        <f t="shared" si="47"/>
        <v>6) loss of companionship</v>
      </c>
      <c r="BF866" s="48" t="str">
        <f t="shared" si="52"/>
        <v xml:space="preserve">loss of companionship, </v>
      </c>
      <c r="BI866" s="48" t="s">
        <v>483</v>
      </c>
    </row>
    <row r="867" spans="1:71" x14ac:dyDescent="0.3">
      <c r="A867" s="226"/>
      <c r="B867" s="231" t="s">
        <v>474</v>
      </c>
      <c r="C867" s="232" t="s">
        <v>3926</v>
      </c>
      <c r="D867" s="241" t="s">
        <v>481</v>
      </c>
      <c r="E867" s="82"/>
      <c r="F867" s="1"/>
      <c r="AC867" s="7">
        <f t="shared" si="48"/>
        <v>0</v>
      </c>
      <c r="AD867" s="9">
        <f t="shared" si="44"/>
        <v>0</v>
      </c>
      <c r="AE867" s="233">
        <f t="shared" si="44"/>
        <v>2</v>
      </c>
      <c r="AF867" s="242">
        <f t="shared" si="44"/>
        <v>0</v>
      </c>
      <c r="AG867" s="243">
        <f t="shared" si="49"/>
        <v>2</v>
      </c>
      <c r="AI867" s="234">
        <f t="shared" si="50"/>
        <v>0</v>
      </c>
      <c r="AJ867" s="234">
        <f t="shared" si="45"/>
        <v>0</v>
      </c>
      <c r="AK867" s="234">
        <f t="shared" si="45"/>
        <v>0</v>
      </c>
      <c r="AL867" s="234">
        <f t="shared" si="45"/>
        <v>0</v>
      </c>
      <c r="AM867" s="234">
        <f t="shared" si="45"/>
        <v>0</v>
      </c>
      <c r="AN867" s="234">
        <f t="shared" si="45"/>
        <v>5</v>
      </c>
      <c r="AO867" s="234">
        <f t="shared" si="45"/>
        <v>0</v>
      </c>
      <c r="AP867" s="234">
        <f t="shared" si="45"/>
        <v>0</v>
      </c>
      <c r="AQ867" s="243">
        <f t="shared" si="51"/>
        <v>5</v>
      </c>
      <c r="AS867" s="244">
        <f t="shared" si="46"/>
        <v>10</v>
      </c>
      <c r="AV867" s="48" t="s">
        <v>484</v>
      </c>
      <c r="BB867" s="14" t="s">
        <v>3925</v>
      </c>
      <c r="BD867" s="48" t="str">
        <f t="shared" si="47"/>
        <v>7) loss of parent during upbringing</v>
      </c>
      <c r="BF867" s="48" t="str">
        <f t="shared" si="52"/>
        <v xml:space="preserve">loss of parent during upbringing, </v>
      </c>
      <c r="BI867" s="48" t="s">
        <v>485</v>
      </c>
    </row>
    <row r="868" spans="1:71" x14ac:dyDescent="0.3">
      <c r="A868" s="226"/>
      <c r="B868" s="231" t="s">
        <v>474</v>
      </c>
      <c r="C868" s="232" t="s">
        <v>3786</v>
      </c>
      <c r="D868" s="241" t="s">
        <v>476</v>
      </c>
      <c r="E868" s="82"/>
      <c r="F868" s="1"/>
      <c r="AC868" s="7">
        <f t="shared" si="48"/>
        <v>0</v>
      </c>
      <c r="AD868" s="9">
        <f t="shared" si="44"/>
        <v>0</v>
      </c>
      <c r="AE868" s="233">
        <f t="shared" si="44"/>
        <v>2</v>
      </c>
      <c r="AF868" s="242">
        <f t="shared" si="44"/>
        <v>0</v>
      </c>
      <c r="AG868" s="243">
        <f t="shared" si="49"/>
        <v>2</v>
      </c>
      <c r="AI868" s="234">
        <f t="shared" si="50"/>
        <v>0</v>
      </c>
      <c r="AJ868" s="234">
        <f t="shared" si="45"/>
        <v>0</v>
      </c>
      <c r="AK868" s="234">
        <f t="shared" si="45"/>
        <v>8</v>
      </c>
      <c r="AL868" s="234">
        <f t="shared" si="45"/>
        <v>0</v>
      </c>
      <c r="AM868" s="234">
        <f t="shared" si="45"/>
        <v>0</v>
      </c>
      <c r="AN868" s="234">
        <f t="shared" si="45"/>
        <v>0</v>
      </c>
      <c r="AO868" s="234">
        <f t="shared" si="45"/>
        <v>0</v>
      </c>
      <c r="AP868" s="234">
        <f t="shared" si="45"/>
        <v>0</v>
      </c>
      <c r="AQ868" s="243">
        <f t="shared" si="51"/>
        <v>8</v>
      </c>
      <c r="AS868" s="244">
        <f t="shared" si="46"/>
        <v>16</v>
      </c>
      <c r="AV868" s="48" t="s">
        <v>486</v>
      </c>
      <c r="BB868" s="14" t="s">
        <v>3927</v>
      </c>
      <c r="BD868" s="48" t="str">
        <f t="shared" si="47"/>
        <v>8) loss of stable income</v>
      </c>
      <c r="BF868" s="48" t="str">
        <f t="shared" si="52"/>
        <v xml:space="preserve">loss of stable inome, </v>
      </c>
      <c r="BI868" s="48" t="s">
        <v>487</v>
      </c>
    </row>
    <row r="869" spans="1:71" x14ac:dyDescent="0.3">
      <c r="A869" s="226"/>
      <c r="B869" s="231"/>
      <c r="C869" s="232" t="s">
        <v>3787</v>
      </c>
      <c r="D869" s="241"/>
      <c r="E869" s="82"/>
      <c r="F869" s="1"/>
      <c r="AC869" s="7">
        <f t="shared" si="48"/>
        <v>0</v>
      </c>
      <c r="AD869" s="9">
        <f t="shared" si="44"/>
        <v>0</v>
      </c>
      <c r="AE869" s="233">
        <f t="shared" si="44"/>
        <v>0</v>
      </c>
      <c r="AF869" s="242">
        <f t="shared" si="44"/>
        <v>0</v>
      </c>
      <c r="AG869" s="243">
        <f t="shared" si="49"/>
        <v>0</v>
      </c>
      <c r="AI869" s="234">
        <f t="shared" si="50"/>
        <v>0</v>
      </c>
      <c r="AJ869" s="234">
        <f t="shared" si="45"/>
        <v>0</v>
      </c>
      <c r="AK869" s="234">
        <f t="shared" si="45"/>
        <v>0</v>
      </c>
      <c r="AL869" s="234">
        <f t="shared" si="45"/>
        <v>0</v>
      </c>
      <c r="AM869" s="234">
        <f t="shared" si="45"/>
        <v>0</v>
      </c>
      <c r="AN869" s="234">
        <f t="shared" si="45"/>
        <v>0</v>
      </c>
      <c r="AO869" s="234">
        <f t="shared" si="45"/>
        <v>0</v>
      </c>
      <c r="AP869" s="234">
        <f t="shared" si="45"/>
        <v>0</v>
      </c>
      <c r="AQ869" s="243">
        <f t="shared" si="51"/>
        <v>0</v>
      </c>
      <c r="AS869" s="244" t="str">
        <f t="shared" si="46"/>
        <v/>
      </c>
      <c r="BB869" s="14" t="s">
        <v>488</v>
      </c>
      <c r="BD869" s="48" t="str">
        <f t="shared" si="47"/>
        <v>9) loss of emotional support</v>
      </c>
      <c r="BF869" s="48" t="str">
        <f t="shared" si="52"/>
        <v xml:space="preserve">loss of emotional support, </v>
      </c>
    </row>
    <row r="870" spans="1:71" x14ac:dyDescent="0.3">
      <c r="A870" s="226"/>
      <c r="B870" s="231" t="s">
        <v>474</v>
      </c>
      <c r="C870" s="232" t="s">
        <v>3788</v>
      </c>
      <c r="D870" s="241" t="s">
        <v>490</v>
      </c>
      <c r="E870" s="82"/>
      <c r="F870" s="1"/>
      <c r="AC870" s="7">
        <f t="shared" si="48"/>
        <v>0</v>
      </c>
      <c r="AD870" s="9">
        <f t="shared" si="44"/>
        <v>0</v>
      </c>
      <c r="AE870" s="233">
        <f t="shared" si="44"/>
        <v>2</v>
      </c>
      <c r="AF870" s="242">
        <f t="shared" si="44"/>
        <v>0</v>
      </c>
      <c r="AG870" s="243">
        <f t="shared" si="49"/>
        <v>2</v>
      </c>
      <c r="AH870" s="48">
        <f>AG870</f>
        <v>2</v>
      </c>
      <c r="AI870" s="234">
        <f t="shared" si="50"/>
        <v>10</v>
      </c>
      <c r="AJ870" s="234">
        <f t="shared" si="45"/>
        <v>0</v>
      </c>
      <c r="AK870" s="234">
        <f t="shared" si="45"/>
        <v>0</v>
      </c>
      <c r="AL870" s="234">
        <f t="shared" si="45"/>
        <v>0</v>
      </c>
      <c r="AM870" s="234">
        <f t="shared" si="45"/>
        <v>0</v>
      </c>
      <c r="AN870" s="234">
        <f t="shared" si="45"/>
        <v>0</v>
      </c>
      <c r="AO870" s="234">
        <f t="shared" si="45"/>
        <v>0</v>
      </c>
      <c r="AP870" s="234">
        <f t="shared" si="45"/>
        <v>0</v>
      </c>
      <c r="AQ870" s="243">
        <f t="shared" si="51"/>
        <v>10</v>
      </c>
      <c r="AS870" s="244">
        <f t="shared" si="46"/>
        <v>20</v>
      </c>
      <c r="BB870" s="14" t="s">
        <v>489</v>
      </c>
      <c r="BD870" s="48" t="str">
        <f t="shared" si="47"/>
        <v>10) poverty</v>
      </c>
      <c r="BF870" s="48" t="str">
        <f t="shared" si="52"/>
        <v xml:space="preserve">poverty, </v>
      </c>
      <c r="BI870" s="48" t="str">
        <f>IF($AQ$873&gt;0,"family members","")</f>
        <v>family members</v>
      </c>
      <c r="BK870" s="48" t="str">
        <f>IF(BI870="","",CONCATENATE(BI870,", "))</f>
        <v xml:space="preserve">family members, </v>
      </c>
      <c r="BO870" s="48" t="str">
        <f>IF($AQ$873&gt;0,"family members and friends","")</f>
        <v>family members and friends</v>
      </c>
    </row>
    <row r="871" spans="1:71" x14ac:dyDescent="0.3">
      <c r="A871" s="226"/>
      <c r="B871" s="231" t="s">
        <v>474</v>
      </c>
      <c r="C871" s="232" t="s">
        <v>3789</v>
      </c>
      <c r="D871" s="241" t="s">
        <v>490</v>
      </c>
      <c r="E871" s="82"/>
      <c r="F871" s="1"/>
      <c r="AC871" s="7">
        <f t="shared" si="48"/>
        <v>0</v>
      </c>
      <c r="AD871" s="9">
        <f t="shared" si="44"/>
        <v>0</v>
      </c>
      <c r="AE871" s="233">
        <f t="shared" si="44"/>
        <v>2</v>
      </c>
      <c r="AF871" s="242">
        <f t="shared" si="44"/>
        <v>0</v>
      </c>
      <c r="AG871" s="243">
        <f t="shared" si="49"/>
        <v>2</v>
      </c>
      <c r="AH871" s="48">
        <f>AG871</f>
        <v>2</v>
      </c>
      <c r="AI871" s="234">
        <f t="shared" si="50"/>
        <v>10</v>
      </c>
      <c r="AJ871" s="234">
        <f t="shared" si="45"/>
        <v>0</v>
      </c>
      <c r="AK871" s="234">
        <f t="shared" si="45"/>
        <v>0</v>
      </c>
      <c r="AL871" s="234">
        <f t="shared" si="45"/>
        <v>0</v>
      </c>
      <c r="AM871" s="234">
        <f t="shared" si="45"/>
        <v>0</v>
      </c>
      <c r="AN871" s="234">
        <f t="shared" si="45"/>
        <v>0</v>
      </c>
      <c r="AO871" s="234">
        <f t="shared" si="45"/>
        <v>0</v>
      </c>
      <c r="AP871" s="234">
        <f t="shared" si="45"/>
        <v>0</v>
      </c>
      <c r="AQ871" s="243">
        <f t="shared" si="51"/>
        <v>10</v>
      </c>
      <c r="AS871" s="244">
        <f t="shared" si="46"/>
        <v>20</v>
      </c>
      <c r="BB871" s="14" t="s">
        <v>491</v>
      </c>
      <c r="BD871" s="48" t="str">
        <f t="shared" si="47"/>
        <v>11) stigma</v>
      </c>
      <c r="BF871" s="48" t="str">
        <f t="shared" si="52"/>
        <v xml:space="preserve">stigma, </v>
      </c>
      <c r="BI871" s="48" t="str">
        <f>IF(AND($AQ$873&gt;96,$AQ$873&lt;109),"friends","")</f>
        <v/>
      </c>
      <c r="BK871" s="48" t="str">
        <f>IF(BI871="","",CONCATENATE(BI871,", "))</f>
        <v/>
      </c>
      <c r="BO871" s="48" t="str">
        <f>IF(BI872="",BO870,"")</f>
        <v/>
      </c>
    </row>
    <row r="872" spans="1:71" x14ac:dyDescent="0.3">
      <c r="A872" s="226"/>
      <c r="B872" s="231"/>
      <c r="C872" s="232" t="s">
        <v>3929</v>
      </c>
      <c r="D872" s="241"/>
      <c r="E872" s="82"/>
      <c r="F872" s="1"/>
      <c r="AC872" s="7">
        <f t="shared" si="48"/>
        <v>0</v>
      </c>
      <c r="AD872" s="9">
        <f t="shared" si="44"/>
        <v>0</v>
      </c>
      <c r="AE872" s="233">
        <f t="shared" si="44"/>
        <v>0</v>
      </c>
      <c r="AF872" s="242">
        <f t="shared" si="44"/>
        <v>0</v>
      </c>
      <c r="AG872" s="243">
        <f t="shared" si="49"/>
        <v>0</v>
      </c>
      <c r="AI872" s="234">
        <f t="shared" si="50"/>
        <v>0</v>
      </c>
      <c r="AJ872" s="234">
        <f t="shared" si="45"/>
        <v>0</v>
      </c>
      <c r="AK872" s="234">
        <f t="shared" si="45"/>
        <v>0</v>
      </c>
      <c r="AL872" s="234">
        <f t="shared" si="45"/>
        <v>0</v>
      </c>
      <c r="AM872" s="234">
        <f t="shared" si="45"/>
        <v>0</v>
      </c>
      <c r="AN872" s="234">
        <f t="shared" si="45"/>
        <v>0</v>
      </c>
      <c r="AO872" s="234">
        <f t="shared" si="45"/>
        <v>0</v>
      </c>
      <c r="AP872" s="234">
        <f t="shared" si="45"/>
        <v>0</v>
      </c>
      <c r="AQ872" s="243">
        <f t="shared" si="51"/>
        <v>0</v>
      </c>
      <c r="AS872" s="244" t="str">
        <f t="shared" si="46"/>
        <v/>
      </c>
      <c r="BB872" s="14" t="s">
        <v>3928</v>
      </c>
      <c r="BD872" s="48" t="str">
        <f t="shared" si="47"/>
        <v>12) targeted by bullies</v>
      </c>
      <c r="BF872" s="48" t="str">
        <f t="shared" si="52"/>
        <v xml:space="preserve">targeted by bullies, </v>
      </c>
      <c r="BI872" s="48" t="str">
        <f>IF(AND($AI$873&gt;8,$AI$873&lt;101)," many others ","")</f>
        <v xml:space="preserve"> many others </v>
      </c>
      <c r="BK872" s="48" t="str">
        <f>IF(BI872="","",CONCATENATE(BI872,", "))</f>
        <v xml:space="preserve"> many others , </v>
      </c>
    </row>
    <row r="873" spans="1:71" ht="15" customHeight="1" x14ac:dyDescent="0.3">
      <c r="A873" s="228"/>
      <c r="B873" s="228"/>
      <c r="C873" s="228"/>
      <c r="D873" s="228"/>
      <c r="E873" s="82"/>
      <c r="F873" s="1"/>
      <c r="AC873" s="48">
        <f t="shared" ref="AC873:AQ873" si="53">SUM(AC861:AC872)</f>
        <v>0</v>
      </c>
      <c r="AD873" s="48">
        <f t="shared" si="53"/>
        <v>0</v>
      </c>
      <c r="AE873" s="48">
        <f t="shared" si="53"/>
        <v>14</v>
      </c>
      <c r="AF873" s="48">
        <f t="shared" si="53"/>
        <v>0</v>
      </c>
      <c r="AG873" s="244">
        <f t="shared" si="53"/>
        <v>14</v>
      </c>
      <c r="AH873" s="48">
        <f t="shared" si="53"/>
        <v>8</v>
      </c>
      <c r="AI873" s="48">
        <f t="shared" si="53"/>
        <v>20</v>
      </c>
      <c r="AJ873" s="48">
        <f t="shared" si="53"/>
        <v>0</v>
      </c>
      <c r="AK873" s="48">
        <f t="shared" si="53"/>
        <v>16</v>
      </c>
      <c r="AL873" s="48">
        <f t="shared" si="53"/>
        <v>7</v>
      </c>
      <c r="AM873" s="48">
        <f t="shared" si="53"/>
        <v>0</v>
      </c>
      <c r="AN873" s="48">
        <f t="shared" si="53"/>
        <v>10</v>
      </c>
      <c r="AO873" s="48">
        <f t="shared" si="53"/>
        <v>0</v>
      </c>
      <c r="AP873" s="48">
        <f t="shared" si="53"/>
        <v>0</v>
      </c>
      <c r="AQ873" s="244">
        <f t="shared" si="53"/>
        <v>53</v>
      </c>
    </row>
    <row r="874" spans="1:71" ht="15" customHeight="1" x14ac:dyDescent="0.3">
      <c r="A874" s="226"/>
      <c r="B874" s="230" t="s">
        <v>492</v>
      </c>
      <c r="C874" s="230"/>
      <c r="D874" s="230"/>
      <c r="E874" s="82"/>
      <c r="F874" s="1"/>
      <c r="AC874" s="48" t="s">
        <v>493</v>
      </c>
      <c r="AN874" s="48" t="str">
        <f>IF($C$57=AD202,"this claimant",$C$57)</f>
        <v>Steph Turner</v>
      </c>
      <c r="AS874" s="245" t="s">
        <v>494</v>
      </c>
      <c r="AU874" s="48" t="str">
        <f>IF($C$57=AD202," This claimant",$C$57)</f>
        <v>Steph Turner</v>
      </c>
      <c r="AZ874" s="48" t="s">
        <v>495</v>
      </c>
      <c r="BB874" s="48"/>
      <c r="BD874" s="48" t="str">
        <f>IF(AND(AQ873&gt;BI861,AQ873&lt;BJ861),AV866,IF(AND(AQ873&gt;BI862,AQ873&lt;BJ862),AV867,IF(AND(AQ873&gt;BI863,AQ873&lt;BJ863),AV868,"")))</f>
        <v xml:space="preserve">family members </v>
      </c>
      <c r="BK874" s="246" t="str">
        <f>IF(BO870="",BK871,BO870)</f>
        <v>family members and friends</v>
      </c>
      <c r="BL874" s="246"/>
      <c r="BM874" s="246"/>
      <c r="BN874" s="246"/>
      <c r="BO874" s="246"/>
      <c r="BP874" s="246"/>
      <c r="BS874" s="246" t="str">
        <f>IF(BK872="",BO870,BK872)</f>
        <v xml:space="preserve"> many others , </v>
      </c>
    </row>
    <row r="875" spans="1:71" ht="30" customHeight="1" x14ac:dyDescent="0.4">
      <c r="A875" s="226"/>
      <c r="B875" s="1048"/>
      <c r="C875" s="1048"/>
      <c r="D875" s="1048"/>
      <c r="E875" s="82"/>
      <c r="F875" s="1"/>
      <c r="AC875" s="1052" t="str">
        <f>CONCATENATE(AC874,AN874,AS874,AU874,AZ874,BD874,AC876,AH876,BD876)</f>
        <v>Collateral consequences also impact others in Steph Turner's life. Steph Turner shares how family members have suffered from anxiety, depression, divorce, housing instability, poverty, stigma, targeted by bullies, You can help improve their lives too!</v>
      </c>
      <c r="AD875" s="1053"/>
      <c r="AE875" s="1053"/>
      <c r="AF875" s="1053"/>
      <c r="AG875" s="1053"/>
      <c r="AH875" s="1053"/>
      <c r="AI875" s="1053"/>
      <c r="AJ875" s="1053"/>
      <c r="AK875" s="1053"/>
      <c r="AL875" s="1053"/>
      <c r="AM875" s="1053"/>
      <c r="AN875" s="1053"/>
      <c r="AO875" s="1053"/>
      <c r="AP875" s="1053"/>
      <c r="AQ875" s="1053"/>
      <c r="AR875" s="1053"/>
      <c r="AS875" s="1053"/>
      <c r="AT875" s="1053"/>
      <c r="AU875" s="1053"/>
      <c r="AV875" s="1053"/>
      <c r="AW875" s="1053"/>
      <c r="AX875" s="1053"/>
      <c r="AY875" s="1053"/>
      <c r="AZ875" s="1053"/>
      <c r="BA875" s="1053"/>
      <c r="BB875" s="1053"/>
      <c r="BC875" s="1053"/>
      <c r="BD875" s="1054"/>
      <c r="BI875" s="247"/>
    </row>
    <row r="876" spans="1:71" ht="15" customHeight="1" x14ac:dyDescent="0.3">
      <c r="A876" s="226"/>
      <c r="B876" s="82"/>
      <c r="C876" s="82"/>
      <c r="D876" s="82"/>
      <c r="E876" s="82"/>
      <c r="F876" s="1"/>
      <c r="AC876" s="48" t="str">
        <f>IF(BD874="","others have suffered. ","have suffered from ")</f>
        <v xml:space="preserve">have suffered from </v>
      </c>
      <c r="AH876" s="48" t="str">
        <f>IF(BD874="","",CONCATENATE(BF861,BF863,BF864,BF865,BF870,BF871,BF872))</f>
        <v xml:space="preserve">anxiety, depression, divorce, housing instability, poverty, stigma, targeted by bullies, </v>
      </c>
      <c r="BD876" s="48" t="s">
        <v>496</v>
      </c>
    </row>
    <row r="877" spans="1:71" ht="15" customHeight="1" x14ac:dyDescent="0.3">
      <c r="A877" s="228">
        <f>A858+1</f>
        <v>66</v>
      </c>
      <c r="B877" s="228" t="s">
        <v>497</v>
      </c>
      <c r="C877" s="228"/>
      <c r="D877" s="228"/>
      <c r="E877" s="82"/>
      <c r="F877" s="1"/>
      <c r="BB877" s="48"/>
    </row>
    <row r="878" spans="1:71" ht="15" customHeight="1" x14ac:dyDescent="0.35">
      <c r="A878" s="226"/>
      <c r="B878" s="229" t="s">
        <v>498</v>
      </c>
      <c r="C878" s="230"/>
      <c r="D878" s="230"/>
      <c r="E878" s="82"/>
      <c r="F878" s="1"/>
      <c r="BD878" s="48" t="str">
        <f>BK870</f>
        <v xml:space="preserve">family members, </v>
      </c>
      <c r="BF878" s="48" t="str">
        <f>BK871</f>
        <v/>
      </c>
      <c r="BG878" s="48" t="str">
        <f>BK872</f>
        <v xml:space="preserve"> many others , </v>
      </c>
    </row>
    <row r="879" spans="1:71" ht="15" customHeight="1" x14ac:dyDescent="0.3">
      <c r="A879" s="226"/>
      <c r="B879" s="82"/>
      <c r="C879" s="82"/>
      <c r="D879" s="82"/>
      <c r="E879" s="82"/>
      <c r="F879" s="1"/>
    </row>
    <row r="880" spans="1:71" ht="25" customHeight="1" x14ac:dyDescent="0.3">
      <c r="A880" s="82"/>
      <c r="B880" s="248" t="s">
        <v>499</v>
      </c>
      <c r="C880" s="248"/>
      <c r="D880" s="248"/>
      <c r="E880" s="82"/>
      <c r="F880" s="1"/>
      <c r="AC880" s="249" t="str">
        <f>B3173</f>
        <v>not challenged at all</v>
      </c>
      <c r="AD880" s="249" t="str">
        <f>B3174</f>
        <v>only slightly challenged</v>
      </c>
      <c r="AE880" s="249" t="str">
        <f>B3175</f>
        <v>moderately challenged</v>
      </c>
      <c r="AF880" s="249" t="str">
        <f>B3176</f>
        <v>significantly challenged</v>
      </c>
      <c r="AG880" s="249" t="str">
        <f>B3177</f>
        <v>severely challenged</v>
      </c>
    </row>
    <row r="881" spans="1:54" ht="14.5" thickBot="1" x14ac:dyDescent="0.35">
      <c r="A881" s="82"/>
      <c r="B881" s="1039" t="s">
        <v>500</v>
      </c>
      <c r="C881" s="1039"/>
      <c r="D881" s="1039"/>
      <c r="E881" s="82"/>
      <c r="F881" s="1"/>
      <c r="AC881" s="48">
        <v>0</v>
      </c>
      <c r="AD881" s="48">
        <f>AC881+1</f>
        <v>1</v>
      </c>
      <c r="AE881" s="48">
        <f>AD881+1</f>
        <v>2</v>
      </c>
      <c r="AF881" s="48">
        <f>AE881+1</f>
        <v>3</v>
      </c>
      <c r="AG881" s="48">
        <f>AF881+1</f>
        <v>4</v>
      </c>
      <c r="AH881" s="250">
        <f>SUM(AH882:AH887)</f>
        <v>9</v>
      </c>
      <c r="AK881" s="48" t="s">
        <v>501</v>
      </c>
      <c r="AR881" s="48" t="str">
        <f>IF(AH881&gt;0,"and other ","")</f>
        <v xml:space="preserve">and other </v>
      </c>
      <c r="AU881" s="48" t="s">
        <v>502</v>
      </c>
      <c r="BB881" s="48"/>
    </row>
    <row r="882" spans="1:54" ht="15" thickTop="1" thickBot="1" x14ac:dyDescent="0.35">
      <c r="A882" s="82"/>
      <c r="B882" s="251" t="s">
        <v>3790</v>
      </c>
      <c r="C882" s="82"/>
      <c r="D882" s="252" t="s">
        <v>503</v>
      </c>
      <c r="E882" s="82"/>
      <c r="F882" s="1"/>
      <c r="AC882" s="7">
        <f t="shared" ref="AC882:AG887" si="54">IF($D882=AC$880,AC$881,0)</f>
        <v>0</v>
      </c>
      <c r="AD882" s="220">
        <f t="shared" si="54"/>
        <v>0</v>
      </c>
      <c r="AE882" s="230">
        <f t="shared" si="54"/>
        <v>0</v>
      </c>
      <c r="AF882" s="233">
        <f t="shared" si="54"/>
        <v>3</v>
      </c>
      <c r="AG882" s="242">
        <f t="shared" si="54"/>
        <v>0</v>
      </c>
      <c r="AH882" s="52">
        <f t="shared" ref="AH882:AH887" si="55">MAX(AC882:AG882)</f>
        <v>3</v>
      </c>
      <c r="AL882" s="237" t="str">
        <f>IF(AND(AJ892&lt;=AH882,AH882&gt;0),B882,"")</f>
        <v>1) economic</v>
      </c>
      <c r="AM882" s="237"/>
      <c r="AN882" s="237"/>
      <c r="AO882" s="237"/>
      <c r="AP882" s="237" t="s">
        <v>504</v>
      </c>
      <c r="AQ882" s="237"/>
      <c r="AT882" s="48" t="str">
        <f t="shared" ref="AT882:AT887" si="56">IF(AL882="","",CONCATENATE(AL882,AP882))</f>
        <v xml:space="preserve">1) economic needs, </v>
      </c>
    </row>
    <row r="883" spans="1:54" ht="15" thickTop="1" thickBot="1" x14ac:dyDescent="0.35">
      <c r="A883" s="82"/>
      <c r="B883" s="251" t="s">
        <v>3791</v>
      </c>
      <c r="C883" s="82"/>
      <c r="D883" s="252" t="s">
        <v>505</v>
      </c>
      <c r="E883" s="82"/>
      <c r="F883" s="1"/>
      <c r="AC883" s="7">
        <f t="shared" si="54"/>
        <v>0</v>
      </c>
      <c r="AD883" s="220">
        <f t="shared" si="54"/>
        <v>1</v>
      </c>
      <c r="AE883" s="230">
        <f t="shared" si="54"/>
        <v>0</v>
      </c>
      <c r="AF883" s="233">
        <f t="shared" si="54"/>
        <v>0</v>
      </c>
      <c r="AG883" s="242">
        <f t="shared" si="54"/>
        <v>0</v>
      </c>
      <c r="AH883" s="52">
        <f t="shared" si="55"/>
        <v>1</v>
      </c>
      <c r="AL883" s="237" t="str">
        <f>IF(AND(AJ893&lt;=AH883,AH883&gt;0),B883,"")</f>
        <v/>
      </c>
      <c r="AM883" s="237"/>
      <c r="AN883" s="237"/>
      <c r="AO883" s="237"/>
      <c r="AP883" s="237" t="s">
        <v>504</v>
      </c>
      <c r="AQ883" s="237"/>
      <c r="AT883" s="48" t="str">
        <f t="shared" si="56"/>
        <v/>
      </c>
    </row>
    <row r="884" spans="1:54" ht="15" thickTop="1" thickBot="1" x14ac:dyDescent="0.35">
      <c r="A884" s="82"/>
      <c r="B884" s="251" t="s">
        <v>3792</v>
      </c>
      <c r="C884" s="82"/>
      <c r="D884" s="252" t="s">
        <v>506</v>
      </c>
      <c r="E884" s="82"/>
      <c r="F884" s="1"/>
      <c r="AC884" s="7">
        <f t="shared" si="54"/>
        <v>0</v>
      </c>
      <c r="AD884" s="220">
        <f t="shared" si="54"/>
        <v>0</v>
      </c>
      <c r="AE884" s="230">
        <f t="shared" si="54"/>
        <v>2</v>
      </c>
      <c r="AF884" s="233">
        <f t="shared" si="54"/>
        <v>0</v>
      </c>
      <c r="AG884" s="242">
        <f t="shared" si="54"/>
        <v>0</v>
      </c>
      <c r="AH884" s="52">
        <f t="shared" si="55"/>
        <v>2</v>
      </c>
      <c r="AL884" s="237" t="str">
        <f>IF(AND(AJ894&lt;=AH884,AH884&gt;0),B884,"")</f>
        <v/>
      </c>
      <c r="AM884" s="237"/>
      <c r="AN884" s="237"/>
      <c r="AO884" s="237"/>
      <c r="AP884" s="237" t="s">
        <v>504</v>
      </c>
      <c r="AQ884" s="237"/>
      <c r="AT884" s="48" t="str">
        <f t="shared" si="56"/>
        <v/>
      </c>
    </row>
    <row r="885" spans="1:54" ht="15" thickTop="1" thickBot="1" x14ac:dyDescent="0.35">
      <c r="A885" s="82"/>
      <c r="B885" s="251" t="s">
        <v>3793</v>
      </c>
      <c r="C885" s="82"/>
      <c r="D885" s="252" t="s">
        <v>503</v>
      </c>
      <c r="E885" s="82"/>
      <c r="F885" s="1"/>
      <c r="AC885" s="7">
        <f t="shared" si="54"/>
        <v>0</v>
      </c>
      <c r="AD885" s="220">
        <f t="shared" si="54"/>
        <v>0</v>
      </c>
      <c r="AE885" s="230">
        <f t="shared" si="54"/>
        <v>0</v>
      </c>
      <c r="AF885" s="233">
        <f t="shared" si="54"/>
        <v>3</v>
      </c>
      <c r="AG885" s="242">
        <f t="shared" si="54"/>
        <v>0</v>
      </c>
      <c r="AH885" s="52">
        <f t="shared" si="55"/>
        <v>3</v>
      </c>
      <c r="AL885" s="237" t="str">
        <f>IF(AND(AJ895&lt;=AH885,AH885&gt;0),B885,"")</f>
        <v/>
      </c>
      <c r="AM885" s="237"/>
      <c r="AN885" s="237"/>
      <c r="AO885" s="237"/>
      <c r="AP885" s="237" t="s">
        <v>504</v>
      </c>
      <c r="AQ885" s="237"/>
      <c r="AT885" s="48" t="str">
        <f t="shared" si="56"/>
        <v/>
      </c>
    </row>
    <row r="886" spans="1:54" ht="15" thickTop="1" thickBot="1" x14ac:dyDescent="0.35">
      <c r="A886" s="82"/>
      <c r="B886" s="251" t="s">
        <v>3794</v>
      </c>
      <c r="C886" s="82"/>
      <c r="D886" s="252" t="s">
        <v>507</v>
      </c>
      <c r="E886" s="82"/>
      <c r="F886" s="1"/>
      <c r="AC886" s="7">
        <f t="shared" si="54"/>
        <v>0</v>
      </c>
      <c r="AD886" s="220">
        <f t="shared" si="54"/>
        <v>0</v>
      </c>
      <c r="AE886" s="230">
        <f t="shared" si="54"/>
        <v>0</v>
      </c>
      <c r="AF886" s="233">
        <f t="shared" si="54"/>
        <v>0</v>
      </c>
      <c r="AG886" s="242">
        <f t="shared" si="54"/>
        <v>0</v>
      </c>
      <c r="AH886" s="52">
        <f t="shared" si="55"/>
        <v>0</v>
      </c>
      <c r="AL886" s="237" t="str">
        <f>IF(AND(AJ896&lt;=AH886,AH886&gt;0),B886,"")</f>
        <v/>
      </c>
      <c r="AM886" s="237"/>
      <c r="AN886" s="237"/>
      <c r="AO886" s="237"/>
      <c r="AP886" s="237" t="s">
        <v>504</v>
      </c>
      <c r="AQ886" s="237"/>
      <c r="AT886" s="48" t="str">
        <f t="shared" si="56"/>
        <v/>
      </c>
    </row>
    <row r="887" spans="1:54" ht="15" thickTop="1" thickBot="1" x14ac:dyDescent="0.35">
      <c r="A887" s="82"/>
      <c r="B887" s="251" t="s">
        <v>3795</v>
      </c>
      <c r="C887" s="252"/>
      <c r="D887" s="252"/>
      <c r="E887" s="82"/>
      <c r="F887" s="1"/>
      <c r="AC887" s="7">
        <f t="shared" si="54"/>
        <v>0</v>
      </c>
      <c r="AD887" s="220">
        <f t="shared" si="54"/>
        <v>0</v>
      </c>
      <c r="AE887" s="230">
        <f t="shared" si="54"/>
        <v>0</v>
      </c>
      <c r="AF887" s="233">
        <f t="shared" si="54"/>
        <v>0</v>
      </c>
      <c r="AG887" s="242">
        <f t="shared" si="54"/>
        <v>0</v>
      </c>
      <c r="AH887" s="52">
        <f t="shared" si="55"/>
        <v>0</v>
      </c>
      <c r="AL887" s="237" t="str">
        <f>IF(AND(C887&lt;&gt;"",AJ897&gt;=AH887),C887,"")</f>
        <v/>
      </c>
      <c r="AM887" s="237"/>
      <c r="AN887" s="237"/>
      <c r="AO887" s="237"/>
      <c r="AP887" s="237" t="s">
        <v>504</v>
      </c>
      <c r="AQ887" s="237"/>
      <c r="AT887" s="48" t="str">
        <f t="shared" si="56"/>
        <v/>
      </c>
    </row>
    <row r="888" spans="1:54" ht="5" customHeight="1" thickTop="1" x14ac:dyDescent="0.3">
      <c r="A888" s="82"/>
      <c r="B888" s="251"/>
      <c r="C888" s="82"/>
      <c r="D888" s="82"/>
      <c r="E888" s="82"/>
      <c r="F888" s="1"/>
    </row>
    <row r="889" spans="1:54" x14ac:dyDescent="0.3">
      <c r="A889" s="82"/>
      <c r="B889" s="82"/>
      <c r="C889" s="82"/>
      <c r="D889" s="82"/>
      <c r="E889" s="82"/>
      <c r="F889" s="1"/>
    </row>
    <row r="890" spans="1:54" ht="25" customHeight="1" x14ac:dyDescent="0.3">
      <c r="A890" s="82"/>
      <c r="B890" s="248" t="s">
        <v>508</v>
      </c>
      <c r="C890" s="248"/>
      <c r="D890" s="248"/>
      <c r="E890" s="82"/>
      <c r="F890" s="1"/>
      <c r="AC890" s="249" t="str">
        <f>B3180</f>
        <v>I don't seek it nor think about it much</v>
      </c>
      <c r="AD890" s="249" t="str">
        <f>B3181</f>
        <v>I desire it but feel it's unlikely to happen</v>
      </c>
      <c r="AE890" s="249" t="str">
        <f>B3182</f>
        <v>I hope it'll happen but I can do little about it now</v>
      </c>
      <c r="AF890" s="249" t="str">
        <f>B3183</f>
        <v>I struggle to make it happen but unsuccessfully</v>
      </c>
      <c r="AG890" s="249" t="str">
        <f>B3184</f>
        <v>I feel I've reached it but not maintained it</v>
      </c>
      <c r="AH890" s="249" t="str">
        <f>B3185</f>
        <v>I sense I can maintain it with help like this</v>
      </c>
      <c r="AI890" s="249" t="str">
        <f>B3186</f>
        <v>I maintain it without help like this</v>
      </c>
    </row>
    <row r="891" spans="1:54" ht="14.5" thickBot="1" x14ac:dyDescent="0.35">
      <c r="A891" s="82"/>
      <c r="B891" s="1039" t="s">
        <v>509</v>
      </c>
      <c r="C891" s="1039"/>
      <c r="D891" s="1039"/>
      <c r="E891" s="82"/>
      <c r="F891" s="1"/>
      <c r="AC891" s="48">
        <v>0</v>
      </c>
      <c r="AD891" s="48">
        <f t="shared" ref="AD891:AI891" si="57">AC891+1</f>
        <v>1</v>
      </c>
      <c r="AE891" s="48">
        <f t="shared" si="57"/>
        <v>2</v>
      </c>
      <c r="AF891" s="48">
        <f t="shared" si="57"/>
        <v>3</v>
      </c>
      <c r="AG891" s="48">
        <f t="shared" si="57"/>
        <v>4</v>
      </c>
      <c r="AH891" s="48">
        <f t="shared" si="57"/>
        <v>5</v>
      </c>
      <c r="AI891" s="48">
        <f t="shared" si="57"/>
        <v>6</v>
      </c>
      <c r="AJ891" s="250">
        <f>SUM(AJ892:AJ897)</f>
        <v>19</v>
      </c>
      <c r="AK891" s="48" t="str">
        <f>IF($AM$57="","this claimant",$C$57)</f>
        <v>this claimant</v>
      </c>
      <c r="AN891" s="48" t="s">
        <v>510</v>
      </c>
      <c r="AV891" s="48" t="str">
        <f>IF(AJ891&gt;0,"and other ","")</f>
        <v xml:space="preserve">and other </v>
      </c>
      <c r="AZ891" s="14" t="s">
        <v>511</v>
      </c>
      <c r="BB891" s="48"/>
    </row>
    <row r="892" spans="1:54" ht="15" thickTop="1" thickBot="1" x14ac:dyDescent="0.35">
      <c r="A892" s="82"/>
      <c r="B892" s="251" t="s">
        <v>3796</v>
      </c>
      <c r="C892" s="82"/>
      <c r="D892" s="253" t="s">
        <v>512</v>
      </c>
      <c r="E892" s="82"/>
      <c r="F892" s="1"/>
      <c r="AC892" s="7">
        <f t="shared" ref="AC892:AI897" si="58">IF($D892=AC$890,AC$891,0)</f>
        <v>0</v>
      </c>
      <c r="AD892" s="8">
        <f t="shared" si="58"/>
        <v>0</v>
      </c>
      <c r="AE892" s="220">
        <f t="shared" si="58"/>
        <v>0</v>
      </c>
      <c r="AF892" s="230">
        <f t="shared" si="58"/>
        <v>3</v>
      </c>
      <c r="AG892" s="49">
        <f t="shared" si="58"/>
        <v>0</v>
      </c>
      <c r="AH892" s="233">
        <f t="shared" si="58"/>
        <v>0</v>
      </c>
      <c r="AI892" s="242">
        <f t="shared" si="58"/>
        <v>0</v>
      </c>
      <c r="AJ892" s="52">
        <f t="shared" ref="AJ892:AJ897" si="59">MAX(AC892:AI892)</f>
        <v>3</v>
      </c>
      <c r="AL892" s="237" t="str">
        <f>IF(AND(AJ902&lt;=AJ892,AJ892&gt;0),B892,"")</f>
        <v>7) income independence</v>
      </c>
      <c r="AM892" s="237"/>
      <c r="AN892" s="237"/>
      <c r="AO892" s="237"/>
      <c r="AP892" s="237"/>
      <c r="AQ892" s="237"/>
      <c r="AR892" s="237"/>
      <c r="AS892" s="237"/>
      <c r="AT892" s="48" t="s">
        <v>513</v>
      </c>
      <c r="AV892" s="48" t="str">
        <f t="shared" ref="AV892:AV897" si="60">IF(AL892="","",CONCATENATE(AL892,AT892))</f>
        <v xml:space="preserve">7) income independence, </v>
      </c>
      <c r="BB892" s="48"/>
    </row>
    <row r="893" spans="1:54" ht="15" thickTop="1" thickBot="1" x14ac:dyDescent="0.35">
      <c r="A893" s="82"/>
      <c r="B893" s="251" t="s">
        <v>3797</v>
      </c>
      <c r="C893" s="82"/>
      <c r="D893" s="253" t="s">
        <v>514</v>
      </c>
      <c r="E893" s="82"/>
      <c r="F893" s="1"/>
      <c r="AC893" s="7">
        <f t="shared" si="58"/>
        <v>0</v>
      </c>
      <c r="AD893" s="8">
        <f t="shared" si="58"/>
        <v>0</v>
      </c>
      <c r="AE893" s="220">
        <f t="shared" si="58"/>
        <v>0</v>
      </c>
      <c r="AF893" s="230">
        <f t="shared" si="58"/>
        <v>0</v>
      </c>
      <c r="AG893" s="49">
        <f t="shared" si="58"/>
        <v>4</v>
      </c>
      <c r="AH893" s="233">
        <f t="shared" si="58"/>
        <v>0</v>
      </c>
      <c r="AI893" s="242">
        <f t="shared" si="58"/>
        <v>0</v>
      </c>
      <c r="AJ893" s="52">
        <f t="shared" si="59"/>
        <v>4</v>
      </c>
      <c r="AL893" s="237" t="str">
        <f>IF(AND(AJ903&lt;=AJ893,AJ893&gt;0),B893,"")</f>
        <v>8) maintaining healthy lifestyle</v>
      </c>
      <c r="AM893" s="237"/>
      <c r="AN893" s="237"/>
      <c r="AO893" s="237"/>
      <c r="AP893" s="237"/>
      <c r="AQ893" s="237"/>
      <c r="AR893" s="237"/>
      <c r="AS893" s="237"/>
      <c r="AT893" s="48" t="s">
        <v>513</v>
      </c>
      <c r="AV893" s="48" t="str">
        <f t="shared" si="60"/>
        <v xml:space="preserve">8) maintaining healthy lifestyle, </v>
      </c>
      <c r="BB893" s="48"/>
    </row>
    <row r="894" spans="1:54" ht="15" thickTop="1" thickBot="1" x14ac:dyDescent="0.35">
      <c r="A894" s="82"/>
      <c r="B894" s="251" t="s">
        <v>3798</v>
      </c>
      <c r="C894" s="82"/>
      <c r="D894" s="253" t="s">
        <v>515</v>
      </c>
      <c r="E894" s="82"/>
      <c r="F894" s="1"/>
      <c r="AC894" s="7">
        <f t="shared" si="58"/>
        <v>0</v>
      </c>
      <c r="AD894" s="8">
        <f t="shared" si="58"/>
        <v>0</v>
      </c>
      <c r="AE894" s="220">
        <f t="shared" si="58"/>
        <v>0</v>
      </c>
      <c r="AF894" s="230">
        <f t="shared" si="58"/>
        <v>0</v>
      </c>
      <c r="AG894" s="49">
        <f t="shared" si="58"/>
        <v>0</v>
      </c>
      <c r="AH894" s="233">
        <f t="shared" si="58"/>
        <v>0</v>
      </c>
      <c r="AI894" s="242">
        <f t="shared" si="58"/>
        <v>6</v>
      </c>
      <c r="AJ894" s="52">
        <f t="shared" si="59"/>
        <v>6</v>
      </c>
      <c r="AL894" s="237" t="str">
        <f>IF(AND(AJ904&lt;=AJ894,AJ894&gt;0),B894,"")</f>
        <v>9) overcoming depression &amp; anxiety</v>
      </c>
      <c r="AM894" s="237"/>
      <c r="AN894" s="237"/>
      <c r="AO894" s="237"/>
      <c r="AP894" s="237"/>
      <c r="AQ894" s="237"/>
      <c r="AR894" s="237"/>
      <c r="AS894" s="237"/>
      <c r="AT894" s="48" t="s">
        <v>513</v>
      </c>
      <c r="AV894" s="48" t="str">
        <f t="shared" si="60"/>
        <v xml:space="preserve">9) overcoming depression &amp; anxiety, </v>
      </c>
      <c r="BB894" s="48"/>
    </row>
    <row r="895" spans="1:54" ht="15" thickTop="1" thickBot="1" x14ac:dyDescent="0.35">
      <c r="A895" s="82"/>
      <c r="B895" s="251" t="s">
        <v>3799</v>
      </c>
      <c r="C895" s="82"/>
      <c r="D895" s="253" t="s">
        <v>515</v>
      </c>
      <c r="E895" s="82"/>
      <c r="F895" s="1"/>
      <c r="AC895" s="7">
        <f t="shared" si="58"/>
        <v>0</v>
      </c>
      <c r="AD895" s="8">
        <f t="shared" si="58"/>
        <v>0</v>
      </c>
      <c r="AE895" s="220">
        <f t="shared" si="58"/>
        <v>0</v>
      </c>
      <c r="AF895" s="230">
        <f t="shared" si="58"/>
        <v>0</v>
      </c>
      <c r="AG895" s="49">
        <f t="shared" si="58"/>
        <v>0</v>
      </c>
      <c r="AH895" s="233">
        <f t="shared" si="58"/>
        <v>0</v>
      </c>
      <c r="AI895" s="242">
        <f t="shared" si="58"/>
        <v>6</v>
      </c>
      <c r="AJ895" s="52">
        <f t="shared" si="59"/>
        <v>6</v>
      </c>
      <c r="AL895" s="237" t="str">
        <f>IF(AND(AJ907&lt;=AJ895,AJ895&gt;0),B895,"")</f>
        <v>10) restoring familiy ties</v>
      </c>
      <c r="AM895" s="237"/>
      <c r="AN895" s="237"/>
      <c r="AO895" s="237"/>
      <c r="AP895" s="237"/>
      <c r="AQ895" s="237"/>
      <c r="AR895" s="237"/>
      <c r="AS895" s="237"/>
      <c r="AT895" s="48" t="s">
        <v>513</v>
      </c>
      <c r="AV895" s="48" t="str">
        <f t="shared" si="60"/>
        <v xml:space="preserve">10) restoring familiy ties, </v>
      </c>
      <c r="BB895" s="48"/>
    </row>
    <row r="896" spans="1:54" ht="15" thickTop="1" thickBot="1" x14ac:dyDescent="0.35">
      <c r="A896" s="82"/>
      <c r="B896" s="251" t="s">
        <v>3800</v>
      </c>
      <c r="C896" s="82"/>
      <c r="D896" s="253" t="s">
        <v>516</v>
      </c>
      <c r="E896" s="82"/>
      <c r="F896" s="1"/>
      <c r="AC896" s="7">
        <f t="shared" si="58"/>
        <v>0</v>
      </c>
      <c r="AD896" s="8">
        <f t="shared" si="58"/>
        <v>0</v>
      </c>
      <c r="AE896" s="220">
        <f t="shared" si="58"/>
        <v>0</v>
      </c>
      <c r="AF896" s="230">
        <f t="shared" si="58"/>
        <v>0</v>
      </c>
      <c r="AG896" s="49">
        <f t="shared" si="58"/>
        <v>0</v>
      </c>
      <c r="AH896" s="233">
        <f t="shared" si="58"/>
        <v>0</v>
      </c>
      <c r="AI896" s="242">
        <f t="shared" si="58"/>
        <v>0</v>
      </c>
      <c r="AJ896" s="52">
        <f t="shared" si="59"/>
        <v>0</v>
      </c>
      <c r="AL896" s="237" t="str">
        <f>IF(AND(AJ908&lt;=AJ896,AJ896&gt;0),B896,"")</f>
        <v/>
      </c>
      <c r="AM896" s="237"/>
      <c r="AN896" s="237"/>
      <c r="AO896" s="237"/>
      <c r="AP896" s="237"/>
      <c r="AQ896" s="237"/>
      <c r="AR896" s="237"/>
      <c r="AS896" s="237"/>
      <c r="AT896" s="48" t="s">
        <v>513</v>
      </c>
      <c r="AV896" s="48" t="str">
        <f t="shared" si="60"/>
        <v/>
      </c>
      <c r="BB896" s="48"/>
    </row>
    <row r="897" spans="1:60" ht="15" thickTop="1" thickBot="1" x14ac:dyDescent="0.35">
      <c r="A897" s="82"/>
      <c r="B897" s="251" t="s">
        <v>3801</v>
      </c>
      <c r="C897" s="252"/>
      <c r="D897" s="253"/>
      <c r="E897" s="82"/>
      <c r="F897" s="1"/>
      <c r="AC897" s="7">
        <f t="shared" si="58"/>
        <v>0</v>
      </c>
      <c r="AD897" s="8">
        <f t="shared" si="58"/>
        <v>0</v>
      </c>
      <c r="AE897" s="220">
        <f t="shared" si="58"/>
        <v>0</v>
      </c>
      <c r="AF897" s="230">
        <f t="shared" si="58"/>
        <v>0</v>
      </c>
      <c r="AG897" s="49">
        <f t="shared" si="58"/>
        <v>0</v>
      </c>
      <c r="AH897" s="233">
        <f t="shared" si="58"/>
        <v>0</v>
      </c>
      <c r="AI897" s="242">
        <f t="shared" si="58"/>
        <v>0</v>
      </c>
      <c r="AJ897" s="52">
        <f t="shared" si="59"/>
        <v>0</v>
      </c>
      <c r="AL897" s="237" t="str">
        <f>IF(AND(AJ909&lt;=AJ897,AJ897&gt;0),C897,"")</f>
        <v/>
      </c>
      <c r="AM897" s="237"/>
      <c r="AN897" s="237"/>
      <c r="AO897" s="237"/>
      <c r="AP897" s="237"/>
      <c r="AQ897" s="237"/>
      <c r="AR897" s="237"/>
      <c r="AS897" s="237"/>
      <c r="AT897" s="48" t="s">
        <v>513</v>
      </c>
      <c r="AV897" s="48" t="str">
        <f t="shared" si="60"/>
        <v/>
      </c>
      <c r="BB897" s="48"/>
    </row>
    <row r="898" spans="1:60" ht="5" customHeight="1" thickTop="1" x14ac:dyDescent="0.3">
      <c r="A898" s="82"/>
      <c r="B898" s="251"/>
      <c r="C898" s="82"/>
      <c r="D898" s="82"/>
      <c r="E898" s="82"/>
      <c r="F898" s="1"/>
    </row>
    <row r="899" spans="1:60" ht="15" customHeight="1" thickBot="1" x14ac:dyDescent="0.35">
      <c r="A899" s="82"/>
      <c r="B899" s="230" t="s">
        <v>517</v>
      </c>
      <c r="C899" s="230"/>
      <c r="D899" s="230"/>
      <c r="E899" s="82"/>
      <c r="F899" s="1"/>
      <c r="AK899" s="48" t="s">
        <v>518</v>
      </c>
      <c r="AR899" s="48" t="s">
        <v>519</v>
      </c>
      <c r="BA899" s="48" t="str">
        <f>AK891</f>
        <v>this claimant</v>
      </c>
      <c r="BB899" s="48"/>
      <c r="BD899" s="254" t="s">
        <v>494</v>
      </c>
    </row>
    <row r="900" spans="1:60" ht="28" customHeight="1" thickTop="1" thickBot="1" x14ac:dyDescent="0.35">
      <c r="A900" s="82"/>
      <c r="B900" s="1040"/>
      <c r="C900" s="1041"/>
      <c r="D900" s="1042"/>
      <c r="E900" s="82"/>
      <c r="F900" s="1"/>
      <c r="AC900" s="1043" t="str">
        <f>CONCATENATE(AK881,AT882,AT883,AT884,AT885,AT886,AT887,AR881,AU881,AK891,AN891,AV892,AV893,AV894,AV895,AV896,AV891,AZ891,AK899,AR899,BA899,BD899)</f>
        <v xml:space="preserve">Despite challenging 1) economic needs, and other needs, this claimant aspires toward 7) income independence, 8) maintaining healthy lifestyle, 9) overcoming depression &amp; anxiety, 10) restoring familiy ties, and other life improvements. Removing illicit discrimination will go a long way toward improving this claimant's life. </v>
      </c>
      <c r="AD900" s="1044"/>
      <c r="AE900" s="1044"/>
      <c r="AF900" s="1044"/>
      <c r="AG900" s="1044"/>
      <c r="AH900" s="1044"/>
      <c r="AI900" s="1044"/>
      <c r="AJ900" s="1044"/>
      <c r="AK900" s="1044"/>
      <c r="AL900" s="1044"/>
      <c r="AM900" s="1044"/>
      <c r="AN900" s="1044"/>
      <c r="AO900" s="1044"/>
      <c r="AP900" s="1044"/>
      <c r="AQ900" s="1044"/>
      <c r="AR900" s="1044"/>
      <c r="AS900" s="1044"/>
      <c r="AT900" s="1044"/>
      <c r="AU900" s="1044"/>
      <c r="AV900" s="1044"/>
      <c r="AW900" s="1044"/>
      <c r="AX900" s="1044"/>
      <c r="AY900" s="1044"/>
      <c r="AZ900" s="1044"/>
      <c r="BA900" s="1044"/>
      <c r="BB900" s="1044"/>
      <c r="BC900" s="1044"/>
      <c r="BD900" s="1044"/>
      <c r="BE900" s="1044"/>
      <c r="BF900" s="1044"/>
      <c r="BG900" s="1044"/>
      <c r="BH900" s="1044"/>
    </row>
    <row r="901" spans="1:60" ht="10" customHeight="1" thickTop="1" x14ac:dyDescent="0.3">
      <c r="A901" s="82"/>
      <c r="B901" s="82"/>
      <c r="C901" s="82"/>
      <c r="D901" s="82"/>
      <c r="E901" s="82"/>
      <c r="F901" s="1"/>
    </row>
    <row r="902" spans="1:60" ht="15" customHeight="1" x14ac:dyDescent="0.3">
      <c r="A902" s="226"/>
      <c r="B902" s="82"/>
      <c r="C902" s="82"/>
      <c r="D902" s="82"/>
      <c r="E902" s="82"/>
      <c r="F902" s="1"/>
    </row>
    <row r="903" spans="1:60" ht="30" customHeight="1" x14ac:dyDescent="0.3">
      <c r="A903" s="40" t="s">
        <v>86</v>
      </c>
      <c r="B903" s="40" t="s">
        <v>520</v>
      </c>
      <c r="C903" s="40"/>
      <c r="D903" s="39"/>
      <c r="E903" s="436"/>
      <c r="F903" s="436" t="s">
        <v>869</v>
      </c>
    </row>
    <row r="904" spans="1:60" s="23" customFormat="1" ht="30" customHeight="1" x14ac:dyDescent="0.35">
      <c r="A904" s="41"/>
      <c r="B904" s="1045" t="s">
        <v>521</v>
      </c>
      <c r="C904" s="1045"/>
      <c r="D904" s="1045"/>
      <c r="E904" s="42"/>
      <c r="F904" s="97"/>
      <c r="G904" s="222"/>
      <c r="H904" s="222"/>
      <c r="I904" s="222"/>
      <c r="J904" s="222"/>
      <c r="K904" s="222"/>
      <c r="L904" s="222"/>
      <c r="M904" s="222"/>
      <c r="N904" s="222"/>
      <c r="O904" s="222"/>
      <c r="P904" s="222"/>
      <c r="Q904" s="222"/>
      <c r="R904" s="222"/>
      <c r="S904" s="222"/>
      <c r="T904" s="222"/>
      <c r="U904" s="222"/>
      <c r="V904" s="222"/>
      <c r="W904" s="222"/>
      <c r="X904" s="222"/>
      <c r="Y904" s="222"/>
      <c r="Z904" s="222"/>
      <c r="BB904" s="255"/>
    </row>
    <row r="905" spans="1:60" s="23" customFormat="1" ht="30" customHeight="1" x14ac:dyDescent="0.35">
      <c r="A905" s="41"/>
      <c r="B905" s="1045" t="s">
        <v>522</v>
      </c>
      <c r="C905" s="1045"/>
      <c r="D905" s="1045"/>
      <c r="E905" s="42"/>
      <c r="F905" s="97"/>
      <c r="G905" s="222"/>
      <c r="H905" s="222"/>
      <c r="I905" s="222"/>
      <c r="J905" s="222"/>
      <c r="K905" s="222"/>
      <c r="L905" s="222"/>
      <c r="M905" s="222"/>
      <c r="N905" s="222"/>
      <c r="O905" s="222"/>
      <c r="P905" s="222"/>
      <c r="Q905" s="222"/>
      <c r="R905" s="222"/>
      <c r="S905" s="222"/>
      <c r="T905" s="222"/>
      <c r="U905" s="222"/>
      <c r="V905" s="222"/>
      <c r="W905" s="222"/>
      <c r="X905" s="222"/>
      <c r="Y905" s="222"/>
      <c r="Z905" s="222"/>
      <c r="BB905" s="255"/>
    </row>
    <row r="906" spans="1:60" s="23" customFormat="1" ht="10" customHeight="1" x14ac:dyDescent="0.3">
      <c r="A906" s="256"/>
      <c r="B906" s="256"/>
      <c r="C906" s="256"/>
      <c r="D906" s="256"/>
      <c r="E906" s="96"/>
      <c r="F906" s="1"/>
      <c r="G906" s="222"/>
      <c r="H906" s="222"/>
      <c r="I906" s="222"/>
      <c r="J906" s="222"/>
      <c r="K906" s="222"/>
      <c r="L906" s="222"/>
      <c r="M906" s="222"/>
      <c r="N906" s="222"/>
      <c r="O906" s="222"/>
      <c r="P906" s="222"/>
      <c r="Q906" s="222"/>
      <c r="R906" s="222"/>
      <c r="S906" s="222"/>
      <c r="T906" s="222"/>
      <c r="U906" s="222"/>
      <c r="V906" s="222"/>
      <c r="W906" s="222"/>
      <c r="X906" s="222"/>
      <c r="Y906" s="222"/>
      <c r="Z906" s="222"/>
      <c r="BB906" s="255"/>
    </row>
    <row r="907" spans="1:60" ht="15.5" x14ac:dyDescent="0.3">
      <c r="A907" s="256">
        <f>A877+1</f>
        <v>67</v>
      </c>
      <c r="B907" s="256" t="s">
        <v>523</v>
      </c>
      <c r="C907" s="256"/>
      <c r="D907" s="256"/>
      <c r="E907" s="96"/>
      <c r="F907" s="1"/>
    </row>
    <row r="908" spans="1:60" ht="35" customHeight="1" x14ac:dyDescent="0.3">
      <c r="A908" s="257"/>
      <c r="B908" s="1056" t="s">
        <v>3777</v>
      </c>
      <c r="C908" s="1056"/>
      <c r="D908" s="1056"/>
      <c r="E908" s="96"/>
      <c r="F908" s="1"/>
    </row>
    <row r="909" spans="1:60" ht="75" customHeight="1" x14ac:dyDescent="0.3">
      <c r="A909" s="257"/>
      <c r="B909" s="1057" t="str">
        <f>AF909</f>
        <v>Asexual person comes out as transgender in early 90s, gets falsely accused as being a “sexual predator” homophobic stereotype. Convicted without evidence. Must register as sex offender for life. Forced into poverty and homelessness.</v>
      </c>
      <c r="C909" s="1057"/>
      <c r="D909" s="1057"/>
      <c r="E909" s="96"/>
      <c r="F909" s="1"/>
      <c r="AA909" s="48">
        <f>AA779+1</f>
        <v>45</v>
      </c>
      <c r="AB909" s="849">
        <f>IF(OR(B909="",B909=AF909),0,1)</f>
        <v>0</v>
      </c>
      <c r="AF909" s="48" t="s">
        <v>524</v>
      </c>
    </row>
    <row r="910" spans="1:60" ht="10" customHeight="1" x14ac:dyDescent="0.3">
      <c r="A910" s="257"/>
      <c r="B910" s="96"/>
      <c r="C910" s="96"/>
      <c r="D910" s="96"/>
      <c r="E910" s="96"/>
      <c r="F910" s="1"/>
    </row>
    <row r="911" spans="1:60" ht="15.65" customHeight="1" x14ac:dyDescent="0.3">
      <c r="A911" s="256">
        <f>A907+1</f>
        <v>68</v>
      </c>
      <c r="B911" s="256" t="s">
        <v>525</v>
      </c>
      <c r="C911" s="256"/>
      <c r="D911" s="256"/>
      <c r="E911" s="96"/>
      <c r="F911" s="1"/>
    </row>
    <row r="912" spans="1:60" ht="35" customHeight="1" x14ac:dyDescent="0.3">
      <c r="A912" s="257"/>
      <c r="B912" s="1058" t="s">
        <v>3778</v>
      </c>
      <c r="C912" s="1058"/>
      <c r="D912" s="1058"/>
      <c r="E912" s="96"/>
      <c r="F912" s="1"/>
    </row>
    <row r="913" spans="1:44" ht="20" customHeight="1" thickBot="1" x14ac:dyDescent="0.35">
      <c r="A913" s="257"/>
      <c r="B913" s="258" t="s">
        <v>526</v>
      </c>
      <c r="C913" s="1171" t="str">
        <f t="shared" ref="C913:C920" si="61">IF(AG913="","",AG913)</f>
        <v>No criminal history</v>
      </c>
      <c r="D913" s="1171"/>
      <c r="E913" s="96"/>
      <c r="F913" s="1"/>
      <c r="AA913" s="48">
        <f>AA909+1</f>
        <v>46</v>
      </c>
      <c r="AB913" s="849">
        <f>IF(OR(C913="",C913=AG913),0,1)</f>
        <v>0</v>
      </c>
      <c r="AE913" s="48">
        <v>1</v>
      </c>
      <c r="AG913" s="48" t="s">
        <v>376</v>
      </c>
      <c r="AM913" s="48" t="s">
        <v>527</v>
      </c>
      <c r="AR913" s="48" t="str">
        <f>AG913</f>
        <v>No criminal history</v>
      </c>
    </row>
    <row r="914" spans="1:44" ht="20" customHeight="1" thickBot="1" x14ac:dyDescent="0.35">
      <c r="A914" s="257"/>
      <c r="B914" s="258" t="s">
        <v>528</v>
      </c>
      <c r="C914" s="1170" t="str">
        <f t="shared" si="61"/>
        <v>Consistently maintained innocence, took no plea deals</v>
      </c>
      <c r="D914" s="1170"/>
      <c r="E914" s="96"/>
      <c r="F914" s="1"/>
      <c r="AA914" s="48">
        <f>AA913+1</f>
        <v>47</v>
      </c>
      <c r="AB914" s="849">
        <f t="shared" ref="AB914:AB920" si="62">IF(OR(C914="",C914=AG914),0,1)</f>
        <v>0</v>
      </c>
      <c r="AE914" s="48">
        <v>2</v>
      </c>
      <c r="AG914" s="4" t="s">
        <v>529</v>
      </c>
      <c r="AR914" s="48" t="str">
        <f t="shared" ref="AR914:AR920" si="63">AG914</f>
        <v>Consistently maintained innocence, took no plea deals</v>
      </c>
    </row>
    <row r="915" spans="1:44" ht="20" customHeight="1" thickBot="1" x14ac:dyDescent="0.35">
      <c r="A915" s="257"/>
      <c r="B915" s="258" t="s">
        <v>530</v>
      </c>
      <c r="C915" s="1170" t="str">
        <f t="shared" si="61"/>
        <v>Transphobic investigation and prosecution</v>
      </c>
      <c r="D915" s="1170"/>
      <c r="E915" s="96"/>
      <c r="F915" s="1"/>
      <c r="AA915" s="48">
        <f t="shared" ref="AA915:AA920" si="64">AA914+1</f>
        <v>48</v>
      </c>
      <c r="AB915" s="849">
        <f t="shared" si="62"/>
        <v>0</v>
      </c>
      <c r="AE915" s="48">
        <v>3</v>
      </c>
      <c r="AG915" s="4" t="s">
        <v>531</v>
      </c>
      <c r="AH915" s="4"/>
      <c r="AR915" s="48" t="str">
        <f t="shared" si="63"/>
        <v>Transphobic investigation and prosecution</v>
      </c>
    </row>
    <row r="916" spans="1:44" ht="20" customHeight="1" thickBot="1" x14ac:dyDescent="0.35">
      <c r="A916" s="257"/>
      <c r="B916" s="258" t="s">
        <v>532</v>
      </c>
      <c r="C916" s="1170" t="str">
        <f t="shared" si="61"/>
        <v>Convicted without corroborating evidence</v>
      </c>
      <c r="D916" s="1170"/>
      <c r="E916" s="96"/>
      <c r="F916" s="1"/>
      <c r="AA916" s="48">
        <f t="shared" si="64"/>
        <v>49</v>
      </c>
      <c r="AB916" s="849">
        <f t="shared" si="62"/>
        <v>0</v>
      </c>
      <c r="AE916" s="48">
        <v>4</v>
      </c>
      <c r="AG916" s="4" t="s">
        <v>533</v>
      </c>
      <c r="AH916" s="4"/>
      <c r="AR916" s="48" t="str">
        <f t="shared" si="63"/>
        <v>Convicted without corroborating evidence</v>
      </c>
    </row>
    <row r="917" spans="1:44" ht="20" customHeight="1" thickBot="1" x14ac:dyDescent="0.35">
      <c r="A917" s="257"/>
      <c r="B917" s="258" t="s">
        <v>534</v>
      </c>
      <c r="C917" s="1170" t="str">
        <f t="shared" si="61"/>
        <v>Climate of sex abuse hysteria</v>
      </c>
      <c r="D917" s="1170"/>
      <c r="E917" s="96"/>
      <c r="F917" s="1"/>
      <c r="AA917" s="48">
        <f t="shared" si="64"/>
        <v>50</v>
      </c>
      <c r="AB917" s="849">
        <f t="shared" si="62"/>
        <v>0</v>
      </c>
      <c r="AE917" s="48">
        <v>5</v>
      </c>
      <c r="AG917" s="4" t="s">
        <v>535</v>
      </c>
      <c r="AH917" s="4"/>
      <c r="AR917" s="48" t="str">
        <f t="shared" si="63"/>
        <v>Climate of sex abuse hysteria</v>
      </c>
    </row>
    <row r="918" spans="1:44" ht="20" customHeight="1" thickBot="1" x14ac:dyDescent="0.35">
      <c r="A918" s="257"/>
      <c r="B918" s="258" t="s">
        <v>536</v>
      </c>
      <c r="C918" s="1170" t="str">
        <f t="shared" si="61"/>
        <v>Media sensationalized coverage</v>
      </c>
      <c r="D918" s="1170"/>
      <c r="E918" s="96"/>
      <c r="F918" s="1"/>
      <c r="AA918" s="48">
        <f t="shared" si="64"/>
        <v>51</v>
      </c>
      <c r="AB918" s="849">
        <f t="shared" si="62"/>
        <v>0</v>
      </c>
      <c r="AE918" s="48">
        <v>6</v>
      </c>
      <c r="AG918" s="4" t="s">
        <v>537</v>
      </c>
      <c r="AH918" s="4"/>
      <c r="AR918" s="48" t="str">
        <f t="shared" si="63"/>
        <v>Media sensationalized coverage</v>
      </c>
    </row>
    <row r="919" spans="1:44" ht="20" customHeight="1" thickBot="1" x14ac:dyDescent="0.35">
      <c r="A919" s="257"/>
      <c r="B919" s="258" t="s">
        <v>538</v>
      </c>
      <c r="C919" s="1170" t="str">
        <f t="shared" si="61"/>
        <v>Exculpatory evidence overlooked with untested DNA</v>
      </c>
      <c r="D919" s="1170"/>
      <c r="E919" s="96"/>
      <c r="F919" s="1"/>
      <c r="AA919" s="48">
        <f t="shared" si="64"/>
        <v>52</v>
      </c>
      <c r="AB919" s="849">
        <f t="shared" si="62"/>
        <v>0</v>
      </c>
      <c r="AE919" s="48">
        <v>7</v>
      </c>
      <c r="AG919" s="4" t="s">
        <v>539</v>
      </c>
      <c r="AH919" s="4"/>
      <c r="AR919" s="48" t="str">
        <f t="shared" si="63"/>
        <v>Exculpatory evidence overlooked with untested DNA</v>
      </c>
    </row>
    <row r="920" spans="1:44" ht="20" customHeight="1" thickBot="1" x14ac:dyDescent="0.35">
      <c r="A920" s="257"/>
      <c r="B920" s="258" t="s">
        <v>540</v>
      </c>
      <c r="C920" s="1170" t="str">
        <f t="shared" si="61"/>
        <v>Asexual transperson must register for life as "sex offender"</v>
      </c>
      <c r="D920" s="1170"/>
      <c r="E920" s="96"/>
      <c r="F920" s="1"/>
      <c r="AA920" s="48">
        <f t="shared" si="64"/>
        <v>53</v>
      </c>
      <c r="AB920" s="849">
        <f t="shared" si="62"/>
        <v>0</v>
      </c>
      <c r="AE920" s="48">
        <v>8</v>
      </c>
      <c r="AG920" s="4" t="s">
        <v>541</v>
      </c>
      <c r="AH920" s="4"/>
      <c r="AR920" s="48" t="str">
        <f t="shared" si="63"/>
        <v>Asexual transperson must register for life as "sex offender"</v>
      </c>
    </row>
    <row r="921" spans="1:44" ht="20" customHeight="1" x14ac:dyDescent="0.3">
      <c r="A921" s="257"/>
      <c r="B921" s="258"/>
      <c r="C921" s="258"/>
      <c r="D921" s="258"/>
      <c r="E921" s="96"/>
      <c r="F921" s="1"/>
      <c r="AG921" s="4" t="s">
        <v>3579</v>
      </c>
      <c r="AH921" s="4"/>
    </row>
    <row r="922" spans="1:44" ht="20" customHeight="1" thickBot="1" x14ac:dyDescent="0.35">
      <c r="A922" s="257"/>
      <c r="B922" s="615" t="s">
        <v>3985</v>
      </c>
      <c r="C922" s="1171" t="str">
        <f>AG922</f>
        <v>Asexual transperson registered for life as a sex offender</v>
      </c>
      <c r="D922" s="1171"/>
      <c r="E922" s="96"/>
      <c r="F922" s="1"/>
      <c r="AA922" s="48">
        <f>AA920+1</f>
        <v>54</v>
      </c>
      <c r="AB922" s="849">
        <f>IF(OR(C922="",C922=AG921),0,1)</f>
        <v>1</v>
      </c>
      <c r="AE922" s="351" t="s">
        <v>3577</v>
      </c>
      <c r="AG922" s="4" t="s">
        <v>3578</v>
      </c>
      <c r="AH922" s="4"/>
      <c r="AR922" s="48" t="str">
        <f t="shared" ref="AR922" si="65">CONCATENATE(B922,AM$913)</f>
        <v>Tagline will display here</v>
      </c>
    </row>
    <row r="923" spans="1:44" ht="15" customHeight="1" x14ac:dyDescent="0.3">
      <c r="A923" s="257"/>
      <c r="B923" s="257"/>
      <c r="C923" s="257"/>
      <c r="D923" s="257"/>
      <c r="E923" s="257"/>
      <c r="F923" s="1"/>
    </row>
    <row r="924" spans="1:44" ht="15" customHeight="1" x14ac:dyDescent="0.3">
      <c r="A924" s="256">
        <f>A911+1</f>
        <v>69</v>
      </c>
      <c r="B924" s="256" t="s">
        <v>542</v>
      </c>
      <c r="C924" s="257"/>
      <c r="D924" s="257"/>
      <c r="E924" s="257"/>
      <c r="F924" s="1"/>
    </row>
    <row r="925" spans="1:44" ht="30" customHeight="1" x14ac:dyDescent="0.3">
      <c r="A925" s="257"/>
      <c r="B925" s="1058" t="s">
        <v>3779</v>
      </c>
      <c r="C925" s="1058"/>
      <c r="D925" s="1058"/>
      <c r="E925" s="257"/>
      <c r="F925" s="1"/>
    </row>
    <row r="926" spans="1:44" ht="108" customHeight="1" x14ac:dyDescent="0.3">
      <c r="A926" s="257"/>
      <c r="B926" s="1057" t="str">
        <f>AG926</f>
        <v>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C926" s="1057"/>
      <c r="D926" s="1057"/>
      <c r="E926" s="257"/>
      <c r="F926" s="1"/>
      <c r="AA926" s="48">
        <f>AA922+1</f>
        <v>55</v>
      </c>
      <c r="AB926" s="849">
        <f>IF(B926="",0,1)</f>
        <v>1</v>
      </c>
      <c r="AG926" s="48" t="s">
        <v>543</v>
      </c>
    </row>
    <row r="927" spans="1:44" ht="15" customHeight="1" x14ac:dyDescent="0.3">
      <c r="A927" s="257"/>
      <c r="B927" s="96"/>
      <c r="C927" s="96"/>
      <c r="D927" s="96"/>
      <c r="E927" s="96"/>
      <c r="F927" s="1"/>
    </row>
    <row r="928" spans="1:44" ht="15.65" customHeight="1" x14ac:dyDescent="0.3">
      <c r="A928" s="256">
        <f>A924+1</f>
        <v>70</v>
      </c>
      <c r="B928" s="256" t="s">
        <v>544</v>
      </c>
      <c r="C928" s="256"/>
      <c r="D928" s="256"/>
      <c r="E928" s="96"/>
      <c r="F928" s="1"/>
    </row>
    <row r="929" spans="1:37" ht="45" customHeight="1" x14ac:dyDescent="0.3">
      <c r="A929" s="257"/>
      <c r="B929" s="1056" t="s">
        <v>545</v>
      </c>
      <c r="C929" s="1056"/>
      <c r="D929" s="1056"/>
      <c r="E929" s="96"/>
      <c r="F929" s="1"/>
    </row>
    <row r="930" spans="1:37" ht="17" customHeight="1" x14ac:dyDescent="0.3">
      <c r="A930" s="257"/>
      <c r="B930" s="259" t="s">
        <v>546</v>
      </c>
      <c r="C930" s="260"/>
      <c r="D930" s="260"/>
      <c r="E930" s="96"/>
      <c r="F930" s="1"/>
    </row>
    <row r="931" spans="1:37" ht="17" customHeight="1" x14ac:dyDescent="0.3">
      <c r="A931" s="257"/>
      <c r="B931" s="1056" t="s">
        <v>547</v>
      </c>
      <c r="C931" s="1056"/>
      <c r="D931" s="1056"/>
      <c r="E931" s="96"/>
      <c r="F931" s="1"/>
    </row>
    <row r="932" spans="1:37" ht="17" customHeight="1" x14ac:dyDescent="0.3">
      <c r="A932" s="257"/>
      <c r="B932" s="1056" t="s">
        <v>548</v>
      </c>
      <c r="C932" s="1056"/>
      <c r="D932" s="1056"/>
      <c r="E932" s="96"/>
      <c r="F932" s="1"/>
    </row>
    <row r="933" spans="1:37" ht="17" customHeight="1" x14ac:dyDescent="0.3">
      <c r="A933" s="257"/>
      <c r="B933" s="1056" t="s">
        <v>549</v>
      </c>
      <c r="C933" s="1056"/>
      <c r="D933" s="1056"/>
      <c r="E933" s="96"/>
      <c r="F933" s="1"/>
    </row>
    <row r="934" spans="1:37" ht="17" customHeight="1" x14ac:dyDescent="0.3">
      <c r="A934" s="257"/>
      <c r="B934" s="1056" t="s">
        <v>5490</v>
      </c>
      <c r="C934" s="1056"/>
      <c r="D934" s="1056"/>
      <c r="E934" s="96"/>
      <c r="F934" s="1"/>
    </row>
    <row r="935" spans="1:37" ht="400" customHeight="1" x14ac:dyDescent="0.3">
      <c r="A935" s="257"/>
      <c r="B935" s="1060" t="str">
        <f>_Hlk528272347</f>
        <v>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
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
A neighborhood child drew curious, peeping into Janet’s window to gawk at what she called the "man with lipstick." When caught not being home on time, the child leveled bizarre claims of sex abuse unbecoming from a child. Exposed to porn?
The child then dragged Steph into her transphobic-indoctrinated accusations. The child claimed Steph posed with her as if she, the young child, was stabbing Steph in the chest with a jelly stained butter knife. She claimed this was to scare her from talking to police, that we would say she was the aggressor. Unbelievable? Not if you already believe trans people are subhuman.
Child testimonies back then were often coached. Trans people were easily vilified. Since no corroborating evidence was necessary back then to convict for sexual misconduct, both transwomen were wrongly convicted and sentenced to long terms in men’s prisons, where Steph’s codefendant transgender sibling died in 2001.
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v>
      </c>
      <c r="C935" s="1060"/>
      <c r="D935" s="1060"/>
      <c r="E935" s="96"/>
      <c r="F935" s="1"/>
      <c r="AA935" s="48">
        <f>AA926+1</f>
        <v>56</v>
      </c>
      <c r="AB935" s="849">
        <f>IF(B935="",0,1)</f>
        <v>1</v>
      </c>
      <c r="AF935" s="261" t="s">
        <v>550</v>
      </c>
      <c r="AI935" s="261" t="s">
        <v>551</v>
      </c>
    </row>
    <row r="936" spans="1:37" ht="5" customHeight="1" x14ac:dyDescent="0.3">
      <c r="A936" s="257"/>
      <c r="B936" s="1060"/>
      <c r="C936" s="1060"/>
      <c r="D936" s="1060"/>
      <c r="E936" s="96"/>
      <c r="F936" s="1"/>
    </row>
    <row r="937" spans="1:37" x14ac:dyDescent="0.3">
      <c r="A937" s="257"/>
      <c r="B937" s="1060"/>
      <c r="C937" s="1060"/>
      <c r="D937" s="1060"/>
      <c r="E937" s="257"/>
      <c r="F937" s="1"/>
    </row>
    <row r="938" spans="1:37" x14ac:dyDescent="0.3">
      <c r="A938" s="257"/>
      <c r="B938" s="1060"/>
      <c r="C938" s="1060"/>
      <c r="D938" s="1060"/>
      <c r="E938" s="96"/>
      <c r="F938" s="1"/>
    </row>
    <row r="939" spans="1:37" x14ac:dyDescent="0.3">
      <c r="A939" s="257"/>
      <c r="B939" s="1060"/>
      <c r="C939" s="1060"/>
      <c r="D939" s="1060"/>
      <c r="E939" s="96"/>
      <c r="F939" s="1"/>
    </row>
    <row r="940" spans="1:37" x14ac:dyDescent="0.3">
      <c r="A940" s="257"/>
      <c r="B940" s="1060"/>
      <c r="C940" s="1060"/>
      <c r="D940" s="1060"/>
      <c r="E940" s="96"/>
      <c r="F940" s="1"/>
    </row>
    <row r="941" spans="1:37" x14ac:dyDescent="0.3">
      <c r="A941" s="257"/>
      <c r="B941" s="1060"/>
      <c r="C941" s="1060"/>
      <c r="D941" s="1060"/>
      <c r="E941" s="257"/>
      <c r="F941" s="1"/>
    </row>
    <row r="942" spans="1:37" ht="15.5" x14ac:dyDescent="0.3">
      <c r="A942" s="256"/>
      <c r="B942" s="1060"/>
      <c r="C942" s="1060"/>
      <c r="D942" s="1060"/>
      <c r="E942" s="96"/>
      <c r="F942" s="1"/>
    </row>
    <row r="943" spans="1:37" ht="17" customHeight="1" x14ac:dyDescent="0.3">
      <c r="A943" s="257"/>
      <c r="B943" s="1060"/>
      <c r="C943" s="1060"/>
      <c r="D943" s="1060"/>
      <c r="E943" s="257"/>
      <c r="F943" s="1"/>
    </row>
    <row r="944" spans="1:37" x14ac:dyDescent="0.3">
      <c r="A944" s="257"/>
      <c r="B944" s="96" t="str">
        <f>AK944</f>
        <v>This completes the form. The remaining pages give you added information and an advocacy option.</v>
      </c>
      <c r="C944" s="96"/>
      <c r="D944" s="96"/>
      <c r="E944" s="96"/>
      <c r="F944" s="1"/>
      <c r="AA944" s="48">
        <f>AA935</f>
        <v>56</v>
      </c>
      <c r="AB944" s="852">
        <f>AB525+AB530+AB536+AB541+AB547+AB552+AB560+AB570+AB576+AB581+AB586+AB594+AB599+AB604+AB610+AB615+AB620+AB628+AB633+AB638+AB644+AB654+AB662+AB667+AB672+AB678+AB683+AB688+AB694+AB710+AB715+AB720+AB726+AB731+AB736+AB741+AB749+AB759+AB764+AB769+AB774+AB779+AB909+AB913+AB914+AB915+AB922+AB926+AB935</f>
        <v>45</v>
      </c>
      <c r="AC944" s="852">
        <f>AC525+AC530+AC536+AC541+AC547+AC552+AC560+AC570+AC576+AC581+AC586+AC594+AC599+AC604+AC610+AC615+AC620+AC628+AC633+AC638+AC644+AC654+AC662+AC667+AC672+AC678+AC683+AC688+AC694+AC710+AC715+AC720+AC726+AC731+AC736+AC741+AC749+AC759+AC764+AC769+AC774+AC779+AC909+AC913+AC914+AC915+AC922+AC926+AC935</f>
        <v>20</v>
      </c>
      <c r="AE944" s="851">
        <f>AE525+AE530+AE536+AE541+AE547+AE552+AE560+AE570+AE576+AE581+AE586+AE594+AE599+AE604+AE610+AE615+AE620+AE628+AE633+AE638+AE644+AE654+AE662+AE667+AE672+AE678+AE683+AE688+AE694+AE710+AE715+AE720+AE726+AE731+AE736+AE741+AE749+AE759+AE764+AE769+AE774+AE779</f>
        <v>0</v>
      </c>
      <c r="AK944" s="48" t="s">
        <v>5463</v>
      </c>
    </row>
    <row r="945" spans="1:54" ht="10" customHeight="1" x14ac:dyDescent="0.3">
      <c r="A945" s="257"/>
      <c r="B945" s="96"/>
      <c r="C945" s="96"/>
      <c r="D945" s="96"/>
      <c r="E945" s="96"/>
      <c r="F945" s="1"/>
    </row>
    <row r="946" spans="1:54" ht="30" hidden="1" customHeight="1" x14ac:dyDescent="0.3">
      <c r="A946" s="39" t="s">
        <v>88</v>
      </c>
      <c r="B946" s="40" t="s">
        <v>552</v>
      </c>
      <c r="C946" s="39"/>
      <c r="D946" s="39"/>
      <c r="E946" s="39"/>
      <c r="F946" s="39"/>
      <c r="BB946" s="48"/>
    </row>
    <row r="947" spans="1:54" ht="65" hidden="1" customHeight="1" x14ac:dyDescent="0.3">
      <c r="A947" s="41"/>
      <c r="B947" s="1016" t="s">
        <v>553</v>
      </c>
      <c r="C947" s="1016"/>
      <c r="D947" s="1016"/>
      <c r="E947" s="42"/>
      <c r="F947" s="97"/>
      <c r="AO947" s="1061" t="s">
        <v>554</v>
      </c>
      <c r="AP947" s="1061"/>
      <c r="AQ947" s="1061"/>
      <c r="BB947" s="48"/>
    </row>
    <row r="948" spans="1:54" ht="5" hidden="1" customHeight="1" x14ac:dyDescent="0.3">
      <c r="A948" s="237"/>
      <c r="B948" s="237"/>
      <c r="C948" s="237"/>
      <c r="D948" s="237"/>
      <c r="E948" s="237"/>
      <c r="F948" s="1"/>
      <c r="BB948" s="48"/>
    </row>
    <row r="949" spans="1:54" ht="25" hidden="1" customHeight="1" x14ac:dyDescent="0.3">
      <c r="A949" s="237"/>
      <c r="B949" s="248" t="s">
        <v>555</v>
      </c>
      <c r="C949" s="248"/>
      <c r="D949" s="248"/>
      <c r="E949" s="237"/>
      <c r="F949" s="1"/>
    </row>
    <row r="950" spans="1:54" ht="35" hidden="1" customHeight="1" x14ac:dyDescent="0.3">
      <c r="A950" s="237"/>
      <c r="B950" s="1062" t="s">
        <v>556</v>
      </c>
      <c r="C950" s="1062"/>
      <c r="D950" s="1062"/>
      <c r="E950" s="237"/>
      <c r="F950" s="1"/>
      <c r="AC950" s="262" t="str">
        <f>D975</f>
        <v>Not at all</v>
      </c>
      <c r="AD950" s="262" t="str">
        <f>D976</f>
        <v>Mildly, but it didn’t bother me much</v>
      </c>
      <c r="AE950" s="262" t="str">
        <f>D977</f>
        <v>Moderately – it wasn’t pleasant at times</v>
      </c>
      <c r="AF950" s="262" t="str">
        <f>D978</f>
        <v>Severely – it bothered me a lot</v>
      </c>
    </row>
    <row r="951" spans="1:54" ht="5" hidden="1" customHeight="1" x14ac:dyDescent="0.35">
      <c r="A951" s="237"/>
      <c r="B951" s="263"/>
      <c r="C951" s="263"/>
      <c r="D951" s="263"/>
      <c r="E951" s="237"/>
      <c r="F951" s="1"/>
      <c r="AC951">
        <v>0</v>
      </c>
      <c r="AD951">
        <v>1</v>
      </c>
      <c r="AE951">
        <v>2</v>
      </c>
      <c r="AF951">
        <v>3</v>
      </c>
      <c r="AG951"/>
    </row>
    <row r="952" spans="1:54" ht="15.5" hidden="1" x14ac:dyDescent="0.35">
      <c r="A952" s="237"/>
      <c r="B952" s="264"/>
      <c r="C952" s="263"/>
      <c r="D952" s="265" t="s">
        <v>557</v>
      </c>
      <c r="E952" s="237"/>
      <c r="F952" s="1"/>
      <c r="AC952"/>
      <c r="AD952"/>
      <c r="AE952"/>
      <c r="AF952"/>
      <c r="AG952"/>
    </row>
    <row r="953" spans="1:54" ht="18" hidden="1" customHeight="1" thickTop="1" thickBot="1" x14ac:dyDescent="0.4">
      <c r="A953" s="237"/>
      <c r="B953" s="266" t="s">
        <v>558</v>
      </c>
      <c r="C953" s="263"/>
      <c r="D953" s="267"/>
      <c r="E953" s="237"/>
      <c r="F953" s="1"/>
      <c r="AC953">
        <f t="shared" ref="AC953:AF973" si="66">IF($D953=AC$950,AC$951,0)</f>
        <v>0</v>
      </c>
      <c r="AD953">
        <f t="shared" si="66"/>
        <v>0</v>
      </c>
      <c r="AE953">
        <f t="shared" si="66"/>
        <v>0</v>
      </c>
      <c r="AF953">
        <f t="shared" si="66"/>
        <v>0</v>
      </c>
      <c r="AG953" s="68">
        <f>SUM(AC953:AF953)</f>
        <v>0</v>
      </c>
    </row>
    <row r="954" spans="1:54" ht="18" hidden="1" customHeight="1" thickTop="1" thickBot="1" x14ac:dyDescent="0.4">
      <c r="A954" s="237"/>
      <c r="B954" s="266" t="s">
        <v>559</v>
      </c>
      <c r="C954" s="263"/>
      <c r="D954" s="267"/>
      <c r="E954" s="237"/>
      <c r="F954" s="1"/>
      <c r="AC954">
        <f t="shared" si="66"/>
        <v>0</v>
      </c>
      <c r="AD954">
        <f t="shared" si="66"/>
        <v>0</v>
      </c>
      <c r="AE954">
        <f t="shared" si="66"/>
        <v>0</v>
      </c>
      <c r="AF954">
        <f t="shared" si="66"/>
        <v>0</v>
      </c>
      <c r="AG954" s="68">
        <f t="shared" ref="AG954:AG973" si="67">SUM(AC954:AF954)</f>
        <v>0</v>
      </c>
    </row>
    <row r="955" spans="1:54" ht="18" hidden="1" customHeight="1" thickTop="1" thickBot="1" x14ac:dyDescent="0.4">
      <c r="A955" s="237"/>
      <c r="B955" s="266" t="s">
        <v>560</v>
      </c>
      <c r="C955" s="263"/>
      <c r="D955" s="267"/>
      <c r="E955" s="237"/>
      <c r="F955" s="1"/>
      <c r="AC955">
        <f t="shared" si="66"/>
        <v>0</v>
      </c>
      <c r="AD955">
        <f t="shared" si="66"/>
        <v>0</v>
      </c>
      <c r="AE955">
        <f t="shared" si="66"/>
        <v>0</v>
      </c>
      <c r="AF955">
        <f t="shared" si="66"/>
        <v>0</v>
      </c>
      <c r="AG955" s="68">
        <f t="shared" si="67"/>
        <v>0</v>
      </c>
    </row>
    <row r="956" spans="1:54" ht="18" hidden="1" customHeight="1" thickTop="1" thickBot="1" x14ac:dyDescent="0.4">
      <c r="A956" s="237"/>
      <c r="B956" s="266" t="s">
        <v>561</v>
      </c>
      <c r="C956" s="263"/>
      <c r="D956" s="267"/>
      <c r="E956" s="237"/>
      <c r="F956" s="1"/>
      <c r="AC956">
        <f t="shared" si="66"/>
        <v>0</v>
      </c>
      <c r="AD956">
        <f t="shared" si="66"/>
        <v>0</v>
      </c>
      <c r="AE956">
        <f t="shared" si="66"/>
        <v>0</v>
      </c>
      <c r="AF956">
        <f t="shared" si="66"/>
        <v>0</v>
      </c>
      <c r="AG956" s="68">
        <f t="shared" si="67"/>
        <v>0</v>
      </c>
    </row>
    <row r="957" spans="1:54" ht="18" hidden="1" customHeight="1" thickTop="1" thickBot="1" x14ac:dyDescent="0.4">
      <c r="A957" s="237"/>
      <c r="B957" s="266" t="s">
        <v>562</v>
      </c>
      <c r="C957" s="263"/>
      <c r="D957" s="267"/>
      <c r="E957" s="237"/>
      <c r="F957" s="1"/>
      <c r="AC957">
        <f t="shared" si="66"/>
        <v>0</v>
      </c>
      <c r="AD957">
        <f t="shared" si="66"/>
        <v>0</v>
      </c>
      <c r="AE957">
        <f t="shared" si="66"/>
        <v>0</v>
      </c>
      <c r="AF957">
        <f t="shared" si="66"/>
        <v>0</v>
      </c>
      <c r="AG957" s="68">
        <f t="shared" si="67"/>
        <v>0</v>
      </c>
    </row>
    <row r="958" spans="1:54" ht="18" hidden="1" customHeight="1" thickTop="1" thickBot="1" x14ac:dyDescent="0.4">
      <c r="A958" s="237"/>
      <c r="B958" s="266" t="s">
        <v>563</v>
      </c>
      <c r="C958" s="263"/>
      <c r="D958" s="267"/>
      <c r="E958" s="237"/>
      <c r="F958" s="1"/>
      <c r="AC958">
        <f t="shared" si="66"/>
        <v>0</v>
      </c>
      <c r="AD958">
        <f t="shared" si="66"/>
        <v>0</v>
      </c>
      <c r="AE958">
        <f t="shared" si="66"/>
        <v>0</v>
      </c>
      <c r="AF958">
        <f t="shared" si="66"/>
        <v>0</v>
      </c>
      <c r="AG958" s="68">
        <f t="shared" si="67"/>
        <v>0</v>
      </c>
    </row>
    <row r="959" spans="1:54" ht="18" hidden="1" customHeight="1" thickTop="1" thickBot="1" x14ac:dyDescent="0.4">
      <c r="A959" s="237"/>
      <c r="B959" s="266" t="s">
        <v>564</v>
      </c>
      <c r="C959" s="263"/>
      <c r="D959" s="267"/>
      <c r="E959" s="237"/>
      <c r="F959" s="1"/>
      <c r="AC959">
        <f t="shared" si="66"/>
        <v>0</v>
      </c>
      <c r="AD959">
        <f t="shared" si="66"/>
        <v>0</v>
      </c>
      <c r="AE959">
        <f t="shared" si="66"/>
        <v>0</v>
      </c>
      <c r="AF959">
        <f t="shared" si="66"/>
        <v>0</v>
      </c>
      <c r="AG959" s="68">
        <f t="shared" si="67"/>
        <v>0</v>
      </c>
    </row>
    <row r="960" spans="1:54" ht="18" hidden="1" customHeight="1" thickTop="1" thickBot="1" x14ac:dyDescent="0.4">
      <c r="A960" s="237"/>
      <c r="B960" s="266" t="s">
        <v>565</v>
      </c>
      <c r="C960" s="263"/>
      <c r="D960" s="267"/>
      <c r="E960" s="237"/>
      <c r="F960" s="1"/>
      <c r="AC960">
        <f t="shared" si="66"/>
        <v>0</v>
      </c>
      <c r="AD960">
        <f t="shared" si="66"/>
        <v>0</v>
      </c>
      <c r="AE960">
        <f t="shared" si="66"/>
        <v>0</v>
      </c>
      <c r="AF960">
        <f t="shared" si="66"/>
        <v>0</v>
      </c>
      <c r="AG960" s="68">
        <f t="shared" si="67"/>
        <v>0</v>
      </c>
    </row>
    <row r="961" spans="1:68" ht="18" hidden="1" customHeight="1" thickTop="1" thickBot="1" x14ac:dyDescent="0.4">
      <c r="A961" s="237"/>
      <c r="B961" s="266" t="s">
        <v>566</v>
      </c>
      <c r="C961" s="263"/>
      <c r="D961" s="267"/>
      <c r="E961" s="237"/>
      <c r="F961" s="1"/>
      <c r="AC961">
        <f t="shared" si="66"/>
        <v>0</v>
      </c>
      <c r="AD961">
        <f t="shared" si="66"/>
        <v>0</v>
      </c>
      <c r="AE961">
        <f t="shared" si="66"/>
        <v>0</v>
      </c>
      <c r="AF961">
        <f t="shared" si="66"/>
        <v>0</v>
      </c>
      <c r="AG961" s="68">
        <f t="shared" si="67"/>
        <v>0</v>
      </c>
    </row>
    <row r="962" spans="1:68" ht="18" hidden="1" customHeight="1" thickTop="1" thickBot="1" x14ac:dyDescent="0.4">
      <c r="A962" s="237"/>
      <c r="B962" s="266" t="s">
        <v>567</v>
      </c>
      <c r="C962" s="263"/>
      <c r="D962" s="267"/>
      <c r="E962" s="237"/>
      <c r="F962" s="1"/>
      <c r="AC962">
        <f t="shared" si="66"/>
        <v>0</v>
      </c>
      <c r="AD962">
        <f t="shared" si="66"/>
        <v>0</v>
      </c>
      <c r="AE962">
        <f t="shared" si="66"/>
        <v>0</v>
      </c>
      <c r="AF962">
        <f t="shared" si="66"/>
        <v>0</v>
      </c>
      <c r="AG962" s="68">
        <f t="shared" si="67"/>
        <v>0</v>
      </c>
    </row>
    <row r="963" spans="1:68" ht="18" hidden="1" customHeight="1" thickTop="1" thickBot="1" x14ac:dyDescent="0.4">
      <c r="A963" s="237"/>
      <c r="B963" s="266" t="s">
        <v>568</v>
      </c>
      <c r="C963" s="263"/>
      <c r="D963" s="267"/>
      <c r="E963" s="237"/>
      <c r="F963" s="1"/>
      <c r="AC963">
        <f t="shared" si="66"/>
        <v>0</v>
      </c>
      <c r="AD963">
        <f t="shared" si="66"/>
        <v>0</v>
      </c>
      <c r="AE963">
        <f t="shared" si="66"/>
        <v>0</v>
      </c>
      <c r="AF963">
        <f t="shared" si="66"/>
        <v>0</v>
      </c>
      <c r="AG963" s="68">
        <f t="shared" si="67"/>
        <v>0</v>
      </c>
    </row>
    <row r="964" spans="1:68" ht="18" hidden="1" customHeight="1" thickTop="1" thickBot="1" x14ac:dyDescent="0.4">
      <c r="A964" s="237"/>
      <c r="B964" s="266" t="s">
        <v>569</v>
      </c>
      <c r="C964" s="263"/>
      <c r="D964" s="267"/>
      <c r="E964" s="237"/>
      <c r="F964" s="1"/>
      <c r="AC964">
        <f t="shared" si="66"/>
        <v>0</v>
      </c>
      <c r="AD964">
        <f t="shared" si="66"/>
        <v>0</v>
      </c>
      <c r="AE964">
        <f t="shared" si="66"/>
        <v>0</v>
      </c>
      <c r="AF964">
        <f t="shared" si="66"/>
        <v>0</v>
      </c>
      <c r="AG964" s="68">
        <f t="shared" si="67"/>
        <v>0</v>
      </c>
    </row>
    <row r="965" spans="1:68" ht="18" hidden="1" customHeight="1" thickTop="1" thickBot="1" x14ac:dyDescent="0.4">
      <c r="A965" s="237"/>
      <c r="B965" s="266" t="s">
        <v>570</v>
      </c>
      <c r="C965" s="263"/>
      <c r="D965" s="267"/>
      <c r="E965" s="237"/>
      <c r="F965" s="1"/>
      <c r="AC965">
        <f t="shared" si="66"/>
        <v>0</v>
      </c>
      <c r="AD965">
        <f t="shared" si="66"/>
        <v>0</v>
      </c>
      <c r="AE965">
        <f t="shared" si="66"/>
        <v>0</v>
      </c>
      <c r="AF965">
        <f t="shared" si="66"/>
        <v>0</v>
      </c>
      <c r="AG965" s="68">
        <f t="shared" si="67"/>
        <v>0</v>
      </c>
    </row>
    <row r="966" spans="1:68" ht="18" hidden="1" customHeight="1" thickTop="1" thickBot="1" x14ac:dyDescent="0.4">
      <c r="A966" s="237"/>
      <c r="B966" s="266" t="s">
        <v>571</v>
      </c>
      <c r="C966" s="263"/>
      <c r="D966" s="267"/>
      <c r="E966" s="237"/>
      <c r="F966" s="1"/>
      <c r="AC966">
        <f t="shared" si="66"/>
        <v>0</v>
      </c>
      <c r="AD966">
        <f t="shared" si="66"/>
        <v>0</v>
      </c>
      <c r="AE966">
        <f t="shared" si="66"/>
        <v>0</v>
      </c>
      <c r="AF966">
        <f t="shared" si="66"/>
        <v>0</v>
      </c>
      <c r="AG966" s="68">
        <f t="shared" si="67"/>
        <v>0</v>
      </c>
    </row>
    <row r="967" spans="1:68" ht="18" hidden="1" customHeight="1" thickTop="1" thickBot="1" x14ac:dyDescent="0.4">
      <c r="A967" s="237"/>
      <c r="B967" s="266" t="s">
        <v>572</v>
      </c>
      <c r="C967" s="263"/>
      <c r="D967" s="267"/>
      <c r="E967" s="237"/>
      <c r="F967" s="1"/>
      <c r="AC967">
        <f t="shared" si="66"/>
        <v>0</v>
      </c>
      <c r="AD967">
        <f t="shared" si="66"/>
        <v>0</v>
      </c>
      <c r="AE967">
        <f t="shared" si="66"/>
        <v>0</v>
      </c>
      <c r="AF967">
        <f t="shared" si="66"/>
        <v>0</v>
      </c>
      <c r="AG967" s="68">
        <f t="shared" si="67"/>
        <v>0</v>
      </c>
    </row>
    <row r="968" spans="1:68" ht="18" hidden="1" customHeight="1" thickTop="1" thickBot="1" x14ac:dyDescent="0.4">
      <c r="A968" s="237"/>
      <c r="B968" s="266" t="s">
        <v>573</v>
      </c>
      <c r="C968" s="263"/>
      <c r="D968" s="267"/>
      <c r="E968" s="237"/>
      <c r="F968" s="1"/>
      <c r="AC968">
        <f t="shared" si="66"/>
        <v>0</v>
      </c>
      <c r="AD968">
        <f t="shared" si="66"/>
        <v>0</v>
      </c>
      <c r="AE968">
        <f t="shared" si="66"/>
        <v>0</v>
      </c>
      <c r="AF968">
        <f t="shared" si="66"/>
        <v>0</v>
      </c>
      <c r="AG968" s="68">
        <f t="shared" si="67"/>
        <v>0</v>
      </c>
    </row>
    <row r="969" spans="1:68" ht="18" hidden="1" customHeight="1" thickTop="1" thickBot="1" x14ac:dyDescent="0.4">
      <c r="A969" s="237"/>
      <c r="B969" s="266" t="s">
        <v>574</v>
      </c>
      <c r="C969" s="263"/>
      <c r="D969" s="267"/>
      <c r="E969" s="237"/>
      <c r="F969" s="1"/>
      <c r="AC969">
        <f t="shared" si="66"/>
        <v>0</v>
      </c>
      <c r="AD969">
        <f t="shared" si="66"/>
        <v>0</v>
      </c>
      <c r="AE969">
        <f t="shared" si="66"/>
        <v>0</v>
      </c>
      <c r="AF969">
        <f t="shared" si="66"/>
        <v>0</v>
      </c>
      <c r="AG969" s="68">
        <f t="shared" si="67"/>
        <v>0</v>
      </c>
    </row>
    <row r="970" spans="1:68" ht="18" hidden="1" customHeight="1" thickTop="1" thickBot="1" x14ac:dyDescent="0.4">
      <c r="A970" s="237"/>
      <c r="B970" s="266" t="s">
        <v>575</v>
      </c>
      <c r="C970" s="263"/>
      <c r="D970" s="267"/>
      <c r="E970" s="237"/>
      <c r="F970" s="1"/>
      <c r="AC970">
        <f t="shared" si="66"/>
        <v>0</v>
      </c>
      <c r="AD970">
        <f t="shared" si="66"/>
        <v>0</v>
      </c>
      <c r="AE970">
        <f t="shared" si="66"/>
        <v>0</v>
      </c>
      <c r="AF970">
        <f t="shared" si="66"/>
        <v>0</v>
      </c>
      <c r="AG970" s="68">
        <f t="shared" si="67"/>
        <v>0</v>
      </c>
    </row>
    <row r="971" spans="1:68" ht="18" hidden="1" customHeight="1" thickTop="1" thickBot="1" x14ac:dyDescent="0.4">
      <c r="A971" s="237"/>
      <c r="B971" s="266" t="s">
        <v>576</v>
      </c>
      <c r="C971" s="263"/>
      <c r="D971" s="267"/>
      <c r="E971" s="237"/>
      <c r="F971" s="1"/>
      <c r="AC971">
        <f t="shared" si="66"/>
        <v>0</v>
      </c>
      <c r="AD971">
        <f t="shared" si="66"/>
        <v>0</v>
      </c>
      <c r="AE971">
        <f t="shared" si="66"/>
        <v>0</v>
      </c>
      <c r="AF971">
        <f t="shared" si="66"/>
        <v>0</v>
      </c>
      <c r="AG971" s="68">
        <f t="shared" si="67"/>
        <v>0</v>
      </c>
    </row>
    <row r="972" spans="1:68" ht="18" hidden="1" customHeight="1" thickTop="1" thickBot="1" x14ac:dyDescent="0.4">
      <c r="A972" s="237"/>
      <c r="B972" s="266" t="s">
        <v>577</v>
      </c>
      <c r="C972" s="263"/>
      <c r="D972" s="267"/>
      <c r="E972" s="237"/>
      <c r="F972" s="1"/>
      <c r="AC972">
        <f t="shared" si="66"/>
        <v>0</v>
      </c>
      <c r="AD972">
        <f t="shared" si="66"/>
        <v>0</v>
      </c>
      <c r="AE972">
        <f t="shared" si="66"/>
        <v>0</v>
      </c>
      <c r="AF972">
        <f t="shared" si="66"/>
        <v>0</v>
      </c>
      <c r="AG972" s="68">
        <f t="shared" si="67"/>
        <v>0</v>
      </c>
    </row>
    <row r="973" spans="1:68" ht="18" hidden="1" customHeight="1" thickTop="1" thickBot="1" x14ac:dyDescent="0.4">
      <c r="A973" s="237"/>
      <c r="B973" s="266" t="s">
        <v>578</v>
      </c>
      <c r="C973" s="263"/>
      <c r="D973" s="267"/>
      <c r="E973" s="237"/>
      <c r="F973" s="1"/>
      <c r="AC973">
        <f t="shared" si="66"/>
        <v>0</v>
      </c>
      <c r="AD973">
        <f t="shared" si="66"/>
        <v>0</v>
      </c>
      <c r="AE973">
        <f t="shared" si="66"/>
        <v>0</v>
      </c>
      <c r="AF973">
        <f t="shared" si="66"/>
        <v>0</v>
      </c>
      <c r="AG973" s="68">
        <f t="shared" si="67"/>
        <v>0</v>
      </c>
      <c r="AJ973" s="68">
        <f>SUM(AG953:AG973)</f>
        <v>0</v>
      </c>
    </row>
    <row r="974" spans="1:68" ht="10" hidden="1" customHeight="1" thickTop="1" x14ac:dyDescent="0.35">
      <c r="A974" s="237"/>
      <c r="B974" s="263"/>
      <c r="C974" s="263"/>
      <c r="D974" s="263"/>
      <c r="E974" s="237"/>
      <c r="F974" s="1"/>
      <c r="AC974"/>
      <c r="AD974"/>
      <c r="AE974"/>
      <c r="AF974"/>
    </row>
    <row r="975" spans="1:68" ht="14.5" hidden="1" x14ac:dyDescent="0.35">
      <c r="A975" s="237"/>
      <c r="B975" s="263"/>
      <c r="C975" s="263"/>
      <c r="D975" s="268" t="s">
        <v>579</v>
      </c>
      <c r="E975" s="237"/>
      <c r="F975" s="1"/>
      <c r="AC975"/>
      <c r="AD975"/>
      <c r="AE975"/>
      <c r="AF975"/>
      <c r="AG975" s="68">
        <f>SUM(AG953:AG974)</f>
        <v>0</v>
      </c>
    </row>
    <row r="976" spans="1:68" ht="14.5" hidden="1" x14ac:dyDescent="0.35">
      <c r="A976" s="237"/>
      <c r="B976" s="269" t="s">
        <v>580</v>
      </c>
      <c r="C976" s="263"/>
      <c r="D976" s="268" t="s">
        <v>581</v>
      </c>
      <c r="E976" s="237"/>
      <c r="F976" s="1"/>
      <c r="AC976">
        <v>0</v>
      </c>
      <c r="AD976">
        <v>21</v>
      </c>
      <c r="AE976"/>
      <c r="AF976"/>
      <c r="AG976"/>
      <c r="AQ976" t="s">
        <v>582</v>
      </c>
      <c r="AR976"/>
      <c r="AS976"/>
      <c r="BB976" s="48"/>
      <c r="BP976" s="14"/>
    </row>
    <row r="977" spans="1:68" ht="14.5" hidden="1" x14ac:dyDescent="0.35">
      <c r="A977" s="237"/>
      <c r="B977" s="269" t="s">
        <v>583</v>
      </c>
      <c r="C977" s="263"/>
      <c r="D977" s="268" t="s">
        <v>584</v>
      </c>
      <c r="E977" s="237"/>
      <c r="F977" s="1"/>
      <c r="AC977">
        <f>AD976</f>
        <v>21</v>
      </c>
      <c r="AD977">
        <v>36</v>
      </c>
      <c r="AE977"/>
      <c r="AF977"/>
      <c r="AG977"/>
      <c r="AQ977" s="48" t="s">
        <v>585</v>
      </c>
      <c r="AR977"/>
      <c r="AS977"/>
      <c r="BB977" s="48" t="str">
        <f>AG978</f>
        <v>low anxiety</v>
      </c>
      <c r="BF977" s="48" t="s">
        <v>586</v>
      </c>
      <c r="BP977" s="14"/>
    </row>
    <row r="978" spans="1:68" ht="15" hidden="1" thickBot="1" x14ac:dyDescent="0.4">
      <c r="A978" s="237"/>
      <c r="B978" s="269" t="s">
        <v>587</v>
      </c>
      <c r="C978" s="270"/>
      <c r="D978" s="268" t="s">
        <v>588</v>
      </c>
      <c r="E978" s="237"/>
      <c r="F978" s="1"/>
      <c r="AC978">
        <f>AD977</f>
        <v>36</v>
      </c>
      <c r="AD978">
        <f>(21*3)+1</f>
        <v>64</v>
      </c>
      <c r="AE978"/>
      <c r="AF978"/>
      <c r="AG978" s="271" t="str">
        <f>IF(AND(AG975&gt;=AC976,AG975&lt;AD976),B976,IF(AND(AG975&gt;=AC977,AG975&lt;AD977),B977,IF(AND(AG975&gt;=AC978,AE1159&lt;AD978),B978,"")))</f>
        <v>low anxiety</v>
      </c>
      <c r="AH978" s="263"/>
      <c r="AI978" s="263"/>
      <c r="AJ978" s="237"/>
    </row>
    <row r="979" spans="1:68" ht="14.5" hidden="1" x14ac:dyDescent="0.35">
      <c r="A979" s="237"/>
      <c r="B979" s="269"/>
      <c r="C979" s="270"/>
      <c r="D979" s="263"/>
      <c r="E979" s="237"/>
      <c r="F979" s="1"/>
      <c r="G979" s="272"/>
      <c r="I979" s="272"/>
      <c r="J979" s="272"/>
      <c r="K979" s="272"/>
      <c r="L979" s="272"/>
      <c r="M979" s="272"/>
      <c r="N979" s="272"/>
      <c r="O979" s="272"/>
      <c r="P979" s="272"/>
      <c r="Q979" s="272"/>
      <c r="R979" s="272"/>
      <c r="S979" s="272"/>
      <c r="T979" s="272"/>
      <c r="U979" s="272"/>
      <c r="V979" s="272"/>
      <c r="W979" s="272"/>
      <c r="X979" s="272"/>
      <c r="Y979" s="272"/>
      <c r="Z979" s="272"/>
      <c r="AA979"/>
      <c r="AB979"/>
      <c r="AC979"/>
      <c r="AD979"/>
      <c r="AE979"/>
    </row>
    <row r="980" spans="1:68" ht="14.5" hidden="1" x14ac:dyDescent="0.35">
      <c r="A980" s="237"/>
      <c r="B980" s="269"/>
      <c r="C980" s="263"/>
      <c r="D980" s="270"/>
      <c r="E980" s="237"/>
      <c r="F980" s="1"/>
      <c r="G980" s="272"/>
      <c r="I980" s="272"/>
      <c r="J980" s="272"/>
      <c r="K980" s="272"/>
      <c r="L980" s="272"/>
      <c r="M980" s="272"/>
      <c r="N980" s="272"/>
      <c r="O980" s="272"/>
      <c r="P980" s="272"/>
      <c r="Q980" s="272"/>
      <c r="R980" s="272"/>
      <c r="S980" s="272"/>
      <c r="T980" s="272"/>
      <c r="U980" s="272"/>
      <c r="V980" s="272"/>
      <c r="W980" s="272"/>
      <c r="X980" s="272"/>
      <c r="Y980" s="272"/>
      <c r="Z980" s="272"/>
      <c r="AA980"/>
      <c r="AB980"/>
      <c r="BB980" s="48"/>
    </row>
    <row r="981" spans="1:68" ht="32" hidden="1" customHeight="1" x14ac:dyDescent="0.35">
      <c r="A981" s="237"/>
      <c r="B981" s="1065" t="str">
        <f>CONCATENATE(AG981,AN981,AO981,AZ981)</f>
        <v>You understandably experience some anxiety, considering the many challenges you face from such a conviction. You can rule out a purely biological source for such anxiety.</v>
      </c>
      <c r="C981" s="1066"/>
      <c r="D981" s="1066"/>
      <c r="E981" s="237"/>
      <c r="F981" s="1"/>
      <c r="G981" s="272"/>
      <c r="I981" s="272"/>
      <c r="J981" s="272"/>
      <c r="K981" s="272"/>
      <c r="L981" s="272"/>
      <c r="M981" s="272"/>
      <c r="N981" s="272"/>
      <c r="O981" s="272"/>
      <c r="P981" s="272"/>
      <c r="Q981" s="272"/>
      <c r="R981" s="272"/>
      <c r="S981" s="272"/>
      <c r="T981" s="272"/>
      <c r="U981" s="272"/>
      <c r="V981" s="272"/>
      <c r="W981" s="272"/>
      <c r="X981" s="272"/>
      <c r="Y981" s="272"/>
      <c r="Z981" s="272"/>
      <c r="AA981"/>
      <c r="AB981"/>
      <c r="AG981" s="23" t="s">
        <v>589</v>
      </c>
      <c r="AN981" s="48" t="str">
        <f>IF(AG975&lt;AC977,"some anxiety",AG978)</f>
        <v>some anxiety</v>
      </c>
      <c r="AO981" s="109" t="s">
        <v>590</v>
      </c>
      <c r="AZ981" s="48" t="s">
        <v>591</v>
      </c>
    </row>
    <row r="982" spans="1:68" ht="10" hidden="1" customHeight="1" x14ac:dyDescent="0.35">
      <c r="A982" s="237"/>
      <c r="B982" s="269"/>
      <c r="C982" s="263"/>
      <c r="D982" s="270"/>
      <c r="E982" s="237"/>
      <c r="F982" s="1"/>
      <c r="G982" s="272"/>
      <c r="I982" s="272"/>
      <c r="J982" s="272"/>
      <c r="K982" s="272"/>
      <c r="L982" s="272"/>
      <c r="M982" s="272"/>
      <c r="N982" s="272"/>
      <c r="O982" s="272"/>
      <c r="P982" s="272"/>
      <c r="Q982" s="272"/>
      <c r="R982" s="272"/>
      <c r="S982" s="272"/>
      <c r="T982" s="272"/>
      <c r="U982" s="272"/>
      <c r="V982" s="272"/>
      <c r="W982" s="272"/>
      <c r="X982" s="272"/>
      <c r="Y982" s="272"/>
      <c r="Z982" s="272"/>
      <c r="AA982"/>
      <c r="AB982"/>
      <c r="AC982"/>
    </row>
    <row r="983" spans="1:68" ht="60" hidden="1" customHeight="1" x14ac:dyDescent="0.35">
      <c r="A983" s="237"/>
      <c r="B983" s="1065" t="s">
        <v>592</v>
      </c>
      <c r="C983" s="1066"/>
      <c r="D983" s="1066"/>
      <c r="E983" s="237"/>
      <c r="F983" s="1"/>
      <c r="G983" s="272"/>
      <c r="I983" s="272"/>
      <c r="J983" s="272"/>
      <c r="K983" s="272"/>
      <c r="L983" s="272"/>
      <c r="M983" s="272"/>
      <c r="N983" s="272"/>
      <c r="O983" s="272"/>
      <c r="P983" s="272"/>
      <c r="Q983" s="272"/>
      <c r="R983" s="272"/>
      <c r="S983" s="272"/>
      <c r="T983" s="272"/>
      <c r="U983" s="272"/>
      <c r="V983" s="272"/>
      <c r="W983" s="272"/>
      <c r="X983" s="272"/>
      <c r="Y983" s="272"/>
      <c r="Z983" s="272"/>
      <c r="AA983"/>
      <c r="AB983"/>
      <c r="AC983"/>
      <c r="AD983" s="48" t="str">
        <f>IF(C202="","Claimant",AN202)</f>
        <v>Steph</v>
      </c>
      <c r="AF983" s="48" t="s">
        <v>593</v>
      </c>
      <c r="AM983" s="48" t="str">
        <f>AN981</f>
        <v>some anxiety</v>
      </c>
      <c r="AQ983" s="48" t="s">
        <v>594</v>
      </c>
      <c r="AZ983" s="48" t="str">
        <f>IF(AG975=0,"","The wrongful conviction produces plenty to be anxious about. ")</f>
        <v/>
      </c>
      <c r="BB983" s="48"/>
      <c r="BF983" s="48" t="s">
        <v>595</v>
      </c>
    </row>
    <row r="984" spans="1:68" ht="5" hidden="1" customHeight="1" x14ac:dyDescent="0.35">
      <c r="A984" s="237"/>
      <c r="B984" s="237"/>
      <c r="C984" s="237"/>
      <c r="D984" s="237"/>
      <c r="E984" s="237"/>
      <c r="F984" s="1"/>
      <c r="G984" s="272"/>
      <c r="I984" s="272"/>
      <c r="J984" s="272"/>
      <c r="K984" s="272"/>
      <c r="L984" s="272"/>
      <c r="M984" s="272"/>
      <c r="N984" s="272"/>
      <c r="O984" s="272"/>
      <c r="P984" s="272"/>
      <c r="Q984" s="272"/>
      <c r="R984" s="272"/>
      <c r="S984" s="272"/>
      <c r="T984" s="272"/>
      <c r="U984" s="272"/>
      <c r="V984" s="272"/>
      <c r="W984" s="272"/>
      <c r="X984" s="272"/>
      <c r="Y984" s="272"/>
      <c r="Z984" s="272"/>
      <c r="AA984"/>
      <c r="AB984"/>
      <c r="AC984"/>
      <c r="AD984" s="48" t="str">
        <f>CONCATENATE(AD983,AF983,AM983,AQ983,AZ983,BF983)</f>
        <v>Steph understandably experiences some anxiety from the wrongful conviction. Once hired, much of that should clear up. If not, Value Relating can help.</v>
      </c>
      <c r="BB984" s="48"/>
    </row>
    <row r="985" spans="1:68" ht="5" hidden="1" customHeight="1" x14ac:dyDescent="0.3">
      <c r="A985" s="237"/>
      <c r="B985" s="273"/>
      <c r="C985" s="237"/>
      <c r="D985" s="237"/>
      <c r="E985" s="237"/>
      <c r="F985" s="1"/>
    </row>
    <row r="986" spans="1:68" ht="25" hidden="1" customHeight="1" x14ac:dyDescent="0.3">
      <c r="A986" s="237"/>
      <c r="B986" s="248" t="s">
        <v>596</v>
      </c>
      <c r="C986" s="248"/>
      <c r="D986" s="248"/>
      <c r="E986" s="237"/>
      <c r="F986" s="1"/>
    </row>
    <row r="987" spans="1:68" ht="35" hidden="1" customHeight="1" x14ac:dyDescent="0.3">
      <c r="A987" s="237"/>
      <c r="B987" s="1062" t="str">
        <f>B950</f>
        <v>Rate each item to your level of experience. Your responses let us know the level of your current need. If taken later we can compare the scores to help see if we are helping or not.</v>
      </c>
      <c r="C987" s="1062"/>
      <c r="D987" s="1062"/>
      <c r="E987" s="237"/>
      <c r="F987" s="1"/>
    </row>
    <row r="988" spans="1:68" ht="14.5" hidden="1" customHeight="1" x14ac:dyDescent="0.3">
      <c r="A988" s="237"/>
      <c r="B988" s="273"/>
      <c r="C988" s="237"/>
      <c r="D988" s="237"/>
      <c r="E988" s="237"/>
      <c r="F988" s="1"/>
    </row>
    <row r="989" spans="1:68" ht="14.5" hidden="1" customHeight="1" thickBot="1" x14ac:dyDescent="0.4">
      <c r="A989" s="237"/>
      <c r="B989" s="274"/>
      <c r="C989" s="263"/>
      <c r="D989" s="265" t="str">
        <f>D952</f>
        <v>Pick best answer from pulldown menu.</v>
      </c>
      <c r="E989" s="263"/>
      <c r="F989" s="1"/>
      <c r="G989" s="272"/>
      <c r="I989" s="272"/>
      <c r="J989" s="272"/>
      <c r="K989" s="272"/>
      <c r="L989" s="272"/>
      <c r="M989" s="272"/>
      <c r="N989" s="272"/>
      <c r="O989" s="272"/>
      <c r="P989" s="272"/>
      <c r="Q989" s="272"/>
      <c r="R989" s="272"/>
      <c r="S989" s="272"/>
      <c r="T989" s="272"/>
      <c r="U989" s="272"/>
      <c r="V989" s="272"/>
      <c r="W989" s="272"/>
      <c r="X989" s="272"/>
      <c r="Y989" s="272"/>
      <c r="Z989" s="272"/>
      <c r="AA989"/>
      <c r="AB989"/>
      <c r="AC989"/>
      <c r="AD989"/>
    </row>
    <row r="990" spans="1:68" ht="20" hidden="1" customHeight="1" thickTop="1" thickBot="1" x14ac:dyDescent="0.4">
      <c r="A990" s="237"/>
      <c r="B990" s="275">
        <v>1</v>
      </c>
      <c r="C990" s="1063" t="str">
        <f>AD990</f>
        <v>sadness</v>
      </c>
      <c r="D990" s="1064"/>
      <c r="E990" s="237"/>
      <c r="F990" s="1"/>
      <c r="AD990" s="276" t="s">
        <v>597</v>
      </c>
      <c r="AE990"/>
      <c r="AF990"/>
      <c r="AG990">
        <f>IF(AND(C990&lt;&gt;"",C990=AD990),0,1)</f>
        <v>0</v>
      </c>
      <c r="AH990"/>
    </row>
    <row r="991" spans="1:68" ht="12" hidden="1" customHeight="1" thickTop="1" x14ac:dyDescent="0.35">
      <c r="A991" s="237"/>
      <c r="B991" s="277">
        <v>0</v>
      </c>
      <c r="C991" s="278" t="s">
        <v>598</v>
      </c>
      <c r="D991" s="263"/>
      <c r="E991" s="237"/>
      <c r="F991" s="1"/>
      <c r="AD991"/>
      <c r="AE991"/>
      <c r="AF991">
        <f>IF(C$990=C991,B991,0)</f>
        <v>0</v>
      </c>
      <c r="AG991"/>
      <c r="AH991"/>
    </row>
    <row r="992" spans="1:68" ht="12" hidden="1" customHeight="1" x14ac:dyDescent="0.35">
      <c r="A992" s="237"/>
      <c r="B992" s="277">
        <v>1</v>
      </c>
      <c r="C992" s="278" t="s">
        <v>599</v>
      </c>
      <c r="D992" s="263"/>
      <c r="E992" s="237"/>
      <c r="F992" s="1"/>
      <c r="AD992"/>
      <c r="AE992"/>
      <c r="AF992">
        <f>IF(C$990=C992,B992,0)</f>
        <v>0</v>
      </c>
      <c r="AG992"/>
      <c r="AH992"/>
    </row>
    <row r="993" spans="1:34" ht="12" hidden="1" customHeight="1" x14ac:dyDescent="0.35">
      <c r="A993" s="237"/>
      <c r="B993" s="277">
        <v>2</v>
      </c>
      <c r="C993" s="278" t="s">
        <v>600</v>
      </c>
      <c r="D993" s="263"/>
      <c r="E993" s="237"/>
      <c r="F993" s="1"/>
      <c r="AD993"/>
      <c r="AE993"/>
      <c r="AF993">
        <f>IF(C$990=C993,B993,0)</f>
        <v>0</v>
      </c>
      <c r="AG993"/>
      <c r="AH993"/>
    </row>
    <row r="994" spans="1:34" ht="12" hidden="1" customHeight="1" thickBot="1" x14ac:dyDescent="0.4">
      <c r="A994" s="237"/>
      <c r="B994" s="277">
        <v>3</v>
      </c>
      <c r="C994" s="278" t="s">
        <v>601</v>
      </c>
      <c r="D994" s="263"/>
      <c r="E994" s="237"/>
      <c r="F994" s="1"/>
      <c r="AD994"/>
      <c r="AE994"/>
      <c r="AF994">
        <f>IF(C$990=C994,B994,0)</f>
        <v>0</v>
      </c>
      <c r="AG994"/>
      <c r="AH994"/>
    </row>
    <row r="995" spans="1:34" ht="20" hidden="1" customHeight="1" thickTop="1" thickBot="1" x14ac:dyDescent="0.4">
      <c r="A995" s="237"/>
      <c r="B995" s="275">
        <v>2</v>
      </c>
      <c r="C995" s="1063" t="str">
        <f>AD995</f>
        <v>hope</v>
      </c>
      <c r="D995" s="1064"/>
      <c r="E995" s="237"/>
      <c r="F995" s="1"/>
      <c r="AD995" s="276" t="s">
        <v>602</v>
      </c>
      <c r="AE995"/>
      <c r="AF995"/>
      <c r="AG995">
        <f>IF(AND(C995&lt;&gt;"",C995=AD995),0,1)</f>
        <v>0</v>
      </c>
      <c r="AH995"/>
    </row>
    <row r="996" spans="1:34" ht="12" hidden="1" customHeight="1" thickTop="1" x14ac:dyDescent="0.35">
      <c r="A996" s="237"/>
      <c r="B996" s="277">
        <v>0</v>
      </c>
      <c r="C996" s="278" t="s">
        <v>603</v>
      </c>
      <c r="D996" s="263"/>
      <c r="E996" s="237"/>
      <c r="F996" s="1"/>
      <c r="AD996"/>
      <c r="AE996"/>
      <c r="AF996">
        <f>IF(C$995=C996,B996,0)</f>
        <v>0</v>
      </c>
      <c r="AG996"/>
      <c r="AH996"/>
    </row>
    <row r="997" spans="1:34" ht="12" hidden="1" customHeight="1" x14ac:dyDescent="0.35">
      <c r="A997" s="237"/>
      <c r="B997" s="277">
        <v>1</v>
      </c>
      <c r="C997" s="278" t="s">
        <v>604</v>
      </c>
      <c r="D997" s="263"/>
      <c r="E997" s="237"/>
      <c r="F997" s="1"/>
      <c r="AD997"/>
      <c r="AE997"/>
      <c r="AF997">
        <f>IF(C$995=C997,B997,0)</f>
        <v>0</v>
      </c>
      <c r="AG997"/>
      <c r="AH997"/>
    </row>
    <row r="998" spans="1:34" ht="12" hidden="1" customHeight="1" x14ac:dyDescent="0.35">
      <c r="A998" s="237"/>
      <c r="B998" s="277">
        <v>2</v>
      </c>
      <c r="C998" s="278" t="s">
        <v>605</v>
      </c>
      <c r="D998" s="263"/>
      <c r="E998" s="237"/>
      <c r="F998" s="1"/>
      <c r="AD998"/>
      <c r="AE998"/>
      <c r="AF998">
        <f>IF(C$995=C998,B998,0)</f>
        <v>0</v>
      </c>
      <c r="AG998"/>
      <c r="AH998"/>
    </row>
    <row r="999" spans="1:34" ht="12" hidden="1" customHeight="1" thickBot="1" x14ac:dyDescent="0.4">
      <c r="A999" s="237"/>
      <c r="B999" s="277">
        <v>3</v>
      </c>
      <c r="C999" s="278" t="s">
        <v>606</v>
      </c>
      <c r="D999" s="263"/>
      <c r="E999" s="237"/>
      <c r="F999" s="1"/>
      <c r="AD999"/>
      <c r="AE999"/>
      <c r="AF999">
        <f>IF(C$995=C999,B999,0)</f>
        <v>0</v>
      </c>
      <c r="AG999"/>
      <c r="AH999"/>
    </row>
    <row r="1000" spans="1:34" ht="20" hidden="1" customHeight="1" thickTop="1" thickBot="1" x14ac:dyDescent="0.4">
      <c r="A1000" s="237"/>
      <c r="B1000" s="275">
        <v>3</v>
      </c>
      <c r="C1000" s="1063" t="str">
        <f>AD1000</f>
        <v>failures</v>
      </c>
      <c r="D1000" s="1064"/>
      <c r="E1000" s="237"/>
      <c r="F1000" s="1"/>
      <c r="AD1000" s="276" t="s">
        <v>607</v>
      </c>
      <c r="AE1000"/>
      <c r="AF1000"/>
      <c r="AG1000">
        <f>IF(AND(C1000&lt;&gt;"",C1000=AD1000),0,1)</f>
        <v>0</v>
      </c>
      <c r="AH1000"/>
    </row>
    <row r="1001" spans="1:34" ht="12" hidden="1" customHeight="1" thickTop="1" x14ac:dyDescent="0.35">
      <c r="A1001" s="237"/>
      <c r="B1001" s="277">
        <v>0</v>
      </c>
      <c r="C1001" s="278" t="s">
        <v>608</v>
      </c>
      <c r="D1001" s="263"/>
      <c r="E1001" s="237"/>
      <c r="F1001" s="1"/>
      <c r="AD1001"/>
      <c r="AE1001"/>
      <c r="AF1001">
        <f>IF(C$1000=C1001,B1001,0)</f>
        <v>0</v>
      </c>
      <c r="AG1001"/>
      <c r="AH1001"/>
    </row>
    <row r="1002" spans="1:34" ht="12" hidden="1" customHeight="1" x14ac:dyDescent="0.35">
      <c r="A1002" s="237"/>
      <c r="B1002" s="277">
        <v>1</v>
      </c>
      <c r="C1002" s="278" t="s">
        <v>609</v>
      </c>
      <c r="D1002" s="263"/>
      <c r="E1002" s="237"/>
      <c r="F1002" s="1"/>
      <c r="AD1002"/>
      <c r="AE1002"/>
      <c r="AF1002">
        <f>IF(C$1000=C1002,B1002,0)</f>
        <v>0</v>
      </c>
      <c r="AG1002"/>
      <c r="AH1002"/>
    </row>
    <row r="1003" spans="1:34" ht="12" hidden="1" customHeight="1" x14ac:dyDescent="0.35">
      <c r="A1003" s="237"/>
      <c r="B1003" s="277">
        <v>2</v>
      </c>
      <c r="C1003" s="278" t="s">
        <v>610</v>
      </c>
      <c r="D1003" s="263"/>
      <c r="E1003" s="237"/>
      <c r="F1003" s="1"/>
      <c r="AD1003"/>
      <c r="AE1003"/>
      <c r="AF1003">
        <f>IF(C$1000=C1003,B1003,0)</f>
        <v>0</v>
      </c>
      <c r="AG1003"/>
      <c r="AH1003"/>
    </row>
    <row r="1004" spans="1:34" ht="12" hidden="1" customHeight="1" thickBot="1" x14ac:dyDescent="0.4">
      <c r="A1004" s="237"/>
      <c r="B1004" s="277">
        <v>3</v>
      </c>
      <c r="C1004" s="278" t="s">
        <v>611</v>
      </c>
      <c r="D1004" s="263"/>
      <c r="E1004" s="237"/>
      <c r="F1004" s="1"/>
      <c r="AD1004"/>
      <c r="AE1004"/>
      <c r="AF1004">
        <f>IF(C$1000=C1004,B1004,0)</f>
        <v>0</v>
      </c>
      <c r="AG1004"/>
      <c r="AH1004"/>
    </row>
    <row r="1005" spans="1:34" ht="20" hidden="1" customHeight="1" thickTop="1" thickBot="1" x14ac:dyDescent="0.4">
      <c r="A1005" s="237"/>
      <c r="B1005" s="275">
        <v>4</v>
      </c>
      <c r="C1005" s="1063" t="str">
        <f>AD1005</f>
        <v>satisfaction</v>
      </c>
      <c r="D1005" s="1064"/>
      <c r="E1005" s="237"/>
      <c r="F1005" s="1"/>
      <c r="AD1005" s="276" t="s">
        <v>612</v>
      </c>
      <c r="AE1005"/>
      <c r="AF1005"/>
      <c r="AG1005">
        <f>IF(AND(C1005&lt;&gt;"",C1005=AD1005),0,1)</f>
        <v>0</v>
      </c>
      <c r="AH1005"/>
    </row>
    <row r="1006" spans="1:34" ht="12" hidden="1" customHeight="1" thickTop="1" x14ac:dyDescent="0.35">
      <c r="A1006" s="237"/>
      <c r="B1006" s="277">
        <v>0</v>
      </c>
      <c r="C1006" s="278" t="s">
        <v>613</v>
      </c>
      <c r="D1006" s="263"/>
      <c r="E1006" s="237"/>
      <c r="F1006" s="1"/>
      <c r="AD1006"/>
      <c r="AE1006"/>
      <c r="AF1006">
        <f>IF(C$1005=C1006,B1006,0)</f>
        <v>0</v>
      </c>
      <c r="AG1006"/>
      <c r="AH1006"/>
    </row>
    <row r="1007" spans="1:34" ht="12" hidden="1" customHeight="1" x14ac:dyDescent="0.35">
      <c r="A1007" s="237"/>
      <c r="B1007" s="277">
        <v>1</v>
      </c>
      <c r="C1007" s="278" t="s">
        <v>614</v>
      </c>
      <c r="D1007" s="263"/>
      <c r="E1007" s="237"/>
      <c r="F1007" s="1"/>
      <c r="AD1007"/>
      <c r="AE1007"/>
      <c r="AF1007">
        <f>IF(C$1005=C1007,B1007,0)</f>
        <v>0</v>
      </c>
      <c r="AG1007"/>
      <c r="AH1007"/>
    </row>
    <row r="1008" spans="1:34" ht="12" hidden="1" customHeight="1" x14ac:dyDescent="0.35">
      <c r="A1008" s="237"/>
      <c r="B1008" s="277">
        <v>2</v>
      </c>
      <c r="C1008" s="278" t="s">
        <v>615</v>
      </c>
      <c r="D1008" s="263"/>
      <c r="E1008" s="237"/>
      <c r="F1008" s="1"/>
      <c r="AD1008"/>
      <c r="AE1008"/>
      <c r="AF1008">
        <f>IF(C$1005=C1008,B1008,0)</f>
        <v>0</v>
      </c>
      <c r="AG1008"/>
      <c r="AH1008"/>
    </row>
    <row r="1009" spans="1:34" ht="12" hidden="1" customHeight="1" thickBot="1" x14ac:dyDescent="0.4">
      <c r="A1009" s="237"/>
      <c r="B1009" s="277">
        <v>3</v>
      </c>
      <c r="C1009" s="278" t="s">
        <v>616</v>
      </c>
      <c r="D1009" s="263"/>
      <c r="E1009" s="237"/>
      <c r="F1009" s="1"/>
      <c r="AD1009"/>
      <c r="AE1009"/>
      <c r="AF1009">
        <f>IF(C$1005=C1009,B1009,0)</f>
        <v>0</v>
      </c>
      <c r="AG1009"/>
      <c r="AH1009"/>
    </row>
    <row r="1010" spans="1:34" ht="20" hidden="1" customHeight="1" thickTop="1" thickBot="1" x14ac:dyDescent="0.4">
      <c r="A1010" s="237"/>
      <c r="B1010" s="275">
        <v>5</v>
      </c>
      <c r="C1010" s="1063" t="str">
        <f>AD1010</f>
        <v>guilt</v>
      </c>
      <c r="D1010" s="1064"/>
      <c r="E1010" s="237"/>
      <c r="F1010" s="1"/>
      <c r="AD1010" s="276" t="s">
        <v>617</v>
      </c>
      <c r="AE1010"/>
      <c r="AF1010"/>
      <c r="AG1010">
        <f>IF(AND(C1010&lt;&gt;"",C1010=AD1010),0,1)</f>
        <v>0</v>
      </c>
      <c r="AH1010"/>
    </row>
    <row r="1011" spans="1:34" ht="12" hidden="1" customHeight="1" thickTop="1" x14ac:dyDescent="0.35">
      <c r="A1011" s="237"/>
      <c r="B1011" s="277">
        <v>0</v>
      </c>
      <c r="C1011" s="278" t="s">
        <v>618</v>
      </c>
      <c r="D1011" s="263"/>
      <c r="E1011" s="237"/>
      <c r="F1011" s="1"/>
      <c r="AD1011"/>
      <c r="AE1011"/>
      <c r="AF1011">
        <f>IF(C$1010=C1011,B1011,0)</f>
        <v>0</v>
      </c>
      <c r="AG1011"/>
      <c r="AH1011"/>
    </row>
    <row r="1012" spans="1:34" ht="12" hidden="1" customHeight="1" x14ac:dyDescent="0.35">
      <c r="A1012" s="237"/>
      <c r="B1012" s="277">
        <v>1</v>
      </c>
      <c r="C1012" s="278" t="s">
        <v>619</v>
      </c>
      <c r="D1012" s="263"/>
      <c r="E1012" s="237"/>
      <c r="F1012" s="1"/>
      <c r="AD1012"/>
      <c r="AE1012"/>
      <c r="AF1012">
        <f>IF(C$1010=C1012,B1012,0)</f>
        <v>0</v>
      </c>
      <c r="AG1012"/>
      <c r="AH1012"/>
    </row>
    <row r="1013" spans="1:34" ht="12" hidden="1" customHeight="1" x14ac:dyDescent="0.35">
      <c r="A1013" s="237"/>
      <c r="B1013" s="277">
        <v>2</v>
      </c>
      <c r="C1013" s="278" t="s">
        <v>620</v>
      </c>
      <c r="D1013" s="263"/>
      <c r="E1013" s="237"/>
      <c r="F1013" s="1"/>
      <c r="AD1013"/>
      <c r="AE1013"/>
      <c r="AF1013">
        <f>IF(C$1010=C1013,B1013,0)</f>
        <v>0</v>
      </c>
      <c r="AG1013"/>
      <c r="AH1013"/>
    </row>
    <row r="1014" spans="1:34" ht="12" hidden="1" customHeight="1" thickBot="1" x14ac:dyDescent="0.4">
      <c r="A1014" s="237"/>
      <c r="B1014" s="277">
        <v>3</v>
      </c>
      <c r="C1014" s="278" t="s">
        <v>621</v>
      </c>
      <c r="D1014" s="263"/>
      <c r="E1014" s="237"/>
      <c r="F1014" s="1"/>
      <c r="AD1014"/>
      <c r="AE1014"/>
      <c r="AF1014">
        <f>IF(C$1010=C1014,B1014,0)</f>
        <v>0</v>
      </c>
      <c r="AG1014"/>
      <c r="AH1014"/>
    </row>
    <row r="1015" spans="1:34" ht="20" hidden="1" customHeight="1" thickTop="1" thickBot="1" x14ac:dyDescent="0.4">
      <c r="A1015" s="237"/>
      <c r="B1015" s="275">
        <v>6</v>
      </c>
      <c r="C1015" s="1063" t="str">
        <f>AD1015</f>
        <v>punished</v>
      </c>
      <c r="D1015" s="1064"/>
      <c r="E1015" s="237"/>
      <c r="F1015" s="1"/>
      <c r="AD1015" s="276" t="s">
        <v>622</v>
      </c>
      <c r="AE1015"/>
      <c r="AF1015"/>
      <c r="AG1015">
        <f>IF(AND(C1015&lt;&gt;"",C1015=AD1015),0,1)</f>
        <v>0</v>
      </c>
      <c r="AH1015"/>
    </row>
    <row r="1016" spans="1:34" ht="12" hidden="1" customHeight="1" thickTop="1" x14ac:dyDescent="0.35">
      <c r="A1016" s="237"/>
      <c r="B1016" s="277">
        <v>0</v>
      </c>
      <c r="C1016" s="278" t="s">
        <v>623</v>
      </c>
      <c r="D1016" s="263"/>
      <c r="E1016" s="237"/>
      <c r="F1016" s="1"/>
      <c r="AD1016"/>
      <c r="AE1016"/>
      <c r="AF1016">
        <f>IF(C$1015=C1016,B1016,0)</f>
        <v>0</v>
      </c>
      <c r="AG1016"/>
      <c r="AH1016"/>
    </row>
    <row r="1017" spans="1:34" ht="12" hidden="1" customHeight="1" x14ac:dyDescent="0.35">
      <c r="A1017" s="237"/>
      <c r="B1017" s="277">
        <v>1</v>
      </c>
      <c r="C1017" s="278" t="s">
        <v>624</v>
      </c>
      <c r="D1017" s="263"/>
      <c r="E1017" s="237"/>
      <c r="F1017" s="1"/>
      <c r="AD1017"/>
      <c r="AE1017"/>
      <c r="AF1017">
        <f>IF(C$1015=C1017,B1017,0)</f>
        <v>0</v>
      </c>
      <c r="AG1017"/>
      <c r="AH1017"/>
    </row>
    <row r="1018" spans="1:34" ht="12" hidden="1" customHeight="1" x14ac:dyDescent="0.35">
      <c r="A1018" s="237"/>
      <c r="B1018" s="277">
        <v>2</v>
      </c>
      <c r="C1018" s="278" t="s">
        <v>625</v>
      </c>
      <c r="D1018" s="263"/>
      <c r="E1018" s="237"/>
      <c r="F1018" s="1"/>
      <c r="AD1018"/>
      <c r="AE1018"/>
      <c r="AF1018">
        <f>IF(C$1015=C1018,B1018,0)</f>
        <v>0</v>
      </c>
      <c r="AG1018"/>
      <c r="AH1018"/>
    </row>
    <row r="1019" spans="1:34" ht="12" hidden="1" customHeight="1" thickBot="1" x14ac:dyDescent="0.4">
      <c r="A1019" s="237"/>
      <c r="B1019" s="277">
        <v>3</v>
      </c>
      <c r="C1019" s="278" t="s">
        <v>626</v>
      </c>
      <c r="D1019" s="263"/>
      <c r="E1019" s="237"/>
      <c r="F1019" s="1"/>
      <c r="AD1019"/>
      <c r="AE1019"/>
      <c r="AF1019">
        <f>IF(C$1015=C1019,B1019,0)</f>
        <v>0</v>
      </c>
      <c r="AG1019"/>
      <c r="AH1019"/>
    </row>
    <row r="1020" spans="1:34" ht="20" hidden="1" customHeight="1" thickTop="1" thickBot="1" x14ac:dyDescent="0.4">
      <c r="A1020" s="237"/>
      <c r="B1020" s="275">
        <v>7</v>
      </c>
      <c r="C1020" s="1063" t="str">
        <f>AD1020</f>
        <v>self-loath</v>
      </c>
      <c r="D1020" s="1064"/>
      <c r="E1020" s="237"/>
      <c r="F1020" s="1"/>
      <c r="AD1020" s="276" t="s">
        <v>627</v>
      </c>
      <c r="AE1020"/>
      <c r="AF1020"/>
      <c r="AG1020">
        <f>IF(AND(C1020&lt;&gt;"",C1020=AD1020),0,1)</f>
        <v>0</v>
      </c>
      <c r="AH1020"/>
    </row>
    <row r="1021" spans="1:34" ht="12" hidden="1" customHeight="1" thickTop="1" x14ac:dyDescent="0.35">
      <c r="A1021" s="237"/>
      <c r="B1021" s="277">
        <v>0</v>
      </c>
      <c r="C1021" s="278" t="s">
        <v>628</v>
      </c>
      <c r="D1021" s="263"/>
      <c r="E1021" s="237"/>
      <c r="F1021" s="1"/>
      <c r="AD1021"/>
      <c r="AE1021"/>
      <c r="AF1021">
        <f>IF(C$1020=C1021,B1021,0)</f>
        <v>0</v>
      </c>
      <c r="AG1021"/>
      <c r="AH1021"/>
    </row>
    <row r="1022" spans="1:34" ht="12" hidden="1" customHeight="1" x14ac:dyDescent="0.35">
      <c r="A1022" s="237"/>
      <c r="B1022" s="277">
        <v>1</v>
      </c>
      <c r="C1022" s="278" t="s">
        <v>629</v>
      </c>
      <c r="D1022" s="263"/>
      <c r="E1022" s="237"/>
      <c r="F1022" s="1"/>
      <c r="AD1022"/>
      <c r="AE1022"/>
      <c r="AF1022">
        <f>IF(C$1020=C1022,B1022,0)</f>
        <v>0</v>
      </c>
      <c r="AG1022"/>
      <c r="AH1022"/>
    </row>
    <row r="1023" spans="1:34" ht="12" hidden="1" customHeight="1" x14ac:dyDescent="0.35">
      <c r="A1023" s="237"/>
      <c r="B1023" s="277">
        <v>2</v>
      </c>
      <c r="C1023" s="278" t="s">
        <v>630</v>
      </c>
      <c r="D1023" s="263"/>
      <c r="E1023" s="237"/>
      <c r="F1023" s="1"/>
      <c r="AD1023"/>
      <c r="AE1023"/>
      <c r="AF1023">
        <f>IF(C$1020=C1023,B1023,0)</f>
        <v>0</v>
      </c>
      <c r="AG1023"/>
      <c r="AH1023"/>
    </row>
    <row r="1024" spans="1:34" ht="12" hidden="1" customHeight="1" thickBot="1" x14ac:dyDescent="0.4">
      <c r="A1024" s="237"/>
      <c r="B1024" s="277">
        <v>3</v>
      </c>
      <c r="C1024" s="278" t="s">
        <v>631</v>
      </c>
      <c r="D1024" s="263"/>
      <c r="E1024" s="237"/>
      <c r="F1024" s="1"/>
      <c r="AD1024"/>
      <c r="AE1024"/>
      <c r="AF1024">
        <f>IF(C$1020=C1024,B1024,0)</f>
        <v>0</v>
      </c>
      <c r="AG1024"/>
      <c r="AH1024"/>
    </row>
    <row r="1025" spans="1:34" ht="20" hidden="1" customHeight="1" thickTop="1" thickBot="1" x14ac:dyDescent="0.4">
      <c r="A1025" s="237"/>
      <c r="B1025" s="275">
        <v>8</v>
      </c>
      <c r="C1025" s="1063" t="str">
        <f>AD1025</f>
        <v>faults</v>
      </c>
      <c r="D1025" s="1064"/>
      <c r="E1025" s="237"/>
      <c r="F1025" s="1"/>
      <c r="AD1025" s="276" t="s">
        <v>632</v>
      </c>
      <c r="AE1025"/>
      <c r="AF1025"/>
      <c r="AG1025">
        <f>IF(AND(C1025&lt;&gt;"",C1025=AD1025),0,1)</f>
        <v>0</v>
      </c>
      <c r="AH1025"/>
    </row>
    <row r="1026" spans="1:34" ht="12" hidden="1" customHeight="1" thickTop="1" x14ac:dyDescent="0.35">
      <c r="A1026" s="237"/>
      <c r="B1026" s="277">
        <v>0</v>
      </c>
      <c r="C1026" s="278" t="s">
        <v>633</v>
      </c>
      <c r="D1026" s="263"/>
      <c r="E1026" s="237"/>
      <c r="F1026" s="1"/>
      <c r="AD1026"/>
      <c r="AE1026"/>
      <c r="AF1026">
        <f>IF(C$1025=C1026,B1026,0)</f>
        <v>0</v>
      </c>
      <c r="AG1026"/>
      <c r="AH1026"/>
    </row>
    <row r="1027" spans="1:34" ht="12" hidden="1" customHeight="1" x14ac:dyDescent="0.35">
      <c r="A1027" s="237"/>
      <c r="B1027" s="277">
        <v>1</v>
      </c>
      <c r="C1027" s="278" t="s">
        <v>634</v>
      </c>
      <c r="D1027" s="263"/>
      <c r="E1027" s="237"/>
      <c r="F1027" s="1"/>
      <c r="AD1027"/>
      <c r="AE1027"/>
      <c r="AF1027">
        <f>IF(C$1025=C1027,B1027,0)</f>
        <v>0</v>
      </c>
      <c r="AG1027"/>
      <c r="AH1027"/>
    </row>
    <row r="1028" spans="1:34" ht="12" hidden="1" customHeight="1" x14ac:dyDescent="0.35">
      <c r="A1028" s="237"/>
      <c r="B1028" s="277">
        <v>2</v>
      </c>
      <c r="C1028" s="278" t="s">
        <v>635</v>
      </c>
      <c r="D1028" s="263"/>
      <c r="E1028" s="237"/>
      <c r="F1028" s="1"/>
      <c r="AD1028"/>
      <c r="AE1028"/>
      <c r="AF1028">
        <f>IF(C$1025=C1028,B1028,0)</f>
        <v>0</v>
      </c>
      <c r="AG1028"/>
      <c r="AH1028"/>
    </row>
    <row r="1029" spans="1:34" ht="12" hidden="1" customHeight="1" thickBot="1" x14ac:dyDescent="0.4">
      <c r="A1029" s="237"/>
      <c r="B1029" s="277">
        <v>3</v>
      </c>
      <c r="C1029" s="278" t="s">
        <v>636</v>
      </c>
      <c r="D1029" s="263"/>
      <c r="E1029" s="237"/>
      <c r="F1029" s="1"/>
      <c r="AD1029"/>
      <c r="AE1029"/>
      <c r="AF1029">
        <f>IF(C$1025=C1029,B1029,0)</f>
        <v>0</v>
      </c>
      <c r="AG1029"/>
      <c r="AH1029"/>
    </row>
    <row r="1030" spans="1:34" ht="20" hidden="1" customHeight="1" thickTop="1" thickBot="1" x14ac:dyDescent="0.4">
      <c r="A1030" s="237"/>
      <c r="B1030" s="275">
        <v>9</v>
      </c>
      <c r="C1030" s="1063" t="str">
        <f>AD1030</f>
        <v>suicidal thoughts</v>
      </c>
      <c r="D1030" s="1064"/>
      <c r="E1030" s="237"/>
      <c r="F1030" s="1"/>
      <c r="AD1030" s="276" t="s">
        <v>637</v>
      </c>
      <c r="AE1030"/>
      <c r="AF1030"/>
      <c r="AG1030">
        <f>IF(AND(C1030&lt;&gt;"",C1030=AD1030),0,1)</f>
        <v>0</v>
      </c>
      <c r="AH1030"/>
    </row>
    <row r="1031" spans="1:34" ht="12" hidden="1" customHeight="1" thickTop="1" x14ac:dyDescent="0.35">
      <c r="A1031" s="237"/>
      <c r="B1031" s="277">
        <v>0</v>
      </c>
      <c r="C1031" s="278" t="s">
        <v>638</v>
      </c>
      <c r="D1031" s="263"/>
      <c r="E1031" s="237"/>
      <c r="F1031" s="1"/>
      <c r="AD1031"/>
      <c r="AE1031"/>
      <c r="AF1031">
        <f>IF(C$1030=C1031,B1031,0)</f>
        <v>0</v>
      </c>
      <c r="AG1031"/>
      <c r="AH1031"/>
    </row>
    <row r="1032" spans="1:34" ht="12" hidden="1" customHeight="1" x14ac:dyDescent="0.35">
      <c r="A1032" s="237"/>
      <c r="B1032" s="277">
        <v>1</v>
      </c>
      <c r="C1032" s="278" t="s">
        <v>639</v>
      </c>
      <c r="D1032" s="263"/>
      <c r="E1032" s="237"/>
      <c r="F1032" s="1"/>
      <c r="AD1032"/>
      <c r="AE1032"/>
      <c r="AF1032">
        <f>IF(C$1030=C1032,B1032,0)</f>
        <v>0</v>
      </c>
      <c r="AG1032"/>
      <c r="AH1032"/>
    </row>
    <row r="1033" spans="1:34" ht="12" hidden="1" customHeight="1" x14ac:dyDescent="0.35">
      <c r="A1033" s="237"/>
      <c r="B1033" s="277">
        <v>2</v>
      </c>
      <c r="C1033" s="278" t="s">
        <v>640</v>
      </c>
      <c r="D1033" s="263"/>
      <c r="E1033" s="237"/>
      <c r="F1033" s="1"/>
      <c r="AD1033"/>
      <c r="AE1033"/>
      <c r="AF1033">
        <f>IF(C$1030=C1033,B1033,0)</f>
        <v>0</v>
      </c>
      <c r="AG1033"/>
      <c r="AH1033"/>
    </row>
    <row r="1034" spans="1:34" ht="12" hidden="1" customHeight="1" thickBot="1" x14ac:dyDescent="0.4">
      <c r="A1034" s="237"/>
      <c r="B1034" s="277">
        <v>3</v>
      </c>
      <c r="C1034" s="278" t="s">
        <v>641</v>
      </c>
      <c r="D1034" s="263"/>
      <c r="E1034" s="237"/>
      <c r="F1034" s="1"/>
      <c r="AD1034"/>
      <c r="AE1034"/>
      <c r="AF1034">
        <f>IF(C$1030=C1034,B1034,0)</f>
        <v>0</v>
      </c>
      <c r="AG1034"/>
      <c r="AH1034"/>
    </row>
    <row r="1035" spans="1:34" ht="20" hidden="1" customHeight="1" thickTop="1" thickBot="1" x14ac:dyDescent="0.4">
      <c r="A1035" s="237"/>
      <c r="B1035" s="275">
        <v>10</v>
      </c>
      <c r="C1035" s="1063" t="str">
        <f>AD1035</f>
        <v>crying</v>
      </c>
      <c r="D1035" s="1064"/>
      <c r="E1035" s="237"/>
      <c r="F1035" s="1"/>
      <c r="AD1035" s="276" t="s">
        <v>642</v>
      </c>
      <c r="AE1035"/>
      <c r="AF1035"/>
      <c r="AG1035">
        <f>IF(AND(C1035&lt;&gt;"",C1035=AD1035),0,1)</f>
        <v>0</v>
      </c>
      <c r="AH1035"/>
    </row>
    <row r="1036" spans="1:34" ht="12" hidden="1" customHeight="1" thickTop="1" x14ac:dyDescent="0.35">
      <c r="A1036" s="237"/>
      <c r="B1036" s="277">
        <v>0</v>
      </c>
      <c r="C1036" s="278" t="s">
        <v>643</v>
      </c>
      <c r="D1036" s="263"/>
      <c r="E1036" s="237"/>
      <c r="F1036" s="1"/>
      <c r="AD1036"/>
      <c r="AE1036"/>
      <c r="AF1036">
        <f>IF(C$1035=C1036,B1036,0)</f>
        <v>0</v>
      </c>
      <c r="AG1036"/>
      <c r="AH1036"/>
    </row>
    <row r="1037" spans="1:34" ht="12" hidden="1" customHeight="1" x14ac:dyDescent="0.35">
      <c r="A1037" s="237"/>
      <c r="B1037" s="277">
        <v>1</v>
      </c>
      <c r="C1037" s="278" t="s">
        <v>644</v>
      </c>
      <c r="D1037" s="263"/>
      <c r="E1037" s="237"/>
      <c r="F1037" s="1"/>
      <c r="AD1037"/>
      <c r="AE1037"/>
      <c r="AF1037">
        <f>IF(C$1035=C1037,B1037,0)</f>
        <v>0</v>
      </c>
      <c r="AG1037"/>
      <c r="AH1037"/>
    </row>
    <row r="1038" spans="1:34" ht="12" hidden="1" customHeight="1" x14ac:dyDescent="0.35">
      <c r="A1038" s="237"/>
      <c r="B1038" s="277">
        <v>2</v>
      </c>
      <c r="C1038" s="278" t="s">
        <v>645</v>
      </c>
      <c r="D1038" s="263"/>
      <c r="E1038" s="237"/>
      <c r="F1038" s="1"/>
      <c r="AD1038"/>
      <c r="AE1038"/>
      <c r="AF1038">
        <f>IF(C$1035=C1038,B1038,0)</f>
        <v>0</v>
      </c>
      <c r="AG1038"/>
      <c r="AH1038"/>
    </row>
    <row r="1039" spans="1:34" ht="12" hidden="1" customHeight="1" thickBot="1" x14ac:dyDescent="0.4">
      <c r="A1039" s="237"/>
      <c r="B1039" s="277">
        <v>3</v>
      </c>
      <c r="C1039" s="278" t="s">
        <v>646</v>
      </c>
      <c r="D1039" s="263"/>
      <c r="E1039" s="237"/>
      <c r="F1039" s="1"/>
      <c r="AD1039"/>
      <c r="AE1039"/>
      <c r="AF1039">
        <f>IF(C$1035=C1039,B1039,0)</f>
        <v>0</v>
      </c>
      <c r="AG1039"/>
      <c r="AH1039"/>
    </row>
    <row r="1040" spans="1:34" ht="20" hidden="1" customHeight="1" thickTop="1" thickBot="1" x14ac:dyDescent="0.4">
      <c r="A1040" s="237"/>
      <c r="B1040" s="275">
        <v>11</v>
      </c>
      <c r="C1040" s="1063" t="str">
        <f>AD1040</f>
        <v>irritability</v>
      </c>
      <c r="D1040" s="1064"/>
      <c r="E1040" s="237"/>
      <c r="F1040" s="1"/>
      <c r="AD1040" s="276" t="s">
        <v>647</v>
      </c>
      <c r="AE1040"/>
      <c r="AF1040"/>
      <c r="AG1040">
        <f>IF(AND(C1040&lt;&gt;"",C1040=AD1040),0,1)</f>
        <v>0</v>
      </c>
      <c r="AH1040"/>
    </row>
    <row r="1041" spans="1:34" ht="12" hidden="1" customHeight="1" thickTop="1" x14ac:dyDescent="0.35">
      <c r="A1041" s="237"/>
      <c r="B1041" s="277">
        <v>0</v>
      </c>
      <c r="C1041" s="278" t="s">
        <v>648</v>
      </c>
      <c r="D1041" s="263"/>
      <c r="E1041" s="237"/>
      <c r="F1041" s="1"/>
      <c r="AD1041"/>
      <c r="AE1041"/>
      <c r="AF1041">
        <f>IF(C$1040=C1041,B1041,0)</f>
        <v>0</v>
      </c>
      <c r="AG1041"/>
      <c r="AH1041"/>
    </row>
    <row r="1042" spans="1:34" ht="12" hidden="1" customHeight="1" x14ac:dyDescent="0.35">
      <c r="A1042" s="237"/>
      <c r="B1042" s="277">
        <v>1</v>
      </c>
      <c r="C1042" s="278" t="s">
        <v>649</v>
      </c>
      <c r="D1042" s="263"/>
      <c r="E1042" s="237"/>
      <c r="F1042" s="1"/>
      <c r="AD1042"/>
      <c r="AE1042"/>
      <c r="AF1042">
        <f>IF(C$1040=C1042,B1042,0)</f>
        <v>0</v>
      </c>
      <c r="AG1042"/>
      <c r="AH1042"/>
    </row>
    <row r="1043" spans="1:34" ht="12" hidden="1" customHeight="1" x14ac:dyDescent="0.35">
      <c r="A1043" s="237"/>
      <c r="B1043" s="277">
        <v>2</v>
      </c>
      <c r="C1043" s="278" t="s">
        <v>650</v>
      </c>
      <c r="D1043" s="263"/>
      <c r="E1043" s="237"/>
      <c r="F1043" s="1"/>
      <c r="AD1043"/>
      <c r="AE1043"/>
      <c r="AF1043">
        <f>IF(C$1040=C1043,B1043,0)</f>
        <v>0</v>
      </c>
      <c r="AG1043"/>
      <c r="AH1043"/>
    </row>
    <row r="1044" spans="1:34" ht="12" hidden="1" customHeight="1" thickBot="1" x14ac:dyDescent="0.4">
      <c r="A1044" s="237"/>
      <c r="B1044" s="277">
        <v>3</v>
      </c>
      <c r="C1044" s="278" t="s">
        <v>651</v>
      </c>
      <c r="D1044" s="263"/>
      <c r="E1044" s="237"/>
      <c r="F1044" s="1"/>
      <c r="AD1044"/>
      <c r="AE1044"/>
      <c r="AF1044">
        <f>IF(C$1040=C1044,B1044,0)</f>
        <v>0</v>
      </c>
      <c r="AG1044"/>
      <c r="AH1044"/>
    </row>
    <row r="1045" spans="1:34" ht="20" hidden="1" customHeight="1" thickTop="1" thickBot="1" x14ac:dyDescent="0.4">
      <c r="A1045" s="237"/>
      <c r="B1045" s="275">
        <v>12</v>
      </c>
      <c r="C1045" s="1063" t="str">
        <f>AD1045</f>
        <v>socializing</v>
      </c>
      <c r="D1045" s="1064"/>
      <c r="E1045" s="237"/>
      <c r="F1045" s="1"/>
      <c r="AD1045" s="276" t="s">
        <v>652</v>
      </c>
      <c r="AE1045"/>
      <c r="AF1045"/>
      <c r="AG1045">
        <f>IF(AND(C1045&lt;&gt;"",C1045=AD1045),0,1)</f>
        <v>0</v>
      </c>
      <c r="AH1045"/>
    </row>
    <row r="1046" spans="1:34" ht="12" hidden="1" customHeight="1" thickTop="1" x14ac:dyDescent="0.35">
      <c r="A1046" s="237"/>
      <c r="B1046" s="277">
        <v>0</v>
      </c>
      <c r="C1046" s="278" t="s">
        <v>653</v>
      </c>
      <c r="D1046" s="263"/>
      <c r="E1046" s="237"/>
      <c r="F1046" s="1"/>
      <c r="AD1046"/>
      <c r="AE1046"/>
      <c r="AF1046">
        <f>IF(C$1045=C1046,B1046,0)</f>
        <v>0</v>
      </c>
      <c r="AG1046"/>
      <c r="AH1046"/>
    </row>
    <row r="1047" spans="1:34" ht="12" hidden="1" customHeight="1" x14ac:dyDescent="0.35">
      <c r="A1047" s="237"/>
      <c r="B1047" s="277">
        <v>1</v>
      </c>
      <c r="C1047" s="278" t="s">
        <v>654</v>
      </c>
      <c r="D1047" s="263"/>
      <c r="E1047" s="237"/>
      <c r="F1047" s="1"/>
      <c r="AD1047"/>
      <c r="AE1047"/>
      <c r="AF1047">
        <f>IF(C$1045=C1047,B1047,0)</f>
        <v>0</v>
      </c>
      <c r="AG1047"/>
      <c r="AH1047"/>
    </row>
    <row r="1048" spans="1:34" ht="12" hidden="1" customHeight="1" x14ac:dyDescent="0.35">
      <c r="A1048" s="237"/>
      <c r="B1048" s="277">
        <v>2</v>
      </c>
      <c r="C1048" s="278" t="s">
        <v>655</v>
      </c>
      <c r="D1048" s="263"/>
      <c r="E1048" s="237"/>
      <c r="F1048" s="1"/>
      <c r="AD1048"/>
      <c r="AE1048"/>
      <c r="AF1048">
        <f>IF(C$1045=C1048,B1048,0)</f>
        <v>0</v>
      </c>
      <c r="AG1048"/>
      <c r="AH1048"/>
    </row>
    <row r="1049" spans="1:34" ht="12" hidden="1" customHeight="1" thickBot="1" x14ac:dyDescent="0.4">
      <c r="A1049" s="237"/>
      <c r="B1049" s="277">
        <v>3</v>
      </c>
      <c r="C1049" s="278" t="s">
        <v>656</v>
      </c>
      <c r="D1049" s="263"/>
      <c r="E1049" s="237"/>
      <c r="F1049" s="1"/>
      <c r="AD1049"/>
      <c r="AE1049"/>
      <c r="AF1049">
        <f>IF(C$1045=C1049,B1049,0)</f>
        <v>0</v>
      </c>
      <c r="AG1049"/>
      <c r="AH1049"/>
    </row>
    <row r="1050" spans="1:34" ht="20" hidden="1" customHeight="1" thickTop="1" thickBot="1" x14ac:dyDescent="0.4">
      <c r="A1050" s="237"/>
      <c r="B1050" s="275">
        <v>13</v>
      </c>
      <c r="C1050" s="1063" t="str">
        <f>AD1050</f>
        <v>decisiveness</v>
      </c>
      <c r="D1050" s="1064"/>
      <c r="E1050" s="237"/>
      <c r="F1050" s="1"/>
      <c r="AD1050" s="276" t="s">
        <v>657</v>
      </c>
      <c r="AE1050"/>
      <c r="AF1050"/>
      <c r="AG1050">
        <f>IF(AND(C1050&lt;&gt;"",C1050=AD1050),0,1)</f>
        <v>0</v>
      </c>
      <c r="AH1050"/>
    </row>
    <row r="1051" spans="1:34" ht="12" hidden="1" customHeight="1" thickTop="1" x14ac:dyDescent="0.35">
      <c r="A1051" s="237"/>
      <c r="B1051" s="277">
        <v>0</v>
      </c>
      <c r="C1051" s="278" t="s">
        <v>658</v>
      </c>
      <c r="D1051" s="263"/>
      <c r="E1051" s="237"/>
      <c r="F1051" s="1"/>
      <c r="AD1051"/>
      <c r="AE1051"/>
      <c r="AF1051">
        <f>IF(C$1050=C1051,B1051,0)</f>
        <v>0</v>
      </c>
      <c r="AG1051"/>
      <c r="AH1051"/>
    </row>
    <row r="1052" spans="1:34" ht="12" hidden="1" customHeight="1" x14ac:dyDescent="0.35">
      <c r="A1052" s="237"/>
      <c r="B1052" s="277">
        <v>1</v>
      </c>
      <c r="C1052" s="278" t="s">
        <v>659</v>
      </c>
      <c r="D1052" s="263"/>
      <c r="E1052" s="237"/>
      <c r="F1052" s="1"/>
      <c r="AD1052"/>
      <c r="AE1052"/>
      <c r="AF1052">
        <f>IF(C$1050=C1052,B1052,0)</f>
        <v>0</v>
      </c>
      <c r="AG1052"/>
      <c r="AH1052"/>
    </row>
    <row r="1053" spans="1:34" ht="12" hidden="1" customHeight="1" x14ac:dyDescent="0.35">
      <c r="A1053" s="237"/>
      <c r="B1053" s="277">
        <v>2</v>
      </c>
      <c r="C1053" s="278" t="s">
        <v>660</v>
      </c>
      <c r="D1053" s="263"/>
      <c r="E1053" s="237"/>
      <c r="F1053" s="1"/>
      <c r="AD1053"/>
      <c r="AE1053"/>
      <c r="AF1053">
        <f>IF(C$1050=C1053,B1053,0)</f>
        <v>0</v>
      </c>
      <c r="AG1053"/>
      <c r="AH1053"/>
    </row>
    <row r="1054" spans="1:34" ht="12" hidden="1" customHeight="1" thickBot="1" x14ac:dyDescent="0.4">
      <c r="A1054" s="237"/>
      <c r="B1054" s="277">
        <v>3</v>
      </c>
      <c r="C1054" s="278" t="s">
        <v>661</v>
      </c>
      <c r="D1054" s="263"/>
      <c r="E1054" s="237"/>
      <c r="F1054" s="1"/>
      <c r="AD1054"/>
      <c r="AE1054"/>
      <c r="AF1054">
        <f>IF(C$1050=C1054,B1054,0)</f>
        <v>0</v>
      </c>
      <c r="AG1054"/>
      <c r="AH1054"/>
    </row>
    <row r="1055" spans="1:34" ht="20" hidden="1" customHeight="1" thickTop="1" thickBot="1" x14ac:dyDescent="0.4">
      <c r="A1055" s="237"/>
      <c r="B1055" s="275">
        <v>14</v>
      </c>
      <c r="C1055" s="1063" t="str">
        <f>AD1055</f>
        <v>self-image</v>
      </c>
      <c r="D1055" s="1064"/>
      <c r="E1055" s="237"/>
      <c r="F1055" s="1"/>
      <c r="AD1055" s="276" t="s">
        <v>662</v>
      </c>
      <c r="AE1055"/>
      <c r="AF1055"/>
      <c r="AG1055">
        <f>IF(AND(C1055&lt;&gt;"",C1055=AD1055),0,1)</f>
        <v>0</v>
      </c>
      <c r="AH1055"/>
    </row>
    <row r="1056" spans="1:34" ht="12" hidden="1" customHeight="1" thickTop="1" x14ac:dyDescent="0.35">
      <c r="A1056" s="237"/>
      <c r="B1056" s="277">
        <v>0</v>
      </c>
      <c r="C1056" s="278" t="s">
        <v>663</v>
      </c>
      <c r="D1056" s="263"/>
      <c r="E1056" s="237"/>
      <c r="F1056" s="1"/>
      <c r="AD1056"/>
      <c r="AE1056"/>
      <c r="AF1056">
        <f>IF(C$1055=C1056,B1056,0)</f>
        <v>0</v>
      </c>
      <c r="AG1056"/>
      <c r="AH1056"/>
    </row>
    <row r="1057" spans="1:34" ht="12" hidden="1" customHeight="1" x14ac:dyDescent="0.35">
      <c r="A1057" s="237"/>
      <c r="B1057" s="277">
        <v>1</v>
      </c>
      <c r="C1057" s="278" t="s">
        <v>664</v>
      </c>
      <c r="D1057" s="263"/>
      <c r="E1057" s="237"/>
      <c r="F1057" s="1"/>
      <c r="AD1057"/>
      <c r="AE1057"/>
      <c r="AF1057">
        <f>IF(C$1055=C1057,B1057,0)</f>
        <v>0</v>
      </c>
      <c r="AG1057"/>
      <c r="AH1057"/>
    </row>
    <row r="1058" spans="1:34" ht="12" hidden="1" customHeight="1" x14ac:dyDescent="0.35">
      <c r="A1058" s="237"/>
      <c r="B1058" s="277">
        <v>2</v>
      </c>
      <c r="C1058" s="278" t="s">
        <v>665</v>
      </c>
      <c r="D1058" s="263"/>
      <c r="E1058" s="237"/>
      <c r="F1058" s="1"/>
      <c r="AD1058"/>
      <c r="AE1058"/>
      <c r="AF1058">
        <f>IF(C$1055=C1058,B1058,0)</f>
        <v>0</v>
      </c>
      <c r="AG1058"/>
      <c r="AH1058"/>
    </row>
    <row r="1059" spans="1:34" ht="12" hidden="1" customHeight="1" thickBot="1" x14ac:dyDescent="0.4">
      <c r="A1059" s="237"/>
      <c r="B1059" s="277">
        <v>3</v>
      </c>
      <c r="C1059" s="278" t="s">
        <v>666</v>
      </c>
      <c r="D1059" s="263"/>
      <c r="E1059" s="237"/>
      <c r="F1059" s="1"/>
      <c r="AD1059"/>
      <c r="AE1059"/>
      <c r="AF1059">
        <f>IF(C$1055=C1059,B1059,0)</f>
        <v>0</v>
      </c>
      <c r="AG1059"/>
      <c r="AH1059"/>
    </row>
    <row r="1060" spans="1:34" ht="20" hidden="1" customHeight="1" thickTop="1" thickBot="1" x14ac:dyDescent="0.4">
      <c r="A1060" s="237"/>
      <c r="B1060" s="275">
        <v>15</v>
      </c>
      <c r="C1060" s="1063" t="str">
        <f>AD1060</f>
        <v>effort</v>
      </c>
      <c r="D1060" s="1064"/>
      <c r="E1060" s="237"/>
      <c r="F1060" s="1"/>
      <c r="AD1060" s="276" t="s">
        <v>667</v>
      </c>
      <c r="AE1060"/>
      <c r="AF1060"/>
      <c r="AG1060">
        <f>IF(AND(C1060&lt;&gt;"",C1060=AD1060),0,1)</f>
        <v>0</v>
      </c>
      <c r="AH1060"/>
    </row>
    <row r="1061" spans="1:34" ht="12" hidden="1" customHeight="1" thickTop="1" x14ac:dyDescent="0.35">
      <c r="A1061" s="237"/>
      <c r="B1061" s="277">
        <v>0</v>
      </c>
      <c r="C1061" s="278" t="s">
        <v>668</v>
      </c>
      <c r="D1061" s="263"/>
      <c r="E1061" s="237"/>
      <c r="F1061" s="1"/>
      <c r="AD1061"/>
      <c r="AE1061"/>
      <c r="AF1061">
        <f>IF(C$1060=C1061,B1061,0)</f>
        <v>0</v>
      </c>
      <c r="AG1061"/>
      <c r="AH1061"/>
    </row>
    <row r="1062" spans="1:34" ht="12" hidden="1" customHeight="1" x14ac:dyDescent="0.35">
      <c r="A1062" s="237"/>
      <c r="B1062" s="277">
        <v>1</v>
      </c>
      <c r="C1062" s="278" t="s">
        <v>669</v>
      </c>
      <c r="D1062" s="263"/>
      <c r="E1062" s="237"/>
      <c r="F1062" s="1"/>
      <c r="AD1062"/>
      <c r="AE1062"/>
      <c r="AF1062">
        <f>IF(C$1060=C1062,B1062,0)</f>
        <v>0</v>
      </c>
      <c r="AG1062"/>
      <c r="AH1062"/>
    </row>
    <row r="1063" spans="1:34" ht="12" hidden="1" customHeight="1" x14ac:dyDescent="0.35">
      <c r="A1063" s="237"/>
      <c r="B1063" s="277">
        <v>2</v>
      </c>
      <c r="C1063" s="278" t="s">
        <v>670</v>
      </c>
      <c r="D1063" s="263"/>
      <c r="E1063" s="237"/>
      <c r="F1063" s="1"/>
      <c r="AD1063"/>
      <c r="AE1063"/>
      <c r="AF1063">
        <f>IF(C$1060=C1063,B1063,0)</f>
        <v>0</v>
      </c>
      <c r="AG1063"/>
      <c r="AH1063"/>
    </row>
    <row r="1064" spans="1:34" ht="12" hidden="1" customHeight="1" thickBot="1" x14ac:dyDescent="0.4">
      <c r="A1064" s="237"/>
      <c r="B1064" s="277">
        <v>3</v>
      </c>
      <c r="C1064" s="278" t="s">
        <v>671</v>
      </c>
      <c r="D1064" s="263"/>
      <c r="E1064" s="237"/>
      <c r="F1064" s="1"/>
      <c r="AD1064"/>
      <c r="AE1064"/>
      <c r="AF1064">
        <f>IF(C$1060=C1064,B1064,0)</f>
        <v>0</v>
      </c>
      <c r="AG1064"/>
      <c r="AH1064"/>
    </row>
    <row r="1065" spans="1:34" ht="20" hidden="1" customHeight="1" thickTop="1" thickBot="1" x14ac:dyDescent="0.4">
      <c r="A1065" s="237"/>
      <c r="B1065" s="275">
        <v>16</v>
      </c>
      <c r="C1065" s="1063" t="str">
        <f>AD1065</f>
        <v>sleep</v>
      </c>
      <c r="D1065" s="1064"/>
      <c r="E1065" s="237"/>
      <c r="F1065" s="1"/>
      <c r="AD1065" s="276" t="s">
        <v>672</v>
      </c>
      <c r="AE1065"/>
      <c r="AF1065"/>
      <c r="AG1065">
        <f>IF(AND(C1065&lt;&gt;"",C1065=AD1065),0,1)</f>
        <v>0</v>
      </c>
      <c r="AH1065"/>
    </row>
    <row r="1066" spans="1:34" ht="12" hidden="1" customHeight="1" thickTop="1" x14ac:dyDescent="0.35">
      <c r="A1066" s="237"/>
      <c r="B1066" s="277">
        <v>0</v>
      </c>
      <c r="C1066" s="278" t="s">
        <v>673</v>
      </c>
      <c r="D1066" s="263"/>
      <c r="E1066" s="237"/>
      <c r="F1066" s="1"/>
      <c r="AD1066"/>
      <c r="AE1066"/>
      <c r="AF1066">
        <f>IF(C$1065=C1066,B1066,0)</f>
        <v>0</v>
      </c>
      <c r="AG1066"/>
      <c r="AH1066"/>
    </row>
    <row r="1067" spans="1:34" ht="12" hidden="1" customHeight="1" x14ac:dyDescent="0.35">
      <c r="A1067" s="237"/>
      <c r="B1067" s="277">
        <v>1</v>
      </c>
      <c r="C1067" s="278" t="s">
        <v>674</v>
      </c>
      <c r="D1067" s="263"/>
      <c r="E1067" s="237"/>
      <c r="F1067" s="1"/>
      <c r="AD1067"/>
      <c r="AE1067"/>
      <c r="AF1067">
        <f>IF(C$1065=C1067,B1067,0)</f>
        <v>0</v>
      </c>
      <c r="AG1067"/>
      <c r="AH1067"/>
    </row>
    <row r="1068" spans="1:34" ht="12" hidden="1" customHeight="1" x14ac:dyDescent="0.35">
      <c r="A1068" s="237"/>
      <c r="B1068" s="277">
        <v>2</v>
      </c>
      <c r="C1068" s="278" t="s">
        <v>675</v>
      </c>
      <c r="D1068" s="263"/>
      <c r="E1068" s="237"/>
      <c r="F1068" s="1"/>
      <c r="AD1068"/>
      <c r="AE1068"/>
      <c r="AF1068">
        <f>IF(C$1065=C1068,B1068,0)</f>
        <v>0</v>
      </c>
      <c r="AG1068"/>
      <c r="AH1068"/>
    </row>
    <row r="1069" spans="1:34" ht="12" hidden="1" customHeight="1" thickBot="1" x14ac:dyDescent="0.4">
      <c r="A1069" s="237"/>
      <c r="B1069" s="277">
        <v>3</v>
      </c>
      <c r="C1069" s="278" t="s">
        <v>676</v>
      </c>
      <c r="D1069" s="263"/>
      <c r="E1069" s="237"/>
      <c r="F1069" s="1"/>
      <c r="AD1069"/>
      <c r="AE1069"/>
      <c r="AF1069">
        <f>IF(C$1065=C1069,B1069,0)</f>
        <v>0</v>
      </c>
      <c r="AG1069"/>
      <c r="AH1069"/>
    </row>
    <row r="1070" spans="1:34" ht="20" hidden="1" customHeight="1" thickTop="1" thickBot="1" x14ac:dyDescent="0.4">
      <c r="A1070" s="237"/>
      <c r="B1070" s="275">
        <v>17</v>
      </c>
      <c r="C1070" s="1063" t="str">
        <f>AD1070</f>
        <v>tiredness</v>
      </c>
      <c r="D1070" s="1064"/>
      <c r="E1070" s="237"/>
      <c r="F1070" s="1"/>
      <c r="AD1070" s="276" t="s">
        <v>677</v>
      </c>
      <c r="AE1070"/>
      <c r="AF1070"/>
      <c r="AG1070">
        <f>IF(AND(C1070&lt;&gt;"",C1070=AD1070),0,1)</f>
        <v>0</v>
      </c>
      <c r="AH1070"/>
    </row>
    <row r="1071" spans="1:34" ht="12" hidden="1" customHeight="1" thickTop="1" x14ac:dyDescent="0.35">
      <c r="A1071" s="237"/>
      <c r="B1071" s="277">
        <v>0</v>
      </c>
      <c r="C1071" s="278" t="s">
        <v>678</v>
      </c>
      <c r="D1071" s="263"/>
      <c r="E1071" s="237"/>
      <c r="F1071" s="1"/>
      <c r="AD1071"/>
      <c r="AE1071"/>
      <c r="AF1071">
        <f>IF(C$1070=C1071,B1071,0)</f>
        <v>0</v>
      </c>
      <c r="AG1071"/>
      <c r="AH1071"/>
    </row>
    <row r="1072" spans="1:34" ht="12" hidden="1" customHeight="1" x14ac:dyDescent="0.35">
      <c r="A1072" s="237"/>
      <c r="B1072" s="277">
        <v>1</v>
      </c>
      <c r="C1072" s="278" t="s">
        <v>679</v>
      </c>
      <c r="D1072" s="263"/>
      <c r="E1072" s="237"/>
      <c r="F1072" s="1"/>
      <c r="AD1072"/>
      <c r="AE1072"/>
      <c r="AF1072">
        <f>IF(C$1070=C1072,B1072,0)</f>
        <v>0</v>
      </c>
      <c r="AG1072"/>
      <c r="AH1072"/>
    </row>
    <row r="1073" spans="1:34" ht="12" hidden="1" customHeight="1" x14ac:dyDescent="0.35">
      <c r="A1073" s="237"/>
      <c r="B1073" s="277">
        <v>2</v>
      </c>
      <c r="C1073" s="278" t="s">
        <v>680</v>
      </c>
      <c r="D1073" s="263"/>
      <c r="E1073" s="237"/>
      <c r="F1073" s="1"/>
      <c r="AD1073"/>
      <c r="AE1073"/>
      <c r="AF1073">
        <f>IF(C$1070=C1073,B1073,0)</f>
        <v>0</v>
      </c>
      <c r="AG1073"/>
      <c r="AH1073"/>
    </row>
    <row r="1074" spans="1:34" ht="12" hidden="1" customHeight="1" thickBot="1" x14ac:dyDescent="0.4">
      <c r="A1074" s="237"/>
      <c r="B1074" s="277">
        <v>3</v>
      </c>
      <c r="C1074" s="278" t="s">
        <v>681</v>
      </c>
      <c r="D1074" s="263"/>
      <c r="E1074" s="237"/>
      <c r="F1074" s="1"/>
      <c r="AD1074"/>
      <c r="AE1074"/>
      <c r="AF1074">
        <f>IF(C$1070=C1074,B1074,0)</f>
        <v>0</v>
      </c>
      <c r="AG1074"/>
      <c r="AH1074"/>
    </row>
    <row r="1075" spans="1:34" ht="20" hidden="1" customHeight="1" thickTop="1" thickBot="1" x14ac:dyDescent="0.4">
      <c r="A1075" s="237"/>
      <c r="B1075" s="275">
        <v>18</v>
      </c>
      <c r="C1075" s="1063" t="str">
        <f>AD1075</f>
        <v>appetite</v>
      </c>
      <c r="D1075" s="1064"/>
      <c r="E1075" s="237"/>
      <c r="F1075" s="1"/>
      <c r="AD1075" s="276" t="s">
        <v>682</v>
      </c>
      <c r="AE1075"/>
      <c r="AF1075"/>
      <c r="AG1075">
        <f>IF(AND(C1075&lt;&gt;"",C1075=AD1075),0,1)</f>
        <v>0</v>
      </c>
      <c r="AH1075"/>
    </row>
    <row r="1076" spans="1:34" ht="12" hidden="1" customHeight="1" thickTop="1" x14ac:dyDescent="0.35">
      <c r="A1076" s="237"/>
      <c r="B1076" s="277">
        <v>0</v>
      </c>
      <c r="C1076" s="278" t="s">
        <v>683</v>
      </c>
      <c r="D1076" s="263"/>
      <c r="E1076" s="237"/>
      <c r="F1076" s="1"/>
      <c r="AD1076"/>
      <c r="AE1076"/>
      <c r="AF1076">
        <f>IF(C$1075=C1076,B1076,0)</f>
        <v>0</v>
      </c>
      <c r="AG1076"/>
      <c r="AH1076"/>
    </row>
    <row r="1077" spans="1:34" ht="12" hidden="1" customHeight="1" x14ac:dyDescent="0.35">
      <c r="A1077" s="237"/>
      <c r="B1077" s="277">
        <v>1</v>
      </c>
      <c r="C1077" s="278" t="s">
        <v>684</v>
      </c>
      <c r="D1077" s="263"/>
      <c r="E1077" s="237"/>
      <c r="F1077" s="1"/>
      <c r="AD1077"/>
      <c r="AE1077"/>
      <c r="AF1077">
        <f>IF(C$1075=C1077,B1077,0)</f>
        <v>0</v>
      </c>
      <c r="AG1077"/>
      <c r="AH1077"/>
    </row>
    <row r="1078" spans="1:34" ht="12" hidden="1" customHeight="1" x14ac:dyDescent="0.35">
      <c r="A1078" s="237"/>
      <c r="B1078" s="277">
        <v>2</v>
      </c>
      <c r="C1078" s="278" t="s">
        <v>685</v>
      </c>
      <c r="D1078" s="263"/>
      <c r="E1078" s="237"/>
      <c r="F1078" s="1"/>
      <c r="AD1078"/>
      <c r="AE1078"/>
      <c r="AF1078">
        <f>IF(C$1075=C1078,B1078,0)</f>
        <v>0</v>
      </c>
      <c r="AG1078"/>
      <c r="AH1078"/>
    </row>
    <row r="1079" spans="1:34" ht="12" hidden="1" customHeight="1" thickBot="1" x14ac:dyDescent="0.4">
      <c r="A1079" s="237"/>
      <c r="B1079" s="277">
        <v>3</v>
      </c>
      <c r="C1079" s="278" t="s">
        <v>686</v>
      </c>
      <c r="D1079" s="263"/>
      <c r="E1079" s="237"/>
      <c r="F1079" s="1"/>
      <c r="AD1079"/>
      <c r="AE1079"/>
      <c r="AF1079">
        <f>IF(C$1075=C1079,B1079,0)</f>
        <v>0</v>
      </c>
      <c r="AG1079"/>
      <c r="AH1079"/>
    </row>
    <row r="1080" spans="1:34" ht="20" hidden="1" customHeight="1" thickTop="1" thickBot="1" x14ac:dyDescent="0.4">
      <c r="A1080" s="237"/>
      <c r="B1080" s="275">
        <v>19</v>
      </c>
      <c r="C1080" s="1063" t="str">
        <f>AD1080</f>
        <v>weight loss</v>
      </c>
      <c r="D1080" s="1064"/>
      <c r="E1080" s="237"/>
      <c r="F1080" s="1"/>
      <c r="AD1080" s="276" t="s">
        <v>687</v>
      </c>
      <c r="AE1080"/>
      <c r="AF1080"/>
      <c r="AG1080">
        <f>IF(AND(C1080&lt;&gt;"",C1080=AD1080),0,1)</f>
        <v>0</v>
      </c>
      <c r="AH1080"/>
    </row>
    <row r="1081" spans="1:34" ht="12" hidden="1" customHeight="1" thickTop="1" x14ac:dyDescent="0.35">
      <c r="A1081" s="237"/>
      <c r="B1081" s="277">
        <v>0</v>
      </c>
      <c r="C1081" s="278" t="s">
        <v>688</v>
      </c>
      <c r="D1081" s="263"/>
      <c r="E1081" s="237"/>
      <c r="F1081" s="1"/>
      <c r="AD1081"/>
      <c r="AE1081"/>
      <c r="AF1081">
        <f>IF(C$1080=C1081,B1081,0)</f>
        <v>0</v>
      </c>
      <c r="AG1081"/>
      <c r="AH1081"/>
    </row>
    <row r="1082" spans="1:34" ht="12" hidden="1" customHeight="1" x14ac:dyDescent="0.35">
      <c r="A1082" s="237"/>
      <c r="B1082" s="277">
        <v>1</v>
      </c>
      <c r="C1082" s="278" t="s">
        <v>689</v>
      </c>
      <c r="D1082" s="263"/>
      <c r="E1082" s="237"/>
      <c r="F1082" s="1"/>
      <c r="AD1082"/>
      <c r="AE1082"/>
      <c r="AF1082">
        <f>IF(C$1080=C1082,B1082,0)</f>
        <v>0</v>
      </c>
      <c r="AG1082"/>
      <c r="AH1082"/>
    </row>
    <row r="1083" spans="1:34" ht="12" hidden="1" customHeight="1" x14ac:dyDescent="0.35">
      <c r="A1083" s="237"/>
      <c r="B1083" s="277">
        <v>2</v>
      </c>
      <c r="C1083" s="278" t="s">
        <v>690</v>
      </c>
      <c r="D1083" s="263"/>
      <c r="E1083" s="237"/>
      <c r="F1083" s="1"/>
      <c r="AD1083"/>
      <c r="AE1083"/>
      <c r="AF1083">
        <f>IF(C$1080=C1083,B1083,0)</f>
        <v>0</v>
      </c>
      <c r="AG1083"/>
      <c r="AH1083"/>
    </row>
    <row r="1084" spans="1:34" ht="12" hidden="1" customHeight="1" thickBot="1" x14ac:dyDescent="0.4">
      <c r="A1084" s="237"/>
      <c r="B1084" s="277">
        <v>3</v>
      </c>
      <c r="C1084" s="278" t="s">
        <v>691</v>
      </c>
      <c r="D1084" s="263"/>
      <c r="E1084" s="237"/>
      <c r="F1084" s="1"/>
      <c r="AD1084"/>
      <c r="AE1084"/>
      <c r="AF1084">
        <f>IF(C$1080=C1084,B1084,0)</f>
        <v>0</v>
      </c>
      <c r="AG1084"/>
      <c r="AH1084"/>
    </row>
    <row r="1085" spans="1:34" ht="20" hidden="1" customHeight="1" thickTop="1" thickBot="1" x14ac:dyDescent="0.4">
      <c r="A1085" s="237"/>
      <c r="B1085" s="275">
        <v>20</v>
      </c>
      <c r="C1085" s="1063" t="str">
        <f>AD1085</f>
        <v>worries</v>
      </c>
      <c r="D1085" s="1064"/>
      <c r="E1085" s="237"/>
      <c r="F1085" s="1"/>
      <c r="AD1085" s="276" t="s">
        <v>692</v>
      </c>
      <c r="AE1085"/>
      <c r="AF1085"/>
      <c r="AG1085">
        <f>IF(AND(C1085&lt;&gt;"",C1085=AD1085),0,1)</f>
        <v>0</v>
      </c>
      <c r="AH1085"/>
    </row>
    <row r="1086" spans="1:34" ht="12" hidden="1" customHeight="1" thickTop="1" x14ac:dyDescent="0.35">
      <c r="A1086" s="237"/>
      <c r="B1086" s="277">
        <v>0</v>
      </c>
      <c r="C1086" s="278" t="s">
        <v>693</v>
      </c>
      <c r="D1086" s="263"/>
      <c r="E1086" s="237"/>
      <c r="F1086" s="1"/>
      <c r="AD1086"/>
      <c r="AE1086"/>
      <c r="AF1086">
        <f>IF(C$1085=C1086,B1086,0)</f>
        <v>0</v>
      </c>
      <c r="AG1086"/>
      <c r="AH1086"/>
    </row>
    <row r="1087" spans="1:34" ht="12" hidden="1" customHeight="1" x14ac:dyDescent="0.35">
      <c r="A1087" s="237"/>
      <c r="B1087" s="277">
        <v>1</v>
      </c>
      <c r="C1087" s="278" t="s">
        <v>694</v>
      </c>
      <c r="D1087" s="263"/>
      <c r="E1087" s="237"/>
      <c r="F1087" s="1"/>
      <c r="AD1087"/>
      <c r="AE1087"/>
      <c r="AF1087">
        <f>IF(C$1085=C1087,B1087,0)</f>
        <v>0</v>
      </c>
      <c r="AG1087"/>
      <c r="AH1087"/>
    </row>
    <row r="1088" spans="1:34" ht="12" hidden="1" customHeight="1" x14ac:dyDescent="0.35">
      <c r="A1088" s="237"/>
      <c r="B1088" s="277">
        <v>2</v>
      </c>
      <c r="C1088" s="278" t="s">
        <v>695</v>
      </c>
      <c r="D1088" s="263"/>
      <c r="E1088" s="237"/>
      <c r="F1088" s="1"/>
      <c r="AD1088"/>
      <c r="AE1088"/>
      <c r="AF1088">
        <f>IF(C$1085=C1088,B1088,0)</f>
        <v>0</v>
      </c>
      <c r="AG1088"/>
      <c r="AH1088"/>
    </row>
    <row r="1089" spans="1:54" ht="12" hidden="1" customHeight="1" thickBot="1" x14ac:dyDescent="0.4">
      <c r="A1089" s="237"/>
      <c r="B1089" s="277">
        <v>3</v>
      </c>
      <c r="C1089" s="278" t="s">
        <v>696</v>
      </c>
      <c r="D1089" s="263"/>
      <c r="E1089" s="237"/>
      <c r="F1089" s="1"/>
      <c r="AD1089"/>
      <c r="AE1089"/>
      <c r="AF1089">
        <f>IF(C$1085=C1089,B1089,0)</f>
        <v>0</v>
      </c>
      <c r="AG1089"/>
      <c r="AH1089"/>
    </row>
    <row r="1090" spans="1:54" ht="20" hidden="1" customHeight="1" thickTop="1" thickBot="1" x14ac:dyDescent="0.4">
      <c r="A1090" s="237"/>
      <c r="B1090" s="275">
        <v>21</v>
      </c>
      <c r="C1090" s="1063" t="str">
        <f>AD1090</f>
        <v>sexual interest</v>
      </c>
      <c r="D1090" s="1064"/>
      <c r="E1090" s="237"/>
      <c r="F1090" s="1"/>
      <c r="AD1090" s="276" t="s">
        <v>697</v>
      </c>
      <c r="AE1090"/>
      <c r="AF1090"/>
      <c r="AG1090">
        <f>IF(AND(C1090&lt;&gt;"",C1090=AD1090),0,1)</f>
        <v>0</v>
      </c>
      <c r="AH1090"/>
      <c r="AK1090" t="s">
        <v>582</v>
      </c>
      <c r="AL1090"/>
      <c r="AM1090" s="48" t="s">
        <v>698</v>
      </c>
      <c r="AY1090" s="48" t="str">
        <f>AT1103</f>
        <v/>
      </c>
      <c r="AZ1090" s="48" t="s">
        <v>699</v>
      </c>
    </row>
    <row r="1091" spans="1:54" ht="14.5" hidden="1" customHeight="1" thickTop="1" x14ac:dyDescent="0.35">
      <c r="A1091" s="237"/>
      <c r="B1091" s="277">
        <v>0</v>
      </c>
      <c r="C1091" s="278" t="s">
        <v>700</v>
      </c>
      <c r="D1091" s="263"/>
      <c r="E1091" s="237"/>
      <c r="F1091" s="1"/>
      <c r="AD1091"/>
      <c r="AE1091"/>
      <c r="AF1091">
        <f>IF(C$1090=C1091,B1091,0)</f>
        <v>0</v>
      </c>
      <c r="AG1091"/>
      <c r="AH1091"/>
    </row>
    <row r="1092" spans="1:54" ht="14.5" hidden="1" customHeight="1" x14ac:dyDescent="0.35">
      <c r="A1092" s="237"/>
      <c r="B1092" s="277">
        <v>1</v>
      </c>
      <c r="C1092" s="278" t="s">
        <v>701</v>
      </c>
      <c r="D1092" s="263"/>
      <c r="E1092" s="237"/>
      <c r="F1092" s="1"/>
      <c r="AD1092"/>
      <c r="AE1092"/>
      <c r="AF1092">
        <f>IF(C$1090=C1092,B1092,0)</f>
        <v>0</v>
      </c>
      <c r="AG1092"/>
      <c r="AH1092"/>
    </row>
    <row r="1093" spans="1:54" ht="14.5" hidden="1" customHeight="1" x14ac:dyDescent="0.35">
      <c r="A1093" s="237"/>
      <c r="B1093" s="277">
        <v>2</v>
      </c>
      <c r="C1093" s="278" t="s">
        <v>702</v>
      </c>
      <c r="D1093" s="263"/>
      <c r="E1093" s="237"/>
      <c r="F1093" s="1"/>
      <c r="AD1093"/>
      <c r="AE1093"/>
      <c r="AF1093">
        <f>IF(C$1090=C1093,B1093,0)</f>
        <v>0</v>
      </c>
      <c r="AG1093"/>
      <c r="AH1093"/>
    </row>
    <row r="1094" spans="1:54" ht="14.5" hidden="1" customHeight="1" x14ac:dyDescent="0.35">
      <c r="A1094" s="237"/>
      <c r="B1094" s="277">
        <v>3</v>
      </c>
      <c r="C1094" s="278" t="s">
        <v>703</v>
      </c>
      <c r="D1094" s="263"/>
      <c r="E1094" s="237"/>
      <c r="F1094" s="1"/>
      <c r="AD1094"/>
      <c r="AE1094"/>
      <c r="AF1094">
        <f>IF(C$1090=C1094,B1094,0)</f>
        <v>0</v>
      </c>
      <c r="AG1094"/>
      <c r="AH1094"/>
    </row>
    <row r="1095" spans="1:54" ht="14.5" hidden="1" customHeight="1" x14ac:dyDescent="0.35">
      <c r="A1095" s="237"/>
      <c r="B1095" s="263"/>
      <c r="C1095" s="263"/>
      <c r="D1095" s="263"/>
      <c r="E1095" s="237"/>
      <c r="F1095" s="1"/>
      <c r="AD1095"/>
      <c r="AE1095"/>
      <c r="AF1095"/>
      <c r="AG1095"/>
      <c r="AH1095"/>
    </row>
    <row r="1096" spans="1:54" ht="14.5" hidden="1" customHeight="1" x14ac:dyDescent="0.35">
      <c r="A1096" s="237"/>
      <c r="B1096" s="263"/>
      <c r="C1096" s="279" t="s">
        <v>704</v>
      </c>
      <c r="D1096" s="263"/>
      <c r="E1096" s="237"/>
      <c r="F1096" s="1"/>
      <c r="AD1096"/>
      <c r="AE1096"/>
      <c r="AF1096" s="52" t="s">
        <v>705</v>
      </c>
      <c r="AG1096"/>
      <c r="AH1096"/>
      <c r="AK1096" s="250">
        <f t="shared" ref="AK1096:AK1102" si="68">AH881</f>
        <v>9</v>
      </c>
      <c r="AL1096" s="250">
        <f t="shared" ref="AL1096:AL1102" si="69">AJ891</f>
        <v>19</v>
      </c>
      <c r="AN1096" s="48" t="str">
        <f>IF(AL1096&gt;=AK1096,B881,B891)</f>
        <v>Rate each item by how much the wrongful conviction appears to impact it in your current life.</v>
      </c>
    </row>
    <row r="1097" spans="1:54" ht="14.5" hidden="1" customHeight="1" x14ac:dyDescent="0.35">
      <c r="A1097" s="237"/>
      <c r="B1097" s="263"/>
      <c r="C1097" s="278" t="s">
        <v>706</v>
      </c>
      <c r="D1097" s="263"/>
      <c r="E1097" s="237"/>
      <c r="F1097" s="1"/>
      <c r="AD1097"/>
      <c r="AE1097"/>
      <c r="AF1097" s="109">
        <v>1</v>
      </c>
      <c r="AG1097" s="109">
        <v>10</v>
      </c>
      <c r="AH1097"/>
      <c r="AK1097" s="280">
        <f t="shared" si="68"/>
        <v>3</v>
      </c>
      <c r="AL1097" s="280">
        <f t="shared" si="69"/>
        <v>3</v>
      </c>
      <c r="AT1097" s="48" t="str">
        <f t="shared" ref="AT1097:AT1102" si="70">IF(AL1097&gt;=AK1097,B882,B892)</f>
        <v>1) economic</v>
      </c>
    </row>
    <row r="1098" spans="1:54" ht="14.5" hidden="1" customHeight="1" x14ac:dyDescent="0.35">
      <c r="A1098" s="237"/>
      <c r="B1098" s="263"/>
      <c r="C1098" s="278" t="s">
        <v>707</v>
      </c>
      <c r="D1098" s="263"/>
      <c r="E1098" s="237"/>
      <c r="F1098" s="1"/>
      <c r="AD1098"/>
      <c r="AE1098"/>
      <c r="AF1098" s="109">
        <v>11</v>
      </c>
      <c r="AG1098" s="109">
        <v>16</v>
      </c>
      <c r="AH1098"/>
      <c r="AK1098" s="280">
        <f t="shared" si="68"/>
        <v>1</v>
      </c>
      <c r="AL1098" s="280">
        <f t="shared" si="69"/>
        <v>4</v>
      </c>
      <c r="AT1098" s="48" t="str">
        <f t="shared" si="70"/>
        <v>2) physical health</v>
      </c>
    </row>
    <row r="1099" spans="1:54" ht="14.5" hidden="1" customHeight="1" x14ac:dyDescent="0.35">
      <c r="A1099" s="237"/>
      <c r="B1099" s="263"/>
      <c r="C1099" s="278" t="s">
        <v>708</v>
      </c>
      <c r="D1099" s="263"/>
      <c r="E1099" s="237"/>
      <c r="F1099" s="1"/>
      <c r="AD1099"/>
      <c r="AE1099"/>
      <c r="AF1099" s="109">
        <v>17</v>
      </c>
      <c r="AG1099" s="109">
        <v>20</v>
      </c>
      <c r="AH1099"/>
      <c r="AK1099" s="280">
        <f t="shared" si="68"/>
        <v>2</v>
      </c>
      <c r="AL1099" s="280">
        <f t="shared" si="69"/>
        <v>6</v>
      </c>
      <c r="AT1099" s="48" t="str">
        <f t="shared" si="70"/>
        <v>3) mental health</v>
      </c>
    </row>
    <row r="1100" spans="1:54" ht="14.5" hidden="1" customHeight="1" x14ac:dyDescent="0.35">
      <c r="A1100" s="237"/>
      <c r="B1100" s="263"/>
      <c r="C1100" s="278" t="s">
        <v>709</v>
      </c>
      <c r="D1100" s="263"/>
      <c r="E1100" s="237"/>
      <c r="F1100" s="1"/>
      <c r="AD1100"/>
      <c r="AE1100"/>
      <c r="AF1100" s="109">
        <v>21</v>
      </c>
      <c r="AG1100" s="109">
        <v>30</v>
      </c>
      <c r="AH1100"/>
      <c r="AK1100" s="280">
        <f t="shared" si="68"/>
        <v>3</v>
      </c>
      <c r="AL1100" s="280">
        <f t="shared" si="69"/>
        <v>6</v>
      </c>
      <c r="AT1100" s="48" t="str">
        <f t="shared" si="70"/>
        <v>4) relationships</v>
      </c>
    </row>
    <row r="1101" spans="1:54" ht="14.5" hidden="1" customHeight="1" x14ac:dyDescent="0.35">
      <c r="A1101" s="237"/>
      <c r="B1101" s="263"/>
      <c r="C1101" s="278" t="s">
        <v>710</v>
      </c>
      <c r="D1101" s="263"/>
      <c r="E1101" s="237"/>
      <c r="F1101" s="1"/>
      <c r="AD1101"/>
      <c r="AE1101"/>
      <c r="AF1101" s="109">
        <v>31</v>
      </c>
      <c r="AG1101" s="109">
        <v>40</v>
      </c>
      <c r="AH1101"/>
      <c r="AK1101" s="280">
        <f t="shared" si="68"/>
        <v>0</v>
      </c>
      <c r="AL1101" s="280">
        <f t="shared" si="69"/>
        <v>0</v>
      </c>
      <c r="AT1101" s="48" t="str">
        <f t="shared" si="70"/>
        <v>5) will-to-live</v>
      </c>
    </row>
    <row r="1102" spans="1:54" ht="14.5" hidden="1" customHeight="1" thickBot="1" x14ac:dyDescent="0.4">
      <c r="A1102" s="237"/>
      <c r="B1102" s="263"/>
      <c r="C1102" s="281" t="s">
        <v>711</v>
      </c>
      <c r="D1102" s="263"/>
      <c r="E1102" s="237"/>
      <c r="F1102" s="1"/>
      <c r="AD1102"/>
      <c r="AE1102"/>
      <c r="AF1102" s="109">
        <v>41</v>
      </c>
      <c r="AG1102" s="109">
        <f>21*3</f>
        <v>63</v>
      </c>
      <c r="AH1102"/>
      <c r="AK1102" s="280">
        <f t="shared" si="68"/>
        <v>0</v>
      </c>
      <c r="AL1102" s="280">
        <f t="shared" si="69"/>
        <v>0</v>
      </c>
      <c r="AT1102" s="48" t="str">
        <f t="shared" si="70"/>
        <v>6) OTHER:</v>
      </c>
    </row>
    <row r="1103" spans="1:54" ht="14.5" hidden="1" customHeight="1" thickTop="1" thickBot="1" x14ac:dyDescent="0.4">
      <c r="A1103" s="237"/>
      <c r="B1103" s="263"/>
      <c r="C1103" s="263"/>
      <c r="D1103" s="263"/>
      <c r="E1103" s="237"/>
      <c r="F1103" s="1"/>
      <c r="AE1103"/>
      <c r="AF1103" s="282">
        <f>SUM(AF990:AF1095)</f>
        <v>0</v>
      </c>
      <c r="AG1103" s="283">
        <f>SUM(AG990:AG1095)</f>
        <v>0</v>
      </c>
      <c r="AH1103">
        <v>21</v>
      </c>
      <c r="AN1103" s="1068" t="str">
        <f>IF(AG1103=AH1103,AT1103,"")</f>
        <v/>
      </c>
      <c r="AO1103" s="1069"/>
      <c r="AT1103" s="1070" t="str">
        <f>IF(AND(AF1103&gt;AF1097,AF1103&lt;AG1097),C1097,IF(AND(AF1103&gt;AF1098,AF1103&lt;AG1098),C1098,IF(AND(AF1103&gt;AF1099,AF1103&lt;AG1099),C1099,IF(AND(AF1103&gt;AF1100,AF1103&lt;AG1100),C1100,IF(AND(AF1103&gt;AF1101,AF1103&lt;AG1101),C1101,IF(AND(AF1103&gt;AF1102,AF1103&lt;AG1102),C1102,""))))))</f>
        <v/>
      </c>
      <c r="AU1103" s="927"/>
      <c r="AV1103" s="927"/>
      <c r="AW1103" s="927"/>
      <c r="AX1103" s="927"/>
      <c r="AY1103" s="927"/>
      <c r="AZ1103" s="927"/>
      <c r="BA1103" s="927"/>
      <c r="BB1103" s="927"/>
    </row>
    <row r="1104" spans="1:54" ht="48" hidden="1" customHeight="1" thickTop="1" x14ac:dyDescent="0.3">
      <c r="A1104" s="237"/>
      <c r="B1104" s="1071" t="str">
        <f>CONCATENATE(AG1104,AN1104,AO1104,AZ1104)</f>
        <v>You understandably experience some depression, considering the many challenges you face from such a conviction. You can rule out a purely biological source for such depression.</v>
      </c>
      <c r="C1104" s="1072"/>
      <c r="D1104" s="1073"/>
      <c r="E1104" s="237"/>
      <c r="F1104" s="1"/>
      <c r="AG1104" s="23" t="s">
        <v>589</v>
      </c>
      <c r="AN1104" s="48" t="str">
        <f>IF(AG1103&lt;AH1103,"some depression",AT1103)</f>
        <v>some depression</v>
      </c>
      <c r="AO1104" s="109" t="s">
        <v>590</v>
      </c>
      <c r="AZ1104" s="48" t="s">
        <v>712</v>
      </c>
    </row>
    <row r="1105" spans="1:58" ht="5" hidden="1" customHeight="1" x14ac:dyDescent="0.3">
      <c r="A1105" s="237"/>
      <c r="B1105" s="237"/>
      <c r="C1105" s="237"/>
      <c r="D1105" s="237"/>
      <c r="E1105" s="237"/>
      <c r="F1105" s="1"/>
    </row>
    <row r="1106" spans="1:58" ht="72" hidden="1" customHeight="1" x14ac:dyDescent="0.3">
      <c r="A1106" s="237"/>
      <c r="B1106" s="1071" t="s">
        <v>713</v>
      </c>
      <c r="C1106" s="1072"/>
      <c r="D1106" s="1073"/>
      <c r="E1106" s="237"/>
      <c r="F1106" s="1"/>
      <c r="AD1106" s="48" t="str">
        <f>IF(D202="","Claimant",AN202)</f>
        <v>Steph</v>
      </c>
      <c r="AF1106" s="48" t="s">
        <v>593</v>
      </c>
      <c r="AM1106" s="48" t="str">
        <f>AN1104</f>
        <v>some depression</v>
      </c>
      <c r="AQ1106" s="48" t="s">
        <v>594</v>
      </c>
      <c r="AZ1106" s="48" t="str">
        <f>IF(AT1097="","","The wrongful conviction produces plenty of depressing economic conditions. ")</f>
        <v xml:space="preserve">The wrongful conviction produces plenty of depressing economic conditions. </v>
      </c>
      <c r="BB1106" s="48"/>
      <c r="BF1106" s="48" t="s">
        <v>595</v>
      </c>
    </row>
    <row r="1107" spans="1:58" ht="10" hidden="1" customHeight="1" x14ac:dyDescent="0.3">
      <c r="A1107" s="237"/>
      <c r="B1107" s="237"/>
      <c r="C1107" s="237"/>
      <c r="D1107" s="237"/>
      <c r="E1107" s="237"/>
      <c r="F1107" s="1"/>
      <c r="AD1107" s="48" t="str">
        <f>CONCATENATE(AD1106,AF1106,AM1106,AQ1106,AZ1106,BF1106)</f>
        <v>Steph understandably experiences some depression from the wrongful conviction. The wrongful conviction produces plenty of depressing economic conditions. Once hired, much of that should clear up. If not, Value Relating can help.</v>
      </c>
    </row>
    <row r="1108" spans="1:58" ht="17.5" hidden="1" x14ac:dyDescent="0.3">
      <c r="A1108" s="237"/>
      <c r="B1108" s="248" t="s">
        <v>714</v>
      </c>
      <c r="C1108" s="248"/>
      <c r="D1108" s="248"/>
      <c r="E1108" s="237"/>
      <c r="F1108" s="1"/>
    </row>
    <row r="1109" spans="1:58" ht="30" hidden="1" customHeight="1" x14ac:dyDescent="0.3">
      <c r="A1109" s="237"/>
      <c r="B1109" s="1061"/>
      <c r="C1109" s="1061"/>
      <c r="D1109" s="1061"/>
      <c r="E1109" s="237"/>
      <c r="F1109" s="1"/>
    </row>
    <row r="1110" spans="1:58" ht="15" hidden="1" x14ac:dyDescent="0.3">
      <c r="A1110" s="237"/>
      <c r="B1110" s="284" t="s">
        <v>715</v>
      </c>
      <c r="C1110" s="237"/>
      <c r="D1110" s="284" t="s">
        <v>716</v>
      </c>
      <c r="E1110" s="237"/>
      <c r="F1110" s="1"/>
    </row>
    <row r="1111" spans="1:58" hidden="1" x14ac:dyDescent="0.3">
      <c r="A1111" s="237"/>
      <c r="B1111" s="237"/>
      <c r="C1111" s="281"/>
      <c r="D1111" s="237"/>
      <c r="E1111" s="237"/>
      <c r="F1111" s="1"/>
    </row>
    <row r="1112" spans="1:58" hidden="1" x14ac:dyDescent="0.3">
      <c r="A1112" s="237"/>
      <c r="B1112" s="237"/>
      <c r="C1112" s="237"/>
      <c r="D1112" s="237"/>
      <c r="E1112" s="237"/>
      <c r="F1112" s="1"/>
    </row>
    <row r="1113" spans="1:58" ht="15" hidden="1" x14ac:dyDescent="0.3">
      <c r="A1113" s="237"/>
      <c r="B1113" s="284" t="s">
        <v>717</v>
      </c>
      <c r="C1113" s="237"/>
      <c r="D1113" s="284" t="str">
        <f>D1110</f>
        <v>anticipated results</v>
      </c>
      <c r="E1113" s="237"/>
      <c r="F1113" s="1"/>
    </row>
    <row r="1114" spans="1:58" hidden="1" x14ac:dyDescent="0.3">
      <c r="A1114" s="237"/>
      <c r="B1114" s="237"/>
      <c r="C1114" s="237"/>
      <c r="D1114" s="237"/>
      <c r="E1114" s="237"/>
      <c r="F1114" s="1"/>
    </row>
    <row r="1115" spans="1:58" hidden="1" x14ac:dyDescent="0.3">
      <c r="A1115" s="237"/>
      <c r="B1115" s="237"/>
      <c r="C1115" s="237"/>
      <c r="D1115" s="237"/>
      <c r="E1115" s="237"/>
      <c r="F1115" s="1"/>
    </row>
    <row r="1116" spans="1:58" ht="15" hidden="1" x14ac:dyDescent="0.3">
      <c r="A1116" s="237"/>
      <c r="B1116" s="284" t="s">
        <v>718</v>
      </c>
      <c r="C1116" s="237"/>
      <c r="D1116" s="284" t="str">
        <f>D1113</f>
        <v>anticipated results</v>
      </c>
      <c r="E1116" s="237"/>
      <c r="F1116" s="1"/>
    </row>
    <row r="1117" spans="1:58" hidden="1" x14ac:dyDescent="0.3">
      <c r="A1117" s="237"/>
      <c r="B1117" s="237"/>
      <c r="C1117" s="237"/>
      <c r="D1117" s="237"/>
      <c r="E1117" s="237"/>
      <c r="F1117" s="1"/>
    </row>
    <row r="1118" spans="1:58" hidden="1" x14ac:dyDescent="0.3">
      <c r="A1118" s="237"/>
      <c r="B1118" s="237"/>
      <c r="C1118" s="237"/>
      <c r="D1118" s="237"/>
      <c r="E1118" s="237"/>
      <c r="F1118" s="1"/>
    </row>
    <row r="1119" spans="1:58" hidden="1" x14ac:dyDescent="0.3">
      <c r="A1119" s="237"/>
      <c r="B1119" s="237" t="s">
        <v>719</v>
      </c>
      <c r="C1119" s="237"/>
      <c r="D1119" s="285">
        <f ca="1">IF(AD265=0,0,AD265)</f>
        <v>600000</v>
      </c>
      <c r="E1119" s="237"/>
      <c r="F1119" s="1"/>
    </row>
    <row r="1120" spans="1:58" hidden="1" x14ac:dyDescent="0.3">
      <c r="A1120" s="237"/>
      <c r="B1120" s="237"/>
      <c r="C1120" s="237"/>
      <c r="D1120" s="285" t="s">
        <v>720</v>
      </c>
      <c r="E1120" s="237"/>
      <c r="F1120" s="1"/>
    </row>
    <row r="1121" spans="1:54" hidden="1" x14ac:dyDescent="0.3">
      <c r="A1121" s="237"/>
      <c r="B1121" s="237"/>
      <c r="C1121" s="285" t="s">
        <v>721</v>
      </c>
      <c r="D1121" s="285">
        <f ca="1">D1119-50000</f>
        <v>550000</v>
      </c>
      <c r="E1121" s="237"/>
      <c r="F1121" s="1"/>
    </row>
    <row r="1122" spans="1:54" hidden="1" x14ac:dyDescent="0.3">
      <c r="A1122" s="237"/>
      <c r="B1122" s="237"/>
      <c r="C1122" s="237"/>
      <c r="D1122" s="285" t="s">
        <v>722</v>
      </c>
      <c r="E1122" s="237"/>
      <c r="F1122" s="1"/>
    </row>
    <row r="1123" spans="1:54" hidden="1" x14ac:dyDescent="0.3">
      <c r="A1123" s="237"/>
      <c r="B1123" s="237"/>
      <c r="C1123" s="237"/>
      <c r="D1123" s="237"/>
      <c r="E1123" s="237"/>
      <c r="F1123" s="1"/>
      <c r="BB1123" s="48"/>
    </row>
    <row r="1124" spans="1:54" hidden="1" x14ac:dyDescent="0.3">
      <c r="A1124" s="82"/>
      <c r="B1124" s="237"/>
      <c r="C1124" s="237"/>
      <c r="D1124" s="237"/>
      <c r="E1124" s="237"/>
      <c r="F1124" s="1"/>
      <c r="BB1124" s="48"/>
    </row>
    <row r="1125" spans="1:54" ht="10" hidden="1" customHeight="1" x14ac:dyDescent="0.3">
      <c r="A1125" s="237"/>
      <c r="B1125" s="237"/>
      <c r="C1125" s="237"/>
      <c r="D1125" s="237"/>
      <c r="E1125" s="237"/>
      <c r="F1125" s="1"/>
      <c r="BB1125" s="48"/>
    </row>
    <row r="1126" spans="1:54" ht="30" customHeight="1" x14ac:dyDescent="0.3">
      <c r="A1126" s="40" t="s">
        <v>88</v>
      </c>
      <c r="B1126" s="40" t="s">
        <v>723</v>
      </c>
      <c r="C1126" s="40"/>
      <c r="D1126" s="39"/>
      <c r="E1126" s="436"/>
      <c r="F1126" s="436" t="s">
        <v>869</v>
      </c>
      <c r="AE1126" s="48" t="str">
        <f>IF(AT1103="","",CONCATENATE(AG1104,AN1104,AO1104,AZ1104,AG1106,AO1106,BF1106))</f>
        <v/>
      </c>
      <c r="BB1126" s="48"/>
    </row>
    <row r="1127" spans="1:54" ht="17.399999999999999" customHeight="1" x14ac:dyDescent="0.3">
      <c r="A1127" s="41"/>
      <c r="B1127" s="1074" t="str">
        <f>CONCATENATE(AI1127,AJ1127)</f>
        <v>Michigan's compensation statue, along with some challenges to receive such a claim.</v>
      </c>
      <c r="C1127" s="1074"/>
      <c r="D1127" s="1074"/>
      <c r="E1127" s="1074"/>
      <c r="F1127" s="41"/>
      <c r="AC1127" s="52" t="str">
        <f>D1129</f>
        <v>Michigan</v>
      </c>
      <c r="AF1127" s="48" t="s">
        <v>724</v>
      </c>
      <c r="AI1127" s="48" t="str">
        <f>IF(AC1127=0,AF1127,AC1127)</f>
        <v>Michigan</v>
      </c>
      <c r="AJ1127" s="48" t="s">
        <v>725</v>
      </c>
      <c r="BB1127" s="48"/>
    </row>
    <row r="1128" spans="1:54" ht="14.5" thickBot="1" x14ac:dyDescent="0.35">
      <c r="A1128" s="286"/>
      <c r="B1128" s="286"/>
      <c r="C1128" s="286"/>
      <c r="D1128" s="286"/>
      <c r="E1128" s="286"/>
      <c r="F1128" s="1"/>
      <c r="BB1128" s="48"/>
    </row>
    <row r="1129" spans="1:54" ht="16" thickBot="1" x14ac:dyDescent="0.35">
      <c r="A1129" s="286"/>
      <c r="B1129" s="287" t="s">
        <v>1407</v>
      </c>
      <c r="C1129" s="453">
        <f>AF1129</f>
        <v>12</v>
      </c>
      <c r="D1129" s="454" t="str">
        <f>AJ1129</f>
        <v>Michigan</v>
      </c>
      <c r="E1129" s="286"/>
      <c r="F1129" s="1"/>
      <c r="AC1129" s="381">
        <f>IF(OR(C307="",D321=""),0,AE321)</f>
        <v>12</v>
      </c>
      <c r="AF1129" s="48">
        <f>IF(AC1129=0,AG1129,AC1129)</f>
        <v>12</v>
      </c>
      <c r="AG1129" s="48" t="s">
        <v>3915</v>
      </c>
      <c r="AJ1129" s="48" t="str">
        <f>IF(B265="",AK1129,B265)</f>
        <v>Michigan</v>
      </c>
      <c r="AK1129" s="48" t="s">
        <v>3916</v>
      </c>
      <c r="BB1129" s="48"/>
    </row>
    <row r="1130" spans="1:54" ht="14.5" thickBot="1" x14ac:dyDescent="0.35">
      <c r="A1130" s="286"/>
      <c r="B1130" s="286"/>
      <c r="C1130" s="286"/>
      <c r="D1130" s="286"/>
      <c r="E1130" s="286"/>
      <c r="F1130" s="1"/>
      <c r="BB1130" s="48"/>
    </row>
    <row r="1131" spans="1:54" ht="26" customHeight="1" thickBot="1" x14ac:dyDescent="0.35">
      <c r="A1131" s="286"/>
      <c r="B1131" s="287" t="s">
        <v>726</v>
      </c>
      <c r="C1131" s="1075" t="str">
        <f>IF($D$1129=AK1129,"",D3200)</f>
        <v>MCLS 691.1751 et seq</v>
      </c>
      <c r="D1131" s="1076"/>
      <c r="E1131" s="286"/>
      <c r="F1131" s="1"/>
      <c r="BB1131" s="48"/>
    </row>
    <row r="1132" spans="1:54" ht="14.5" thickBot="1" x14ac:dyDescent="0.35">
      <c r="A1132" s="286"/>
      <c r="B1132" s="286"/>
      <c r="C1132" s="286"/>
      <c r="D1132" s="286"/>
      <c r="E1132" s="286"/>
      <c r="F1132" s="1"/>
      <c r="BB1132" s="48"/>
    </row>
    <row r="1133" spans="1:54" ht="15" customHeight="1" x14ac:dyDescent="0.35">
      <c r="A1133" s="286"/>
      <c r="B1133" s="288" t="s">
        <v>727</v>
      </c>
      <c r="C1133" s="1077" t="str">
        <f>IF($D$1129=AK1129,"",D3201)</f>
        <v>Judgment of conviction was reversed or vacated and charges were dismissed or found not guilty on retrial.</v>
      </c>
      <c r="D1133" s="1078"/>
      <c r="E1133" s="286"/>
      <c r="F1133" s="1"/>
      <c r="BB1133" s="48"/>
    </row>
    <row r="1134" spans="1:54" x14ac:dyDescent="0.3">
      <c r="A1134" s="286"/>
      <c r="B1134" s="286"/>
      <c r="C1134" s="1079"/>
      <c r="D1134" s="1080"/>
      <c r="E1134" s="286"/>
      <c r="F1134" s="1"/>
      <c r="BB1134" s="48"/>
    </row>
    <row r="1135" spans="1:54" x14ac:dyDescent="0.3">
      <c r="A1135" s="286"/>
      <c r="B1135" s="286"/>
      <c r="C1135" s="1079"/>
      <c r="D1135" s="1080"/>
      <c r="E1135" s="286"/>
      <c r="F1135" s="1"/>
      <c r="BB1135" s="48"/>
    </row>
    <row r="1136" spans="1:54" x14ac:dyDescent="0.3">
      <c r="A1136" s="286"/>
      <c r="B1136" s="286"/>
      <c r="C1136" s="1079"/>
      <c r="D1136" s="1080"/>
      <c r="E1136" s="286"/>
      <c r="F1136" s="1"/>
      <c r="BB1136" s="48"/>
    </row>
    <row r="1137" spans="1:54" x14ac:dyDescent="0.3">
      <c r="A1137" s="286"/>
      <c r="B1137" s="286"/>
      <c r="C1137" s="1079"/>
      <c r="D1137" s="1080"/>
      <c r="E1137" s="286"/>
      <c r="F1137" s="1"/>
      <c r="BB1137" s="48"/>
    </row>
    <row r="1138" spans="1:54" x14ac:dyDescent="0.3">
      <c r="A1138" s="286"/>
      <c r="B1138" s="286"/>
      <c r="C1138" s="1079"/>
      <c r="D1138" s="1080"/>
      <c r="E1138" s="286"/>
      <c r="F1138" s="1"/>
      <c r="BB1138" s="48"/>
    </row>
    <row r="1139" spans="1:54" ht="14.5" thickBot="1" x14ac:dyDescent="0.35">
      <c r="A1139" s="286"/>
      <c r="B1139" s="286"/>
      <c r="C1139" s="1081"/>
      <c r="D1139" s="1082"/>
      <c r="E1139" s="286"/>
      <c r="F1139" s="1"/>
      <c r="BB1139" s="48"/>
    </row>
    <row r="1140" spans="1:54" ht="14.5" thickBot="1" x14ac:dyDescent="0.35">
      <c r="A1140" s="286"/>
      <c r="B1140" s="286"/>
      <c r="C1140" s="286"/>
      <c r="D1140" s="286"/>
      <c r="E1140" s="286"/>
      <c r="F1140" s="1"/>
      <c r="BB1140" s="48"/>
    </row>
    <row r="1141" spans="1:54" ht="15.5" x14ac:dyDescent="0.35">
      <c r="A1141" s="286"/>
      <c r="B1141" s="288" t="s">
        <v>728</v>
      </c>
      <c r="C1141" s="1077" t="str">
        <f>IF($D$1129=AK1129,"",D3202)</f>
        <v>Clear and convincing</v>
      </c>
      <c r="D1141" s="1078"/>
      <c r="E1141" s="286"/>
      <c r="F1141" s="1"/>
      <c r="BB1141" s="48"/>
    </row>
    <row r="1142" spans="1:54" ht="15.5" x14ac:dyDescent="0.35">
      <c r="A1142" s="286"/>
      <c r="B1142" s="288" t="s">
        <v>729</v>
      </c>
      <c r="C1142" s="1079"/>
      <c r="D1142" s="1080"/>
      <c r="E1142" s="286"/>
      <c r="F1142" s="1"/>
      <c r="BB1142" s="48"/>
    </row>
    <row r="1143" spans="1:54" ht="14.5" thickBot="1" x14ac:dyDescent="0.35">
      <c r="A1143" s="286"/>
      <c r="B1143" s="286"/>
      <c r="C1143" s="1081"/>
      <c r="D1143" s="1082"/>
      <c r="E1143" s="286"/>
      <c r="F1143" s="1"/>
      <c r="BB1143" s="48"/>
    </row>
    <row r="1144" spans="1:54" ht="16" thickBot="1" x14ac:dyDescent="0.4">
      <c r="A1144" s="286"/>
      <c r="B1144" s="288"/>
      <c r="C1144" s="286"/>
      <c r="D1144" s="286"/>
      <c r="E1144" s="286"/>
      <c r="F1144" s="1"/>
      <c r="BB1144" s="48"/>
    </row>
    <row r="1145" spans="1:54" ht="15.5" x14ac:dyDescent="0.35">
      <c r="A1145" s="286"/>
      <c r="B1145" s="288" t="s">
        <v>730</v>
      </c>
      <c r="C1145" s="1077" t="str">
        <f>IF($D$1129=AK1129,"",D3203)</f>
        <v>Court of Claims</v>
      </c>
      <c r="D1145" s="1078"/>
      <c r="E1145" s="286"/>
      <c r="F1145" s="1"/>
      <c r="BB1145" s="48"/>
    </row>
    <row r="1146" spans="1:54" ht="16" thickBot="1" x14ac:dyDescent="0.4">
      <c r="A1146" s="286"/>
      <c r="B1146" s="288" t="s">
        <v>731</v>
      </c>
      <c r="C1146" s="1081"/>
      <c r="D1146" s="1082"/>
      <c r="E1146" s="286"/>
      <c r="F1146" s="1"/>
      <c r="BB1146" s="48"/>
    </row>
    <row r="1147" spans="1:54" ht="14.5" thickBot="1" x14ac:dyDescent="0.35">
      <c r="A1147" s="286"/>
      <c r="B1147" s="286"/>
      <c r="C1147" s="286"/>
      <c r="D1147" s="286"/>
      <c r="E1147" s="286"/>
      <c r="F1147" s="1"/>
      <c r="BB1147" s="48"/>
    </row>
    <row r="1148" spans="1:54" ht="16" thickBot="1" x14ac:dyDescent="0.4">
      <c r="A1148" s="286"/>
      <c r="B1148" s="288" t="s">
        <v>732</v>
      </c>
      <c r="C1148" s="289" t="str">
        <f>IF($D$1129=AK1129,"",D3204)</f>
        <v>3 years</v>
      </c>
      <c r="D1148" s="290"/>
      <c r="E1148" s="286"/>
      <c r="F1148" s="1"/>
      <c r="BB1148" s="48"/>
    </row>
    <row r="1149" spans="1:54" ht="14.5" thickBot="1" x14ac:dyDescent="0.35">
      <c r="A1149" s="286"/>
      <c r="B1149" s="286"/>
      <c r="C1149" s="286"/>
      <c r="D1149" s="286"/>
      <c r="E1149" s="286"/>
      <c r="F1149" s="1"/>
      <c r="BB1149" s="48"/>
    </row>
    <row r="1150" spans="1:54" ht="15.5" x14ac:dyDescent="0.35">
      <c r="A1150" s="286"/>
      <c r="B1150" s="288" t="s">
        <v>733</v>
      </c>
      <c r="C1150" s="294" t="str">
        <f>IF($D$1129=AK1129,"",D3205)</f>
        <v>not provided</v>
      </c>
      <c r="D1150" s="291"/>
      <c r="E1150" s="286"/>
      <c r="F1150" s="1"/>
      <c r="BB1150" s="48"/>
    </row>
    <row r="1151" spans="1:54" ht="16" thickBot="1" x14ac:dyDescent="0.4">
      <c r="A1151" s="286"/>
      <c r="B1151" s="288" t="s">
        <v>734</v>
      </c>
      <c r="C1151" s="292"/>
      <c r="D1151" s="293"/>
      <c r="E1151" s="286"/>
      <c r="F1151" s="1"/>
      <c r="BB1151" s="48"/>
    </row>
    <row r="1152" spans="1:54" ht="16" thickBot="1" x14ac:dyDescent="0.4">
      <c r="A1152" s="286"/>
      <c r="B1152" s="288"/>
      <c r="C1152" s="286"/>
      <c r="D1152" s="286"/>
      <c r="E1152" s="286"/>
      <c r="F1152" s="1"/>
      <c r="BB1152" s="48"/>
    </row>
    <row r="1153" spans="1:80" ht="15.5" x14ac:dyDescent="0.35">
      <c r="A1153" s="286"/>
      <c r="B1153" s="288" t="s">
        <v>735</v>
      </c>
      <c r="C1153" s="294">
        <f>IF($D$1129=AK1129,"",D3206)</f>
        <v>50000</v>
      </c>
      <c r="D1153" s="291"/>
      <c r="E1153" s="286"/>
      <c r="F1153" s="1"/>
      <c r="BB1153" s="48"/>
    </row>
    <row r="1154" spans="1:80" ht="16" thickBot="1" x14ac:dyDescent="0.4">
      <c r="A1154" s="286"/>
      <c r="B1154" s="288" t="s">
        <v>736</v>
      </c>
      <c r="C1154" s="292"/>
      <c r="D1154" s="293"/>
      <c r="E1154" s="286"/>
      <c r="F1154" s="1"/>
      <c r="AC1154" s="417" t="s">
        <v>1042</v>
      </c>
      <c r="AD1154" s="417" t="s">
        <v>1050</v>
      </c>
      <c r="AE1154" s="417" t="s">
        <v>1052</v>
      </c>
      <c r="AF1154" s="417" t="s">
        <v>1054</v>
      </c>
      <c r="AG1154" s="417" t="s">
        <v>1056</v>
      </c>
      <c r="AH1154" s="417" t="s">
        <v>1061</v>
      </c>
      <c r="AI1154" s="417" t="s">
        <v>1067</v>
      </c>
      <c r="AJ1154" s="417" t="s">
        <v>1074</v>
      </c>
      <c r="AK1154" s="424" t="s">
        <v>1076</v>
      </c>
      <c r="AL1154" s="417" t="s">
        <v>1082</v>
      </c>
      <c r="AM1154" s="417" t="s">
        <v>1090</v>
      </c>
      <c r="AN1154" s="417" t="s">
        <v>1092</v>
      </c>
      <c r="AO1154" s="417" t="s">
        <v>1097</v>
      </c>
      <c r="AP1154" s="417" t="s">
        <v>1099</v>
      </c>
      <c r="AQ1154" s="417" t="s">
        <v>1104</v>
      </c>
      <c r="AR1154" s="417" t="s">
        <v>1108</v>
      </c>
      <c r="AS1154" s="417" t="s">
        <v>1114</v>
      </c>
      <c r="AT1154" s="417" t="s">
        <v>1118</v>
      </c>
      <c r="AU1154" s="417" t="s">
        <v>1120</v>
      </c>
      <c r="AV1154" s="417" t="s">
        <v>1125</v>
      </c>
      <c r="AW1154" s="417" t="s">
        <v>1130</v>
      </c>
      <c r="AX1154" s="417" t="s">
        <v>1135</v>
      </c>
      <c r="AY1154" s="417" t="s">
        <v>1139</v>
      </c>
      <c r="AZ1154" s="417" t="s">
        <v>1143</v>
      </c>
      <c r="BA1154" s="417" t="s">
        <v>1148</v>
      </c>
      <c r="BB1154" s="417" t="s">
        <v>1153</v>
      </c>
      <c r="BC1154" s="417" t="s">
        <v>1159</v>
      </c>
      <c r="BD1154" s="417" t="s">
        <v>1165</v>
      </c>
      <c r="BE1154" s="417" t="s">
        <v>1169</v>
      </c>
      <c r="BF1154" s="417" t="s">
        <v>1171</v>
      </c>
      <c r="BG1154" s="417" t="s">
        <v>1177</v>
      </c>
      <c r="BH1154" s="417" t="s">
        <v>1182</v>
      </c>
      <c r="BI1154" s="417" t="s">
        <v>1184</v>
      </c>
      <c r="BJ1154" s="417" t="s">
        <v>1187</v>
      </c>
      <c r="BK1154" s="417" t="s">
        <v>1192</v>
      </c>
      <c r="BL1154" s="417" t="s">
        <v>1194</v>
      </c>
      <c r="BM1154" s="417" t="s">
        <v>1199</v>
      </c>
      <c r="BN1154" s="417" t="s">
        <v>1204</v>
      </c>
      <c r="BO1154" s="417" t="s">
        <v>1206</v>
      </c>
      <c r="BP1154" s="417" t="s">
        <v>1208</v>
      </c>
      <c r="BQ1154" s="417" t="s">
        <v>1210</v>
      </c>
      <c r="BR1154" s="417" t="s">
        <v>1212</v>
      </c>
      <c r="BS1154" s="417" t="s">
        <v>1214</v>
      </c>
      <c r="BT1154" s="417" t="s">
        <v>1219</v>
      </c>
      <c r="BU1154" s="417" t="s">
        <v>1225</v>
      </c>
      <c r="BV1154" s="417" t="s">
        <v>1230</v>
      </c>
      <c r="BW1154" s="417" t="s">
        <v>1236</v>
      </c>
      <c r="BX1154" s="417" t="s">
        <v>1241</v>
      </c>
      <c r="BY1154" s="417" t="s">
        <v>1245</v>
      </c>
      <c r="BZ1154" s="417" t="s">
        <v>1249</v>
      </c>
      <c r="CA1154" s="417" t="s">
        <v>1254</v>
      </c>
      <c r="CB1154" s="417" t="s">
        <v>1256</v>
      </c>
    </row>
    <row r="1155" spans="1:80" ht="14.5" thickBot="1" x14ac:dyDescent="0.35">
      <c r="A1155" s="286"/>
      <c r="B1155" s="286"/>
      <c r="C1155" s="286"/>
      <c r="D1155" s="286"/>
      <c r="E1155" s="286"/>
      <c r="F1155" s="1"/>
      <c r="AC1155" s="48">
        <v>1</v>
      </c>
      <c r="AD1155" s="48">
        <v>2</v>
      </c>
      <c r="AE1155" s="48">
        <v>3</v>
      </c>
      <c r="AF1155" s="48">
        <v>4</v>
      </c>
      <c r="AG1155" s="48">
        <v>5</v>
      </c>
      <c r="AH1155" s="48">
        <v>6</v>
      </c>
      <c r="AI1155" s="48">
        <v>7</v>
      </c>
      <c r="AJ1155" s="48">
        <v>8</v>
      </c>
      <c r="AK1155" s="48">
        <v>9</v>
      </c>
      <c r="AL1155" s="48">
        <v>10</v>
      </c>
      <c r="AM1155" s="48">
        <v>11</v>
      </c>
      <c r="AN1155" s="48">
        <v>12</v>
      </c>
      <c r="AO1155" s="48">
        <v>13</v>
      </c>
      <c r="AP1155" s="48">
        <v>14</v>
      </c>
      <c r="AQ1155" s="48">
        <v>15</v>
      </c>
      <c r="AR1155" s="48">
        <v>16</v>
      </c>
      <c r="AS1155" s="48">
        <v>17</v>
      </c>
      <c r="AT1155" s="48">
        <v>18</v>
      </c>
      <c r="AU1155" s="48">
        <v>19</v>
      </c>
      <c r="AV1155" s="48">
        <v>20</v>
      </c>
      <c r="AW1155" s="48">
        <v>21</v>
      </c>
      <c r="AX1155" s="48">
        <v>22</v>
      </c>
      <c r="AY1155" s="48">
        <v>23</v>
      </c>
      <c r="AZ1155" s="48">
        <v>24</v>
      </c>
      <c r="BA1155" s="48">
        <v>25</v>
      </c>
      <c r="BB1155" s="48">
        <v>26</v>
      </c>
      <c r="BC1155" s="48">
        <v>27</v>
      </c>
      <c r="BD1155" s="48">
        <v>28</v>
      </c>
      <c r="BE1155" s="48">
        <v>29</v>
      </c>
      <c r="BF1155" s="48">
        <v>30</v>
      </c>
      <c r="BG1155" s="48">
        <v>31</v>
      </c>
      <c r="BH1155" s="48">
        <v>32</v>
      </c>
      <c r="BI1155" s="48">
        <v>33</v>
      </c>
      <c r="BJ1155" s="48">
        <v>34</v>
      </c>
      <c r="BK1155" s="48">
        <v>35</v>
      </c>
      <c r="BL1155" s="48">
        <v>36</v>
      </c>
      <c r="BM1155" s="48">
        <v>37</v>
      </c>
      <c r="BN1155" s="48">
        <v>38</v>
      </c>
      <c r="BO1155" s="48">
        <v>39</v>
      </c>
      <c r="BP1155" s="48">
        <v>40</v>
      </c>
      <c r="BQ1155" s="48">
        <v>41</v>
      </c>
      <c r="BR1155" s="48">
        <v>42</v>
      </c>
      <c r="BS1155" s="48">
        <v>43</v>
      </c>
      <c r="BT1155" s="48">
        <v>44</v>
      </c>
      <c r="BU1155" s="48">
        <v>45</v>
      </c>
      <c r="BV1155" s="48">
        <v>46</v>
      </c>
      <c r="BW1155" s="48">
        <v>47</v>
      </c>
      <c r="BX1155" s="48">
        <v>48</v>
      </c>
      <c r="BY1155" s="48">
        <v>49</v>
      </c>
      <c r="BZ1155" s="48">
        <v>50</v>
      </c>
      <c r="CA1155" s="48">
        <v>51</v>
      </c>
      <c r="CB1155" s="48">
        <v>52</v>
      </c>
    </row>
    <row r="1156" spans="1:80" ht="15.5" x14ac:dyDescent="0.35">
      <c r="A1156" s="286"/>
      <c r="B1156" s="288" t="s">
        <v>737</v>
      </c>
      <c r="C1156" s="294" t="str">
        <f>IF($D$1129=AK1129,"",D3207)</f>
        <v>conditional</v>
      </c>
      <c r="D1156" s="295"/>
      <c r="E1156" s="286"/>
      <c r="F1156" s="1"/>
      <c r="AC1156" s="452" t="s">
        <v>1405</v>
      </c>
      <c r="AD1156" s="452">
        <f>IF(OR($AC$1127=0,$C$1153=""),0,$C$1153*$C$1129)</f>
        <v>600000</v>
      </c>
      <c r="AE1156" s="452">
        <f>IF(OR($AC$1127=0,$C$1153=""),0,$C$1153*$C$1129)</f>
        <v>600000</v>
      </c>
      <c r="AF1156" s="452">
        <f>IF(OR($AC$1127=0,$C$1153=""),0,$C$1153*$C$1129)</f>
        <v>600000</v>
      </c>
      <c r="AG1156" s="452">
        <f>IF(OR($AC$1127=0,$C$1153=""),0,$C$1153*$C$1129)</f>
        <v>600000</v>
      </c>
      <c r="AP1156" s="452" t="s">
        <v>1404</v>
      </c>
      <c r="BB1156" s="48"/>
    </row>
    <row r="1157" spans="1:80" ht="16" thickBot="1" x14ac:dyDescent="0.4">
      <c r="A1157" s="286"/>
      <c r="B1157" s="288" t="s">
        <v>738</v>
      </c>
      <c r="C1157" s="296"/>
      <c r="D1157" s="297"/>
      <c r="E1157" s="286"/>
      <c r="F1157" s="1"/>
    </row>
    <row r="1158" spans="1:80" ht="14.5" thickBot="1" x14ac:dyDescent="0.35">
      <c r="A1158" s="286"/>
      <c r="B1158" s="286"/>
      <c r="C1158" s="300"/>
      <c r="D1158" s="300"/>
      <c r="E1158" s="286"/>
      <c r="F1158" s="1"/>
    </row>
    <row r="1159" spans="1:80" ht="15.5" x14ac:dyDescent="0.35">
      <c r="A1159" s="286"/>
      <c r="B1159" s="288" t="s">
        <v>739</v>
      </c>
      <c r="C1159" s="451">
        <f>D3208</f>
        <v>600000</v>
      </c>
      <c r="D1159" s="295"/>
      <c r="E1159" s="286"/>
      <c r="F1159" s="1"/>
      <c r="AC1159" s="446" t="s">
        <v>1403</v>
      </c>
    </row>
    <row r="1160" spans="1:80" ht="16" thickBot="1" x14ac:dyDescent="0.4">
      <c r="A1160" s="286"/>
      <c r="B1160" s="288" t="s">
        <v>740</v>
      </c>
      <c r="C1160" s="296"/>
      <c r="D1160" s="297"/>
      <c r="E1160" s="286"/>
      <c r="F1160" s="1"/>
    </row>
    <row r="1161" spans="1:80" x14ac:dyDescent="0.3">
      <c r="A1161" s="286"/>
      <c r="B1161" s="286"/>
      <c r="C1161" s="286"/>
      <c r="D1161" s="286"/>
      <c r="E1161" s="286"/>
      <c r="F1161" s="1"/>
    </row>
    <row r="1162" spans="1:80" ht="3" customHeight="1" x14ac:dyDescent="0.3">
      <c r="A1162" s="286"/>
      <c r="B1162" s="286"/>
      <c r="C1162" s="286"/>
      <c r="D1162" s="286"/>
      <c r="E1162" s="286"/>
      <c r="F1162" s="1"/>
    </row>
    <row r="1163" spans="1:80" ht="5" customHeight="1" x14ac:dyDescent="0.3">
      <c r="A1163" s="286"/>
      <c r="B1163" s="286"/>
      <c r="C1163" s="286"/>
      <c r="D1163" s="286"/>
      <c r="E1163" s="286"/>
      <c r="F1163" s="1"/>
    </row>
    <row r="1164" spans="1:80" ht="5" customHeight="1" x14ac:dyDescent="0.3">
      <c r="A1164" s="286"/>
      <c r="B1164" s="286"/>
      <c r="C1164" s="286"/>
      <c r="D1164" s="286"/>
      <c r="E1164" s="286"/>
      <c r="F1164" s="1"/>
    </row>
    <row r="1165" spans="1:80" ht="20.5" x14ac:dyDescent="0.45">
      <c r="A1165" s="286"/>
      <c r="B1165" s="298">
        <v>8200</v>
      </c>
      <c r="C1165" s="299" t="s">
        <v>741</v>
      </c>
      <c r="D1165" s="286"/>
      <c r="E1165" s="286"/>
      <c r="F1165" s="1"/>
    </row>
    <row r="1166" spans="1:80" ht="60" customHeight="1" x14ac:dyDescent="0.3">
      <c r="A1166" s="286"/>
      <c r="B1166" s="1083" t="str">
        <f>CONCATENATE(AC1166,AJ1166,AK1166,AS1166,BI1166,AC1167,AJ1167,AK1167,AO1167,BD1167)</f>
        <v>you can potentially earn around 69% more than your current income. By removing employment discrimination from this wrongful conviction, you could earn up to $1534 more per month. That's about $354 more per week. Hidden costs of anxiety and depression could also drop significantly. Share that with your supporters!</v>
      </c>
      <c r="C1166" s="1083"/>
      <c r="D1166" s="1083"/>
      <c r="E1166" s="286"/>
      <c r="F1166" s="1"/>
      <c r="AC1166" s="48" t="s">
        <v>742</v>
      </c>
      <c r="AJ1166" s="142">
        <f>ROUND((BJ1167*100),0)</f>
        <v>69</v>
      </c>
      <c r="AK1166" s="48" t="s">
        <v>743</v>
      </c>
      <c r="AS1166" s="48" t="s">
        <v>744</v>
      </c>
      <c r="BI1166" s="301">
        <f>ROUND(BH1167,0)</f>
        <v>1534</v>
      </c>
      <c r="BL1166" s="928">
        <f>BG1167</f>
        <v>18413</v>
      </c>
      <c r="BM1166" s="928"/>
      <c r="BN1166" s="928"/>
      <c r="BO1166" s="706">
        <f>AE321</f>
        <v>12</v>
      </c>
      <c r="BP1166" s="475"/>
      <c r="BQ1166" s="929">
        <f>IF(B1165="",0,B1165)</f>
        <v>8200</v>
      </c>
      <c r="BR1166" s="929"/>
      <c r="BS1166" s="930">
        <f>(BL1166*BO1166)</f>
        <v>220956</v>
      </c>
      <c r="BT1166" s="930"/>
      <c r="BU1166" s="930"/>
    </row>
    <row r="1167" spans="1:80" ht="14.4" customHeight="1" x14ac:dyDescent="0.3">
      <c r="A1167" s="286"/>
      <c r="B1167" s="286"/>
      <c r="C1167" s="286"/>
      <c r="D1167" s="286"/>
      <c r="E1167" s="286"/>
      <c r="F1167" s="1"/>
      <c r="AC1167" s="48" t="s">
        <v>745</v>
      </c>
      <c r="AF1167" s="302"/>
      <c r="AJ1167" s="302" t="str">
        <f>FIXED(BI1167,0,0)</f>
        <v>354</v>
      </c>
      <c r="AK1167" s="48" t="s">
        <v>746</v>
      </c>
      <c r="AO1167" s="48" t="s">
        <v>747</v>
      </c>
      <c r="BD1167" s="48" t="s">
        <v>748</v>
      </c>
      <c r="BG1167" s="302">
        <f>IF(BH3280=0,BH3332,BH3280)</f>
        <v>18413</v>
      </c>
      <c r="BH1167" s="302">
        <f>IF(BI3280=0,BI3332,BI3280)</f>
        <v>1534.4166666666667</v>
      </c>
      <c r="BI1167" s="302">
        <f>IF(BJ3280=0,BJ3332,BJ3280)</f>
        <v>354.09615384615387</v>
      </c>
      <c r="BJ1167" s="102">
        <f>IF(BK3280=0,BK3332,BK3280)</f>
        <v>0.69187990831548496</v>
      </c>
      <c r="BL1167" s="911">
        <f ca="1">TODAY()</f>
        <v>45774</v>
      </c>
      <c r="BM1167" s="910"/>
      <c r="BN1167" s="909">
        <f ca="1">YEAR(BL1167)</f>
        <v>2025</v>
      </c>
      <c r="BO1167" s="909"/>
      <c r="BP1167" s="910">
        <f>C307</f>
        <v>34157</v>
      </c>
      <c r="BQ1167" s="910"/>
      <c r="BR1167" s="909">
        <f>YEAR(BP1167)</f>
        <v>1993</v>
      </c>
      <c r="BS1167" s="909"/>
      <c r="BT1167" s="693"/>
      <c r="BU1167" s="705">
        <f ca="1">BN1167-BR1167</f>
        <v>32</v>
      </c>
    </row>
    <row r="1168" spans="1:80" ht="30" customHeight="1" x14ac:dyDescent="0.3">
      <c r="A1168" s="40" t="s">
        <v>89</v>
      </c>
      <c r="B1168" s="40" t="s">
        <v>876</v>
      </c>
      <c r="C1168" s="40"/>
      <c r="D1168" s="39"/>
      <c r="E1168" s="436"/>
      <c r="F1168" s="436" t="s">
        <v>869</v>
      </c>
      <c r="BB1168" s="48"/>
    </row>
    <row r="1169" spans="1:84" ht="17.399999999999999" customHeight="1" x14ac:dyDescent="0.3">
      <c r="A1169" s="41"/>
      <c r="B1169" s="1016" t="s">
        <v>877</v>
      </c>
      <c r="C1169" s="1016"/>
      <c r="D1169" s="1016"/>
      <c r="E1169" s="1016"/>
      <c r="F1169" s="97"/>
      <c r="BB1169" s="48"/>
    </row>
    <row r="1170" spans="1:84" ht="6" customHeight="1" x14ac:dyDescent="0.3">
      <c r="A1170" s="49"/>
      <c r="B1170" s="49"/>
      <c r="C1170" s="49"/>
      <c r="D1170" s="49"/>
      <c r="E1170" s="49"/>
      <c r="F1170" s="1"/>
    </row>
    <row r="1171" spans="1:84" ht="6" customHeight="1" x14ac:dyDescent="0.3">
      <c r="A1171" s="49"/>
      <c r="B1171" s="49"/>
      <c r="C1171" s="49"/>
      <c r="D1171" s="49"/>
      <c r="E1171" s="49"/>
      <c r="F1171" s="1"/>
      <c r="AC1171" s="366" t="str">
        <f>IF(B1174=AF1172,AR1172,IF(B1174=AF1173,AR1173,IF(B1174=AF1174,AR1174,IF(B1174=AF1175,AR1175,IF(B1174=AF1176,AR1176,"")))))</f>
        <v>of 0.9 million applied to various estimated rates of wrongful conviction</v>
      </c>
      <c r="AD1171" s="366"/>
      <c r="AE1171" s="366"/>
      <c r="AF1171" s="366"/>
      <c r="AG1171" s="366"/>
      <c r="AH1171" s="367"/>
      <c r="AI1171" s="367"/>
      <c r="AJ1171" s="367"/>
      <c r="AK1171" s="367"/>
      <c r="AL1171" s="366"/>
      <c r="AM1171" s="366"/>
      <c r="AN1171" s="366"/>
      <c r="AO1171" s="366"/>
      <c r="AP1171" s="366"/>
      <c r="AQ1171" s="366"/>
      <c r="AR1171" s="366"/>
      <c r="AU1171" s="48" t="s">
        <v>878</v>
      </c>
      <c r="AX1171" s="368" t="str">
        <f>IF(B1174=AF1172,AI1172,IF(B1174=AF1173,AI1173,IF(B1174=AF1174,AI1174,IF(B1174=AF1175,AI1175,IF(B1174=AF1176,AI1176,"")))))</f>
        <v>registered sex offenders</v>
      </c>
      <c r="BD1171" s="48" t="s">
        <v>879</v>
      </c>
    </row>
    <row r="1172" spans="1:84" ht="14.5" x14ac:dyDescent="0.35">
      <c r="A1172" s="49"/>
      <c r="B1172" s="369">
        <v>3665</v>
      </c>
      <c r="C1172" s="500" t="str">
        <f>IF(B1172="","click for the current exoneration total:","latest total exonerated according to the")</f>
        <v>latest total exonerated according to the</v>
      </c>
      <c r="D1172" s="501" t="s">
        <v>3516</v>
      </c>
      <c r="E1172" s="49"/>
      <c r="F1172" s="1"/>
      <c r="AC1172" s="1067">
        <v>20000000</v>
      </c>
      <c r="AD1172" s="968"/>
      <c r="AE1172" s="968"/>
      <c r="AF1172" s="48" t="s">
        <v>880</v>
      </c>
      <c r="AI1172" s="48" t="s">
        <v>881</v>
      </c>
      <c r="AK1172" s="370" t="s">
        <v>882</v>
      </c>
      <c r="AL1172" s="371">
        <f>AC1172/1000000</f>
        <v>20</v>
      </c>
      <c r="AM1172" s="48" t="s">
        <v>883</v>
      </c>
      <c r="AO1172" s="372" t="s">
        <v>884</v>
      </c>
      <c r="AQ1172" s="245" t="s">
        <v>885</v>
      </c>
      <c r="AR1172" s="48" t="str">
        <f>CONCATENATE(AK1172,AL1172,AM1172,AO1172)</f>
        <v>of 20 million applied to various estimated rates of wrongful conviction</v>
      </c>
      <c r="BB1172" s="48"/>
    </row>
    <row r="1173" spans="1:84" ht="14.5" x14ac:dyDescent="0.35">
      <c r="A1173" s="49"/>
      <c r="B1173" s="49"/>
      <c r="C1173" s="49"/>
      <c r="D1173" s="49"/>
      <c r="E1173" s="49"/>
      <c r="F1173" s="1"/>
      <c r="AC1173" s="1067">
        <v>9700000</v>
      </c>
      <c r="AD1173" s="968"/>
      <c r="AE1173" s="968"/>
      <c r="AF1173" s="48" t="s">
        <v>886</v>
      </c>
      <c r="AI1173" s="48" t="s">
        <v>887</v>
      </c>
      <c r="AK1173" s="370" t="s">
        <v>882</v>
      </c>
      <c r="AL1173" s="373">
        <f>AC1173/1000000</f>
        <v>9.6999999999999993</v>
      </c>
      <c r="AM1173" s="48" t="s">
        <v>883</v>
      </c>
      <c r="AO1173" s="372" t="s">
        <v>884</v>
      </c>
      <c r="AQ1173" s="245" t="s">
        <v>885</v>
      </c>
      <c r="AR1173" s="48" t="str">
        <f>CONCATENATE(AK1173,AL1173,AM1173,AO1173)</f>
        <v>of 9.7 million applied to various estimated rates of wrongful conviction</v>
      </c>
      <c r="BB1173" s="48"/>
    </row>
    <row r="1174" spans="1:84" ht="14.5" x14ac:dyDescent="0.35">
      <c r="A1174" s="49"/>
      <c r="B1174" s="374" t="s">
        <v>888</v>
      </c>
      <c r="C1174" s="502" t="str">
        <f>IF(B1174="","select an adjudicated population from the dropdown list at left",AC1171)</f>
        <v>of 0.9 million applied to various estimated rates of wrongful conviction</v>
      </c>
      <c r="D1174" s="49"/>
      <c r="E1174" s="49"/>
      <c r="F1174" s="1"/>
      <c r="AC1174" s="1067">
        <v>6900000</v>
      </c>
      <c r="AD1174" s="968"/>
      <c r="AE1174" s="968"/>
      <c r="AF1174" s="48" t="s">
        <v>889</v>
      </c>
      <c r="AI1174" s="48" t="s">
        <v>890</v>
      </c>
      <c r="AK1174" s="370" t="s">
        <v>882</v>
      </c>
      <c r="AL1174" s="373">
        <f>AC1174/1000000</f>
        <v>6.9</v>
      </c>
      <c r="AM1174" s="48" t="s">
        <v>883</v>
      </c>
      <c r="AO1174" s="372" t="s">
        <v>884</v>
      </c>
      <c r="AQ1174" s="245" t="s">
        <v>885</v>
      </c>
      <c r="AR1174" s="48" t="str">
        <f>CONCATENATE(AK1174,AL1174,AM1174,AO1174)</f>
        <v>of 6.9 million applied to various estimated rates of wrongful conviction</v>
      </c>
      <c r="BB1174" s="48"/>
    </row>
    <row r="1175" spans="1:84" ht="14.5" x14ac:dyDescent="0.35">
      <c r="A1175" s="49"/>
      <c r="B1175" s="49"/>
      <c r="C1175" s="49"/>
      <c r="D1175" s="49"/>
      <c r="E1175" s="49"/>
      <c r="F1175" s="1"/>
      <c r="AC1175" s="1067">
        <v>2200000</v>
      </c>
      <c r="AD1175" s="968"/>
      <c r="AE1175" s="968"/>
      <c r="AF1175" s="48" t="s">
        <v>891</v>
      </c>
      <c r="AI1175" s="48" t="s">
        <v>892</v>
      </c>
      <c r="AK1175" s="370" t="s">
        <v>882</v>
      </c>
      <c r="AL1175" s="373">
        <f>AC1175/1000000</f>
        <v>2.2000000000000002</v>
      </c>
      <c r="AM1175" s="48" t="s">
        <v>883</v>
      </c>
      <c r="AO1175" s="372" t="s">
        <v>884</v>
      </c>
      <c r="AQ1175" s="245" t="s">
        <v>885</v>
      </c>
      <c r="AR1175" s="48" t="str">
        <f>CONCATENATE(AK1175,AL1175,AM1175,AO1175)</f>
        <v>of 2.2 million applied to various estimated rates of wrongful conviction</v>
      </c>
      <c r="BB1175" s="48"/>
    </row>
    <row r="1176" spans="1:84" ht="14.5" x14ac:dyDescent="0.35">
      <c r="A1176" s="49"/>
      <c r="B1176" s="49" t="s">
        <v>893</v>
      </c>
      <c r="C1176" s="49"/>
      <c r="D1176" s="49"/>
      <c r="E1176" s="49"/>
      <c r="F1176" s="1"/>
      <c r="AC1176" s="919">
        <v>917771</v>
      </c>
      <c r="AD1176" s="920"/>
      <c r="AE1176" s="920"/>
      <c r="AF1176" s="48" t="s">
        <v>888</v>
      </c>
      <c r="AI1176" s="48" t="s">
        <v>894</v>
      </c>
      <c r="AK1176" s="370" t="s">
        <v>882</v>
      </c>
      <c r="AL1176" s="373">
        <f>AC1176/1000000</f>
        <v>0.917771</v>
      </c>
      <c r="AM1176" s="48" t="s">
        <v>883</v>
      </c>
      <c r="AO1176" s="372" t="s">
        <v>884</v>
      </c>
      <c r="AQ1176" s="245">
        <v>0.9</v>
      </c>
      <c r="AR1176" s="48" t="str">
        <f>CONCATENATE(AK1176,AQ1176,AM1176,AO1176)</f>
        <v>of 0.9 million applied to various estimated rates of wrongful conviction</v>
      </c>
      <c r="BB1176" s="48"/>
    </row>
    <row r="1177" spans="1:84" x14ac:dyDescent="0.3">
      <c r="A1177" s="49"/>
      <c r="B1177" s="49"/>
      <c r="C1177" s="49"/>
      <c r="D1177" s="49"/>
      <c r="E1177" s="49"/>
      <c r="F1177" s="1"/>
    </row>
    <row r="1178" spans="1:84" ht="14.5" x14ac:dyDescent="0.35">
      <c r="A1178" s="375">
        <v>1</v>
      </c>
      <c r="B1178" s="376" t="str">
        <f>AM1178</f>
        <v>0.0016% to 1.95%</v>
      </c>
      <c r="C1178" s="921" t="str">
        <f>IF(OR($B$1172="",$B$1174=""),"",BO1178)</f>
        <v>applied to registered sex offenders totals 15 to 17,897. This represents over 100% to 9.62% cleared cases.</v>
      </c>
      <c r="D1178" s="921"/>
      <c r="E1178" s="49"/>
      <c r="F1178" s="1"/>
      <c r="AC1178" s="922">
        <v>1.5999999999999999E-5</v>
      </c>
      <c r="AD1178" s="923"/>
      <c r="AE1178" s="924">
        <v>1.95E-2</v>
      </c>
      <c r="AF1178" s="925"/>
      <c r="AH1178" s="926" t="str">
        <f>TEXT(AC1178,"0.0000%")</f>
        <v>0.0016%</v>
      </c>
      <c r="AI1178" s="927"/>
      <c r="AJ1178" s="926" t="str">
        <f>TEXT(AE1178,"0.00%")</f>
        <v>1.95%</v>
      </c>
      <c r="AK1178" s="927"/>
      <c r="AM1178" s="48" t="str">
        <f>CONCATENATE(AH1178," to ",AJ1178)</f>
        <v>0.0016% to 1.95%</v>
      </c>
      <c r="AR1178" s="48" t="str">
        <f>CONCATENATE($AU$1171,$AX$1171,$BD$1171,$BF$1171)</f>
        <v xml:space="preserve">applied to registered sex offenders totals </v>
      </c>
      <c r="BB1178" s="386">
        <f>ROUND(BB1179,0)</f>
        <v>15</v>
      </c>
      <c r="BC1178" s="48" t="s">
        <v>895</v>
      </c>
      <c r="BD1178" s="1067" t="str">
        <f>TEXT(ROUND(BD1179,0),"00,000")</f>
        <v>17,897</v>
      </c>
      <c r="BE1178" s="1086"/>
      <c r="BF1178" s="1086"/>
      <c r="BG1178" s="48" t="s">
        <v>896</v>
      </c>
      <c r="BH1178" s="378" t="str">
        <f>IF($B$1172&gt;BB1178,"over 100%",TEXT($B$1172/BB1178,"00.00%"))</f>
        <v>over 100%</v>
      </c>
      <c r="BI1178" s="48" t="s">
        <v>895</v>
      </c>
      <c r="BJ1178" s="378" t="str">
        <f>IF(B1174=AF1176,TEXT(($B$1172*0.47)/BD1178,"0.00%"),TEXT($B$1172/BD1178,"0.00%"))</f>
        <v>9.62%</v>
      </c>
      <c r="BK1178" s="48" t="s">
        <v>897</v>
      </c>
      <c r="BO1178" s="366" t="str">
        <f>CONCATENATE(AR1178,BB1178,BC1178,BD1178,BG1178,BH1178,BI1178,BJ1178,BK1178)</f>
        <v>applied to registered sex offenders totals 15 to 17,897. This represents over 100% to 9.62% cleared cases.</v>
      </c>
      <c r="BP1178" s="366"/>
      <c r="BQ1178" s="366"/>
      <c r="BR1178" s="366"/>
      <c r="BS1178" s="366"/>
      <c r="BT1178" s="366"/>
      <c r="BU1178" s="366"/>
      <c r="BV1178" s="366"/>
      <c r="BW1178" s="366"/>
      <c r="BX1178" s="366"/>
      <c r="BY1178" s="366"/>
      <c r="BZ1178" s="366"/>
      <c r="CA1178" s="366"/>
      <c r="CB1178" s="366"/>
      <c r="CC1178" s="366"/>
      <c r="CD1178" s="366"/>
      <c r="CE1178" s="366"/>
      <c r="CF1178" s="366"/>
    </row>
    <row r="1179" spans="1:84" ht="14.5" x14ac:dyDescent="0.35">
      <c r="A1179" s="375"/>
      <c r="B1179" s="379" t="s">
        <v>898</v>
      </c>
      <c r="C1179" s="921"/>
      <c r="D1179" s="921"/>
      <c r="E1179" s="49"/>
      <c r="F1179" s="1"/>
      <c r="BB1179" s="14">
        <f>IF($B$1174=$AF$1172,AC$1172*AC1178,IF($B$1174=$AF$1173,AC1178*AC$1173,IF($B$1174=$AF$1174,AC1178*AC$1174,IF($B$1174=$AF$1175,AC1178*AC$1175,IF($B$1174=$AF$1176,AC1178*AC$1176,"")))))</f>
        <v>14.684336</v>
      </c>
      <c r="BD1179" s="1087">
        <f>IF($B$1174=$AF$1172,AC$1172*AE1178,IF($B$1174=$AF$1173,AE1178*AC$1173,IF($B$1174=$AF$1174,AE1178*AC$1174,IF($B$1174=$AF$1175,AE1178*AC$1175,IF($B$1174=$AF$1176,AE1178*AC$1176,"")))))</f>
        <v>17896.534500000002</v>
      </c>
      <c r="BE1179" s="1088"/>
      <c r="BF1179" s="1088"/>
    </row>
    <row r="1180" spans="1:84" ht="9" customHeight="1" x14ac:dyDescent="0.35">
      <c r="A1180" s="375"/>
      <c r="B1180" s="380"/>
      <c r="C1180" s="380"/>
      <c r="D1180" s="380"/>
      <c r="E1180" s="49"/>
      <c r="F1180" s="1"/>
      <c r="BD1180" s="14"/>
      <c r="BE1180"/>
      <c r="BF1180"/>
    </row>
    <row r="1181" spans="1:84" ht="14.4" customHeight="1" x14ac:dyDescent="0.35">
      <c r="A1181" s="375">
        <v>2</v>
      </c>
      <c r="B1181" s="376" t="str">
        <f>AM1181</f>
        <v>0.016% to 0.062%</v>
      </c>
      <c r="C1181" s="921" t="str">
        <f>IF(OR($B$1172="",$B$1174=""),"",BO1181)</f>
        <v>applied to registered sex offenders totals 147 to 569. This represents over 100% to over 100% cleared cases.</v>
      </c>
      <c r="D1181" s="921"/>
      <c r="E1181" s="49"/>
      <c r="F1181" s="1"/>
      <c r="AC1181" s="1089">
        <v>1.6000000000000001E-4</v>
      </c>
      <c r="AD1181" s="1090"/>
      <c r="AE1181" s="924">
        <v>6.2E-4</v>
      </c>
      <c r="AF1181" s="925"/>
      <c r="AH1181" s="926" t="str">
        <f>TEXT(AC1181,"0.000%")</f>
        <v>0.016%</v>
      </c>
      <c r="AI1181" s="927"/>
      <c r="AJ1181" s="926" t="str">
        <f>TEXT(AE1181,"0.000%")</f>
        <v>0.062%</v>
      </c>
      <c r="AK1181" s="927"/>
      <c r="AM1181" s="48" t="str">
        <f>CONCATENATE(AH1181," to ",AJ1181)</f>
        <v>0.016% to 0.062%</v>
      </c>
      <c r="AR1181" s="48" t="str">
        <f>CONCATENATE($AU$1171,$AX$1171,$BD$1171,$BF$1171)</f>
        <v xml:space="preserve">applied to registered sex offenders totals </v>
      </c>
      <c r="BB1181" s="386">
        <f>ROUND(BB1182,0)</f>
        <v>147</v>
      </c>
      <c r="BC1181" s="48" t="s">
        <v>895</v>
      </c>
      <c r="BD1181" s="1091" t="str">
        <f>IF(BD1182&lt;1000,TEXT(BD1182,"000"),TEXT(ROUND(BD1182,0),"0,000"))</f>
        <v>569</v>
      </c>
      <c r="BE1181" s="1092"/>
      <c r="BF1181" s="1092"/>
      <c r="BG1181" s="48" t="s">
        <v>896</v>
      </c>
      <c r="BH1181" s="378" t="str">
        <f>IF($B$1172&gt;BB1181,"over 100%",TEXT($B$1172/BB1181,"00.00%"))</f>
        <v>over 100%</v>
      </c>
      <c r="BI1181" s="48" t="s">
        <v>895</v>
      </c>
      <c r="BJ1181" s="378" t="str">
        <f>IF(B1172&gt;BD1182,"over 100%",TEXT($B$1172/BD1181,"0.00%"))</f>
        <v>over 100%</v>
      </c>
      <c r="BK1181" s="48" t="s">
        <v>897</v>
      </c>
      <c r="BO1181" s="366" t="str">
        <f>CONCATENATE(AR1181,BB1181,BC1181,BD1181,BG1181,BH1181,BI1181,BJ1181,BK1181)</f>
        <v>applied to registered sex offenders totals 147 to 569. This represents over 100% to over 100% cleared cases.</v>
      </c>
      <c r="BP1181" s="366"/>
      <c r="BQ1181" s="366"/>
      <c r="BR1181" s="366"/>
      <c r="BS1181" s="366"/>
      <c r="BT1181" s="366"/>
      <c r="BU1181" s="366"/>
      <c r="BV1181" s="366"/>
      <c r="BW1181" s="366"/>
      <c r="BX1181" s="366"/>
      <c r="BY1181" s="366"/>
      <c r="BZ1181" s="366"/>
      <c r="CA1181" s="366"/>
      <c r="CB1181" s="366"/>
      <c r="CC1181" s="366"/>
      <c r="CD1181" s="366"/>
      <c r="CE1181" s="366"/>
      <c r="CF1181" s="366"/>
    </row>
    <row r="1182" spans="1:84" ht="14.5" x14ac:dyDescent="0.35">
      <c r="A1182" s="379"/>
      <c r="B1182" s="379" t="s">
        <v>899</v>
      </c>
      <c r="C1182" s="921"/>
      <c r="D1182" s="921"/>
      <c r="E1182" s="379"/>
      <c r="F1182" s="1"/>
      <c r="BB1182" s="381">
        <f>IF($B$1174=$AF$1172,AC$1172*AC1181,IF($B$1174=$AF$1173,AC1181*AC$1173,IF($B$1174=$AF$1174,AC1181*AC$1174,IF($B$1174=$AF$1175,AC1181*AC$1175,IF($B$1174=$AF$1176,AC1181*AC$1176,"")))))</f>
        <v>146.84336000000002</v>
      </c>
      <c r="BD1182" s="1087">
        <f>IF($B$1174=$AF$1172,AC$1172*AE1181,IF($B$1174=$AF$1173,AE1181*AC$1173,IF($B$1174=$AF$1174,AE1181*AC$1174,IF($B$1174=$AF$1175,AE1181*AC$1175,IF($B$1174=$AF$1176,AE1181*AC$1176,"")))))</f>
        <v>569.01801999999998</v>
      </c>
      <c r="BE1182" s="1088"/>
      <c r="BF1182" s="1088"/>
    </row>
    <row r="1183" spans="1:84" ht="9" customHeight="1" x14ac:dyDescent="0.35">
      <c r="A1183" s="375"/>
      <c r="B1183" s="49"/>
      <c r="C1183" s="49"/>
      <c r="D1183" s="49"/>
      <c r="E1183" s="49"/>
      <c r="F1183" s="1"/>
      <c r="BD1183" s="14"/>
      <c r="BE1183"/>
      <c r="BF1183"/>
    </row>
    <row r="1184" spans="1:84" ht="14.4" customHeight="1" x14ac:dyDescent="0.35">
      <c r="A1184" s="375">
        <v>3</v>
      </c>
      <c r="B1184" s="376" t="str">
        <f>AM1184</f>
        <v>0.027%</v>
      </c>
      <c r="C1184" s="921" t="str">
        <f>IF(OR($B$1172="",$B$1174=""),"",BO1184)</f>
        <v>applied to registered sex offenders totals 248. This represents over 100% cleared cases.</v>
      </c>
      <c r="D1184" s="921"/>
      <c r="E1184" s="49"/>
      <c r="F1184" s="1"/>
      <c r="AC1184" s="1089">
        <v>2.7E-4</v>
      </c>
      <c r="AD1184" s="1090"/>
      <c r="AH1184" s="926" t="str">
        <f>TEXT(AC1184,"0.000%")</f>
        <v>0.027%</v>
      </c>
      <c r="AI1184" s="927"/>
      <c r="AM1184" s="48" t="str">
        <f>CONCATENATE(AH1184,AJ1184)</f>
        <v>0.027%</v>
      </c>
      <c r="AR1184" s="48" t="str">
        <f>CONCATENATE($AU$1171,$AX$1171,$BD$1171,$BF$1171)</f>
        <v xml:space="preserve">applied to registered sex offenders totals </v>
      </c>
      <c r="BB1184" s="386">
        <f>ROUND(BB1185,0)</f>
        <v>248</v>
      </c>
      <c r="BD1184" s="1067"/>
      <c r="BE1184" s="1086"/>
      <c r="BF1184" s="1086"/>
      <c r="BG1184" s="48" t="s">
        <v>896</v>
      </c>
      <c r="BH1184" s="378" t="str">
        <f>IF($B$1172&gt;BB1184,"over 100%",TEXT($B$1172/BB1184,"00.00%"))</f>
        <v>over 100%</v>
      </c>
      <c r="BJ1184" s="378"/>
      <c r="BK1184" s="48" t="s">
        <v>897</v>
      </c>
      <c r="BO1184" s="366" t="str">
        <f>CONCATENATE(AR1184,BB1184,BC1184,BD1184,BG1184,BH1184,BI1184,BJ1184,BK1184)</f>
        <v>applied to registered sex offenders totals 248. This represents over 100% cleared cases.</v>
      </c>
      <c r="BP1184" s="366"/>
      <c r="BQ1184" s="366"/>
      <c r="BR1184" s="366"/>
      <c r="BS1184" s="366"/>
      <c r="BT1184" s="366"/>
      <c r="BU1184" s="366"/>
      <c r="BV1184" s="366"/>
      <c r="BW1184" s="366"/>
      <c r="BX1184" s="366"/>
      <c r="BY1184" s="366"/>
      <c r="BZ1184" s="366"/>
      <c r="CA1184" s="366"/>
      <c r="CB1184" s="366"/>
      <c r="CC1184" s="366"/>
      <c r="CD1184" s="366"/>
      <c r="CE1184" s="366"/>
      <c r="CF1184" s="366"/>
    </row>
    <row r="1185" spans="1:84" ht="14.5" x14ac:dyDescent="0.35">
      <c r="A1185" s="379"/>
      <c r="B1185" s="379" t="s">
        <v>900</v>
      </c>
      <c r="C1185" s="921"/>
      <c r="D1185" s="921"/>
      <c r="E1185" s="49"/>
      <c r="F1185" s="1"/>
      <c r="AC1185" s="382"/>
      <c r="AD1185" s="383"/>
      <c r="AH1185" s="384"/>
      <c r="AI1185" s="385"/>
      <c r="BB1185" s="381">
        <f>IF($B$1174=$AF$1172,AC$1172*AC1184,IF($B$1174=$AF$1173,AC1184*AC$1173,IF($B$1174=$AF$1174,AC1184*AC$1174,IF($B$1174=$AF$1175,AC1184*AC$1175,IF($B$1174=$AF$1176,AC1184*AC$1176,"")))))</f>
        <v>247.79817</v>
      </c>
      <c r="BD1185" s="1093"/>
      <c r="BE1185" s="1094"/>
      <c r="BF1185" s="1094"/>
    </row>
    <row r="1186" spans="1:84" ht="9" customHeight="1" x14ac:dyDescent="0.3">
      <c r="A1186" s="375"/>
      <c r="B1186" s="49"/>
      <c r="C1186" s="49"/>
      <c r="D1186" s="49"/>
      <c r="E1186" s="49"/>
      <c r="F1186" s="1"/>
    </row>
    <row r="1187" spans="1:84" ht="14.4" customHeight="1" x14ac:dyDescent="0.35">
      <c r="A1187" s="375">
        <v>4</v>
      </c>
      <c r="B1187" s="376" t="str">
        <f>AM1187</f>
        <v>0.5% to 1%</v>
      </c>
      <c r="C1187" s="921" t="str">
        <f>IF(OR($B$1172="",$B$1174=""),"",BO1187)</f>
        <v>applied to registered sex offenders totals 04,589 to 09,178. This represents 79.86% to 39.93% cleared cases.</v>
      </c>
      <c r="D1187" s="921"/>
      <c r="E1187" s="49"/>
      <c r="F1187" s="1"/>
      <c r="AC1187" s="387">
        <v>5.0000000000000001E-3</v>
      </c>
      <c r="AD1187" s="142"/>
      <c r="AE1187" s="387">
        <v>0.01</v>
      </c>
      <c r="AH1187" s="926" t="str">
        <f>TEXT(AC1187,"0.0%")</f>
        <v>0.5%</v>
      </c>
      <c r="AI1187" s="927"/>
      <c r="AJ1187" s="926" t="str">
        <f>TEXT(AE1187,"0%")</f>
        <v>1%</v>
      </c>
      <c r="AK1187" s="927"/>
      <c r="AM1187" s="48" t="str">
        <f>CONCATENATE(AH1187," to ",AJ1187)</f>
        <v>0.5% to 1%</v>
      </c>
      <c r="AR1187" s="48" t="str">
        <f>CONCATENATE($AU$1171,$AX$1171,$BD$1171,$BF$1171)</f>
        <v xml:space="preserve">applied to registered sex offenders totals </v>
      </c>
      <c r="BB1187" s="386" t="str">
        <f>TEXT(BB1188,"00,000")</f>
        <v>04,589</v>
      </c>
      <c r="BC1187" s="48" t="s">
        <v>895</v>
      </c>
      <c r="BD1187" s="1067" t="str">
        <f>TEXT(ROUND(BD1188,0),"00,000")</f>
        <v>09,178</v>
      </c>
      <c r="BE1187" s="1086"/>
      <c r="BF1187" s="1086"/>
      <c r="BG1187" s="48" t="s">
        <v>896</v>
      </c>
      <c r="BH1187" s="378" t="str">
        <f>IF($B$1172&gt;BB1187,"over 100%",TEXT($B$1172/BB1187,"00.00%"))</f>
        <v>79.86%</v>
      </c>
      <c r="BI1187" s="48" t="s">
        <v>895</v>
      </c>
      <c r="BJ1187" s="790" t="str">
        <f>IF(AE1187&gt;BD1188,"over 100%",TEXT($B$1172/BD1187,"0.00%"))</f>
        <v>39.93%</v>
      </c>
      <c r="BK1187" s="48" t="s">
        <v>897</v>
      </c>
      <c r="BO1187" s="366" t="str">
        <f>CONCATENATE(AR1187,BB1187,BC1187,BD1187,BG1187,BH1187,BI1187,BJ1187,BK1187)</f>
        <v>applied to registered sex offenders totals 04,589 to 09,178. This represents 79.86% to 39.93% cleared cases.</v>
      </c>
      <c r="BP1187" s="366"/>
      <c r="BQ1187" s="366"/>
      <c r="BR1187" s="366"/>
      <c r="BS1187" s="366"/>
      <c r="BT1187" s="366"/>
      <c r="BU1187" s="366"/>
      <c r="BV1187" s="366"/>
      <c r="BW1187" s="366"/>
      <c r="BX1187" s="366"/>
      <c r="BY1187" s="366"/>
      <c r="BZ1187" s="366"/>
      <c r="CA1187" s="366"/>
      <c r="CB1187" s="366"/>
      <c r="CC1187" s="366"/>
      <c r="CD1187" s="366"/>
      <c r="CE1187" s="366"/>
      <c r="CF1187" s="366"/>
    </row>
    <row r="1188" spans="1:84" ht="14.5" x14ac:dyDescent="0.35">
      <c r="A1188" s="379"/>
      <c r="B1188" s="379" t="s">
        <v>901</v>
      </c>
      <c r="C1188" s="921"/>
      <c r="D1188" s="921"/>
      <c r="E1188" s="49"/>
      <c r="F1188" s="1"/>
      <c r="AE1188" s="387"/>
      <c r="AH1188" s="384"/>
      <c r="AI1188" s="385"/>
      <c r="BB1188" s="381">
        <f>IF($B$1174=$AF$1172,AC$1172*AC1187,IF($B$1174=$AF$1173,AC1187*AC$1173,IF($B$1174=$AF$1174,AC1187*AC$1174,IF($B$1174=$AF$1175,AC1187*AC$1175,IF($B$1174=$AF$1176,AC1187*AC$1176,"")))))</f>
        <v>4588.8550000000005</v>
      </c>
      <c r="BD1188" s="1087">
        <f>IF($B$1174=$AF$1172,AC$1172*AE1187,IF($B$1174=$AF$1173,AE1187*AC$1173,IF($B$1174=$AF$1174,AE1187*AC$1174,IF($B$1174=$AF$1175,AE1187*AC$1175,IF($B$1174=$AF$1176,AE1187*AC$1176,"")))))</f>
        <v>9177.7100000000009</v>
      </c>
      <c r="BE1188" s="1088"/>
      <c r="BF1188" s="1088"/>
    </row>
    <row r="1189" spans="1:84" ht="9" customHeight="1" x14ac:dyDescent="0.3">
      <c r="A1189" s="375"/>
      <c r="B1189" s="49"/>
      <c r="C1189" s="49"/>
      <c r="D1189" s="49"/>
      <c r="E1189" s="49"/>
      <c r="F1189" s="1"/>
      <c r="AE1189" s="387"/>
    </row>
    <row r="1190" spans="1:84" ht="14.4" customHeight="1" x14ac:dyDescent="0.35">
      <c r="A1190" s="375">
        <v>5</v>
      </c>
      <c r="B1190" s="376" t="str">
        <f>AM1190</f>
        <v>0.5% to 3%</v>
      </c>
      <c r="C1190" s="921" t="str">
        <f>IF(OR($B$1172="",$B$1174=""),"",BO1190)</f>
        <v>applied to registered sex offenders totals 04,589 to 27,533. This represents 79.86% to 13.31% cleared cases.</v>
      </c>
      <c r="D1190" s="921"/>
      <c r="E1190" s="49"/>
      <c r="F1190" s="1"/>
      <c r="AC1190" s="387">
        <v>5.0000000000000001E-3</v>
      </c>
      <c r="AE1190" s="387">
        <v>0.03</v>
      </c>
      <c r="AH1190" s="926" t="str">
        <f>TEXT(AC1190,"0.0%")</f>
        <v>0.5%</v>
      </c>
      <c r="AI1190" s="927"/>
      <c r="AJ1190" s="926" t="str">
        <f>TEXT(AE1190,"0%")</f>
        <v>3%</v>
      </c>
      <c r="AK1190" s="927"/>
      <c r="AM1190" s="48" t="str">
        <f>CONCATENATE(AH1190," to ",AJ1190)</f>
        <v>0.5% to 3%</v>
      </c>
      <c r="AR1190" s="48" t="str">
        <f>CONCATENATE($AU$1171,$AX$1171,$BD$1171,$BF$1171)</f>
        <v xml:space="preserve">applied to registered sex offenders totals </v>
      </c>
      <c r="BB1190" s="386" t="str">
        <f>TEXT(BB1191,"00,000")</f>
        <v>04,589</v>
      </c>
      <c r="BC1190" s="48" t="s">
        <v>895</v>
      </c>
      <c r="BD1190" s="1067" t="str">
        <f>TEXT(ROUND(BD1191,0),"00,000")</f>
        <v>27,533</v>
      </c>
      <c r="BE1190" s="1086"/>
      <c r="BF1190" s="1086"/>
      <c r="BG1190" s="48" t="s">
        <v>896</v>
      </c>
      <c r="BH1190" s="378" t="str">
        <f>IF($B$1172&gt;BB1190,"over 100%",TEXT($B$1172/BB1190,"00.00%"))</f>
        <v>79.86%</v>
      </c>
      <c r="BI1190" s="48" t="s">
        <v>895</v>
      </c>
      <c r="BJ1190" s="790" t="str">
        <f>IF(AE1190&gt;BD1191,"over 100%",TEXT($B$1172/BD1190,"0.00%"))</f>
        <v>13.31%</v>
      </c>
      <c r="BK1190" s="48" t="s">
        <v>897</v>
      </c>
      <c r="BO1190" s="366" t="str">
        <f>CONCATENATE(AR1190,BB1190,BC1190,BD1190,BG1190,BH1190,BI1190,BJ1190,BK1190)</f>
        <v>applied to registered sex offenders totals 04,589 to 27,533. This represents 79.86% to 13.31% cleared cases.</v>
      </c>
      <c r="BP1190" s="366"/>
      <c r="BQ1190" s="366"/>
      <c r="BR1190" s="366"/>
      <c r="BS1190" s="366"/>
      <c r="BT1190" s="366"/>
      <c r="BU1190" s="366"/>
      <c r="BV1190" s="366"/>
      <c r="BW1190" s="366"/>
      <c r="BX1190" s="366"/>
      <c r="BY1190" s="366"/>
      <c r="BZ1190" s="366"/>
      <c r="CA1190" s="366"/>
      <c r="CB1190" s="366"/>
      <c r="CC1190" s="366"/>
      <c r="CD1190" s="366"/>
      <c r="CE1190" s="366"/>
      <c r="CF1190" s="366"/>
    </row>
    <row r="1191" spans="1:84" ht="14.5" x14ac:dyDescent="0.35">
      <c r="A1191" s="379"/>
      <c r="B1191" s="379" t="s">
        <v>902</v>
      </c>
      <c r="C1191" s="921"/>
      <c r="D1191" s="921"/>
      <c r="E1191" s="49"/>
      <c r="F1191" s="1"/>
      <c r="AC1191" s="387"/>
      <c r="AE1191" s="387"/>
      <c r="AH1191" s="384"/>
      <c r="AI1191" s="385"/>
      <c r="BB1191" s="381">
        <f>IF($B$1174=$AF$1172,AC$1172*AC1190,IF($B$1174=$AF$1173,AC1190*AC$1173,IF($B$1174=$AF$1174,AC1190*AC$1174,IF($B$1174=$AF$1175,AC1190*AC$1175,IF($B$1174=$AF$1176,AC1190*AC$1176,"")))))</f>
        <v>4588.8550000000005</v>
      </c>
      <c r="BD1191" s="1087">
        <f>IF($B$1174=$AF$1172,AC$1172*AE1190,IF($B$1174=$AF$1173,AE1190*AC$1173,IF($B$1174=$AF$1174,AE1190*AC$1174,IF($B$1174=$AF$1175,AE1190*AC$1175,IF($B$1174=$AF$1176,AE1190*AC$1176,"")))))</f>
        <v>27533.129999999997</v>
      </c>
      <c r="BE1191" s="1088"/>
      <c r="BF1191" s="1088"/>
    </row>
    <row r="1192" spans="1:84" ht="9" customHeight="1" x14ac:dyDescent="0.3">
      <c r="A1192" s="375"/>
      <c r="B1192" s="49"/>
      <c r="C1192" s="49"/>
      <c r="D1192" s="49"/>
      <c r="E1192" s="49"/>
      <c r="F1192" s="1"/>
      <c r="AC1192" s="387"/>
      <c r="AE1192" s="387"/>
    </row>
    <row r="1193" spans="1:84" ht="14.4" customHeight="1" x14ac:dyDescent="0.35">
      <c r="A1193" s="375">
        <v>6</v>
      </c>
      <c r="B1193" s="376" t="str">
        <f>AM1193</f>
        <v>2.3%</v>
      </c>
      <c r="C1193" s="921" t="str">
        <f>IF(OR($B$1172="",$B$1174=""),"",BO1193)</f>
        <v>applied to registered sex offenders totals 21,109. This represents 17.36% cleared cases.</v>
      </c>
      <c r="D1193" s="921"/>
      <c r="E1193" s="49"/>
      <c r="F1193" s="1"/>
      <c r="AC1193" s="387">
        <v>2.3E-2</v>
      </c>
      <c r="AE1193" s="387"/>
      <c r="AH1193" s="926" t="str">
        <f>TEXT(AC1193,"0.0%")</f>
        <v>2.3%</v>
      </c>
      <c r="AI1193" s="927"/>
      <c r="AM1193" s="48" t="str">
        <f>CONCATENATE(AH1193,AJ1193)</f>
        <v>2.3%</v>
      </c>
      <c r="AR1193" s="48" t="str">
        <f>CONCATENATE($AU$1171,$AX$1171,$BD$1171,$BF$1171)</f>
        <v xml:space="preserve">applied to registered sex offenders totals </v>
      </c>
      <c r="BB1193" s="386" t="str">
        <f>TEXT(BB1194,"00,000")</f>
        <v>21,109</v>
      </c>
      <c r="BG1193" s="48" t="s">
        <v>896</v>
      </c>
      <c r="BH1193" s="378" t="str">
        <f>IF($B$1172&gt;BB1193,"over 100%",TEXT($B$1172/BB1193,"0.00%"))</f>
        <v>17.36%</v>
      </c>
      <c r="BK1193" s="48" t="s">
        <v>897</v>
      </c>
      <c r="BO1193" s="366" t="str">
        <f>CONCATENATE(AR1193,BB1193,BC1193,BD1193,BG1193,BH1193,BI1193,BJ1193,BK1193)</f>
        <v>applied to registered sex offenders totals 21,109. This represents 17.36% cleared cases.</v>
      </c>
      <c r="BP1193" s="366"/>
      <c r="BQ1193" s="366"/>
      <c r="BR1193" s="366"/>
      <c r="BS1193" s="366"/>
      <c r="BT1193" s="366"/>
      <c r="BU1193" s="366"/>
      <c r="BV1193" s="366"/>
      <c r="BW1193" s="366"/>
      <c r="BX1193" s="366"/>
      <c r="BY1193" s="366"/>
      <c r="BZ1193" s="366"/>
      <c r="CA1193" s="366"/>
      <c r="CB1193" s="366"/>
      <c r="CC1193" s="366"/>
      <c r="CD1193" s="366"/>
      <c r="CE1193" s="366"/>
      <c r="CF1193" s="366"/>
    </row>
    <row r="1194" spans="1:84" ht="14.5" x14ac:dyDescent="0.35">
      <c r="A1194" s="379"/>
      <c r="B1194" s="379" t="s">
        <v>903</v>
      </c>
      <c r="C1194" s="921"/>
      <c r="D1194" s="921"/>
      <c r="E1194" s="49"/>
      <c r="F1194" s="1"/>
      <c r="AC1194" s="387"/>
      <c r="AE1194" s="387"/>
      <c r="AH1194" s="384"/>
      <c r="AI1194" s="385"/>
      <c r="BB1194" s="381">
        <f>IF($B$1174=$AF$1172,AC$1172*AC1193,IF($B$1174=$AF$1173,AC1193*AC$1173,IF($B$1174=$AF$1174,AC1193*AC$1174,IF($B$1174=$AF$1175,AC1193*AC$1175,IF($B$1174=$AF$1176,AC1193*AC$1176,"")))))</f>
        <v>21108.733</v>
      </c>
    </row>
    <row r="1195" spans="1:84" ht="9" customHeight="1" x14ac:dyDescent="0.3">
      <c r="A1195" s="375"/>
      <c r="B1195" s="49"/>
      <c r="C1195" s="49"/>
      <c r="D1195" s="49"/>
      <c r="E1195" s="49"/>
      <c r="F1195" s="1"/>
      <c r="AC1195" s="387"/>
      <c r="AE1195" s="387"/>
    </row>
    <row r="1196" spans="1:84" ht="14.4" customHeight="1" x14ac:dyDescent="0.35">
      <c r="A1196" s="375">
        <v>7</v>
      </c>
      <c r="B1196" s="376" t="str">
        <f>AM1196</f>
        <v>3.3% to 5.0%</v>
      </c>
      <c r="C1196" s="921" t="str">
        <f>IF(OR($B$1172="",$B$1174=""),"",BO1196)</f>
        <v>applied to registered sex offenders totals 30,286 to 45,889. This represents 12.10% to 7.99% cleared cases.</v>
      </c>
      <c r="D1196" s="921"/>
      <c r="E1196" s="49"/>
      <c r="F1196" s="1"/>
      <c r="AC1196" s="387">
        <v>3.3000000000000002E-2</v>
      </c>
      <c r="AE1196" s="387">
        <v>0.05</v>
      </c>
      <c r="AH1196" s="926" t="str">
        <f>TEXT(AC1196,"0.0%")</f>
        <v>3.3%</v>
      </c>
      <c r="AI1196" s="927"/>
      <c r="AJ1196" s="926" t="str">
        <f>TEXT(AE1196,"0.0%")</f>
        <v>5.0%</v>
      </c>
      <c r="AK1196" s="927"/>
      <c r="AM1196" s="48" t="str">
        <f>CONCATENATE(AH1196," to ",AJ1196)</f>
        <v>3.3% to 5.0%</v>
      </c>
      <c r="AR1196" s="48" t="str">
        <f>CONCATENATE($AU$1171,$AX$1171,$BD$1171,$BF$1171)</f>
        <v xml:space="preserve">applied to registered sex offenders totals </v>
      </c>
      <c r="BB1196" s="386" t="str">
        <f>TEXT(BB1197,"00,000")</f>
        <v>30,286</v>
      </c>
      <c r="BC1196" s="48" t="s">
        <v>895</v>
      </c>
      <c r="BD1196" s="1067" t="str">
        <f>TEXT(ROUND(BD1197,0),"00,000")</f>
        <v>45,889</v>
      </c>
      <c r="BE1196" s="1086"/>
      <c r="BF1196" s="1086"/>
      <c r="BG1196" s="48" t="s">
        <v>896</v>
      </c>
      <c r="BH1196" s="378" t="str">
        <f>IF($B$1172&gt;BB1196,"over 100%",TEXT($B$1172/BB1196,"0.00%"))</f>
        <v>12.10%</v>
      </c>
      <c r="BI1196" s="48" t="s">
        <v>895</v>
      </c>
      <c r="BJ1196" s="378" t="str">
        <f>IF($B$1172&gt;BD1196,"over 100%",TEXT($B$1172/BD1196,"0.00%"))</f>
        <v>7.99%</v>
      </c>
      <c r="BK1196" s="48" t="s">
        <v>897</v>
      </c>
      <c r="BO1196" s="366" t="str">
        <f>CONCATENATE(AR1196,BB1196,BC1196,BD1196,BG1196,BH1196,BI1196,BJ1196,BK1196)</f>
        <v>applied to registered sex offenders totals 30,286 to 45,889. This represents 12.10% to 7.99% cleared cases.</v>
      </c>
      <c r="BP1196" s="366"/>
      <c r="BQ1196" s="366"/>
      <c r="BR1196" s="366"/>
      <c r="BS1196" s="366"/>
      <c r="BT1196" s="366"/>
      <c r="BU1196" s="366"/>
      <c r="BV1196" s="366"/>
      <c r="BW1196" s="366"/>
      <c r="BX1196" s="366"/>
      <c r="BY1196" s="366"/>
      <c r="BZ1196" s="366"/>
      <c r="CA1196" s="366"/>
      <c r="CB1196" s="366"/>
      <c r="CC1196" s="366"/>
      <c r="CD1196" s="366"/>
      <c r="CE1196" s="366"/>
      <c r="CF1196" s="366"/>
    </row>
    <row r="1197" spans="1:84" ht="14.5" x14ac:dyDescent="0.35">
      <c r="A1197" s="379"/>
      <c r="B1197" s="379" t="s">
        <v>904</v>
      </c>
      <c r="C1197" s="921"/>
      <c r="D1197" s="921"/>
      <c r="E1197" s="49"/>
      <c r="F1197" s="1"/>
      <c r="AC1197" s="387"/>
      <c r="AE1197" s="387"/>
      <c r="AH1197" s="384"/>
      <c r="AI1197" s="385"/>
      <c r="BB1197" s="381">
        <f>IF($B$1174=$AF$1172,AC$1172*AC1196,IF($B$1174=$AF$1173,AC1196*AC$1173,IF($B$1174=$AF$1174,AC1196*AC$1174,IF($B$1174=$AF$1175,AC1196*AC$1175,IF($B$1174=$AF$1176,AC1196*AC$1176,"")))))</f>
        <v>30286.443000000003</v>
      </c>
      <c r="BD1197" s="1087">
        <f>IF($B$1174=$AF$1172,AC$1172*AE1196,IF($B$1174=$AF$1173,AE1196*AC$1173,IF($B$1174=$AF$1174,AE1196*AC$1174,IF($B$1174=$AF$1175,AE1196*AC$1175,IF($B$1174=$AF$1176,AE1196*AC$1176,"")))))</f>
        <v>45888.55</v>
      </c>
      <c r="BE1197" s="1088"/>
      <c r="BF1197" s="1088"/>
    </row>
    <row r="1198" spans="1:84" ht="9" customHeight="1" x14ac:dyDescent="0.3">
      <c r="A1198" s="375"/>
      <c r="B1198" s="49"/>
      <c r="C1198" s="49"/>
      <c r="D1198" s="49"/>
      <c r="E1198" s="49"/>
      <c r="F1198" s="1"/>
      <c r="AC1198" s="387"/>
      <c r="AE1198" s="387"/>
    </row>
    <row r="1199" spans="1:84" ht="14.4" customHeight="1" x14ac:dyDescent="0.35">
      <c r="A1199" s="375">
        <v>8</v>
      </c>
      <c r="B1199" s="376" t="str">
        <f>AM1199</f>
        <v>4.1%</v>
      </c>
      <c r="C1199" s="921" t="str">
        <f>IF(OR($B$1172="",$B$1174=""),"",BO1199)</f>
        <v>applied to registered sex offenders totals 37,629. This represents 9.74% cleared cases.</v>
      </c>
      <c r="D1199" s="921"/>
      <c r="E1199" s="49"/>
      <c r="F1199" s="1"/>
      <c r="AC1199" s="387">
        <v>4.1000000000000002E-2</v>
      </c>
      <c r="AE1199" s="387"/>
      <c r="AH1199" s="926" t="str">
        <f>TEXT(AC1199,"0.0%")</f>
        <v>4.1%</v>
      </c>
      <c r="AI1199" s="927"/>
      <c r="AM1199" s="48" t="str">
        <f>CONCATENATE(AH1199,AJ1199)</f>
        <v>4.1%</v>
      </c>
      <c r="AR1199" s="48" t="str">
        <f>CONCATENATE($AU$1171,$AX$1171,$BD$1171,$BF$1171)</f>
        <v xml:space="preserve">applied to registered sex offenders totals </v>
      </c>
      <c r="BB1199" s="386" t="str">
        <f>TEXT(BB1200,"00,000")</f>
        <v>37,629</v>
      </c>
      <c r="BG1199" s="48" t="s">
        <v>896</v>
      </c>
      <c r="BH1199" s="378" t="str">
        <f>IF($B$1172&gt;BB1199,"over 100%",TEXT($B$1172/BB1199,"0.00%"))</f>
        <v>9.74%</v>
      </c>
      <c r="BK1199" s="48" t="s">
        <v>897</v>
      </c>
      <c r="BO1199" s="366" t="str">
        <f>CONCATENATE(AR1199,BB1199,BC1199,BD1199,BG1199,BH1199,BI1199,BJ1199,BK1199)</f>
        <v>applied to registered sex offenders totals 37,629. This represents 9.74% cleared cases.</v>
      </c>
      <c r="BP1199" s="366"/>
      <c r="BQ1199" s="366"/>
      <c r="BR1199" s="366"/>
      <c r="BS1199" s="366"/>
      <c r="BT1199" s="366"/>
      <c r="BU1199" s="366"/>
      <c r="BV1199" s="366"/>
      <c r="BW1199" s="366"/>
      <c r="BX1199" s="366"/>
      <c r="BY1199" s="366"/>
      <c r="BZ1199" s="366"/>
      <c r="CA1199" s="366"/>
      <c r="CB1199" s="366"/>
      <c r="CC1199" s="366"/>
      <c r="CD1199" s="366"/>
      <c r="CE1199" s="366"/>
      <c r="CF1199" s="366"/>
    </row>
    <row r="1200" spans="1:84" ht="14.5" x14ac:dyDescent="0.35">
      <c r="A1200" s="379"/>
      <c r="B1200" s="379" t="s">
        <v>905</v>
      </c>
      <c r="C1200" s="921"/>
      <c r="D1200" s="921"/>
      <c r="E1200" s="49"/>
      <c r="F1200" s="1"/>
      <c r="AC1200" s="387"/>
      <c r="AE1200" s="387"/>
      <c r="AH1200" s="384"/>
      <c r="AI1200" s="385"/>
      <c r="BB1200" s="381">
        <f>IF($B$1174=$AF$1172,AC$1172*AC1199,IF($B$1174=$AF$1173,AC1199*AC$1173,IF($B$1174=$AF$1174,AC1199*AC$1174,IF($B$1174=$AF$1175,AC1199*AC$1175,IF($B$1174=$AF$1176,AC1199*AC$1176,"")))))</f>
        <v>37628.611000000004</v>
      </c>
    </row>
    <row r="1201" spans="1:84" ht="9" customHeight="1" x14ac:dyDescent="0.3">
      <c r="A1201" s="375"/>
      <c r="B1201" s="49"/>
      <c r="C1201" s="49"/>
      <c r="D1201" s="49"/>
      <c r="E1201" s="49"/>
      <c r="F1201" s="1"/>
      <c r="AC1201" s="387"/>
      <c r="AE1201" s="387"/>
    </row>
    <row r="1202" spans="1:84" ht="14.4" customHeight="1" x14ac:dyDescent="0.35">
      <c r="A1202" s="375">
        <v>9</v>
      </c>
      <c r="B1202" s="376" t="str">
        <f>AM1202</f>
        <v>5% to 15.0%</v>
      </c>
      <c r="C1202" s="921" t="str">
        <f>IF(OR($B$1172="",$B$1174=""),"",BO1202)</f>
        <v>applied to registered sex offenders totals 45,889 to 137,666. This represents 7.99% to 2.66% cleared cases.</v>
      </c>
      <c r="D1202" s="921"/>
      <c r="E1202" s="49"/>
      <c r="F1202" s="1"/>
      <c r="AC1202" s="387">
        <v>0.05</v>
      </c>
      <c r="AE1202" s="387">
        <v>0.15</v>
      </c>
      <c r="AH1202" s="926" t="str">
        <f>TEXT(AC1202,"0%")</f>
        <v>5%</v>
      </c>
      <c r="AI1202" s="927"/>
      <c r="AJ1202" s="926" t="str">
        <f>TEXT(AE1202,"0.0%")</f>
        <v>15.0%</v>
      </c>
      <c r="AK1202" s="927"/>
      <c r="AM1202" s="48" t="str">
        <f>CONCATENATE(AH1202," to ",AJ1202)</f>
        <v>5% to 15.0%</v>
      </c>
      <c r="AR1202" s="48" t="str">
        <f>CONCATENATE($AU$1171,$AX$1171,$BD$1171,$BF$1171)</f>
        <v xml:space="preserve">applied to registered sex offenders totals </v>
      </c>
      <c r="BB1202" s="386" t="str">
        <f>TEXT(BB1203,"00,000")</f>
        <v>45,889</v>
      </c>
      <c r="BC1202" s="48" t="s">
        <v>895</v>
      </c>
      <c r="BD1202" s="1067" t="str">
        <f>TEXT(ROUND(BD1203,0),"00,000")</f>
        <v>137,666</v>
      </c>
      <c r="BE1202" s="1086"/>
      <c r="BF1202" s="1086"/>
      <c r="BG1202" s="48" t="s">
        <v>896</v>
      </c>
      <c r="BH1202" s="378" t="str">
        <f>IF($B$1172&gt;BB1202,"over 100%",TEXT($B$1172/BB1202,"0.00%"))</f>
        <v>7.99%</v>
      </c>
      <c r="BI1202" s="48" t="s">
        <v>895</v>
      </c>
      <c r="BJ1202" s="378" t="str">
        <f>IF($B$1172&gt;BD1202,"over 100%",TEXT($B$1172/BD1202,"0.00%"))</f>
        <v>2.66%</v>
      </c>
      <c r="BK1202" s="48" t="s">
        <v>897</v>
      </c>
      <c r="BO1202" s="366" t="str">
        <f>CONCATENATE(AR1202,BB1202,BC1202,BD1202,BG1202,BH1202,BI1202,BJ1202,BK1202)</f>
        <v>applied to registered sex offenders totals 45,889 to 137,666. This represents 7.99% to 2.66% cleared cases.</v>
      </c>
      <c r="BP1202" s="366"/>
      <c r="BQ1202" s="366"/>
      <c r="BR1202" s="366"/>
      <c r="BS1202" s="366"/>
      <c r="BT1202" s="366"/>
      <c r="BU1202" s="366"/>
      <c r="BV1202" s="366"/>
      <c r="BW1202" s="366"/>
      <c r="BX1202" s="366"/>
      <c r="BY1202" s="366"/>
      <c r="BZ1202" s="366"/>
      <c r="CA1202" s="366"/>
      <c r="CB1202" s="366"/>
      <c r="CC1202" s="366"/>
      <c r="CD1202" s="366"/>
      <c r="CE1202" s="366"/>
      <c r="CF1202" s="366"/>
    </row>
    <row r="1203" spans="1:84" ht="14.5" x14ac:dyDescent="0.35">
      <c r="A1203" s="379"/>
      <c r="B1203" s="379" t="s">
        <v>906</v>
      </c>
      <c r="C1203" s="921"/>
      <c r="D1203" s="921"/>
      <c r="E1203" s="49"/>
      <c r="F1203" s="1"/>
      <c r="AC1203" s="387"/>
      <c r="AE1203" s="387"/>
      <c r="AH1203" s="384"/>
      <c r="AI1203" s="385"/>
      <c r="BB1203" s="381">
        <f>IF($B$1174=$AF$1172,AC$1172*AC1202,IF($B$1174=$AF$1173,AC1202*AC$1173,IF($B$1174=$AF$1174,AC1202*AC$1174,IF($B$1174=$AF$1175,AC1202*AC$1175,IF($B$1174=$AF$1176,AC1202*AC$1176,"")))))</f>
        <v>45888.55</v>
      </c>
      <c r="BD1203" s="1087">
        <f>IF($B$1174=$AF$1172,AC$1172*AE1202,IF($B$1174=$AF$1173,AE1202*AC$1173,IF($B$1174=$AF$1174,AE1202*AC$1174,IF($B$1174=$AF$1175,AE1202*AC$1175,IF($B$1174=$AF$1176,AE1202*AC$1176,"")))))</f>
        <v>137665.65</v>
      </c>
      <c r="BE1203" s="1088"/>
      <c r="BF1203" s="1088"/>
      <c r="BG1203" s="378"/>
    </row>
    <row r="1204" spans="1:84" ht="9" customHeight="1" x14ac:dyDescent="0.3">
      <c r="A1204" s="375"/>
      <c r="B1204" s="49"/>
      <c r="C1204" s="49"/>
      <c r="D1204" s="49"/>
      <c r="E1204" s="49"/>
      <c r="F1204" s="1"/>
      <c r="AC1204" s="387"/>
      <c r="AE1204" s="387"/>
    </row>
    <row r="1205" spans="1:84" ht="14.4" customHeight="1" x14ac:dyDescent="0.35">
      <c r="A1205" s="375">
        <v>10</v>
      </c>
      <c r="B1205" s="376" t="str">
        <f>AM1205</f>
        <v>6%</v>
      </c>
      <c r="C1205" s="921" t="str">
        <f>IF(OR($B$1172="",$B$1174=""),"",BO1205)</f>
        <v>applied to registered sex offenders totals 55,066. This represents 6.66% cleared cases.</v>
      </c>
      <c r="D1205" s="921"/>
      <c r="E1205" s="49"/>
      <c r="F1205" s="1"/>
      <c r="AC1205" s="387">
        <v>0.06</v>
      </c>
      <c r="AE1205" s="387"/>
      <c r="AH1205" s="926" t="str">
        <f>TEXT(AC1205,"0%")</f>
        <v>6%</v>
      </c>
      <c r="AI1205" s="927"/>
      <c r="AM1205" s="48" t="str">
        <f>CONCATENATE(AH1205,AJ1205)</f>
        <v>6%</v>
      </c>
      <c r="AR1205" s="48" t="str">
        <f>CONCATENATE($AU$1171,$AX$1171,$BD$1171,$BF$1171)</f>
        <v xml:space="preserve">applied to registered sex offenders totals </v>
      </c>
      <c r="BB1205" s="386" t="str">
        <f>TEXT(BB1206,"00,000")</f>
        <v>55,066</v>
      </c>
      <c r="BG1205" s="48" t="s">
        <v>896</v>
      </c>
      <c r="BH1205" s="378" t="str">
        <f>IF($B$1172&gt;BB1205,"over 100%",TEXT($B$1172/BB1205,"0.00%"))</f>
        <v>6.66%</v>
      </c>
      <c r="BK1205" s="48" t="s">
        <v>897</v>
      </c>
      <c r="BO1205" s="366" t="str">
        <f>CONCATENATE(AR1205,BB1205,BC1205,BD1205,BG1205,BH1205,BI1205,BJ1205,BK1205)</f>
        <v>applied to registered sex offenders totals 55,066. This represents 6.66% cleared cases.</v>
      </c>
      <c r="BP1205" s="366"/>
      <c r="BQ1205" s="366"/>
      <c r="BR1205" s="366"/>
      <c r="BS1205" s="366"/>
      <c r="BT1205" s="366"/>
      <c r="BU1205" s="366"/>
      <c r="BV1205" s="366"/>
      <c r="BW1205" s="366"/>
      <c r="BX1205" s="366"/>
      <c r="BY1205" s="366"/>
      <c r="BZ1205" s="366"/>
      <c r="CA1205" s="366"/>
      <c r="CB1205" s="366"/>
      <c r="CC1205" s="366"/>
      <c r="CD1205" s="366"/>
      <c r="CE1205" s="366"/>
      <c r="CF1205" s="366"/>
    </row>
    <row r="1206" spans="1:84" ht="14.5" x14ac:dyDescent="0.35">
      <c r="A1206" s="379"/>
      <c r="B1206" s="379" t="s">
        <v>907</v>
      </c>
      <c r="C1206" s="921"/>
      <c r="D1206" s="921"/>
      <c r="E1206" s="49"/>
      <c r="F1206" s="1"/>
      <c r="AC1206" s="387"/>
      <c r="AE1206" s="387"/>
      <c r="AH1206" s="384"/>
      <c r="AI1206" s="385"/>
      <c r="BB1206" s="381">
        <f>IF($B$1174=$AF$1172,AC$1172*AC1205,IF($B$1174=$AF$1173,AC1205*AC$1173,IF($B$1174=$AF$1174,AC1205*AC$1174,IF($B$1174=$AF$1175,AC1205*AC$1175,IF($B$1174=$AF$1176,AC1205*AC$1176,"")))))</f>
        <v>55066.259999999995</v>
      </c>
    </row>
    <row r="1207" spans="1:84" ht="9" customHeight="1" x14ac:dyDescent="0.3">
      <c r="A1207" s="375"/>
      <c r="B1207" s="49"/>
      <c r="C1207" s="49"/>
      <c r="D1207" s="49"/>
      <c r="E1207" s="49"/>
      <c r="F1207" s="1"/>
      <c r="AC1207" s="387"/>
      <c r="AE1207" s="387"/>
    </row>
    <row r="1208" spans="1:84" ht="14.4" customHeight="1" x14ac:dyDescent="0.35">
      <c r="A1208" s="375">
        <v>11</v>
      </c>
      <c r="B1208" s="376" t="str">
        <f>AM1208</f>
        <v>11.60%</v>
      </c>
      <c r="C1208" s="921" t="str">
        <f>IF(OR($B$1172="",$B$1174=""),"",BO1208)</f>
        <v>applied to registered sex offenders totals 106,461. This represents 3.44% cleared cases.</v>
      </c>
      <c r="D1208" s="921"/>
      <c r="E1208" s="49"/>
      <c r="F1208" s="1"/>
      <c r="AC1208" s="387">
        <v>0.11600000000000001</v>
      </c>
      <c r="AE1208" s="387"/>
      <c r="AH1208" s="926" t="str">
        <f>TEXT(AC1208,"0.00%")</f>
        <v>11.60%</v>
      </c>
      <c r="AI1208" s="927"/>
      <c r="AM1208" s="48" t="str">
        <f>CONCATENATE(AH1208,AJ1208)</f>
        <v>11.60%</v>
      </c>
      <c r="AR1208" s="48" t="str">
        <f>CONCATENATE($AU$1171,$AX$1171,$BD$1171,$BF$1171)</f>
        <v xml:space="preserve">applied to registered sex offenders totals </v>
      </c>
      <c r="BB1208" s="386" t="str">
        <f>TEXT(BB1209,"00,000")</f>
        <v>106,461</v>
      </c>
      <c r="BG1208" s="48" t="s">
        <v>896</v>
      </c>
      <c r="BH1208" s="378" t="str">
        <f>IF($B$1172&gt;BB1208,"over 100%",TEXT($B$1172/BB1208,"0.00%"))</f>
        <v>3.44%</v>
      </c>
      <c r="BK1208" s="48" t="s">
        <v>897</v>
      </c>
      <c r="BO1208" s="366" t="str">
        <f>CONCATENATE(AR1208,BB1208,BC1208,BD1208,BG1208,BH1208,BI1208,BJ1208,BK1208)</f>
        <v>applied to registered sex offenders totals 106,461. This represents 3.44% cleared cases.</v>
      </c>
      <c r="BP1208" s="366"/>
      <c r="BQ1208" s="366"/>
      <c r="BR1208" s="366"/>
      <c r="BS1208" s="366"/>
      <c r="BT1208" s="366"/>
      <c r="BU1208" s="366"/>
      <c r="BV1208" s="366"/>
      <c r="BW1208" s="366"/>
      <c r="BX1208" s="366"/>
      <c r="BY1208" s="366"/>
      <c r="BZ1208" s="366"/>
      <c r="CA1208" s="366"/>
      <c r="CB1208" s="366"/>
      <c r="CC1208" s="366"/>
      <c r="CD1208" s="366"/>
      <c r="CE1208" s="366"/>
      <c r="CF1208" s="366"/>
    </row>
    <row r="1209" spans="1:84" ht="14.5" x14ac:dyDescent="0.35">
      <c r="A1209" s="379"/>
      <c r="B1209" s="379" t="s">
        <v>908</v>
      </c>
      <c r="C1209" s="921"/>
      <c r="D1209" s="921"/>
      <c r="E1209" s="49"/>
      <c r="F1209" s="1"/>
      <c r="AH1209" s="384"/>
      <c r="AI1209" s="385"/>
      <c r="BB1209" s="381">
        <f>IF($B$1174=$AF$1172,AC$1172*AC1208,IF($B$1174=$AF$1173,AC1208*AC$1173,IF($B$1174=$AF$1174,AC1208*AC$1174,IF($B$1174=$AF$1175,AC1208*AC$1175,IF($B$1174=$AF$1176,AC1208*AC$1176,"")))))</f>
        <v>106461.436</v>
      </c>
    </row>
    <row r="1210" spans="1:84" ht="9" customHeight="1" x14ac:dyDescent="0.3">
      <c r="A1210" s="49"/>
      <c r="B1210" s="49"/>
      <c r="C1210" s="49"/>
      <c r="D1210" s="49"/>
      <c r="E1210" s="49"/>
      <c r="F1210" s="1"/>
    </row>
    <row r="1211" spans="1:84" ht="14.4" customHeight="1" x14ac:dyDescent="0.35">
      <c r="A1211" s="375">
        <v>12</v>
      </c>
      <c r="B1211" s="376" t="str">
        <f>AM1211</f>
        <v>15.4%</v>
      </c>
      <c r="C1211" s="921" t="str">
        <f>IF(OR($B$1172="",$B$1174=""),"",BO1211)</f>
        <v>applied to registered sex offenders totals 141,337. This represents 2.59% cleared cases.</v>
      </c>
      <c r="D1211" s="921"/>
      <c r="E1211" s="49"/>
      <c r="F1211" s="1"/>
      <c r="AC1211" s="387">
        <v>0.154</v>
      </c>
      <c r="AD1211" s="387"/>
      <c r="AH1211" s="926" t="str">
        <f>TEXT(AC1211,"0.0%")</f>
        <v>15.4%</v>
      </c>
      <c r="AI1211" s="927"/>
      <c r="AM1211" s="48" t="str">
        <f>CONCATENATE(AH1211,AJ1211)</f>
        <v>15.4%</v>
      </c>
      <c r="AR1211" s="48" t="str">
        <f>CONCATENATE($AU$1171,$AX$1171,$BD$1171,$BF$1171)</f>
        <v xml:space="preserve">applied to registered sex offenders totals </v>
      </c>
      <c r="BB1211" s="386" t="str">
        <f>TEXT(BB1212,"00,000")</f>
        <v>141,337</v>
      </c>
      <c r="BG1211" s="48" t="s">
        <v>896</v>
      </c>
      <c r="BH1211" s="378" t="str">
        <f>IF($B$1172&gt;BB1211,"over 100%",TEXT($B$1172/BB1211,"0.00%"))</f>
        <v>2.59%</v>
      </c>
      <c r="BK1211" s="48" t="s">
        <v>897</v>
      </c>
      <c r="BO1211" s="366" t="str">
        <f>CONCATENATE(AR1211,BB1211,BC1211,BD1211,BG1211,BH1211,BI1211,BJ1211,BK1211)</f>
        <v>applied to registered sex offenders totals 141,337. This represents 2.59% cleared cases.</v>
      </c>
      <c r="BP1211" s="366"/>
      <c r="BQ1211" s="366"/>
      <c r="BR1211" s="366"/>
      <c r="BS1211" s="366"/>
      <c r="BT1211" s="366"/>
      <c r="BU1211" s="366"/>
      <c r="BV1211" s="366"/>
      <c r="BW1211" s="366"/>
      <c r="BX1211" s="366"/>
      <c r="BY1211" s="366"/>
      <c r="BZ1211" s="366"/>
      <c r="CA1211" s="366"/>
      <c r="CB1211" s="366"/>
      <c r="CC1211" s="366"/>
      <c r="CD1211" s="366"/>
      <c r="CE1211" s="366"/>
      <c r="CF1211" s="366"/>
    </row>
    <row r="1212" spans="1:84" x14ac:dyDescent="0.3">
      <c r="A1212" s="379"/>
      <c r="B1212" s="379" t="s">
        <v>909</v>
      </c>
      <c r="C1212" s="921"/>
      <c r="D1212" s="921"/>
      <c r="E1212" s="49"/>
      <c r="F1212" s="1"/>
      <c r="BB1212" s="381">
        <f>IF($B$1174=$AF$1172,AC$1172*AC1211,IF($B$1174=$AF$1173,AC1211*AC$1173,IF($B$1174=$AF$1174,AC1211*AC$1174,IF($B$1174=$AF$1175,AC1211*AC$1175,IF($B$1174=$AF$1176,AC1211*AC$1176,"")))))</f>
        <v>141336.734</v>
      </c>
    </row>
    <row r="1213" spans="1:84" ht="15" customHeight="1" x14ac:dyDescent="0.3">
      <c r="A1213" s="49"/>
      <c r="B1213" s="49"/>
      <c r="C1213" s="49"/>
      <c r="D1213" s="49"/>
      <c r="E1213" s="49"/>
      <c r="F1213" s="1"/>
    </row>
    <row r="1214" spans="1:84" ht="20" customHeight="1" x14ac:dyDescent="0.3">
      <c r="A1214" s="1129" t="s">
        <v>1398</v>
      </c>
      <c r="B1214" s="1129"/>
      <c r="C1214" s="1129"/>
      <c r="D1214" s="1129"/>
      <c r="E1214" s="1129"/>
      <c r="F1214" s="1"/>
    </row>
    <row r="1215" spans="1:84" ht="20" customHeight="1" x14ac:dyDescent="0.3">
      <c r="A1215" s="1129"/>
      <c r="B1215" s="1129"/>
      <c r="C1215" s="1129"/>
      <c r="D1215" s="1129"/>
      <c r="E1215" s="1129"/>
      <c r="F1215" s="1"/>
    </row>
    <row r="1216" spans="1:84" ht="20" customHeight="1" x14ac:dyDescent="0.3">
      <c r="A1216" s="1129"/>
      <c r="B1216" s="1129"/>
      <c r="C1216" s="1129"/>
      <c r="D1216" s="1129"/>
      <c r="E1216" s="1129"/>
      <c r="F1216" s="1"/>
      <c r="AP1216" s="14"/>
    </row>
    <row r="1217" spans="1:33" ht="13.75" customHeight="1" x14ac:dyDescent="0.3">
      <c r="A1217" s="444"/>
      <c r="B1217" s="444"/>
      <c r="C1217" s="444"/>
      <c r="D1217" s="444"/>
      <c r="E1217" s="444"/>
      <c r="F1217" s="1"/>
    </row>
    <row r="1218" spans="1:33" ht="45" customHeight="1" x14ac:dyDescent="0.3">
      <c r="A1218" s="861"/>
      <c r="B1218" s="947" t="s">
        <v>5470</v>
      </c>
      <c r="C1218" s="947"/>
      <c r="D1218" s="947"/>
      <c r="E1218" s="861"/>
      <c r="F1218" s="861"/>
    </row>
    <row r="1219" spans="1:33" ht="17" customHeight="1" x14ac:dyDescent="0.3">
      <c r="A1219" s="303"/>
      <c r="B1219" s="303"/>
      <c r="C1219" s="303"/>
      <c r="D1219" s="303"/>
      <c r="E1219" s="303"/>
      <c r="F1219" s="303"/>
    </row>
    <row r="1220" spans="1:33" ht="17" customHeight="1" x14ac:dyDescent="0.4">
      <c r="A1220" s="303"/>
      <c r="B1220" s="877" t="s">
        <v>5475</v>
      </c>
      <c r="C1220" s="303"/>
      <c r="D1220" s="303"/>
      <c r="E1220" s="303"/>
      <c r="F1220" s="303"/>
      <c r="AG1220" s="874" t="s">
        <v>5471</v>
      </c>
    </row>
    <row r="1221" spans="1:33" x14ac:dyDescent="0.3">
      <c r="A1221" s="303"/>
      <c r="B1221" s="876" t="str">
        <f>AG1221</f>
        <v>Here are the steps again for saving the top few pages of this document.</v>
      </c>
      <c r="C1221" s="303"/>
      <c r="D1221" s="303"/>
      <c r="E1221" s="303"/>
      <c r="F1221" s="303"/>
      <c r="AG1221" s="48" t="s">
        <v>5472</v>
      </c>
    </row>
    <row r="1222" spans="1:33" x14ac:dyDescent="0.3">
      <c r="A1222" s="303"/>
      <c r="B1222" s="876" t="str">
        <f>AG1222</f>
        <v>1. Start with the NOVI tab. Select the NOVI tab below. Review to spot any mistakes.</v>
      </c>
      <c r="C1222" s="303"/>
      <c r="D1222" s="303"/>
      <c r="E1222" s="303"/>
      <c r="F1222" s="303"/>
      <c r="AG1222" s="48" t="str">
        <f t="shared" ref="AG1222:AG1229" si="71">AF15</f>
        <v>1. Start with the NOVI tab. Select the NOVI tab below. Review to spot any mistakes.</v>
      </c>
    </row>
    <row r="1223" spans="1:33" x14ac:dyDescent="0.3">
      <c r="A1223" s="303"/>
      <c r="B1223" s="876" t="str">
        <f t="shared" ref="B1223:B1228" si="72">AG1223</f>
        <v>2. Come back here to correct any mistakes you find. Then click Save.</v>
      </c>
      <c r="C1223" s="303"/>
      <c r="D1223" s="303"/>
      <c r="E1223" s="303"/>
      <c r="F1223" s="303"/>
      <c r="AG1223" s="48" t="str">
        <f t="shared" si="71"/>
        <v>2. Come back here to correct any mistakes you find. Then click Save.</v>
      </c>
    </row>
    <row r="1224" spans="1:33" x14ac:dyDescent="0.3">
      <c r="A1224" s="303"/>
      <c r="B1224" s="876" t="str">
        <f t="shared" si="72"/>
        <v>3. Select the File menu. Click on Save As. Choose a location on your device.</v>
      </c>
      <c r="C1224" s="303"/>
      <c r="D1224" s="303"/>
      <c r="E1224" s="303"/>
      <c r="F1224" s="303"/>
      <c r="AG1224" s="48" t="str">
        <f t="shared" si="71"/>
        <v>3. Select the File menu. Click on Save As. Choose a location on your device.</v>
      </c>
    </row>
    <row r="1225" spans="1:33" x14ac:dyDescent="0.3">
      <c r="A1225" s="303"/>
      <c r="B1225" s="876" t="str">
        <f t="shared" si="72"/>
        <v>4. Below File name, click Save as type dropdown list and select “PDF (*.pdf)”.</v>
      </c>
      <c r="C1225" s="303"/>
      <c r="D1225" s="303"/>
      <c r="E1225" s="303"/>
      <c r="F1225" s="303"/>
      <c r="AG1225" s="48" t="str">
        <f t="shared" si="71"/>
        <v>4. Below File name, click Save as type dropdown list and select “PDF (*.pdf)”.</v>
      </c>
    </row>
    <row r="1226" spans="1:33" x14ac:dyDescent="0.3">
      <c r="A1226" s="303"/>
      <c r="B1226" s="876" t="str">
        <f t="shared" si="72"/>
        <v>5. Click the Save button at the lower right of the dialog box.</v>
      </c>
      <c r="C1226" s="303"/>
      <c r="D1226" s="303"/>
      <c r="E1226" s="303"/>
      <c r="F1226" s="303"/>
      <c r="AG1226" s="48" t="str">
        <f t="shared" si="71"/>
        <v>5. Click the Save button at the lower right of the dialog box.</v>
      </c>
    </row>
    <row r="1227" spans="1:33" x14ac:dyDescent="0.3">
      <c r="A1227" s="303"/>
      <c r="B1227" s="876" t="str">
        <f t="shared" si="72"/>
        <v xml:space="preserve">6. Review your saved version in your Acrobat PDF Reader. </v>
      </c>
      <c r="C1227" s="303"/>
      <c r="D1227" s="303"/>
      <c r="E1227" s="303"/>
      <c r="F1227" s="303"/>
      <c r="AG1227" s="48" t="str">
        <f t="shared" si="71"/>
        <v xml:space="preserve">6. Review your saved version in your Acrobat PDF Reader. </v>
      </c>
    </row>
    <row r="1228" spans="1:33" x14ac:dyDescent="0.3">
      <c r="A1228" s="303"/>
      <c r="B1228" s="876" t="str">
        <f t="shared" si="72"/>
        <v>Repeat these step to save the other tabs as a PDF: COVI, EIR, &amp; CQR.</v>
      </c>
      <c r="C1228" s="303"/>
      <c r="D1228" s="303"/>
      <c r="E1228" s="303"/>
      <c r="F1228" s="303"/>
      <c r="AG1228" s="48" t="str">
        <f t="shared" si="71"/>
        <v>Repeat these step to save the other tabs as a PDF: COVI, EIR, &amp; CQR.</v>
      </c>
    </row>
    <row r="1229" spans="1:33" x14ac:dyDescent="0.3">
      <c r="A1229" s="303"/>
      <c r="B1229" s="876" t="str">
        <f>AG1229</f>
        <v>The default setting lets you print the whole spreadsheet through the last page.</v>
      </c>
      <c r="C1229" s="303"/>
      <c r="D1229" s="303"/>
      <c r="E1229" s="303"/>
      <c r="F1229" s="303"/>
      <c r="AG1229" s="48" t="str">
        <f t="shared" si="71"/>
        <v>The default setting lets you print the whole spreadsheet through the last page.</v>
      </c>
    </row>
    <row r="1230" spans="1:33" x14ac:dyDescent="0.3">
      <c r="A1230" s="303"/>
      <c r="B1230" s="303"/>
      <c r="C1230" s="303"/>
      <c r="D1230" s="303"/>
      <c r="E1230" s="303"/>
      <c r="F1230" s="303"/>
    </row>
    <row r="1231" spans="1:33" ht="17" customHeight="1" x14ac:dyDescent="0.4">
      <c r="A1231" s="303"/>
      <c r="B1231" s="877" t="s">
        <v>5473</v>
      </c>
      <c r="C1231" s="303"/>
      <c r="D1231" s="303"/>
      <c r="E1231" s="303"/>
      <c r="F1231" s="303"/>
      <c r="AC1231" s="52"/>
      <c r="AG1231" s="874" t="s">
        <v>5466</v>
      </c>
    </row>
    <row r="1232" spans="1:33" ht="12" customHeight="1" x14ac:dyDescent="0.3">
      <c r="A1232" s="303"/>
      <c r="B1232" s="303"/>
      <c r="C1232" s="303"/>
      <c r="D1232" s="303"/>
      <c r="E1232" s="303"/>
      <c r="F1232" s="303"/>
    </row>
    <row r="1233" spans="1:43" ht="17" customHeight="1" x14ac:dyDescent="0.35">
      <c r="A1233" s="303"/>
      <c r="B1233" s="877" t="s">
        <v>5547</v>
      </c>
      <c r="C1233" s="303"/>
      <c r="D1233" s="303"/>
      <c r="E1233" s="303"/>
      <c r="F1233" s="303"/>
      <c r="AG1233" s="875" t="s">
        <v>5548</v>
      </c>
    </row>
    <row r="1234" spans="1:43" ht="17" customHeight="1" x14ac:dyDescent="0.3">
      <c r="A1234" s="303"/>
      <c r="B1234" s="876" t="str">
        <f>AG1234</f>
        <v>Receive support how to best use this tool. Exchange ideas with others using this tool.</v>
      </c>
      <c r="C1234" s="303"/>
      <c r="D1234" s="303"/>
      <c r="E1234" s="303"/>
      <c r="F1234" s="303"/>
      <c r="AG1234" s="48" t="s">
        <v>5468</v>
      </c>
    </row>
    <row r="1235" spans="1:43" ht="17" customHeight="1" x14ac:dyDescent="0.3">
      <c r="A1235" s="303"/>
      <c r="B1235" s="876" t="str">
        <f t="shared" ref="B1235:B1237" si="73">AG1235</f>
        <v>1. Join our online forum “Estimated Innocence” to engage others interested in this tool.</v>
      </c>
      <c r="C1235" s="303"/>
      <c r="D1235" s="303"/>
      <c r="E1235" s="303"/>
      <c r="F1235" s="303"/>
      <c r="AG1235" s="48" t="str">
        <f>AF32</f>
        <v>1. Join our online forum “Estimated Innocence” to engage others interested in this tool.</v>
      </c>
    </row>
    <row r="1236" spans="1:43" ht="17" customHeight="1" x14ac:dyDescent="0.3">
      <c r="A1236" s="303"/>
      <c r="B1236" s="876" t="str">
        <f t="shared" si="73"/>
        <v>2. Listen to the Need-Response podcast for insights from the creator of this tool.</v>
      </c>
      <c r="C1236" s="303"/>
      <c r="D1236" s="303"/>
      <c r="E1236" s="303"/>
      <c r="F1236" s="303"/>
      <c r="AG1236" s="48" t="str">
        <f>AF33</f>
        <v>2. Listen to the Need-Response podcast for insights from the creator of this tool.</v>
      </c>
    </row>
    <row r="1237" spans="1:43" ht="17" customHeight="1" x14ac:dyDescent="0.3">
      <c r="A1237" s="303"/>
      <c r="B1237" s="876" t="str">
        <f t="shared" si="73"/>
        <v>3. Book an online session with this tool's creator for free; donate afterwards.</v>
      </c>
      <c r="C1237" s="303"/>
      <c r="D1237" s="303"/>
      <c r="E1237" s="303"/>
      <c r="F1237" s="303"/>
      <c r="AG1237" s="48" t="str">
        <f>AF34</f>
        <v>3. Book an online session with this tool's creator for free; donate afterwards.</v>
      </c>
    </row>
    <row r="1238" spans="1:43" ht="17" customHeight="1" x14ac:dyDescent="0.3">
      <c r="A1238" s="303"/>
      <c r="B1238" s="303"/>
      <c r="C1238" s="303"/>
      <c r="D1238" s="303"/>
      <c r="E1238" s="303"/>
      <c r="F1238" s="303"/>
    </row>
    <row r="1239" spans="1:43" ht="17" customHeight="1" x14ac:dyDescent="0.3">
      <c r="A1239" s="303"/>
      <c r="B1239" s="303"/>
      <c r="C1239" s="303"/>
      <c r="D1239" s="303"/>
      <c r="E1239" s="303"/>
      <c r="F1239" s="303"/>
    </row>
    <row r="1240" spans="1:43" ht="17" customHeight="1" x14ac:dyDescent="0.3">
      <c r="A1240" s="303"/>
      <c r="B1240" s="303"/>
      <c r="C1240" s="303"/>
      <c r="D1240" s="303"/>
      <c r="E1240" s="303"/>
      <c r="F1240" s="303"/>
    </row>
    <row r="1241" spans="1:43" ht="12" customHeight="1" x14ac:dyDescent="0.3">
      <c r="A1241" s="303"/>
      <c r="B1241" s="303"/>
      <c r="C1241" s="303"/>
      <c r="D1241" s="303"/>
      <c r="E1241" s="303"/>
      <c r="F1241" s="303"/>
    </row>
    <row r="1242" spans="1:43" ht="17" customHeight="1" x14ac:dyDescent="0.35">
      <c r="A1242" s="303"/>
      <c r="B1242" s="877" t="s">
        <v>5563</v>
      </c>
      <c r="C1242" s="303"/>
      <c r="D1242" s="303"/>
      <c r="E1242" s="303"/>
      <c r="F1242" s="303"/>
      <c r="AG1242" s="875" t="s">
        <v>5563</v>
      </c>
      <c r="AQ1242" s="48" t="s">
        <v>5564</v>
      </c>
    </row>
    <row r="1243" spans="1:43" ht="17" customHeight="1" x14ac:dyDescent="0.3">
      <c r="A1243" s="303"/>
      <c r="B1243" s="876" t="str">
        <f>AG1243</f>
        <v>We personally explore how you can go beyond adversarial legalism to demonstrate your innocence.</v>
      </c>
      <c r="C1243" s="303"/>
      <c r="D1243" s="303"/>
      <c r="E1243" s="303"/>
      <c r="F1243" s="303"/>
      <c r="AG1243" s="48" t="s">
        <v>5549</v>
      </c>
    </row>
    <row r="1244" spans="1:43" ht="17" customHeight="1" x14ac:dyDescent="0.3">
      <c r="A1244" s="303"/>
      <c r="B1244" s="876" t="str">
        <f t="shared" ref="B1244:B1246" si="74">AG1244</f>
        <v>-- Identify the needs of all involved: the accuser, the authorities, and yourself.</v>
      </c>
      <c r="C1244" s="303"/>
      <c r="D1244" s="303"/>
      <c r="E1244" s="303"/>
      <c r="F1244" s="303"/>
      <c r="AG1244" s="245" t="s">
        <v>5565</v>
      </c>
    </row>
    <row r="1245" spans="1:43" ht="17" customHeight="1" x14ac:dyDescent="0.3">
      <c r="A1245" s="303"/>
      <c r="B1245" s="876" t="str">
        <f t="shared" si="74"/>
        <v>-- We directly address each other's needs for which laws ostensibly exist to serve.</v>
      </c>
      <c r="C1245" s="303"/>
      <c r="D1245" s="303"/>
      <c r="E1245" s="303"/>
      <c r="F1245" s="303"/>
      <c r="AG1245" s="245" t="s">
        <v>5566</v>
      </c>
    </row>
    <row r="1246" spans="1:43" ht="17" customHeight="1" x14ac:dyDescent="0.3">
      <c r="A1246" s="303"/>
      <c r="B1246" s="876" t="str">
        <f t="shared" si="74"/>
        <v>-- Then we demonstrate the higher standard of properly resolving needs, better than adversarial law.</v>
      </c>
      <c r="C1246" s="303"/>
      <c r="D1246" s="303"/>
      <c r="E1246" s="303"/>
      <c r="F1246" s="303"/>
      <c r="AG1246" s="245" t="s">
        <v>5567</v>
      </c>
    </row>
    <row r="1247" spans="1:43" ht="17" customHeight="1" x14ac:dyDescent="0.3">
      <c r="A1247" s="303"/>
      <c r="B1247" s="303"/>
      <c r="C1247" s="303"/>
      <c r="D1247" s="303"/>
      <c r="E1247" s="303"/>
      <c r="F1247" s="303"/>
    </row>
    <row r="1248" spans="1:43" ht="17" customHeight="1" x14ac:dyDescent="0.3">
      <c r="A1248" s="303"/>
      <c r="B1248" s="303"/>
      <c r="C1248" s="303"/>
      <c r="D1248" s="303"/>
      <c r="E1248" s="303"/>
      <c r="F1248" s="303"/>
    </row>
    <row r="1249" spans="1:62" ht="12" customHeight="1" x14ac:dyDescent="0.3">
      <c r="A1249" s="303"/>
      <c r="B1249" s="303"/>
      <c r="C1249" s="303"/>
      <c r="D1249" s="303"/>
      <c r="E1249" s="303"/>
      <c r="F1249" s="303"/>
    </row>
    <row r="1250" spans="1:62" ht="17" customHeight="1" x14ac:dyDescent="0.35">
      <c r="A1250" s="303"/>
      <c r="B1250" s="877" t="s">
        <v>5568</v>
      </c>
      <c r="C1250" s="303"/>
      <c r="D1250" s="303"/>
      <c r="E1250" s="303"/>
      <c r="F1250" s="303"/>
      <c r="AG1250" s="875" t="s">
        <v>5568</v>
      </c>
    </row>
    <row r="1251" spans="1:62" ht="17" customHeight="1" x14ac:dyDescent="0.3">
      <c r="A1251" s="303"/>
      <c r="B1251" s="876" t="str">
        <f>AG1251</f>
        <v>We build an advocacy campaign to publicly support your independently established innocence.</v>
      </c>
      <c r="C1251" s="303"/>
      <c r="D1251" s="303"/>
      <c r="E1251" s="303"/>
      <c r="F1251" s="303"/>
      <c r="AG1251" s="48" t="s">
        <v>5569</v>
      </c>
      <c r="AO1251" s="48" t="s">
        <v>5474</v>
      </c>
    </row>
    <row r="1252" spans="1:62" ht="17" customHeight="1" x14ac:dyDescent="0.3">
      <c r="A1252" s="303"/>
      <c r="B1252" s="876" t="str">
        <f t="shared" ref="B1252:B1254" si="75">AG1252</f>
        <v>-- We impeach the legitimacy of any authority found benefiting from this injustice.</v>
      </c>
      <c r="C1252" s="303"/>
      <c r="D1252" s="303"/>
      <c r="E1252" s="303"/>
      <c r="F1252" s="303"/>
      <c r="AG1252" s="245" t="s">
        <v>5570</v>
      </c>
    </row>
    <row r="1253" spans="1:62" ht="17" customHeight="1" x14ac:dyDescent="0.3">
      <c r="A1253" s="303"/>
      <c r="B1253" s="876" t="str">
        <f t="shared" si="75"/>
        <v>-- We improve the legitimacy of any authority who properly responds to your justice needs.</v>
      </c>
      <c r="C1253" s="303"/>
      <c r="D1253" s="303"/>
      <c r="E1253" s="303"/>
      <c r="F1253" s="303"/>
      <c r="AG1253" s="245" t="s">
        <v>5571</v>
      </c>
    </row>
    <row r="1254" spans="1:62" ht="17" customHeight="1" x14ac:dyDescent="0.3">
      <c r="A1254" s="303"/>
      <c r="B1254" s="876" t="str">
        <f t="shared" si="75"/>
        <v>-- We publicly exonerate you with a grassroots campaign, enforced with the power of love.</v>
      </c>
      <c r="C1254" s="303"/>
      <c r="D1254" s="303"/>
      <c r="E1254" s="303"/>
      <c r="F1254" s="303"/>
      <c r="AG1254" s="245" t="s">
        <v>5572</v>
      </c>
    </row>
    <row r="1255" spans="1:62" ht="17" customHeight="1" x14ac:dyDescent="0.3">
      <c r="A1255" s="303"/>
      <c r="B1255" s="303"/>
      <c r="C1255" s="303"/>
      <c r="D1255" s="303"/>
      <c r="E1255" s="303"/>
      <c r="F1255" s="303"/>
    </row>
    <row r="1256" spans="1:62" x14ac:dyDescent="0.3">
      <c r="A1256" s="303"/>
      <c r="B1256" s="303"/>
      <c r="C1256" s="303"/>
      <c r="D1256" s="303"/>
      <c r="E1256" s="303"/>
      <c r="F1256" s="303"/>
    </row>
    <row r="1257" spans="1:62" ht="30" customHeight="1" x14ac:dyDescent="0.3">
      <c r="A1257" s="303"/>
      <c r="B1257" s="303"/>
      <c r="C1257" s="303"/>
      <c r="D1257" s="303"/>
      <c r="E1257" s="303"/>
      <c r="F1257" s="303"/>
    </row>
    <row r="1258" spans="1:62" ht="30" customHeight="1" x14ac:dyDescent="0.3">
      <c r="A1258" s="861" t="s">
        <v>94</v>
      </c>
      <c r="B1258" s="862" t="s">
        <v>4499</v>
      </c>
      <c r="C1258" s="861"/>
      <c r="D1258" s="861"/>
      <c r="E1258" s="861"/>
      <c r="F1258" s="861"/>
      <c r="AF1258" s="302"/>
      <c r="AJ1258" s="302"/>
      <c r="BG1258" s="302"/>
      <c r="BH1258" s="302"/>
      <c r="BI1258" s="302"/>
      <c r="BJ1258" s="102"/>
    </row>
    <row r="1259" spans="1:62" ht="13.75" customHeight="1" x14ac:dyDescent="0.3">
      <c r="A1259" s="303"/>
      <c r="B1259" s="303"/>
      <c r="C1259" s="303"/>
      <c r="D1259" s="303"/>
      <c r="E1259" s="303"/>
      <c r="F1259" s="303"/>
    </row>
    <row r="1260" spans="1:62" ht="20" customHeight="1" x14ac:dyDescent="0.45">
      <c r="A1260" s="879" t="s">
        <v>5477</v>
      </c>
      <c r="B1260" s="878"/>
      <c r="C1260" s="303"/>
      <c r="D1260" s="303"/>
      <c r="E1260" s="303"/>
      <c r="F1260" s="303"/>
      <c r="AF1260" s="672" t="s">
        <v>4500</v>
      </c>
    </row>
    <row r="1261" spans="1:62" ht="13.75" customHeight="1" x14ac:dyDescent="0.3">
      <c r="A1261" s="303"/>
      <c r="B1261" s="303"/>
      <c r="C1261" s="303"/>
      <c r="D1261" s="303"/>
      <c r="E1261" s="303"/>
      <c r="F1261" s="303"/>
    </row>
    <row r="1262" spans="1:62" x14ac:dyDescent="0.3">
      <c r="A1262" s="303"/>
      <c r="B1262" s="303"/>
      <c r="C1262" s="303"/>
      <c r="D1262" s="303"/>
      <c r="E1262" s="303"/>
      <c r="F1262" s="303"/>
      <c r="AF1262" s="302"/>
      <c r="AJ1262" s="302"/>
      <c r="BG1262" s="302"/>
      <c r="BH1262" s="302"/>
      <c r="BI1262" s="302"/>
      <c r="BJ1262" s="102"/>
    </row>
    <row r="1263" spans="1:62" x14ac:dyDescent="0.3">
      <c r="A1263" s="303"/>
      <c r="B1263" s="303"/>
      <c r="C1263" s="303"/>
      <c r="D1263" s="303"/>
      <c r="E1263" s="303"/>
      <c r="F1263" s="303"/>
      <c r="AF1263" s="302"/>
      <c r="AJ1263" s="302"/>
      <c r="BG1263" s="302"/>
      <c r="BH1263" s="302"/>
      <c r="BI1263" s="302"/>
      <c r="BJ1263" s="102"/>
    </row>
    <row r="1264" spans="1:62" x14ac:dyDescent="0.3">
      <c r="A1264" s="303"/>
      <c r="B1264" s="303"/>
      <c r="C1264" s="303"/>
      <c r="D1264" s="303"/>
      <c r="E1264" s="303"/>
      <c r="F1264" s="303"/>
      <c r="AF1264" s="302"/>
      <c r="AJ1264" s="302"/>
      <c r="BG1264" s="302"/>
      <c r="BH1264" s="302"/>
      <c r="BI1264" s="302"/>
      <c r="BJ1264" s="102"/>
    </row>
    <row r="1265" spans="1:62" x14ac:dyDescent="0.3">
      <c r="A1265" s="303"/>
      <c r="B1265" s="303"/>
      <c r="C1265" s="303"/>
      <c r="D1265" s="303"/>
      <c r="E1265" s="303"/>
      <c r="F1265" s="303"/>
      <c r="AF1265" s="302"/>
      <c r="AJ1265" s="302"/>
      <c r="BG1265" s="302"/>
      <c r="BH1265" s="302"/>
      <c r="BI1265" s="302"/>
      <c r="BJ1265" s="102"/>
    </row>
    <row r="1266" spans="1:62" x14ac:dyDescent="0.3">
      <c r="A1266" s="303"/>
      <c r="B1266" s="303"/>
      <c r="C1266" s="303"/>
      <c r="D1266" s="303"/>
      <c r="E1266" s="303"/>
      <c r="F1266" s="303"/>
      <c r="AF1266" s="302"/>
      <c r="AJ1266" s="302"/>
      <c r="BG1266" s="302"/>
      <c r="BH1266" s="302"/>
      <c r="BI1266" s="302"/>
      <c r="BJ1266" s="102"/>
    </row>
    <row r="1267" spans="1:62" x14ac:dyDescent="0.3">
      <c r="A1267" s="303"/>
      <c r="B1267" s="303"/>
      <c r="C1267" s="303"/>
      <c r="D1267" s="303"/>
      <c r="E1267" s="303"/>
      <c r="F1267" s="303"/>
      <c r="AF1267" s="302"/>
      <c r="AJ1267" s="302"/>
      <c r="BG1267" s="302"/>
      <c r="BH1267" s="302"/>
      <c r="BI1267" s="302"/>
      <c r="BJ1267" s="102"/>
    </row>
    <row r="1268" spans="1:62" x14ac:dyDescent="0.3">
      <c r="A1268" s="303"/>
      <c r="B1268" s="303"/>
      <c r="C1268" s="303"/>
      <c r="D1268" s="303"/>
      <c r="E1268" s="303"/>
      <c r="F1268" s="303"/>
      <c r="AF1268" s="302"/>
      <c r="AJ1268" s="302"/>
      <c r="BG1268" s="302"/>
      <c r="BH1268" s="302"/>
      <c r="BI1268" s="302"/>
      <c r="BJ1268" s="102"/>
    </row>
    <row r="1269" spans="1:62" x14ac:dyDescent="0.3">
      <c r="A1269" s="303"/>
      <c r="B1269" s="303"/>
      <c r="C1269" s="303"/>
      <c r="D1269" s="303"/>
      <c r="E1269" s="303"/>
      <c r="F1269" s="303"/>
      <c r="AF1269" s="302"/>
      <c r="AJ1269" s="302"/>
      <c r="BG1269" s="302"/>
      <c r="BH1269" s="302"/>
      <c r="BI1269" s="302"/>
      <c r="BJ1269" s="102"/>
    </row>
    <row r="1270" spans="1:62" x14ac:dyDescent="0.3">
      <c r="A1270" s="303"/>
      <c r="B1270" s="303"/>
      <c r="C1270" s="303"/>
      <c r="D1270" s="303"/>
      <c r="E1270" s="303"/>
      <c r="F1270" s="303"/>
      <c r="AF1270" s="302"/>
      <c r="AJ1270" s="302"/>
      <c r="BG1270" s="302"/>
      <c r="BH1270" s="302"/>
      <c r="BI1270" s="302"/>
      <c r="BJ1270" s="102"/>
    </row>
    <row r="1271" spans="1:62" x14ac:dyDescent="0.3">
      <c r="A1271" s="303"/>
      <c r="B1271" s="303"/>
      <c r="C1271" s="303"/>
      <c r="D1271" s="303"/>
      <c r="E1271" s="303"/>
      <c r="F1271" s="303"/>
      <c r="AF1271" s="302"/>
      <c r="AJ1271" s="302"/>
      <c r="BG1271" s="302"/>
      <c r="BH1271" s="302"/>
      <c r="BI1271" s="302"/>
      <c r="BJ1271" s="102"/>
    </row>
    <row r="1272" spans="1:62" x14ac:dyDescent="0.3">
      <c r="A1272" s="303"/>
      <c r="B1272" s="303"/>
      <c r="C1272" s="303"/>
      <c r="D1272" s="303"/>
      <c r="E1272" s="303"/>
      <c r="F1272" s="303"/>
      <c r="AF1272" s="302"/>
      <c r="AJ1272" s="302"/>
      <c r="BG1272" s="302"/>
      <c r="BH1272" s="302"/>
      <c r="BI1272" s="302"/>
      <c r="BJ1272" s="102"/>
    </row>
    <row r="1273" spans="1:62" x14ac:dyDescent="0.3">
      <c r="A1273" s="303"/>
      <c r="B1273" s="303"/>
      <c r="C1273" s="303"/>
      <c r="D1273" s="303"/>
      <c r="E1273" s="303"/>
      <c r="F1273" s="303"/>
      <c r="AF1273" s="302"/>
      <c r="AJ1273" s="302"/>
      <c r="BG1273" s="302"/>
      <c r="BH1273" s="302"/>
      <c r="BI1273" s="302"/>
      <c r="BJ1273" s="102"/>
    </row>
    <row r="1274" spans="1:62" x14ac:dyDescent="0.3">
      <c r="A1274" s="303"/>
      <c r="B1274" s="303"/>
      <c r="C1274" s="303"/>
      <c r="D1274" s="303"/>
      <c r="E1274" s="303"/>
      <c r="F1274" s="303"/>
      <c r="AF1274" s="302"/>
      <c r="AJ1274" s="302"/>
      <c r="BG1274" s="302"/>
      <c r="BH1274" s="302"/>
      <c r="BI1274" s="302"/>
      <c r="BJ1274" s="102"/>
    </row>
    <row r="1275" spans="1:62" x14ac:dyDescent="0.3">
      <c r="A1275" s="303"/>
      <c r="B1275" s="303"/>
      <c r="C1275" s="303"/>
      <c r="D1275" s="303"/>
      <c r="E1275" s="303"/>
      <c r="F1275" s="303"/>
      <c r="AF1275" s="302"/>
      <c r="AJ1275" s="302"/>
      <c r="BG1275" s="302"/>
      <c r="BH1275" s="302"/>
      <c r="BI1275" s="302"/>
      <c r="BJ1275" s="102"/>
    </row>
    <row r="1276" spans="1:62" ht="5" customHeight="1" x14ac:dyDescent="0.3">
      <c r="A1276" s="303"/>
      <c r="B1276" s="96"/>
      <c r="C1276" s="96"/>
      <c r="D1276" s="96"/>
      <c r="E1276" s="96"/>
      <c r="F1276" s="303"/>
      <c r="AF1276" s="302"/>
      <c r="AJ1276" s="302"/>
      <c r="BG1276" s="302"/>
      <c r="BH1276" s="302"/>
      <c r="BI1276" s="302"/>
      <c r="BJ1276" s="102"/>
    </row>
    <row r="1277" spans="1:62" x14ac:dyDescent="0.3">
      <c r="A1277" s="303"/>
      <c r="B1277" s="303"/>
      <c r="C1277" s="303"/>
      <c r="D1277" s="303"/>
      <c r="E1277" s="303"/>
      <c r="F1277" s="303"/>
      <c r="AF1277" s="302"/>
      <c r="AJ1277" s="302"/>
      <c r="BG1277" s="302"/>
      <c r="BH1277" s="302"/>
      <c r="BI1277" s="302"/>
      <c r="BJ1277" s="102"/>
    </row>
    <row r="1278" spans="1:62" x14ac:dyDescent="0.3">
      <c r="A1278" s="303"/>
      <c r="B1278" s="303"/>
      <c r="C1278" s="303"/>
      <c r="D1278" s="303"/>
      <c r="E1278" s="303"/>
      <c r="F1278" s="303"/>
      <c r="AF1278" s="302"/>
      <c r="AJ1278" s="302"/>
      <c r="BG1278" s="302"/>
      <c r="BH1278" s="302"/>
      <c r="BI1278" s="302"/>
      <c r="BJ1278" s="102"/>
    </row>
    <row r="1279" spans="1:62" x14ac:dyDescent="0.3">
      <c r="A1279" s="303"/>
      <c r="B1279" s="303"/>
      <c r="C1279" s="303"/>
      <c r="D1279" s="303"/>
      <c r="E1279" s="303"/>
      <c r="F1279" s="303"/>
      <c r="AF1279" s="302"/>
      <c r="AJ1279" s="302"/>
      <c r="BG1279" s="302"/>
      <c r="BH1279" s="302"/>
      <c r="BI1279" s="302"/>
      <c r="BJ1279" s="102"/>
    </row>
    <row r="1280" spans="1:62" x14ac:dyDescent="0.3">
      <c r="A1280" s="303"/>
      <c r="B1280" s="303"/>
      <c r="C1280" s="303"/>
      <c r="D1280" s="303"/>
      <c r="E1280" s="303"/>
      <c r="F1280" s="303"/>
      <c r="AF1280" s="302"/>
      <c r="AJ1280" s="302"/>
      <c r="BG1280" s="302"/>
      <c r="BH1280" s="302"/>
      <c r="BI1280" s="302"/>
      <c r="BJ1280" s="102"/>
    </row>
    <row r="1281" spans="1:62" x14ac:dyDescent="0.3">
      <c r="A1281" s="303"/>
      <c r="B1281" s="303"/>
      <c r="C1281" s="303"/>
      <c r="D1281" s="303"/>
      <c r="E1281" s="303"/>
      <c r="F1281" s="303"/>
      <c r="AF1281" s="302"/>
      <c r="AJ1281" s="302"/>
      <c r="BG1281" s="302"/>
      <c r="BH1281" s="302"/>
      <c r="BI1281" s="302"/>
      <c r="BJ1281" s="102"/>
    </row>
    <row r="1282" spans="1:62" x14ac:dyDescent="0.3">
      <c r="A1282" s="303"/>
      <c r="B1282" s="303"/>
      <c r="C1282" s="303"/>
      <c r="D1282" s="303"/>
      <c r="E1282" s="303"/>
      <c r="F1282" s="303"/>
      <c r="AF1282" s="302"/>
      <c r="AJ1282" s="302"/>
      <c r="BG1282" s="302"/>
      <c r="BH1282" s="302"/>
      <c r="BI1282" s="302"/>
      <c r="BJ1282" s="102"/>
    </row>
    <row r="1283" spans="1:62" x14ac:dyDescent="0.3">
      <c r="A1283" s="303"/>
      <c r="B1283" s="303"/>
      <c r="C1283" s="303"/>
      <c r="D1283" s="303"/>
      <c r="E1283" s="303"/>
      <c r="F1283" s="303"/>
      <c r="AF1283" s="302"/>
      <c r="AJ1283" s="302"/>
      <c r="BG1283" s="302"/>
      <c r="BH1283" s="302"/>
      <c r="BI1283" s="302"/>
      <c r="BJ1283" s="102"/>
    </row>
    <row r="1284" spans="1:62" x14ac:dyDescent="0.3">
      <c r="A1284" s="303"/>
      <c r="B1284" s="303"/>
      <c r="C1284" s="303"/>
      <c r="D1284" s="303"/>
      <c r="E1284" s="303"/>
      <c r="F1284" s="303"/>
      <c r="AF1284" s="302"/>
      <c r="AJ1284" s="302"/>
      <c r="BG1284" s="302"/>
      <c r="BH1284" s="302"/>
      <c r="BI1284" s="302"/>
      <c r="BJ1284" s="102"/>
    </row>
    <row r="1285" spans="1:62" x14ac:dyDescent="0.3">
      <c r="A1285" s="303"/>
      <c r="B1285" s="303"/>
      <c r="C1285" s="303"/>
      <c r="D1285" s="303"/>
      <c r="E1285" s="303"/>
      <c r="F1285" s="303"/>
      <c r="AF1285" s="302"/>
      <c r="AJ1285" s="302"/>
      <c r="BG1285" s="302"/>
      <c r="BH1285" s="302"/>
      <c r="BI1285" s="302"/>
      <c r="BJ1285" s="102"/>
    </row>
    <row r="1286" spans="1:62" x14ac:dyDescent="0.3">
      <c r="A1286" s="303"/>
      <c r="B1286" s="303"/>
      <c r="C1286" s="303"/>
      <c r="D1286" s="303"/>
      <c r="E1286" s="303"/>
      <c r="F1286" s="303"/>
      <c r="AF1286" s="302"/>
      <c r="AJ1286" s="302"/>
      <c r="BG1286" s="302"/>
      <c r="BH1286" s="302"/>
      <c r="BI1286" s="302"/>
      <c r="BJ1286" s="102"/>
    </row>
    <row r="1287" spans="1:62" x14ac:dyDescent="0.3">
      <c r="A1287" s="303"/>
      <c r="B1287" s="303"/>
      <c r="C1287" s="303"/>
      <c r="D1287" s="303"/>
      <c r="E1287" s="303"/>
      <c r="F1287" s="303"/>
      <c r="AF1287" s="302"/>
      <c r="AJ1287" s="302"/>
      <c r="BG1287" s="302"/>
      <c r="BH1287" s="302"/>
      <c r="BI1287" s="302"/>
      <c r="BJ1287" s="102"/>
    </row>
    <row r="1288" spans="1:62" x14ac:dyDescent="0.3">
      <c r="A1288" s="303"/>
      <c r="B1288" s="303"/>
      <c r="C1288" s="303"/>
      <c r="D1288" s="303"/>
      <c r="E1288" s="303"/>
      <c r="F1288" s="303"/>
      <c r="AF1288" s="302"/>
      <c r="AJ1288" s="302"/>
      <c r="BG1288" s="302"/>
      <c r="BH1288" s="302"/>
      <c r="BI1288" s="302"/>
      <c r="BJ1288" s="102"/>
    </row>
    <row r="1289" spans="1:62" x14ac:dyDescent="0.3">
      <c r="A1289" s="303"/>
      <c r="B1289" s="303"/>
      <c r="C1289" s="303"/>
      <c r="D1289" s="303"/>
      <c r="E1289" s="303"/>
      <c r="F1289" s="303"/>
      <c r="AF1289" s="302"/>
      <c r="AJ1289" s="302"/>
      <c r="BG1289" s="302"/>
      <c r="BH1289" s="302"/>
      <c r="BI1289" s="302"/>
      <c r="BJ1289" s="102"/>
    </row>
    <row r="1290" spans="1:62" x14ac:dyDescent="0.3">
      <c r="A1290" s="303"/>
      <c r="B1290" s="303"/>
      <c r="C1290" s="303"/>
      <c r="D1290" s="303"/>
      <c r="E1290" s="303"/>
      <c r="F1290" s="303"/>
      <c r="AF1290" s="302"/>
      <c r="AJ1290" s="302"/>
      <c r="BG1290" s="302"/>
      <c r="BH1290" s="302"/>
      <c r="BI1290" s="302"/>
      <c r="BJ1290" s="102"/>
    </row>
    <row r="1291" spans="1:62" x14ac:dyDescent="0.3">
      <c r="A1291" s="303"/>
      <c r="B1291" s="303"/>
      <c r="C1291" s="303"/>
      <c r="D1291" s="303"/>
      <c r="E1291" s="303"/>
      <c r="F1291" s="303"/>
      <c r="AF1291" s="302"/>
      <c r="AJ1291" s="302"/>
      <c r="BG1291" s="302"/>
      <c r="BH1291" s="302"/>
      <c r="BI1291" s="302"/>
      <c r="BJ1291" s="102"/>
    </row>
    <row r="1292" spans="1:62" x14ac:dyDescent="0.3">
      <c r="A1292" s="303"/>
      <c r="B1292" s="303"/>
      <c r="C1292" s="303"/>
      <c r="D1292" s="303"/>
      <c r="E1292" s="303"/>
      <c r="F1292" s="303"/>
      <c r="AF1292" s="302"/>
      <c r="AJ1292" s="302"/>
      <c r="BG1292" s="302"/>
      <c r="BH1292" s="302"/>
      <c r="BI1292" s="302"/>
      <c r="BJ1292" s="102"/>
    </row>
    <row r="1293" spans="1:62" ht="20" x14ac:dyDescent="0.4">
      <c r="A1293" s="306"/>
      <c r="B1293" s="307"/>
      <c r="C1293" s="303"/>
      <c r="D1293" s="303"/>
      <c r="E1293" s="303"/>
      <c r="F1293" s="303"/>
      <c r="AF1293" s="302"/>
      <c r="AJ1293" s="302"/>
      <c r="BG1293" s="302"/>
      <c r="BH1293" s="302"/>
      <c r="BI1293" s="302"/>
      <c r="BJ1293" s="102"/>
    </row>
    <row r="1294" spans="1:62" x14ac:dyDescent="0.3">
      <c r="A1294" s="303"/>
      <c r="B1294" s="303"/>
      <c r="C1294" s="303"/>
      <c r="D1294" s="303"/>
      <c r="E1294" s="303"/>
      <c r="F1294" s="303"/>
      <c r="AF1294" s="302"/>
      <c r="AJ1294" s="302"/>
      <c r="BG1294" s="302"/>
      <c r="BH1294" s="302"/>
      <c r="BI1294" s="302"/>
      <c r="BJ1294" s="102"/>
    </row>
    <row r="1295" spans="1:62" x14ac:dyDescent="0.3">
      <c r="A1295" s="303"/>
      <c r="B1295" s="303"/>
      <c r="C1295" s="303"/>
      <c r="D1295" s="303"/>
      <c r="E1295" s="303"/>
      <c r="F1295" s="303"/>
      <c r="AF1295" s="302"/>
      <c r="AJ1295" s="302"/>
      <c r="BG1295" s="302"/>
      <c r="BH1295" s="302"/>
      <c r="BI1295" s="302"/>
      <c r="BJ1295" s="102"/>
    </row>
    <row r="1296" spans="1:62" x14ac:dyDescent="0.3">
      <c r="A1296" s="303"/>
      <c r="B1296" s="303"/>
      <c r="C1296" s="303"/>
      <c r="D1296" s="303"/>
      <c r="E1296" s="303"/>
      <c r="F1296" s="303"/>
      <c r="AF1296" s="302"/>
      <c r="AJ1296" s="302"/>
      <c r="BG1296" s="302"/>
      <c r="BH1296" s="302"/>
      <c r="BI1296" s="302"/>
      <c r="BJ1296" s="102"/>
    </row>
    <row r="1297" spans="1:62" x14ac:dyDescent="0.3">
      <c r="A1297" s="303"/>
      <c r="B1297" s="303"/>
      <c r="C1297" s="303"/>
      <c r="D1297" s="303"/>
      <c r="E1297" s="303"/>
      <c r="F1297" s="303"/>
      <c r="AF1297" s="302"/>
      <c r="AJ1297" s="302"/>
      <c r="BG1297" s="302"/>
      <c r="BH1297" s="302"/>
      <c r="BI1297" s="302"/>
      <c r="BJ1297" s="102"/>
    </row>
    <row r="1298" spans="1:62" x14ac:dyDescent="0.3">
      <c r="A1298" s="303"/>
      <c r="B1298" s="303"/>
      <c r="C1298" s="303"/>
      <c r="D1298" s="303"/>
      <c r="E1298" s="303"/>
      <c r="F1298" s="303"/>
      <c r="AF1298" s="302"/>
      <c r="AJ1298" s="302"/>
      <c r="BG1298" s="302"/>
      <c r="BH1298" s="302"/>
      <c r="BI1298" s="302"/>
      <c r="BJ1298" s="102"/>
    </row>
    <row r="1299" spans="1:62" x14ac:dyDescent="0.3">
      <c r="A1299" s="303"/>
      <c r="B1299" s="303"/>
      <c r="C1299" s="303"/>
      <c r="D1299" s="303"/>
      <c r="E1299" s="303"/>
      <c r="F1299" s="303"/>
      <c r="AF1299" s="302"/>
      <c r="AJ1299" s="302"/>
      <c r="BG1299" s="302"/>
      <c r="BH1299" s="302"/>
      <c r="BI1299" s="302"/>
      <c r="BJ1299" s="102"/>
    </row>
    <row r="1300" spans="1:62" x14ac:dyDescent="0.3">
      <c r="A1300" s="303"/>
      <c r="B1300" s="303"/>
      <c r="C1300" s="303"/>
      <c r="D1300" s="303"/>
      <c r="E1300" s="303"/>
      <c r="F1300" s="303"/>
      <c r="AF1300" s="302"/>
      <c r="AJ1300" s="302"/>
      <c r="BG1300" s="302"/>
      <c r="BH1300" s="302"/>
      <c r="BI1300" s="302"/>
      <c r="BJ1300" s="102"/>
    </row>
    <row r="1301" spans="1:62" x14ac:dyDescent="0.3">
      <c r="A1301" s="303"/>
      <c r="B1301" s="303"/>
      <c r="C1301" s="303"/>
      <c r="D1301" s="303"/>
      <c r="E1301" s="303"/>
      <c r="F1301" s="303"/>
      <c r="AF1301" s="302"/>
      <c r="AJ1301" s="302"/>
      <c r="BG1301" s="302"/>
      <c r="BH1301" s="302"/>
      <c r="BI1301" s="302"/>
      <c r="BJ1301" s="102"/>
    </row>
    <row r="1302" spans="1:62" x14ac:dyDescent="0.3">
      <c r="A1302" s="303"/>
      <c r="B1302" s="303"/>
      <c r="C1302" s="303"/>
      <c r="D1302" s="303"/>
      <c r="E1302" s="303"/>
      <c r="F1302" s="303"/>
      <c r="AF1302" s="302"/>
      <c r="AJ1302" s="302"/>
      <c r="BG1302" s="302"/>
      <c r="BH1302" s="302"/>
      <c r="BI1302" s="302"/>
      <c r="BJ1302" s="102"/>
    </row>
    <row r="1303" spans="1:62" x14ac:dyDescent="0.3">
      <c r="A1303" s="303"/>
      <c r="B1303" s="303"/>
      <c r="C1303" s="303"/>
      <c r="D1303" s="303"/>
      <c r="E1303" s="303"/>
      <c r="F1303" s="303"/>
      <c r="AF1303" s="302"/>
      <c r="AJ1303" s="302"/>
      <c r="BG1303" s="302"/>
      <c r="BH1303" s="302"/>
      <c r="BI1303" s="302"/>
      <c r="BJ1303" s="102"/>
    </row>
    <row r="1304" spans="1:62" x14ac:dyDescent="0.3">
      <c r="A1304" s="303"/>
      <c r="B1304" s="303"/>
      <c r="C1304" s="303"/>
      <c r="D1304" s="303"/>
      <c r="E1304" s="303"/>
      <c r="F1304" s="303"/>
      <c r="AF1304" s="302"/>
      <c r="AJ1304" s="302"/>
      <c r="BG1304" s="302"/>
      <c r="BH1304" s="302"/>
      <c r="BI1304" s="302"/>
      <c r="BJ1304" s="102"/>
    </row>
    <row r="1305" spans="1:62" hidden="1" x14ac:dyDescent="0.3">
      <c r="A1305" s="303"/>
      <c r="B1305" s="303"/>
      <c r="C1305" s="303"/>
      <c r="D1305" s="303"/>
      <c r="E1305" s="303"/>
      <c r="F1305" s="1"/>
      <c r="AF1305" s="302"/>
      <c r="AJ1305" s="302"/>
      <c r="BG1305" s="302"/>
      <c r="BH1305" s="302"/>
      <c r="BI1305" s="302"/>
      <c r="BJ1305" s="102"/>
    </row>
    <row r="1306" spans="1:62" hidden="1" x14ac:dyDescent="0.3">
      <c r="A1306" s="303"/>
      <c r="B1306" s="303"/>
      <c r="C1306" s="303"/>
      <c r="D1306" s="303"/>
      <c r="E1306" s="303"/>
      <c r="F1306" s="1"/>
      <c r="AC1306" s="96" t="s">
        <v>749</v>
      </c>
      <c r="AF1306" s="302"/>
      <c r="AG1306" s="308"/>
      <c r="AJ1306" s="302"/>
      <c r="BG1306" s="302"/>
      <c r="BH1306" s="302"/>
      <c r="BI1306" s="302"/>
      <c r="BJ1306" s="102"/>
    </row>
    <row r="1307" spans="1:62" hidden="1" x14ac:dyDescent="0.3">
      <c r="A1307" s="303"/>
      <c r="B1307" s="303"/>
      <c r="C1307" s="303"/>
      <c r="D1307" s="303"/>
      <c r="E1307" s="303"/>
      <c r="F1307" s="1"/>
      <c r="AC1307" s="96" t="s">
        <v>750</v>
      </c>
      <c r="AF1307" s="302"/>
      <c r="AG1307" s="309">
        <v>5</v>
      </c>
      <c r="AJ1307" s="302"/>
      <c r="BG1307" s="302"/>
      <c r="BH1307" s="302"/>
      <c r="BI1307" s="302"/>
      <c r="BJ1307" s="102"/>
    </row>
    <row r="1308" spans="1:62" hidden="1" x14ac:dyDescent="0.3">
      <c r="A1308" s="303"/>
      <c r="B1308" s="303"/>
      <c r="C1308" s="303"/>
      <c r="D1308" s="303"/>
      <c r="E1308" s="303"/>
      <c r="F1308" s="1"/>
      <c r="AC1308" s="96" t="s">
        <v>751</v>
      </c>
      <c r="AF1308" s="302"/>
      <c r="AG1308" s="308"/>
      <c r="AJ1308" s="302"/>
      <c r="BG1308" s="302"/>
      <c r="BH1308" s="302"/>
      <c r="BI1308" s="302"/>
      <c r="BJ1308" s="102"/>
    </row>
    <row r="1309" spans="1:62" hidden="1" x14ac:dyDescent="0.3">
      <c r="A1309" s="303"/>
      <c r="B1309" s="303"/>
      <c r="C1309" s="303"/>
      <c r="D1309" s="303"/>
      <c r="E1309" s="303"/>
      <c r="F1309" s="1"/>
      <c r="AC1309" s="96" t="s">
        <v>752</v>
      </c>
      <c r="AF1309" s="302"/>
      <c r="AG1309" s="308"/>
      <c r="AJ1309" s="302"/>
      <c r="BG1309" s="302"/>
      <c r="BH1309" s="302"/>
      <c r="BI1309" s="302"/>
      <c r="BJ1309" s="102"/>
    </row>
    <row r="1310" spans="1:62" hidden="1" x14ac:dyDescent="0.3">
      <c r="A1310" s="303"/>
      <c r="B1310" s="303"/>
      <c r="C1310" s="303"/>
      <c r="D1310" s="303"/>
      <c r="E1310" s="303"/>
      <c r="F1310" s="1"/>
      <c r="AC1310" s="304" t="s">
        <v>753</v>
      </c>
      <c r="AF1310" s="302"/>
      <c r="AG1310" s="309">
        <v>25</v>
      </c>
      <c r="AJ1310" s="302"/>
      <c r="BG1310" s="302"/>
      <c r="BH1310" s="302"/>
      <c r="BI1310" s="302"/>
      <c r="BJ1310" s="102"/>
    </row>
    <row r="1311" spans="1:62" hidden="1" x14ac:dyDescent="0.3">
      <c r="A1311" s="303"/>
      <c r="B1311" s="303"/>
      <c r="C1311" s="303"/>
      <c r="D1311" s="303"/>
      <c r="E1311" s="303"/>
      <c r="F1311" s="1"/>
      <c r="AC1311" s="304" t="s">
        <v>754</v>
      </c>
      <c r="AF1311" s="302"/>
      <c r="AG1311" s="308"/>
      <c r="AJ1311" s="302"/>
      <c r="BG1311" s="302"/>
      <c r="BH1311" s="302"/>
      <c r="BI1311" s="302"/>
      <c r="BJ1311" s="102"/>
    </row>
    <row r="1312" spans="1:62" hidden="1" x14ac:dyDescent="0.3">
      <c r="A1312" s="303"/>
      <c r="B1312" s="303"/>
      <c r="C1312" s="303"/>
      <c r="D1312" s="303"/>
      <c r="E1312" s="303"/>
      <c r="F1312" s="1"/>
      <c r="AC1312" s="304" t="s">
        <v>755</v>
      </c>
      <c r="AF1312" s="302"/>
      <c r="AG1312" s="309">
        <v>50</v>
      </c>
      <c r="AJ1312" s="302"/>
      <c r="BG1312" s="302"/>
      <c r="BH1312" s="302"/>
      <c r="BI1312" s="302"/>
      <c r="BJ1312" s="102"/>
    </row>
    <row r="1313" spans="1:62" hidden="1" x14ac:dyDescent="0.3">
      <c r="A1313" s="303"/>
      <c r="B1313" s="303"/>
      <c r="C1313" s="303"/>
      <c r="D1313" s="303"/>
      <c r="E1313" s="303"/>
      <c r="F1313" s="1"/>
      <c r="AC1313" s="304" t="s">
        <v>756</v>
      </c>
      <c r="AF1313" s="302"/>
      <c r="AG1313" s="308"/>
      <c r="AJ1313" s="302"/>
      <c r="BG1313" s="302"/>
      <c r="BH1313" s="302"/>
      <c r="BI1313" s="302"/>
      <c r="BJ1313" s="102"/>
    </row>
    <row r="1314" spans="1:62" hidden="1" x14ac:dyDescent="0.3">
      <c r="A1314" s="303"/>
      <c r="B1314" s="303"/>
      <c r="C1314" s="303"/>
      <c r="D1314" s="303"/>
      <c r="E1314" s="303"/>
      <c r="F1314" s="1"/>
      <c r="AC1314" s="304" t="s">
        <v>757</v>
      </c>
      <c r="AF1314" s="302"/>
      <c r="AG1314" s="309">
        <v>100</v>
      </c>
      <c r="AJ1314" s="302"/>
      <c r="BG1314" s="302"/>
      <c r="BH1314" s="302"/>
      <c r="BI1314" s="302"/>
      <c r="BJ1314" s="102"/>
    </row>
    <row r="1315" spans="1:62" hidden="1" x14ac:dyDescent="0.3">
      <c r="A1315" s="303"/>
      <c r="B1315" s="303"/>
      <c r="C1315" s="303"/>
      <c r="D1315" s="303"/>
      <c r="E1315" s="303"/>
      <c r="F1315" s="1"/>
      <c r="AC1315" s="304" t="s">
        <v>758</v>
      </c>
      <c r="AF1315" s="302"/>
      <c r="AJ1315" s="302"/>
      <c r="BG1315" s="302"/>
      <c r="BH1315" s="302"/>
      <c r="BI1315" s="302"/>
      <c r="BJ1315" s="102"/>
    </row>
    <row r="1316" spans="1:62" hidden="1" x14ac:dyDescent="0.3">
      <c r="A1316" s="303"/>
      <c r="B1316" s="303"/>
      <c r="C1316" s="303"/>
      <c r="D1316" s="303"/>
      <c r="E1316" s="303"/>
      <c r="F1316" s="1"/>
      <c r="AC1316" s="305" t="s">
        <v>759</v>
      </c>
      <c r="AF1316" s="302"/>
      <c r="AJ1316" s="302"/>
      <c r="BG1316" s="302"/>
      <c r="BH1316" s="302"/>
      <c r="BI1316" s="302"/>
      <c r="BJ1316" s="102"/>
    </row>
    <row r="1317" spans="1:62" hidden="1" x14ac:dyDescent="0.3">
      <c r="A1317" s="303"/>
      <c r="B1317" s="303"/>
      <c r="C1317" s="303"/>
      <c r="D1317" s="303"/>
      <c r="E1317" s="303"/>
      <c r="F1317" s="1"/>
      <c r="AC1317" s="96" t="s">
        <v>760</v>
      </c>
      <c r="AF1317" s="302"/>
      <c r="AJ1317" s="302"/>
      <c r="BG1317" s="302"/>
      <c r="BH1317" s="302"/>
      <c r="BI1317" s="302"/>
      <c r="BJ1317" s="102"/>
    </row>
    <row r="1318" spans="1:62" hidden="1" x14ac:dyDescent="0.3">
      <c r="A1318" s="303"/>
      <c r="B1318" s="303"/>
      <c r="C1318" s="303"/>
      <c r="D1318" s="303"/>
      <c r="E1318" s="303"/>
      <c r="F1318" s="1"/>
      <c r="AC1318" s="96" t="s">
        <v>761</v>
      </c>
      <c r="AF1318" s="302"/>
      <c r="AJ1318" s="302"/>
      <c r="BG1318" s="302"/>
      <c r="BH1318" s="302"/>
      <c r="BI1318" s="302"/>
      <c r="BJ1318" s="102"/>
    </row>
    <row r="1319" spans="1:62" hidden="1" x14ac:dyDescent="0.3">
      <c r="A1319" s="303"/>
      <c r="B1319" s="303"/>
      <c r="C1319" s="303"/>
      <c r="D1319" s="303"/>
      <c r="E1319" s="303"/>
      <c r="F1319" s="1"/>
      <c r="AC1319" s="96" t="s">
        <v>762</v>
      </c>
      <c r="AF1319" s="302"/>
      <c r="AJ1319" s="302"/>
      <c r="BG1319" s="302"/>
      <c r="BH1319" s="302"/>
      <c r="BI1319" s="302"/>
      <c r="BJ1319" s="102"/>
    </row>
    <row r="1320" spans="1:62" hidden="1" x14ac:dyDescent="0.3">
      <c r="A1320" s="303"/>
      <c r="B1320" s="303"/>
      <c r="C1320" s="303"/>
      <c r="D1320" s="303"/>
      <c r="E1320" s="303"/>
      <c r="F1320" s="1"/>
      <c r="AC1320" s="96"/>
      <c r="AF1320" s="302"/>
      <c r="AJ1320" s="302"/>
      <c r="BG1320" s="302"/>
      <c r="BH1320" s="302"/>
      <c r="BI1320" s="302"/>
      <c r="BJ1320" s="102"/>
    </row>
    <row r="1321" spans="1:62" hidden="1" x14ac:dyDescent="0.3">
      <c r="A1321" s="303"/>
      <c r="B1321" s="303"/>
      <c r="C1321" s="303"/>
      <c r="D1321" s="303"/>
      <c r="E1321" s="303"/>
      <c r="F1321" s="1"/>
      <c r="AF1321" s="302"/>
      <c r="AJ1321" s="302"/>
      <c r="BG1321" s="302"/>
      <c r="BH1321" s="302"/>
      <c r="BI1321" s="302"/>
      <c r="BJ1321" s="102"/>
    </row>
    <row r="1322" spans="1:62" hidden="1" x14ac:dyDescent="0.3">
      <c r="A1322" s="303"/>
      <c r="B1322" s="303"/>
      <c r="C1322" s="303"/>
      <c r="D1322" s="303"/>
      <c r="E1322" s="303"/>
      <c r="F1322" s="1"/>
      <c r="AF1322" s="302"/>
      <c r="AJ1322" s="302"/>
      <c r="BG1322" s="302"/>
      <c r="BH1322" s="302"/>
      <c r="BI1322" s="302"/>
      <c r="BJ1322" s="102"/>
    </row>
    <row r="1323" spans="1:62" hidden="1" x14ac:dyDescent="0.3">
      <c r="A1323" s="303"/>
      <c r="B1323" s="303"/>
      <c r="C1323" s="303"/>
      <c r="D1323" s="303"/>
      <c r="E1323" s="303"/>
      <c r="F1323" s="1"/>
      <c r="AF1323" s="302"/>
      <c r="AJ1323" s="302"/>
      <c r="BG1323" s="302"/>
      <c r="BH1323" s="302"/>
      <c r="BI1323" s="302"/>
      <c r="BJ1323" s="102"/>
    </row>
    <row r="1324" spans="1:62" hidden="1" x14ac:dyDescent="0.3">
      <c r="A1324" s="303"/>
      <c r="B1324" s="303"/>
      <c r="C1324" s="303"/>
      <c r="D1324" s="303"/>
      <c r="E1324" s="303"/>
      <c r="F1324" s="1"/>
      <c r="AF1324" s="302"/>
      <c r="AJ1324" s="302"/>
      <c r="BG1324" s="302"/>
      <c r="BH1324" s="302"/>
      <c r="BI1324" s="302"/>
      <c r="BJ1324" s="102"/>
    </row>
    <row r="1325" spans="1:62" hidden="1" x14ac:dyDescent="0.3">
      <c r="A1325" s="303"/>
      <c r="B1325" s="303"/>
      <c r="C1325" s="303"/>
      <c r="D1325" s="303"/>
      <c r="E1325" s="303"/>
      <c r="F1325" s="1"/>
      <c r="AF1325" s="302"/>
      <c r="AJ1325" s="302"/>
      <c r="BG1325" s="302"/>
      <c r="BH1325" s="302"/>
      <c r="BI1325" s="302"/>
      <c r="BJ1325" s="102"/>
    </row>
    <row r="1326" spans="1:62" hidden="1" x14ac:dyDescent="0.3">
      <c r="A1326" s="303"/>
      <c r="B1326" s="303"/>
      <c r="C1326" s="303"/>
      <c r="D1326" s="303"/>
      <c r="E1326" s="303"/>
      <c r="F1326" s="1"/>
      <c r="AF1326" s="302"/>
      <c r="AJ1326" s="302"/>
      <c r="BG1326" s="302"/>
      <c r="BH1326" s="302"/>
      <c r="BI1326" s="302"/>
      <c r="BJ1326" s="102"/>
    </row>
    <row r="1327" spans="1:62" hidden="1" x14ac:dyDescent="0.3">
      <c r="A1327" s="303"/>
      <c r="B1327" s="303"/>
      <c r="C1327" s="303"/>
      <c r="D1327" s="303"/>
      <c r="E1327" s="303"/>
      <c r="F1327" s="1"/>
      <c r="AF1327" s="302"/>
      <c r="AJ1327" s="302"/>
      <c r="BG1327" s="302"/>
      <c r="BH1327" s="302"/>
      <c r="BI1327" s="302"/>
      <c r="BJ1327" s="102"/>
    </row>
    <row r="1328" spans="1:62" hidden="1" x14ac:dyDescent="0.3">
      <c r="A1328" s="303"/>
      <c r="B1328" s="303"/>
      <c r="C1328" s="303"/>
      <c r="D1328" s="303"/>
      <c r="E1328" s="303"/>
      <c r="F1328" s="1"/>
      <c r="AF1328" s="302"/>
      <c r="AJ1328" s="302"/>
      <c r="BG1328" s="302"/>
      <c r="BH1328" s="302"/>
      <c r="BI1328" s="302"/>
      <c r="BJ1328" s="102"/>
    </row>
    <row r="1329" spans="1:62" hidden="1" x14ac:dyDescent="0.3">
      <c r="A1329" s="303"/>
      <c r="B1329" s="303"/>
      <c r="C1329" s="303"/>
      <c r="D1329" s="303"/>
      <c r="E1329" s="303"/>
      <c r="F1329" s="1"/>
      <c r="AF1329" s="302"/>
      <c r="AJ1329" s="302"/>
      <c r="BG1329" s="302"/>
      <c r="BH1329" s="302"/>
      <c r="BI1329" s="302"/>
      <c r="BJ1329" s="102"/>
    </row>
    <row r="1330" spans="1:62" hidden="1" x14ac:dyDescent="0.3">
      <c r="A1330" s="303"/>
      <c r="B1330" s="303"/>
      <c r="C1330" s="303"/>
      <c r="D1330" s="303"/>
      <c r="E1330" s="303"/>
      <c r="F1330" s="1"/>
      <c r="AF1330" s="302"/>
      <c r="AJ1330" s="302"/>
      <c r="BG1330" s="302"/>
      <c r="BH1330" s="302"/>
      <c r="BI1330" s="302"/>
      <c r="BJ1330" s="102"/>
    </row>
    <row r="1331" spans="1:62" hidden="1" x14ac:dyDescent="0.3">
      <c r="A1331" s="303"/>
      <c r="B1331" s="303"/>
      <c r="C1331" s="303"/>
      <c r="D1331" s="303"/>
      <c r="E1331" s="303"/>
      <c r="F1331" s="1"/>
      <c r="AF1331" s="302"/>
      <c r="AJ1331" s="302"/>
      <c r="BG1331" s="302"/>
      <c r="BH1331" s="302"/>
      <c r="BI1331" s="302"/>
      <c r="BJ1331" s="102"/>
    </row>
    <row r="1332" spans="1:62" hidden="1" x14ac:dyDescent="0.3">
      <c r="A1332" s="303"/>
      <c r="B1332" s="303"/>
      <c r="C1332" s="303"/>
      <c r="D1332" s="303"/>
      <c r="E1332" s="303"/>
      <c r="F1332" s="1"/>
      <c r="AF1332" s="302"/>
      <c r="AJ1332" s="302"/>
      <c r="BG1332" s="302"/>
      <c r="BH1332" s="302"/>
      <c r="BI1332" s="302"/>
      <c r="BJ1332" s="102"/>
    </row>
    <row r="1333" spans="1:62" hidden="1" x14ac:dyDescent="0.3">
      <c r="A1333" s="303"/>
      <c r="B1333" s="303"/>
      <c r="C1333" s="303"/>
      <c r="D1333" s="303"/>
      <c r="E1333" s="303"/>
      <c r="F1333" s="1"/>
      <c r="AF1333" s="302"/>
      <c r="AJ1333" s="302"/>
      <c r="BG1333" s="302"/>
      <c r="BH1333" s="302"/>
      <c r="BI1333" s="302"/>
      <c r="BJ1333" s="102"/>
    </row>
    <row r="1334" spans="1:62" hidden="1" x14ac:dyDescent="0.3">
      <c r="A1334" s="303"/>
      <c r="B1334" s="303"/>
      <c r="C1334" s="303"/>
      <c r="D1334" s="303"/>
      <c r="E1334" s="303"/>
      <c r="F1334" s="1"/>
      <c r="AF1334" s="302"/>
      <c r="AJ1334" s="302"/>
      <c r="BG1334" s="302"/>
      <c r="BH1334" s="302"/>
      <c r="BI1334" s="302"/>
      <c r="BJ1334" s="102"/>
    </row>
    <row r="1335" spans="1:62" hidden="1" x14ac:dyDescent="0.3">
      <c r="A1335" s="303"/>
      <c r="B1335" s="303"/>
      <c r="C1335" s="303"/>
      <c r="D1335" s="303"/>
      <c r="E1335" s="303"/>
      <c r="F1335" s="1"/>
      <c r="AF1335" s="302"/>
      <c r="AJ1335" s="302"/>
      <c r="BG1335" s="302"/>
      <c r="BH1335" s="302"/>
      <c r="BI1335" s="302"/>
      <c r="BJ1335" s="102"/>
    </row>
    <row r="1336" spans="1:62" hidden="1" x14ac:dyDescent="0.3">
      <c r="A1336" s="303"/>
      <c r="B1336" s="303"/>
      <c r="C1336" s="303"/>
      <c r="D1336" s="303"/>
      <c r="E1336" s="303"/>
      <c r="F1336" s="1"/>
      <c r="AF1336" s="302"/>
      <c r="AJ1336" s="302"/>
      <c r="BG1336" s="302"/>
      <c r="BH1336" s="302"/>
      <c r="BI1336" s="302"/>
      <c r="BJ1336" s="102"/>
    </row>
    <row r="1337" spans="1:62" hidden="1" x14ac:dyDescent="0.3">
      <c r="A1337" s="303"/>
      <c r="B1337" s="303"/>
      <c r="C1337" s="303"/>
      <c r="D1337" s="303"/>
      <c r="E1337" s="303"/>
      <c r="F1337" s="1"/>
      <c r="AF1337" s="302"/>
      <c r="AJ1337" s="302"/>
      <c r="BG1337" s="302"/>
      <c r="BH1337" s="302"/>
      <c r="BI1337" s="302"/>
      <c r="BJ1337" s="102"/>
    </row>
    <row r="1338" spans="1:62" hidden="1" x14ac:dyDescent="0.3">
      <c r="A1338" s="303"/>
      <c r="B1338" s="303"/>
      <c r="C1338" s="303"/>
      <c r="D1338" s="303"/>
      <c r="E1338" s="303"/>
      <c r="F1338" s="1"/>
      <c r="AF1338" s="302"/>
      <c r="AJ1338" s="302"/>
      <c r="BG1338" s="302"/>
      <c r="BH1338" s="302"/>
      <c r="BI1338" s="302"/>
      <c r="BJ1338" s="102"/>
    </row>
    <row r="1339" spans="1:62" hidden="1" x14ac:dyDescent="0.3">
      <c r="A1339" s="303"/>
      <c r="B1339" s="303"/>
      <c r="C1339" s="303"/>
      <c r="D1339" s="303"/>
      <c r="E1339" s="303"/>
      <c r="F1339" s="1"/>
      <c r="AF1339" s="302"/>
      <c r="AJ1339" s="302"/>
      <c r="BG1339" s="302"/>
      <c r="BH1339" s="302"/>
      <c r="BI1339" s="302"/>
      <c r="BJ1339" s="102"/>
    </row>
    <row r="1340" spans="1:62" hidden="1" x14ac:dyDescent="0.3">
      <c r="A1340" s="303"/>
      <c r="B1340" s="303"/>
      <c r="C1340" s="303"/>
      <c r="D1340" s="303"/>
      <c r="E1340" s="303"/>
      <c r="F1340" s="1"/>
      <c r="AF1340" s="302"/>
      <c r="AJ1340" s="302"/>
      <c r="BG1340" s="302"/>
      <c r="BH1340" s="302"/>
      <c r="BI1340" s="302"/>
      <c r="BJ1340" s="102"/>
    </row>
    <row r="1341" spans="1:62" hidden="1" x14ac:dyDescent="0.3">
      <c r="A1341" s="303"/>
      <c r="B1341" s="303"/>
      <c r="C1341" s="303"/>
      <c r="D1341" s="303"/>
      <c r="E1341" s="303"/>
      <c r="F1341" s="1"/>
      <c r="AF1341" s="302"/>
      <c r="AJ1341" s="302"/>
      <c r="BG1341" s="302"/>
      <c r="BH1341" s="302"/>
      <c r="BI1341" s="302"/>
      <c r="BJ1341" s="102"/>
    </row>
    <row r="1342" spans="1:62" hidden="1" x14ac:dyDescent="0.3">
      <c r="A1342" s="303"/>
      <c r="B1342" s="303"/>
      <c r="C1342" s="303"/>
      <c r="D1342" s="303"/>
      <c r="E1342" s="303"/>
      <c r="F1342" s="1"/>
      <c r="AF1342" s="302"/>
      <c r="AJ1342" s="302"/>
      <c r="BG1342" s="302"/>
      <c r="BH1342" s="302"/>
      <c r="BI1342" s="302"/>
      <c r="BJ1342" s="102"/>
    </row>
    <row r="1343" spans="1:62" hidden="1" x14ac:dyDescent="0.3">
      <c r="A1343" s="303"/>
      <c r="B1343" s="303"/>
      <c r="C1343" s="303"/>
      <c r="D1343" s="303"/>
      <c r="E1343" s="303"/>
      <c r="F1343" s="1"/>
      <c r="AF1343" s="302"/>
      <c r="AJ1343" s="302"/>
      <c r="BG1343" s="302"/>
      <c r="BH1343" s="302"/>
      <c r="BI1343" s="302"/>
      <c r="BJ1343" s="102"/>
    </row>
    <row r="1344" spans="1:62" hidden="1" x14ac:dyDescent="0.3">
      <c r="A1344" s="303"/>
      <c r="B1344" s="303"/>
      <c r="C1344" s="303"/>
      <c r="D1344" s="303"/>
      <c r="E1344" s="303"/>
      <c r="F1344" s="1"/>
      <c r="AF1344" s="302"/>
      <c r="AJ1344" s="302"/>
      <c r="BG1344" s="302"/>
      <c r="BH1344" s="302"/>
      <c r="BI1344" s="302"/>
      <c r="BJ1344" s="102"/>
    </row>
    <row r="1345" spans="1:66" hidden="1" x14ac:dyDescent="0.3">
      <c r="A1345" s="303"/>
      <c r="B1345" s="303"/>
      <c r="C1345" s="303"/>
      <c r="D1345" s="303"/>
      <c r="E1345" s="303"/>
      <c r="F1345" s="1"/>
      <c r="AF1345" s="302"/>
      <c r="AJ1345" s="302"/>
      <c r="BG1345" s="302"/>
      <c r="BH1345" s="302"/>
      <c r="BI1345" s="302"/>
      <c r="BJ1345" s="102"/>
    </row>
    <row r="1346" spans="1:66" hidden="1" x14ac:dyDescent="0.3">
      <c r="A1346" s="303"/>
      <c r="B1346" s="303"/>
      <c r="C1346" s="303"/>
      <c r="D1346" s="303"/>
      <c r="E1346" s="303"/>
      <c r="F1346" s="1"/>
      <c r="AF1346" s="302"/>
      <c r="AJ1346" s="302"/>
      <c r="BG1346" s="302"/>
      <c r="BH1346" s="302"/>
      <c r="BI1346" s="302"/>
      <c r="BJ1346" s="102"/>
    </row>
    <row r="1347" spans="1:66" hidden="1" x14ac:dyDescent="0.3">
      <c r="A1347" s="303"/>
      <c r="B1347" s="303"/>
      <c r="C1347" s="303"/>
      <c r="D1347" s="303"/>
      <c r="E1347" s="303"/>
      <c r="F1347" s="1"/>
      <c r="AF1347" s="302"/>
      <c r="AJ1347" s="302"/>
      <c r="BG1347" s="302"/>
      <c r="BH1347" s="302"/>
      <c r="BI1347" s="302"/>
      <c r="BJ1347" s="102"/>
    </row>
    <row r="1348" spans="1:66" hidden="1" x14ac:dyDescent="0.3">
      <c r="A1348" s="303"/>
      <c r="B1348" s="303"/>
      <c r="C1348" s="303"/>
      <c r="D1348" s="303"/>
      <c r="E1348" s="303"/>
      <c r="F1348" s="1"/>
      <c r="AF1348" s="302"/>
      <c r="AJ1348" s="302"/>
      <c r="BG1348" s="302"/>
      <c r="BH1348" s="302"/>
      <c r="BI1348" s="302"/>
      <c r="BJ1348" s="102"/>
    </row>
    <row r="1349" spans="1:66" hidden="1" x14ac:dyDescent="0.3">
      <c r="A1349" s="303"/>
      <c r="B1349" s="303"/>
      <c r="C1349" s="303"/>
      <c r="D1349" s="303"/>
      <c r="E1349" s="303"/>
      <c r="F1349" s="1"/>
      <c r="AF1349" s="302"/>
      <c r="AJ1349" s="302"/>
      <c r="BG1349" s="302"/>
      <c r="BH1349" s="302"/>
      <c r="BI1349" s="302"/>
      <c r="BJ1349" s="102"/>
    </row>
    <row r="1350" spans="1:66" ht="20" hidden="1" customHeight="1" x14ac:dyDescent="0.3">
      <c r="A1350" s="303"/>
      <c r="B1350" s="303"/>
      <c r="C1350" s="303"/>
      <c r="D1350" s="303"/>
      <c r="E1350" s="303"/>
      <c r="F1350" s="1"/>
      <c r="AF1350" s="302"/>
      <c r="AJ1350" s="302"/>
      <c r="BG1350" s="302"/>
      <c r="BH1350" s="302"/>
      <c r="BI1350" s="302"/>
      <c r="BJ1350" s="102"/>
    </row>
    <row r="1351" spans="1:66" ht="10" hidden="1" customHeight="1" x14ac:dyDescent="0.3">
      <c r="A1351" s="303"/>
      <c r="B1351" s="303"/>
      <c r="C1351" s="303"/>
      <c r="D1351" s="303"/>
      <c r="E1351" s="303"/>
      <c r="F1351" s="1"/>
      <c r="AF1351" s="302"/>
      <c r="AJ1351" s="302"/>
      <c r="BG1351" s="302"/>
      <c r="BH1351" s="302"/>
      <c r="BI1351" s="302"/>
      <c r="BJ1351" s="102"/>
    </row>
    <row r="1352" spans="1:66" ht="30" hidden="1" customHeight="1" x14ac:dyDescent="0.3">
      <c r="A1352" s="39" t="s">
        <v>91</v>
      </c>
      <c r="B1352" s="39" t="s">
        <v>763</v>
      </c>
      <c r="C1352" s="39"/>
      <c r="D1352" s="39"/>
      <c r="E1352" s="39"/>
      <c r="F1352" s="39"/>
      <c r="AC1352" s="52">
        <f>AC1358+AC1368+AC1378+AC1388+AC1398+AC1408+AC1418+AC1428+AC1438+AC1448+AC1458+AC1468+AC1478+AC1488+AC1498+AC1508+AC1518+AC1528+AC1538+AC1548+AC1558+AC1568+AC1578+AC1588</f>
        <v>1</v>
      </c>
      <c r="AD1352" s="48" t="s">
        <v>764</v>
      </c>
      <c r="AL1352" s="310" t="str">
        <f>TEXT(AC1352,"0")</f>
        <v>1</v>
      </c>
      <c r="AM1352" s="310"/>
      <c r="BN1352" s="311" t="str">
        <f>IF(NOT(C1361=AM1361),C1361,"")</f>
        <v/>
      </c>
    </row>
    <row r="1353" spans="1:66" ht="20" hidden="1" customHeight="1" x14ac:dyDescent="0.3">
      <c r="A1353" s="41"/>
      <c r="B1353" s="1045" t="str">
        <f>BD1353</f>
        <v>Build up your Support Team, one supporter at a time.</v>
      </c>
      <c r="C1353" s="1045"/>
      <c r="D1353" s="1045"/>
      <c r="E1353" s="42"/>
      <c r="F1353" s="97"/>
      <c r="AC1353" s="312">
        <f>(AJ1353)/AC1352</f>
        <v>45</v>
      </c>
      <c r="AD1353" s="48" t="s">
        <v>765</v>
      </c>
      <c r="AJ1353" s="402">
        <f>50-5</f>
        <v>45</v>
      </c>
      <c r="AL1353" s="48">
        <v>50</v>
      </c>
      <c r="AO1353" s="48" t="s">
        <v>766</v>
      </c>
      <c r="BD1353" s="48" t="s">
        <v>767</v>
      </c>
    </row>
    <row r="1354" spans="1:66" ht="5" hidden="1" customHeight="1" x14ac:dyDescent="0.3">
      <c r="A1354" s="313"/>
      <c r="B1354" s="314"/>
      <c r="C1354" s="314"/>
      <c r="D1354" s="314"/>
      <c r="E1354" s="315"/>
      <c r="F1354" s="1"/>
      <c r="AC1354" s="312"/>
      <c r="AJ1354" s="402"/>
    </row>
    <row r="1355" spans="1:66" ht="75" hidden="1" customHeight="1" x14ac:dyDescent="0.3">
      <c r="A1355" s="315"/>
      <c r="B1355" s="316" t="s">
        <v>768</v>
      </c>
      <c r="C1355" s="1126" t="e">
        <f>AC1356</f>
        <v>#REF!</v>
      </c>
      <c r="D1355" s="1126"/>
      <c r="E1355" s="315"/>
      <c r="F1355" s="1"/>
      <c r="AC1355" s="916">
        <f ca="1">TODAY()</f>
        <v>45774</v>
      </c>
      <c r="AD1355" s="916"/>
      <c r="AE1355" s="916"/>
      <c r="AF1355" s="917">
        <f ca="1">AC1355-365</f>
        <v>45409</v>
      </c>
      <c r="AG1355" s="917"/>
      <c r="AH1355" s="917"/>
      <c r="AI1355" s="917">
        <f ca="1">AC1355+365</f>
        <v>46139</v>
      </c>
      <c r="AJ1355" s="918"/>
      <c r="AK1355" s="918"/>
      <c r="AO1355" s="50" t="e">
        <f>IF(BD1357&lt;0,"Once over that amount, you can cover the possibility of attrition, when you may lose some supporters.","")</f>
        <v>#REF!</v>
      </c>
      <c r="BH1355" s="50" t="s">
        <v>769</v>
      </c>
    </row>
    <row r="1356" spans="1:66" ht="15" hidden="1" customHeight="1" thickBot="1" x14ac:dyDescent="0.45">
      <c r="A1356" s="315"/>
      <c r="B1356" s="317"/>
      <c r="C1356" s="318"/>
      <c r="D1356" s="319"/>
      <c r="E1356" s="315"/>
      <c r="F1356" s="1"/>
      <c r="AC1356" s="320" t="e">
        <f>CONCATENATE(AE1356,AZ1356)</f>
        <v>#REF!</v>
      </c>
      <c r="AD1356" s="321"/>
      <c r="AE1356" s="320" t="s">
        <v>770</v>
      </c>
      <c r="AF1356" s="321"/>
      <c r="AG1356" s="321"/>
      <c r="AH1356" s="321"/>
      <c r="AI1356" s="321"/>
      <c r="AJ1356" s="322"/>
      <c r="AK1356" s="322"/>
      <c r="AZ1356" s="48" t="e">
        <f>IF(BD1357&gt;=0,CONCATENATE(BB1356,BF1356),AO1355)</f>
        <v>#REF!</v>
      </c>
      <c r="BB1356" s="48" t="s">
        <v>771</v>
      </c>
      <c r="BD1356" s="323" t="e">
        <f>DOLLAR(AJ1353-(SUM(BD1363:BD1594)),0)</f>
        <v>#REF!</v>
      </c>
      <c r="BF1356" s="320" t="e">
        <f>CONCATENATE(BD1356,BH1355)</f>
        <v>#REF!</v>
      </c>
    </row>
    <row r="1357" spans="1:66" ht="16" hidden="1" thickTop="1" thickBot="1" x14ac:dyDescent="0.4">
      <c r="A1357" s="324">
        <f>IF(C1357="",0,1+A1353)</f>
        <v>1</v>
      </c>
      <c r="B1357" s="325" t="s">
        <v>772</v>
      </c>
      <c r="C1357" s="326" t="str">
        <f>AM1357</f>
        <v>FIRST NAME</v>
      </c>
      <c r="D1357" s="327" t="str">
        <f>AQ1357</f>
        <v>LAST NAME</v>
      </c>
      <c r="E1357" s="315"/>
      <c r="F1357" s="1"/>
      <c r="AC1357" s="311" t="str">
        <f>IF(NOT(C1357=AM1357),C1357,"")</f>
        <v/>
      </c>
      <c r="AH1357" s="311" t="str">
        <f>IF(NOT(D1357=AQ1357),D1357,"")</f>
        <v/>
      </c>
      <c r="AM1357" s="328" t="s">
        <v>773</v>
      </c>
      <c r="AQ1357" s="328" t="s">
        <v>100</v>
      </c>
      <c r="BB1357" s="48"/>
      <c r="BD1357" s="302" t="e">
        <f>AJ1353-(SUM(BD1363:BD1595))</f>
        <v>#REF!</v>
      </c>
      <c r="BM1357" s="329" t="s">
        <v>774</v>
      </c>
      <c r="BN1357" s="272" t="s">
        <v>775</v>
      </c>
    </row>
    <row r="1358" spans="1:66" ht="15.5" hidden="1" thickTop="1" thickBot="1" x14ac:dyDescent="0.4">
      <c r="A1358" s="313"/>
      <c r="B1358" s="315" t="s">
        <v>776</v>
      </c>
      <c r="C1358" s="330"/>
      <c r="D1358" s="4"/>
      <c r="E1358" s="315"/>
      <c r="F1358" s="1"/>
      <c r="AC1358" s="48">
        <f>IF(C1358="",0,1)</f>
        <v>0</v>
      </c>
      <c r="AE1358" s="48">
        <f>IF($AC$1358=1,AC$1353,0)</f>
        <v>0</v>
      </c>
      <c r="BB1358" s="48"/>
      <c r="BM1358" s="329" t="s">
        <v>777</v>
      </c>
      <c r="BN1358" s="272" t="s">
        <v>778</v>
      </c>
    </row>
    <row r="1359" spans="1:66" ht="14" hidden="1" customHeight="1" thickTop="1" thickBot="1" x14ac:dyDescent="0.4">
      <c r="A1359" s="313"/>
      <c r="B1359" s="331" t="s">
        <v>779</v>
      </c>
      <c r="C1359" s="330"/>
      <c r="D1359" s="332" t="str">
        <f>AS1359</f>
        <v>AWARENESS OF ISSUE</v>
      </c>
      <c r="E1359" s="315"/>
      <c r="F1359" s="1"/>
      <c r="AM1359" s="333"/>
      <c r="AN1359" s="333"/>
      <c r="AO1359" s="333"/>
      <c r="AP1359" s="333"/>
      <c r="AS1359" s="48" t="s">
        <v>780</v>
      </c>
      <c r="BB1359" s="48"/>
      <c r="BM1359" s="329" t="s">
        <v>781</v>
      </c>
      <c r="BN1359" s="272" t="s">
        <v>782</v>
      </c>
    </row>
    <row r="1360" spans="1:66" ht="14" hidden="1" customHeight="1" thickTop="1" thickBot="1" x14ac:dyDescent="0.4">
      <c r="A1360" s="313"/>
      <c r="B1360" s="325" t="s">
        <v>783</v>
      </c>
      <c r="C1360" s="334" t="s">
        <v>784</v>
      </c>
      <c r="D1360" s="334" t="s">
        <v>785</v>
      </c>
      <c r="E1360" s="315"/>
      <c r="F1360" s="1"/>
      <c r="AS1360" s="48" t="str">
        <f>CONCATENATE(AS1361,AX1361,AZ1361)</f>
        <v>This contribution is 0% of the average contribution.</v>
      </c>
      <c r="BB1360" s="48"/>
      <c r="BM1360" s="329" t="s">
        <v>786</v>
      </c>
      <c r="BN1360" s="272" t="s">
        <v>787</v>
      </c>
    </row>
    <row r="1361" spans="1:69" ht="14" hidden="1" customHeight="1" thickTop="1" thickBot="1" x14ac:dyDescent="0.4">
      <c r="A1361" s="313"/>
      <c r="B1361" s="314" t="s">
        <v>788</v>
      </c>
      <c r="C1361" s="335" t="str">
        <f>AM1361</f>
        <v>YYYY-MM-DD</v>
      </c>
      <c r="D1361" s="335" t="str">
        <f>AM1361</f>
        <v>YYYY-MM-DD</v>
      </c>
      <c r="E1361" s="315"/>
      <c r="F1361" s="1"/>
      <c r="AH1361" s="918" t="str">
        <f>IF(NOT(D1361=AQ1361),D1361,"")</f>
        <v>YYYY-MM-DD</v>
      </c>
      <c r="AI1361" s="918"/>
      <c r="AM1361" s="328" t="s">
        <v>789</v>
      </c>
      <c r="AQ1361" s="328"/>
      <c r="AS1361" s="48" t="s">
        <v>790</v>
      </c>
      <c r="AX1361" s="336">
        <f>ROUND((BB1363*100),0)</f>
        <v>0</v>
      </c>
      <c r="AZ1361" s="48" t="s">
        <v>791</v>
      </c>
      <c r="BB1361" s="48"/>
      <c r="BM1361" s="329" t="s">
        <v>792</v>
      </c>
      <c r="BN1361" s="272" t="s">
        <v>793</v>
      </c>
    </row>
    <row r="1362" spans="1:69" ht="14" hidden="1" customHeight="1" thickTop="1" thickBot="1" x14ac:dyDescent="0.35">
      <c r="A1362" s="313"/>
      <c r="B1362" s="314" t="s">
        <v>794</v>
      </c>
      <c r="C1362" s="337"/>
      <c r="D1362" s="338" t="str">
        <f>AC1362</f>
        <v/>
      </c>
      <c r="E1362" s="315"/>
      <c r="F1362" s="1"/>
      <c r="AC1362" s="50" t="str">
        <f>IF(AND(AC$1352&gt;0,C1362=BN$1357),BM$1357,IF(AND(AC$1352&gt;0,C1362=BN$1358),BM$1358,IF(AND(AC$1352&gt;0,C1362=BN$1359),BM$1359,IF(AND(AC$1352&gt;0,C1362=BN$1360),BM$1360,IF(AND(AC$1352&gt;0,C1362=BN$1361),BM$1361,"")))))</f>
        <v/>
      </c>
      <c r="AI1362" s="1084" t="e">
        <f>AV1363/AL$1353</f>
        <v>#REF!</v>
      </c>
      <c r="AJ1362" s="1084"/>
      <c r="AK1362" s="48" t="s">
        <v>795</v>
      </c>
      <c r="AO1362" s="9" t="e">
        <f>IF(AI1362=0,"none",(AI1362*100))</f>
        <v>#REF!</v>
      </c>
      <c r="AP1362" s="48" t="e">
        <f>IF(AO1362="none"," of weekly support cost.","% of weekly support cost.")</f>
        <v>#REF!</v>
      </c>
      <c r="BB1362" s="48"/>
      <c r="BQ1362" s="48" t="s">
        <v>796</v>
      </c>
    </row>
    <row r="1363" spans="1:69" ht="14" hidden="1" customHeight="1" thickTop="1" thickBot="1" x14ac:dyDescent="0.35">
      <c r="A1363" s="313"/>
      <c r="B1363" s="314" t="s">
        <v>797</v>
      </c>
      <c r="C1363" s="339"/>
      <c r="D1363" s="314" t="e">
        <f>IF(NOT(AV1363&gt;0),"",AC1363)</f>
        <v>#REF!</v>
      </c>
      <c r="E1363" s="315"/>
      <c r="F1363" s="1"/>
      <c r="AC1363" s="246" t="e">
        <f>CONCATENATE(AO1363,AT1363)</f>
        <v>#REF!</v>
      </c>
      <c r="AO1363" s="48" t="s">
        <v>798</v>
      </c>
      <c r="AT1363" s="246" t="e">
        <f>DOLLAR(AV1363)</f>
        <v>#REF!</v>
      </c>
      <c r="AV1363" s="315" t="e">
        <f>IF(AND(D1362=BM$1361,C1363=#REF!),#REF!,IF(AND(D1362=BM$1361,C1363=#REF!),#REF!,IF(AND(D1362=BM$1361,C1363=#REF!),#REF!,IF(AND(D1362=BM$1361,C1363=#REF!),#REF!,IF(AND(D1362=BM$1361,C1363=#REF!),#REF!,IF(AND(D1362=BM$1361,C1363=#REF!),#REF!,0))))))</f>
        <v>#REF!</v>
      </c>
      <c r="AX1363" s="9" t="e">
        <f>DOLLAR(AZ1363)</f>
        <v>#REF!</v>
      </c>
      <c r="AZ1363" s="340" t="e">
        <f>$AJ$1353-AV1363</f>
        <v>#REF!</v>
      </c>
      <c r="BB1363" s="336"/>
      <c r="BD1363" s="302" t="e">
        <f>AV1363</f>
        <v>#REF!</v>
      </c>
      <c r="BQ1363" s="48" t="s">
        <v>799</v>
      </c>
    </row>
    <row r="1364" spans="1:69" ht="14" hidden="1" customHeight="1" thickTop="1" x14ac:dyDescent="0.3">
      <c r="A1364" s="313"/>
      <c r="B1364" s="314"/>
      <c r="C1364" s="314" t="e">
        <f>CONCATENATE(AK1362,AO1362,AP1362)</f>
        <v>#REF!</v>
      </c>
      <c r="D1364" s="314" t="e">
        <f>BF$1356</f>
        <v>#REF!</v>
      </c>
      <c r="E1364" s="315"/>
      <c r="F1364" s="1"/>
      <c r="AC1364" s="48" t="s">
        <v>800</v>
      </c>
      <c r="AI1364" s="142">
        <f>MIN(D1362,AE1358)</f>
        <v>0</v>
      </c>
      <c r="AJ1364" s="48">
        <f>ROUND(AI1364,2)</f>
        <v>0</v>
      </c>
      <c r="AK1364" s="48" t="str">
        <f>CONCATENATE(AC1364,AJ1364)</f>
        <v>contribution per exchange: $0</v>
      </c>
      <c r="BQ1364" s="48" t="s">
        <v>801</v>
      </c>
    </row>
    <row r="1365" spans="1:69" ht="14" hidden="1" customHeight="1" x14ac:dyDescent="0.3">
      <c r="A1365" s="313"/>
      <c r="B1365" s="314"/>
      <c r="C1365" s="314"/>
      <c r="D1365" s="314"/>
      <c r="E1365" s="315"/>
      <c r="F1365" s="1"/>
      <c r="BQ1365" s="48" t="s">
        <v>802</v>
      </c>
    </row>
    <row r="1366" spans="1:69" ht="5" hidden="1" customHeight="1" thickBot="1" x14ac:dyDescent="0.35">
      <c r="A1366" s="315"/>
      <c r="B1366" s="317"/>
      <c r="C1366" s="318"/>
      <c r="D1366" s="315"/>
      <c r="E1366" s="315"/>
      <c r="F1366" s="1"/>
      <c r="AC1366" s="312"/>
      <c r="AJ1366" s="402"/>
      <c r="BB1366" s="48"/>
    </row>
    <row r="1367" spans="1:69" ht="16" hidden="1" thickTop="1" thickBot="1" x14ac:dyDescent="0.35">
      <c r="A1367" s="324">
        <f>IF(C1367="",0,1+A1357)</f>
        <v>2</v>
      </c>
      <c r="B1367" s="325" t="s">
        <v>803</v>
      </c>
      <c r="C1367" s="326" t="str">
        <f>AM1367</f>
        <v>FIRST NAME</v>
      </c>
      <c r="D1367" s="327" t="str">
        <f>AQ1367</f>
        <v>LAST NAME</v>
      </c>
      <c r="E1367" s="315"/>
      <c r="F1367" s="1"/>
      <c r="AC1367" s="311" t="str">
        <f>IF(NOT(C1367=AM1367),C1367,"")</f>
        <v/>
      </c>
      <c r="AH1367" s="311" t="str">
        <f>IF(NOT(D1367=AQ1367),D1367,"")</f>
        <v/>
      </c>
      <c r="AM1367" s="328" t="s">
        <v>773</v>
      </c>
      <c r="AQ1367" s="328" t="s">
        <v>100</v>
      </c>
      <c r="BB1367" s="48"/>
    </row>
    <row r="1368" spans="1:69" ht="15" hidden="1" thickTop="1" thickBot="1" x14ac:dyDescent="0.35">
      <c r="A1368" s="313"/>
      <c r="B1368" s="315" t="s">
        <v>776</v>
      </c>
      <c r="C1368" s="330" t="s">
        <v>804</v>
      </c>
      <c r="D1368" s="4"/>
      <c r="E1368" s="315"/>
      <c r="F1368" s="1"/>
      <c r="AC1368" s="48">
        <f>IF(C1368="",0,1)</f>
        <v>1</v>
      </c>
      <c r="AE1368" s="48">
        <f>IF($AC$1358=1,AC$1353,0)</f>
        <v>0</v>
      </c>
      <c r="BB1368" s="48"/>
    </row>
    <row r="1369" spans="1:69" ht="14" hidden="1" customHeight="1" thickTop="1" thickBot="1" x14ac:dyDescent="0.35">
      <c r="A1369" s="313"/>
      <c r="B1369" s="331" t="s">
        <v>779</v>
      </c>
      <c r="C1369" s="330"/>
      <c r="D1369" s="332" t="str">
        <f>AS1369</f>
        <v>AWARENESS OF ISSUE</v>
      </c>
      <c r="E1369" s="315"/>
      <c r="F1369" s="1"/>
      <c r="AM1369" s="333"/>
      <c r="AN1369" s="333"/>
      <c r="AO1369" s="333"/>
      <c r="AP1369" s="333"/>
      <c r="AS1369" s="48" t="str">
        <f>AS1359</f>
        <v>AWARENESS OF ISSUE</v>
      </c>
      <c r="BB1369" s="48"/>
    </row>
    <row r="1370" spans="1:69" ht="14" hidden="1" customHeight="1" thickTop="1" thickBot="1" x14ac:dyDescent="0.35">
      <c r="A1370" s="313"/>
      <c r="B1370" s="325" t="s">
        <v>783</v>
      </c>
      <c r="C1370" s="334" t="s">
        <v>784</v>
      </c>
      <c r="D1370" s="334" t="s">
        <v>785</v>
      </c>
      <c r="E1370" s="315"/>
      <c r="F1370" s="1"/>
      <c r="BB1370" s="48"/>
    </row>
    <row r="1371" spans="1:69" ht="14" hidden="1" customHeight="1" thickTop="1" thickBot="1" x14ac:dyDescent="0.35">
      <c r="A1371" s="313"/>
      <c r="B1371" s="314" t="s">
        <v>788</v>
      </c>
      <c r="C1371" s="335" t="str">
        <f>AM1371</f>
        <v>YYYY-MM-DD</v>
      </c>
      <c r="D1371" s="335" t="str">
        <f>AM1371</f>
        <v>YYYY-MM-DD</v>
      </c>
      <c r="E1371" s="315"/>
      <c r="F1371" s="1"/>
      <c r="AH1371" s="918" t="str">
        <f>IF(NOT(D1371=AQ1371),D1371,"")</f>
        <v>YYYY-MM-DD</v>
      </c>
      <c r="AI1371" s="918"/>
      <c r="AM1371" s="328" t="s">
        <v>789</v>
      </c>
      <c r="AQ1371" s="328"/>
      <c r="BB1371" s="48"/>
    </row>
    <row r="1372" spans="1:69" ht="14" hidden="1" customHeight="1" thickTop="1" thickBot="1" x14ac:dyDescent="0.35">
      <c r="A1372" s="313"/>
      <c r="B1372" s="314" t="s">
        <v>794</v>
      </c>
      <c r="C1372" s="337"/>
      <c r="D1372" s="338" t="str">
        <f>AC1372</f>
        <v/>
      </c>
      <c r="E1372" s="315"/>
      <c r="F1372" s="1"/>
      <c r="AC1372" s="50" t="str">
        <f>IF(AND(AC$1352&gt;0,C1372=BN$1357),BM$1357,IF(AND(AC$1352&gt;0,C1372=BN$1358),BM$1358,IF(AND(AC$1352&gt;0,C1372=BN$1359),BM$1359,IF(AND(AC$1352&gt;0,C1372=BN$1360),BM$1360,IF(AND(AC$1352&gt;0,C1372=BN$1361),BM$1361,"")))))</f>
        <v/>
      </c>
      <c r="AI1372" s="1084" t="e">
        <f>AV1373/AL$1353</f>
        <v>#REF!</v>
      </c>
      <c r="AJ1372" s="1084"/>
      <c r="AK1372" s="48" t="s">
        <v>795</v>
      </c>
      <c r="AO1372" s="9" t="e">
        <f>IF(AI1372=0,"none",(AI1372*100))</f>
        <v>#REF!</v>
      </c>
      <c r="AP1372" s="48" t="e">
        <f>IF(AO1372="none"," of weekly support cost.","% of weekly support cost.")</f>
        <v>#REF!</v>
      </c>
      <c r="BB1372" s="48"/>
    </row>
    <row r="1373" spans="1:69" ht="14" hidden="1" customHeight="1" thickTop="1" thickBot="1" x14ac:dyDescent="0.35">
      <c r="A1373" s="313"/>
      <c r="B1373" s="314" t="s">
        <v>797</v>
      </c>
      <c r="C1373" s="339"/>
      <c r="D1373" s="314" t="e">
        <f>IF(NOT(AV1373&gt;0),"",AC1373)</f>
        <v>#REF!</v>
      </c>
      <c r="E1373" s="315"/>
      <c r="F1373" s="1"/>
      <c r="AC1373" s="246" t="e">
        <f>CONCATENATE(AO1373,AT1373)</f>
        <v>#REF!</v>
      </c>
      <c r="AO1373" s="48" t="s">
        <v>798</v>
      </c>
      <c r="AT1373" s="246" t="e">
        <f>DOLLAR(AV1373)</f>
        <v>#REF!</v>
      </c>
      <c r="AV1373" s="315" t="e">
        <f>IF(AND(D1372=BM$1361,C1373=#REF!),#REF!,IF(AND(D1372=BM$1361,C1373=#REF!),#REF!,IF(AND(D1372=BM$1361,C1373=#REF!),#REF!,IF(AND(D1372=BM$1361,C1373=#REF!),#REF!,IF(AND(D1372=BM$1361,C1373=#REF!),#REF!,IF(AND(D1372=BM$1361,C1373=#REF!),#REF!,0))))))</f>
        <v>#REF!</v>
      </c>
      <c r="AX1373" s="9" t="e">
        <f>DOLLAR(AZ1373)</f>
        <v>#REF!</v>
      </c>
      <c r="AZ1373" s="340" t="e">
        <f>$AJ$1353-AV1373</f>
        <v>#REF!</v>
      </c>
      <c r="BB1373" s="336"/>
      <c r="BD1373" s="302" t="e">
        <f>AV1373</f>
        <v>#REF!</v>
      </c>
    </row>
    <row r="1374" spans="1:69" ht="14" hidden="1" customHeight="1" thickTop="1" x14ac:dyDescent="0.3">
      <c r="A1374" s="313"/>
      <c r="B1374" s="314"/>
      <c r="C1374" s="314" t="e">
        <f>CONCATENATE(AK1372,AO1372,AP1372)</f>
        <v>#REF!</v>
      </c>
      <c r="D1374" s="314" t="e">
        <f>BF$1356</f>
        <v>#REF!</v>
      </c>
      <c r="E1374" s="315"/>
      <c r="F1374" s="1"/>
      <c r="AC1374" s="48" t="s">
        <v>800</v>
      </c>
      <c r="AI1374" s="142">
        <f>MIN(D1372,AE1368)</f>
        <v>0</v>
      </c>
      <c r="AJ1374" s="48">
        <f>ROUND(AI1374,2)</f>
        <v>0</v>
      </c>
      <c r="AK1374" s="48" t="str">
        <f>CONCATENATE(AC1374,AJ1374)</f>
        <v>contribution per exchange: $0</v>
      </c>
    </row>
    <row r="1375" spans="1:69" ht="14" hidden="1" customHeight="1" x14ac:dyDescent="0.3">
      <c r="A1375" s="313"/>
      <c r="B1375" s="314"/>
      <c r="C1375" s="314"/>
      <c r="D1375" s="314"/>
      <c r="E1375" s="315"/>
      <c r="F1375" s="1"/>
    </row>
    <row r="1376" spans="1:69" ht="5" hidden="1" customHeight="1" thickBot="1" x14ac:dyDescent="0.35">
      <c r="A1376" s="315"/>
      <c r="B1376" s="317"/>
      <c r="C1376" s="318"/>
      <c r="D1376" s="315"/>
      <c r="E1376" s="315"/>
      <c r="F1376" s="1"/>
      <c r="AC1376" s="312"/>
      <c r="AJ1376" s="402"/>
      <c r="BB1376" s="48"/>
    </row>
    <row r="1377" spans="1:56" ht="16" hidden="1" thickTop="1" thickBot="1" x14ac:dyDescent="0.35">
      <c r="A1377" s="324">
        <f>IF(C1377="",0,1+A1367)</f>
        <v>3</v>
      </c>
      <c r="B1377" s="325" t="s">
        <v>805</v>
      </c>
      <c r="C1377" s="326" t="str">
        <f>AM1377</f>
        <v>FIRST NAME</v>
      </c>
      <c r="D1377" s="327" t="str">
        <f>AQ1377</f>
        <v>LAST NAME</v>
      </c>
      <c r="E1377" s="315"/>
      <c r="F1377" s="1"/>
      <c r="AC1377" s="311" t="str">
        <f>IF(NOT(C1377=AM1377),C1377,"")</f>
        <v/>
      </c>
      <c r="AH1377" s="311" t="str">
        <f>IF(NOT(D1377=AQ1377),D1377,"")</f>
        <v/>
      </c>
      <c r="AM1377" s="328" t="s">
        <v>773</v>
      </c>
      <c r="AQ1377" s="328" t="s">
        <v>100</v>
      </c>
      <c r="BB1377" s="48"/>
    </row>
    <row r="1378" spans="1:56" ht="15" hidden="1" thickTop="1" thickBot="1" x14ac:dyDescent="0.35">
      <c r="A1378" s="313"/>
      <c r="B1378" s="315" t="s">
        <v>776</v>
      </c>
      <c r="C1378" s="330"/>
      <c r="D1378" s="4"/>
      <c r="E1378" s="315"/>
      <c r="F1378" s="1"/>
      <c r="AC1378" s="48">
        <f>IF(C1378="",0,1)</f>
        <v>0</v>
      </c>
      <c r="AE1378" s="48">
        <f>IF($AC$1358=1,AC$1353,0)</f>
        <v>0</v>
      </c>
      <c r="BB1378" s="48"/>
    </row>
    <row r="1379" spans="1:56" ht="14" hidden="1" customHeight="1" thickTop="1" thickBot="1" x14ac:dyDescent="0.35">
      <c r="A1379" s="313"/>
      <c r="B1379" s="331" t="s">
        <v>779</v>
      </c>
      <c r="C1379" s="330"/>
      <c r="D1379" s="332" t="str">
        <f>AS1379</f>
        <v>AWARENESS OF ISSUE</v>
      </c>
      <c r="E1379" s="315"/>
      <c r="F1379" s="1"/>
      <c r="AM1379" s="333"/>
      <c r="AN1379" s="333"/>
      <c r="AO1379" s="333"/>
      <c r="AP1379" s="333"/>
      <c r="AS1379" s="48" t="str">
        <f>AS1369</f>
        <v>AWARENESS OF ISSUE</v>
      </c>
      <c r="BB1379" s="48"/>
    </row>
    <row r="1380" spans="1:56" ht="14" hidden="1" customHeight="1" thickTop="1" thickBot="1" x14ac:dyDescent="0.35">
      <c r="A1380" s="313"/>
      <c r="B1380" s="325" t="s">
        <v>783</v>
      </c>
      <c r="C1380" s="334" t="s">
        <v>784</v>
      </c>
      <c r="D1380" s="334" t="s">
        <v>785</v>
      </c>
      <c r="E1380" s="315"/>
      <c r="F1380" s="1"/>
      <c r="BB1380" s="48"/>
    </row>
    <row r="1381" spans="1:56" ht="14" hidden="1" customHeight="1" thickTop="1" thickBot="1" x14ac:dyDescent="0.35">
      <c r="A1381" s="313"/>
      <c r="B1381" s="314" t="s">
        <v>788</v>
      </c>
      <c r="C1381" s="335" t="str">
        <f>AM1381</f>
        <v>YYYY-MM-DD</v>
      </c>
      <c r="D1381" s="335" t="str">
        <f>AM1381</f>
        <v>YYYY-MM-DD</v>
      </c>
      <c r="E1381" s="315"/>
      <c r="F1381" s="1"/>
      <c r="AH1381" s="918" t="str">
        <f>IF(NOT(D1381=AQ1381),D1381,"")</f>
        <v>YYYY-MM-DD</v>
      </c>
      <c r="AI1381" s="918"/>
      <c r="AM1381" s="328" t="s">
        <v>789</v>
      </c>
      <c r="AQ1381" s="328"/>
      <c r="BB1381" s="48"/>
    </row>
    <row r="1382" spans="1:56" ht="14" hidden="1" customHeight="1" thickTop="1" thickBot="1" x14ac:dyDescent="0.35">
      <c r="A1382" s="313"/>
      <c r="B1382" s="314" t="s">
        <v>794</v>
      </c>
      <c r="C1382" s="337"/>
      <c r="D1382" s="338" t="str">
        <f>AC1382</f>
        <v/>
      </c>
      <c r="E1382" s="315"/>
      <c r="F1382" s="1"/>
      <c r="AC1382" s="50" t="str">
        <f>IF(AND(AC$1352&gt;0,C1382=BN$1357),BM$1357,IF(AND(AC$1352&gt;0,C1382=BN$1358),BM$1358,IF(AND(AC$1352&gt;0,C1382=BN$1359),BM$1359,IF(AND(AC$1352&gt;0,C1382=BN$1360),BM$1360,IF(AND(AC$1352&gt;0,C1382=BN$1361),BM$1361,"")))))</f>
        <v/>
      </c>
      <c r="AI1382" s="1084" t="e">
        <f>AV1383/AL$1353</f>
        <v>#REF!</v>
      </c>
      <c r="AJ1382" s="1084"/>
      <c r="AK1382" s="48" t="s">
        <v>795</v>
      </c>
      <c r="AO1382" s="9" t="e">
        <f>IF(AI1382=0,"none",(AI1382*100))</f>
        <v>#REF!</v>
      </c>
      <c r="AP1382" s="48" t="e">
        <f>IF(AO1382="none"," of weekly support cost.","% of weekly support cost.")</f>
        <v>#REF!</v>
      </c>
      <c r="BB1382" s="48"/>
    </row>
    <row r="1383" spans="1:56" ht="14" hidden="1" customHeight="1" thickTop="1" thickBot="1" x14ac:dyDescent="0.35">
      <c r="A1383" s="313"/>
      <c r="B1383" s="314" t="s">
        <v>797</v>
      </c>
      <c r="C1383" s="339"/>
      <c r="D1383" s="314" t="e">
        <f>IF(NOT(AV1383&gt;0),"",AC1383)</f>
        <v>#REF!</v>
      </c>
      <c r="E1383" s="315"/>
      <c r="F1383" s="1"/>
      <c r="AC1383" s="246" t="e">
        <f>CONCATENATE(AO1383,AT1383)</f>
        <v>#REF!</v>
      </c>
      <c r="AO1383" s="48" t="s">
        <v>798</v>
      </c>
      <c r="AT1383" s="246" t="e">
        <f>DOLLAR(AV1383)</f>
        <v>#REF!</v>
      </c>
      <c r="AV1383" s="315" t="e">
        <f>IF(AND(D1382=BM$1361,C1383=#REF!),#REF!,IF(AND(D1382=BM$1361,C1383=#REF!),#REF!,IF(AND(D1382=BM$1361,C1383=#REF!),#REF!,IF(AND(D1382=BM$1361,C1383=#REF!),#REF!,IF(AND(D1382=BM$1361,C1383=#REF!),#REF!,IF(AND(D1382=BM$1361,C1383=#REF!),#REF!,0))))))</f>
        <v>#REF!</v>
      </c>
      <c r="AX1383" s="9" t="e">
        <f>DOLLAR(AZ1383)</f>
        <v>#REF!</v>
      </c>
      <c r="AZ1383" s="340" t="e">
        <f>$AJ$1353-AV1383</f>
        <v>#REF!</v>
      </c>
      <c r="BB1383" s="48"/>
      <c r="BD1383" s="302" t="e">
        <f>AV1383</f>
        <v>#REF!</v>
      </c>
    </row>
    <row r="1384" spans="1:56" ht="14" hidden="1" customHeight="1" thickTop="1" x14ac:dyDescent="0.3">
      <c r="A1384" s="313"/>
      <c r="B1384" s="314"/>
      <c r="C1384" s="314" t="e">
        <f>CONCATENATE(AK1382,AO1382,AP1382)</f>
        <v>#REF!</v>
      </c>
      <c r="D1384" s="314" t="e">
        <f>BF$1356</f>
        <v>#REF!</v>
      </c>
      <c r="E1384" s="315"/>
      <c r="F1384" s="1"/>
      <c r="AC1384" s="48" t="s">
        <v>800</v>
      </c>
      <c r="AI1384" s="142">
        <f>MIN(D1382,AE1378)</f>
        <v>0</v>
      </c>
      <c r="AJ1384" s="48">
        <f>ROUND(AI1384,2)</f>
        <v>0</v>
      </c>
      <c r="AK1384" s="48" t="str">
        <f>CONCATENATE(AC1384,AJ1384)</f>
        <v>contribution per exchange: $0</v>
      </c>
    </row>
    <row r="1385" spans="1:56" ht="14" hidden="1" customHeight="1" x14ac:dyDescent="0.3">
      <c r="A1385" s="313"/>
      <c r="B1385" s="314"/>
      <c r="C1385" s="314"/>
      <c r="D1385" s="314"/>
      <c r="E1385" s="315"/>
      <c r="F1385" s="1"/>
    </row>
    <row r="1386" spans="1:56" ht="5" hidden="1" customHeight="1" thickBot="1" x14ac:dyDescent="0.35">
      <c r="A1386" s="315"/>
      <c r="B1386" s="317"/>
      <c r="C1386" s="318"/>
      <c r="D1386" s="315"/>
      <c r="E1386" s="315"/>
      <c r="F1386" s="1"/>
      <c r="AC1386" s="312"/>
      <c r="AJ1386" s="402"/>
      <c r="BB1386" s="48"/>
    </row>
    <row r="1387" spans="1:56" ht="16" hidden="1" thickTop="1" thickBot="1" x14ac:dyDescent="0.35">
      <c r="A1387" s="324">
        <f>IF(C1387="",0,1+A1377)</f>
        <v>4</v>
      </c>
      <c r="B1387" s="325" t="s">
        <v>806</v>
      </c>
      <c r="C1387" s="326" t="str">
        <f>AM1387</f>
        <v>FIRST NAME</v>
      </c>
      <c r="D1387" s="327" t="str">
        <f>AQ1387</f>
        <v>LAST NAME</v>
      </c>
      <c r="E1387" s="315"/>
      <c r="F1387" s="1"/>
      <c r="AC1387" s="311" t="str">
        <f>IF(NOT(C1387=AM1387),C1387,"")</f>
        <v/>
      </c>
      <c r="AH1387" s="311" t="str">
        <f>IF(NOT(D1387=AQ1387),D1387,"")</f>
        <v/>
      </c>
      <c r="AM1387" s="328" t="s">
        <v>773</v>
      </c>
      <c r="AQ1387" s="328" t="s">
        <v>100</v>
      </c>
      <c r="BB1387" s="48"/>
    </row>
    <row r="1388" spans="1:56" ht="15" hidden="1" thickTop="1" thickBot="1" x14ac:dyDescent="0.35">
      <c r="A1388" s="313"/>
      <c r="B1388" s="315" t="s">
        <v>776</v>
      </c>
      <c r="C1388" s="330"/>
      <c r="D1388" s="4"/>
      <c r="E1388" s="315"/>
      <c r="F1388" s="1"/>
      <c r="AC1388" s="48">
        <f>IF(C1388="",0,1)</f>
        <v>0</v>
      </c>
      <c r="AE1388" s="48">
        <f>IF($AC$1358=1,AC$1353,0)</f>
        <v>0</v>
      </c>
      <c r="BB1388" s="48"/>
    </row>
    <row r="1389" spans="1:56" ht="14" hidden="1" customHeight="1" thickTop="1" thickBot="1" x14ac:dyDescent="0.35">
      <c r="A1389" s="313"/>
      <c r="B1389" s="331" t="s">
        <v>779</v>
      </c>
      <c r="C1389" s="330"/>
      <c r="D1389" s="332" t="str">
        <f>AS1389</f>
        <v>AWARENESS OF ISSUE</v>
      </c>
      <c r="E1389" s="315"/>
      <c r="F1389" s="1"/>
      <c r="AM1389" s="333"/>
      <c r="AN1389" s="333"/>
      <c r="AO1389" s="333"/>
      <c r="AP1389" s="333"/>
      <c r="AS1389" s="48" t="str">
        <f>AS1379</f>
        <v>AWARENESS OF ISSUE</v>
      </c>
      <c r="BB1389" s="48"/>
    </row>
    <row r="1390" spans="1:56" ht="14" hidden="1" customHeight="1" thickTop="1" thickBot="1" x14ac:dyDescent="0.35">
      <c r="A1390" s="313"/>
      <c r="B1390" s="325" t="s">
        <v>783</v>
      </c>
      <c r="C1390" s="334" t="s">
        <v>784</v>
      </c>
      <c r="D1390" s="334" t="s">
        <v>785</v>
      </c>
      <c r="E1390" s="315"/>
      <c r="F1390" s="1"/>
      <c r="BB1390" s="48"/>
    </row>
    <row r="1391" spans="1:56" ht="14" hidden="1" customHeight="1" thickTop="1" thickBot="1" x14ac:dyDescent="0.35">
      <c r="A1391" s="313"/>
      <c r="B1391" s="314" t="s">
        <v>788</v>
      </c>
      <c r="C1391" s="335" t="str">
        <f>AM1391</f>
        <v>YYYY-MM-DD</v>
      </c>
      <c r="D1391" s="335" t="str">
        <f>AM1391</f>
        <v>YYYY-MM-DD</v>
      </c>
      <c r="E1391" s="315"/>
      <c r="F1391" s="1"/>
      <c r="AH1391" s="918" t="str">
        <f>IF(NOT(D1391=AQ1391),D1391,"")</f>
        <v>YYYY-MM-DD</v>
      </c>
      <c r="AI1391" s="918"/>
      <c r="AM1391" s="328" t="s">
        <v>789</v>
      </c>
      <c r="AQ1391" s="328"/>
      <c r="BB1391" s="48"/>
    </row>
    <row r="1392" spans="1:56" ht="14" hidden="1" customHeight="1" thickTop="1" thickBot="1" x14ac:dyDescent="0.35">
      <c r="A1392" s="313"/>
      <c r="B1392" s="314" t="s">
        <v>794</v>
      </c>
      <c r="C1392" s="337"/>
      <c r="D1392" s="338" t="str">
        <f>AC1392</f>
        <v/>
      </c>
      <c r="E1392" s="315"/>
      <c r="F1392" s="1"/>
      <c r="AC1392" s="50" t="str">
        <f>IF(AND(AC$1352&gt;0,C1392=BN$1357),BM$1357,IF(AND(AC$1352&gt;0,C1392=BN$1358),BM$1358,IF(AND(AC$1352&gt;0,C1392=BN$1359),BM$1359,IF(AND(AC$1352&gt;0,C1392=BN$1360),BM$1360,IF(AND(AC$1352&gt;0,C1392=BN$1361),BM$1361,"")))))</f>
        <v/>
      </c>
      <c r="AI1392" s="1084" t="e">
        <f>AV1393/AL$1353</f>
        <v>#REF!</v>
      </c>
      <c r="AJ1392" s="1084"/>
      <c r="AK1392" s="48" t="s">
        <v>795</v>
      </c>
      <c r="AO1392" s="9" t="e">
        <f>IF(AI1392=0,"none",(AI1392*100))</f>
        <v>#REF!</v>
      </c>
      <c r="AP1392" s="48" t="e">
        <f>IF(AO1392="none"," of weekly support cost.","% of weekly support cost.")</f>
        <v>#REF!</v>
      </c>
      <c r="BB1392" s="48"/>
    </row>
    <row r="1393" spans="1:56" ht="14" hidden="1" customHeight="1" thickTop="1" thickBot="1" x14ac:dyDescent="0.35">
      <c r="A1393" s="313"/>
      <c r="B1393" s="314" t="s">
        <v>797</v>
      </c>
      <c r="C1393" s="339"/>
      <c r="D1393" s="314" t="e">
        <f>IF(NOT(AV1393&gt;0),"",AC1393)</f>
        <v>#REF!</v>
      </c>
      <c r="E1393" s="315"/>
      <c r="F1393" s="1"/>
      <c r="AC1393" s="246" t="e">
        <f>CONCATENATE(AO1393,AT1393)</f>
        <v>#REF!</v>
      </c>
      <c r="AO1393" s="48" t="s">
        <v>798</v>
      </c>
      <c r="AT1393" s="246" t="e">
        <f>DOLLAR(AV1393)</f>
        <v>#REF!</v>
      </c>
      <c r="AV1393" s="315" t="e">
        <f>IF(AND(D1392=BM$1361,C1393=#REF!),#REF!,IF(AND(D1392=BM$1361,C1393=#REF!),#REF!,IF(AND(D1392=BM$1361,C1393=#REF!),#REF!,IF(AND(D1392=BM$1361,C1393=#REF!),#REF!,IF(AND(D1392=BM$1361,C1393=#REF!),#REF!,IF(AND(D1392=BM$1361,C1393=#REF!),#REF!,0))))))</f>
        <v>#REF!</v>
      </c>
      <c r="AX1393" s="9" t="e">
        <f>DOLLAR(AZ1393)</f>
        <v>#REF!</v>
      </c>
      <c r="AZ1393" s="340" t="e">
        <f>$AJ$1353-AV1393</f>
        <v>#REF!</v>
      </c>
      <c r="BB1393" s="48"/>
      <c r="BD1393" s="302" t="e">
        <f>AV1393</f>
        <v>#REF!</v>
      </c>
    </row>
    <row r="1394" spans="1:56" ht="14" hidden="1" customHeight="1" thickTop="1" x14ac:dyDescent="0.3">
      <c r="A1394" s="313"/>
      <c r="B1394" s="314"/>
      <c r="C1394" s="314" t="e">
        <f>CONCATENATE(AK1392,AO1392,AP1392)</f>
        <v>#REF!</v>
      </c>
      <c r="D1394" s="314" t="e">
        <f>BF$1356</f>
        <v>#REF!</v>
      </c>
      <c r="E1394" s="315"/>
      <c r="F1394" s="1"/>
      <c r="AC1394" s="48" t="s">
        <v>800</v>
      </c>
      <c r="AI1394" s="142">
        <f>MIN(D1392,AE1388)</f>
        <v>0</v>
      </c>
      <c r="AJ1394" s="48">
        <f>ROUND(AI1394,2)</f>
        <v>0</v>
      </c>
      <c r="AK1394" s="48" t="str">
        <f>CONCATENATE(AC1394,AJ1394)</f>
        <v>contribution per exchange: $0</v>
      </c>
    </row>
    <row r="1395" spans="1:56" ht="14" hidden="1" customHeight="1" x14ac:dyDescent="0.3">
      <c r="A1395" s="313"/>
      <c r="B1395" s="314"/>
      <c r="C1395" s="314"/>
      <c r="D1395" s="314"/>
      <c r="E1395" s="315"/>
      <c r="F1395" s="1"/>
    </row>
    <row r="1396" spans="1:56" ht="5" hidden="1" customHeight="1" thickBot="1" x14ac:dyDescent="0.35">
      <c r="A1396" s="315"/>
      <c r="B1396" s="317"/>
      <c r="C1396" s="318"/>
      <c r="D1396" s="315"/>
      <c r="E1396" s="315"/>
      <c r="F1396" s="1"/>
      <c r="AC1396" s="312"/>
      <c r="AJ1396" s="402"/>
      <c r="BB1396" s="48"/>
    </row>
    <row r="1397" spans="1:56" ht="16" hidden="1" thickTop="1" thickBot="1" x14ac:dyDescent="0.35">
      <c r="A1397" s="324">
        <f>IF(C1397="",0,1+A1387)</f>
        <v>5</v>
      </c>
      <c r="B1397" s="325" t="s">
        <v>807</v>
      </c>
      <c r="C1397" s="326" t="str">
        <f>AM1397</f>
        <v>FIRST NAME</v>
      </c>
      <c r="D1397" s="327" t="str">
        <f>AQ1397</f>
        <v>LAST NAME</v>
      </c>
      <c r="E1397" s="315"/>
      <c r="F1397" s="1"/>
      <c r="AC1397" s="311" t="str">
        <f>IF(NOT(C1397=AM1397),C1397,"")</f>
        <v/>
      </c>
      <c r="AH1397" s="311" t="str">
        <f>IF(NOT(D1397=AQ1397),D1397,"")</f>
        <v/>
      </c>
      <c r="AM1397" s="328" t="s">
        <v>773</v>
      </c>
      <c r="AQ1397" s="328" t="s">
        <v>100</v>
      </c>
      <c r="BB1397" s="48"/>
    </row>
    <row r="1398" spans="1:56" ht="15" hidden="1" thickTop="1" thickBot="1" x14ac:dyDescent="0.35">
      <c r="A1398" s="313"/>
      <c r="B1398" s="315" t="s">
        <v>776</v>
      </c>
      <c r="C1398" s="330"/>
      <c r="D1398" s="4"/>
      <c r="E1398" s="315"/>
      <c r="F1398" s="1"/>
      <c r="AC1398" s="48">
        <f>IF(C1398="",0,1)</f>
        <v>0</v>
      </c>
      <c r="AE1398" s="48">
        <f>IF($AC$1358=1,AC$1353,0)</f>
        <v>0</v>
      </c>
      <c r="BB1398" s="48"/>
    </row>
    <row r="1399" spans="1:56" ht="14" hidden="1" customHeight="1" thickTop="1" thickBot="1" x14ac:dyDescent="0.35">
      <c r="A1399" s="313"/>
      <c r="B1399" s="331" t="s">
        <v>779</v>
      </c>
      <c r="C1399" s="330"/>
      <c r="D1399" s="332" t="str">
        <f>AS1399</f>
        <v>AWARENESS OF ISSUE</v>
      </c>
      <c r="E1399" s="315"/>
      <c r="F1399" s="1"/>
      <c r="AM1399" s="333"/>
      <c r="AN1399" s="333"/>
      <c r="AO1399" s="333"/>
      <c r="AP1399" s="333"/>
      <c r="AS1399" s="48" t="str">
        <f>AS1389</f>
        <v>AWARENESS OF ISSUE</v>
      </c>
      <c r="BB1399" s="48"/>
    </row>
    <row r="1400" spans="1:56" ht="14" hidden="1" customHeight="1" thickTop="1" thickBot="1" x14ac:dyDescent="0.35">
      <c r="A1400" s="313"/>
      <c r="B1400" s="325" t="s">
        <v>783</v>
      </c>
      <c r="C1400" s="334" t="s">
        <v>784</v>
      </c>
      <c r="D1400" s="334" t="s">
        <v>785</v>
      </c>
      <c r="E1400" s="315"/>
      <c r="F1400" s="1"/>
      <c r="BB1400" s="48"/>
    </row>
    <row r="1401" spans="1:56" ht="14" hidden="1" customHeight="1" thickTop="1" thickBot="1" x14ac:dyDescent="0.35">
      <c r="A1401" s="313"/>
      <c r="B1401" s="314" t="s">
        <v>788</v>
      </c>
      <c r="C1401" s="335" t="str">
        <f>AM1401</f>
        <v>YYYY-MM-DD</v>
      </c>
      <c r="D1401" s="335" t="str">
        <f>AM1401</f>
        <v>YYYY-MM-DD</v>
      </c>
      <c r="E1401" s="315"/>
      <c r="F1401" s="1"/>
      <c r="AH1401" s="918" t="str">
        <f>IF(NOT(D1401=AQ1401),D1401,"")</f>
        <v>YYYY-MM-DD</v>
      </c>
      <c r="AI1401" s="918"/>
      <c r="AM1401" s="328" t="s">
        <v>789</v>
      </c>
      <c r="AQ1401" s="328"/>
      <c r="BB1401" s="48"/>
    </row>
    <row r="1402" spans="1:56" ht="14" hidden="1" customHeight="1" thickTop="1" thickBot="1" x14ac:dyDescent="0.35">
      <c r="A1402" s="313"/>
      <c r="B1402" s="314" t="s">
        <v>794</v>
      </c>
      <c r="C1402" s="337"/>
      <c r="D1402" s="338" t="str">
        <f>AC1402</f>
        <v/>
      </c>
      <c r="E1402" s="315"/>
      <c r="F1402" s="1"/>
      <c r="AC1402" s="50" t="str">
        <f>IF(AND(AC$1352&gt;0,C1402=BN$1357),BM$1357,IF(AND(AC$1352&gt;0,C1402=BN$1358),BM$1358,IF(AND(AC$1352&gt;0,C1402=BN$1359),BM$1359,IF(AND(AC$1352&gt;0,C1402=BN$1360),BM$1360,IF(AND(AC$1352&gt;0,C1402=BN$1361),BM$1361,"")))))</f>
        <v/>
      </c>
      <c r="AI1402" s="1084" t="e">
        <f>AV1403/AL$1353</f>
        <v>#REF!</v>
      </c>
      <c r="AJ1402" s="1084"/>
      <c r="AK1402" s="48" t="s">
        <v>795</v>
      </c>
      <c r="AO1402" s="9" t="e">
        <f>IF(AI1402=0,"none",(AI1402*100))</f>
        <v>#REF!</v>
      </c>
      <c r="AP1402" s="48" t="e">
        <f>IF(AO1402="none"," of weekly support cost.","% of weekly support cost.")</f>
        <v>#REF!</v>
      </c>
      <c r="BB1402" s="48"/>
    </row>
    <row r="1403" spans="1:56" ht="14" hidden="1" customHeight="1" thickTop="1" thickBot="1" x14ac:dyDescent="0.35">
      <c r="A1403" s="313"/>
      <c r="B1403" s="314" t="s">
        <v>797</v>
      </c>
      <c r="C1403" s="339"/>
      <c r="D1403" s="314" t="e">
        <f>IF(NOT(AV1403&gt;0),"",AC1403)</f>
        <v>#REF!</v>
      </c>
      <c r="E1403" s="315"/>
      <c r="F1403" s="1"/>
      <c r="AC1403" s="246" t="e">
        <f>CONCATENATE(AO1403,AT1403)</f>
        <v>#REF!</v>
      </c>
      <c r="AO1403" s="48" t="s">
        <v>798</v>
      </c>
      <c r="AT1403" s="246" t="e">
        <f>DOLLAR(AV1403)</f>
        <v>#REF!</v>
      </c>
      <c r="AV1403" s="315" t="e">
        <f>IF(AND(D1402=BM$1361,C1403=#REF!),#REF!,IF(AND(D1402=BM$1361,C1403=#REF!),#REF!,IF(AND(D1402=BM$1361,C1403=#REF!),#REF!,IF(AND(D1402=BM$1361,C1403=#REF!),#REF!,IF(AND(D1402=BM$1361,C1403=#REF!),#REF!,IF(AND(D1402=BM$1361,C1403=#REF!),#REF!,0))))))</f>
        <v>#REF!</v>
      </c>
      <c r="AX1403" s="9" t="e">
        <f>DOLLAR(AZ1403)</f>
        <v>#REF!</v>
      </c>
      <c r="AZ1403" s="340" t="e">
        <f>$AJ$1353-AV1403</f>
        <v>#REF!</v>
      </c>
      <c r="BB1403" s="48"/>
      <c r="BD1403" s="302" t="e">
        <f>AV1403</f>
        <v>#REF!</v>
      </c>
    </row>
    <row r="1404" spans="1:56" ht="14" hidden="1" customHeight="1" thickTop="1" x14ac:dyDescent="0.3">
      <c r="A1404" s="313"/>
      <c r="B1404" s="314"/>
      <c r="C1404" s="314" t="e">
        <f>CONCATENATE(AK1402,AO1402,AP1402)</f>
        <v>#REF!</v>
      </c>
      <c r="D1404" s="314" t="e">
        <f>BF$1356</f>
        <v>#REF!</v>
      </c>
      <c r="E1404" s="315"/>
      <c r="F1404" s="1"/>
      <c r="AC1404" s="48" t="s">
        <v>800</v>
      </c>
      <c r="AI1404" s="142">
        <f>MIN(D1402,AE1398)</f>
        <v>0</v>
      </c>
      <c r="AJ1404" s="48">
        <f>ROUND(AI1404,2)</f>
        <v>0</v>
      </c>
      <c r="AK1404" s="48" t="str">
        <f>CONCATENATE(AC1404,AJ1404)</f>
        <v>contribution per exchange: $0</v>
      </c>
    </row>
    <row r="1405" spans="1:56" ht="14" hidden="1" customHeight="1" x14ac:dyDescent="0.3">
      <c r="A1405" s="313"/>
      <c r="B1405" s="314"/>
      <c r="C1405" s="314"/>
      <c r="D1405" s="314"/>
      <c r="E1405" s="315"/>
      <c r="F1405" s="1"/>
    </row>
    <row r="1406" spans="1:56" ht="5" hidden="1" customHeight="1" thickBot="1" x14ac:dyDescent="0.35">
      <c r="A1406" s="315"/>
      <c r="B1406" s="317"/>
      <c r="C1406" s="318"/>
      <c r="D1406" s="315"/>
      <c r="E1406" s="315"/>
      <c r="F1406" s="1"/>
      <c r="AC1406" s="312"/>
      <c r="AJ1406" s="402"/>
      <c r="BB1406" s="48"/>
    </row>
    <row r="1407" spans="1:56" ht="16" hidden="1" thickTop="1" thickBot="1" x14ac:dyDescent="0.35">
      <c r="A1407" s="324">
        <f>IF(C1407="",0,1+A1397)</f>
        <v>6</v>
      </c>
      <c r="B1407" s="325" t="s">
        <v>808</v>
      </c>
      <c r="C1407" s="326" t="str">
        <f>AM1407</f>
        <v>FIRST NAME</v>
      </c>
      <c r="D1407" s="327" t="str">
        <f>AQ1407</f>
        <v>LAST NAME</v>
      </c>
      <c r="E1407" s="315"/>
      <c r="F1407" s="1"/>
      <c r="AC1407" s="311" t="str">
        <f>IF(NOT(C1407=AM1407),C1407,"")</f>
        <v/>
      </c>
      <c r="AH1407" s="311" t="str">
        <f>IF(NOT(D1407=AQ1407),D1407,"")</f>
        <v/>
      </c>
      <c r="AM1407" s="328" t="s">
        <v>773</v>
      </c>
      <c r="AQ1407" s="328" t="s">
        <v>100</v>
      </c>
      <c r="BB1407" s="48"/>
    </row>
    <row r="1408" spans="1:56" ht="15" hidden="1" thickTop="1" thickBot="1" x14ac:dyDescent="0.35">
      <c r="A1408" s="313"/>
      <c r="B1408" s="315" t="s">
        <v>776</v>
      </c>
      <c r="C1408" s="330"/>
      <c r="D1408" s="4"/>
      <c r="E1408" s="315"/>
      <c r="F1408" s="1"/>
      <c r="AC1408" s="48">
        <f>IF(C1408="",0,1)</f>
        <v>0</v>
      </c>
      <c r="AE1408" s="48">
        <f>IF($AC$1358=1,AC$1353,0)</f>
        <v>0</v>
      </c>
      <c r="BB1408" s="48"/>
    </row>
    <row r="1409" spans="1:56" ht="14" hidden="1" customHeight="1" thickTop="1" thickBot="1" x14ac:dyDescent="0.35">
      <c r="A1409" s="313"/>
      <c r="B1409" s="331" t="s">
        <v>779</v>
      </c>
      <c r="C1409" s="330"/>
      <c r="D1409" s="332" t="str">
        <f>AS1409</f>
        <v>AWARENESS OF ISSUE</v>
      </c>
      <c r="E1409" s="315"/>
      <c r="F1409" s="1"/>
      <c r="AM1409" s="333"/>
      <c r="AN1409" s="333"/>
      <c r="AO1409" s="333"/>
      <c r="AP1409" s="333"/>
      <c r="AS1409" s="48" t="str">
        <f>AS1399</f>
        <v>AWARENESS OF ISSUE</v>
      </c>
      <c r="BB1409" s="48"/>
    </row>
    <row r="1410" spans="1:56" ht="14" hidden="1" customHeight="1" thickTop="1" thickBot="1" x14ac:dyDescent="0.35">
      <c r="A1410" s="313"/>
      <c r="B1410" s="325" t="s">
        <v>783</v>
      </c>
      <c r="C1410" s="334" t="s">
        <v>784</v>
      </c>
      <c r="D1410" s="334" t="s">
        <v>785</v>
      </c>
      <c r="E1410" s="315"/>
      <c r="F1410" s="1"/>
      <c r="BB1410" s="48"/>
    </row>
    <row r="1411" spans="1:56" ht="14" hidden="1" customHeight="1" thickTop="1" thickBot="1" x14ac:dyDescent="0.35">
      <c r="A1411" s="313"/>
      <c r="B1411" s="314" t="s">
        <v>788</v>
      </c>
      <c r="C1411" s="335" t="str">
        <f>AM1411</f>
        <v>YYYY-MM-DD</v>
      </c>
      <c r="D1411" s="335" t="str">
        <f>AM1411</f>
        <v>YYYY-MM-DD</v>
      </c>
      <c r="E1411" s="315"/>
      <c r="F1411" s="1"/>
      <c r="AH1411" s="918" t="str">
        <f>IF(NOT(D1411=AQ1411),D1411,"")</f>
        <v>YYYY-MM-DD</v>
      </c>
      <c r="AI1411" s="918"/>
      <c r="AM1411" s="328" t="s">
        <v>789</v>
      </c>
      <c r="AQ1411" s="328"/>
      <c r="BB1411" s="48"/>
    </row>
    <row r="1412" spans="1:56" ht="14" hidden="1" customHeight="1" thickTop="1" thickBot="1" x14ac:dyDescent="0.35">
      <c r="A1412" s="313"/>
      <c r="B1412" s="314" t="s">
        <v>794</v>
      </c>
      <c r="C1412" s="337"/>
      <c r="D1412" s="338" t="str">
        <f>AC1412</f>
        <v/>
      </c>
      <c r="E1412" s="315"/>
      <c r="F1412" s="1"/>
      <c r="AC1412" s="50" t="str">
        <f>IF(AND(AC$1352&gt;0,C1412=BN$1357),BM$1357,IF(AND(AC$1352&gt;0,C1412=BN$1358),BM$1358,IF(AND(AC$1352&gt;0,C1412=BN$1359),BM$1359,IF(AND(AC$1352&gt;0,C1412=BN$1360),BM$1360,IF(AND(AC$1352&gt;0,C1412=BN$1361),BM$1361,"")))))</f>
        <v/>
      </c>
      <c r="AI1412" s="1084" t="e">
        <f>AV1413/AL$1353</f>
        <v>#REF!</v>
      </c>
      <c r="AJ1412" s="1084"/>
      <c r="AK1412" s="48" t="s">
        <v>795</v>
      </c>
      <c r="AO1412" s="9" t="e">
        <f>IF(AI1412=0,"none",(AI1412*100))</f>
        <v>#REF!</v>
      </c>
      <c r="AP1412" s="48" t="e">
        <f>IF(AO1412="none"," of weekly support cost.","% of weekly support cost.")</f>
        <v>#REF!</v>
      </c>
      <c r="BB1412" s="48"/>
    </row>
    <row r="1413" spans="1:56" ht="14" hidden="1" customHeight="1" thickTop="1" thickBot="1" x14ac:dyDescent="0.35">
      <c r="A1413" s="313"/>
      <c r="B1413" s="314" t="s">
        <v>797</v>
      </c>
      <c r="C1413" s="339"/>
      <c r="D1413" s="314" t="e">
        <f>IF(NOT(AV1413&gt;0),"",AC1413)</f>
        <v>#REF!</v>
      </c>
      <c r="E1413" s="315"/>
      <c r="F1413" s="1"/>
      <c r="AC1413" s="246" t="e">
        <f>CONCATENATE(AO1413,AT1413)</f>
        <v>#REF!</v>
      </c>
      <c r="AO1413" s="48" t="s">
        <v>798</v>
      </c>
      <c r="AT1413" s="246" t="e">
        <f>DOLLAR(AV1413)</f>
        <v>#REF!</v>
      </c>
      <c r="AV1413" s="315" t="e">
        <f>IF(AND(D1412=BM$1361,C1413=#REF!),#REF!,IF(AND(D1412=BM$1361,C1413=#REF!),#REF!,IF(AND(D1412=BM$1361,C1413=#REF!),#REF!,IF(AND(D1412=BM$1361,C1413=#REF!),#REF!,IF(AND(D1412=BM$1361,C1413=#REF!),#REF!,IF(AND(D1412=BM$1361,C1413=#REF!),#REF!,0))))))</f>
        <v>#REF!</v>
      </c>
      <c r="AX1413" s="9" t="e">
        <f>DOLLAR(AZ1413)</f>
        <v>#REF!</v>
      </c>
      <c r="AZ1413" s="340" t="e">
        <f>$AJ$1353-AV1413</f>
        <v>#REF!</v>
      </c>
      <c r="BB1413" s="336" t="e">
        <f>AV1413/AC$1353</f>
        <v>#REF!</v>
      </c>
      <c r="BD1413" s="302" t="e">
        <f>AV1413</f>
        <v>#REF!</v>
      </c>
    </row>
    <row r="1414" spans="1:56" ht="14" hidden="1" customHeight="1" thickTop="1" x14ac:dyDescent="0.3">
      <c r="A1414" s="313"/>
      <c r="B1414" s="314"/>
      <c r="C1414" s="314" t="e">
        <f>CONCATENATE(AK1412,AO1412,AP1412)</f>
        <v>#REF!</v>
      </c>
      <c r="D1414" s="314" t="e">
        <f>BF$1356</f>
        <v>#REF!</v>
      </c>
      <c r="E1414" s="315"/>
      <c r="F1414" s="1"/>
      <c r="AC1414" s="48" t="s">
        <v>800</v>
      </c>
      <c r="AI1414" s="142">
        <f>MIN(D1412,AE1408)</f>
        <v>0</v>
      </c>
      <c r="AJ1414" s="48">
        <f>ROUND(AI1414,2)</f>
        <v>0</v>
      </c>
      <c r="AK1414" s="48" t="str">
        <f>CONCATENATE(AC1414,AJ1414)</f>
        <v>contribution per exchange: $0</v>
      </c>
    </row>
    <row r="1415" spans="1:56" ht="14" hidden="1" customHeight="1" x14ac:dyDescent="0.3">
      <c r="A1415" s="313"/>
      <c r="B1415" s="314"/>
      <c r="C1415" s="314"/>
      <c r="D1415" s="314"/>
      <c r="E1415" s="315"/>
      <c r="F1415" s="1"/>
    </row>
    <row r="1416" spans="1:56" ht="5" hidden="1" customHeight="1" thickBot="1" x14ac:dyDescent="0.35">
      <c r="A1416" s="315"/>
      <c r="B1416" s="317"/>
      <c r="C1416" s="318"/>
      <c r="D1416" s="315"/>
      <c r="E1416" s="315"/>
      <c r="F1416" s="1"/>
      <c r="AC1416" s="312"/>
      <c r="AJ1416" s="402"/>
      <c r="BB1416" s="48"/>
    </row>
    <row r="1417" spans="1:56" ht="16" hidden="1" thickTop="1" thickBot="1" x14ac:dyDescent="0.35">
      <c r="A1417" s="324">
        <f>IF(C1417="",0,1+A1407)</f>
        <v>7</v>
      </c>
      <c r="B1417" s="325" t="s">
        <v>809</v>
      </c>
      <c r="C1417" s="326" t="str">
        <f>AM1417</f>
        <v>FIRST NAME</v>
      </c>
      <c r="D1417" s="327" t="str">
        <f>AQ1417</f>
        <v>LAST NAME</v>
      </c>
      <c r="E1417" s="315"/>
      <c r="F1417" s="1"/>
      <c r="AC1417" s="311" t="str">
        <f>IF(NOT(C1417=AM1417),C1417,"")</f>
        <v/>
      </c>
      <c r="AH1417" s="311" t="str">
        <f>IF(NOT(D1417=AQ1417),D1417,"")</f>
        <v/>
      </c>
      <c r="AM1417" s="328" t="s">
        <v>773</v>
      </c>
      <c r="AQ1417" s="328" t="s">
        <v>100</v>
      </c>
      <c r="BB1417" s="48"/>
    </row>
    <row r="1418" spans="1:56" ht="15" hidden="1" thickTop="1" thickBot="1" x14ac:dyDescent="0.35">
      <c r="A1418" s="313"/>
      <c r="B1418" s="315" t="s">
        <v>776</v>
      </c>
      <c r="C1418" s="330"/>
      <c r="D1418" s="4"/>
      <c r="E1418" s="315"/>
      <c r="F1418" s="1"/>
      <c r="AC1418" s="48">
        <f>IF(C1418="",0,1)</f>
        <v>0</v>
      </c>
      <c r="AE1418" s="48">
        <f>IF($AC$1358=1,AC$1353,0)</f>
        <v>0</v>
      </c>
      <c r="BB1418" s="48"/>
    </row>
    <row r="1419" spans="1:56" ht="14" hidden="1" customHeight="1" thickTop="1" thickBot="1" x14ac:dyDescent="0.35">
      <c r="A1419" s="313"/>
      <c r="B1419" s="331" t="s">
        <v>779</v>
      </c>
      <c r="C1419" s="330"/>
      <c r="D1419" s="332" t="str">
        <f>AS1419</f>
        <v>AWARENESS OF ISSUE</v>
      </c>
      <c r="E1419" s="315"/>
      <c r="F1419" s="1"/>
      <c r="AM1419" s="333"/>
      <c r="AN1419" s="333"/>
      <c r="AO1419" s="333"/>
      <c r="AP1419" s="333"/>
      <c r="AS1419" s="48" t="str">
        <f>AS1409</f>
        <v>AWARENESS OF ISSUE</v>
      </c>
      <c r="BB1419" s="48"/>
    </row>
    <row r="1420" spans="1:56" ht="14" hidden="1" customHeight="1" thickTop="1" thickBot="1" x14ac:dyDescent="0.35">
      <c r="A1420" s="313"/>
      <c r="B1420" s="325" t="s">
        <v>783</v>
      </c>
      <c r="C1420" s="334" t="s">
        <v>784</v>
      </c>
      <c r="D1420" s="334" t="s">
        <v>785</v>
      </c>
      <c r="E1420" s="315"/>
      <c r="F1420" s="1"/>
      <c r="BB1420" s="48"/>
    </row>
    <row r="1421" spans="1:56" ht="14" hidden="1" customHeight="1" thickTop="1" thickBot="1" x14ac:dyDescent="0.35">
      <c r="A1421" s="313"/>
      <c r="B1421" s="314" t="s">
        <v>788</v>
      </c>
      <c r="C1421" s="335" t="str">
        <f>AM1421</f>
        <v>YYYY-MM-DD</v>
      </c>
      <c r="D1421" s="335" t="str">
        <f>AM1421</f>
        <v>YYYY-MM-DD</v>
      </c>
      <c r="E1421" s="315"/>
      <c r="F1421" s="1"/>
      <c r="AH1421" s="918" t="str">
        <f>IF(NOT(D1421=AQ1421),D1421,"")</f>
        <v>YYYY-MM-DD</v>
      </c>
      <c r="AI1421" s="918"/>
      <c r="AM1421" s="328" t="s">
        <v>789</v>
      </c>
      <c r="AQ1421" s="328"/>
      <c r="BB1421" s="48"/>
    </row>
    <row r="1422" spans="1:56" ht="14" hidden="1" customHeight="1" thickTop="1" thickBot="1" x14ac:dyDescent="0.35">
      <c r="A1422" s="313"/>
      <c r="B1422" s="314" t="s">
        <v>794</v>
      </c>
      <c r="C1422" s="337"/>
      <c r="D1422" s="338" t="str">
        <f>AC1422</f>
        <v/>
      </c>
      <c r="E1422" s="315"/>
      <c r="F1422" s="1"/>
      <c r="AC1422" s="50" t="str">
        <f>IF(AND(AC$1352&gt;0,C1422=BN$1357),BM$1357,IF(AND(AC$1352&gt;0,C1422=BN$1358),BM$1358,IF(AND(AC$1352&gt;0,C1422=BN$1359),BM$1359,IF(AND(AC$1352&gt;0,C1422=BN$1360),BM$1360,IF(AND(AC$1352&gt;0,C1422=BN$1361),BM$1361,"")))))</f>
        <v/>
      </c>
      <c r="AI1422" s="1084" t="e">
        <f>AV1423/AL$1353</f>
        <v>#REF!</v>
      </c>
      <c r="AJ1422" s="1084"/>
      <c r="AK1422" s="48" t="s">
        <v>795</v>
      </c>
      <c r="AO1422" s="9" t="e">
        <f>IF(AI1422=0,"none",(AI1422*100))</f>
        <v>#REF!</v>
      </c>
      <c r="AP1422" s="48" t="e">
        <f>IF(AO1422="none"," of weekly support cost.","% of weekly support cost.")</f>
        <v>#REF!</v>
      </c>
      <c r="BB1422" s="48"/>
    </row>
    <row r="1423" spans="1:56" ht="14" hidden="1" customHeight="1" thickTop="1" thickBot="1" x14ac:dyDescent="0.35">
      <c r="A1423" s="313"/>
      <c r="B1423" s="314" t="s">
        <v>797</v>
      </c>
      <c r="C1423" s="339"/>
      <c r="D1423" s="314" t="e">
        <f>IF(NOT(AV1423&gt;0),"",AC1423)</f>
        <v>#REF!</v>
      </c>
      <c r="E1423" s="315"/>
      <c r="F1423" s="1"/>
      <c r="AC1423" s="246" t="e">
        <f>CONCATENATE(AO1423,AT1423)</f>
        <v>#REF!</v>
      </c>
      <c r="AO1423" s="48" t="s">
        <v>798</v>
      </c>
      <c r="AT1423" s="246" t="e">
        <f>DOLLAR(AV1423)</f>
        <v>#REF!</v>
      </c>
      <c r="AV1423" s="315" t="e">
        <f>IF(AND(D1422=BM$1361,C1423=#REF!),#REF!,IF(AND(D1422=BM$1361,C1423=#REF!),#REF!,IF(AND(D1422=BM$1361,C1423=#REF!),#REF!,IF(AND(D1422=BM$1361,C1423=#REF!),#REF!,IF(AND(D1422=BM$1361,C1423=#REF!),#REF!,IF(AND(D1422=BM$1361,C1423=#REF!),#REF!,0))))))</f>
        <v>#REF!</v>
      </c>
      <c r="AX1423" s="9" t="e">
        <f>DOLLAR(AZ1423)</f>
        <v>#REF!</v>
      </c>
      <c r="AZ1423" s="340" t="e">
        <f>$AJ$1353-AV1423</f>
        <v>#REF!</v>
      </c>
      <c r="BB1423" s="48"/>
      <c r="BD1423" s="302" t="e">
        <f>AV1423</f>
        <v>#REF!</v>
      </c>
    </row>
    <row r="1424" spans="1:56" ht="14" hidden="1" customHeight="1" thickTop="1" x14ac:dyDescent="0.3">
      <c r="A1424" s="313"/>
      <c r="B1424" s="314"/>
      <c r="C1424" s="314" t="e">
        <f>CONCATENATE(AK1422,AO1422,AP1422)</f>
        <v>#REF!</v>
      </c>
      <c r="D1424" s="314" t="e">
        <f>BF$1356</f>
        <v>#REF!</v>
      </c>
      <c r="E1424" s="315"/>
      <c r="F1424" s="1"/>
      <c r="AC1424" s="48" t="s">
        <v>800</v>
      </c>
      <c r="AI1424" s="142">
        <f>MIN(D1422,AE1418)</f>
        <v>0</v>
      </c>
      <c r="AJ1424" s="48">
        <f>ROUND(AI1424,2)</f>
        <v>0</v>
      </c>
      <c r="AK1424" s="48" t="str">
        <f>CONCATENATE(AC1424,AJ1424)</f>
        <v>contribution per exchange: $0</v>
      </c>
    </row>
    <row r="1425" spans="1:56" ht="14" hidden="1" customHeight="1" x14ac:dyDescent="0.3">
      <c r="A1425" s="313"/>
      <c r="B1425" s="314"/>
      <c r="C1425" s="314"/>
      <c r="D1425" s="314"/>
      <c r="E1425" s="315"/>
      <c r="F1425" s="1"/>
    </row>
    <row r="1426" spans="1:56" ht="5" hidden="1" customHeight="1" thickBot="1" x14ac:dyDescent="0.35">
      <c r="A1426" s="315"/>
      <c r="B1426" s="317"/>
      <c r="C1426" s="318"/>
      <c r="D1426" s="315"/>
      <c r="E1426" s="315"/>
      <c r="F1426" s="1"/>
      <c r="AC1426" s="312"/>
      <c r="AJ1426" s="402"/>
      <c r="BB1426" s="48"/>
    </row>
    <row r="1427" spans="1:56" ht="16" hidden="1" thickTop="1" thickBot="1" x14ac:dyDescent="0.35">
      <c r="A1427" s="324">
        <f>IF(C1427="",0,1+A1417)</f>
        <v>8</v>
      </c>
      <c r="B1427" s="325" t="s">
        <v>810</v>
      </c>
      <c r="C1427" s="326" t="str">
        <f>AM1427</f>
        <v>FIRST NAME</v>
      </c>
      <c r="D1427" s="327" t="str">
        <f>AQ1427</f>
        <v>LAST NAME</v>
      </c>
      <c r="E1427" s="315"/>
      <c r="F1427" s="1"/>
      <c r="AC1427" s="311" t="str">
        <f>IF(NOT(C1427=AM1427),C1427,"")</f>
        <v/>
      </c>
      <c r="AH1427" s="311" t="str">
        <f>IF(NOT(D1427=AQ1427),D1427,"")</f>
        <v/>
      </c>
      <c r="AM1427" s="328" t="s">
        <v>773</v>
      </c>
      <c r="AQ1427" s="328" t="s">
        <v>100</v>
      </c>
      <c r="BB1427" s="48"/>
    </row>
    <row r="1428" spans="1:56" ht="15" hidden="1" thickTop="1" thickBot="1" x14ac:dyDescent="0.35">
      <c r="A1428" s="313"/>
      <c r="B1428" s="315" t="s">
        <v>776</v>
      </c>
      <c r="C1428" s="330"/>
      <c r="D1428" s="4"/>
      <c r="E1428" s="315"/>
      <c r="F1428" s="1"/>
      <c r="AC1428" s="48">
        <f>IF(C1428="",0,1)</f>
        <v>0</v>
      </c>
      <c r="AE1428" s="48">
        <f>IF($AC$1358=1,AC$1353,0)</f>
        <v>0</v>
      </c>
      <c r="BB1428" s="48"/>
    </row>
    <row r="1429" spans="1:56" ht="14" hidden="1" customHeight="1" thickTop="1" thickBot="1" x14ac:dyDescent="0.35">
      <c r="A1429" s="313"/>
      <c r="B1429" s="331" t="s">
        <v>779</v>
      </c>
      <c r="C1429" s="330"/>
      <c r="D1429" s="332" t="str">
        <f>AS1429</f>
        <v>AWARENESS OF ISSUE</v>
      </c>
      <c r="E1429" s="315"/>
      <c r="F1429" s="1"/>
      <c r="AM1429" s="333"/>
      <c r="AN1429" s="333"/>
      <c r="AO1429" s="333"/>
      <c r="AP1429" s="333"/>
      <c r="AS1429" s="48" t="str">
        <f>AS1419</f>
        <v>AWARENESS OF ISSUE</v>
      </c>
      <c r="BB1429" s="48"/>
    </row>
    <row r="1430" spans="1:56" ht="14" hidden="1" customHeight="1" thickTop="1" thickBot="1" x14ac:dyDescent="0.35">
      <c r="A1430" s="313"/>
      <c r="B1430" s="325" t="s">
        <v>783</v>
      </c>
      <c r="C1430" s="334" t="s">
        <v>784</v>
      </c>
      <c r="D1430" s="334" t="s">
        <v>785</v>
      </c>
      <c r="E1430" s="315"/>
      <c r="F1430" s="1"/>
      <c r="BB1430" s="48"/>
    </row>
    <row r="1431" spans="1:56" ht="14" hidden="1" customHeight="1" thickTop="1" thickBot="1" x14ac:dyDescent="0.35">
      <c r="A1431" s="313"/>
      <c r="B1431" s="314" t="s">
        <v>788</v>
      </c>
      <c r="C1431" s="335" t="str">
        <f>AM1431</f>
        <v>YYYY-MM-DD</v>
      </c>
      <c r="D1431" s="335" t="str">
        <f>AM1431</f>
        <v>YYYY-MM-DD</v>
      </c>
      <c r="E1431" s="315"/>
      <c r="F1431" s="1"/>
      <c r="AH1431" s="918" t="str">
        <f>IF(NOT(D1431=AQ1431),D1431,"")</f>
        <v>YYYY-MM-DD</v>
      </c>
      <c r="AI1431" s="918"/>
      <c r="AM1431" s="328" t="s">
        <v>789</v>
      </c>
      <c r="AQ1431" s="328"/>
      <c r="BB1431" s="48"/>
    </row>
    <row r="1432" spans="1:56" ht="14" hidden="1" customHeight="1" thickTop="1" thickBot="1" x14ac:dyDescent="0.35">
      <c r="A1432" s="313"/>
      <c r="B1432" s="314" t="s">
        <v>794</v>
      </c>
      <c r="C1432" s="337"/>
      <c r="D1432" s="338" t="str">
        <f>AC1432</f>
        <v/>
      </c>
      <c r="E1432" s="315"/>
      <c r="F1432" s="1"/>
      <c r="AC1432" s="50" t="str">
        <f>IF(AND(AC$1352&gt;0,C1432=BN$1357),BM$1357,IF(AND(AC$1352&gt;0,C1432=BN$1358),BM$1358,IF(AND(AC$1352&gt;0,C1432=BN$1359),BM$1359,IF(AND(AC$1352&gt;0,C1432=BN$1360),BM$1360,IF(AND(AC$1352&gt;0,C1432=BN$1361),BM$1361,"")))))</f>
        <v/>
      </c>
      <c r="AI1432" s="1084" t="e">
        <f>AV1433/AL$1353</f>
        <v>#REF!</v>
      </c>
      <c r="AJ1432" s="1084"/>
      <c r="AK1432" s="48" t="s">
        <v>795</v>
      </c>
      <c r="AO1432" s="9" t="e">
        <f>IF(AI1432=0,"none",(AI1432*100))</f>
        <v>#REF!</v>
      </c>
      <c r="AP1432" s="48" t="e">
        <f>IF(AO1432="none"," of weekly support cost.","% of weekly support cost.")</f>
        <v>#REF!</v>
      </c>
      <c r="BB1432" s="48"/>
    </row>
    <row r="1433" spans="1:56" ht="14" hidden="1" customHeight="1" thickTop="1" thickBot="1" x14ac:dyDescent="0.35">
      <c r="A1433" s="313"/>
      <c r="B1433" s="314" t="s">
        <v>797</v>
      </c>
      <c r="C1433" s="339"/>
      <c r="D1433" s="314" t="e">
        <f>IF(NOT(AV1433&gt;0),"",AC1433)</f>
        <v>#REF!</v>
      </c>
      <c r="E1433" s="315"/>
      <c r="F1433" s="1"/>
      <c r="AC1433" s="246" t="e">
        <f>CONCATENATE(AO1433,AT1433)</f>
        <v>#REF!</v>
      </c>
      <c r="AO1433" s="48" t="s">
        <v>798</v>
      </c>
      <c r="AT1433" s="246" t="e">
        <f>DOLLAR(AV1433)</f>
        <v>#REF!</v>
      </c>
      <c r="AV1433" s="315" t="e">
        <f>IF(AND(D1432=BM$1361,C1433=#REF!),#REF!,IF(AND(D1432=BM$1361,C1433=#REF!),#REF!,IF(AND(D1432=BM$1361,C1433=#REF!),#REF!,IF(AND(D1432=BM$1361,C1433=#REF!),#REF!,IF(AND(D1432=BM$1361,C1433=#REF!),#REF!,IF(AND(D1432=BM$1361,C1433=#REF!),#REF!,0))))))</f>
        <v>#REF!</v>
      </c>
      <c r="AX1433" s="9" t="e">
        <f>DOLLAR(AZ1433)</f>
        <v>#REF!</v>
      </c>
      <c r="AZ1433" s="340" t="e">
        <f>$AJ$1353-AV1433</f>
        <v>#REF!</v>
      </c>
      <c r="BB1433" s="48"/>
      <c r="BD1433" s="302" t="e">
        <f>AV1433</f>
        <v>#REF!</v>
      </c>
    </row>
    <row r="1434" spans="1:56" ht="14" hidden="1" customHeight="1" thickTop="1" x14ac:dyDescent="0.3">
      <c r="A1434" s="313"/>
      <c r="B1434" s="314"/>
      <c r="C1434" s="314" t="e">
        <f>CONCATENATE(AK1432,AO1432,AP1432)</f>
        <v>#REF!</v>
      </c>
      <c r="D1434" s="314" t="e">
        <f>BF$1356</f>
        <v>#REF!</v>
      </c>
      <c r="E1434" s="315"/>
      <c r="F1434" s="1"/>
      <c r="AC1434" s="48" t="s">
        <v>800</v>
      </c>
      <c r="AI1434" s="142">
        <f>MIN(D1432,AE1428)</f>
        <v>0</v>
      </c>
      <c r="AJ1434" s="48">
        <f>ROUND(AI1434,2)</f>
        <v>0</v>
      </c>
      <c r="AK1434" s="48" t="str">
        <f>CONCATENATE(AC1434,AJ1434)</f>
        <v>contribution per exchange: $0</v>
      </c>
    </row>
    <row r="1435" spans="1:56" ht="14" hidden="1" customHeight="1" x14ac:dyDescent="0.3">
      <c r="A1435" s="313"/>
      <c r="B1435" s="314"/>
      <c r="C1435" s="314"/>
      <c r="D1435" s="314"/>
      <c r="E1435" s="315"/>
      <c r="F1435" s="1"/>
    </row>
    <row r="1436" spans="1:56" ht="5" hidden="1" customHeight="1" thickBot="1" x14ac:dyDescent="0.35">
      <c r="A1436" s="315"/>
      <c r="B1436" s="317"/>
      <c r="C1436" s="318"/>
      <c r="D1436" s="315"/>
      <c r="E1436" s="315"/>
      <c r="F1436" s="1"/>
      <c r="AC1436" s="312"/>
      <c r="AJ1436" s="402"/>
      <c r="BB1436" s="48"/>
    </row>
    <row r="1437" spans="1:56" ht="16" hidden="1" thickTop="1" thickBot="1" x14ac:dyDescent="0.35">
      <c r="A1437" s="324">
        <f>IF(C1437="",0,1+A1427)</f>
        <v>9</v>
      </c>
      <c r="B1437" s="325" t="s">
        <v>811</v>
      </c>
      <c r="C1437" s="326" t="str">
        <f>AM1437</f>
        <v>FIRST NAME</v>
      </c>
      <c r="D1437" s="327" t="str">
        <f>AQ1437</f>
        <v>LAST NAME</v>
      </c>
      <c r="E1437" s="315"/>
      <c r="F1437" s="1"/>
      <c r="AC1437" s="311" t="str">
        <f>IF(NOT(C1437=AM1437),C1437,"")</f>
        <v/>
      </c>
      <c r="AH1437" s="311" t="str">
        <f>IF(NOT(D1437=AQ1437),D1437,"")</f>
        <v/>
      </c>
      <c r="AM1437" s="328" t="s">
        <v>773</v>
      </c>
      <c r="AQ1437" s="328" t="s">
        <v>100</v>
      </c>
      <c r="BB1437" s="48"/>
    </row>
    <row r="1438" spans="1:56" ht="15" hidden="1" thickTop="1" thickBot="1" x14ac:dyDescent="0.35">
      <c r="A1438" s="313"/>
      <c r="B1438" s="315" t="s">
        <v>776</v>
      </c>
      <c r="C1438" s="330"/>
      <c r="D1438" s="4"/>
      <c r="E1438" s="315"/>
      <c r="F1438" s="1"/>
      <c r="AC1438" s="48">
        <f>IF(C1438="",0,1)</f>
        <v>0</v>
      </c>
      <c r="AE1438" s="48">
        <f>IF($AC$1358=1,AC$1353,0)</f>
        <v>0</v>
      </c>
      <c r="BB1438" s="48"/>
    </row>
    <row r="1439" spans="1:56" ht="14" hidden="1" customHeight="1" thickTop="1" thickBot="1" x14ac:dyDescent="0.35">
      <c r="A1439" s="313"/>
      <c r="B1439" s="331" t="s">
        <v>779</v>
      </c>
      <c r="C1439" s="330"/>
      <c r="D1439" s="332" t="str">
        <f>AS1439</f>
        <v>AWARENESS OF ISSUE</v>
      </c>
      <c r="E1439" s="315"/>
      <c r="F1439" s="1"/>
      <c r="AM1439" s="333"/>
      <c r="AN1439" s="333"/>
      <c r="AO1439" s="333"/>
      <c r="AP1439" s="333"/>
      <c r="AS1439" s="48" t="str">
        <f>AS1429</f>
        <v>AWARENESS OF ISSUE</v>
      </c>
      <c r="BB1439" s="48"/>
    </row>
    <row r="1440" spans="1:56" ht="14" hidden="1" customHeight="1" thickTop="1" thickBot="1" x14ac:dyDescent="0.35">
      <c r="A1440" s="313"/>
      <c r="B1440" s="325" t="s">
        <v>783</v>
      </c>
      <c r="C1440" s="334" t="s">
        <v>784</v>
      </c>
      <c r="D1440" s="334" t="s">
        <v>785</v>
      </c>
      <c r="E1440" s="315"/>
      <c r="F1440" s="1"/>
      <c r="BB1440" s="48"/>
    </row>
    <row r="1441" spans="1:56" ht="14" hidden="1" customHeight="1" thickTop="1" thickBot="1" x14ac:dyDescent="0.35">
      <c r="A1441" s="313"/>
      <c r="B1441" s="314" t="s">
        <v>788</v>
      </c>
      <c r="C1441" s="335" t="str">
        <f>AM1441</f>
        <v>YYYY-MM-DD</v>
      </c>
      <c r="D1441" s="335" t="str">
        <f>AM1441</f>
        <v>YYYY-MM-DD</v>
      </c>
      <c r="E1441" s="315"/>
      <c r="F1441" s="1"/>
      <c r="AH1441" s="918" t="str">
        <f>IF(NOT(D1441=AQ1441),D1441,"")</f>
        <v>YYYY-MM-DD</v>
      </c>
      <c r="AI1441" s="918"/>
      <c r="AM1441" s="328" t="s">
        <v>789</v>
      </c>
      <c r="AQ1441" s="328"/>
      <c r="BB1441" s="48"/>
    </row>
    <row r="1442" spans="1:56" ht="14" hidden="1" customHeight="1" thickTop="1" thickBot="1" x14ac:dyDescent="0.35">
      <c r="A1442" s="313"/>
      <c r="B1442" s="314" t="s">
        <v>794</v>
      </c>
      <c r="C1442" s="337"/>
      <c r="D1442" s="338" t="str">
        <f>AC1442</f>
        <v/>
      </c>
      <c r="E1442" s="315"/>
      <c r="F1442" s="1"/>
      <c r="AC1442" s="50" t="str">
        <f>IF(AND(AC$1352&gt;0,C1442=BN$1357),BM$1357,IF(AND(AC$1352&gt;0,C1442=BN$1358),BM$1358,IF(AND(AC$1352&gt;0,C1442=BN$1359),BM$1359,IF(AND(AC$1352&gt;0,C1442=BN$1360),BM$1360,IF(AND(AC$1352&gt;0,C1442=BN$1361),BM$1361,"")))))</f>
        <v/>
      </c>
      <c r="AI1442" s="1084" t="e">
        <f>AV1443/AL$1353</f>
        <v>#REF!</v>
      </c>
      <c r="AJ1442" s="1084"/>
      <c r="AK1442" s="48" t="s">
        <v>795</v>
      </c>
      <c r="AO1442" s="9" t="e">
        <f>IF(AI1442=0,"none",(AI1442*100))</f>
        <v>#REF!</v>
      </c>
      <c r="AP1442" s="48" t="e">
        <f>IF(AO1442="none"," of weekly support cost.","% of weekly support cost.")</f>
        <v>#REF!</v>
      </c>
      <c r="BB1442" s="48"/>
    </row>
    <row r="1443" spans="1:56" ht="14" hidden="1" customHeight="1" thickTop="1" thickBot="1" x14ac:dyDescent="0.35">
      <c r="A1443" s="313"/>
      <c r="B1443" s="314" t="s">
        <v>797</v>
      </c>
      <c r="C1443" s="339"/>
      <c r="D1443" s="314" t="e">
        <f>IF(NOT(AV1443&gt;0),"",AC1443)</f>
        <v>#REF!</v>
      </c>
      <c r="E1443" s="315"/>
      <c r="F1443" s="1"/>
      <c r="AC1443" s="246" t="e">
        <f>CONCATENATE(AO1443,AT1443)</f>
        <v>#REF!</v>
      </c>
      <c r="AO1443" s="48" t="s">
        <v>798</v>
      </c>
      <c r="AT1443" s="246" t="e">
        <f>DOLLAR(AV1443)</f>
        <v>#REF!</v>
      </c>
      <c r="AV1443" s="315" t="e">
        <f>IF(AND(D1442=BM$1361,C1443=#REF!),#REF!,IF(AND(D1442=BM$1361,C1443=#REF!),#REF!,IF(AND(D1442=BM$1361,C1443=#REF!),#REF!,IF(AND(D1442=BM$1361,C1443=#REF!),#REF!,IF(AND(D1442=BM$1361,C1443=#REF!),#REF!,IF(AND(D1442=BM$1361,C1443=#REF!),#REF!,0))))))</f>
        <v>#REF!</v>
      </c>
      <c r="AX1443" s="9" t="e">
        <f>DOLLAR(AZ1443)</f>
        <v>#REF!</v>
      </c>
      <c r="AZ1443" s="340" t="e">
        <f>$AJ$1353-AV1443</f>
        <v>#REF!</v>
      </c>
      <c r="BB1443" s="48"/>
      <c r="BD1443" s="302" t="e">
        <f>AV1443</f>
        <v>#REF!</v>
      </c>
    </row>
    <row r="1444" spans="1:56" ht="14" hidden="1" customHeight="1" thickTop="1" x14ac:dyDescent="0.3">
      <c r="A1444" s="313"/>
      <c r="B1444" s="314"/>
      <c r="C1444" s="314" t="e">
        <f>CONCATENATE(AK1442,AO1442,AP1442)</f>
        <v>#REF!</v>
      </c>
      <c r="D1444" s="314" t="e">
        <f>BF$1356</f>
        <v>#REF!</v>
      </c>
      <c r="E1444" s="315"/>
      <c r="F1444" s="1"/>
      <c r="AC1444" s="48" t="s">
        <v>800</v>
      </c>
      <c r="AI1444" s="142">
        <f>MIN(D1442,AE1438)</f>
        <v>0</v>
      </c>
      <c r="AJ1444" s="48">
        <f>ROUND(AI1444,2)</f>
        <v>0</v>
      </c>
      <c r="AK1444" s="48" t="str">
        <f>CONCATENATE(AC1444,AJ1444)</f>
        <v>contribution per exchange: $0</v>
      </c>
    </row>
    <row r="1445" spans="1:56" ht="18" hidden="1" customHeight="1" x14ac:dyDescent="0.3">
      <c r="A1445" s="313"/>
      <c r="B1445" s="314"/>
      <c r="C1445" s="314"/>
      <c r="D1445" s="314"/>
      <c r="E1445" s="315"/>
      <c r="F1445" s="1"/>
    </row>
    <row r="1446" spans="1:56" ht="5" hidden="1" customHeight="1" thickBot="1" x14ac:dyDescent="0.35">
      <c r="A1446" s="315"/>
      <c r="B1446" s="317"/>
      <c r="C1446" s="318"/>
      <c r="D1446" s="315"/>
      <c r="E1446" s="315"/>
      <c r="F1446" s="1"/>
      <c r="AC1446" s="312"/>
      <c r="AJ1446" s="402"/>
      <c r="BB1446" s="48"/>
    </row>
    <row r="1447" spans="1:56" ht="16" hidden="1" thickTop="1" thickBot="1" x14ac:dyDescent="0.35">
      <c r="A1447" s="324">
        <f>IF(C1447="",0,1+A1437)</f>
        <v>10</v>
      </c>
      <c r="B1447" s="325" t="s">
        <v>812</v>
      </c>
      <c r="C1447" s="326" t="str">
        <f>AM1447</f>
        <v>FIRST NAME</v>
      </c>
      <c r="D1447" s="327" t="str">
        <f>AQ1447</f>
        <v>LAST NAME</v>
      </c>
      <c r="E1447" s="315"/>
      <c r="F1447" s="1"/>
      <c r="AC1447" s="311" t="str">
        <f>IF(NOT(C1447=AM1447),C1447,"")</f>
        <v/>
      </c>
      <c r="AH1447" s="311" t="str">
        <f>IF(NOT(D1447=AQ1447),D1447,"")</f>
        <v/>
      </c>
      <c r="AM1447" s="328" t="s">
        <v>773</v>
      </c>
      <c r="AQ1447" s="328" t="s">
        <v>100</v>
      </c>
      <c r="BB1447" s="48"/>
    </row>
    <row r="1448" spans="1:56" ht="15" hidden="1" thickTop="1" thickBot="1" x14ac:dyDescent="0.35">
      <c r="A1448" s="313"/>
      <c r="B1448" s="315" t="s">
        <v>776</v>
      </c>
      <c r="C1448" s="330"/>
      <c r="D1448" s="4"/>
      <c r="E1448" s="315"/>
      <c r="F1448" s="1"/>
      <c r="AC1448" s="48">
        <f>IF(C1448="",0,1)</f>
        <v>0</v>
      </c>
      <c r="AE1448" s="48">
        <f>IF($AC$1358=1,AC$1353,0)</f>
        <v>0</v>
      </c>
      <c r="BB1448" s="48"/>
    </row>
    <row r="1449" spans="1:56" ht="14" hidden="1" customHeight="1" thickTop="1" thickBot="1" x14ac:dyDescent="0.35">
      <c r="A1449" s="313"/>
      <c r="B1449" s="331" t="s">
        <v>779</v>
      </c>
      <c r="C1449" s="330"/>
      <c r="D1449" s="332" t="str">
        <f>AS1449</f>
        <v>AWARENESS OF ISSUE</v>
      </c>
      <c r="E1449" s="315"/>
      <c r="F1449" s="1"/>
      <c r="AM1449" s="333"/>
      <c r="AN1449" s="333"/>
      <c r="AO1449" s="333"/>
      <c r="AP1449" s="333"/>
      <c r="AS1449" s="48" t="str">
        <f>AS1439</f>
        <v>AWARENESS OF ISSUE</v>
      </c>
      <c r="BB1449" s="48"/>
    </row>
    <row r="1450" spans="1:56" ht="14" hidden="1" customHeight="1" thickTop="1" thickBot="1" x14ac:dyDescent="0.35">
      <c r="A1450" s="313"/>
      <c r="B1450" s="325" t="s">
        <v>783</v>
      </c>
      <c r="C1450" s="334" t="s">
        <v>784</v>
      </c>
      <c r="D1450" s="334" t="s">
        <v>785</v>
      </c>
      <c r="E1450" s="315"/>
      <c r="F1450" s="1"/>
      <c r="BB1450" s="48"/>
    </row>
    <row r="1451" spans="1:56" ht="14" hidden="1" customHeight="1" thickTop="1" thickBot="1" x14ac:dyDescent="0.35">
      <c r="A1451" s="313"/>
      <c r="B1451" s="314" t="s">
        <v>788</v>
      </c>
      <c r="C1451" s="335" t="str">
        <f>AM1451</f>
        <v>YYYY-MM-DD</v>
      </c>
      <c r="D1451" s="335" t="str">
        <f>AM1451</f>
        <v>YYYY-MM-DD</v>
      </c>
      <c r="E1451" s="315"/>
      <c r="F1451" s="1"/>
      <c r="AH1451" s="918" t="str">
        <f>IF(NOT(D1451=AQ1451),D1451,"")</f>
        <v>YYYY-MM-DD</v>
      </c>
      <c r="AI1451" s="918"/>
      <c r="AM1451" s="328" t="s">
        <v>789</v>
      </c>
      <c r="AQ1451" s="328"/>
      <c r="BB1451" s="48"/>
    </row>
    <row r="1452" spans="1:56" ht="14" hidden="1" customHeight="1" thickTop="1" thickBot="1" x14ac:dyDescent="0.35">
      <c r="A1452" s="313"/>
      <c r="B1452" s="314" t="s">
        <v>794</v>
      </c>
      <c r="C1452" s="337"/>
      <c r="D1452" s="338" t="str">
        <f>AC1452</f>
        <v/>
      </c>
      <c r="E1452" s="315"/>
      <c r="F1452" s="1"/>
      <c r="AC1452" s="50" t="str">
        <f>IF(AND(AC$1352&gt;0,C1452=BN$1357),BM$1357,IF(AND(AC$1352&gt;0,C1452=BN$1358),BM$1358,IF(AND(AC$1352&gt;0,C1452=BN$1359),BM$1359,IF(AND(AC$1352&gt;0,C1452=BN$1360),BM$1360,IF(AND(AC$1352&gt;0,C1452=BN$1361),BM$1361,"")))))</f>
        <v/>
      </c>
      <c r="AI1452" s="1084" t="e">
        <f>AV1453/AL$1353</f>
        <v>#REF!</v>
      </c>
      <c r="AJ1452" s="1084"/>
      <c r="AK1452" s="48" t="s">
        <v>795</v>
      </c>
      <c r="AO1452" s="9" t="e">
        <f>IF(AI1452=0,"none",(AI1452*100))</f>
        <v>#REF!</v>
      </c>
      <c r="AP1452" s="48" t="e">
        <f>IF(AO1452="none"," of weekly support cost.","% of weekly support cost.")</f>
        <v>#REF!</v>
      </c>
      <c r="BB1452" s="48"/>
    </row>
    <row r="1453" spans="1:56" ht="14" hidden="1" customHeight="1" thickTop="1" thickBot="1" x14ac:dyDescent="0.35">
      <c r="A1453" s="313"/>
      <c r="B1453" s="314" t="s">
        <v>797</v>
      </c>
      <c r="C1453" s="339"/>
      <c r="D1453" s="314" t="e">
        <f>IF(NOT(AV1453&gt;0),"",AC1453)</f>
        <v>#REF!</v>
      </c>
      <c r="E1453" s="315"/>
      <c r="F1453" s="1"/>
      <c r="AC1453" s="246" t="e">
        <f>CONCATENATE(AO1453,AT1453)</f>
        <v>#REF!</v>
      </c>
      <c r="AO1453" s="48" t="s">
        <v>798</v>
      </c>
      <c r="AT1453" s="246" t="e">
        <f>DOLLAR(AV1453)</f>
        <v>#REF!</v>
      </c>
      <c r="AV1453" s="315" t="e">
        <f>IF(AND(D1452=BM$1361,C1453=#REF!),#REF!,IF(AND(D1452=BM$1361,C1453=#REF!),#REF!,IF(AND(D1452=BM$1361,C1453=#REF!),#REF!,IF(AND(D1452=BM$1361,C1453=#REF!),#REF!,IF(AND(D1452=BM$1361,C1453=#REF!),#REF!,IF(AND(D1452=BM$1361,C1453=#REF!),#REF!,0))))))</f>
        <v>#REF!</v>
      </c>
      <c r="AX1453" s="9" t="e">
        <f>DOLLAR(AZ1453)</f>
        <v>#REF!</v>
      </c>
      <c r="AZ1453" s="340" t="e">
        <f>$AJ$1353-AV1453</f>
        <v>#REF!</v>
      </c>
      <c r="BB1453" s="336" t="e">
        <f>AV1453/AC$1353</f>
        <v>#REF!</v>
      </c>
      <c r="BD1453" s="302" t="e">
        <f>AV1453</f>
        <v>#REF!</v>
      </c>
    </row>
    <row r="1454" spans="1:56" ht="14" hidden="1" customHeight="1" thickTop="1" x14ac:dyDescent="0.3">
      <c r="A1454" s="313"/>
      <c r="B1454" s="314"/>
      <c r="C1454" s="314" t="e">
        <f>CONCATENATE(AK1452,AO1452,AP1452)</f>
        <v>#REF!</v>
      </c>
      <c r="D1454" s="314" t="e">
        <f>BF$1356</f>
        <v>#REF!</v>
      </c>
      <c r="E1454" s="315"/>
      <c r="F1454" s="1"/>
      <c r="AC1454" s="48" t="s">
        <v>800</v>
      </c>
      <c r="AI1454" s="142">
        <f>MIN(D1452,AE1448)</f>
        <v>0</v>
      </c>
      <c r="AJ1454" s="48">
        <f>ROUND(AI1454,2)</f>
        <v>0</v>
      </c>
      <c r="AK1454" s="48" t="str">
        <f>CONCATENATE(AC1454,AJ1454)</f>
        <v>contribution per exchange: $0</v>
      </c>
    </row>
    <row r="1455" spans="1:56" ht="14" hidden="1" customHeight="1" x14ac:dyDescent="0.3">
      <c r="A1455" s="313"/>
      <c r="B1455" s="314"/>
      <c r="C1455" s="314"/>
      <c r="D1455" s="314"/>
      <c r="E1455" s="315"/>
      <c r="F1455" s="1"/>
    </row>
    <row r="1456" spans="1:56" ht="5" hidden="1" customHeight="1" thickBot="1" x14ac:dyDescent="0.35">
      <c r="A1456" s="315"/>
      <c r="B1456" s="317"/>
      <c r="C1456" s="318"/>
      <c r="D1456" s="315"/>
      <c r="E1456" s="315"/>
      <c r="F1456" s="1"/>
      <c r="AC1456" s="312"/>
      <c r="AJ1456" s="402"/>
      <c r="BB1456" s="48"/>
    </row>
    <row r="1457" spans="1:56" ht="16" hidden="1" thickTop="1" thickBot="1" x14ac:dyDescent="0.35">
      <c r="A1457" s="324">
        <f>IF(C1457="",0,1+A1447)</f>
        <v>11</v>
      </c>
      <c r="B1457" s="325" t="s">
        <v>813</v>
      </c>
      <c r="C1457" s="326" t="str">
        <f>AM1457</f>
        <v>FIRST NAME</v>
      </c>
      <c r="D1457" s="327" t="str">
        <f>AQ1457</f>
        <v>LAST NAME</v>
      </c>
      <c r="E1457" s="315"/>
      <c r="F1457" s="1"/>
      <c r="AC1457" s="311" t="str">
        <f>IF(NOT(C1457=AM1457),C1457,"")</f>
        <v/>
      </c>
      <c r="AH1457" s="311" t="str">
        <f>IF(NOT(D1457=AQ1457),D1457,"")</f>
        <v/>
      </c>
      <c r="AM1457" s="328" t="s">
        <v>773</v>
      </c>
      <c r="AQ1457" s="328" t="s">
        <v>100</v>
      </c>
      <c r="BB1457" s="48"/>
    </row>
    <row r="1458" spans="1:56" ht="15" hidden="1" thickTop="1" thickBot="1" x14ac:dyDescent="0.35">
      <c r="A1458" s="313"/>
      <c r="B1458" s="315" t="s">
        <v>776</v>
      </c>
      <c r="C1458" s="330"/>
      <c r="D1458" s="4"/>
      <c r="E1458" s="315"/>
      <c r="F1458" s="1"/>
      <c r="AC1458" s="48">
        <f>IF(C1458="",0,1)</f>
        <v>0</v>
      </c>
      <c r="AE1458" s="48">
        <f>IF($AC$1358=1,AC$1353,0)</f>
        <v>0</v>
      </c>
      <c r="BB1458" s="48"/>
    </row>
    <row r="1459" spans="1:56" ht="14" hidden="1" customHeight="1" thickTop="1" thickBot="1" x14ac:dyDescent="0.35">
      <c r="A1459" s="313"/>
      <c r="B1459" s="331" t="s">
        <v>779</v>
      </c>
      <c r="C1459" s="330"/>
      <c r="D1459" s="332" t="str">
        <f>AS1459</f>
        <v>AWARENESS OF ISSUE</v>
      </c>
      <c r="E1459" s="315"/>
      <c r="F1459" s="1"/>
      <c r="AM1459" s="333"/>
      <c r="AN1459" s="333"/>
      <c r="AO1459" s="333"/>
      <c r="AP1459" s="333"/>
      <c r="AS1459" s="48" t="str">
        <f>AS1449</f>
        <v>AWARENESS OF ISSUE</v>
      </c>
      <c r="BB1459" s="48"/>
    </row>
    <row r="1460" spans="1:56" ht="14" hidden="1" customHeight="1" thickTop="1" thickBot="1" x14ac:dyDescent="0.35">
      <c r="A1460" s="313"/>
      <c r="B1460" s="325" t="s">
        <v>783</v>
      </c>
      <c r="C1460" s="334" t="s">
        <v>784</v>
      </c>
      <c r="D1460" s="334" t="s">
        <v>785</v>
      </c>
      <c r="E1460" s="315"/>
      <c r="F1460" s="1"/>
      <c r="BB1460" s="48"/>
    </row>
    <row r="1461" spans="1:56" ht="14" hidden="1" customHeight="1" thickTop="1" thickBot="1" x14ac:dyDescent="0.35">
      <c r="A1461" s="313"/>
      <c r="B1461" s="314" t="s">
        <v>788</v>
      </c>
      <c r="C1461" s="335" t="str">
        <f>AM1461</f>
        <v>YYYY-MM-DD</v>
      </c>
      <c r="D1461" s="335" t="str">
        <f>AM1461</f>
        <v>YYYY-MM-DD</v>
      </c>
      <c r="E1461" s="315"/>
      <c r="F1461" s="1"/>
      <c r="AH1461" s="918" t="str">
        <f>IF(NOT(D1461=AQ1461),D1461,"")</f>
        <v>YYYY-MM-DD</v>
      </c>
      <c r="AI1461" s="918"/>
      <c r="AM1461" s="328" t="s">
        <v>789</v>
      </c>
      <c r="AQ1461" s="328"/>
      <c r="BB1461" s="48"/>
    </row>
    <row r="1462" spans="1:56" ht="14" hidden="1" customHeight="1" thickTop="1" thickBot="1" x14ac:dyDescent="0.35">
      <c r="A1462" s="313"/>
      <c r="B1462" s="314" t="s">
        <v>794</v>
      </c>
      <c r="C1462" s="337"/>
      <c r="D1462" s="338" t="str">
        <f>AC1462</f>
        <v/>
      </c>
      <c r="E1462" s="315"/>
      <c r="F1462" s="1"/>
      <c r="AC1462" s="50" t="str">
        <f>IF(AND(AC$1352&gt;0,C1462=BN$1357),BM$1357,IF(AND(AC$1352&gt;0,C1462=BN$1358),BM$1358,IF(AND(AC$1352&gt;0,C1462=BN$1359),BM$1359,IF(AND(AC$1352&gt;0,C1462=BN$1360),BM$1360,IF(AND(AC$1352&gt;0,C1462=BN$1361),BM$1361,"")))))</f>
        <v/>
      </c>
      <c r="AI1462" s="1084" t="e">
        <f>AV1463/AL$1353</f>
        <v>#REF!</v>
      </c>
      <c r="AJ1462" s="1084"/>
      <c r="AK1462" s="48" t="s">
        <v>795</v>
      </c>
      <c r="AO1462" s="9" t="e">
        <f>IF(AI1462=0,"none",(AI1462*100))</f>
        <v>#REF!</v>
      </c>
      <c r="AP1462" s="48" t="e">
        <f>IF(AO1462="none"," of weekly support cost.","% of weekly support cost.")</f>
        <v>#REF!</v>
      </c>
      <c r="BB1462" s="48"/>
    </row>
    <row r="1463" spans="1:56" ht="14" hidden="1" customHeight="1" thickTop="1" thickBot="1" x14ac:dyDescent="0.35">
      <c r="A1463" s="313"/>
      <c r="B1463" s="314" t="s">
        <v>797</v>
      </c>
      <c r="C1463" s="339"/>
      <c r="D1463" s="314" t="e">
        <f>IF(NOT(AV1463&gt;0),"",AC1463)</f>
        <v>#REF!</v>
      </c>
      <c r="E1463" s="315"/>
      <c r="F1463" s="1"/>
      <c r="AC1463" s="246" t="e">
        <f>CONCATENATE(AO1463,AT1463)</f>
        <v>#REF!</v>
      </c>
      <c r="AO1463" s="48" t="s">
        <v>798</v>
      </c>
      <c r="AT1463" s="246" t="e">
        <f>DOLLAR(AV1463)</f>
        <v>#REF!</v>
      </c>
      <c r="AV1463" s="315" t="e">
        <f>IF(AND(D1462=BM$1361,C1463=#REF!),#REF!,IF(AND(D1462=BM$1361,C1463=#REF!),#REF!,IF(AND(D1462=BM$1361,C1463=#REF!),#REF!,IF(AND(D1462=BM$1361,C1463=#REF!),#REF!,IF(AND(D1462=BM$1361,C1463=#REF!),#REF!,IF(AND(D1462=BM$1361,C1463=#REF!),#REF!,0))))))</f>
        <v>#REF!</v>
      </c>
      <c r="AX1463" s="9" t="e">
        <f>DOLLAR(AZ1463)</f>
        <v>#REF!</v>
      </c>
      <c r="AZ1463" s="340" t="e">
        <f>$AJ$1353-AV1463</f>
        <v>#REF!</v>
      </c>
      <c r="BB1463" s="48"/>
      <c r="BD1463" s="302" t="e">
        <f>AV1463</f>
        <v>#REF!</v>
      </c>
    </row>
    <row r="1464" spans="1:56" ht="14" hidden="1" customHeight="1" thickTop="1" x14ac:dyDescent="0.3">
      <c r="A1464" s="313"/>
      <c r="B1464" s="314"/>
      <c r="C1464" s="314" t="e">
        <f>CONCATENATE(AK1462,AO1462,AP1462)</f>
        <v>#REF!</v>
      </c>
      <c r="D1464" s="314" t="e">
        <f>BF$1356</f>
        <v>#REF!</v>
      </c>
      <c r="E1464" s="315"/>
      <c r="F1464" s="1"/>
      <c r="AC1464" s="48" t="s">
        <v>800</v>
      </c>
      <c r="AI1464" s="142">
        <f>MIN(D1462,AE1458)</f>
        <v>0</v>
      </c>
      <c r="AJ1464" s="48">
        <f>ROUND(AI1464,2)</f>
        <v>0</v>
      </c>
      <c r="AK1464" s="48" t="str">
        <f>CONCATENATE(AC1464,AJ1464)</f>
        <v>contribution per exchange: $0</v>
      </c>
    </row>
    <row r="1465" spans="1:56" ht="14" hidden="1" customHeight="1" x14ac:dyDescent="0.3">
      <c r="A1465" s="313"/>
      <c r="B1465" s="314"/>
      <c r="C1465" s="314"/>
      <c r="D1465" s="314"/>
      <c r="E1465" s="315"/>
      <c r="F1465" s="1"/>
    </row>
    <row r="1466" spans="1:56" ht="5" hidden="1" customHeight="1" thickBot="1" x14ac:dyDescent="0.35">
      <c r="A1466" s="315"/>
      <c r="B1466" s="317"/>
      <c r="C1466" s="318"/>
      <c r="D1466" s="315"/>
      <c r="E1466" s="315"/>
      <c r="F1466" s="1"/>
      <c r="AC1466" s="312"/>
      <c r="AJ1466" s="402"/>
      <c r="BB1466" s="48"/>
    </row>
    <row r="1467" spans="1:56" ht="16" hidden="1" thickTop="1" thickBot="1" x14ac:dyDescent="0.35">
      <c r="A1467" s="324">
        <f>IF(C1467="",0,1+A1457)</f>
        <v>12</v>
      </c>
      <c r="B1467" s="325" t="s">
        <v>814</v>
      </c>
      <c r="C1467" s="326" t="str">
        <f>AM1467</f>
        <v>FIRST NAME</v>
      </c>
      <c r="D1467" s="327" t="str">
        <f>AQ1467</f>
        <v>LAST NAME</v>
      </c>
      <c r="E1467" s="315"/>
      <c r="F1467" s="1"/>
      <c r="AC1467" s="311" t="str">
        <f>IF(NOT(C1467=AM1467),C1467,"")</f>
        <v/>
      </c>
      <c r="AH1467" s="311" t="str">
        <f>IF(NOT(D1467=AQ1467),D1467,"")</f>
        <v/>
      </c>
      <c r="AM1467" s="328" t="s">
        <v>773</v>
      </c>
      <c r="AQ1467" s="328" t="s">
        <v>100</v>
      </c>
      <c r="BB1467" s="48"/>
    </row>
    <row r="1468" spans="1:56" ht="15" hidden="1" thickTop="1" thickBot="1" x14ac:dyDescent="0.35">
      <c r="A1468" s="313"/>
      <c r="B1468" s="315" t="s">
        <v>776</v>
      </c>
      <c r="C1468" s="330"/>
      <c r="D1468" s="4"/>
      <c r="E1468" s="315"/>
      <c r="F1468" s="1"/>
      <c r="AC1468" s="48">
        <f>IF(C1468="",0,1)</f>
        <v>0</v>
      </c>
      <c r="AE1468" s="48">
        <f>IF($AC$1358=1,AC$1353,0)</f>
        <v>0</v>
      </c>
      <c r="BB1468" s="48"/>
    </row>
    <row r="1469" spans="1:56" ht="14" hidden="1" customHeight="1" thickTop="1" thickBot="1" x14ac:dyDescent="0.35">
      <c r="A1469" s="313"/>
      <c r="B1469" s="331" t="s">
        <v>779</v>
      </c>
      <c r="C1469" s="330"/>
      <c r="D1469" s="332" t="str">
        <f>AS1469</f>
        <v>AWARENESS OF ISSUE</v>
      </c>
      <c r="E1469" s="315"/>
      <c r="F1469" s="1"/>
      <c r="AM1469" s="333"/>
      <c r="AN1469" s="333"/>
      <c r="AO1469" s="333"/>
      <c r="AP1469" s="333"/>
      <c r="AS1469" s="48" t="str">
        <f>AS1459</f>
        <v>AWARENESS OF ISSUE</v>
      </c>
      <c r="BB1469" s="48"/>
    </row>
    <row r="1470" spans="1:56" ht="14" hidden="1" customHeight="1" thickTop="1" thickBot="1" x14ac:dyDescent="0.35">
      <c r="A1470" s="313"/>
      <c r="B1470" s="325" t="s">
        <v>783</v>
      </c>
      <c r="C1470" s="334" t="s">
        <v>784</v>
      </c>
      <c r="D1470" s="334" t="s">
        <v>785</v>
      </c>
      <c r="E1470" s="315"/>
      <c r="F1470" s="1"/>
      <c r="BB1470" s="48"/>
    </row>
    <row r="1471" spans="1:56" ht="14" hidden="1" customHeight="1" thickTop="1" thickBot="1" x14ac:dyDescent="0.35">
      <c r="A1471" s="313"/>
      <c r="B1471" s="314" t="s">
        <v>788</v>
      </c>
      <c r="C1471" s="335" t="str">
        <f>AM1471</f>
        <v>YYYY-MM-DD</v>
      </c>
      <c r="D1471" s="335" t="str">
        <f>AM1471</f>
        <v>YYYY-MM-DD</v>
      </c>
      <c r="E1471" s="315"/>
      <c r="F1471" s="1"/>
      <c r="AH1471" s="918" t="str">
        <f>IF(NOT(D1471=AQ1471),D1471,"")</f>
        <v>YYYY-MM-DD</v>
      </c>
      <c r="AI1471" s="918"/>
      <c r="AM1471" s="328" t="s">
        <v>789</v>
      </c>
      <c r="AQ1471" s="328"/>
      <c r="BB1471" s="48"/>
    </row>
    <row r="1472" spans="1:56" ht="14" hidden="1" customHeight="1" thickTop="1" thickBot="1" x14ac:dyDescent="0.35">
      <c r="A1472" s="313"/>
      <c r="B1472" s="314" t="s">
        <v>794</v>
      </c>
      <c r="C1472" s="337"/>
      <c r="D1472" s="338" t="str">
        <f>AC1472</f>
        <v/>
      </c>
      <c r="E1472" s="315"/>
      <c r="F1472" s="1"/>
      <c r="AC1472" s="50" t="str">
        <f>IF(AND(AC$1352&gt;0,C1472=BN$1357),BM$1357,IF(AND(AC$1352&gt;0,C1472=BN$1358),BM$1358,IF(AND(AC$1352&gt;0,C1472=BN$1359),BM$1359,IF(AND(AC$1352&gt;0,C1472=BN$1360),BM$1360,IF(AND(AC$1352&gt;0,C1472=BN$1361),BM$1361,"")))))</f>
        <v/>
      </c>
      <c r="AI1472" s="1084" t="e">
        <f>AV1473/AL$1353</f>
        <v>#REF!</v>
      </c>
      <c r="AJ1472" s="1084"/>
      <c r="AK1472" s="48" t="s">
        <v>795</v>
      </c>
      <c r="AO1472" s="9" t="e">
        <f>IF(AI1472=0,"none",(AI1472*100))</f>
        <v>#REF!</v>
      </c>
      <c r="AP1472" s="48" t="e">
        <f>IF(AO1472="none"," of weekly support cost.","% of weekly support cost.")</f>
        <v>#REF!</v>
      </c>
      <c r="BB1472" s="48"/>
    </row>
    <row r="1473" spans="1:56" ht="14" hidden="1" customHeight="1" thickTop="1" thickBot="1" x14ac:dyDescent="0.35">
      <c r="A1473" s="313"/>
      <c r="B1473" s="314" t="s">
        <v>797</v>
      </c>
      <c r="C1473" s="339"/>
      <c r="D1473" s="314" t="e">
        <f>IF(NOT(AV1473&gt;0),"",AC1473)</f>
        <v>#REF!</v>
      </c>
      <c r="E1473" s="315"/>
      <c r="F1473" s="1"/>
      <c r="AC1473" s="246" t="e">
        <f>CONCATENATE(AO1473,AT1473)</f>
        <v>#REF!</v>
      </c>
      <c r="AO1473" s="48" t="s">
        <v>798</v>
      </c>
      <c r="AT1473" s="246" t="e">
        <f>DOLLAR(AV1473)</f>
        <v>#REF!</v>
      </c>
      <c r="AV1473" s="315" t="e">
        <f>IF(AND(D1472=BM$1361,C1473=#REF!),#REF!,IF(AND(D1472=BM$1361,C1473=#REF!),#REF!,IF(AND(D1472=BM$1361,C1473=#REF!),#REF!,IF(AND(D1472=BM$1361,C1473=#REF!),#REF!,IF(AND(D1472=BM$1361,C1473=#REF!),#REF!,IF(AND(D1472=BM$1361,C1473=#REF!),#REF!,0))))))</f>
        <v>#REF!</v>
      </c>
      <c r="AX1473" s="9" t="e">
        <f>DOLLAR(AZ1473)</f>
        <v>#REF!</v>
      </c>
      <c r="AZ1473" s="340" t="e">
        <f>$AJ$1353-AV1473</f>
        <v>#REF!</v>
      </c>
      <c r="BB1473" s="48"/>
      <c r="BD1473" s="302" t="e">
        <f>AV1473</f>
        <v>#REF!</v>
      </c>
    </row>
    <row r="1474" spans="1:56" ht="14" hidden="1" customHeight="1" thickTop="1" x14ac:dyDescent="0.3">
      <c r="A1474" s="313"/>
      <c r="B1474" s="314"/>
      <c r="C1474" s="314" t="e">
        <f>CONCATENATE(AK1472,AO1472,AP1472)</f>
        <v>#REF!</v>
      </c>
      <c r="D1474" s="314" t="e">
        <f>BF$1356</f>
        <v>#REF!</v>
      </c>
      <c r="E1474" s="315"/>
      <c r="F1474" s="1"/>
      <c r="AC1474" s="48" t="s">
        <v>800</v>
      </c>
      <c r="AI1474" s="142">
        <f>MIN(D1472,AE1468)</f>
        <v>0</v>
      </c>
      <c r="AJ1474" s="48">
        <f>ROUND(AI1474,2)</f>
        <v>0</v>
      </c>
      <c r="AK1474" s="48" t="str">
        <f>CONCATENATE(AC1474,AJ1474)</f>
        <v>contribution per exchange: $0</v>
      </c>
    </row>
    <row r="1475" spans="1:56" ht="14" hidden="1" customHeight="1" x14ac:dyDescent="0.3">
      <c r="A1475" s="313"/>
      <c r="B1475" s="314"/>
      <c r="C1475" s="314"/>
      <c r="D1475" s="314"/>
      <c r="E1475" s="315"/>
      <c r="F1475" s="1"/>
    </row>
    <row r="1476" spans="1:56" ht="5" hidden="1" customHeight="1" thickBot="1" x14ac:dyDescent="0.35">
      <c r="A1476" s="315"/>
      <c r="B1476" s="317"/>
      <c r="C1476" s="318"/>
      <c r="D1476" s="315"/>
      <c r="E1476" s="315"/>
      <c r="F1476" s="1"/>
      <c r="AC1476" s="312"/>
      <c r="AJ1476" s="402"/>
      <c r="BB1476" s="48"/>
    </row>
    <row r="1477" spans="1:56" ht="16" hidden="1" thickTop="1" thickBot="1" x14ac:dyDescent="0.35">
      <c r="A1477" s="324">
        <f>IF(C1477="",0,1+A1467)</f>
        <v>13</v>
      </c>
      <c r="B1477" s="325" t="s">
        <v>815</v>
      </c>
      <c r="C1477" s="326" t="str">
        <f>AM1477</f>
        <v>FIRST NAME</v>
      </c>
      <c r="D1477" s="327" t="str">
        <f>AQ1477</f>
        <v>LAST NAME</v>
      </c>
      <c r="E1477" s="315"/>
      <c r="F1477" s="1"/>
      <c r="AC1477" s="311" t="str">
        <f>IF(NOT(C1477=AM1477),C1477,"")</f>
        <v/>
      </c>
      <c r="AH1477" s="311" t="str">
        <f>IF(NOT(D1477=AQ1477),D1477,"")</f>
        <v/>
      </c>
      <c r="AM1477" s="328" t="s">
        <v>773</v>
      </c>
      <c r="AQ1477" s="328" t="s">
        <v>100</v>
      </c>
      <c r="BB1477" s="48"/>
    </row>
    <row r="1478" spans="1:56" ht="15" hidden="1" thickTop="1" thickBot="1" x14ac:dyDescent="0.35">
      <c r="A1478" s="313"/>
      <c r="B1478" s="315" t="s">
        <v>776</v>
      </c>
      <c r="C1478" s="330"/>
      <c r="D1478" s="4"/>
      <c r="E1478" s="315"/>
      <c r="F1478" s="1"/>
      <c r="AC1478" s="48">
        <f>IF(C1478="",0,1)</f>
        <v>0</v>
      </c>
      <c r="AE1478" s="48">
        <f>IF($AC$1358=1,AC$1353,0)</f>
        <v>0</v>
      </c>
      <c r="BB1478" s="48"/>
    </row>
    <row r="1479" spans="1:56" ht="14" hidden="1" customHeight="1" thickTop="1" thickBot="1" x14ac:dyDescent="0.35">
      <c r="A1479" s="313"/>
      <c r="B1479" s="331" t="s">
        <v>779</v>
      </c>
      <c r="C1479" s="330"/>
      <c r="D1479" s="332" t="str">
        <f>AS1479</f>
        <v>AWARENESS OF ISSUE</v>
      </c>
      <c r="E1479" s="315"/>
      <c r="F1479" s="1"/>
      <c r="AM1479" s="333"/>
      <c r="AN1479" s="333"/>
      <c r="AO1479" s="333"/>
      <c r="AP1479" s="333"/>
      <c r="AS1479" s="48" t="str">
        <f>AS1469</f>
        <v>AWARENESS OF ISSUE</v>
      </c>
      <c r="BB1479" s="48"/>
    </row>
    <row r="1480" spans="1:56" ht="14" hidden="1" customHeight="1" thickTop="1" thickBot="1" x14ac:dyDescent="0.35">
      <c r="A1480" s="313"/>
      <c r="B1480" s="325" t="s">
        <v>783</v>
      </c>
      <c r="C1480" s="334" t="s">
        <v>784</v>
      </c>
      <c r="D1480" s="334" t="s">
        <v>785</v>
      </c>
      <c r="E1480" s="315"/>
      <c r="F1480" s="1"/>
      <c r="BB1480" s="48"/>
    </row>
    <row r="1481" spans="1:56" ht="14" hidden="1" customHeight="1" thickTop="1" thickBot="1" x14ac:dyDescent="0.35">
      <c r="A1481" s="313"/>
      <c r="B1481" s="314" t="s">
        <v>788</v>
      </c>
      <c r="C1481" s="335" t="str">
        <f>AM1481</f>
        <v>YYYY-MM-DD</v>
      </c>
      <c r="D1481" s="335" t="str">
        <f>AM1481</f>
        <v>YYYY-MM-DD</v>
      </c>
      <c r="E1481" s="315"/>
      <c r="F1481" s="1"/>
      <c r="AH1481" s="918" t="str">
        <f>IF(NOT(D1481=AQ1481),D1481,"")</f>
        <v>YYYY-MM-DD</v>
      </c>
      <c r="AI1481" s="918"/>
      <c r="AM1481" s="328" t="s">
        <v>789</v>
      </c>
      <c r="AQ1481" s="328"/>
      <c r="BB1481" s="48"/>
    </row>
    <row r="1482" spans="1:56" ht="14" hidden="1" customHeight="1" thickTop="1" thickBot="1" x14ac:dyDescent="0.35">
      <c r="A1482" s="313"/>
      <c r="B1482" s="314" t="s">
        <v>794</v>
      </c>
      <c r="C1482" s="337"/>
      <c r="D1482" s="338" t="str">
        <f>AC1482</f>
        <v/>
      </c>
      <c r="E1482" s="315"/>
      <c r="F1482" s="1"/>
      <c r="AC1482" s="50" t="str">
        <f>IF(AND(AC$1352&gt;0,C1482=BN$1357),BM$1357,IF(AND(AC$1352&gt;0,C1482=BN$1358),BM$1358,IF(AND(AC$1352&gt;0,C1482=BN$1359),BM$1359,IF(AND(AC$1352&gt;0,C1482=BN$1360),BM$1360,IF(AND(AC$1352&gt;0,C1482=BN$1361),BM$1361,"")))))</f>
        <v/>
      </c>
      <c r="AI1482" s="1084" t="e">
        <f>AV1483/AL$1353</f>
        <v>#REF!</v>
      </c>
      <c r="AJ1482" s="1084"/>
      <c r="AK1482" s="48" t="s">
        <v>795</v>
      </c>
      <c r="AO1482" s="9" t="e">
        <f>IF(AI1482=0,"none",(AI1482*100))</f>
        <v>#REF!</v>
      </c>
      <c r="AP1482" s="48" t="e">
        <f>IF(AO1482="none"," of weekly support cost.","% of weekly support cost.")</f>
        <v>#REF!</v>
      </c>
      <c r="BB1482" s="48"/>
    </row>
    <row r="1483" spans="1:56" ht="14" hidden="1" customHeight="1" thickTop="1" thickBot="1" x14ac:dyDescent="0.35">
      <c r="A1483" s="313"/>
      <c r="B1483" s="314" t="s">
        <v>797</v>
      </c>
      <c r="C1483" s="339"/>
      <c r="D1483" s="314" t="e">
        <f>IF(NOT(AV1483&gt;0),"",AC1483)</f>
        <v>#REF!</v>
      </c>
      <c r="E1483" s="315"/>
      <c r="F1483" s="1"/>
      <c r="AC1483" s="246" t="e">
        <f>CONCATENATE(AO1483,AT1483)</f>
        <v>#REF!</v>
      </c>
      <c r="AO1483" s="48" t="s">
        <v>798</v>
      </c>
      <c r="AT1483" s="246" t="e">
        <f>DOLLAR(AV1483)</f>
        <v>#REF!</v>
      </c>
      <c r="AV1483" s="315" t="e">
        <f>IF(AND(D1482=BM$1361,C1483=#REF!),#REF!,IF(AND(D1482=BM$1361,C1483=#REF!),#REF!,IF(AND(D1482=BM$1361,C1483=#REF!),#REF!,IF(AND(D1482=BM$1361,C1483=#REF!),#REF!,IF(AND(D1482=BM$1361,C1483=#REF!),#REF!,IF(AND(D1482=BM$1361,C1483=#REF!),#REF!,0))))))</f>
        <v>#REF!</v>
      </c>
      <c r="AX1483" s="9" t="e">
        <f>DOLLAR(AZ1483)</f>
        <v>#REF!</v>
      </c>
      <c r="AZ1483" s="340" t="e">
        <f>$AJ$1353-AV1483</f>
        <v>#REF!</v>
      </c>
      <c r="BB1483" s="48"/>
      <c r="BD1483" s="302" t="e">
        <f>AV1483</f>
        <v>#REF!</v>
      </c>
    </row>
    <row r="1484" spans="1:56" ht="14" hidden="1" customHeight="1" thickTop="1" x14ac:dyDescent="0.3">
      <c r="A1484" s="313"/>
      <c r="B1484" s="314"/>
      <c r="C1484" s="314" t="e">
        <f>CONCATENATE(AK1482,AO1482,AP1482)</f>
        <v>#REF!</v>
      </c>
      <c r="D1484" s="314" t="e">
        <f>BF$1356</f>
        <v>#REF!</v>
      </c>
      <c r="E1484" s="315"/>
      <c r="F1484" s="1"/>
      <c r="AC1484" s="48" t="s">
        <v>800</v>
      </c>
      <c r="AI1484" s="142">
        <f>MIN(D1482,AE1478)</f>
        <v>0</v>
      </c>
      <c r="AJ1484" s="48">
        <f>ROUND(AI1484,2)</f>
        <v>0</v>
      </c>
      <c r="AK1484" s="48" t="str">
        <f>CONCATENATE(AC1484,AJ1484)</f>
        <v>contribution per exchange: $0</v>
      </c>
    </row>
    <row r="1485" spans="1:56" ht="14" hidden="1" customHeight="1" x14ac:dyDescent="0.3">
      <c r="A1485" s="313"/>
      <c r="B1485" s="314"/>
      <c r="C1485" s="314"/>
      <c r="D1485" s="314"/>
      <c r="E1485" s="315"/>
      <c r="F1485" s="1"/>
    </row>
    <row r="1486" spans="1:56" ht="5" hidden="1" customHeight="1" thickBot="1" x14ac:dyDescent="0.35">
      <c r="A1486" s="315"/>
      <c r="B1486" s="317"/>
      <c r="C1486" s="318"/>
      <c r="D1486" s="315"/>
      <c r="E1486" s="315"/>
      <c r="F1486" s="1"/>
      <c r="AC1486" s="312"/>
      <c r="AJ1486" s="402"/>
      <c r="BB1486" s="48"/>
    </row>
    <row r="1487" spans="1:56" ht="16" hidden="1" thickTop="1" thickBot="1" x14ac:dyDescent="0.35">
      <c r="A1487" s="324">
        <f>IF(C1487="",0,1+A1477)</f>
        <v>14</v>
      </c>
      <c r="B1487" s="325" t="s">
        <v>816</v>
      </c>
      <c r="C1487" s="326" t="str">
        <f>AM1487</f>
        <v>FIRST NAME</v>
      </c>
      <c r="D1487" s="327" t="str">
        <f>AQ1487</f>
        <v>LAST NAME</v>
      </c>
      <c r="E1487" s="315"/>
      <c r="F1487" s="1"/>
      <c r="AC1487" s="311" t="str">
        <f>IF(NOT(C1487=AM1487),C1487,"")</f>
        <v/>
      </c>
      <c r="AH1487" s="311" t="str">
        <f>IF(NOT(D1487=AQ1487),D1487,"")</f>
        <v/>
      </c>
      <c r="AM1487" s="328" t="s">
        <v>773</v>
      </c>
      <c r="AQ1487" s="328" t="s">
        <v>100</v>
      </c>
      <c r="BB1487" s="48"/>
    </row>
    <row r="1488" spans="1:56" ht="15" hidden="1" thickTop="1" thickBot="1" x14ac:dyDescent="0.35">
      <c r="A1488" s="313"/>
      <c r="B1488" s="315" t="s">
        <v>776</v>
      </c>
      <c r="C1488" s="330"/>
      <c r="D1488" s="4"/>
      <c r="E1488" s="315"/>
      <c r="F1488" s="1"/>
      <c r="AC1488" s="48">
        <f>IF(C1488="",0,1)</f>
        <v>0</v>
      </c>
      <c r="AE1488" s="48">
        <f>IF($AC$1358=1,AC$1353,0)</f>
        <v>0</v>
      </c>
      <c r="BB1488" s="48"/>
    </row>
    <row r="1489" spans="1:56" ht="14" hidden="1" customHeight="1" thickTop="1" thickBot="1" x14ac:dyDescent="0.35">
      <c r="A1489" s="313"/>
      <c r="B1489" s="331" t="s">
        <v>779</v>
      </c>
      <c r="C1489" s="330"/>
      <c r="D1489" s="332" t="str">
        <f>AS1489</f>
        <v>AWARENESS OF ISSUE</v>
      </c>
      <c r="E1489" s="315"/>
      <c r="F1489" s="1"/>
      <c r="AM1489" s="333"/>
      <c r="AN1489" s="333"/>
      <c r="AO1489" s="333"/>
      <c r="AP1489" s="333"/>
      <c r="AS1489" s="48" t="str">
        <f>AS1479</f>
        <v>AWARENESS OF ISSUE</v>
      </c>
      <c r="BB1489" s="48"/>
    </row>
    <row r="1490" spans="1:56" ht="14" hidden="1" customHeight="1" thickTop="1" thickBot="1" x14ac:dyDescent="0.35">
      <c r="A1490" s="313"/>
      <c r="B1490" s="325" t="s">
        <v>783</v>
      </c>
      <c r="C1490" s="334" t="s">
        <v>784</v>
      </c>
      <c r="D1490" s="334" t="s">
        <v>785</v>
      </c>
      <c r="E1490" s="315"/>
      <c r="F1490" s="1"/>
      <c r="BB1490" s="48"/>
    </row>
    <row r="1491" spans="1:56" ht="14" hidden="1" customHeight="1" thickTop="1" thickBot="1" x14ac:dyDescent="0.35">
      <c r="A1491" s="313"/>
      <c r="B1491" s="314" t="s">
        <v>788</v>
      </c>
      <c r="C1491" s="335" t="str">
        <f>AM1491</f>
        <v>YYYY-MM-DD</v>
      </c>
      <c r="D1491" s="335" t="str">
        <f>AM1491</f>
        <v>YYYY-MM-DD</v>
      </c>
      <c r="E1491" s="315"/>
      <c r="F1491" s="1"/>
      <c r="AH1491" s="918" t="str">
        <f>IF(NOT(D1491=AQ1491),D1491,"")</f>
        <v>YYYY-MM-DD</v>
      </c>
      <c r="AI1491" s="918"/>
      <c r="AM1491" s="328" t="s">
        <v>789</v>
      </c>
      <c r="AQ1491" s="328"/>
      <c r="BB1491" s="48"/>
    </row>
    <row r="1492" spans="1:56" ht="14" hidden="1" customHeight="1" thickTop="1" thickBot="1" x14ac:dyDescent="0.35">
      <c r="A1492" s="313"/>
      <c r="B1492" s="314" t="s">
        <v>794</v>
      </c>
      <c r="C1492" s="337"/>
      <c r="D1492" s="338" t="str">
        <f>AC1492</f>
        <v/>
      </c>
      <c r="E1492" s="315"/>
      <c r="F1492" s="1"/>
      <c r="AC1492" s="50" t="str">
        <f>IF(AND(AC$1352&gt;0,C1492=BN$1357),BM$1357,IF(AND(AC$1352&gt;0,C1492=BN$1358),BM$1358,IF(AND(AC$1352&gt;0,C1492=BN$1359),BM$1359,IF(AND(AC$1352&gt;0,C1492=BN$1360),BM$1360,IF(AND(AC$1352&gt;0,C1492=BN$1361),BM$1361,"")))))</f>
        <v/>
      </c>
      <c r="AI1492" s="1084" t="e">
        <f>AV1493/AL$1353</f>
        <v>#REF!</v>
      </c>
      <c r="AJ1492" s="1084"/>
      <c r="AK1492" s="48" t="s">
        <v>795</v>
      </c>
      <c r="AO1492" s="9" t="e">
        <f>IF(AI1492=0,"none",(AI1492*100))</f>
        <v>#REF!</v>
      </c>
      <c r="AP1492" s="48" t="e">
        <f>IF(AO1492="none"," of weekly support cost.","% of weekly support cost.")</f>
        <v>#REF!</v>
      </c>
      <c r="BB1492" s="48"/>
    </row>
    <row r="1493" spans="1:56" ht="14" hidden="1" customHeight="1" thickTop="1" thickBot="1" x14ac:dyDescent="0.35">
      <c r="A1493" s="313"/>
      <c r="B1493" s="314" t="s">
        <v>797</v>
      </c>
      <c r="C1493" s="339"/>
      <c r="D1493" s="314" t="e">
        <f>IF(NOT(AV1493&gt;0),"",AC1493)</f>
        <v>#REF!</v>
      </c>
      <c r="E1493" s="315"/>
      <c r="F1493" s="1"/>
      <c r="AC1493" s="246" t="e">
        <f>CONCATENATE(AO1493,AT1493)</f>
        <v>#REF!</v>
      </c>
      <c r="AO1493" s="48" t="s">
        <v>798</v>
      </c>
      <c r="AT1493" s="246" t="e">
        <f>DOLLAR(AV1493)</f>
        <v>#REF!</v>
      </c>
      <c r="AV1493" s="315" t="e">
        <f>IF(AND(D1492=BM$1361,C1493=#REF!),#REF!,IF(AND(D1492=BM$1361,C1493=#REF!),#REF!,IF(AND(D1492=BM$1361,C1493=#REF!),#REF!,IF(AND(D1492=BM$1361,C1493=#REF!),#REF!,IF(AND(D1492=BM$1361,C1493=#REF!),#REF!,IF(AND(D1492=BM$1361,C1493=#REF!),#REF!,0))))))</f>
        <v>#REF!</v>
      </c>
      <c r="AX1493" s="9" t="e">
        <f>DOLLAR(AZ1493)</f>
        <v>#REF!</v>
      </c>
      <c r="AZ1493" s="340" t="e">
        <f>$AJ$1353-AV1493</f>
        <v>#REF!</v>
      </c>
      <c r="BB1493" s="336" t="e">
        <f>AV1493/AC$1353</f>
        <v>#REF!</v>
      </c>
      <c r="BD1493" s="302" t="e">
        <f>AV1493</f>
        <v>#REF!</v>
      </c>
    </row>
    <row r="1494" spans="1:56" ht="14" hidden="1" customHeight="1" thickTop="1" x14ac:dyDescent="0.3">
      <c r="A1494" s="313"/>
      <c r="B1494" s="314"/>
      <c r="C1494" s="314" t="e">
        <f>CONCATENATE(AK1492,AO1492,AP1492)</f>
        <v>#REF!</v>
      </c>
      <c r="D1494" s="314" t="e">
        <f>BF$1356</f>
        <v>#REF!</v>
      </c>
      <c r="E1494" s="315"/>
      <c r="F1494" s="1"/>
      <c r="AC1494" s="48" t="s">
        <v>800</v>
      </c>
      <c r="AI1494" s="142">
        <f>MIN(D1492,AE1488)</f>
        <v>0</v>
      </c>
      <c r="AJ1494" s="48">
        <f>ROUND(AI1494,2)</f>
        <v>0</v>
      </c>
      <c r="AK1494" s="48" t="str">
        <f>CONCATENATE(AC1494,AJ1494)</f>
        <v>contribution per exchange: $0</v>
      </c>
    </row>
    <row r="1495" spans="1:56" ht="18" hidden="1" customHeight="1" x14ac:dyDescent="0.3">
      <c r="A1495" s="313"/>
      <c r="B1495" s="314"/>
      <c r="C1495" s="314"/>
      <c r="D1495" s="314"/>
      <c r="E1495" s="315"/>
      <c r="F1495" s="1"/>
    </row>
    <row r="1496" spans="1:56" ht="5" hidden="1" customHeight="1" thickBot="1" x14ac:dyDescent="0.35">
      <c r="A1496" s="315"/>
      <c r="B1496" s="317"/>
      <c r="C1496" s="318"/>
      <c r="D1496" s="315"/>
      <c r="E1496" s="315"/>
      <c r="F1496" s="1"/>
      <c r="AC1496" s="312"/>
      <c r="AJ1496" s="402"/>
      <c r="BB1496" s="48"/>
    </row>
    <row r="1497" spans="1:56" ht="16" hidden="1" thickTop="1" thickBot="1" x14ac:dyDescent="0.35">
      <c r="A1497" s="324">
        <f>IF(C1497="",0,1+A1487)</f>
        <v>15</v>
      </c>
      <c r="B1497" s="325" t="s">
        <v>817</v>
      </c>
      <c r="C1497" s="326" t="str">
        <f>AM1497</f>
        <v>FIRST NAME</v>
      </c>
      <c r="D1497" s="327" t="str">
        <f>AQ1497</f>
        <v>LAST NAME</v>
      </c>
      <c r="E1497" s="315"/>
      <c r="F1497" s="1"/>
      <c r="AC1497" s="311" t="str">
        <f>IF(NOT(C1497=AM1497),C1497,"")</f>
        <v/>
      </c>
      <c r="AH1497" s="311" t="str">
        <f>IF(NOT(D1497=AQ1497),D1497,"")</f>
        <v/>
      </c>
      <c r="AM1497" s="328" t="s">
        <v>773</v>
      </c>
      <c r="AQ1497" s="328" t="s">
        <v>100</v>
      </c>
      <c r="BB1497" s="48"/>
    </row>
    <row r="1498" spans="1:56" ht="15" hidden="1" thickTop="1" thickBot="1" x14ac:dyDescent="0.35">
      <c r="A1498" s="313"/>
      <c r="B1498" s="315" t="s">
        <v>776</v>
      </c>
      <c r="C1498" s="330"/>
      <c r="D1498" s="4"/>
      <c r="E1498" s="315"/>
      <c r="F1498" s="1"/>
      <c r="AC1498" s="48">
        <f>IF(C1498="",0,1)</f>
        <v>0</v>
      </c>
      <c r="AE1498" s="48">
        <f>IF($AC$1358=1,AC$1353,0)</f>
        <v>0</v>
      </c>
      <c r="BB1498" s="48"/>
    </row>
    <row r="1499" spans="1:56" ht="14" hidden="1" customHeight="1" thickTop="1" thickBot="1" x14ac:dyDescent="0.35">
      <c r="A1499" s="313"/>
      <c r="B1499" s="331" t="s">
        <v>779</v>
      </c>
      <c r="C1499" s="330"/>
      <c r="D1499" s="332" t="str">
        <f>AS1499</f>
        <v>AWARENESS OF ISSUE</v>
      </c>
      <c r="E1499" s="315"/>
      <c r="F1499" s="1"/>
      <c r="AM1499" s="333"/>
      <c r="AN1499" s="333"/>
      <c r="AO1499" s="333"/>
      <c r="AP1499" s="333"/>
      <c r="AS1499" s="48" t="str">
        <f>AS1489</f>
        <v>AWARENESS OF ISSUE</v>
      </c>
      <c r="BB1499" s="48"/>
    </row>
    <row r="1500" spans="1:56" ht="14" hidden="1" customHeight="1" thickTop="1" thickBot="1" x14ac:dyDescent="0.35">
      <c r="A1500" s="313"/>
      <c r="B1500" s="325" t="s">
        <v>783</v>
      </c>
      <c r="C1500" s="334" t="s">
        <v>784</v>
      </c>
      <c r="D1500" s="334" t="s">
        <v>785</v>
      </c>
      <c r="E1500" s="315"/>
      <c r="F1500" s="1"/>
      <c r="BB1500" s="48"/>
    </row>
    <row r="1501" spans="1:56" ht="14" hidden="1" customHeight="1" thickTop="1" thickBot="1" x14ac:dyDescent="0.35">
      <c r="A1501" s="313"/>
      <c r="B1501" s="314" t="s">
        <v>788</v>
      </c>
      <c r="C1501" s="335" t="str">
        <f>AM1501</f>
        <v>YYYY-MM-DD</v>
      </c>
      <c r="D1501" s="335" t="str">
        <f>AM1501</f>
        <v>YYYY-MM-DD</v>
      </c>
      <c r="E1501" s="315"/>
      <c r="F1501" s="1"/>
      <c r="AH1501" s="918" t="str">
        <f>IF(NOT(D1501=AQ1501),D1501,"")</f>
        <v>YYYY-MM-DD</v>
      </c>
      <c r="AI1501" s="918"/>
      <c r="AM1501" s="328" t="s">
        <v>789</v>
      </c>
      <c r="AQ1501" s="328"/>
      <c r="BB1501" s="48"/>
    </row>
    <row r="1502" spans="1:56" ht="14" hidden="1" customHeight="1" thickTop="1" thickBot="1" x14ac:dyDescent="0.35">
      <c r="A1502" s="313"/>
      <c r="B1502" s="314" t="s">
        <v>794</v>
      </c>
      <c r="C1502" s="337"/>
      <c r="D1502" s="338" t="str">
        <f>AC1502</f>
        <v/>
      </c>
      <c r="E1502" s="315"/>
      <c r="F1502" s="1"/>
      <c r="AC1502" s="50" t="str">
        <f>IF(AND(AC$1352&gt;0,C1502=BN$1357),BM$1357,IF(AND(AC$1352&gt;0,C1502=BN$1358),BM$1358,IF(AND(AC$1352&gt;0,C1502=BN$1359),BM$1359,IF(AND(AC$1352&gt;0,C1502=BN$1360),BM$1360,IF(AND(AC$1352&gt;0,C1502=BN$1361),BM$1361,"")))))</f>
        <v/>
      </c>
      <c r="AI1502" s="1084" t="e">
        <f>AV1503/AL$1353</f>
        <v>#REF!</v>
      </c>
      <c r="AJ1502" s="1084"/>
      <c r="AK1502" s="48" t="s">
        <v>795</v>
      </c>
      <c r="AO1502" s="9" t="e">
        <f>IF(AI1502=0,"none",(AI1502*100))</f>
        <v>#REF!</v>
      </c>
      <c r="AP1502" s="48" t="e">
        <f>IF(AO1502="none"," of weekly support cost.","% of weekly support cost.")</f>
        <v>#REF!</v>
      </c>
      <c r="BB1502" s="48"/>
    </row>
    <row r="1503" spans="1:56" ht="14" hidden="1" customHeight="1" thickTop="1" thickBot="1" x14ac:dyDescent="0.35">
      <c r="A1503" s="313"/>
      <c r="B1503" s="314" t="s">
        <v>797</v>
      </c>
      <c r="C1503" s="339"/>
      <c r="D1503" s="314" t="e">
        <f>IF(NOT(AV1503&gt;0),"",AC1503)</f>
        <v>#REF!</v>
      </c>
      <c r="E1503" s="315"/>
      <c r="F1503" s="1"/>
      <c r="AC1503" s="246" t="e">
        <f>CONCATENATE(AO1503,AT1503)</f>
        <v>#REF!</v>
      </c>
      <c r="AO1503" s="48" t="s">
        <v>798</v>
      </c>
      <c r="AT1503" s="246" t="e">
        <f>DOLLAR(AV1503)</f>
        <v>#REF!</v>
      </c>
      <c r="AV1503" s="315" t="e">
        <f>IF(AND(D1502=BM$1361,C1503=#REF!),#REF!,IF(AND(D1502=BM$1361,C1503=#REF!),#REF!,IF(AND(D1502=BM$1361,C1503=#REF!),#REF!,IF(AND(D1502=BM$1361,C1503=#REF!),#REF!,IF(AND(D1502=BM$1361,C1503=#REF!),#REF!,IF(AND(D1502=BM$1361,C1503=#REF!),#REF!,0))))))</f>
        <v>#REF!</v>
      </c>
      <c r="AX1503" s="9" t="e">
        <f>DOLLAR(AZ1503)</f>
        <v>#REF!</v>
      </c>
      <c r="AZ1503" s="340" t="e">
        <f>$AJ$1353-AV1503</f>
        <v>#REF!</v>
      </c>
      <c r="BB1503" s="48"/>
      <c r="BD1503" s="302" t="e">
        <f>AV1503</f>
        <v>#REF!</v>
      </c>
    </row>
    <row r="1504" spans="1:56" ht="14" hidden="1" customHeight="1" thickTop="1" x14ac:dyDescent="0.3">
      <c r="A1504" s="313"/>
      <c r="B1504" s="314"/>
      <c r="C1504" s="314" t="e">
        <f>CONCATENATE(AK1502,AO1502,AP1502)</f>
        <v>#REF!</v>
      </c>
      <c r="D1504" s="314" t="e">
        <f>BF$1356</f>
        <v>#REF!</v>
      </c>
      <c r="E1504" s="315"/>
      <c r="F1504" s="1"/>
      <c r="AC1504" s="48" t="s">
        <v>800</v>
      </c>
      <c r="AI1504" s="142">
        <f>MIN(D1502,AE1498)</f>
        <v>0</v>
      </c>
      <c r="AJ1504" s="48">
        <f>ROUND(AI1504,2)</f>
        <v>0</v>
      </c>
      <c r="AK1504" s="48" t="str">
        <f>CONCATENATE(AC1504,AJ1504)</f>
        <v>contribution per exchange: $0</v>
      </c>
    </row>
    <row r="1505" spans="1:56" ht="14" hidden="1" customHeight="1" x14ac:dyDescent="0.3">
      <c r="A1505" s="313"/>
      <c r="B1505" s="314"/>
      <c r="C1505" s="314"/>
      <c r="D1505" s="314"/>
      <c r="E1505" s="315"/>
      <c r="F1505" s="1"/>
    </row>
    <row r="1506" spans="1:56" ht="5" hidden="1" customHeight="1" thickBot="1" x14ac:dyDescent="0.35">
      <c r="A1506" s="315"/>
      <c r="B1506" s="317"/>
      <c r="C1506" s="318"/>
      <c r="D1506" s="315"/>
      <c r="E1506" s="315"/>
      <c r="F1506" s="1"/>
      <c r="AC1506" s="312"/>
      <c r="AJ1506" s="402"/>
      <c r="BB1506" s="48"/>
    </row>
    <row r="1507" spans="1:56" ht="16" hidden="1" thickTop="1" thickBot="1" x14ac:dyDescent="0.35">
      <c r="A1507" s="324">
        <f>IF(C1507="",0,1+A1497)</f>
        <v>16</v>
      </c>
      <c r="B1507" s="325" t="s">
        <v>818</v>
      </c>
      <c r="C1507" s="326" t="str">
        <f>AM1507</f>
        <v>FIRST NAME</v>
      </c>
      <c r="D1507" s="327" t="str">
        <f>AQ1507</f>
        <v>LAST NAME</v>
      </c>
      <c r="E1507" s="315"/>
      <c r="F1507" s="1"/>
      <c r="AC1507" s="311" t="str">
        <f>IF(NOT(C1507=AM1507),C1507,"")</f>
        <v/>
      </c>
      <c r="AH1507" s="311" t="str">
        <f>IF(NOT(D1507=AQ1507),D1507,"")</f>
        <v/>
      </c>
      <c r="AM1507" s="328" t="s">
        <v>773</v>
      </c>
      <c r="AQ1507" s="328" t="s">
        <v>100</v>
      </c>
      <c r="BB1507" s="48"/>
    </row>
    <row r="1508" spans="1:56" ht="15" hidden="1" thickTop="1" thickBot="1" x14ac:dyDescent="0.35">
      <c r="A1508" s="313"/>
      <c r="B1508" s="315" t="s">
        <v>776</v>
      </c>
      <c r="C1508" s="330"/>
      <c r="D1508" s="4"/>
      <c r="E1508" s="315"/>
      <c r="F1508" s="1"/>
      <c r="AC1508" s="48">
        <f>IF(C1508="",0,1)</f>
        <v>0</v>
      </c>
      <c r="AE1508" s="48">
        <f>IF($AC$1358=1,AC$1353,0)</f>
        <v>0</v>
      </c>
      <c r="BB1508" s="48"/>
    </row>
    <row r="1509" spans="1:56" ht="14" hidden="1" customHeight="1" thickTop="1" thickBot="1" x14ac:dyDescent="0.35">
      <c r="A1509" s="313"/>
      <c r="B1509" s="331" t="s">
        <v>779</v>
      </c>
      <c r="C1509" s="330"/>
      <c r="D1509" s="332" t="str">
        <f>AS1509</f>
        <v>AWARENESS OF ISSUE</v>
      </c>
      <c r="E1509" s="315"/>
      <c r="F1509" s="1"/>
      <c r="AM1509" s="333"/>
      <c r="AN1509" s="333"/>
      <c r="AO1509" s="333"/>
      <c r="AP1509" s="333"/>
      <c r="AS1509" s="48" t="str">
        <f>AS1499</f>
        <v>AWARENESS OF ISSUE</v>
      </c>
      <c r="BB1509" s="48"/>
    </row>
    <row r="1510" spans="1:56" ht="14" hidden="1" customHeight="1" thickTop="1" thickBot="1" x14ac:dyDescent="0.35">
      <c r="A1510" s="313"/>
      <c r="B1510" s="325" t="s">
        <v>783</v>
      </c>
      <c r="C1510" s="334" t="s">
        <v>784</v>
      </c>
      <c r="D1510" s="334" t="s">
        <v>785</v>
      </c>
      <c r="E1510" s="315"/>
      <c r="F1510" s="1"/>
      <c r="BB1510" s="48"/>
    </row>
    <row r="1511" spans="1:56" ht="14" hidden="1" customHeight="1" thickTop="1" thickBot="1" x14ac:dyDescent="0.35">
      <c r="A1511" s="313"/>
      <c r="B1511" s="314" t="s">
        <v>788</v>
      </c>
      <c r="C1511" s="335" t="str">
        <f>AM1511</f>
        <v>YYYY-MM-DD</v>
      </c>
      <c r="D1511" s="335" t="str">
        <f>AM1511</f>
        <v>YYYY-MM-DD</v>
      </c>
      <c r="E1511" s="315"/>
      <c r="F1511" s="1"/>
      <c r="AH1511" s="918" t="str">
        <f>IF(NOT(D1511=AQ1511),D1511,"")</f>
        <v>YYYY-MM-DD</v>
      </c>
      <c r="AI1511" s="918"/>
      <c r="AM1511" s="328" t="s">
        <v>789</v>
      </c>
      <c r="AQ1511" s="328"/>
      <c r="BB1511" s="48"/>
    </row>
    <row r="1512" spans="1:56" ht="14" hidden="1" customHeight="1" thickTop="1" thickBot="1" x14ac:dyDescent="0.35">
      <c r="A1512" s="313"/>
      <c r="B1512" s="314" t="s">
        <v>794</v>
      </c>
      <c r="C1512" s="337"/>
      <c r="D1512" s="338" t="str">
        <f>AC1512</f>
        <v/>
      </c>
      <c r="E1512" s="315"/>
      <c r="F1512" s="1"/>
      <c r="AC1512" s="50" t="str">
        <f>IF(AND(AC$1352&gt;0,C1512=BN$1357),BM$1357,IF(AND(AC$1352&gt;0,C1512=BN$1358),BM$1358,IF(AND(AC$1352&gt;0,C1512=BN$1359),BM$1359,IF(AND(AC$1352&gt;0,C1512=BN$1360),BM$1360,IF(AND(AC$1352&gt;0,C1512=BN$1361),BM$1361,"")))))</f>
        <v/>
      </c>
      <c r="AI1512" s="1084" t="e">
        <f>AV1513/AL$1353</f>
        <v>#REF!</v>
      </c>
      <c r="AJ1512" s="1084"/>
      <c r="AK1512" s="48" t="s">
        <v>795</v>
      </c>
      <c r="AO1512" s="9" t="e">
        <f>IF(AI1512=0,"none",(AI1512*100))</f>
        <v>#REF!</v>
      </c>
      <c r="AP1512" s="48" t="e">
        <f>IF(AO1512="none"," of weekly support cost.","% of weekly support cost.")</f>
        <v>#REF!</v>
      </c>
      <c r="BB1512" s="48"/>
    </row>
    <row r="1513" spans="1:56" ht="14" hidden="1" customHeight="1" thickTop="1" thickBot="1" x14ac:dyDescent="0.35">
      <c r="A1513" s="313"/>
      <c r="B1513" s="314" t="s">
        <v>797</v>
      </c>
      <c r="C1513" s="339"/>
      <c r="D1513" s="314" t="e">
        <f>IF(NOT(AV1513&gt;0),"",AC1513)</f>
        <v>#REF!</v>
      </c>
      <c r="E1513" s="315"/>
      <c r="F1513" s="1"/>
      <c r="AC1513" s="246" t="e">
        <f>CONCATENATE(AO1513,AT1513)</f>
        <v>#REF!</v>
      </c>
      <c r="AO1513" s="48" t="s">
        <v>798</v>
      </c>
      <c r="AT1513" s="246" t="e">
        <f>DOLLAR(AV1513)</f>
        <v>#REF!</v>
      </c>
      <c r="AV1513" s="315" t="e">
        <f>IF(AND(D1512=BM$1361,C1513=#REF!),#REF!,IF(AND(D1512=BM$1361,C1513=#REF!),#REF!,IF(AND(D1512=BM$1361,C1513=#REF!),#REF!,IF(AND(D1512=BM$1361,C1513=#REF!),#REF!,IF(AND(D1512=BM$1361,C1513=#REF!),#REF!,IF(AND(D1512=BM$1361,C1513=#REF!),#REF!,0))))))</f>
        <v>#REF!</v>
      </c>
      <c r="AX1513" s="9" t="e">
        <f>DOLLAR(AZ1513)</f>
        <v>#REF!</v>
      </c>
      <c r="AZ1513" s="340" t="e">
        <f>$AJ$1353-AV1513</f>
        <v>#REF!</v>
      </c>
      <c r="BB1513" s="48"/>
      <c r="BD1513" s="302" t="e">
        <f>AV1513</f>
        <v>#REF!</v>
      </c>
    </row>
    <row r="1514" spans="1:56" ht="14" hidden="1" customHeight="1" thickTop="1" x14ac:dyDescent="0.3">
      <c r="A1514" s="313"/>
      <c r="B1514" s="314"/>
      <c r="C1514" s="314" t="e">
        <f>CONCATENATE(AK1512,AO1512,AP1512)</f>
        <v>#REF!</v>
      </c>
      <c r="D1514" s="314" t="e">
        <f>BF$1356</f>
        <v>#REF!</v>
      </c>
      <c r="E1514" s="315"/>
      <c r="F1514" s="1"/>
      <c r="AC1514" s="48" t="s">
        <v>800</v>
      </c>
      <c r="AI1514" s="142">
        <f>MIN(D1512,AE1508)</f>
        <v>0</v>
      </c>
      <c r="AJ1514" s="48">
        <f>ROUND(AI1514,2)</f>
        <v>0</v>
      </c>
      <c r="AK1514" s="48" t="str">
        <f>CONCATENATE(AC1514,AJ1514)</f>
        <v>contribution per exchange: $0</v>
      </c>
    </row>
    <row r="1515" spans="1:56" ht="14" hidden="1" customHeight="1" x14ac:dyDescent="0.3">
      <c r="A1515" s="313"/>
      <c r="B1515" s="314"/>
      <c r="C1515" s="314"/>
      <c r="D1515" s="314"/>
      <c r="E1515" s="315"/>
      <c r="F1515" s="1"/>
    </row>
    <row r="1516" spans="1:56" ht="5" hidden="1" customHeight="1" thickBot="1" x14ac:dyDescent="0.35">
      <c r="A1516" s="315"/>
      <c r="B1516" s="317"/>
      <c r="C1516" s="318"/>
      <c r="D1516" s="315"/>
      <c r="E1516" s="315"/>
      <c r="F1516" s="1"/>
      <c r="AC1516" s="312"/>
      <c r="AJ1516" s="402"/>
      <c r="BB1516" s="48"/>
    </row>
    <row r="1517" spans="1:56" ht="16" hidden="1" thickTop="1" thickBot="1" x14ac:dyDescent="0.35">
      <c r="A1517" s="324">
        <f>IF(C1517="",0,1+A1507)</f>
        <v>17</v>
      </c>
      <c r="B1517" s="325" t="s">
        <v>819</v>
      </c>
      <c r="C1517" s="326" t="str">
        <f>AM1517</f>
        <v>FIRST NAME</v>
      </c>
      <c r="D1517" s="327" t="str">
        <f>AQ1517</f>
        <v>LAST NAME</v>
      </c>
      <c r="E1517" s="315"/>
      <c r="F1517" s="1"/>
      <c r="AC1517" s="311" t="str">
        <f>IF(NOT(C1517=AM1517),C1517,"")</f>
        <v/>
      </c>
      <c r="AH1517" s="311" t="str">
        <f>IF(NOT(D1517=AQ1517),D1517,"")</f>
        <v/>
      </c>
      <c r="AM1517" s="328" t="s">
        <v>773</v>
      </c>
      <c r="AQ1517" s="328" t="s">
        <v>100</v>
      </c>
      <c r="BB1517" s="48"/>
    </row>
    <row r="1518" spans="1:56" ht="15" hidden="1" thickTop="1" thickBot="1" x14ac:dyDescent="0.35">
      <c r="A1518" s="313"/>
      <c r="B1518" s="315" t="s">
        <v>776</v>
      </c>
      <c r="C1518" s="330"/>
      <c r="D1518" s="4"/>
      <c r="E1518" s="315"/>
      <c r="F1518" s="1"/>
      <c r="AC1518" s="48">
        <f>IF(C1518="",0,1)</f>
        <v>0</v>
      </c>
      <c r="AE1518" s="48">
        <f>IF($AC$1358=1,AC$1353,0)</f>
        <v>0</v>
      </c>
      <c r="BB1518" s="48"/>
    </row>
    <row r="1519" spans="1:56" ht="14" hidden="1" customHeight="1" thickTop="1" thickBot="1" x14ac:dyDescent="0.35">
      <c r="A1519" s="313"/>
      <c r="B1519" s="331" t="s">
        <v>779</v>
      </c>
      <c r="C1519" s="330"/>
      <c r="D1519" s="332" t="str">
        <f>AS1519</f>
        <v>AWARENESS OF ISSUE</v>
      </c>
      <c r="E1519" s="315"/>
      <c r="F1519" s="1"/>
      <c r="AM1519" s="333"/>
      <c r="AN1519" s="333"/>
      <c r="AO1519" s="333"/>
      <c r="AP1519" s="333"/>
      <c r="AS1519" s="48" t="str">
        <f>AS1509</f>
        <v>AWARENESS OF ISSUE</v>
      </c>
      <c r="BB1519" s="48"/>
    </row>
    <row r="1520" spans="1:56" ht="14" hidden="1" customHeight="1" thickTop="1" thickBot="1" x14ac:dyDescent="0.35">
      <c r="A1520" s="313"/>
      <c r="B1520" s="325" t="s">
        <v>783</v>
      </c>
      <c r="C1520" s="334" t="s">
        <v>784</v>
      </c>
      <c r="D1520" s="334" t="s">
        <v>785</v>
      </c>
      <c r="E1520" s="315"/>
      <c r="F1520" s="1"/>
      <c r="BB1520" s="48"/>
    </row>
    <row r="1521" spans="1:56" ht="14" hidden="1" customHeight="1" thickTop="1" thickBot="1" x14ac:dyDescent="0.35">
      <c r="A1521" s="313"/>
      <c r="B1521" s="314" t="s">
        <v>788</v>
      </c>
      <c r="C1521" s="335" t="str">
        <f>AM1521</f>
        <v>YYYY-MM-DD</v>
      </c>
      <c r="D1521" s="335" t="str">
        <f>AM1521</f>
        <v>YYYY-MM-DD</v>
      </c>
      <c r="E1521" s="315"/>
      <c r="F1521" s="1"/>
      <c r="AH1521" s="918" t="str">
        <f>IF(NOT(D1521=AQ1521),D1521,"")</f>
        <v>YYYY-MM-DD</v>
      </c>
      <c r="AI1521" s="918"/>
      <c r="AM1521" s="328" t="s">
        <v>789</v>
      </c>
      <c r="AQ1521" s="328"/>
      <c r="BB1521" s="48"/>
    </row>
    <row r="1522" spans="1:56" ht="14" hidden="1" customHeight="1" thickTop="1" thickBot="1" x14ac:dyDescent="0.35">
      <c r="A1522" s="313"/>
      <c r="B1522" s="314" t="s">
        <v>794</v>
      </c>
      <c r="C1522" s="337"/>
      <c r="D1522" s="338" t="str">
        <f>AC1522</f>
        <v/>
      </c>
      <c r="E1522" s="315"/>
      <c r="F1522" s="1"/>
      <c r="AC1522" s="50" t="str">
        <f>IF(AND(AC$1352&gt;0,C1522=BN$1357),BM$1357,IF(AND(AC$1352&gt;0,C1522=BN$1358),BM$1358,IF(AND(AC$1352&gt;0,C1522=BN$1359),BM$1359,IF(AND(AC$1352&gt;0,C1522=BN$1360),BM$1360,IF(AND(AC$1352&gt;0,C1522=BN$1361),BM$1361,"")))))</f>
        <v/>
      </c>
      <c r="AI1522" s="1084" t="e">
        <f>AV1523/AL$1353</f>
        <v>#REF!</v>
      </c>
      <c r="AJ1522" s="1084"/>
      <c r="AK1522" s="48" t="s">
        <v>795</v>
      </c>
      <c r="AO1522" s="9" t="e">
        <f>IF(AI1522=0,"none",(AI1522*100))</f>
        <v>#REF!</v>
      </c>
      <c r="AP1522" s="48" t="e">
        <f>IF(AO1522="none"," of weekly support cost.","% of weekly support cost.")</f>
        <v>#REF!</v>
      </c>
      <c r="BB1522" s="48"/>
    </row>
    <row r="1523" spans="1:56" ht="14" hidden="1" customHeight="1" thickTop="1" thickBot="1" x14ac:dyDescent="0.35">
      <c r="A1523" s="313"/>
      <c r="B1523" s="314" t="s">
        <v>797</v>
      </c>
      <c r="C1523" s="339"/>
      <c r="D1523" s="314" t="e">
        <f>IF(NOT(AV1523&gt;0),"",AC1523)</f>
        <v>#REF!</v>
      </c>
      <c r="E1523" s="315"/>
      <c r="F1523" s="1"/>
      <c r="AC1523" s="246" t="e">
        <f>CONCATENATE(AO1523,AT1523)</f>
        <v>#REF!</v>
      </c>
      <c r="AO1523" s="48" t="s">
        <v>798</v>
      </c>
      <c r="AT1523" s="246" t="e">
        <f>DOLLAR(AV1523)</f>
        <v>#REF!</v>
      </c>
      <c r="AV1523" s="315" t="e">
        <f>IF(AND(D1522=BM$1361,C1523=#REF!),#REF!,IF(AND(D1522=BM$1361,C1523=#REF!),#REF!,IF(AND(D1522=BM$1361,C1523=#REF!),#REF!,IF(AND(D1522=BM$1361,C1523=#REF!),#REF!,IF(AND(D1522=BM$1361,C1523=#REF!),#REF!,IF(AND(D1522=BM$1361,C1523=#REF!),#REF!,0))))))</f>
        <v>#REF!</v>
      </c>
      <c r="AX1523" s="9" t="e">
        <f>DOLLAR(AZ1523)</f>
        <v>#REF!</v>
      </c>
      <c r="AZ1523" s="340" t="e">
        <f>$AJ$1353-AV1523</f>
        <v>#REF!</v>
      </c>
      <c r="BB1523" s="48"/>
      <c r="BD1523" s="302" t="e">
        <f>AV1523</f>
        <v>#REF!</v>
      </c>
    </row>
    <row r="1524" spans="1:56" ht="14" hidden="1" customHeight="1" thickTop="1" x14ac:dyDescent="0.3">
      <c r="A1524" s="313"/>
      <c r="B1524" s="314"/>
      <c r="C1524" s="314" t="e">
        <f>CONCATENATE(AK1522,AO1522,AP1522)</f>
        <v>#REF!</v>
      </c>
      <c r="D1524" s="314" t="e">
        <f>BF$1356</f>
        <v>#REF!</v>
      </c>
      <c r="E1524" s="315"/>
      <c r="F1524" s="1"/>
      <c r="AC1524" s="48" t="s">
        <v>800</v>
      </c>
      <c r="AI1524" s="142">
        <f>MIN(D1522,AE1518)</f>
        <v>0</v>
      </c>
      <c r="AJ1524" s="48">
        <f>ROUND(AI1524,2)</f>
        <v>0</v>
      </c>
      <c r="AK1524" s="48" t="str">
        <f>CONCATENATE(AC1524,AJ1524)</f>
        <v>contribution per exchange: $0</v>
      </c>
    </row>
    <row r="1525" spans="1:56" ht="14" hidden="1" customHeight="1" x14ac:dyDescent="0.3">
      <c r="A1525" s="313"/>
      <c r="B1525" s="314"/>
      <c r="C1525" s="314"/>
      <c r="D1525" s="314"/>
      <c r="E1525" s="315"/>
      <c r="F1525" s="1"/>
    </row>
    <row r="1526" spans="1:56" ht="5" hidden="1" customHeight="1" thickBot="1" x14ac:dyDescent="0.35">
      <c r="A1526" s="315"/>
      <c r="B1526" s="317"/>
      <c r="C1526" s="318"/>
      <c r="D1526" s="315"/>
      <c r="E1526" s="315"/>
      <c r="F1526" s="1"/>
      <c r="AC1526" s="312"/>
      <c r="AJ1526" s="402"/>
      <c r="BB1526" s="48"/>
    </row>
    <row r="1527" spans="1:56" ht="16" hidden="1" thickTop="1" thickBot="1" x14ac:dyDescent="0.35">
      <c r="A1527" s="324">
        <f>IF(C1527="",0,1+A1517)</f>
        <v>18</v>
      </c>
      <c r="B1527" s="325" t="s">
        <v>820</v>
      </c>
      <c r="C1527" s="326" t="str">
        <f>AM1527</f>
        <v>FIRST NAME</v>
      </c>
      <c r="D1527" s="327" t="str">
        <f>AQ1527</f>
        <v>LAST NAME</v>
      </c>
      <c r="E1527" s="315"/>
      <c r="F1527" s="1"/>
      <c r="AC1527" s="311" t="str">
        <f>IF(NOT(C1527=AM1527),C1527,"")</f>
        <v/>
      </c>
      <c r="AH1527" s="311" t="str">
        <f>IF(NOT(D1527=AQ1527),D1527,"")</f>
        <v/>
      </c>
      <c r="AM1527" s="328" t="s">
        <v>773</v>
      </c>
      <c r="AQ1527" s="328" t="s">
        <v>100</v>
      </c>
      <c r="BB1527" s="48"/>
    </row>
    <row r="1528" spans="1:56" ht="15" hidden="1" thickTop="1" thickBot="1" x14ac:dyDescent="0.35">
      <c r="A1528" s="313"/>
      <c r="B1528" s="315" t="s">
        <v>776</v>
      </c>
      <c r="C1528" s="330"/>
      <c r="D1528" s="4"/>
      <c r="E1528" s="315"/>
      <c r="F1528" s="1"/>
      <c r="AC1528" s="48">
        <f>IF(C1528="",0,1)</f>
        <v>0</v>
      </c>
      <c r="AE1528" s="48">
        <f>IF($AC$1358=1,AC$1353,0)</f>
        <v>0</v>
      </c>
      <c r="BB1528" s="48"/>
    </row>
    <row r="1529" spans="1:56" ht="14" hidden="1" customHeight="1" thickTop="1" thickBot="1" x14ac:dyDescent="0.35">
      <c r="A1529" s="313"/>
      <c r="B1529" s="331" t="s">
        <v>779</v>
      </c>
      <c r="C1529" s="330"/>
      <c r="D1529" s="332" t="str">
        <f>AS1529</f>
        <v>AWARENESS OF ISSUE</v>
      </c>
      <c r="E1529" s="315"/>
      <c r="F1529" s="1"/>
      <c r="AM1529" s="333"/>
      <c r="AN1529" s="333"/>
      <c r="AO1529" s="333"/>
      <c r="AP1529" s="333"/>
      <c r="AS1529" s="48" t="str">
        <f>AS1519</f>
        <v>AWARENESS OF ISSUE</v>
      </c>
      <c r="BB1529" s="48"/>
    </row>
    <row r="1530" spans="1:56" ht="14" hidden="1" customHeight="1" thickTop="1" thickBot="1" x14ac:dyDescent="0.35">
      <c r="A1530" s="313"/>
      <c r="B1530" s="325" t="s">
        <v>783</v>
      </c>
      <c r="C1530" s="334" t="s">
        <v>784</v>
      </c>
      <c r="D1530" s="334" t="s">
        <v>785</v>
      </c>
      <c r="E1530" s="315"/>
      <c r="F1530" s="1"/>
      <c r="BB1530" s="48"/>
    </row>
    <row r="1531" spans="1:56" ht="14" hidden="1" customHeight="1" thickTop="1" thickBot="1" x14ac:dyDescent="0.35">
      <c r="A1531" s="313"/>
      <c r="B1531" s="314" t="s">
        <v>788</v>
      </c>
      <c r="C1531" s="335" t="str">
        <f>AM1531</f>
        <v>YYYY-MM-DD</v>
      </c>
      <c r="D1531" s="335" t="str">
        <f>AM1531</f>
        <v>YYYY-MM-DD</v>
      </c>
      <c r="E1531" s="315"/>
      <c r="F1531" s="1"/>
      <c r="AH1531" s="918" t="str">
        <f>IF(NOT(D1531=AQ1531),D1531,"")</f>
        <v>YYYY-MM-DD</v>
      </c>
      <c r="AI1531" s="918"/>
      <c r="AM1531" s="328" t="s">
        <v>789</v>
      </c>
      <c r="AQ1531" s="328"/>
      <c r="BB1531" s="48"/>
    </row>
    <row r="1532" spans="1:56" ht="14" hidden="1" customHeight="1" thickTop="1" thickBot="1" x14ac:dyDescent="0.35">
      <c r="A1532" s="313"/>
      <c r="B1532" s="314" t="s">
        <v>794</v>
      </c>
      <c r="C1532" s="337"/>
      <c r="D1532" s="338" t="str">
        <f>AC1532</f>
        <v/>
      </c>
      <c r="E1532" s="315"/>
      <c r="F1532" s="1"/>
      <c r="AC1532" s="50" t="str">
        <f>IF(AND(AC$1352&gt;0,C1532=BN$1357),BM$1357,IF(AND(AC$1352&gt;0,C1532=BN$1358),BM$1358,IF(AND(AC$1352&gt;0,C1532=BN$1359),BM$1359,IF(AND(AC$1352&gt;0,C1532=BN$1360),BM$1360,IF(AND(AC$1352&gt;0,C1532=BN$1361),BM$1361,"")))))</f>
        <v/>
      </c>
      <c r="AI1532" s="1084" t="e">
        <f>AV1533/AL$1353</f>
        <v>#REF!</v>
      </c>
      <c r="AJ1532" s="1084"/>
      <c r="AK1532" s="48" t="s">
        <v>795</v>
      </c>
      <c r="AO1532" s="9" t="e">
        <f>IF(AI1532=0,"none",(AI1532*100))</f>
        <v>#REF!</v>
      </c>
      <c r="AP1532" s="48" t="e">
        <f>IF(AO1532="none"," of weekly support cost.","% of weekly support cost.")</f>
        <v>#REF!</v>
      </c>
      <c r="BB1532" s="48"/>
    </row>
    <row r="1533" spans="1:56" ht="14" hidden="1" customHeight="1" thickTop="1" thickBot="1" x14ac:dyDescent="0.35">
      <c r="A1533" s="313"/>
      <c r="B1533" s="314" t="s">
        <v>797</v>
      </c>
      <c r="C1533" s="339"/>
      <c r="D1533" s="314" t="e">
        <f>IF(NOT(AV1533&gt;0),"",AC1533)</f>
        <v>#REF!</v>
      </c>
      <c r="E1533" s="315"/>
      <c r="F1533" s="1"/>
      <c r="AC1533" s="246" t="e">
        <f>CONCATENATE(AO1533,AT1533)</f>
        <v>#REF!</v>
      </c>
      <c r="AO1533" s="48" t="s">
        <v>798</v>
      </c>
      <c r="AT1533" s="246" t="e">
        <f>DOLLAR(AV1533)</f>
        <v>#REF!</v>
      </c>
      <c r="AV1533" s="315" t="e">
        <f>IF(AND(D1532=BM$1361,C1533=#REF!),#REF!,IF(AND(D1532=BM$1361,C1533=#REF!),#REF!,IF(AND(D1532=BM$1361,C1533=#REF!),#REF!,IF(AND(D1532=BM$1361,C1533=#REF!),#REF!,IF(AND(D1532=BM$1361,C1533=#REF!),#REF!,IF(AND(D1532=BM$1361,C1533=#REF!),#REF!,0))))))</f>
        <v>#REF!</v>
      </c>
      <c r="AX1533" s="9" t="e">
        <f>DOLLAR(AZ1533)</f>
        <v>#REF!</v>
      </c>
      <c r="AZ1533" s="340" t="e">
        <f>$AJ$1353-AV1533</f>
        <v>#REF!</v>
      </c>
      <c r="BB1533" s="48"/>
      <c r="BD1533" s="302" t="e">
        <f>AV1533</f>
        <v>#REF!</v>
      </c>
    </row>
    <row r="1534" spans="1:56" ht="14" hidden="1" customHeight="1" thickTop="1" x14ac:dyDescent="0.3">
      <c r="A1534" s="313"/>
      <c r="B1534" s="314"/>
      <c r="C1534" s="314" t="e">
        <f>CONCATENATE(AK1532,AO1532,AP1532)</f>
        <v>#REF!</v>
      </c>
      <c r="D1534" s="314" t="e">
        <f>BF$1356</f>
        <v>#REF!</v>
      </c>
      <c r="E1534" s="315"/>
      <c r="F1534" s="1"/>
      <c r="AC1534" s="48" t="s">
        <v>800</v>
      </c>
      <c r="AI1534" s="142">
        <f>MIN(D1532,AE1528)</f>
        <v>0</v>
      </c>
      <c r="AJ1534" s="48">
        <f>ROUND(AI1534,2)</f>
        <v>0</v>
      </c>
      <c r="AK1534" s="48" t="str">
        <f>CONCATENATE(AC1534,AJ1534)</f>
        <v>contribution per exchange: $0</v>
      </c>
    </row>
    <row r="1535" spans="1:56" ht="14" hidden="1" customHeight="1" x14ac:dyDescent="0.3">
      <c r="A1535" s="313"/>
      <c r="B1535" s="314"/>
      <c r="C1535" s="314"/>
      <c r="D1535" s="314"/>
      <c r="E1535" s="315"/>
      <c r="F1535" s="1"/>
    </row>
    <row r="1536" spans="1:56" ht="5" hidden="1" customHeight="1" thickBot="1" x14ac:dyDescent="0.35">
      <c r="A1536" s="315"/>
      <c r="B1536" s="317"/>
      <c r="C1536" s="318"/>
      <c r="D1536" s="315"/>
      <c r="E1536" s="315"/>
      <c r="F1536" s="1"/>
      <c r="AC1536" s="312"/>
      <c r="AJ1536" s="402"/>
      <c r="BB1536" s="48"/>
    </row>
    <row r="1537" spans="1:56" ht="16" hidden="1" thickTop="1" thickBot="1" x14ac:dyDescent="0.35">
      <c r="A1537" s="324">
        <f>IF(C1537="",0,1+A1527)</f>
        <v>19</v>
      </c>
      <c r="B1537" s="325" t="s">
        <v>821</v>
      </c>
      <c r="C1537" s="326" t="str">
        <f>AM1537</f>
        <v>FIRST NAME</v>
      </c>
      <c r="D1537" s="327" t="str">
        <f>AQ1537</f>
        <v>LAST NAME</v>
      </c>
      <c r="E1537" s="315"/>
      <c r="F1537" s="1"/>
      <c r="AC1537" s="311" t="str">
        <f>IF(NOT(C1537=AM1537),C1537,"")</f>
        <v/>
      </c>
      <c r="AH1537" s="311" t="str">
        <f>IF(NOT(D1537=AQ1537),D1537,"")</f>
        <v/>
      </c>
      <c r="AM1537" s="328" t="s">
        <v>773</v>
      </c>
      <c r="AQ1537" s="328" t="s">
        <v>100</v>
      </c>
      <c r="BB1537" s="48"/>
    </row>
    <row r="1538" spans="1:56" ht="15" hidden="1" thickTop="1" thickBot="1" x14ac:dyDescent="0.35">
      <c r="A1538" s="313"/>
      <c r="B1538" s="315" t="s">
        <v>776</v>
      </c>
      <c r="C1538" s="330"/>
      <c r="D1538" s="4"/>
      <c r="E1538" s="315"/>
      <c r="F1538" s="1"/>
      <c r="AC1538" s="48">
        <f>IF(C1538="",0,1)</f>
        <v>0</v>
      </c>
      <c r="AE1538" s="48">
        <f>IF($AC$1358=1,AC$1353,0)</f>
        <v>0</v>
      </c>
      <c r="BB1538" s="48"/>
    </row>
    <row r="1539" spans="1:56" ht="14" hidden="1" customHeight="1" thickTop="1" thickBot="1" x14ac:dyDescent="0.35">
      <c r="A1539" s="313"/>
      <c r="B1539" s="331" t="s">
        <v>779</v>
      </c>
      <c r="C1539" s="330"/>
      <c r="D1539" s="332" t="str">
        <f>AS1539</f>
        <v>AWARENESS OF ISSUE</v>
      </c>
      <c r="E1539" s="315"/>
      <c r="F1539" s="1"/>
      <c r="AM1539" s="333"/>
      <c r="AN1539" s="333"/>
      <c r="AO1539" s="333"/>
      <c r="AP1539" s="333"/>
      <c r="AS1539" s="48" t="str">
        <f>AS1529</f>
        <v>AWARENESS OF ISSUE</v>
      </c>
      <c r="BB1539" s="48"/>
    </row>
    <row r="1540" spans="1:56" ht="14" hidden="1" customHeight="1" thickTop="1" thickBot="1" x14ac:dyDescent="0.35">
      <c r="A1540" s="313"/>
      <c r="B1540" s="325" t="s">
        <v>783</v>
      </c>
      <c r="C1540" s="334" t="s">
        <v>784</v>
      </c>
      <c r="D1540" s="334" t="s">
        <v>785</v>
      </c>
      <c r="E1540" s="315"/>
      <c r="F1540" s="1"/>
      <c r="BB1540" s="48"/>
    </row>
    <row r="1541" spans="1:56" ht="14" hidden="1" customHeight="1" thickTop="1" thickBot="1" x14ac:dyDescent="0.35">
      <c r="A1541" s="313"/>
      <c r="B1541" s="314" t="s">
        <v>788</v>
      </c>
      <c r="C1541" s="335" t="str">
        <f>AM1541</f>
        <v>YYYY-MM-DD</v>
      </c>
      <c r="D1541" s="335" t="str">
        <f>AM1541</f>
        <v>YYYY-MM-DD</v>
      </c>
      <c r="E1541" s="315"/>
      <c r="F1541" s="1"/>
      <c r="AH1541" s="918" t="str">
        <f>IF(NOT(D1541=AQ1541),D1541,"")</f>
        <v>YYYY-MM-DD</v>
      </c>
      <c r="AI1541" s="918"/>
      <c r="AM1541" s="328" t="s">
        <v>789</v>
      </c>
      <c r="AQ1541" s="328"/>
      <c r="BB1541" s="48"/>
    </row>
    <row r="1542" spans="1:56" ht="14" hidden="1" customHeight="1" thickTop="1" thickBot="1" x14ac:dyDescent="0.35">
      <c r="A1542" s="313"/>
      <c r="B1542" s="314" t="s">
        <v>794</v>
      </c>
      <c r="C1542" s="337"/>
      <c r="D1542" s="338" t="str">
        <f>AC1542</f>
        <v/>
      </c>
      <c r="E1542" s="315"/>
      <c r="F1542" s="1"/>
      <c r="AC1542" s="50" t="str">
        <f>IF(AND(AC$1352&gt;0,C1542=BN$1357),BM$1357,IF(AND(AC$1352&gt;0,C1542=BN$1358),BM$1358,IF(AND(AC$1352&gt;0,C1542=BN$1359),BM$1359,IF(AND(AC$1352&gt;0,C1542=BN$1360),BM$1360,IF(AND(AC$1352&gt;0,C1542=BN$1361),BM$1361,"")))))</f>
        <v/>
      </c>
      <c r="AI1542" s="1084" t="e">
        <f>AV1543/AL$1353</f>
        <v>#REF!</v>
      </c>
      <c r="AJ1542" s="1084"/>
      <c r="AK1542" s="48" t="s">
        <v>795</v>
      </c>
      <c r="AO1542" s="9" t="e">
        <f>IF(AI1542=0,"none",(AI1542*100))</f>
        <v>#REF!</v>
      </c>
      <c r="AP1542" s="48" t="e">
        <f>IF(AO1542="none"," of weekly support cost.","% of weekly support cost.")</f>
        <v>#REF!</v>
      </c>
      <c r="BB1542" s="48"/>
    </row>
    <row r="1543" spans="1:56" ht="14" hidden="1" customHeight="1" thickTop="1" thickBot="1" x14ac:dyDescent="0.35">
      <c r="A1543" s="313"/>
      <c r="B1543" s="314" t="s">
        <v>797</v>
      </c>
      <c r="C1543" s="339"/>
      <c r="D1543" s="314" t="e">
        <f>IF(NOT(AV1543&gt;0),"",AC1543)</f>
        <v>#REF!</v>
      </c>
      <c r="E1543" s="315"/>
      <c r="F1543" s="1"/>
      <c r="AC1543" s="246" t="e">
        <f>CONCATENATE(AO1543,AT1543)</f>
        <v>#REF!</v>
      </c>
      <c r="AO1543" s="48" t="s">
        <v>798</v>
      </c>
      <c r="AT1543" s="246" t="e">
        <f>DOLLAR(AV1543)</f>
        <v>#REF!</v>
      </c>
      <c r="AV1543" s="315" t="e">
        <f>IF(AND(D1542=BM$1361,C1543=#REF!),#REF!,IF(AND(D1542=BM$1361,C1543=#REF!),#REF!,IF(AND(D1542=BM$1361,C1543=#REF!),#REF!,IF(AND(D1542=BM$1361,C1543=#REF!),#REF!,IF(AND(D1542=BM$1361,C1543=#REF!),#REF!,IF(AND(D1542=BM$1361,C1543=#REF!),#REF!,0))))))</f>
        <v>#REF!</v>
      </c>
      <c r="AX1543" s="9" t="e">
        <f>DOLLAR(AZ1543)</f>
        <v>#REF!</v>
      </c>
      <c r="AZ1543" s="340" t="e">
        <f>$AJ$1353-AV1543</f>
        <v>#REF!</v>
      </c>
      <c r="BB1543" s="48"/>
      <c r="BD1543" s="302" t="e">
        <f>AV1543</f>
        <v>#REF!</v>
      </c>
    </row>
    <row r="1544" spans="1:56" ht="14" hidden="1" customHeight="1" thickTop="1" x14ac:dyDescent="0.3">
      <c r="A1544" s="313"/>
      <c r="B1544" s="314"/>
      <c r="C1544" s="314" t="e">
        <f>CONCATENATE(AK1542,AO1542,AP1542)</f>
        <v>#REF!</v>
      </c>
      <c r="D1544" s="314" t="e">
        <f>BF$1356</f>
        <v>#REF!</v>
      </c>
      <c r="E1544" s="315"/>
      <c r="F1544" s="1"/>
      <c r="AC1544" s="48" t="s">
        <v>800</v>
      </c>
      <c r="AI1544" s="142">
        <f>MIN(D1542,AE1538)</f>
        <v>0</v>
      </c>
      <c r="AJ1544" s="48">
        <f>ROUND(AI1544,2)</f>
        <v>0</v>
      </c>
      <c r="AK1544" s="48" t="str">
        <f>CONCATENATE(AC1544,AJ1544)</f>
        <v>contribution per exchange: $0</v>
      </c>
    </row>
    <row r="1545" spans="1:56" ht="18" hidden="1" customHeight="1" x14ac:dyDescent="0.3">
      <c r="A1545" s="313"/>
      <c r="B1545" s="314"/>
      <c r="C1545" s="314"/>
      <c r="D1545" s="314"/>
      <c r="E1545" s="315"/>
      <c r="F1545" s="1"/>
    </row>
    <row r="1546" spans="1:56" ht="5" hidden="1" customHeight="1" thickBot="1" x14ac:dyDescent="0.35">
      <c r="A1546" s="315"/>
      <c r="B1546" s="317"/>
      <c r="C1546" s="318"/>
      <c r="D1546" s="315"/>
      <c r="E1546" s="315"/>
      <c r="F1546" s="1"/>
      <c r="AC1546" s="312"/>
      <c r="AJ1546" s="402"/>
      <c r="BB1546" s="48"/>
    </row>
    <row r="1547" spans="1:56" ht="16" hidden="1" thickTop="1" thickBot="1" x14ac:dyDescent="0.35">
      <c r="A1547" s="324">
        <f>IF(C1547="",0,1+A1537)</f>
        <v>20</v>
      </c>
      <c r="B1547" s="325" t="s">
        <v>822</v>
      </c>
      <c r="C1547" s="326" t="str">
        <f>AM1547</f>
        <v>FIRST NAME</v>
      </c>
      <c r="D1547" s="327" t="str">
        <f>AQ1547</f>
        <v>LAST NAME</v>
      </c>
      <c r="E1547" s="315"/>
      <c r="F1547" s="1"/>
      <c r="AC1547" s="311" t="str">
        <f>IF(NOT(C1547=AM1547),C1547,"")</f>
        <v/>
      </c>
      <c r="AH1547" s="311" t="str">
        <f>IF(NOT(D1547=AQ1547),D1547,"")</f>
        <v/>
      </c>
      <c r="AM1547" s="328" t="s">
        <v>773</v>
      </c>
      <c r="AQ1547" s="328" t="s">
        <v>100</v>
      </c>
      <c r="BB1547" s="48"/>
    </row>
    <row r="1548" spans="1:56" ht="15" hidden="1" thickTop="1" thickBot="1" x14ac:dyDescent="0.35">
      <c r="A1548" s="313"/>
      <c r="B1548" s="315" t="s">
        <v>776</v>
      </c>
      <c r="C1548" s="330"/>
      <c r="D1548" s="4"/>
      <c r="E1548" s="315"/>
      <c r="F1548" s="1"/>
      <c r="AC1548" s="48">
        <f>IF(C1548="",0,1)</f>
        <v>0</v>
      </c>
      <c r="AE1548" s="48">
        <f>IF($AC$1358=1,AC$1353,0)</f>
        <v>0</v>
      </c>
      <c r="BB1548" s="48"/>
    </row>
    <row r="1549" spans="1:56" ht="14" hidden="1" customHeight="1" thickTop="1" thickBot="1" x14ac:dyDescent="0.35">
      <c r="A1549" s="313"/>
      <c r="B1549" s="331" t="s">
        <v>779</v>
      </c>
      <c r="C1549" s="330"/>
      <c r="D1549" s="332" t="str">
        <f>AS1549</f>
        <v>AWARENESS OF ISSUE</v>
      </c>
      <c r="E1549" s="315"/>
      <c r="F1549" s="1"/>
      <c r="AM1549" s="333"/>
      <c r="AN1549" s="333"/>
      <c r="AO1549" s="333"/>
      <c r="AP1549" s="333"/>
      <c r="AS1549" s="48" t="str">
        <f>AS1539</f>
        <v>AWARENESS OF ISSUE</v>
      </c>
      <c r="BB1549" s="48"/>
    </row>
    <row r="1550" spans="1:56" ht="14" hidden="1" customHeight="1" thickTop="1" thickBot="1" x14ac:dyDescent="0.35">
      <c r="A1550" s="313"/>
      <c r="B1550" s="325" t="s">
        <v>783</v>
      </c>
      <c r="C1550" s="334" t="s">
        <v>784</v>
      </c>
      <c r="D1550" s="334" t="s">
        <v>785</v>
      </c>
      <c r="E1550" s="315"/>
      <c r="F1550" s="1"/>
      <c r="BB1550" s="48"/>
    </row>
    <row r="1551" spans="1:56" ht="14" hidden="1" customHeight="1" thickTop="1" thickBot="1" x14ac:dyDescent="0.35">
      <c r="A1551" s="313"/>
      <c r="B1551" s="314" t="s">
        <v>788</v>
      </c>
      <c r="C1551" s="335" t="str">
        <f>AM1551</f>
        <v>YYYY-MM-DD</v>
      </c>
      <c r="D1551" s="335" t="str">
        <f>AM1551</f>
        <v>YYYY-MM-DD</v>
      </c>
      <c r="E1551" s="315"/>
      <c r="F1551" s="1"/>
      <c r="AH1551" s="918" t="str">
        <f>IF(NOT(D1551=AQ1551),D1551,"")</f>
        <v>YYYY-MM-DD</v>
      </c>
      <c r="AI1551" s="918"/>
      <c r="AM1551" s="328" t="s">
        <v>789</v>
      </c>
      <c r="AQ1551" s="328"/>
      <c r="BB1551" s="48"/>
    </row>
    <row r="1552" spans="1:56" ht="14" hidden="1" customHeight="1" thickTop="1" thickBot="1" x14ac:dyDescent="0.35">
      <c r="A1552" s="313"/>
      <c r="B1552" s="314" t="s">
        <v>794</v>
      </c>
      <c r="C1552" s="337"/>
      <c r="D1552" s="338" t="str">
        <f>AC1552</f>
        <v/>
      </c>
      <c r="E1552" s="315"/>
      <c r="F1552" s="1"/>
      <c r="AC1552" s="50" t="str">
        <f>IF(AND(AC$1352&gt;0,C1552=BN$1357),BM$1357,IF(AND(AC$1352&gt;0,C1552=BN$1358),BM$1358,IF(AND(AC$1352&gt;0,C1552=BN$1359),BM$1359,IF(AND(AC$1352&gt;0,C1552=BN$1360),BM$1360,IF(AND(AC$1352&gt;0,C1552=BN$1361),BM$1361,"")))))</f>
        <v/>
      </c>
      <c r="AI1552" s="1084" t="e">
        <f>AV1553/AL$1353</f>
        <v>#REF!</v>
      </c>
      <c r="AJ1552" s="1084"/>
      <c r="AK1552" s="48" t="s">
        <v>795</v>
      </c>
      <c r="AO1552" s="9" t="e">
        <f>IF(AI1552=0,"none",(AI1552*100))</f>
        <v>#REF!</v>
      </c>
      <c r="AP1552" s="48" t="e">
        <f>IF(AO1552="none"," of weekly support cost.","% of weekly support cost.")</f>
        <v>#REF!</v>
      </c>
      <c r="BB1552" s="48"/>
    </row>
    <row r="1553" spans="1:56" ht="14" hidden="1" customHeight="1" thickTop="1" thickBot="1" x14ac:dyDescent="0.35">
      <c r="A1553" s="313"/>
      <c r="B1553" s="314" t="s">
        <v>797</v>
      </c>
      <c r="C1553" s="339"/>
      <c r="D1553" s="314" t="e">
        <f>IF(NOT(AV1553&gt;0),"",AC1553)</f>
        <v>#REF!</v>
      </c>
      <c r="E1553" s="315"/>
      <c r="F1553" s="1"/>
      <c r="AC1553" s="246" t="e">
        <f>CONCATENATE(AO1553,AT1553)</f>
        <v>#REF!</v>
      </c>
      <c r="AO1553" s="48" t="s">
        <v>798</v>
      </c>
      <c r="AT1553" s="246" t="e">
        <f>DOLLAR(AV1553)</f>
        <v>#REF!</v>
      </c>
      <c r="AV1553" s="315" t="e">
        <f>IF(AND(D1552=BM$1361,C1553=#REF!),#REF!,IF(AND(D1552=BM$1361,C1553=#REF!),#REF!,IF(AND(D1552=BM$1361,C1553=#REF!),#REF!,IF(AND(D1552=BM$1361,C1553=#REF!),#REF!,IF(AND(D1552=BM$1361,C1553=#REF!),#REF!,IF(AND(D1552=BM$1361,C1553=#REF!),#REF!,0))))))</f>
        <v>#REF!</v>
      </c>
      <c r="AX1553" s="9" t="e">
        <f>DOLLAR(AZ1553)</f>
        <v>#REF!</v>
      </c>
      <c r="AZ1553" s="340" t="e">
        <f>$AJ$1353-AV1553</f>
        <v>#REF!</v>
      </c>
      <c r="BB1553" s="48"/>
      <c r="BD1553" s="302" t="e">
        <f>AV1553</f>
        <v>#REF!</v>
      </c>
    </row>
    <row r="1554" spans="1:56" ht="14" hidden="1" customHeight="1" thickTop="1" x14ac:dyDescent="0.3">
      <c r="A1554" s="313"/>
      <c r="B1554" s="314"/>
      <c r="C1554" s="314" t="e">
        <f>CONCATENATE(AK1552,AO1552,AP1552)</f>
        <v>#REF!</v>
      </c>
      <c r="D1554" s="314" t="e">
        <f>BF$1356</f>
        <v>#REF!</v>
      </c>
      <c r="E1554" s="315"/>
      <c r="F1554" s="1"/>
      <c r="AC1554" s="48" t="s">
        <v>800</v>
      </c>
      <c r="AI1554" s="142">
        <f>MIN(D1552,AE1548)</f>
        <v>0</v>
      </c>
      <c r="AJ1554" s="48">
        <f>ROUND(AI1554,2)</f>
        <v>0</v>
      </c>
      <c r="AK1554" s="48" t="str">
        <f>CONCATENATE(AC1554,AJ1554)</f>
        <v>contribution per exchange: $0</v>
      </c>
    </row>
    <row r="1555" spans="1:56" ht="14" hidden="1" customHeight="1" x14ac:dyDescent="0.3">
      <c r="A1555" s="313"/>
      <c r="B1555" s="314"/>
      <c r="C1555" s="314"/>
      <c r="D1555" s="314"/>
      <c r="E1555" s="315"/>
      <c r="F1555" s="1"/>
    </row>
    <row r="1556" spans="1:56" ht="5" hidden="1" customHeight="1" thickBot="1" x14ac:dyDescent="0.35">
      <c r="A1556" s="315"/>
      <c r="B1556" s="317"/>
      <c r="C1556" s="318"/>
      <c r="D1556" s="315"/>
      <c r="E1556" s="315"/>
      <c r="F1556" s="1"/>
      <c r="AC1556" s="312"/>
      <c r="AJ1556" s="402"/>
      <c r="BB1556" s="48"/>
    </row>
    <row r="1557" spans="1:56" ht="16" hidden="1" thickTop="1" thickBot="1" x14ac:dyDescent="0.35">
      <c r="A1557" s="324">
        <f>IF(C1557="",0,1+A1547)</f>
        <v>21</v>
      </c>
      <c r="B1557" s="325" t="s">
        <v>823</v>
      </c>
      <c r="C1557" s="326" t="str">
        <f>AM1557</f>
        <v>FIRST NAME</v>
      </c>
      <c r="D1557" s="327" t="str">
        <f>AQ1557</f>
        <v>LAST NAME</v>
      </c>
      <c r="E1557" s="315"/>
      <c r="F1557" s="1"/>
      <c r="AC1557" s="311" t="str">
        <f>IF(NOT(C1557=AM1557),C1557,"")</f>
        <v/>
      </c>
      <c r="AH1557" s="311" t="str">
        <f>IF(NOT(D1557=AQ1557),D1557,"")</f>
        <v/>
      </c>
      <c r="AM1557" s="328" t="s">
        <v>773</v>
      </c>
      <c r="AQ1557" s="328" t="s">
        <v>100</v>
      </c>
      <c r="BB1557" s="48"/>
    </row>
    <row r="1558" spans="1:56" ht="15" hidden="1" thickTop="1" thickBot="1" x14ac:dyDescent="0.35">
      <c r="A1558" s="313"/>
      <c r="B1558" s="315" t="s">
        <v>776</v>
      </c>
      <c r="C1558" s="330"/>
      <c r="D1558" s="4"/>
      <c r="E1558" s="315"/>
      <c r="F1558" s="1"/>
      <c r="AC1558" s="48">
        <f>IF(C1558="",0,1)</f>
        <v>0</v>
      </c>
      <c r="AE1558" s="48">
        <f>IF($AC$1358=1,AC$1353,0)</f>
        <v>0</v>
      </c>
      <c r="BB1558" s="48"/>
    </row>
    <row r="1559" spans="1:56" ht="14" hidden="1" customHeight="1" thickTop="1" thickBot="1" x14ac:dyDescent="0.35">
      <c r="A1559" s="313"/>
      <c r="B1559" s="331" t="s">
        <v>779</v>
      </c>
      <c r="C1559" s="330"/>
      <c r="D1559" s="332" t="str">
        <f>AS1559</f>
        <v>AWARENESS OF ISSUE</v>
      </c>
      <c r="E1559" s="315"/>
      <c r="F1559" s="1"/>
      <c r="AM1559" s="333"/>
      <c r="AN1559" s="333"/>
      <c r="AO1559" s="333"/>
      <c r="AP1559" s="333"/>
      <c r="AS1559" s="48" t="str">
        <f>AS1549</f>
        <v>AWARENESS OF ISSUE</v>
      </c>
      <c r="BB1559" s="48"/>
    </row>
    <row r="1560" spans="1:56" ht="14" hidden="1" customHeight="1" thickTop="1" thickBot="1" x14ac:dyDescent="0.35">
      <c r="A1560" s="313"/>
      <c r="B1560" s="325" t="s">
        <v>783</v>
      </c>
      <c r="C1560" s="334" t="s">
        <v>784</v>
      </c>
      <c r="D1560" s="334" t="s">
        <v>785</v>
      </c>
      <c r="E1560" s="315"/>
      <c r="F1560" s="1"/>
      <c r="BB1560" s="48"/>
    </row>
    <row r="1561" spans="1:56" ht="14" hidden="1" customHeight="1" thickTop="1" thickBot="1" x14ac:dyDescent="0.35">
      <c r="A1561" s="313"/>
      <c r="B1561" s="314" t="s">
        <v>788</v>
      </c>
      <c r="C1561" s="335" t="str">
        <f>AM1561</f>
        <v>YYYY-MM-DD</v>
      </c>
      <c r="D1561" s="335" t="str">
        <f>AM1561</f>
        <v>YYYY-MM-DD</v>
      </c>
      <c r="E1561" s="315"/>
      <c r="F1561" s="1"/>
      <c r="AH1561" s="918" t="str">
        <f>IF(NOT(D1561=AQ1561),D1561,"")</f>
        <v>YYYY-MM-DD</v>
      </c>
      <c r="AI1561" s="918"/>
      <c r="AM1561" s="328" t="s">
        <v>789</v>
      </c>
      <c r="AQ1561" s="328"/>
      <c r="BB1561" s="48"/>
    </row>
    <row r="1562" spans="1:56" ht="14" hidden="1" customHeight="1" thickTop="1" thickBot="1" x14ac:dyDescent="0.35">
      <c r="A1562" s="313"/>
      <c r="B1562" s="314" t="s">
        <v>794</v>
      </c>
      <c r="C1562" s="337"/>
      <c r="D1562" s="338" t="str">
        <f>AC1562</f>
        <v/>
      </c>
      <c r="E1562" s="315"/>
      <c r="F1562" s="1"/>
      <c r="AC1562" s="50" t="str">
        <f>IF(AND(AC$1352&gt;0,C1562=BN$1357),BM$1357,IF(AND(AC$1352&gt;0,C1562=BN$1358),BM$1358,IF(AND(AC$1352&gt;0,C1562=BN$1359),BM$1359,IF(AND(AC$1352&gt;0,C1562=BN$1360),BM$1360,IF(AND(AC$1352&gt;0,C1562=BN$1361),BM$1361,"")))))</f>
        <v/>
      </c>
      <c r="AI1562" s="1084" t="e">
        <f>AV1563/AL$1353</f>
        <v>#REF!</v>
      </c>
      <c r="AJ1562" s="1084"/>
      <c r="AK1562" s="48" t="s">
        <v>795</v>
      </c>
      <c r="AO1562" s="9" t="e">
        <f>IF(AI1562=0,"none",(AI1562*100))</f>
        <v>#REF!</v>
      </c>
      <c r="AP1562" s="48" t="e">
        <f>IF(AO1562="none"," of weekly support cost.","% of weekly support cost.")</f>
        <v>#REF!</v>
      </c>
      <c r="BB1562" s="48"/>
    </row>
    <row r="1563" spans="1:56" ht="14" hidden="1" customHeight="1" thickTop="1" thickBot="1" x14ac:dyDescent="0.35">
      <c r="A1563" s="313"/>
      <c r="B1563" s="314" t="s">
        <v>797</v>
      </c>
      <c r="C1563" s="339"/>
      <c r="D1563" s="314" t="e">
        <f>IF(NOT(AV1563&gt;0),"",AC1563)</f>
        <v>#REF!</v>
      </c>
      <c r="E1563" s="315"/>
      <c r="F1563" s="1"/>
      <c r="AC1563" s="246" t="e">
        <f>CONCATENATE(AO1563,AT1563)</f>
        <v>#REF!</v>
      </c>
      <c r="AO1563" s="48" t="s">
        <v>798</v>
      </c>
      <c r="AT1563" s="246" t="e">
        <f>DOLLAR(AV1563)</f>
        <v>#REF!</v>
      </c>
      <c r="AV1563" s="315" t="e">
        <f>IF(AND(D1562=BM$1361,C1563=#REF!),#REF!,IF(AND(D1562=BM$1361,C1563=#REF!),#REF!,IF(AND(D1562=BM$1361,C1563=#REF!),#REF!,IF(AND(D1562=BM$1361,C1563=#REF!),#REF!,IF(AND(D1562=BM$1361,C1563=#REF!),#REF!,IF(AND(D1562=BM$1361,C1563=#REF!),#REF!,0))))))</f>
        <v>#REF!</v>
      </c>
      <c r="AX1563" s="9" t="e">
        <f>DOLLAR(AZ1563)</f>
        <v>#REF!</v>
      </c>
      <c r="AZ1563" s="340" t="e">
        <f>$AJ$1353-AV1563</f>
        <v>#REF!</v>
      </c>
      <c r="BB1563" s="48"/>
      <c r="BD1563" s="302" t="e">
        <f>AV1563</f>
        <v>#REF!</v>
      </c>
    </row>
    <row r="1564" spans="1:56" ht="14" hidden="1" customHeight="1" thickTop="1" x14ac:dyDescent="0.3">
      <c r="A1564" s="313"/>
      <c r="B1564" s="314"/>
      <c r="C1564" s="314" t="e">
        <f>CONCATENATE(AK1562,AO1562,AP1562)</f>
        <v>#REF!</v>
      </c>
      <c r="D1564" s="314" t="e">
        <f>BF$1356</f>
        <v>#REF!</v>
      </c>
      <c r="E1564" s="315"/>
      <c r="F1564" s="1"/>
      <c r="AC1564" s="48" t="s">
        <v>800</v>
      </c>
      <c r="AI1564" s="142">
        <f>MIN(D1562,AE1558)</f>
        <v>0</v>
      </c>
      <c r="AJ1564" s="48">
        <f>ROUND(AI1564,2)</f>
        <v>0</v>
      </c>
      <c r="AK1564" s="48" t="str">
        <f>CONCATENATE(AC1564,AJ1564)</f>
        <v>contribution per exchange: $0</v>
      </c>
    </row>
    <row r="1565" spans="1:56" ht="14" hidden="1" customHeight="1" x14ac:dyDescent="0.3">
      <c r="A1565" s="313"/>
      <c r="B1565" s="314"/>
      <c r="C1565" s="314"/>
      <c r="D1565" s="314"/>
      <c r="E1565" s="315"/>
      <c r="F1565" s="1"/>
    </row>
    <row r="1566" spans="1:56" ht="5" hidden="1" customHeight="1" thickBot="1" x14ac:dyDescent="0.35">
      <c r="A1566" s="315"/>
      <c r="B1566" s="317"/>
      <c r="C1566" s="318"/>
      <c r="D1566" s="315"/>
      <c r="E1566" s="315"/>
      <c r="F1566" s="1"/>
      <c r="AC1566" s="312"/>
      <c r="AJ1566" s="402"/>
      <c r="BB1566" s="48"/>
    </row>
    <row r="1567" spans="1:56" ht="16" hidden="1" thickTop="1" thickBot="1" x14ac:dyDescent="0.35">
      <c r="A1567" s="324">
        <f>IF(C1567="",0,1+A1557)</f>
        <v>22</v>
      </c>
      <c r="B1567" s="325" t="s">
        <v>824</v>
      </c>
      <c r="C1567" s="326" t="str">
        <f>AM1567</f>
        <v>FIRST NAME</v>
      </c>
      <c r="D1567" s="327" t="str">
        <f>AQ1567</f>
        <v>LAST NAME</v>
      </c>
      <c r="E1567" s="315"/>
      <c r="F1567" s="1"/>
      <c r="AC1567" s="311" t="str">
        <f>IF(NOT(C1567=AM1567),C1567,"")</f>
        <v/>
      </c>
      <c r="AH1567" s="311" t="str">
        <f>IF(NOT(D1567=AQ1567),D1567,"")</f>
        <v/>
      </c>
      <c r="AM1567" s="328" t="s">
        <v>773</v>
      </c>
      <c r="AQ1567" s="328" t="s">
        <v>100</v>
      </c>
      <c r="BB1567" s="48"/>
    </row>
    <row r="1568" spans="1:56" ht="15" hidden="1" thickTop="1" thickBot="1" x14ac:dyDescent="0.35">
      <c r="A1568" s="313"/>
      <c r="B1568" s="315" t="s">
        <v>776</v>
      </c>
      <c r="C1568" s="330"/>
      <c r="D1568" s="4"/>
      <c r="E1568" s="315"/>
      <c r="F1568" s="1"/>
      <c r="AC1568" s="48">
        <f>IF(C1568="",0,1)</f>
        <v>0</v>
      </c>
      <c r="AE1568" s="48">
        <f>IF($AC$1358=1,AC$1353,0)</f>
        <v>0</v>
      </c>
      <c r="BB1568" s="48"/>
    </row>
    <row r="1569" spans="1:56" ht="14" hidden="1" customHeight="1" thickTop="1" thickBot="1" x14ac:dyDescent="0.35">
      <c r="A1569" s="313"/>
      <c r="B1569" s="331" t="s">
        <v>779</v>
      </c>
      <c r="C1569" s="330"/>
      <c r="D1569" s="332" t="str">
        <f>AS1569</f>
        <v>AWARENESS OF ISSUE</v>
      </c>
      <c r="E1569" s="315"/>
      <c r="F1569" s="1"/>
      <c r="AM1569" s="333"/>
      <c r="AN1569" s="333"/>
      <c r="AO1569" s="333"/>
      <c r="AP1569" s="333"/>
      <c r="AS1569" s="48" t="str">
        <f>AS1559</f>
        <v>AWARENESS OF ISSUE</v>
      </c>
      <c r="BB1569" s="48"/>
    </row>
    <row r="1570" spans="1:56" ht="14" hidden="1" customHeight="1" thickTop="1" thickBot="1" x14ac:dyDescent="0.35">
      <c r="A1570" s="313"/>
      <c r="B1570" s="325" t="s">
        <v>783</v>
      </c>
      <c r="C1570" s="334" t="s">
        <v>784</v>
      </c>
      <c r="D1570" s="334" t="s">
        <v>785</v>
      </c>
      <c r="E1570" s="315"/>
      <c r="F1570" s="1"/>
      <c r="BB1570" s="48"/>
    </row>
    <row r="1571" spans="1:56" ht="14" hidden="1" customHeight="1" thickTop="1" thickBot="1" x14ac:dyDescent="0.35">
      <c r="A1571" s="313"/>
      <c r="B1571" s="314" t="s">
        <v>788</v>
      </c>
      <c r="C1571" s="335" t="str">
        <f>AM1571</f>
        <v>YYYY-MM-DD</v>
      </c>
      <c r="D1571" s="335" t="str">
        <f>AM1571</f>
        <v>YYYY-MM-DD</v>
      </c>
      <c r="E1571" s="315"/>
      <c r="F1571" s="1"/>
      <c r="AH1571" s="918" t="str">
        <f>IF(NOT(D1571=AQ1571),D1571,"")</f>
        <v>YYYY-MM-DD</v>
      </c>
      <c r="AI1571" s="918"/>
      <c r="AM1571" s="328" t="s">
        <v>789</v>
      </c>
      <c r="AQ1571" s="328"/>
      <c r="BB1571" s="48"/>
    </row>
    <row r="1572" spans="1:56" ht="14" hidden="1" customHeight="1" thickTop="1" thickBot="1" x14ac:dyDescent="0.35">
      <c r="A1572" s="313"/>
      <c r="B1572" s="314" t="s">
        <v>794</v>
      </c>
      <c r="C1572" s="337"/>
      <c r="D1572" s="338" t="str">
        <f>AC1572</f>
        <v/>
      </c>
      <c r="E1572" s="315"/>
      <c r="F1572" s="1"/>
      <c r="AC1572" s="50" t="str">
        <f>IF(AND(AC$1352&gt;0,C1572=BN$1357),BM$1357,IF(AND(AC$1352&gt;0,C1572=BN$1358),BM$1358,IF(AND(AC$1352&gt;0,C1572=BN$1359),BM$1359,IF(AND(AC$1352&gt;0,C1572=BN$1360),BM$1360,IF(AND(AC$1352&gt;0,C1572=BN$1361),BM$1361,"")))))</f>
        <v/>
      </c>
      <c r="AI1572" s="1084" t="e">
        <f>AV1573/AL$1353</f>
        <v>#REF!</v>
      </c>
      <c r="AJ1572" s="1084"/>
      <c r="AK1572" s="48" t="s">
        <v>795</v>
      </c>
      <c r="AO1572" s="9" t="e">
        <f>IF(AI1572=0,"none",(AI1572*100))</f>
        <v>#REF!</v>
      </c>
      <c r="AP1572" s="48" t="e">
        <f>IF(AO1572="none"," of weekly support cost.","% of weekly support cost.")</f>
        <v>#REF!</v>
      </c>
      <c r="BB1572" s="48"/>
    </row>
    <row r="1573" spans="1:56" ht="14" hidden="1" customHeight="1" thickTop="1" thickBot="1" x14ac:dyDescent="0.35">
      <c r="A1573" s="313"/>
      <c r="B1573" s="314" t="s">
        <v>797</v>
      </c>
      <c r="C1573" s="339"/>
      <c r="D1573" s="314" t="e">
        <f>IF(NOT(AV1573&gt;0),"",AC1573)</f>
        <v>#REF!</v>
      </c>
      <c r="E1573" s="315"/>
      <c r="F1573" s="1"/>
      <c r="AC1573" s="246" t="e">
        <f>CONCATENATE(AO1573,AT1573)</f>
        <v>#REF!</v>
      </c>
      <c r="AO1573" s="48" t="s">
        <v>798</v>
      </c>
      <c r="AT1573" s="246" t="e">
        <f>DOLLAR(AV1573)</f>
        <v>#REF!</v>
      </c>
      <c r="AV1573" s="315" t="e">
        <f>IF(AND(D1572=BM$1361,C1573=#REF!),#REF!,IF(AND(D1572=BM$1361,C1573=#REF!),#REF!,IF(AND(D1572=BM$1361,C1573=#REF!),#REF!,IF(AND(D1572=BM$1361,C1573=#REF!),#REF!,IF(AND(D1572=BM$1361,C1573=#REF!),#REF!,IF(AND(D1572=BM$1361,C1573=#REF!),#REF!,0))))))</f>
        <v>#REF!</v>
      </c>
      <c r="AX1573" s="9" t="e">
        <f>DOLLAR(AZ1573)</f>
        <v>#REF!</v>
      </c>
      <c r="AZ1573" s="340" t="e">
        <f>$AJ$1353-AV1573</f>
        <v>#REF!</v>
      </c>
      <c r="BB1573" s="48"/>
      <c r="BD1573" s="302" t="e">
        <f>AV1573</f>
        <v>#REF!</v>
      </c>
    </row>
    <row r="1574" spans="1:56" ht="14" hidden="1" customHeight="1" thickTop="1" x14ac:dyDescent="0.3">
      <c r="A1574" s="313"/>
      <c r="B1574" s="314"/>
      <c r="C1574" s="314" t="e">
        <f>CONCATENATE(AK1572,AO1572,AP1572)</f>
        <v>#REF!</v>
      </c>
      <c r="D1574" s="314" t="e">
        <f>BF$1356</f>
        <v>#REF!</v>
      </c>
      <c r="E1574" s="315"/>
      <c r="F1574" s="1"/>
      <c r="AC1574" s="48" t="s">
        <v>800</v>
      </c>
      <c r="AI1574" s="142">
        <f>MIN(D1572,AE1568)</f>
        <v>0</v>
      </c>
      <c r="AJ1574" s="48">
        <f>ROUND(AI1574,2)</f>
        <v>0</v>
      </c>
      <c r="AK1574" s="48" t="str">
        <f>CONCATENATE(AC1574,AJ1574)</f>
        <v>contribution per exchange: $0</v>
      </c>
    </row>
    <row r="1575" spans="1:56" ht="14" hidden="1" customHeight="1" x14ac:dyDescent="0.3">
      <c r="A1575" s="313"/>
      <c r="B1575" s="314"/>
      <c r="C1575" s="314"/>
      <c r="D1575" s="314"/>
      <c r="E1575" s="315"/>
      <c r="F1575" s="1"/>
    </row>
    <row r="1576" spans="1:56" ht="5" hidden="1" customHeight="1" thickBot="1" x14ac:dyDescent="0.35">
      <c r="A1576" s="315"/>
      <c r="B1576" s="317"/>
      <c r="C1576" s="318"/>
      <c r="D1576" s="315"/>
      <c r="E1576" s="315"/>
      <c r="F1576" s="1"/>
      <c r="AC1576" s="312"/>
      <c r="AJ1576" s="402"/>
      <c r="BB1576" s="48"/>
    </row>
    <row r="1577" spans="1:56" ht="16" hidden="1" thickTop="1" thickBot="1" x14ac:dyDescent="0.35">
      <c r="A1577" s="324">
        <f>IF(C1577="",0,1+A1567)</f>
        <v>23</v>
      </c>
      <c r="B1577" s="325" t="s">
        <v>825</v>
      </c>
      <c r="C1577" s="326" t="str">
        <f>AM1577</f>
        <v>FIRST NAME</v>
      </c>
      <c r="D1577" s="327" t="str">
        <f>AQ1577</f>
        <v>LAST NAME</v>
      </c>
      <c r="E1577" s="315"/>
      <c r="F1577" s="1"/>
      <c r="AC1577" s="311" t="str">
        <f>IF(NOT(C1577=AM1577),C1577,"")</f>
        <v/>
      </c>
      <c r="AH1577" s="311" t="str">
        <f>IF(NOT(D1577=AQ1577),D1577,"")</f>
        <v/>
      </c>
      <c r="AM1577" s="328" t="s">
        <v>773</v>
      </c>
      <c r="AQ1577" s="328" t="s">
        <v>100</v>
      </c>
      <c r="BB1577" s="48"/>
    </row>
    <row r="1578" spans="1:56" ht="15" hidden="1" thickTop="1" thickBot="1" x14ac:dyDescent="0.35">
      <c r="A1578" s="313"/>
      <c r="B1578" s="315" t="s">
        <v>776</v>
      </c>
      <c r="C1578" s="330"/>
      <c r="D1578" s="4"/>
      <c r="E1578" s="315"/>
      <c r="F1578" s="1"/>
      <c r="AC1578" s="48">
        <f>IF(C1578="",0,1)</f>
        <v>0</v>
      </c>
      <c r="AE1578" s="48">
        <f>IF($AC$1358=1,AC$1353,0)</f>
        <v>0</v>
      </c>
      <c r="BB1578" s="48"/>
    </row>
    <row r="1579" spans="1:56" ht="14" hidden="1" customHeight="1" thickTop="1" thickBot="1" x14ac:dyDescent="0.35">
      <c r="A1579" s="313"/>
      <c r="B1579" s="331" t="s">
        <v>779</v>
      </c>
      <c r="C1579" s="330"/>
      <c r="D1579" s="332" t="str">
        <f>AS1579</f>
        <v>AWARENESS OF ISSUE</v>
      </c>
      <c r="E1579" s="315"/>
      <c r="F1579" s="1"/>
      <c r="AM1579" s="333"/>
      <c r="AN1579" s="333"/>
      <c r="AO1579" s="333"/>
      <c r="AP1579" s="333"/>
      <c r="AS1579" s="48" t="str">
        <f>AS1569</f>
        <v>AWARENESS OF ISSUE</v>
      </c>
      <c r="BB1579" s="48"/>
    </row>
    <row r="1580" spans="1:56" ht="14" hidden="1" customHeight="1" thickTop="1" thickBot="1" x14ac:dyDescent="0.35">
      <c r="A1580" s="313"/>
      <c r="B1580" s="325" t="s">
        <v>783</v>
      </c>
      <c r="C1580" s="334" t="s">
        <v>784</v>
      </c>
      <c r="D1580" s="334" t="s">
        <v>785</v>
      </c>
      <c r="E1580" s="315"/>
      <c r="F1580" s="1"/>
      <c r="BB1580" s="48"/>
    </row>
    <row r="1581" spans="1:56" ht="14" hidden="1" customHeight="1" thickTop="1" thickBot="1" x14ac:dyDescent="0.35">
      <c r="A1581" s="313"/>
      <c r="B1581" s="314" t="s">
        <v>788</v>
      </c>
      <c r="C1581" s="335" t="str">
        <f>AM1581</f>
        <v>YYYY-MM-DD</v>
      </c>
      <c r="D1581" s="335" t="str">
        <f>AM1581</f>
        <v>YYYY-MM-DD</v>
      </c>
      <c r="E1581" s="315"/>
      <c r="F1581" s="1"/>
      <c r="AH1581" s="918" t="str">
        <f>IF(NOT(D1581=AQ1581),D1581,"")</f>
        <v>YYYY-MM-DD</v>
      </c>
      <c r="AI1581" s="918"/>
      <c r="AM1581" s="328" t="s">
        <v>789</v>
      </c>
      <c r="AQ1581" s="328"/>
      <c r="BB1581" s="48"/>
    </row>
    <row r="1582" spans="1:56" ht="14" hidden="1" customHeight="1" thickTop="1" thickBot="1" x14ac:dyDescent="0.35">
      <c r="A1582" s="313"/>
      <c r="B1582" s="314" t="s">
        <v>794</v>
      </c>
      <c r="C1582" s="337"/>
      <c r="D1582" s="338" t="str">
        <f>AC1582</f>
        <v/>
      </c>
      <c r="E1582" s="315"/>
      <c r="F1582" s="1"/>
      <c r="AC1582" s="50" t="str">
        <f>IF(AND(AC$1352&gt;0,C1582=BN$1357),BM$1357,IF(AND(AC$1352&gt;0,C1582=BN$1358),BM$1358,IF(AND(AC$1352&gt;0,C1582=BN$1359),BM$1359,IF(AND(AC$1352&gt;0,C1582=BN$1360),BM$1360,IF(AND(AC$1352&gt;0,C1582=BN$1361),BM$1361,"")))))</f>
        <v/>
      </c>
      <c r="AI1582" s="1084" t="e">
        <f>AV1583/AL$1353</f>
        <v>#REF!</v>
      </c>
      <c r="AJ1582" s="1084"/>
      <c r="AK1582" s="48" t="s">
        <v>795</v>
      </c>
      <c r="AO1582" s="9" t="e">
        <f>IF(AI1582=0,"none",(AI1582*100))</f>
        <v>#REF!</v>
      </c>
      <c r="AP1582" s="48" t="e">
        <f>IF(AO1582="none"," of weekly support cost.","% of weekly support cost.")</f>
        <v>#REF!</v>
      </c>
      <c r="BB1582" s="48"/>
    </row>
    <row r="1583" spans="1:56" ht="14" hidden="1" customHeight="1" thickTop="1" thickBot="1" x14ac:dyDescent="0.35">
      <c r="A1583" s="313"/>
      <c r="B1583" s="314" t="s">
        <v>797</v>
      </c>
      <c r="C1583" s="339"/>
      <c r="D1583" s="314" t="e">
        <f>IF(NOT(AV1583&gt;0),"",AC1583)</f>
        <v>#REF!</v>
      </c>
      <c r="E1583" s="315"/>
      <c r="F1583" s="1"/>
      <c r="AC1583" s="246" t="e">
        <f>CONCATENATE(AO1583,AT1583)</f>
        <v>#REF!</v>
      </c>
      <c r="AO1583" s="48" t="s">
        <v>798</v>
      </c>
      <c r="AT1583" s="246" t="e">
        <f>DOLLAR(AV1583)</f>
        <v>#REF!</v>
      </c>
      <c r="AV1583" s="315" t="e">
        <f>IF(AND(D1582=BM$1361,C1583=#REF!),#REF!,IF(AND(D1582=BM$1361,C1583=#REF!),#REF!,IF(AND(D1582=BM$1361,C1583=#REF!),#REF!,IF(AND(D1582=BM$1361,C1583=#REF!),#REF!,IF(AND(D1582=BM$1361,C1583=#REF!),#REF!,IF(AND(D1582=BM$1361,C1583=#REF!),#REF!,0))))))</f>
        <v>#REF!</v>
      </c>
      <c r="AX1583" s="9" t="e">
        <f>DOLLAR(AZ1583)</f>
        <v>#REF!</v>
      </c>
      <c r="AZ1583" s="340" t="e">
        <f>$AJ$1353-AV1583</f>
        <v>#REF!</v>
      </c>
      <c r="BB1583" s="48"/>
      <c r="BD1583" s="302" t="e">
        <f>AV1583</f>
        <v>#REF!</v>
      </c>
    </row>
    <row r="1584" spans="1:56" ht="14" hidden="1" customHeight="1" thickTop="1" x14ac:dyDescent="0.3">
      <c r="A1584" s="313"/>
      <c r="B1584" s="314"/>
      <c r="C1584" s="314" t="e">
        <f>CONCATENATE(AK1582,AO1582,AP1582)</f>
        <v>#REF!</v>
      </c>
      <c r="D1584" s="314" t="e">
        <f>BF$1356</f>
        <v>#REF!</v>
      </c>
      <c r="E1584" s="315"/>
      <c r="F1584" s="1"/>
      <c r="AC1584" s="48" t="s">
        <v>800</v>
      </c>
      <c r="AI1584" s="142">
        <f>MIN(D1582,AE1578)</f>
        <v>0</v>
      </c>
      <c r="AJ1584" s="48">
        <f>ROUND(AI1584,2)</f>
        <v>0</v>
      </c>
      <c r="AK1584" s="48" t="str">
        <f>CONCATENATE(AC1584,AJ1584)</f>
        <v>contribution per exchange: $0</v>
      </c>
    </row>
    <row r="1585" spans="1:56" ht="14" hidden="1" customHeight="1" x14ac:dyDescent="0.3">
      <c r="A1585" s="313"/>
      <c r="B1585" s="314"/>
      <c r="C1585" s="314"/>
      <c r="D1585" s="314"/>
      <c r="E1585" s="315"/>
      <c r="F1585" s="1"/>
    </row>
    <row r="1586" spans="1:56" ht="5" hidden="1" customHeight="1" thickBot="1" x14ac:dyDescent="0.35">
      <c r="A1586" s="315"/>
      <c r="B1586" s="317"/>
      <c r="C1586" s="318"/>
      <c r="D1586" s="315"/>
      <c r="E1586" s="315"/>
      <c r="F1586" s="1"/>
      <c r="AC1586" s="312"/>
      <c r="AJ1586" s="402"/>
      <c r="BB1586" s="48"/>
    </row>
    <row r="1587" spans="1:56" ht="16" hidden="1" thickTop="1" thickBot="1" x14ac:dyDescent="0.35">
      <c r="A1587" s="324">
        <f>IF(C1587="",0,1+A1577)</f>
        <v>24</v>
      </c>
      <c r="B1587" s="325" t="s">
        <v>826</v>
      </c>
      <c r="C1587" s="326" t="str">
        <f>AM1587</f>
        <v>FIRST NAME</v>
      </c>
      <c r="D1587" s="327" t="str">
        <f>AQ1587</f>
        <v>LAST NAME</v>
      </c>
      <c r="E1587" s="315"/>
      <c r="F1587" s="1"/>
      <c r="AC1587" s="311" t="str">
        <f>IF(NOT(C1587=AM1587),C1587,"")</f>
        <v/>
      </c>
      <c r="AH1587" s="311" t="str">
        <f>IF(NOT(D1587=AQ1587),D1587,"")</f>
        <v/>
      </c>
      <c r="AM1587" s="328" t="s">
        <v>773</v>
      </c>
      <c r="AQ1587" s="328" t="s">
        <v>100</v>
      </c>
      <c r="BB1587" s="48"/>
    </row>
    <row r="1588" spans="1:56" ht="15" hidden="1" thickTop="1" thickBot="1" x14ac:dyDescent="0.35">
      <c r="A1588" s="313"/>
      <c r="B1588" s="315" t="s">
        <v>776</v>
      </c>
      <c r="C1588" s="330"/>
      <c r="D1588" s="4"/>
      <c r="E1588" s="315"/>
      <c r="F1588" s="1"/>
      <c r="AC1588" s="48">
        <f>IF(C1588="",0,1)</f>
        <v>0</v>
      </c>
      <c r="AE1588" s="48">
        <f>IF($AC$1358=1,AC$1353,0)</f>
        <v>0</v>
      </c>
      <c r="BB1588" s="48"/>
    </row>
    <row r="1589" spans="1:56" ht="14" hidden="1" customHeight="1" thickTop="1" thickBot="1" x14ac:dyDescent="0.35">
      <c r="A1589" s="313"/>
      <c r="B1589" s="331" t="s">
        <v>779</v>
      </c>
      <c r="C1589" s="330"/>
      <c r="D1589" s="332" t="str">
        <f>AS1589</f>
        <v>AWARENESS OF ISSUE</v>
      </c>
      <c r="E1589" s="315"/>
      <c r="F1589" s="1"/>
      <c r="AM1589" s="333"/>
      <c r="AN1589" s="333"/>
      <c r="AO1589" s="333"/>
      <c r="AP1589" s="333"/>
      <c r="AS1589" s="48" t="str">
        <f>AS1579</f>
        <v>AWARENESS OF ISSUE</v>
      </c>
      <c r="BB1589" s="48"/>
    </row>
    <row r="1590" spans="1:56" ht="14" hidden="1" customHeight="1" thickTop="1" thickBot="1" x14ac:dyDescent="0.35">
      <c r="A1590" s="313"/>
      <c r="B1590" s="325" t="s">
        <v>783</v>
      </c>
      <c r="C1590" s="334" t="s">
        <v>784</v>
      </c>
      <c r="D1590" s="334" t="s">
        <v>785</v>
      </c>
      <c r="E1590" s="315"/>
      <c r="F1590" s="1"/>
      <c r="BB1590" s="48"/>
    </row>
    <row r="1591" spans="1:56" ht="14" hidden="1" customHeight="1" thickTop="1" thickBot="1" x14ac:dyDescent="0.35">
      <c r="A1591" s="313"/>
      <c r="B1591" s="314" t="s">
        <v>788</v>
      </c>
      <c r="C1591" s="335" t="str">
        <f>AM1591</f>
        <v>YYYY-MM-DD</v>
      </c>
      <c r="D1591" s="335" t="str">
        <f>AM1591</f>
        <v>YYYY-MM-DD</v>
      </c>
      <c r="E1591" s="315"/>
      <c r="F1591" s="1"/>
      <c r="AH1591" s="918" t="str">
        <f>IF(NOT(D1591=AQ1591),D1591,"")</f>
        <v>YYYY-MM-DD</v>
      </c>
      <c r="AI1591" s="918"/>
      <c r="AM1591" s="328" t="s">
        <v>789</v>
      </c>
      <c r="AQ1591" s="328"/>
      <c r="BB1591" s="48"/>
    </row>
    <row r="1592" spans="1:56" ht="14" hidden="1" customHeight="1" thickTop="1" thickBot="1" x14ac:dyDescent="0.35">
      <c r="A1592" s="313"/>
      <c r="B1592" s="314" t="s">
        <v>794</v>
      </c>
      <c r="C1592" s="337"/>
      <c r="D1592" s="338" t="str">
        <f>AC1592</f>
        <v/>
      </c>
      <c r="E1592" s="315"/>
      <c r="F1592" s="1"/>
      <c r="AC1592" s="50" t="str">
        <f>IF(AND(AC$1352&gt;0,C1592=BN$1357),BM$1357,IF(AND(AC$1352&gt;0,C1592=BN$1358),BM$1358,IF(AND(AC$1352&gt;0,C1592=BN$1359),BM$1359,IF(AND(AC$1352&gt;0,C1592=BN$1360),BM$1360,IF(AND(AC$1352&gt;0,C1592=BN$1361),BM$1361,"")))))</f>
        <v/>
      </c>
      <c r="AI1592" s="1084" t="e">
        <f>AV1593/AL$1353</f>
        <v>#REF!</v>
      </c>
      <c r="AJ1592" s="1084"/>
      <c r="AK1592" s="48" t="s">
        <v>795</v>
      </c>
      <c r="AO1592" s="9" t="e">
        <f>IF(AI1592=0,"none",(AI1592*100))</f>
        <v>#REF!</v>
      </c>
      <c r="AP1592" s="48" t="e">
        <f>IF(AO1592="none"," of weekly support cost.","% of weekly support cost.")</f>
        <v>#REF!</v>
      </c>
      <c r="BB1592" s="48"/>
    </row>
    <row r="1593" spans="1:56" ht="14" hidden="1" customHeight="1" thickTop="1" thickBot="1" x14ac:dyDescent="0.35">
      <c r="A1593" s="313"/>
      <c r="B1593" s="314" t="s">
        <v>797</v>
      </c>
      <c r="C1593" s="339"/>
      <c r="D1593" s="314" t="e">
        <f>IF(NOT(AV1593&gt;0),"",AC1593)</f>
        <v>#REF!</v>
      </c>
      <c r="E1593" s="315"/>
      <c r="F1593" s="1"/>
      <c r="AC1593" s="246" t="e">
        <f>CONCATENATE(AO1593,AT1593)</f>
        <v>#REF!</v>
      </c>
      <c r="AO1593" s="48" t="s">
        <v>798</v>
      </c>
      <c r="AT1593" s="246" t="e">
        <f>DOLLAR(AV1593)</f>
        <v>#REF!</v>
      </c>
      <c r="AV1593" s="315" t="e">
        <f>IF(AND(D1592=BM$1361,C1593=#REF!),#REF!,IF(AND(D1592=BM$1361,C1593=#REF!),#REF!,IF(AND(D1592=BM$1361,C1593=#REF!),#REF!,IF(AND(D1592=BM$1361,C1593=#REF!),#REF!,IF(AND(D1592=BM$1361,C1593=#REF!),#REF!,IF(AND(D1592=BM$1361,C1593=#REF!),#REF!,0))))))</f>
        <v>#REF!</v>
      </c>
      <c r="AX1593" s="9" t="e">
        <f>DOLLAR(AZ1593)</f>
        <v>#REF!</v>
      </c>
      <c r="AZ1593" s="340" t="e">
        <f>$AJ$1353-AV1593</f>
        <v>#REF!</v>
      </c>
      <c r="BB1593" s="48"/>
      <c r="BD1593" s="302" t="e">
        <f>AV1593</f>
        <v>#REF!</v>
      </c>
    </row>
    <row r="1594" spans="1:56" ht="14" hidden="1" customHeight="1" thickTop="1" x14ac:dyDescent="0.3">
      <c r="A1594" s="313"/>
      <c r="B1594" s="314"/>
      <c r="C1594" s="314" t="e">
        <f>CONCATENATE(AK1592,AO1592,AP1592)</f>
        <v>#REF!</v>
      </c>
      <c r="D1594" s="314" t="e">
        <f>BF$1356</f>
        <v>#REF!</v>
      </c>
      <c r="E1594" s="315"/>
      <c r="F1594" s="1"/>
      <c r="AC1594" s="48" t="s">
        <v>800</v>
      </c>
      <c r="AI1594" s="142">
        <f>MIN(D1592,AE1588)</f>
        <v>0</v>
      </c>
      <c r="AJ1594" s="48">
        <f>ROUND(AI1594,2)</f>
        <v>0</v>
      </c>
      <c r="AK1594" s="48" t="str">
        <f>CONCATENATE(AC1594,AJ1594)</f>
        <v>contribution per exchange: $0</v>
      </c>
    </row>
    <row r="1595" spans="1:56" ht="14" hidden="1" customHeight="1" x14ac:dyDescent="0.3">
      <c r="A1595" s="313"/>
      <c r="B1595" s="314"/>
      <c r="C1595" s="314"/>
      <c r="D1595" s="314"/>
      <c r="E1595" s="315"/>
      <c r="F1595" s="1"/>
    </row>
    <row r="1596" spans="1:56" ht="5" hidden="1" customHeight="1" x14ac:dyDescent="0.3">
      <c r="A1596" s="315"/>
      <c r="B1596" s="317"/>
      <c r="C1596" s="318"/>
      <c r="D1596" s="315"/>
      <c r="E1596" s="315"/>
      <c r="F1596" s="1"/>
      <c r="BB1596" s="48"/>
    </row>
    <row r="1597" spans="1:56" ht="30" hidden="1" customHeight="1" x14ac:dyDescent="0.3">
      <c r="A1597" s="317"/>
      <c r="B1597" s="317"/>
      <c r="C1597" s="318"/>
      <c r="D1597" s="315"/>
      <c r="E1597" s="315"/>
      <c r="F1597" s="315"/>
      <c r="BB1597" s="48"/>
    </row>
    <row r="1598" spans="1:56" ht="45" hidden="1" customHeight="1" x14ac:dyDescent="0.3">
      <c r="A1598" s="317"/>
      <c r="B1598" s="316"/>
      <c r="C1598" s="1126"/>
      <c r="D1598" s="1126"/>
      <c r="E1598" s="315"/>
      <c r="F1598" s="315"/>
      <c r="BB1598" s="48"/>
    </row>
    <row r="1599" spans="1:56" ht="18" hidden="1" customHeight="1" x14ac:dyDescent="0.3">
      <c r="A1599" s="317"/>
      <c r="B1599" s="317"/>
      <c r="C1599" s="318"/>
      <c r="D1599" s="315"/>
      <c r="E1599" s="315"/>
      <c r="F1599" s="315"/>
      <c r="BB1599" s="48"/>
    </row>
    <row r="1600" spans="1:56" ht="18" hidden="1" customHeight="1" x14ac:dyDescent="0.3">
      <c r="A1600" s="317"/>
      <c r="B1600" s="317"/>
      <c r="C1600" s="318"/>
      <c r="D1600" s="315"/>
      <c r="E1600" s="315"/>
      <c r="F1600" s="315"/>
      <c r="BB1600" s="48"/>
    </row>
    <row r="1601" spans="1:54" ht="18" hidden="1" customHeight="1" x14ac:dyDescent="0.3">
      <c r="A1601" s="317"/>
      <c r="B1601" s="317"/>
      <c r="C1601" s="318"/>
      <c r="D1601" s="315"/>
      <c r="E1601" s="315"/>
      <c r="F1601" s="315"/>
      <c r="BB1601" s="48"/>
    </row>
    <row r="1602" spans="1:54" ht="18" hidden="1" customHeight="1" x14ac:dyDescent="0.3">
      <c r="A1602" s="317"/>
      <c r="B1602" s="317"/>
      <c r="C1602" s="318"/>
      <c r="D1602" s="315"/>
      <c r="E1602" s="315"/>
      <c r="F1602" s="315"/>
      <c r="BB1602" s="48"/>
    </row>
    <row r="1603" spans="1:54" ht="18" hidden="1" customHeight="1" x14ac:dyDescent="0.3">
      <c r="A1603" s="317"/>
      <c r="B1603" s="317"/>
      <c r="C1603" s="318"/>
      <c r="D1603" s="315"/>
      <c r="E1603" s="315"/>
      <c r="F1603" s="315"/>
      <c r="BB1603" s="48"/>
    </row>
    <row r="1604" spans="1:54" ht="18" hidden="1" customHeight="1" x14ac:dyDescent="0.3">
      <c r="A1604" s="317"/>
      <c r="B1604" s="317"/>
      <c r="C1604" s="318"/>
      <c r="D1604" s="315"/>
      <c r="E1604" s="315"/>
      <c r="F1604" s="315"/>
      <c r="BB1604" s="48"/>
    </row>
    <row r="1605" spans="1:54" ht="18" hidden="1" customHeight="1" x14ac:dyDescent="0.3">
      <c r="A1605" s="317"/>
      <c r="B1605" s="317"/>
      <c r="C1605" s="318"/>
      <c r="D1605" s="315"/>
      <c r="E1605" s="315"/>
      <c r="F1605" s="315"/>
      <c r="BB1605" s="48"/>
    </row>
    <row r="1606" spans="1:54" ht="18" hidden="1" customHeight="1" x14ac:dyDescent="0.3">
      <c r="A1606" s="317"/>
      <c r="B1606" s="317"/>
      <c r="C1606" s="318"/>
      <c r="D1606" s="315"/>
      <c r="E1606" s="315"/>
      <c r="F1606" s="315"/>
      <c r="BB1606" s="48"/>
    </row>
    <row r="1607" spans="1:54" ht="18" hidden="1" customHeight="1" x14ac:dyDescent="0.3">
      <c r="A1607" s="317"/>
      <c r="B1607" s="317"/>
      <c r="C1607" s="318"/>
      <c r="D1607" s="315"/>
      <c r="E1607" s="315"/>
      <c r="F1607" s="315"/>
      <c r="AI1607" s="317" t="s">
        <v>827</v>
      </c>
      <c r="BB1607" s="48"/>
    </row>
    <row r="1608" spans="1:54" ht="18" hidden="1" customHeight="1" x14ac:dyDescent="0.3">
      <c r="A1608" s="317"/>
      <c r="B1608" s="317"/>
      <c r="C1608" s="318"/>
      <c r="D1608" s="315"/>
      <c r="E1608" s="315"/>
      <c r="F1608" s="315"/>
      <c r="AI1608" s="317" t="s">
        <v>827</v>
      </c>
      <c r="BB1608" s="48"/>
    </row>
    <row r="1609" spans="1:54" ht="18" hidden="1" customHeight="1" x14ac:dyDescent="0.3">
      <c r="A1609" s="317"/>
      <c r="B1609" s="317"/>
      <c r="C1609" s="318"/>
      <c r="D1609" s="315"/>
      <c r="E1609" s="315"/>
      <c r="F1609" s="315"/>
      <c r="AI1609" s="341" t="s">
        <v>828</v>
      </c>
      <c r="BB1609" s="48"/>
    </row>
    <row r="1610" spans="1:54" ht="18" hidden="1" customHeight="1" x14ac:dyDescent="0.3">
      <c r="A1610" s="317"/>
      <c r="B1610" s="341"/>
      <c r="C1610" s="318"/>
      <c r="D1610" s="315"/>
      <c r="E1610" s="315"/>
      <c r="F1610" s="315"/>
      <c r="BB1610" s="48"/>
    </row>
    <row r="1611" spans="1:54" ht="18" hidden="1" customHeight="1" x14ac:dyDescent="0.3">
      <c r="A1611" s="317"/>
      <c r="B1611" s="317"/>
      <c r="C1611" s="318"/>
      <c r="D1611" s="315"/>
      <c r="E1611" s="315"/>
      <c r="F1611" s="315"/>
      <c r="BB1611" s="48"/>
    </row>
    <row r="1612" spans="1:54" ht="18" hidden="1" customHeight="1" x14ac:dyDescent="0.3">
      <c r="A1612" s="317"/>
      <c r="B1612" s="317"/>
      <c r="C1612" s="318"/>
      <c r="D1612" s="315"/>
      <c r="E1612" s="315"/>
      <c r="F1612" s="315"/>
      <c r="BB1612" s="48"/>
    </row>
    <row r="1613" spans="1:54" ht="18" hidden="1" customHeight="1" x14ac:dyDescent="0.3">
      <c r="A1613" s="317"/>
      <c r="B1613" s="317"/>
      <c r="C1613" s="318"/>
      <c r="D1613" s="315"/>
      <c r="E1613" s="315"/>
      <c r="F1613" s="315"/>
      <c r="BB1613" s="48"/>
    </row>
    <row r="1614" spans="1:54" ht="18" hidden="1" customHeight="1" x14ac:dyDescent="0.3">
      <c r="A1614" s="317"/>
      <c r="B1614" s="317"/>
      <c r="C1614" s="318"/>
      <c r="D1614" s="315"/>
      <c r="E1614" s="315"/>
      <c r="F1614" s="315"/>
      <c r="BB1614" s="48"/>
    </row>
    <row r="1615" spans="1:54" ht="18" hidden="1" customHeight="1" x14ac:dyDescent="0.3">
      <c r="A1615" s="317"/>
      <c r="B1615" s="317"/>
      <c r="C1615" s="318"/>
      <c r="D1615" s="315"/>
      <c r="E1615" s="315"/>
      <c r="F1615" s="315"/>
      <c r="BB1615" s="48"/>
    </row>
    <row r="1616" spans="1:54" ht="18" hidden="1" customHeight="1" x14ac:dyDescent="0.3">
      <c r="A1616" s="317"/>
      <c r="B1616" s="317"/>
      <c r="C1616" s="318"/>
      <c r="D1616" s="315"/>
      <c r="E1616" s="315"/>
      <c r="F1616" s="315"/>
      <c r="BB1616" s="48"/>
    </row>
    <row r="1617" spans="1:86" ht="18" hidden="1" customHeight="1" x14ac:dyDescent="0.3">
      <c r="A1617" s="317"/>
      <c r="B1617" s="317"/>
      <c r="C1617" s="318"/>
      <c r="D1617" s="315"/>
      <c r="E1617" s="315"/>
      <c r="F1617" s="315"/>
      <c r="BB1617" s="48"/>
    </row>
    <row r="1618" spans="1:86" ht="18" hidden="1" customHeight="1" x14ac:dyDescent="0.3">
      <c r="A1618" s="317"/>
      <c r="B1618" s="317"/>
      <c r="C1618" s="318"/>
      <c r="D1618" s="315"/>
      <c r="E1618" s="315"/>
      <c r="F1618" s="315"/>
      <c r="BB1618" s="48"/>
    </row>
    <row r="1619" spans="1:86" ht="18" hidden="1" customHeight="1" x14ac:dyDescent="0.3">
      <c r="A1619" s="317"/>
      <c r="B1619" s="317"/>
      <c r="C1619" s="318"/>
      <c r="D1619" s="315"/>
      <c r="E1619" s="315"/>
      <c r="F1619" s="315"/>
      <c r="BB1619" s="48"/>
    </row>
    <row r="1620" spans="1:86" ht="18" hidden="1" customHeight="1" x14ac:dyDescent="0.3">
      <c r="A1620" s="317"/>
      <c r="B1620" s="317"/>
      <c r="C1620" s="318"/>
      <c r="D1620" s="315"/>
      <c r="E1620" s="315"/>
      <c r="F1620" s="315"/>
      <c r="BB1620" s="48"/>
    </row>
    <row r="1621" spans="1:86" ht="18" hidden="1" customHeight="1" x14ac:dyDescent="0.3">
      <c r="A1621" s="317"/>
      <c r="B1621" s="317"/>
      <c r="C1621" s="318"/>
      <c r="D1621" s="315"/>
      <c r="E1621" s="315"/>
      <c r="F1621" s="315"/>
      <c r="BB1621" s="48"/>
    </row>
    <row r="1622" spans="1:86" ht="18" hidden="1" customHeight="1" x14ac:dyDescent="0.3">
      <c r="A1622" s="317"/>
      <c r="B1622" s="317"/>
      <c r="C1622" s="318"/>
      <c r="D1622" s="315"/>
      <c r="E1622" s="315"/>
      <c r="F1622" s="315"/>
      <c r="BB1622" s="48"/>
      <c r="CH1622" s="348"/>
    </row>
    <row r="1623" spans="1:86" ht="18" hidden="1" customHeight="1" x14ac:dyDescent="0.3">
      <c r="A1623" s="317"/>
      <c r="B1623" s="317"/>
      <c r="C1623" s="318"/>
      <c r="D1623" s="315"/>
      <c r="E1623" s="315"/>
      <c r="F1623" s="315"/>
      <c r="BB1623" s="48"/>
    </row>
    <row r="1624" spans="1:86" ht="18" hidden="1" customHeight="1" x14ac:dyDescent="0.3">
      <c r="A1624" s="317"/>
      <c r="B1624" s="317"/>
      <c r="C1624" s="318"/>
      <c r="D1624" s="315"/>
      <c r="E1624" s="315"/>
      <c r="F1624" s="315"/>
      <c r="BB1624" s="48"/>
    </row>
    <row r="1625" spans="1:86" ht="18" hidden="1" customHeight="1" x14ac:dyDescent="0.3">
      <c r="A1625" s="317"/>
      <c r="B1625" s="317"/>
      <c r="C1625" s="318"/>
      <c r="D1625" s="315"/>
      <c r="E1625" s="315"/>
      <c r="F1625" s="315"/>
      <c r="BB1625" s="48"/>
    </row>
    <row r="1626" spans="1:86" ht="18" hidden="1" customHeight="1" x14ac:dyDescent="0.3">
      <c r="A1626" s="317"/>
      <c r="B1626" s="317"/>
      <c r="C1626" s="318"/>
      <c r="D1626" s="315"/>
      <c r="E1626" s="315"/>
      <c r="F1626" s="315"/>
      <c r="BB1626" s="48"/>
    </row>
    <row r="1627" spans="1:86" ht="18" hidden="1" customHeight="1" x14ac:dyDescent="0.3">
      <c r="A1627" s="317"/>
      <c r="B1627" s="317"/>
      <c r="C1627" s="318"/>
      <c r="D1627" s="315"/>
      <c r="E1627" s="315"/>
      <c r="F1627" s="315"/>
      <c r="BB1627" s="48"/>
    </row>
    <row r="1628" spans="1:86" ht="18" hidden="1" customHeight="1" x14ac:dyDescent="0.3">
      <c r="A1628" s="317"/>
      <c r="B1628" s="317"/>
      <c r="C1628" s="318"/>
      <c r="D1628" s="315"/>
      <c r="E1628" s="315"/>
      <c r="F1628" s="315"/>
      <c r="BB1628" s="48"/>
      <c r="CH1628" s="48" t="s">
        <v>851</v>
      </c>
    </row>
    <row r="1629" spans="1:86" ht="18" hidden="1" customHeight="1" x14ac:dyDescent="0.3">
      <c r="A1629" s="317"/>
      <c r="B1629" s="317"/>
      <c r="C1629" s="318"/>
      <c r="D1629" s="315"/>
      <c r="E1629" s="315"/>
      <c r="F1629" s="315"/>
      <c r="BB1629" s="48"/>
      <c r="CH1629" s="48" t="s">
        <v>851</v>
      </c>
    </row>
    <row r="1630" spans="1:86" ht="18" hidden="1" customHeight="1" x14ac:dyDescent="0.3">
      <c r="A1630" s="317"/>
      <c r="B1630" s="317"/>
      <c r="C1630" s="318"/>
      <c r="D1630" s="315"/>
      <c r="E1630" s="315"/>
      <c r="F1630" s="315"/>
      <c r="BB1630" s="48"/>
    </row>
    <row r="1631" spans="1:86" ht="18" hidden="1" customHeight="1" x14ac:dyDescent="0.3">
      <c r="A1631" s="317"/>
      <c r="B1631" s="317"/>
      <c r="C1631" s="318"/>
      <c r="D1631" s="315"/>
      <c r="E1631" s="315"/>
      <c r="F1631" s="315"/>
      <c r="BB1631" s="48"/>
    </row>
    <row r="1632" spans="1:86" ht="30" hidden="1" customHeight="1" x14ac:dyDescent="0.3">
      <c r="A1632" s="317"/>
      <c r="B1632" s="342" t="s">
        <v>21</v>
      </c>
      <c r="C1632" s="343"/>
      <c r="D1632" s="343"/>
      <c r="E1632" s="343"/>
      <c r="F1632" s="343"/>
      <c r="BB1632" s="48"/>
    </row>
    <row r="1633" spans="1:87" ht="65" hidden="1" customHeight="1" x14ac:dyDescent="0.3">
      <c r="A1633" s="317"/>
      <c r="B1633" s="1123" t="s">
        <v>553</v>
      </c>
      <c r="C1633" s="1123"/>
      <c r="D1633" s="1123"/>
      <c r="E1633" s="344"/>
      <c r="F1633" s="345"/>
      <c r="BB1633" s="48"/>
    </row>
    <row r="1634" spans="1:87" s="348" customFormat="1" ht="30" hidden="1" customHeight="1" x14ac:dyDescent="0.3">
      <c r="A1634" s="317"/>
      <c r="B1634" s="1124" t="s">
        <v>829</v>
      </c>
      <c r="C1634" s="1124"/>
      <c r="D1634" s="1124"/>
      <c r="E1634" s="346"/>
      <c r="F1634" s="346"/>
      <c r="G1634" s="347"/>
      <c r="H1634" s="347"/>
      <c r="I1634" s="347"/>
      <c r="J1634" s="347"/>
      <c r="K1634" s="347"/>
      <c r="L1634" s="347"/>
      <c r="M1634" s="347"/>
      <c r="N1634" s="347"/>
      <c r="O1634" s="347"/>
      <c r="P1634" s="347"/>
      <c r="Q1634" s="347"/>
      <c r="R1634" s="347"/>
      <c r="S1634" s="347"/>
      <c r="T1634" s="347"/>
      <c r="U1634" s="347"/>
      <c r="V1634" s="347"/>
      <c r="W1634" s="347"/>
      <c r="X1634" s="347"/>
      <c r="Y1634" s="347"/>
      <c r="Z1634" s="347"/>
      <c r="AJ1634" s="348" t="s">
        <v>554</v>
      </c>
      <c r="CH1634" s="48"/>
    </row>
    <row r="1635" spans="1:87" ht="28" hidden="1" customHeight="1" x14ac:dyDescent="0.3">
      <c r="A1635" s="317"/>
      <c r="B1635" s="1125" t="s">
        <v>830</v>
      </c>
      <c r="C1635" s="1125"/>
      <c r="D1635" s="1125"/>
      <c r="E1635" s="315"/>
      <c r="F1635" s="315"/>
      <c r="BB1635" s="48"/>
    </row>
    <row r="1636" spans="1:87" ht="5" hidden="1" customHeight="1" x14ac:dyDescent="0.3">
      <c r="A1636" s="317"/>
      <c r="B1636" s="315"/>
      <c r="C1636" s="315"/>
      <c r="D1636" s="315"/>
      <c r="E1636" s="315"/>
      <c r="F1636" s="315"/>
      <c r="AJ1636" s="48" t="s">
        <v>831</v>
      </c>
    </row>
    <row r="1637" spans="1:87" ht="25" hidden="1" customHeight="1" x14ac:dyDescent="0.3">
      <c r="A1637" s="317"/>
      <c r="B1637" s="349" t="s">
        <v>832</v>
      </c>
      <c r="C1637" s="349"/>
      <c r="D1637" s="350" t="str">
        <f>AJ1637</f>
        <v>Accumulative total: $5</v>
      </c>
      <c r="E1637" s="315"/>
      <c r="F1637" s="315"/>
      <c r="AD1637" s="52">
        <f>SUM(AE1637:AG1637)</f>
        <v>5</v>
      </c>
      <c r="AE1637" s="48">
        <f>IF(B1638=CI$1639,BY$1639,0)</f>
        <v>0</v>
      </c>
      <c r="AF1637" s="48">
        <f>IF(C1638=CI$1640,BY$1640,0)</f>
        <v>5</v>
      </c>
      <c r="AG1637" s="48">
        <f>IF(C1638=CI$1641,BY$1641,0)</f>
        <v>0</v>
      </c>
      <c r="AJ1637" s="48" t="str">
        <f>CONCATENATE(AS1637,AT1637)</f>
        <v>Accumulative total: $5</v>
      </c>
      <c r="AS1637" s="351" t="s">
        <v>833</v>
      </c>
      <c r="AT1637" s="48" t="str">
        <f>DOLLAR(AU1637,0)</f>
        <v>$5</v>
      </c>
      <c r="AU1637" s="48">
        <f>AD1637+AK1636</f>
        <v>5</v>
      </c>
    </row>
    <row r="1638" spans="1:87" ht="15" hidden="1" customHeight="1" x14ac:dyDescent="0.3">
      <c r="A1638" s="317"/>
      <c r="B1638" s="352" t="s">
        <v>834</v>
      </c>
      <c r="C1638" s="1106" t="s">
        <v>835</v>
      </c>
      <c r="D1638" s="1106"/>
      <c r="E1638" s="315"/>
      <c r="F1638" s="315"/>
      <c r="AC1638" s="353" t="s">
        <v>836</v>
      </c>
      <c r="AD1638" s="353"/>
      <c r="AE1638" s="353"/>
      <c r="AF1638" s="353"/>
      <c r="AG1638" s="353"/>
      <c r="AH1638" s="353"/>
      <c r="AI1638" s="353"/>
      <c r="AJ1638" s="353"/>
      <c r="BB1638" s="48"/>
      <c r="BN1638" s="48" t="s">
        <v>836</v>
      </c>
      <c r="CB1638" s="48" t="s">
        <v>837</v>
      </c>
    </row>
    <row r="1639" spans="1:87" ht="15" hidden="1" customHeight="1" thickBot="1" x14ac:dyDescent="0.35">
      <c r="A1639" s="317"/>
      <c r="B1639" s="354" t="s">
        <v>838</v>
      </c>
      <c r="C1639" s="1104" t="str">
        <f>AC1639</f>
        <v>click to go to N1</v>
      </c>
      <c r="D1639" s="1104"/>
      <c r="E1639" s="315"/>
      <c r="F1639" s="315"/>
      <c r="AC1639" s="48" t="str">
        <f>IF(SUM(AD1640,AD1641,AD1642,AD1643,AD1644,AC1645,AD1645,AE1645)&lt;8,"click to go to N1",AI1639)</f>
        <v>click to go to N1</v>
      </c>
      <c r="AI1639" s="48" t="str">
        <f>CONCATENATE(AO1639,AQ1639,AT1639)</f>
        <v>Go to Employer 1  tab &gt;&gt;</v>
      </c>
      <c r="AO1639" s="48" t="s">
        <v>839</v>
      </c>
      <c r="AQ1639" s="48" t="str">
        <f>IF(C1640="","Employer 1 ",C1640)</f>
        <v xml:space="preserve">Employer 1 </v>
      </c>
      <c r="AT1639" s="48" t="s">
        <v>840</v>
      </c>
      <c r="BB1639" s="48" t="s">
        <v>832</v>
      </c>
      <c r="BE1639" s="355">
        <v>1</v>
      </c>
      <c r="BF1639" s="355" t="s">
        <v>832</v>
      </c>
      <c r="BG1639" s="355"/>
      <c r="BH1639" s="355" t="str">
        <f>IF(B1637=BF1640,"",CONCATENATE(BF$1639,BE1639))</f>
        <v>Employer 1</v>
      </c>
      <c r="BI1639" s="355"/>
      <c r="BJ1639" s="355" t="str">
        <f>CONCATENATE(BF$1639,BE1639)</f>
        <v>Employer 1</v>
      </c>
      <c r="BK1639" s="355"/>
      <c r="BO1639" s="48" t="s">
        <v>841</v>
      </c>
      <c r="BX1639" s="245" t="s">
        <v>842</v>
      </c>
      <c r="BY1639" s="96">
        <v>0</v>
      </c>
      <c r="BZ1639" s="48" t="s">
        <v>843</v>
      </c>
      <c r="CA1639" s="245" t="s">
        <v>844</v>
      </c>
      <c r="CI1639" s="48" t="str">
        <f>CONCATENATE(BO1639,BX1639,BZ1639,CA1639)</f>
        <v>Send notification yourself [DIY FREE]</v>
      </c>
    </row>
    <row r="1640" spans="1:87" ht="17" hidden="1" customHeight="1" thickTop="1" thickBot="1" x14ac:dyDescent="0.35">
      <c r="A1640" s="317"/>
      <c r="B1640" s="315" t="s">
        <v>845</v>
      </c>
      <c r="C1640" s="356"/>
      <c r="D1640" s="357"/>
      <c r="E1640" s="315"/>
      <c r="F1640" s="315"/>
      <c r="AD1640" s="48">
        <f t="shared" ref="AD1640:AD1645" si="76">IF(C1640&lt;&gt;"",1,0)</f>
        <v>0</v>
      </c>
      <c r="BB1640" s="48" t="s">
        <v>846</v>
      </c>
      <c r="BE1640" s="355">
        <v>2</v>
      </c>
      <c r="BF1640" s="355" t="str">
        <f>IF(B1637=BJ1639,BF1641,CONCATENATE(BF$1639,BE1639))</f>
        <v>Employer 1</v>
      </c>
      <c r="BG1640" s="355"/>
      <c r="BH1640" s="355" t="str">
        <f>CONCATENATE(BF$1639,BE1640)</f>
        <v>Employer 2</v>
      </c>
      <c r="BI1640" s="355"/>
      <c r="BJ1640" s="355" t="str">
        <f>CONCATENATE(BF$1639,BE1640)</f>
        <v>Employer 2</v>
      </c>
      <c r="BK1640" s="355"/>
      <c r="BO1640" s="48" t="s">
        <v>847</v>
      </c>
      <c r="BX1640" s="48" t="s">
        <v>842</v>
      </c>
      <c r="BY1640" s="96">
        <v>5</v>
      </c>
      <c r="BZ1640" s="351" t="str">
        <f>DOLLAR(BY1640,0)</f>
        <v>$5</v>
      </c>
      <c r="CA1640" s="48" t="s">
        <v>844</v>
      </c>
      <c r="CB1640" s="48" t="str">
        <f>IF(CB$1638="Y",CONCATENATE(CC1640,CE1640,CF1640,CG1640,CH1628),"")</f>
        <v>. Only $1 if done by Jan 1st.</v>
      </c>
      <c r="CC1640" s="48" t="s">
        <v>848</v>
      </c>
      <c r="CD1640" s="96">
        <f>BY1640/5</f>
        <v>1</v>
      </c>
      <c r="CE1640" s="351" t="str">
        <f>DOLLAR(CD1640,0)</f>
        <v>$1</v>
      </c>
      <c r="CF1640" s="48" t="s">
        <v>849</v>
      </c>
      <c r="CG1640" s="48" t="s">
        <v>850</v>
      </c>
      <c r="CI1640" s="48" t="str">
        <f>CONCATENATE(BO1640,BX1640,BZ1640,CA1640,CB1640)</f>
        <v>We send notification on your behalf [$5]. Only $1 if done by Jan 1st.</v>
      </c>
    </row>
    <row r="1641" spans="1:87" ht="17" hidden="1" customHeight="1" thickTop="1" thickBot="1" x14ac:dyDescent="0.35">
      <c r="A1641" s="317"/>
      <c r="B1641" s="315" t="s">
        <v>852</v>
      </c>
      <c r="C1641" s="356"/>
      <c r="D1641" s="357"/>
      <c r="E1641" s="315"/>
      <c r="F1641" s="315"/>
      <c r="AD1641" s="48">
        <f t="shared" si="76"/>
        <v>0</v>
      </c>
      <c r="BB1641" s="48" t="s">
        <v>853</v>
      </c>
      <c r="BE1641" s="355">
        <v>3</v>
      </c>
      <c r="BF1641" s="355" t="str">
        <f>CONCATENATE(BF$1639,BE1640)</f>
        <v>Employer 2</v>
      </c>
      <c r="BG1641" s="355"/>
      <c r="BH1641" s="355" t="str">
        <f>CONCATENATE(BF$1639,BE1641)</f>
        <v>Employer 3</v>
      </c>
      <c r="BI1641" s="355"/>
      <c r="BJ1641" s="355" t="str">
        <f>CONCATENATE(BF$1639,BE1641)</f>
        <v>Employer 3</v>
      </c>
      <c r="BK1641" s="355"/>
      <c r="BO1641" s="48" t="s">
        <v>854</v>
      </c>
      <c r="BX1641" s="48" t="s">
        <v>842</v>
      </c>
      <c r="BY1641" s="96">
        <v>15</v>
      </c>
      <c r="BZ1641" s="351" t="str">
        <f>DOLLAR(BY1641,0)</f>
        <v>$15</v>
      </c>
      <c r="CA1641" s="48" t="s">
        <v>844</v>
      </c>
      <c r="CB1641" s="48" t="str">
        <f>IF(CB$1638="Y",CONCATENATE(CC1641,CE1641,CF1641,CG1641,CH1629),"")</f>
        <v>. Only $3 if done by Jan 1st.</v>
      </c>
      <c r="CC1641" s="48" t="s">
        <v>848</v>
      </c>
      <c r="CD1641" s="96">
        <f>BY1641/5</f>
        <v>3</v>
      </c>
      <c r="CE1641" s="351" t="str">
        <f>DOLLAR(CD1641,0)</f>
        <v>$3</v>
      </c>
      <c r="CF1641" s="48" t="s">
        <v>849</v>
      </c>
      <c r="CG1641" s="48" t="str">
        <f>CG1640</f>
        <v>Jan 1st</v>
      </c>
      <c r="CI1641" s="48" t="str">
        <f>CONCATENATE(BO1641,BX1641,BZ1641,CA1641,CB1641)</f>
        <v>We qualify then notify them [$15]. Only $3 if done by Jan 1st.</v>
      </c>
    </row>
    <row r="1642" spans="1:87" ht="17" hidden="1" customHeight="1" thickTop="1" thickBot="1" x14ac:dyDescent="0.35">
      <c r="A1642" s="317"/>
      <c r="B1642" s="315" t="s">
        <v>855</v>
      </c>
      <c r="C1642" s="356"/>
      <c r="D1642" s="357"/>
      <c r="E1642" s="315"/>
      <c r="F1642" s="315"/>
      <c r="AD1642" s="48">
        <f t="shared" si="76"/>
        <v>0</v>
      </c>
      <c r="BB1642" s="48"/>
      <c r="BE1642" s="355">
        <v>4</v>
      </c>
      <c r="BF1642" s="355" t="str">
        <f>CONCATENATE(BF$1639,BE1641)</f>
        <v>Employer 3</v>
      </c>
      <c r="BG1642" s="355"/>
      <c r="BH1642" s="355" t="str">
        <f>CONCATENATE(BF$1639,BE1642)</f>
        <v>Employer 4</v>
      </c>
      <c r="BI1642" s="355"/>
      <c r="BJ1642" s="355" t="str">
        <f>CONCATENATE(BF$1639,BE1642)</f>
        <v>Employer 4</v>
      </c>
      <c r="BK1642" s="355"/>
    </row>
    <row r="1643" spans="1:87" ht="17" hidden="1" customHeight="1" thickTop="1" thickBot="1" x14ac:dyDescent="0.35">
      <c r="A1643" s="317"/>
      <c r="B1643" s="315" t="s">
        <v>856</v>
      </c>
      <c r="C1643" s="356"/>
      <c r="D1643" s="356"/>
      <c r="E1643" s="315"/>
      <c r="F1643" s="315"/>
      <c r="AD1643" s="48">
        <f t="shared" si="76"/>
        <v>0</v>
      </c>
      <c r="BE1643" s="355"/>
      <c r="BF1643" s="355" t="str">
        <f>CONCATENATE(BF$1639,BE1642)</f>
        <v>Employer 4</v>
      </c>
      <c r="BG1643" s="355"/>
      <c r="BH1643" s="355" t="str">
        <f>CONCATENATE(BF$1644,BE1639)</f>
        <v>Housing 1</v>
      </c>
      <c r="BI1643" s="355"/>
      <c r="BJ1643" s="355" t="str">
        <f>CONCATENATE(BF$1644,BE1639)</f>
        <v>Housing 1</v>
      </c>
      <c r="BK1643" s="355"/>
    </row>
    <row r="1644" spans="1:87" ht="17" hidden="1" customHeight="1" thickTop="1" thickBot="1" x14ac:dyDescent="0.35">
      <c r="A1644" s="317"/>
      <c r="B1644" s="315" t="s">
        <v>857</v>
      </c>
      <c r="C1644" s="359"/>
      <c r="D1644" s="359"/>
      <c r="E1644" s="315"/>
      <c r="F1644" s="315"/>
      <c r="AD1644" s="48">
        <f t="shared" si="76"/>
        <v>0</v>
      </c>
      <c r="BE1644" s="355"/>
      <c r="BF1644" s="355" t="s">
        <v>846</v>
      </c>
      <c r="BG1644" s="355"/>
      <c r="BH1644" s="355" t="str">
        <f>CONCATENATE(BF$1644,BE1640)</f>
        <v>Housing 2</v>
      </c>
      <c r="BI1644" s="355"/>
      <c r="BJ1644" s="355" t="str">
        <f>CONCATENATE(BF$1644,BE1640)</f>
        <v>Housing 2</v>
      </c>
      <c r="BK1644" s="355"/>
    </row>
    <row r="1645" spans="1:87" ht="17" hidden="1" customHeight="1" thickTop="1" thickBot="1" x14ac:dyDescent="0.35">
      <c r="A1645" s="317"/>
      <c r="B1645" s="358"/>
      <c r="C1645" s="359"/>
      <c r="D1645" s="359"/>
      <c r="E1645" s="315"/>
      <c r="F1645" s="315"/>
      <c r="AC1645" s="48">
        <f>IF(B1645&lt;&gt;"",1,0)</f>
        <v>0</v>
      </c>
      <c r="AD1645" s="48">
        <f t="shared" si="76"/>
        <v>0</v>
      </c>
      <c r="AE1645" s="48">
        <f>IF(D1645&lt;&gt;"",1,0)</f>
        <v>0</v>
      </c>
      <c r="BE1645" s="355"/>
      <c r="BF1645" s="355" t="str">
        <f>CONCATENATE(BF$1644,BE1639)</f>
        <v>Housing 1</v>
      </c>
      <c r="BG1645" s="355"/>
      <c r="BH1645" s="355" t="str">
        <f>CONCATENATE(BF$1644,BE1641)</f>
        <v>Housing 3</v>
      </c>
      <c r="BI1645" s="355"/>
      <c r="BJ1645" s="355" t="str">
        <f>CONCATENATE(BF$1644,BE1641)</f>
        <v>Housing 3</v>
      </c>
      <c r="BK1645" s="355"/>
    </row>
    <row r="1646" spans="1:87" hidden="1" x14ac:dyDescent="0.3">
      <c r="A1646" s="317"/>
      <c r="B1646" s="315"/>
      <c r="C1646" s="315"/>
      <c r="D1646" s="315"/>
      <c r="E1646" s="315"/>
      <c r="F1646" s="315"/>
      <c r="BE1646" s="355"/>
      <c r="BF1646" s="355" t="str">
        <f>CONCATENATE(BF$1644,BE1640)</f>
        <v>Housing 2</v>
      </c>
      <c r="BG1646" s="355"/>
      <c r="BH1646" s="355" t="str">
        <f>CONCATENATE(BF$1644,BE1642)</f>
        <v>Housing 4</v>
      </c>
      <c r="BI1646" s="355"/>
      <c r="BJ1646" s="355" t="str">
        <f>CONCATENATE(BF$1644,BE1642)</f>
        <v>Housing 4</v>
      </c>
      <c r="BK1646" s="355"/>
    </row>
    <row r="1647" spans="1:87" ht="25" hidden="1" customHeight="1" x14ac:dyDescent="0.3">
      <c r="A1647" s="317"/>
      <c r="B1647" s="349" t="s">
        <v>832</v>
      </c>
      <c r="C1647" s="349"/>
      <c r="D1647" s="350" t="str">
        <f>AJ1647</f>
        <v>Accumulative total: $10</v>
      </c>
      <c r="E1647" s="315"/>
      <c r="F1647" s="315"/>
      <c r="AD1647" s="52">
        <f>SUM(AE1647:AG1647)</f>
        <v>5</v>
      </c>
      <c r="AE1647" s="48">
        <f>IF(B1648=CI$1639,BY$1639,0)</f>
        <v>0</v>
      </c>
      <c r="AF1647" s="48">
        <f>IF(C1648=CI$1640,BY$1640,0)</f>
        <v>5</v>
      </c>
      <c r="AG1647" s="48">
        <f>IF(C1648=CI$1641,BY$1641,0)</f>
        <v>0</v>
      </c>
      <c r="AJ1647" s="48" t="str">
        <f>CONCATENATE(AS1647,AT1647)</f>
        <v>Accumulative total: $10</v>
      </c>
      <c r="AS1647" s="351" t="s">
        <v>833</v>
      </c>
      <c r="AT1647" s="48" t="str">
        <f>DOLLAR(AU1647,0)</f>
        <v>$10</v>
      </c>
      <c r="AU1647" s="48">
        <f>AD1647+AU1637</f>
        <v>10</v>
      </c>
      <c r="BE1647" s="355"/>
      <c r="BF1647" s="355" t="str">
        <f>CONCATENATE(BF$1644,BE1641)</f>
        <v>Housing 3</v>
      </c>
      <c r="BG1647" s="355"/>
      <c r="BH1647" s="355" t="str">
        <f>CONCATENATE(BF$1649,BE1639)</f>
        <v>Debt collector 1</v>
      </c>
      <c r="BI1647" s="355"/>
      <c r="BJ1647" s="355" t="str">
        <f>CONCATENATE(BF$1649,BE1639)</f>
        <v>Debt collector 1</v>
      </c>
      <c r="BK1647" s="355"/>
    </row>
    <row r="1648" spans="1:87" ht="15" hidden="1" x14ac:dyDescent="0.3">
      <c r="A1648" s="317"/>
      <c r="B1648" s="352" t="s">
        <v>834</v>
      </c>
      <c r="C1648" s="1106" t="s">
        <v>835</v>
      </c>
      <c r="D1648" s="1106"/>
      <c r="E1648" s="315"/>
      <c r="F1648" s="315"/>
      <c r="AC1648" s="353" t="s">
        <v>836</v>
      </c>
      <c r="AD1648" s="353"/>
      <c r="AE1648" s="353"/>
      <c r="AF1648" s="353"/>
      <c r="AG1648" s="353"/>
      <c r="AH1648" s="353"/>
      <c r="AI1648" s="353"/>
      <c r="AJ1648" s="353"/>
      <c r="BE1648" s="355"/>
      <c r="BF1648" s="355" t="str">
        <f>CONCATENATE(BF$1644,BE1642)</f>
        <v>Housing 4</v>
      </c>
      <c r="BG1648" s="355"/>
      <c r="BH1648" s="355" t="str">
        <f>CONCATENATE(BF$1649,BE1640)</f>
        <v>Debt collector 2</v>
      </c>
      <c r="BI1648" s="355"/>
      <c r="BJ1648" s="355" t="str">
        <f>CONCATENATE(BF$1649,BE1640)</f>
        <v>Debt collector 2</v>
      </c>
      <c r="BK1648" s="355"/>
    </row>
    <row r="1649" spans="1:63" ht="14.5" hidden="1" thickBot="1" x14ac:dyDescent="0.35">
      <c r="A1649" s="317"/>
      <c r="B1649" s="354" t="s">
        <v>858</v>
      </c>
      <c r="C1649" s="1104" t="str">
        <f>AC1649</f>
        <v>click to go to N2</v>
      </c>
      <c r="D1649" s="1104"/>
      <c r="E1649" s="315"/>
      <c r="F1649" s="315"/>
      <c r="AC1649" s="48" t="str">
        <f>IF(SUM(AD1650,AD1651,AD1652,AD1653,AD1654,AC1655,AD1655,AE1655)&lt;8,"click to go to N2",AI1649)</f>
        <v>click to go to N2</v>
      </c>
      <c r="AI1649" s="48" t="str">
        <f>CONCATENATE(AO1649,AQ1649,AT1649)</f>
        <v>Go to Employer 1  tab &gt;&gt;</v>
      </c>
      <c r="AO1649" s="48" t="s">
        <v>839</v>
      </c>
      <c r="AQ1649" s="48" t="str">
        <f>IF(C1650="","Employer 1 ",C1650)</f>
        <v xml:space="preserve">Employer 1 </v>
      </c>
      <c r="AT1649" s="48" t="s">
        <v>840</v>
      </c>
      <c r="BE1649" s="355"/>
      <c r="BF1649" s="355" t="s">
        <v>853</v>
      </c>
      <c r="BG1649" s="355"/>
      <c r="BH1649" s="355" t="str">
        <f>CONCATENATE(BF$1649,BE1641)</f>
        <v>Debt collector 3</v>
      </c>
      <c r="BI1649" s="355"/>
      <c r="BJ1649" s="355" t="str">
        <f>CONCATENATE(BF$1649,BE1641)</f>
        <v>Debt collector 3</v>
      </c>
      <c r="BK1649" s="355"/>
    </row>
    <row r="1650" spans="1:63" ht="17" hidden="1" customHeight="1" thickTop="1" thickBot="1" x14ac:dyDescent="0.35">
      <c r="A1650" s="317"/>
      <c r="B1650" s="315" t="s">
        <v>845</v>
      </c>
      <c r="C1650" s="356"/>
      <c r="D1650" s="357"/>
      <c r="E1650" s="315"/>
      <c r="F1650" s="315"/>
      <c r="AD1650" s="48">
        <f t="shared" ref="AD1650:AD1655" si="77">IF(C1650&lt;&gt;"",1,0)</f>
        <v>0</v>
      </c>
      <c r="BE1650" s="355"/>
      <c r="BF1650" s="355" t="str">
        <f>CONCATENATE(BF$1649,BE1639)</f>
        <v>Debt collector 1</v>
      </c>
      <c r="BG1650" s="355"/>
      <c r="BH1650" s="355" t="str">
        <f>CONCATENATE(BF$1649,BE1642)</f>
        <v>Debt collector 4</v>
      </c>
      <c r="BI1650" s="355"/>
      <c r="BJ1650" s="355" t="str">
        <f>CONCATENATE(BF$1649,BE1642)</f>
        <v>Debt collector 4</v>
      </c>
      <c r="BK1650" s="355"/>
    </row>
    <row r="1651" spans="1:63" ht="17" hidden="1" customHeight="1" thickTop="1" thickBot="1" x14ac:dyDescent="0.35">
      <c r="A1651" s="317"/>
      <c r="B1651" s="315" t="s">
        <v>852</v>
      </c>
      <c r="C1651" s="356"/>
      <c r="D1651" s="357"/>
      <c r="E1651" s="315"/>
      <c r="F1651" s="315"/>
      <c r="AD1651" s="48">
        <f t="shared" si="77"/>
        <v>0</v>
      </c>
      <c r="BE1651" s="355"/>
      <c r="BF1651" s="355" t="str">
        <f>CONCATENATE(BF$1649,BE1640)</f>
        <v>Debt collector 2</v>
      </c>
      <c r="BG1651" s="355"/>
      <c r="BH1651" s="355"/>
      <c r="BI1651" s="355"/>
      <c r="BJ1651" s="355"/>
      <c r="BK1651" s="355"/>
    </row>
    <row r="1652" spans="1:63" ht="17" hidden="1" customHeight="1" thickTop="1" thickBot="1" x14ac:dyDescent="0.35">
      <c r="A1652" s="317"/>
      <c r="B1652" s="315" t="s">
        <v>855</v>
      </c>
      <c r="C1652" s="356"/>
      <c r="D1652" s="357"/>
      <c r="E1652" s="315"/>
      <c r="F1652" s="315"/>
      <c r="AD1652" s="48">
        <f t="shared" si="77"/>
        <v>0</v>
      </c>
      <c r="BE1652" s="355"/>
      <c r="BF1652" s="355" t="str">
        <f>CONCATENATE(BF$1649,BE1641)</f>
        <v>Debt collector 3</v>
      </c>
      <c r="BG1652" s="355"/>
      <c r="BH1652" s="355"/>
      <c r="BI1652" s="355"/>
      <c r="BJ1652" s="355"/>
      <c r="BK1652" s="355"/>
    </row>
    <row r="1653" spans="1:63" ht="17" hidden="1" customHeight="1" thickTop="1" thickBot="1" x14ac:dyDescent="0.35">
      <c r="A1653" s="317"/>
      <c r="B1653" s="315" t="s">
        <v>856</v>
      </c>
      <c r="C1653" s="1105"/>
      <c r="D1653" s="1105"/>
      <c r="E1653" s="315"/>
      <c r="F1653" s="315"/>
      <c r="AD1653" s="48">
        <f t="shared" si="77"/>
        <v>0</v>
      </c>
      <c r="BE1653" s="355"/>
      <c r="BF1653" s="355" t="str">
        <f>CONCATENATE(BF$1649,BE1642)</f>
        <v>Debt collector 4</v>
      </c>
      <c r="BG1653" s="355"/>
      <c r="BH1653" s="355"/>
      <c r="BI1653" s="355"/>
      <c r="BJ1653" s="355"/>
      <c r="BK1653" s="355"/>
    </row>
    <row r="1654" spans="1:63" ht="17" hidden="1" customHeight="1" thickTop="1" thickBot="1" x14ac:dyDescent="0.35">
      <c r="A1654" s="317"/>
      <c r="B1654" s="315" t="s">
        <v>857</v>
      </c>
      <c r="C1654" s="359"/>
      <c r="D1654" s="359"/>
      <c r="E1654" s="315"/>
      <c r="F1654" s="315"/>
      <c r="AD1654" s="48">
        <f t="shared" si="77"/>
        <v>0</v>
      </c>
    </row>
    <row r="1655" spans="1:63" ht="17" hidden="1" customHeight="1" thickTop="1" thickBot="1" x14ac:dyDescent="0.35">
      <c r="A1655" s="317"/>
      <c r="B1655" s="358"/>
      <c r="C1655" s="359"/>
      <c r="D1655" s="359"/>
      <c r="E1655" s="315"/>
      <c r="F1655" s="315"/>
      <c r="AC1655" s="48">
        <f>IF(B1655&lt;&gt;"",1,0)</f>
        <v>0</v>
      </c>
      <c r="AD1655" s="48">
        <f t="shared" si="77"/>
        <v>0</v>
      </c>
      <c r="AE1655" s="48">
        <f>IF(D1655&lt;&gt;"",1,0)</f>
        <v>0</v>
      </c>
    </row>
    <row r="1656" spans="1:63" hidden="1" x14ac:dyDescent="0.3">
      <c r="A1656" s="317"/>
      <c r="B1656" s="315"/>
      <c r="C1656" s="315"/>
      <c r="D1656" s="315"/>
      <c r="E1656" s="315"/>
      <c r="F1656" s="315"/>
    </row>
    <row r="1657" spans="1:63" ht="25" hidden="1" customHeight="1" x14ac:dyDescent="0.3">
      <c r="A1657" s="317"/>
      <c r="B1657" s="349" t="s">
        <v>846</v>
      </c>
      <c r="C1657" s="349"/>
      <c r="D1657" s="350" t="str">
        <f>AJ1657</f>
        <v>Accumulative total: $10</v>
      </c>
      <c r="E1657" s="315"/>
      <c r="F1657" s="315"/>
      <c r="AD1657" s="52">
        <f>SUM(AE1657:AG1657)</f>
        <v>0</v>
      </c>
      <c r="AE1657" s="48">
        <f>IF(B1658=CI$1639,BY$1639,0)</f>
        <v>0</v>
      </c>
      <c r="AF1657" s="48">
        <f>IF(C1658=CI$1640,BY$1640,0)</f>
        <v>0</v>
      </c>
      <c r="AG1657" s="48">
        <f>IF(C1658=CI$1641,BY$1641,0)</f>
        <v>0</v>
      </c>
      <c r="AJ1657" s="48" t="str">
        <f>CONCATENATE(AS1657,AT1657)</f>
        <v>Accumulative total: $10</v>
      </c>
      <c r="AS1657" s="351" t="s">
        <v>833</v>
      </c>
      <c r="AT1657" s="48" t="str">
        <f>DOLLAR(AU1657,0)</f>
        <v>$10</v>
      </c>
      <c r="AU1657" s="48">
        <f>AD1657+AU1647</f>
        <v>10</v>
      </c>
    </row>
    <row r="1658" spans="1:63" ht="15" hidden="1" x14ac:dyDescent="0.3">
      <c r="A1658" s="317"/>
      <c r="B1658" s="352" t="s">
        <v>834</v>
      </c>
      <c r="C1658" s="1106" t="str">
        <f>AC1658</f>
        <v>PICK AN OPTION BEST FOR YOU</v>
      </c>
      <c r="D1658" s="1106"/>
      <c r="E1658" s="315"/>
      <c r="F1658" s="315"/>
      <c r="AC1658" s="353" t="s">
        <v>836</v>
      </c>
      <c r="AD1658" s="353"/>
      <c r="AE1658" s="353"/>
      <c r="AF1658" s="353"/>
      <c r="AG1658" s="353"/>
      <c r="AH1658" s="353"/>
      <c r="AI1658" s="353"/>
      <c r="AJ1658" s="353"/>
    </row>
    <row r="1659" spans="1:63" ht="14.5" hidden="1" thickBot="1" x14ac:dyDescent="0.35">
      <c r="A1659" s="317"/>
      <c r="B1659" s="354" t="s">
        <v>859</v>
      </c>
      <c r="C1659" s="1104" t="str">
        <f>AC1659</f>
        <v>click to go to N3</v>
      </c>
      <c r="D1659" s="1104"/>
      <c r="E1659" s="315"/>
      <c r="F1659" s="315"/>
      <c r="AC1659" s="48" t="str">
        <f>IF(SUM(AD1660,AD1661,AD1662,AD1663,AD1664,AC1665,AD1665,AE1665)&lt;8,"click to go to N3",AI1659)</f>
        <v>click to go to N3</v>
      </c>
      <c r="AI1659" s="48" t="str">
        <f>CONCATENATE(AO1659,AQ1659,AT1659)</f>
        <v>Go to Employer 1  tab &gt;&gt;</v>
      </c>
      <c r="AO1659" s="48" t="s">
        <v>839</v>
      </c>
      <c r="AQ1659" s="48" t="str">
        <f>IF(C1660="","Employer 1 ",C1660)</f>
        <v xml:space="preserve">Employer 1 </v>
      </c>
      <c r="AT1659" s="48" t="s">
        <v>840</v>
      </c>
    </row>
    <row r="1660" spans="1:63" ht="17" hidden="1" customHeight="1" thickTop="1" thickBot="1" x14ac:dyDescent="0.35">
      <c r="A1660" s="317"/>
      <c r="B1660" s="315" t="s">
        <v>845</v>
      </c>
      <c r="C1660" s="356"/>
      <c r="D1660" s="357"/>
      <c r="E1660" s="315"/>
      <c r="F1660" s="315"/>
      <c r="AD1660" s="48">
        <f t="shared" ref="AD1660:AD1665" si="78">IF(C1660&lt;&gt;"",1,0)</f>
        <v>0</v>
      </c>
    </row>
    <row r="1661" spans="1:63" ht="17" hidden="1" customHeight="1" thickTop="1" thickBot="1" x14ac:dyDescent="0.35">
      <c r="A1661" s="317"/>
      <c r="B1661" s="315" t="s">
        <v>852</v>
      </c>
      <c r="C1661" s="356"/>
      <c r="D1661" s="357"/>
      <c r="E1661" s="315"/>
      <c r="F1661" s="315"/>
      <c r="AD1661" s="48">
        <f t="shared" si="78"/>
        <v>0</v>
      </c>
    </row>
    <row r="1662" spans="1:63" ht="17" hidden="1" customHeight="1" thickTop="1" thickBot="1" x14ac:dyDescent="0.35">
      <c r="A1662" s="317"/>
      <c r="B1662" s="315" t="s">
        <v>855</v>
      </c>
      <c r="C1662" s="356"/>
      <c r="D1662" s="357"/>
      <c r="E1662" s="315"/>
      <c r="F1662" s="315"/>
      <c r="AD1662" s="48">
        <f t="shared" si="78"/>
        <v>0</v>
      </c>
    </row>
    <row r="1663" spans="1:63" ht="17" hidden="1" customHeight="1" thickTop="1" thickBot="1" x14ac:dyDescent="0.35">
      <c r="A1663" s="317"/>
      <c r="B1663" s="315" t="s">
        <v>856</v>
      </c>
      <c r="C1663" s="1105"/>
      <c r="D1663" s="1105"/>
      <c r="E1663" s="315"/>
      <c r="F1663" s="315"/>
      <c r="AD1663" s="48">
        <f t="shared" si="78"/>
        <v>0</v>
      </c>
    </row>
    <row r="1664" spans="1:63" ht="17" hidden="1" customHeight="1" thickTop="1" thickBot="1" x14ac:dyDescent="0.35">
      <c r="A1664" s="317"/>
      <c r="B1664" s="315" t="s">
        <v>857</v>
      </c>
      <c r="C1664" s="359"/>
      <c r="D1664" s="359"/>
      <c r="E1664" s="315"/>
      <c r="F1664" s="315"/>
      <c r="AD1664" s="48">
        <f t="shared" si="78"/>
        <v>0</v>
      </c>
    </row>
    <row r="1665" spans="1:80" ht="17" hidden="1" customHeight="1" thickTop="1" thickBot="1" x14ac:dyDescent="0.35">
      <c r="A1665" s="317"/>
      <c r="B1665" s="358"/>
      <c r="C1665" s="359"/>
      <c r="D1665" s="359"/>
      <c r="E1665" s="315"/>
      <c r="F1665" s="315"/>
      <c r="AC1665" s="48">
        <f>IF(B1665&lt;&gt;"",1,0)</f>
        <v>0</v>
      </c>
      <c r="AD1665" s="48">
        <f t="shared" si="78"/>
        <v>0</v>
      </c>
      <c r="AE1665" s="48">
        <f>IF(D1665&lt;&gt;"",1,0)</f>
        <v>0</v>
      </c>
    </row>
    <row r="1666" spans="1:80" hidden="1" x14ac:dyDescent="0.3">
      <c r="A1666" s="317"/>
      <c r="B1666" s="315"/>
      <c r="C1666" s="315"/>
      <c r="D1666" s="315"/>
      <c r="E1666" s="315"/>
      <c r="F1666" s="315"/>
    </row>
    <row r="1667" spans="1:80" ht="25" hidden="1" customHeight="1" x14ac:dyDescent="0.3">
      <c r="A1667" s="317"/>
      <c r="B1667" s="349" t="s">
        <v>846</v>
      </c>
      <c r="C1667" s="349"/>
      <c r="D1667" s="350" t="str">
        <f>AJ1667</f>
        <v>Accumulative total: $10</v>
      </c>
      <c r="E1667" s="315"/>
      <c r="F1667" s="315"/>
      <c r="AD1667" s="52">
        <f>SUM(AE1667:AG1667)</f>
        <v>0</v>
      </c>
      <c r="AE1667" s="48">
        <f>IF(B1668=CI$1639,BY$1639,0)</f>
        <v>0</v>
      </c>
      <c r="AF1667" s="48">
        <f>IF(C1668=CI$1640,BY$1640,0)</f>
        <v>0</v>
      </c>
      <c r="AG1667" s="48">
        <f>IF(C1668=CI$1641,BY$1641,0)</f>
        <v>0</v>
      </c>
      <c r="AJ1667" s="48" t="str">
        <f>CONCATENATE(AS1667,AT1667)</f>
        <v>Accumulative total: $10</v>
      </c>
      <c r="AS1667" s="351" t="s">
        <v>833</v>
      </c>
      <c r="AT1667" s="48" t="str">
        <f>DOLLAR(AU1667,0)</f>
        <v>$10</v>
      </c>
      <c r="AU1667" s="48">
        <f>AD1667+AU1657</f>
        <v>10</v>
      </c>
    </row>
    <row r="1668" spans="1:80" ht="15" hidden="1" customHeight="1" x14ac:dyDescent="0.3">
      <c r="A1668" s="317"/>
      <c r="B1668" s="352" t="s">
        <v>834</v>
      </c>
      <c r="C1668" s="1106" t="str">
        <f>AC1668</f>
        <v>PICK AN OPTION BEST FOR YOU</v>
      </c>
      <c r="D1668" s="1106"/>
      <c r="E1668" s="315"/>
      <c r="F1668" s="315"/>
      <c r="AC1668" s="353" t="s">
        <v>836</v>
      </c>
      <c r="AD1668" s="353"/>
      <c r="AE1668" s="353"/>
      <c r="AF1668" s="353"/>
      <c r="AG1668" s="353"/>
      <c r="AH1668" s="353"/>
      <c r="AI1668" s="353"/>
      <c r="AJ1668" s="353"/>
    </row>
    <row r="1669" spans="1:80" ht="15" hidden="1" customHeight="1" thickBot="1" x14ac:dyDescent="0.35">
      <c r="A1669" s="317"/>
      <c r="B1669" s="354" t="s">
        <v>860</v>
      </c>
      <c r="C1669" s="1104" t="str">
        <f>AC1669</f>
        <v>click to go to AI04</v>
      </c>
      <c r="D1669" s="1104"/>
      <c r="E1669" s="315"/>
      <c r="F1669" s="315"/>
      <c r="AC1669" s="48" t="str">
        <f>IF(SUM(AD1670,AD1671,AD1672,AD1673,AD1674,AC1675,AD1675,AE1675)&lt;8,"click to go to AI04",AI1669)</f>
        <v>click to go to AI04</v>
      </c>
      <c r="AI1669" s="48" t="str">
        <f>CONCATENATE(AO1669,AQ1669,AT1669)</f>
        <v>Go to Employer 1  tab &gt;&gt;</v>
      </c>
      <c r="AO1669" s="48" t="s">
        <v>839</v>
      </c>
      <c r="AQ1669" s="48" t="str">
        <f>IF(C1670="","Employer 1 ",C1670)</f>
        <v xml:space="preserve">Employer 1 </v>
      </c>
      <c r="AT1669" s="48" t="s">
        <v>840</v>
      </c>
      <c r="BX1669" s="245" t="s">
        <v>842</v>
      </c>
      <c r="BY1669" s="48">
        <v>0</v>
      </c>
      <c r="BZ1669" s="48" t="s">
        <v>843</v>
      </c>
      <c r="CA1669" s="245" t="s">
        <v>844</v>
      </c>
      <c r="CB1669" s="48" t="str">
        <f>CONCATENATE(BO1669,BX1669,BZ1669,CA1669)</f>
        <v>[DIY FREE]</v>
      </c>
    </row>
    <row r="1670" spans="1:80" ht="17" hidden="1" customHeight="1" thickTop="1" thickBot="1" x14ac:dyDescent="0.35">
      <c r="A1670" s="317"/>
      <c r="B1670" s="315" t="s">
        <v>845</v>
      </c>
      <c r="C1670" s="356"/>
      <c r="D1670" s="357"/>
      <c r="E1670" s="315"/>
      <c r="F1670" s="315"/>
      <c r="AD1670" s="48">
        <f t="shared" ref="AD1670:AD1675" si="79">IF(C1670&lt;&gt;"",1,0)</f>
        <v>0</v>
      </c>
      <c r="BX1670" s="48" t="s">
        <v>842</v>
      </c>
      <c r="BY1670" s="48">
        <v>5</v>
      </c>
      <c r="BZ1670" s="351" t="str">
        <f>DOLLAR(BY1670,0)</f>
        <v>$5</v>
      </c>
      <c r="CA1670" s="48" t="s">
        <v>844</v>
      </c>
      <c r="CB1670" s="48" t="str">
        <f>CONCATENATE(BO1670,BX1670,BZ1670,CA1670)</f>
        <v>[$5]</v>
      </c>
    </row>
    <row r="1671" spans="1:80" ht="17" hidden="1" customHeight="1" thickTop="1" thickBot="1" x14ac:dyDescent="0.35">
      <c r="A1671" s="317"/>
      <c r="B1671" s="315" t="s">
        <v>852</v>
      </c>
      <c r="C1671" s="356"/>
      <c r="D1671" s="357"/>
      <c r="E1671" s="315"/>
      <c r="F1671" s="315"/>
      <c r="AD1671" s="48">
        <f t="shared" si="79"/>
        <v>0</v>
      </c>
      <c r="BX1671" s="48" t="s">
        <v>842</v>
      </c>
      <c r="BY1671" s="48">
        <v>15</v>
      </c>
      <c r="BZ1671" s="351" t="str">
        <f>DOLLAR(BY1671,0)</f>
        <v>$15</v>
      </c>
      <c r="CA1671" s="48" t="s">
        <v>844</v>
      </c>
      <c r="CB1671" s="48" t="str">
        <f>CONCATENATE(BO1671,BX1671,BZ1671,CA1671)</f>
        <v>[$15]</v>
      </c>
    </row>
    <row r="1672" spans="1:80" ht="17" hidden="1" customHeight="1" thickTop="1" thickBot="1" x14ac:dyDescent="0.35">
      <c r="A1672" s="317"/>
      <c r="B1672" s="315" t="s">
        <v>855</v>
      </c>
      <c r="C1672" s="356"/>
      <c r="D1672" s="357"/>
      <c r="E1672" s="315"/>
      <c r="F1672" s="315"/>
      <c r="AD1672" s="48">
        <f t="shared" si="79"/>
        <v>0</v>
      </c>
    </row>
    <row r="1673" spans="1:80" ht="17" hidden="1" customHeight="1" thickTop="1" thickBot="1" x14ac:dyDescent="0.35">
      <c r="A1673" s="317"/>
      <c r="B1673" s="315" t="s">
        <v>856</v>
      </c>
      <c r="C1673" s="1105"/>
      <c r="D1673" s="1105"/>
      <c r="E1673" s="315"/>
      <c r="F1673" s="315"/>
      <c r="AD1673" s="48">
        <f t="shared" si="79"/>
        <v>0</v>
      </c>
    </row>
    <row r="1674" spans="1:80" ht="17" hidden="1" customHeight="1" thickTop="1" thickBot="1" x14ac:dyDescent="0.35">
      <c r="A1674" s="317"/>
      <c r="B1674" s="315" t="s">
        <v>857</v>
      </c>
      <c r="C1674" s="359"/>
      <c r="D1674" s="359"/>
      <c r="E1674" s="315"/>
      <c r="F1674" s="315"/>
      <c r="AD1674" s="48">
        <f t="shared" si="79"/>
        <v>0</v>
      </c>
    </row>
    <row r="1675" spans="1:80" ht="17" hidden="1" customHeight="1" thickTop="1" thickBot="1" x14ac:dyDescent="0.35">
      <c r="A1675" s="317"/>
      <c r="B1675" s="358"/>
      <c r="C1675" s="359"/>
      <c r="D1675" s="359"/>
      <c r="E1675" s="315"/>
      <c r="F1675" s="315"/>
      <c r="AC1675" s="48">
        <f>IF(B1675&lt;&gt;"",1,0)</f>
        <v>0</v>
      </c>
      <c r="AD1675" s="48">
        <f t="shared" si="79"/>
        <v>0</v>
      </c>
      <c r="AE1675" s="48">
        <f>IF(D1675&lt;&gt;"",1,0)</f>
        <v>0</v>
      </c>
    </row>
    <row r="1676" spans="1:80" hidden="1" x14ac:dyDescent="0.3">
      <c r="A1676" s="317"/>
      <c r="B1676" s="315"/>
      <c r="C1676" s="315"/>
      <c r="D1676" s="315"/>
      <c r="E1676" s="315"/>
      <c r="F1676" s="315"/>
    </row>
    <row r="1677" spans="1:80" ht="25" hidden="1" customHeight="1" x14ac:dyDescent="0.3">
      <c r="A1677" s="317"/>
      <c r="B1677" s="349" t="s">
        <v>853</v>
      </c>
      <c r="C1677" s="349"/>
      <c r="D1677" s="350" t="str">
        <f>AJ1677</f>
        <v>Accumulative total: $10</v>
      </c>
      <c r="E1677" s="315"/>
      <c r="F1677" s="315"/>
      <c r="AD1677" s="52">
        <f>SUM(AE1677:AG1677)</f>
        <v>0</v>
      </c>
      <c r="AE1677" s="48">
        <f>IF(B1678=CI$1639,BY$1639,0)</f>
        <v>0</v>
      </c>
      <c r="AF1677" s="48">
        <f>IF(C1678=CI$1640,BY$1640,0)</f>
        <v>0</v>
      </c>
      <c r="AG1677" s="48">
        <f>IF(C1678=CI$1641,BY$1641,0)</f>
        <v>0</v>
      </c>
      <c r="AJ1677" s="48" t="str">
        <f>CONCATENATE(AS1677,AT1677)</f>
        <v>Accumulative total: $10</v>
      </c>
      <c r="AS1677" s="351" t="s">
        <v>833</v>
      </c>
      <c r="AT1677" s="48" t="str">
        <f>DOLLAR(AU1677,0)</f>
        <v>$10</v>
      </c>
      <c r="AU1677" s="48">
        <f>AD1677+AU1667</f>
        <v>10</v>
      </c>
    </row>
    <row r="1678" spans="1:80" ht="15" hidden="1" x14ac:dyDescent="0.3">
      <c r="A1678" s="317"/>
      <c r="B1678" s="352" t="s">
        <v>834</v>
      </c>
      <c r="C1678" s="1106" t="str">
        <f>AC1678</f>
        <v>PICK AN OPTION BEST FOR YOU</v>
      </c>
      <c r="D1678" s="1106"/>
      <c r="E1678" s="315"/>
      <c r="F1678" s="315"/>
      <c r="AC1678" s="353" t="s">
        <v>836</v>
      </c>
      <c r="AD1678" s="353"/>
      <c r="AE1678" s="353"/>
      <c r="AF1678" s="353"/>
      <c r="AG1678" s="353"/>
      <c r="AH1678" s="353"/>
      <c r="AI1678" s="353"/>
      <c r="AJ1678" s="353"/>
    </row>
    <row r="1679" spans="1:80" ht="14.5" hidden="1" thickBot="1" x14ac:dyDescent="0.35">
      <c r="A1679" s="317"/>
      <c r="B1679" s="354" t="s">
        <v>861</v>
      </c>
      <c r="C1679" s="1104" t="str">
        <f>AC1679</f>
        <v>click to go to AI05</v>
      </c>
      <c r="D1679" s="1104"/>
      <c r="E1679" s="315"/>
      <c r="F1679" s="315"/>
      <c r="AC1679" s="48" t="str">
        <f>IF(SUM(AD1680,AD1681,AD1682,AD1683,AD1684,AC1685,AD1685,AE1685)&lt;8,"click to go to AI05",AI1679)</f>
        <v>click to go to AI05</v>
      </c>
      <c r="AI1679" s="48" t="str">
        <f>CONCATENATE(AO1679,AQ1679,AT1679)</f>
        <v>Go to Employer 1  tab &gt;&gt;</v>
      </c>
      <c r="AO1679" s="48" t="s">
        <v>839</v>
      </c>
      <c r="AQ1679" s="48" t="str">
        <f>IF(C1680="","Employer 1 ",C1680)</f>
        <v xml:space="preserve">Employer 1 </v>
      </c>
      <c r="AT1679" s="48" t="s">
        <v>840</v>
      </c>
    </row>
    <row r="1680" spans="1:80" ht="17" hidden="1" customHeight="1" thickTop="1" thickBot="1" x14ac:dyDescent="0.35">
      <c r="A1680" s="317"/>
      <c r="B1680" s="315" t="s">
        <v>845</v>
      </c>
      <c r="C1680" s="356"/>
      <c r="D1680" s="357"/>
      <c r="E1680" s="315"/>
      <c r="F1680" s="315"/>
      <c r="AD1680" s="48">
        <f t="shared" ref="AD1680:AD1685" si="80">IF(C1680&lt;&gt;"",1,0)</f>
        <v>0</v>
      </c>
    </row>
    <row r="1681" spans="1:47" ht="17" hidden="1" customHeight="1" thickTop="1" thickBot="1" x14ac:dyDescent="0.35">
      <c r="A1681" s="317"/>
      <c r="B1681" s="315" t="s">
        <v>852</v>
      </c>
      <c r="C1681" s="356"/>
      <c r="D1681" s="357"/>
      <c r="E1681" s="315"/>
      <c r="F1681" s="315"/>
      <c r="AD1681" s="48">
        <f t="shared" si="80"/>
        <v>0</v>
      </c>
    </row>
    <row r="1682" spans="1:47" ht="17" hidden="1" customHeight="1" thickTop="1" thickBot="1" x14ac:dyDescent="0.35">
      <c r="A1682" s="317"/>
      <c r="B1682" s="315" t="s">
        <v>855</v>
      </c>
      <c r="C1682" s="356"/>
      <c r="D1682" s="357"/>
      <c r="E1682" s="315"/>
      <c r="F1682" s="315"/>
      <c r="AD1682" s="48">
        <f t="shared" si="80"/>
        <v>0</v>
      </c>
    </row>
    <row r="1683" spans="1:47" ht="17" hidden="1" customHeight="1" thickTop="1" thickBot="1" x14ac:dyDescent="0.35">
      <c r="A1683" s="317"/>
      <c r="B1683" s="315" t="s">
        <v>856</v>
      </c>
      <c r="C1683" s="1105"/>
      <c r="D1683" s="1105"/>
      <c r="E1683" s="315"/>
      <c r="F1683" s="315"/>
      <c r="AD1683" s="48">
        <f t="shared" si="80"/>
        <v>0</v>
      </c>
    </row>
    <row r="1684" spans="1:47" ht="17" hidden="1" customHeight="1" thickTop="1" thickBot="1" x14ac:dyDescent="0.35">
      <c r="A1684" s="317"/>
      <c r="B1684" s="315" t="s">
        <v>857</v>
      </c>
      <c r="C1684" s="359"/>
      <c r="D1684" s="359"/>
      <c r="E1684" s="315"/>
      <c r="F1684" s="315"/>
      <c r="AD1684" s="48">
        <f t="shared" si="80"/>
        <v>0</v>
      </c>
    </row>
    <row r="1685" spans="1:47" ht="17" hidden="1" customHeight="1" thickTop="1" thickBot="1" x14ac:dyDescent="0.35">
      <c r="A1685" s="317"/>
      <c r="B1685" s="358"/>
      <c r="C1685" s="359"/>
      <c r="D1685" s="359"/>
      <c r="E1685" s="315"/>
      <c r="F1685" s="315"/>
      <c r="AC1685" s="48">
        <f>IF(B1685&lt;&gt;"",1,0)</f>
        <v>0</v>
      </c>
      <c r="AD1685" s="48">
        <f t="shared" si="80"/>
        <v>0</v>
      </c>
      <c r="AE1685" s="48">
        <f>IF(D1685&lt;&gt;"",1,0)</f>
        <v>0</v>
      </c>
    </row>
    <row r="1686" spans="1:47" hidden="1" x14ac:dyDescent="0.3">
      <c r="A1686" s="317"/>
      <c r="B1686" s="315"/>
      <c r="C1686" s="315"/>
      <c r="D1686" s="315"/>
      <c r="E1686" s="315"/>
      <c r="F1686" s="315"/>
    </row>
    <row r="1687" spans="1:47" ht="25" hidden="1" customHeight="1" x14ac:dyDescent="0.3">
      <c r="A1687" s="317"/>
      <c r="B1687" s="349" t="s">
        <v>853</v>
      </c>
      <c r="C1687" s="349"/>
      <c r="D1687" s="350" t="str">
        <f>AJ1687</f>
        <v>Accumulative total: $10</v>
      </c>
      <c r="E1687" s="315"/>
      <c r="F1687" s="315"/>
      <c r="AD1687" s="52">
        <f>SUM(AE1687:AG1687)</f>
        <v>0</v>
      </c>
      <c r="AE1687" s="48">
        <f>IF(B1688=CI$1639,BY$1639,0)</f>
        <v>0</v>
      </c>
      <c r="AF1687" s="48">
        <f>IF(C1688=CI$1640,BY$1640,0)</f>
        <v>0</v>
      </c>
      <c r="AG1687" s="48">
        <f>IF(C1688=CI$1641,BY$1641,0)</f>
        <v>0</v>
      </c>
      <c r="AJ1687" s="48" t="str">
        <f>CONCATENATE(AS1687,AT1687)</f>
        <v>Accumulative total: $10</v>
      </c>
      <c r="AS1687" s="351" t="s">
        <v>833</v>
      </c>
      <c r="AT1687" s="48" t="str">
        <f>DOLLAR(AU1687,0)</f>
        <v>$10</v>
      </c>
      <c r="AU1687" s="48">
        <f>AD1687+AU1677</f>
        <v>10</v>
      </c>
    </row>
    <row r="1688" spans="1:47" ht="15" hidden="1" x14ac:dyDescent="0.3">
      <c r="A1688" s="317"/>
      <c r="B1688" s="352" t="s">
        <v>834</v>
      </c>
      <c r="C1688" s="1106" t="str">
        <f>AC1688</f>
        <v>PICK AN OPTION BEST FOR YOU</v>
      </c>
      <c r="D1688" s="1106"/>
      <c r="E1688" s="315"/>
      <c r="F1688" s="315"/>
      <c r="AC1688" s="353" t="s">
        <v>836</v>
      </c>
      <c r="AD1688" s="353"/>
      <c r="AE1688" s="353"/>
      <c r="AF1688" s="353"/>
      <c r="AG1688" s="353"/>
      <c r="AH1688" s="353"/>
      <c r="AI1688" s="353"/>
      <c r="AJ1688" s="353"/>
    </row>
    <row r="1689" spans="1:47" ht="14.5" hidden="1" thickBot="1" x14ac:dyDescent="0.35">
      <c r="A1689" s="317"/>
      <c r="B1689" s="354" t="s">
        <v>862</v>
      </c>
      <c r="C1689" s="1104" t="str">
        <f>AC1689</f>
        <v>click to go to AI06</v>
      </c>
      <c r="D1689" s="1104"/>
      <c r="E1689" s="315"/>
      <c r="F1689" s="315"/>
      <c r="AC1689" s="48" t="str">
        <f>IF(SUM(AD1690,AD1691,AD1692,AD1693,AD1694,AC1695,AD1695,AE1695)&lt;8,"click to go to AI06",AI1689)</f>
        <v>click to go to AI06</v>
      </c>
      <c r="AI1689" s="48" t="str">
        <f>CONCATENATE(AO1689,AQ1689,AT1689)</f>
        <v>Go to Employer 1  tab &gt;&gt;</v>
      </c>
      <c r="AO1689" s="48" t="s">
        <v>839</v>
      </c>
      <c r="AQ1689" s="48" t="str">
        <f>IF(C1690="","Employer 1 ",C1690)</f>
        <v xml:space="preserve">Employer 1 </v>
      </c>
      <c r="AT1689" s="48" t="s">
        <v>840</v>
      </c>
    </row>
    <row r="1690" spans="1:47" ht="17" hidden="1" customHeight="1" thickTop="1" thickBot="1" x14ac:dyDescent="0.35">
      <c r="A1690" s="317"/>
      <c r="B1690" s="315" t="s">
        <v>845</v>
      </c>
      <c r="C1690" s="356"/>
      <c r="D1690" s="357"/>
      <c r="E1690" s="315"/>
      <c r="F1690" s="315"/>
      <c r="AD1690" s="48">
        <f t="shared" ref="AD1690:AD1695" si="81">IF(C1690&lt;&gt;"",1,0)</f>
        <v>0</v>
      </c>
    </row>
    <row r="1691" spans="1:47" ht="17" hidden="1" customHeight="1" thickTop="1" thickBot="1" x14ac:dyDescent="0.35">
      <c r="A1691" s="317"/>
      <c r="B1691" s="315" t="s">
        <v>852</v>
      </c>
      <c r="C1691" s="356"/>
      <c r="D1691" s="357"/>
      <c r="E1691" s="315"/>
      <c r="F1691" s="315"/>
      <c r="AD1691" s="48">
        <f t="shared" si="81"/>
        <v>0</v>
      </c>
    </row>
    <row r="1692" spans="1:47" ht="17" hidden="1" customHeight="1" thickTop="1" thickBot="1" x14ac:dyDescent="0.35">
      <c r="A1692" s="317"/>
      <c r="B1692" s="315" t="s">
        <v>855</v>
      </c>
      <c r="C1692" s="356"/>
      <c r="D1692" s="357"/>
      <c r="E1692" s="315"/>
      <c r="F1692" s="315"/>
      <c r="AD1692" s="48">
        <f t="shared" si="81"/>
        <v>0</v>
      </c>
    </row>
    <row r="1693" spans="1:47" ht="17" hidden="1" customHeight="1" thickTop="1" thickBot="1" x14ac:dyDescent="0.35">
      <c r="A1693" s="317"/>
      <c r="B1693" s="315" t="s">
        <v>856</v>
      </c>
      <c r="C1693" s="1105"/>
      <c r="D1693" s="1105"/>
      <c r="E1693" s="315"/>
      <c r="F1693" s="315"/>
      <c r="AD1693" s="48">
        <f t="shared" si="81"/>
        <v>0</v>
      </c>
    </row>
    <row r="1694" spans="1:47" ht="17" hidden="1" customHeight="1" thickTop="1" thickBot="1" x14ac:dyDescent="0.35">
      <c r="A1694" s="317"/>
      <c r="B1694" s="315" t="s">
        <v>857</v>
      </c>
      <c r="C1694" s="359"/>
      <c r="D1694" s="359"/>
      <c r="E1694" s="315"/>
      <c r="F1694" s="315"/>
      <c r="AD1694" s="48">
        <f t="shared" si="81"/>
        <v>0</v>
      </c>
    </row>
    <row r="1695" spans="1:47" ht="17" hidden="1" customHeight="1" thickTop="1" thickBot="1" x14ac:dyDescent="0.35">
      <c r="A1695" s="317"/>
      <c r="B1695" s="358"/>
      <c r="C1695" s="359"/>
      <c r="D1695" s="359"/>
      <c r="E1695" s="315"/>
      <c r="F1695" s="315"/>
      <c r="AC1695" s="48">
        <f>IF(B1695&lt;&gt;"",1,0)</f>
        <v>0</v>
      </c>
      <c r="AD1695" s="48">
        <f t="shared" si="81"/>
        <v>0</v>
      </c>
      <c r="AE1695" s="48">
        <f>IF(D1695&lt;&gt;"",1,0)</f>
        <v>0</v>
      </c>
    </row>
    <row r="1696" spans="1:47" hidden="1" x14ac:dyDescent="0.3">
      <c r="A1696" s="317"/>
      <c r="B1696" s="315"/>
      <c r="C1696" s="315"/>
      <c r="D1696" s="315"/>
      <c r="E1696" s="315"/>
      <c r="F1696" s="315"/>
    </row>
    <row r="1697" spans="1:54" hidden="1" x14ac:dyDescent="0.3">
      <c r="A1697" s="317"/>
      <c r="B1697" s="315"/>
      <c r="C1697" s="315"/>
      <c r="D1697" s="315"/>
      <c r="E1697" s="315"/>
      <c r="F1697" s="315"/>
    </row>
    <row r="1698" spans="1:54" ht="15" hidden="1" customHeight="1" x14ac:dyDescent="0.3">
      <c r="A1698" s="317"/>
      <c r="B1698" s="315"/>
      <c r="C1698" s="360"/>
      <c r="D1698" s="360"/>
      <c r="E1698" s="315"/>
      <c r="F1698" s="315"/>
    </row>
    <row r="1699" spans="1:54" hidden="1" x14ac:dyDescent="0.3">
      <c r="A1699" s="317"/>
      <c r="B1699" s="315"/>
      <c r="C1699" s="315"/>
      <c r="D1699" s="315"/>
      <c r="E1699" s="315"/>
      <c r="F1699" s="315"/>
    </row>
    <row r="1700" spans="1:54" hidden="1" x14ac:dyDescent="0.3">
      <c r="A1700" s="317"/>
      <c r="B1700" s="315"/>
      <c r="C1700" s="315"/>
      <c r="D1700" s="315"/>
      <c r="E1700" s="315"/>
      <c r="F1700" s="315"/>
    </row>
    <row r="1701" spans="1:54" hidden="1" x14ac:dyDescent="0.3">
      <c r="A1701" s="317"/>
      <c r="B1701" s="315"/>
      <c r="C1701" s="315"/>
      <c r="D1701" s="315"/>
      <c r="E1701" s="315"/>
      <c r="F1701" s="315"/>
    </row>
    <row r="1702" spans="1:54" hidden="1" x14ac:dyDescent="0.3">
      <c r="A1702" s="317"/>
      <c r="B1702" s="315"/>
      <c r="C1702" s="315"/>
      <c r="D1702" s="315"/>
      <c r="E1702" s="315"/>
      <c r="F1702" s="315"/>
    </row>
    <row r="1703" spans="1:54" hidden="1" x14ac:dyDescent="0.3">
      <c r="A1703" s="317"/>
      <c r="B1703" s="315"/>
      <c r="C1703" s="315"/>
      <c r="D1703" s="315"/>
      <c r="E1703" s="315"/>
      <c r="F1703" s="315"/>
    </row>
    <row r="1704" spans="1:54" ht="30" hidden="1" customHeight="1" x14ac:dyDescent="0.3">
      <c r="A1704" s="317"/>
      <c r="B1704" s="315"/>
      <c r="C1704" s="315"/>
      <c r="D1704" s="315"/>
      <c r="E1704" s="315"/>
      <c r="F1704" s="315"/>
    </row>
    <row r="1705" spans="1:54" ht="10" hidden="1" customHeight="1" x14ac:dyDescent="0.3">
      <c r="A1705" s="317"/>
      <c r="B1705" s="361"/>
      <c r="C1705" s="315"/>
      <c r="D1705" s="315"/>
      <c r="E1705" s="315"/>
      <c r="F1705" s="315"/>
    </row>
    <row r="1706" spans="1:54" ht="30" hidden="1" customHeight="1" x14ac:dyDescent="0.3">
      <c r="A1706" s="39" t="s">
        <v>92</v>
      </c>
      <c r="B1706" s="40" t="s">
        <v>863</v>
      </c>
      <c r="C1706" s="39"/>
      <c r="D1706" s="39"/>
      <c r="E1706" s="39"/>
      <c r="F1706" s="39"/>
      <c r="BB1706" s="48"/>
    </row>
    <row r="1707" spans="1:54" ht="17.5" hidden="1" x14ac:dyDescent="0.3">
      <c r="A1707" s="41"/>
      <c r="B1707" s="1016"/>
      <c r="C1707" s="1016"/>
      <c r="D1707" s="1016"/>
      <c r="E1707" s="42"/>
      <c r="F1707" s="97"/>
      <c r="BB1707" s="48"/>
    </row>
    <row r="1708" spans="1:54" hidden="1" x14ac:dyDescent="0.3">
      <c r="A1708" s="362"/>
      <c r="B1708" s="362"/>
      <c r="C1708" s="362"/>
      <c r="D1708" s="362"/>
      <c r="E1708" s="362"/>
      <c r="F1708" s="1"/>
      <c r="AC1708" s="48" t="s">
        <v>239</v>
      </c>
      <c r="AE1708" s="48" t="s">
        <v>864</v>
      </c>
      <c r="AJ1708" s="48">
        <v>200</v>
      </c>
      <c r="BB1708" s="48"/>
    </row>
    <row r="1709" spans="1:54" hidden="1" x14ac:dyDescent="0.3">
      <c r="A1709" s="362"/>
      <c r="B1709" s="234" t="s">
        <v>865</v>
      </c>
      <c r="C1709" s="234" t="s">
        <v>866</v>
      </c>
      <c r="D1709" s="234" t="s">
        <v>867</v>
      </c>
      <c r="E1709" s="362"/>
      <c r="F1709" s="1"/>
      <c r="BB1709" s="48"/>
    </row>
    <row r="1710" spans="1:54" hidden="1" x14ac:dyDescent="0.3">
      <c r="A1710" s="362"/>
      <c r="B1710" s="4"/>
      <c r="C1710" s="4"/>
      <c r="D1710" s="4"/>
      <c r="E1710" s="362"/>
      <c r="F1710" s="1"/>
      <c r="BB1710" s="48"/>
    </row>
    <row r="1711" spans="1:54" hidden="1" x14ac:dyDescent="0.3">
      <c r="A1711" s="362"/>
      <c r="B1711" s="363" t="s">
        <v>868</v>
      </c>
      <c r="C1711" s="363" t="str">
        <f>CONCATENATE(AD1711,AE1711)</f>
        <v>570 hours</v>
      </c>
      <c r="D1711" s="151"/>
      <c r="E1711" s="362"/>
      <c r="F1711" s="1"/>
      <c r="AD1711" s="48">
        <f>ROUND($AX$499,0)</f>
        <v>570</v>
      </c>
      <c r="AE1711" s="48" t="str">
        <f>AL499</f>
        <v xml:space="preserve"> hours</v>
      </c>
      <c r="BB1711" s="48"/>
    </row>
    <row r="1712" spans="1:54" ht="14.5" hidden="1" x14ac:dyDescent="0.35">
      <c r="A1712" s="362"/>
      <c r="B1712" s="364" t="str">
        <f>CONCATENATE(AE1712,AB1712,AC1712)</f>
        <v>Min. rate $10</v>
      </c>
      <c r="C1712" s="364" t="str">
        <f>CONCATENATE(AL1712,AB1712,AI1712)</f>
        <v xml:space="preserve"> low bid  $5700</v>
      </c>
      <c r="D1712" s="364" t="str">
        <f>CONCATENATE(AO1712,AU1712,AQ1712)</f>
        <v>10% down to start</v>
      </c>
      <c r="E1712" s="362"/>
      <c r="F1712" s="1"/>
      <c r="AB1712" s="48" t="s">
        <v>869</v>
      </c>
      <c r="AC1712" s="1085">
        <v>10</v>
      </c>
      <c r="AD1712" s="968"/>
      <c r="AE1712" s="337" t="s">
        <v>870</v>
      </c>
      <c r="AI1712" s="1085">
        <f>AD1711*AC1712</f>
        <v>5700</v>
      </c>
      <c r="AJ1712" s="968"/>
      <c r="AK1712" s="968"/>
      <c r="AL1712" s="48" t="s">
        <v>871</v>
      </c>
      <c r="AO1712" s="1005">
        <f>$BH$356*100</f>
        <v>10</v>
      </c>
      <c r="AP1712" s="968"/>
      <c r="AQ1712" s="48" t="s">
        <v>872</v>
      </c>
      <c r="BB1712" s="48"/>
    </row>
    <row r="1713" spans="1:54" ht="14.5" hidden="1" x14ac:dyDescent="0.35">
      <c r="A1713" s="362"/>
      <c r="B1713" s="364" t="str">
        <f>CONCATENATE(AE1713,AB1713,AC1713)</f>
        <v>Max. rate $25</v>
      </c>
      <c r="C1713" s="364" t="str">
        <f>CONCATENATE(AL1713,AB1713,AI1713)</f>
        <v xml:space="preserve"> high bid  $14250</v>
      </c>
      <c r="D1713" s="364" t="str">
        <f>CONCATENATE(AQ1713,AB1713,AO1713)</f>
        <v>minimum to start:  $570</v>
      </c>
      <c r="E1713" s="362"/>
      <c r="F1713" s="1"/>
      <c r="AB1713" s="48" t="s">
        <v>869</v>
      </c>
      <c r="AC1713" s="1085">
        <v>25</v>
      </c>
      <c r="AD1713" s="968"/>
      <c r="AE1713" s="337" t="s">
        <v>873</v>
      </c>
      <c r="AI1713" s="1085">
        <f>AD1711*AC1713</f>
        <v>14250</v>
      </c>
      <c r="AJ1713" s="968"/>
      <c r="AK1713" s="968"/>
      <c r="AL1713" s="48" t="s">
        <v>874</v>
      </c>
      <c r="AO1713" s="1024">
        <f>AI1712*(AO1712*0.01)</f>
        <v>570</v>
      </c>
      <c r="AP1713" s="927"/>
      <c r="AQ1713" s="48" t="s">
        <v>875</v>
      </c>
      <c r="BB1713" s="48"/>
    </row>
    <row r="1714" spans="1:54" hidden="1" x14ac:dyDescent="0.3">
      <c r="A1714" s="362"/>
      <c r="B1714" s="362"/>
      <c r="C1714" s="362"/>
      <c r="D1714" s="362"/>
      <c r="E1714" s="362"/>
      <c r="F1714" s="1"/>
      <c r="BB1714" s="48"/>
    </row>
    <row r="1715" spans="1:54" hidden="1" x14ac:dyDescent="0.3">
      <c r="A1715" s="362"/>
      <c r="B1715" s="234" t="s">
        <v>865</v>
      </c>
      <c r="C1715" s="234" t="s">
        <v>866</v>
      </c>
      <c r="D1715" s="234" t="s">
        <v>867</v>
      </c>
      <c r="E1715" s="362"/>
      <c r="F1715" s="1"/>
      <c r="BB1715" s="48"/>
    </row>
    <row r="1716" spans="1:54" hidden="1" x14ac:dyDescent="0.3">
      <c r="A1716" s="362"/>
      <c r="B1716" s="4"/>
      <c r="C1716" s="4"/>
      <c r="D1716" s="4"/>
      <c r="E1716" s="362"/>
      <c r="F1716" s="1"/>
      <c r="BB1716" s="48"/>
    </row>
    <row r="1717" spans="1:54" hidden="1" x14ac:dyDescent="0.3">
      <c r="A1717" s="362"/>
      <c r="B1717" s="363" t="s">
        <v>868</v>
      </c>
      <c r="C1717" s="363" t="str">
        <f>CONCATENATE(AD1717,AE1717)</f>
        <v>570 hours</v>
      </c>
      <c r="D1717" s="151"/>
      <c r="E1717" s="362"/>
      <c r="F1717" s="1"/>
      <c r="AD1717" s="48">
        <f>ROUND($AX$499,0)</f>
        <v>570</v>
      </c>
      <c r="AE1717" s="48" t="str">
        <f>AE1711</f>
        <v xml:space="preserve"> hours</v>
      </c>
      <c r="BB1717" s="48"/>
    </row>
    <row r="1718" spans="1:54" ht="14.5" hidden="1" x14ac:dyDescent="0.35">
      <c r="A1718" s="362"/>
      <c r="B1718" s="364" t="str">
        <f>CONCATENATE(AE1718,AB1718,AC1718)</f>
        <v>Min. rate $10</v>
      </c>
      <c r="C1718" s="364" t="str">
        <f>CONCATENATE(AL1718,AB1718,AI1718)</f>
        <v xml:space="preserve"> low bid  $5700</v>
      </c>
      <c r="D1718" s="364" t="str">
        <f>CONCATENATE(AO1718,AU1718,AQ1718)</f>
        <v>10% down to start</v>
      </c>
      <c r="E1718" s="362"/>
      <c r="F1718" s="1"/>
      <c r="AB1718" s="48" t="s">
        <v>869</v>
      </c>
      <c r="AC1718" s="1085">
        <v>10</v>
      </c>
      <c r="AD1718" s="968"/>
      <c r="AE1718" s="337" t="s">
        <v>870</v>
      </c>
      <c r="AI1718" s="1085">
        <f>AD1717*AC1718</f>
        <v>5700</v>
      </c>
      <c r="AJ1718" s="968"/>
      <c r="AK1718" s="968"/>
      <c r="AL1718" s="48" t="s">
        <v>871</v>
      </c>
      <c r="AO1718" s="1005">
        <f>$BH$356*100</f>
        <v>10</v>
      </c>
      <c r="AP1718" s="968"/>
      <c r="AQ1718" s="48" t="s">
        <v>872</v>
      </c>
      <c r="BB1718" s="48"/>
    </row>
    <row r="1719" spans="1:54" ht="14.5" hidden="1" x14ac:dyDescent="0.35">
      <c r="A1719" s="362"/>
      <c r="B1719" s="364" t="str">
        <f>CONCATENATE(AE1719,AB1719,AC1719)</f>
        <v>Max. rate $25</v>
      </c>
      <c r="C1719" s="364" t="str">
        <f>CONCATENATE(AL1719,AB1719,AI1719)</f>
        <v xml:space="preserve"> high bid  $14250</v>
      </c>
      <c r="D1719" s="364" t="str">
        <f>CONCATENATE(AQ1719,AB1719,AO1719)</f>
        <v>minimum to start:  $570</v>
      </c>
      <c r="E1719" s="362"/>
      <c r="F1719" s="1"/>
      <c r="AB1719" s="48" t="s">
        <v>869</v>
      </c>
      <c r="AC1719" s="1085">
        <v>25</v>
      </c>
      <c r="AD1719" s="968"/>
      <c r="AE1719" s="337" t="s">
        <v>873</v>
      </c>
      <c r="AI1719" s="1085">
        <f>AD1717*AC1719</f>
        <v>14250</v>
      </c>
      <c r="AJ1719" s="968"/>
      <c r="AK1719" s="968"/>
      <c r="AL1719" s="48" t="s">
        <v>874</v>
      </c>
      <c r="AO1719" s="1024">
        <f>AI1718*(AO1718*0.01)</f>
        <v>570</v>
      </c>
      <c r="AP1719" s="927"/>
      <c r="AQ1719" s="48" t="s">
        <v>875</v>
      </c>
      <c r="BB1719" s="48"/>
    </row>
    <row r="1720" spans="1:54" hidden="1" x14ac:dyDescent="0.3">
      <c r="A1720" s="362"/>
      <c r="B1720" s="362"/>
      <c r="C1720" s="362"/>
      <c r="D1720" s="362"/>
      <c r="E1720" s="362"/>
      <c r="F1720" s="1"/>
      <c r="BB1720" s="48"/>
    </row>
    <row r="1721" spans="1:54" hidden="1" x14ac:dyDescent="0.3">
      <c r="A1721" s="362"/>
      <c r="B1721" s="234" t="s">
        <v>865</v>
      </c>
      <c r="C1721" s="234" t="s">
        <v>866</v>
      </c>
      <c r="D1721" s="234" t="s">
        <v>867</v>
      </c>
      <c r="E1721" s="362"/>
      <c r="F1721" s="1"/>
      <c r="BB1721" s="48"/>
    </row>
    <row r="1722" spans="1:54" hidden="1" x14ac:dyDescent="0.3">
      <c r="A1722" s="362"/>
      <c r="B1722" s="4"/>
      <c r="C1722" s="4"/>
      <c r="D1722" s="4"/>
      <c r="E1722" s="362"/>
      <c r="F1722" s="1"/>
      <c r="BB1722" s="48"/>
    </row>
    <row r="1723" spans="1:54" hidden="1" x14ac:dyDescent="0.3">
      <c r="A1723" s="362"/>
      <c r="B1723" s="363" t="s">
        <v>868</v>
      </c>
      <c r="C1723" s="363" t="str">
        <f>CONCATENATE(AD1723,AE1723)</f>
        <v>570 hours</v>
      </c>
      <c r="D1723" s="151"/>
      <c r="E1723" s="362"/>
      <c r="F1723" s="1"/>
      <c r="AD1723" s="48">
        <f>ROUND($AX$499,0)</f>
        <v>570</v>
      </c>
      <c r="AE1723" s="48" t="str">
        <f>AE1717</f>
        <v xml:space="preserve"> hours</v>
      </c>
      <c r="BB1723" s="48"/>
    </row>
    <row r="1724" spans="1:54" ht="14.5" hidden="1" x14ac:dyDescent="0.35">
      <c r="A1724" s="362"/>
      <c r="B1724" s="364" t="str">
        <f>CONCATENATE(AE1724,AB1724,AC1724)</f>
        <v>Min. rate $40</v>
      </c>
      <c r="C1724" s="364" t="str">
        <f>CONCATENATE(AL1724,AB1724,AI1724)</f>
        <v xml:space="preserve"> low bid  $22800</v>
      </c>
      <c r="D1724" s="364" t="str">
        <f>CONCATENATE(AO1724,AU1724,AQ1724)</f>
        <v>10% down to start</v>
      </c>
      <c r="E1724" s="362"/>
      <c r="F1724" s="1"/>
      <c r="AB1724" s="48" t="s">
        <v>869</v>
      </c>
      <c r="AC1724" s="1085">
        <v>40</v>
      </c>
      <c r="AD1724" s="968"/>
      <c r="AE1724" s="337" t="s">
        <v>870</v>
      </c>
      <c r="AI1724" s="1085">
        <f>AD1723*AC1724</f>
        <v>22800</v>
      </c>
      <c r="AJ1724" s="968"/>
      <c r="AK1724" s="968"/>
      <c r="AL1724" s="48" t="s">
        <v>871</v>
      </c>
      <c r="AO1724" s="1005">
        <f>$BH$356*100</f>
        <v>10</v>
      </c>
      <c r="AP1724" s="968"/>
      <c r="AQ1724" s="48" t="s">
        <v>872</v>
      </c>
      <c r="BB1724" s="48"/>
    </row>
    <row r="1725" spans="1:54" ht="14.5" hidden="1" x14ac:dyDescent="0.35">
      <c r="A1725" s="362"/>
      <c r="B1725" s="364" t="str">
        <f>CONCATENATE(AE1725,AB1725,AC1725)</f>
        <v>Max. rate $55</v>
      </c>
      <c r="C1725" s="364" t="str">
        <f>CONCATENATE(AL1725,AB1725,AI1725)</f>
        <v xml:space="preserve"> high bid  $31350</v>
      </c>
      <c r="D1725" s="364" t="str">
        <f>CONCATENATE(AQ1725,AB1725,AO1725)</f>
        <v>minimum to start:  $2280</v>
      </c>
      <c r="E1725" s="362"/>
      <c r="F1725" s="1"/>
      <c r="AB1725" s="48" t="s">
        <v>869</v>
      </c>
      <c r="AC1725" s="1085">
        <v>55</v>
      </c>
      <c r="AD1725" s="968"/>
      <c r="AE1725" s="337" t="s">
        <v>873</v>
      </c>
      <c r="AI1725" s="1085">
        <f>AD1723*AC1725</f>
        <v>31350</v>
      </c>
      <c r="AJ1725" s="968"/>
      <c r="AK1725" s="968"/>
      <c r="AL1725" s="48" t="s">
        <v>874</v>
      </c>
      <c r="AO1725" s="1024">
        <f>AI1724*(AO1724*0.01)</f>
        <v>2280</v>
      </c>
      <c r="AP1725" s="927"/>
      <c r="AQ1725" s="48" t="s">
        <v>875</v>
      </c>
      <c r="BB1725" s="48"/>
    </row>
    <row r="1726" spans="1:54" hidden="1" x14ac:dyDescent="0.3">
      <c r="A1726" s="362"/>
      <c r="B1726" s="362"/>
      <c r="C1726" s="362"/>
      <c r="D1726" s="362"/>
      <c r="E1726" s="362"/>
      <c r="F1726" s="1"/>
      <c r="BB1726" s="48"/>
    </row>
    <row r="1727" spans="1:54" hidden="1" x14ac:dyDescent="0.3">
      <c r="A1727" s="362"/>
      <c r="B1727" s="234" t="s">
        <v>865</v>
      </c>
      <c r="C1727" s="234" t="s">
        <v>866</v>
      </c>
      <c r="D1727" s="234" t="s">
        <v>867</v>
      </c>
      <c r="E1727" s="362"/>
      <c r="F1727" s="1"/>
      <c r="BB1727" s="48"/>
    </row>
    <row r="1728" spans="1:54" hidden="1" x14ac:dyDescent="0.3">
      <c r="A1728" s="362"/>
      <c r="B1728" s="4"/>
      <c r="C1728" s="4"/>
      <c r="D1728" s="4"/>
      <c r="E1728" s="362"/>
      <c r="F1728" s="1"/>
      <c r="BB1728" s="48"/>
    </row>
    <row r="1729" spans="1:54" hidden="1" x14ac:dyDescent="0.3">
      <c r="A1729" s="362"/>
      <c r="B1729" s="363" t="s">
        <v>868</v>
      </c>
      <c r="C1729" s="363" t="str">
        <f>CONCATENATE(AD1729,AE1729)</f>
        <v>570 hours</v>
      </c>
      <c r="D1729" s="151"/>
      <c r="E1729" s="362"/>
      <c r="F1729" s="1"/>
      <c r="AD1729" s="48">
        <f>ROUND($AX$499,0)</f>
        <v>570</v>
      </c>
      <c r="AE1729" s="48" t="str">
        <f>AE1723</f>
        <v xml:space="preserve"> hours</v>
      </c>
      <c r="BB1729" s="48"/>
    </row>
    <row r="1730" spans="1:54" ht="14.5" hidden="1" x14ac:dyDescent="0.35">
      <c r="A1730" s="362"/>
      <c r="B1730" s="364" t="str">
        <f>CONCATENATE(AE1730,AB1730,AC1730)</f>
        <v>Min. rate $70</v>
      </c>
      <c r="C1730" s="364" t="str">
        <f>CONCATENATE(AL1730,AB1730,AI1730)</f>
        <v xml:space="preserve"> low bid  $39900</v>
      </c>
      <c r="D1730" s="364" t="str">
        <f>CONCATENATE(AO1730,AU1730,AQ1730)</f>
        <v>10% down to start</v>
      </c>
      <c r="E1730" s="362"/>
      <c r="F1730" s="1"/>
      <c r="AB1730" s="48" t="s">
        <v>869</v>
      </c>
      <c r="AC1730" s="1085">
        <v>70</v>
      </c>
      <c r="AD1730" s="968"/>
      <c r="AE1730" s="337" t="s">
        <v>870</v>
      </c>
      <c r="AI1730" s="1085">
        <f>AD1729*AC1730</f>
        <v>39900</v>
      </c>
      <c r="AJ1730" s="968"/>
      <c r="AK1730" s="968"/>
      <c r="AL1730" s="48" t="s">
        <v>871</v>
      </c>
      <c r="AO1730" s="1005">
        <f>$BH$356*100</f>
        <v>10</v>
      </c>
      <c r="AP1730" s="968"/>
      <c r="AQ1730" s="48" t="s">
        <v>872</v>
      </c>
      <c r="BB1730" s="48"/>
    </row>
    <row r="1731" spans="1:54" ht="14.5" hidden="1" x14ac:dyDescent="0.35">
      <c r="A1731" s="362"/>
      <c r="B1731" s="364" t="str">
        <f>CONCATENATE(AE1731,AB1731,AC1731)</f>
        <v>Max. rate $85</v>
      </c>
      <c r="C1731" s="364" t="str">
        <f>CONCATENATE(AL1731,AB1731,AI1731)</f>
        <v xml:space="preserve"> high bid  $48450</v>
      </c>
      <c r="D1731" s="364" t="str">
        <f>CONCATENATE(AQ1731,AB1731,AO1731)</f>
        <v>minimum to start:  $3990</v>
      </c>
      <c r="E1731" s="362"/>
      <c r="F1731" s="1"/>
      <c r="AB1731" s="48" t="s">
        <v>869</v>
      </c>
      <c r="AC1731" s="1085">
        <v>85</v>
      </c>
      <c r="AD1731" s="968"/>
      <c r="AE1731" s="337" t="s">
        <v>873</v>
      </c>
      <c r="AI1731" s="1085">
        <f>AD1729*AC1731</f>
        <v>48450</v>
      </c>
      <c r="AJ1731" s="968"/>
      <c r="AK1731" s="968"/>
      <c r="AL1731" s="48" t="s">
        <v>874</v>
      </c>
      <c r="AO1731" s="1024">
        <f>AI1730*(AO1730*0.01)</f>
        <v>3990</v>
      </c>
      <c r="AP1731" s="927"/>
      <c r="AQ1731" s="48" t="s">
        <v>875</v>
      </c>
      <c r="BB1731" s="48"/>
    </row>
    <row r="1732" spans="1:54" hidden="1" x14ac:dyDescent="0.3">
      <c r="A1732" s="362"/>
      <c r="B1732" s="362"/>
      <c r="C1732" s="362"/>
      <c r="D1732" s="362"/>
      <c r="E1732" s="362"/>
      <c r="F1732" s="1"/>
      <c r="BB1732" s="48"/>
    </row>
    <row r="1733" spans="1:54" hidden="1" x14ac:dyDescent="0.3">
      <c r="A1733" s="362"/>
      <c r="B1733" s="234" t="s">
        <v>865</v>
      </c>
      <c r="C1733" s="234" t="s">
        <v>866</v>
      </c>
      <c r="D1733" s="234" t="s">
        <v>867</v>
      </c>
      <c r="E1733" s="362"/>
      <c r="F1733" s="1"/>
      <c r="BB1733" s="48"/>
    </row>
    <row r="1734" spans="1:54" hidden="1" x14ac:dyDescent="0.3">
      <c r="A1734" s="362"/>
      <c r="B1734" s="4"/>
      <c r="C1734" s="4"/>
      <c r="D1734" s="4"/>
      <c r="E1734" s="362"/>
      <c r="F1734" s="1"/>
      <c r="BB1734" s="48"/>
    </row>
    <row r="1735" spans="1:54" hidden="1" x14ac:dyDescent="0.3">
      <c r="A1735" s="362"/>
      <c r="B1735" s="363" t="s">
        <v>868</v>
      </c>
      <c r="C1735" s="363" t="str">
        <f>CONCATENATE(AD1735,AE1735)</f>
        <v>570 hours</v>
      </c>
      <c r="D1735" s="151"/>
      <c r="E1735" s="362"/>
      <c r="F1735" s="1"/>
      <c r="AD1735" s="48">
        <f>ROUND($AX$499,0)</f>
        <v>570</v>
      </c>
      <c r="AE1735" s="48" t="str">
        <f>AE1729</f>
        <v xml:space="preserve"> hours</v>
      </c>
      <c r="BB1735" s="48"/>
    </row>
    <row r="1736" spans="1:54" ht="14.5" hidden="1" x14ac:dyDescent="0.35">
      <c r="A1736" s="362"/>
      <c r="B1736" s="364" t="str">
        <f>CONCATENATE(AE1736,AB1736,AC1736)</f>
        <v>Min. rate $100</v>
      </c>
      <c r="C1736" s="364" t="str">
        <f>CONCATENATE(AL1736,AB1736,AI1736)</f>
        <v xml:space="preserve"> low bid  $57000</v>
      </c>
      <c r="D1736" s="364" t="str">
        <f>CONCATENATE(AO1736,AU1736,AQ1736)</f>
        <v>10% down to start</v>
      </c>
      <c r="E1736" s="362"/>
      <c r="F1736" s="1"/>
      <c r="AB1736" s="48" t="s">
        <v>869</v>
      </c>
      <c r="AC1736" s="1085">
        <v>100</v>
      </c>
      <c r="AD1736" s="968"/>
      <c r="AE1736" s="337" t="s">
        <v>870</v>
      </c>
      <c r="AI1736" s="1085">
        <f>AD1735*AC1736</f>
        <v>57000</v>
      </c>
      <c r="AJ1736" s="968"/>
      <c r="AK1736" s="968"/>
      <c r="AL1736" s="48" t="s">
        <v>871</v>
      </c>
      <c r="AO1736" s="1005">
        <f>$BH$356*100</f>
        <v>10</v>
      </c>
      <c r="AP1736" s="968"/>
      <c r="AQ1736" s="48" t="s">
        <v>872</v>
      </c>
      <c r="BB1736" s="48"/>
    </row>
    <row r="1737" spans="1:54" ht="14.5" hidden="1" x14ac:dyDescent="0.35">
      <c r="A1737" s="362"/>
      <c r="B1737" s="364" t="str">
        <f>CONCATENATE(AE1737,AB1737,AC1737)</f>
        <v>Max. rate $115</v>
      </c>
      <c r="C1737" s="364" t="str">
        <f>CONCATENATE(AL1737,AB1737,AI1737)</f>
        <v xml:space="preserve"> high bid  $65550</v>
      </c>
      <c r="D1737" s="364" t="str">
        <f>CONCATENATE(AQ1737,AB1737,AO1737)</f>
        <v>minimum to start:  $5700</v>
      </c>
      <c r="E1737" s="362"/>
      <c r="F1737" s="1"/>
      <c r="AB1737" s="48" t="s">
        <v>869</v>
      </c>
      <c r="AC1737" s="1085">
        <v>115</v>
      </c>
      <c r="AD1737" s="968"/>
      <c r="AE1737" s="337" t="s">
        <v>873</v>
      </c>
      <c r="AI1737" s="1085">
        <f>AD1735*AC1737</f>
        <v>65550</v>
      </c>
      <c r="AJ1737" s="968"/>
      <c r="AK1737" s="968"/>
      <c r="AL1737" s="48" t="s">
        <v>874</v>
      </c>
      <c r="AO1737" s="1024">
        <f>AI1736*(AO1736*0.01)</f>
        <v>5700</v>
      </c>
      <c r="AP1737" s="927"/>
      <c r="AQ1737" s="48" t="s">
        <v>875</v>
      </c>
      <c r="BB1737" s="48"/>
    </row>
    <row r="1738" spans="1:54" hidden="1" x14ac:dyDescent="0.3">
      <c r="A1738" s="362"/>
      <c r="B1738" s="362"/>
      <c r="C1738" s="362"/>
      <c r="D1738" s="362"/>
      <c r="E1738" s="362"/>
      <c r="F1738" s="1"/>
      <c r="BB1738" s="48"/>
    </row>
    <row r="1739" spans="1:54" hidden="1" x14ac:dyDescent="0.3">
      <c r="A1739" s="362"/>
      <c r="B1739" s="362"/>
      <c r="C1739" s="362"/>
      <c r="D1739" s="362"/>
      <c r="E1739" s="362"/>
      <c r="F1739" s="1"/>
      <c r="BB1739" s="48"/>
    </row>
    <row r="1740" spans="1:54" hidden="1" x14ac:dyDescent="0.3">
      <c r="A1740" s="362"/>
      <c r="B1740" s="362"/>
      <c r="C1740" s="362"/>
      <c r="D1740" s="362"/>
      <c r="E1740" s="362"/>
      <c r="F1740" s="1"/>
      <c r="BB1740" s="48"/>
    </row>
    <row r="1741" spans="1:54" hidden="1" x14ac:dyDescent="0.3">
      <c r="A1741" s="362"/>
      <c r="B1741" s="362"/>
      <c r="C1741" s="362"/>
      <c r="D1741" s="362"/>
      <c r="E1741" s="362"/>
      <c r="F1741" s="1"/>
      <c r="BB1741" s="48"/>
    </row>
    <row r="1742" spans="1:54" hidden="1" x14ac:dyDescent="0.3">
      <c r="A1742" s="362"/>
      <c r="B1742" s="362"/>
      <c r="C1742" s="362"/>
      <c r="D1742" s="362"/>
      <c r="E1742" s="362"/>
      <c r="F1742" s="1"/>
      <c r="BB1742" s="48"/>
    </row>
    <row r="1743" spans="1:54" hidden="1" x14ac:dyDescent="0.3">
      <c r="A1743" s="362"/>
      <c r="B1743" s="362"/>
      <c r="C1743" s="362"/>
      <c r="D1743" s="362"/>
      <c r="E1743" s="362"/>
      <c r="F1743" s="1"/>
    </row>
    <row r="1744" spans="1:54" hidden="1" x14ac:dyDescent="0.3">
      <c r="A1744" s="362"/>
      <c r="B1744" s="362"/>
      <c r="C1744" s="362"/>
      <c r="D1744" s="362"/>
      <c r="E1744" s="362"/>
      <c r="F1744" s="1"/>
    </row>
    <row r="1745" spans="1:6" hidden="1" x14ac:dyDescent="0.3">
      <c r="A1745" s="362"/>
      <c r="B1745" s="362"/>
      <c r="C1745" s="362"/>
      <c r="D1745" s="362"/>
      <c r="E1745" s="362"/>
      <c r="F1745" s="1"/>
    </row>
    <row r="1746" spans="1:6" hidden="1" x14ac:dyDescent="0.3">
      <c r="A1746" s="362"/>
      <c r="B1746" s="362"/>
      <c r="C1746" s="362"/>
      <c r="D1746" s="362"/>
      <c r="E1746" s="362"/>
      <c r="F1746" s="1"/>
    </row>
    <row r="1747" spans="1:6" hidden="1" x14ac:dyDescent="0.3">
      <c r="A1747" s="362"/>
      <c r="B1747" s="362"/>
      <c r="C1747" s="362"/>
      <c r="D1747" s="362"/>
      <c r="E1747" s="362"/>
      <c r="F1747" s="1"/>
    </row>
    <row r="1748" spans="1:6" hidden="1" x14ac:dyDescent="0.3">
      <c r="A1748" s="362"/>
      <c r="B1748" s="362"/>
      <c r="C1748" s="362"/>
      <c r="D1748" s="362"/>
      <c r="E1748" s="362"/>
      <c r="F1748" s="1"/>
    </row>
    <row r="1749" spans="1:6" hidden="1" x14ac:dyDescent="0.3">
      <c r="A1749" s="362"/>
      <c r="B1749" s="362"/>
      <c r="C1749" s="362"/>
      <c r="D1749" s="362"/>
      <c r="E1749" s="362"/>
      <c r="F1749" s="1"/>
    </row>
    <row r="1750" spans="1:6" hidden="1" x14ac:dyDescent="0.3">
      <c r="A1750" s="362"/>
      <c r="B1750" s="362"/>
      <c r="C1750" s="362"/>
      <c r="D1750" s="362"/>
      <c r="E1750" s="362"/>
      <c r="F1750" s="1"/>
    </row>
    <row r="1751" spans="1:6" hidden="1" x14ac:dyDescent="0.3">
      <c r="A1751" s="362"/>
      <c r="B1751" s="362"/>
      <c r="C1751" s="362"/>
      <c r="D1751" s="362"/>
      <c r="E1751" s="362"/>
      <c r="F1751" s="1"/>
    </row>
    <row r="1752" spans="1:6" hidden="1" x14ac:dyDescent="0.3">
      <c r="A1752" s="362"/>
      <c r="B1752" s="362"/>
      <c r="C1752" s="362"/>
      <c r="D1752" s="362"/>
      <c r="E1752" s="362"/>
      <c r="F1752" s="1"/>
    </row>
    <row r="1753" spans="1:6" ht="30" customHeight="1" x14ac:dyDescent="0.3">
      <c r="A1753" s="862" t="s">
        <v>228</v>
      </c>
      <c r="B1753" s="862" t="s">
        <v>5573</v>
      </c>
      <c r="C1753" s="862"/>
      <c r="D1753" s="872"/>
      <c r="E1753" s="864"/>
      <c r="F1753" s="864"/>
    </row>
    <row r="1754" spans="1:6" ht="13.75" customHeight="1" x14ac:dyDescent="0.3">
      <c r="A1754" s="485"/>
      <c r="B1754" s="485"/>
      <c r="C1754" s="485"/>
      <c r="D1754" s="485"/>
      <c r="E1754" s="485"/>
      <c r="F1754" s="475"/>
    </row>
    <row r="1755" spans="1:6" ht="15" customHeight="1" x14ac:dyDescent="0.3">
      <c r="A1755" s="485"/>
      <c r="B1755" s="587"/>
      <c r="C1755" s="587"/>
      <c r="D1755" s="587"/>
      <c r="E1755" s="587"/>
      <c r="F1755" s="475"/>
    </row>
    <row r="1756" spans="1:6" ht="15" customHeight="1" x14ac:dyDescent="0.3">
      <c r="A1756" s="485"/>
      <c r="B1756" s="587"/>
      <c r="C1756" s="587"/>
      <c r="D1756" s="587"/>
      <c r="E1756" s="587"/>
      <c r="F1756" s="475"/>
    </row>
    <row r="1757" spans="1:6" ht="13.75" customHeight="1" x14ac:dyDescent="0.3">
      <c r="A1757" s="485"/>
      <c r="B1757" s="587"/>
      <c r="C1757" s="587"/>
      <c r="D1757" s="587"/>
      <c r="E1757" s="587"/>
      <c r="F1757" s="475"/>
    </row>
    <row r="1758" spans="1:6" ht="13.75" customHeight="1" x14ac:dyDescent="0.3">
      <c r="A1758" s="485"/>
      <c r="B1758" s="587"/>
      <c r="C1758" s="587"/>
      <c r="D1758" s="587"/>
      <c r="E1758" s="587"/>
      <c r="F1758" s="475"/>
    </row>
    <row r="1759" spans="1:6" ht="13.75" customHeight="1" x14ac:dyDescent="0.3">
      <c r="A1759" s="485"/>
      <c r="B1759" s="587"/>
      <c r="C1759" s="587"/>
      <c r="D1759" s="587"/>
      <c r="E1759" s="587"/>
      <c r="F1759" s="475"/>
    </row>
    <row r="1760" spans="1:6" ht="18" customHeight="1" x14ac:dyDescent="0.3">
      <c r="A1760" s="485"/>
      <c r="B1760" s="587"/>
      <c r="C1760" s="587"/>
      <c r="D1760" s="587"/>
      <c r="E1760" s="587"/>
      <c r="F1760" s="475"/>
    </row>
    <row r="1761" spans="1:64" ht="18" customHeight="1" x14ac:dyDescent="0.3">
      <c r="A1761" s="485"/>
      <c r="B1761" s="587"/>
      <c r="C1761" s="587"/>
      <c r="D1761" s="587"/>
      <c r="E1761" s="587"/>
      <c r="F1761" s="475"/>
    </row>
    <row r="1762" spans="1:64" ht="16.75" customHeight="1" x14ac:dyDescent="0.3">
      <c r="A1762" s="485"/>
      <c r="B1762" s="587"/>
      <c r="C1762" s="587"/>
      <c r="D1762" s="587"/>
      <c r="E1762" s="587"/>
      <c r="F1762" s="475"/>
    </row>
    <row r="1763" spans="1:64" ht="25" customHeight="1" x14ac:dyDescent="0.3">
      <c r="A1763" s="485"/>
      <c r="B1763" s="587"/>
      <c r="C1763" s="587"/>
      <c r="D1763" s="587"/>
      <c r="E1763" s="587"/>
      <c r="F1763" s="475"/>
    </row>
    <row r="1764" spans="1:64" ht="13.75" customHeight="1" x14ac:dyDescent="0.3">
      <c r="A1764" s="485"/>
      <c r="B1764" s="587"/>
      <c r="C1764" s="587"/>
      <c r="D1764" s="587"/>
      <c r="E1764" s="587"/>
      <c r="F1764" s="475"/>
      <c r="BI1764" s="505" t="s">
        <v>4502</v>
      </c>
      <c r="BJ1764" s="4"/>
      <c r="BK1764" s="4"/>
      <c r="BL1764" s="4"/>
    </row>
    <row r="1765" spans="1:64" ht="13.75" customHeight="1" x14ac:dyDescent="0.3">
      <c r="A1765" s="485"/>
      <c r="B1765" s="587"/>
      <c r="C1765" s="587"/>
      <c r="D1765" s="587"/>
      <c r="E1765" s="587"/>
      <c r="F1765" s="475"/>
      <c r="O1765" s="503"/>
      <c r="BI1765" s="485" t="s">
        <v>3459</v>
      </c>
      <c r="BJ1765" s="4"/>
      <c r="BK1765" s="505" t="s">
        <v>3912</v>
      </c>
      <c r="BL1765" s="4"/>
    </row>
    <row r="1766" spans="1:64" ht="13.75" customHeight="1" x14ac:dyDescent="0.3">
      <c r="A1766" s="485"/>
      <c r="B1766" s="587"/>
      <c r="C1766" s="587"/>
      <c r="D1766" s="587"/>
      <c r="E1766" s="587"/>
      <c r="F1766" s="475"/>
      <c r="BI1766" s="4"/>
      <c r="BJ1766" s="504" t="s">
        <v>3520</v>
      </c>
      <c r="BK1766" s="486"/>
      <c r="BL1766" s="485" t="s">
        <v>3521</v>
      </c>
    </row>
    <row r="1767" spans="1:64" ht="13.75" customHeight="1" x14ac:dyDescent="0.3">
      <c r="A1767" s="485"/>
      <c r="B1767" s="587"/>
      <c r="C1767" s="587"/>
      <c r="D1767" s="587"/>
      <c r="E1767" s="587"/>
      <c r="F1767" s="475"/>
      <c r="BI1767" s="4"/>
      <c r="BJ1767" s="4"/>
      <c r="BK1767" s="4"/>
      <c r="BL1767" s="4"/>
    </row>
    <row r="1768" spans="1:64" ht="13.75" customHeight="1" x14ac:dyDescent="0.3">
      <c r="A1768" s="485"/>
      <c r="B1768" s="587"/>
      <c r="C1768" s="587"/>
      <c r="D1768" s="587"/>
      <c r="E1768" s="587"/>
      <c r="F1768" s="588"/>
      <c r="N1768" s="48"/>
      <c r="O1768" s="48"/>
      <c r="AG1768" s="4" t="s">
        <v>3753</v>
      </c>
      <c r="AH1768" s="4"/>
      <c r="AL1768" s="503" t="str">
        <f>IF(C1768="","",IF(C1768=AG1768,AQ1768,IF(AND(C1768&lt;&gt;"",C1768&lt;&gt;AG1768),AV1768,"")))</f>
        <v/>
      </c>
      <c r="AQ1768" s="48" t="s">
        <v>3751</v>
      </c>
      <c r="AV1768" s="48" t="s">
        <v>3752</v>
      </c>
      <c r="BD1768" s="48">
        <f>IF(C1768=AG1768,1,0)</f>
        <v>0</v>
      </c>
      <c r="BI1768" s="4"/>
      <c r="BJ1768" s="476" t="s">
        <v>3476</v>
      </c>
      <c r="BK1768" s="4"/>
      <c r="BL1768" s="4"/>
    </row>
    <row r="1769" spans="1:64" ht="10" customHeight="1" x14ac:dyDescent="0.3">
      <c r="A1769" s="485"/>
      <c r="B1769" s="587"/>
      <c r="C1769" s="587"/>
      <c r="D1769" s="587"/>
      <c r="E1769" s="587"/>
      <c r="F1769" s="588"/>
      <c r="BI1769" s="4"/>
      <c r="BJ1769" s="476" t="s">
        <v>3910</v>
      </c>
      <c r="BK1769" s="4"/>
      <c r="BL1769" s="4"/>
    </row>
    <row r="1770" spans="1:64" ht="13.75" customHeight="1" x14ac:dyDescent="0.3">
      <c r="A1770" s="485"/>
      <c r="B1770" s="587"/>
      <c r="C1770" s="587"/>
      <c r="D1770" s="587"/>
      <c r="E1770" s="587"/>
      <c r="F1770" s="475"/>
      <c r="AG1770" s="4" t="s">
        <v>3754</v>
      </c>
      <c r="AH1770" s="4"/>
      <c r="AL1770" s="503" t="str">
        <f>IF(C1770="","",IF(C1770=AG1770,AQ1770,IF(AND(C1770&lt;&gt;"",C1770&lt;&gt;AG1770),AV1770,"")))</f>
        <v/>
      </c>
      <c r="AQ1770" s="48" t="s">
        <v>3751</v>
      </c>
      <c r="AV1770" s="48" t="s">
        <v>3752</v>
      </c>
      <c r="BD1770" s="48">
        <f>IF(C1770=AG1770,1,0)</f>
        <v>0</v>
      </c>
      <c r="BI1770" s="4"/>
      <c r="BJ1770" s="4"/>
      <c r="BK1770" s="4"/>
      <c r="BL1770" s="4"/>
    </row>
    <row r="1771" spans="1:64" ht="13.75" customHeight="1" x14ac:dyDescent="0.3">
      <c r="A1771" s="485"/>
      <c r="B1771" s="587"/>
      <c r="C1771" s="587"/>
      <c r="D1771" s="587"/>
      <c r="E1771" s="587"/>
      <c r="F1771" s="475"/>
      <c r="BI1771" s="4"/>
      <c r="BJ1771" s="4"/>
      <c r="BK1771" s="4"/>
      <c r="BL1771" s="4"/>
    </row>
    <row r="1772" spans="1:64" ht="13.75" customHeight="1" x14ac:dyDescent="0.3">
      <c r="A1772" s="485"/>
      <c r="B1772" s="587"/>
      <c r="C1772" s="587"/>
      <c r="D1772" s="587"/>
      <c r="E1772" s="587"/>
      <c r="F1772" s="475"/>
      <c r="BI1772" s="4"/>
      <c r="BJ1772" s="476" t="s">
        <v>3911</v>
      </c>
      <c r="BK1772" s="4"/>
      <c r="BL1772" s="4"/>
    </row>
    <row r="1773" spans="1:64" ht="13.75" customHeight="1" x14ac:dyDescent="0.3">
      <c r="A1773" s="485"/>
      <c r="B1773" s="587"/>
      <c r="C1773" s="587"/>
      <c r="D1773" s="587"/>
      <c r="E1773" s="587"/>
      <c r="F1773" s="475"/>
      <c r="BI1773" s="4"/>
      <c r="BJ1773" s="476" t="s">
        <v>3477</v>
      </c>
      <c r="BK1773" s="4"/>
      <c r="BL1773" s="4"/>
    </row>
    <row r="1774" spans="1:64" ht="13.75" customHeight="1" x14ac:dyDescent="0.3">
      <c r="A1774" s="485"/>
      <c r="B1774" s="587"/>
      <c r="C1774" s="587"/>
      <c r="D1774" s="587"/>
      <c r="E1774" s="587"/>
      <c r="F1774" s="475"/>
      <c r="BI1774" s="4"/>
      <c r="BJ1774" s="4"/>
      <c r="BK1774" s="4"/>
      <c r="BL1774" s="4"/>
    </row>
    <row r="1775" spans="1:64" ht="13.75" customHeight="1" x14ac:dyDescent="0.3">
      <c r="A1775" s="485"/>
      <c r="B1775" s="587"/>
      <c r="C1775" s="587"/>
      <c r="D1775" s="587"/>
      <c r="E1775" s="587"/>
      <c r="F1775" s="475"/>
      <c r="BB1775" s="48"/>
      <c r="BI1775" s="4"/>
      <c r="BJ1775" s="4"/>
      <c r="BK1775" s="4"/>
      <c r="BL1775" s="4"/>
    </row>
    <row r="1776" spans="1:64" ht="13.75" customHeight="1" x14ac:dyDescent="0.3">
      <c r="A1776" s="485"/>
      <c r="B1776" s="587"/>
      <c r="C1776" s="587"/>
      <c r="D1776" s="587"/>
      <c r="E1776" s="587"/>
      <c r="F1776" s="475"/>
      <c r="BI1776" s="4"/>
      <c r="BJ1776" s="476" t="s">
        <v>3477</v>
      </c>
      <c r="BK1776" s="4"/>
      <c r="BL1776" s="4"/>
    </row>
    <row r="1777" spans="1:64" ht="13.75" customHeight="1" x14ac:dyDescent="0.3">
      <c r="A1777" s="485"/>
      <c r="B1777" s="587"/>
      <c r="C1777" s="587"/>
      <c r="D1777" s="587"/>
      <c r="E1777" s="587"/>
      <c r="F1777" s="475"/>
      <c r="BI1777" s="4"/>
      <c r="BJ1777" s="4"/>
      <c r="BK1777" s="4"/>
      <c r="BL1777" s="4"/>
    </row>
    <row r="1778" spans="1:64" ht="13.75" customHeight="1" x14ac:dyDescent="0.3">
      <c r="A1778" s="485"/>
      <c r="B1778" s="587"/>
      <c r="C1778" s="587"/>
      <c r="D1778" s="587"/>
      <c r="E1778" s="587"/>
      <c r="F1778" s="475"/>
      <c r="BI1778" s="4"/>
      <c r="BJ1778" s="476" t="s">
        <v>3515</v>
      </c>
      <c r="BK1778" s="4"/>
      <c r="BL1778" s="4"/>
    </row>
    <row r="1779" spans="1:64" ht="13.75" customHeight="1" x14ac:dyDescent="0.3">
      <c r="A1779" s="485"/>
      <c r="B1779" s="587"/>
      <c r="C1779" s="587"/>
      <c r="D1779" s="587"/>
      <c r="E1779" s="587"/>
      <c r="F1779" s="475"/>
      <c r="BI1779" s="4"/>
      <c r="BJ1779" s="476" t="s">
        <v>3478</v>
      </c>
      <c r="BK1779" s="4"/>
      <c r="BL1779" s="4"/>
    </row>
    <row r="1780" spans="1:64" ht="13.75" customHeight="1" x14ac:dyDescent="0.3">
      <c r="A1780" s="485"/>
      <c r="B1780" s="587"/>
      <c r="C1780" s="587"/>
      <c r="D1780" s="587"/>
      <c r="E1780" s="587"/>
      <c r="F1780" s="475"/>
      <c r="BI1780" s="4"/>
      <c r="BJ1780" s="476" t="s">
        <v>3479</v>
      </c>
      <c r="BK1780" s="4"/>
      <c r="BL1780" s="4"/>
    </row>
    <row r="1781" spans="1:64" ht="13.75" customHeight="1" x14ac:dyDescent="0.3">
      <c r="A1781" s="485"/>
      <c r="B1781" s="587"/>
      <c r="C1781" s="587"/>
      <c r="D1781" s="587"/>
      <c r="E1781" s="587"/>
      <c r="F1781" s="475"/>
    </row>
    <row r="1782" spans="1:64" ht="13.75" customHeight="1" x14ac:dyDescent="0.3">
      <c r="A1782" s="485"/>
      <c r="B1782" s="587"/>
      <c r="C1782" s="587"/>
      <c r="D1782" s="587"/>
      <c r="E1782" s="587"/>
      <c r="F1782" s="475"/>
      <c r="L1782" s="48"/>
      <c r="AF1782" s="484" t="s">
        <v>3488</v>
      </c>
    </row>
    <row r="1783" spans="1:64" ht="13.75" customHeight="1" x14ac:dyDescent="0.3">
      <c r="A1783" s="485"/>
      <c r="B1783" s="587"/>
      <c r="C1783" s="587"/>
      <c r="D1783" s="587"/>
      <c r="E1783" s="587"/>
      <c r="F1783" s="475"/>
    </row>
    <row r="1784" spans="1:64" ht="13.75" customHeight="1" x14ac:dyDescent="0.3">
      <c r="A1784" s="485"/>
      <c r="B1784" s="587"/>
      <c r="C1784" s="587"/>
      <c r="D1784" s="587"/>
      <c r="E1784" s="587"/>
      <c r="F1784" s="475"/>
      <c r="AF1784" s="52" t="str">
        <f>CONCATENATE(AG1784,AH1784,AI1784,AJ1784,AK1784)</f>
        <v>You lay the foundation for a campaign to champion Steph's innocence</v>
      </c>
      <c r="AG1784" s="663" t="s">
        <v>4503</v>
      </c>
      <c r="AH1784" s="48" t="str">
        <f>AN202</f>
        <v>Steph</v>
      </c>
      <c r="AI1784" s="446" t="s">
        <v>4367</v>
      </c>
      <c r="BD1784" s="663" t="s">
        <v>4414</v>
      </c>
      <c r="BE1784" s="245" t="s">
        <v>885</v>
      </c>
    </row>
    <row r="1785" spans="1:64" ht="13.75" customHeight="1" x14ac:dyDescent="0.3">
      <c r="A1785" s="485"/>
      <c r="B1785" s="587"/>
      <c r="C1785" s="587"/>
      <c r="D1785" s="587"/>
      <c r="E1785" s="587"/>
      <c r="F1785" s="475"/>
      <c r="AF1785" s="52" t="str">
        <f>CONCATENATE(AG1785,AH1785,AI1785,AJ1785,AK1785)</f>
        <v>We build a support team of supporters to champion Steph's innocence</v>
      </c>
      <c r="AG1785" s="475" t="s">
        <v>4506</v>
      </c>
      <c r="AH1785" s="48" t="str">
        <f>AH1784</f>
        <v>Steph</v>
      </c>
      <c r="AI1785" s="673" t="s">
        <v>4367</v>
      </c>
      <c r="BD1785" s="475" t="s">
        <v>4415</v>
      </c>
      <c r="BE1785" s="245" t="s">
        <v>885</v>
      </c>
    </row>
    <row r="1786" spans="1:64" ht="13.75" customHeight="1" x14ac:dyDescent="0.3">
      <c r="A1786" s="485"/>
      <c r="B1786" s="587"/>
      <c r="C1786" s="587"/>
      <c r="D1786" s="587"/>
      <c r="E1786" s="587"/>
      <c r="F1786" s="475"/>
      <c r="AF1786" s="52" t="str">
        <f>CONCATENATE(AG1786,AH1786,AI1786,AJ1786,AK1786)</f>
        <v>We put your team to work to help Steph's innocence claim to be heard</v>
      </c>
      <c r="AG1786" s="475" t="s">
        <v>4507</v>
      </c>
      <c r="AH1786" s="48" t="str">
        <f>AH1785</f>
        <v>Steph</v>
      </c>
      <c r="AI1786" s="673" t="s">
        <v>4508</v>
      </c>
      <c r="BD1786" s="475" t="s">
        <v>4416</v>
      </c>
      <c r="BE1786" s="245" t="s">
        <v>885</v>
      </c>
    </row>
    <row r="1787" spans="1:64" ht="13.75" customHeight="1" x14ac:dyDescent="0.3">
      <c r="A1787" s="485"/>
      <c r="B1787" s="587"/>
      <c r="C1787" s="587"/>
      <c r="D1787" s="587"/>
      <c r="E1787" s="587"/>
      <c r="F1787" s="475"/>
      <c r="AF1787" s="52" t="str">
        <f>CONCATENATE(AG1787,AH1787,AI1787,AJ1787,AK1787)</f>
        <v>We network with professionals with the power to help make a difference</v>
      </c>
      <c r="AG1787" s="475" t="s">
        <v>4418</v>
      </c>
      <c r="BD1787" s="475" t="s">
        <v>4418</v>
      </c>
      <c r="BE1787" s="245" t="s">
        <v>885</v>
      </c>
    </row>
    <row r="1788" spans="1:64" ht="13.75" customHeight="1" x14ac:dyDescent="0.3">
      <c r="A1788" s="485"/>
      <c r="B1788" s="587"/>
      <c r="C1788" s="587"/>
      <c r="D1788" s="587"/>
      <c r="E1788" s="587"/>
      <c r="F1788" s="475"/>
      <c r="J1788" s="48"/>
      <c r="AF1788" s="52" t="str">
        <f>CONCATENATE(AG1788,AH1788,AI1788,AJ1788,AK1788)</f>
        <v>We affirm the prosecuting attorney's legitimacy when reviewing Steph's case</v>
      </c>
      <c r="AG1788" s="475" t="s">
        <v>4504</v>
      </c>
      <c r="AH1788" s="48" t="str">
        <f>DZ3227</f>
        <v>prosecuting attorney</v>
      </c>
      <c r="AI1788" s="673" t="s">
        <v>4509</v>
      </c>
      <c r="AJ1788" s="48" t="str">
        <f>AH1786</f>
        <v>Steph</v>
      </c>
      <c r="AK1788" s="673" t="s">
        <v>4505</v>
      </c>
      <c r="BD1788" s="475" t="s">
        <v>4417</v>
      </c>
      <c r="BE1788" s="245" t="s">
        <v>885</v>
      </c>
    </row>
    <row r="1789" spans="1:64" ht="13.75" customHeight="1" x14ac:dyDescent="0.3">
      <c r="A1789" s="485"/>
      <c r="B1789" s="587"/>
      <c r="C1789" s="587"/>
      <c r="D1789" s="587"/>
      <c r="E1789" s="587"/>
      <c r="F1789" s="475"/>
    </row>
    <row r="1790" spans="1:64" ht="13.75" customHeight="1" x14ac:dyDescent="0.3">
      <c r="A1790" s="485"/>
      <c r="B1790" s="587"/>
      <c r="C1790" s="587"/>
      <c r="D1790" s="587"/>
      <c r="E1790" s="587"/>
      <c r="F1790" s="475"/>
      <c r="AF1790" s="475" t="s">
        <v>4419</v>
      </c>
      <c r="AG1790" s="4"/>
    </row>
    <row r="1791" spans="1:64" ht="13.75" customHeight="1" x14ac:dyDescent="0.3">
      <c r="A1791" s="485"/>
      <c r="B1791" s="587"/>
      <c r="C1791" s="587"/>
      <c r="D1791" s="587"/>
      <c r="E1791" s="587"/>
      <c r="F1791" s="475"/>
      <c r="AF1791" s="475" t="s">
        <v>3480</v>
      </c>
      <c r="AG1791" s="4"/>
    </row>
    <row r="1792" spans="1:64" ht="13.75" customHeight="1" x14ac:dyDescent="0.3">
      <c r="A1792" s="485"/>
      <c r="B1792" s="587"/>
      <c r="C1792" s="587"/>
      <c r="D1792" s="587"/>
      <c r="E1792" s="587"/>
      <c r="F1792" s="475"/>
      <c r="AF1792" s="475" t="s">
        <v>3481</v>
      </c>
      <c r="AG1792" s="4"/>
    </row>
    <row r="1793" spans="1:50" ht="13.75" customHeight="1" x14ac:dyDescent="0.3">
      <c r="A1793" s="485"/>
      <c r="B1793" s="587"/>
      <c r="C1793" s="587"/>
      <c r="D1793" s="587"/>
      <c r="E1793" s="587"/>
      <c r="F1793" s="475"/>
      <c r="AG1793" s="4"/>
    </row>
    <row r="1794" spans="1:50" ht="13.75" customHeight="1" x14ac:dyDescent="0.3">
      <c r="A1794" s="485"/>
      <c r="B1794" s="587"/>
      <c r="C1794" s="587"/>
      <c r="D1794" s="587"/>
      <c r="E1794" s="587"/>
      <c r="F1794" s="475"/>
      <c r="AF1794" s="475" t="s">
        <v>3489</v>
      </c>
      <c r="AG1794" s="4"/>
    </row>
    <row r="1795" spans="1:50" ht="13.75" customHeight="1" x14ac:dyDescent="0.3">
      <c r="A1795" s="485"/>
      <c r="B1795" s="587"/>
      <c r="C1795" s="587"/>
      <c r="D1795" s="587"/>
      <c r="E1795" s="587"/>
      <c r="F1795" s="475"/>
    </row>
    <row r="1796" spans="1:50" ht="13.75" customHeight="1" x14ac:dyDescent="0.3">
      <c r="A1796" s="485"/>
      <c r="B1796" s="587"/>
      <c r="C1796" s="587"/>
      <c r="D1796" s="587"/>
      <c r="E1796" s="587"/>
      <c r="F1796" s="475"/>
    </row>
    <row r="1797" spans="1:50" ht="13.75" customHeight="1" x14ac:dyDescent="0.3">
      <c r="A1797" s="485"/>
      <c r="B1797" s="587"/>
      <c r="C1797" s="587"/>
      <c r="D1797" s="587"/>
      <c r="E1797" s="587"/>
      <c r="F1797" s="475"/>
    </row>
    <row r="1798" spans="1:50" ht="13.75" customHeight="1" x14ac:dyDescent="0.3">
      <c r="A1798" s="485"/>
      <c r="B1798" s="485"/>
      <c r="C1798" s="485"/>
      <c r="D1798" s="485"/>
      <c r="E1798" s="485"/>
      <c r="F1798" s="475"/>
      <c r="AL1798" s="52" t="str">
        <f>CONCATENATE(AO1801,AP1801,AQ1801,AR1801)</f>
        <v>Prepare your campaign by inviting supporters to invest in Steph's innocence.</v>
      </c>
    </row>
    <row r="1799" spans="1:50" ht="30" customHeight="1" x14ac:dyDescent="0.3">
      <c r="A1799" s="862" t="s">
        <v>3874</v>
      </c>
      <c r="B1799" s="862" t="s">
        <v>3505</v>
      </c>
      <c r="C1799" s="862"/>
      <c r="D1799" s="872"/>
      <c r="E1799" s="864"/>
      <c r="F1799" s="864"/>
    </row>
    <row r="1800" spans="1:50" ht="13.75" customHeight="1" x14ac:dyDescent="0.3">
      <c r="A1800" s="485"/>
      <c r="B1800" s="485"/>
      <c r="C1800" s="485"/>
      <c r="D1800" s="485"/>
      <c r="E1800" s="485"/>
      <c r="F1800" s="475"/>
      <c r="AD1800" s="48" t="s">
        <v>3546</v>
      </c>
    </row>
    <row r="1801" spans="1:50" ht="20" customHeight="1" x14ac:dyDescent="0.3">
      <c r="A1801" s="485"/>
      <c r="B1801" s="674" t="str">
        <f>AL1798</f>
        <v>Prepare your campaign by inviting supporters to invest in Steph's innocence.</v>
      </c>
      <c r="C1801" s="485"/>
      <c r="D1801" s="485"/>
      <c r="E1801" s="485"/>
      <c r="F1801" s="475"/>
      <c r="AD1801" s="48" t="s">
        <v>3542</v>
      </c>
      <c r="AO1801" s="48" t="s">
        <v>4510</v>
      </c>
      <c r="AP1801" s="48" t="str">
        <f>AH1784</f>
        <v>Steph</v>
      </c>
      <c r="AQ1801" s="245" t="s">
        <v>4511</v>
      </c>
    </row>
    <row r="1802" spans="1:50" ht="13.75" customHeight="1" x14ac:dyDescent="0.3">
      <c r="A1802" s="485"/>
      <c r="B1802" s="485"/>
      <c r="C1802" s="485"/>
      <c r="D1802" s="485"/>
      <c r="E1802" s="485"/>
      <c r="F1802" s="475"/>
      <c r="AD1802" s="48" t="s">
        <v>3543</v>
      </c>
      <c r="AO1802" s="351"/>
      <c r="AP1802" s="351"/>
      <c r="AQ1802" s="351"/>
      <c r="AR1802" s="351"/>
      <c r="AS1802" s="351"/>
      <c r="AT1802" s="351"/>
    </row>
    <row r="1803" spans="1:50" ht="13.75" customHeight="1" x14ac:dyDescent="0.3">
      <c r="A1803" s="485"/>
      <c r="B1803" s="490" t="s">
        <v>3504</v>
      </c>
      <c r="C1803" s="485"/>
      <c r="D1803" s="485"/>
      <c r="E1803" s="485"/>
      <c r="F1803" s="475"/>
      <c r="AD1803" s="48" t="s">
        <v>3541</v>
      </c>
      <c r="AO1803" s="351"/>
      <c r="AP1803" s="351"/>
      <c r="AQ1803" s="351"/>
      <c r="AR1803" s="351"/>
      <c r="AS1803" s="351"/>
      <c r="AT1803" s="351"/>
    </row>
    <row r="1804" spans="1:50" ht="13.75" customHeight="1" thickBot="1" x14ac:dyDescent="0.35">
      <c r="A1804" s="485"/>
      <c r="B1804" s="488" t="s">
        <v>3506</v>
      </c>
      <c r="C1804" s="488" t="s">
        <v>3507</v>
      </c>
      <c r="D1804" s="488" t="s">
        <v>776</v>
      </c>
      <c r="E1804" s="485"/>
      <c r="F1804" s="475"/>
      <c r="AO1804" s="514" t="s">
        <v>3547</v>
      </c>
      <c r="AP1804" s="515"/>
      <c r="AQ1804" s="515" t="s">
        <v>3508</v>
      </c>
      <c r="AR1804" s="515"/>
      <c r="AS1804" s="515" t="s">
        <v>3509</v>
      </c>
      <c r="AT1804" s="515"/>
      <c r="AU1804" s="516" t="s">
        <v>3294</v>
      </c>
    </row>
    <row r="1805" spans="1:50" ht="13.75" customHeight="1" thickBot="1" x14ac:dyDescent="0.35">
      <c r="A1805" s="487">
        <v>1</v>
      </c>
      <c r="B1805" s="491" t="s">
        <v>5160</v>
      </c>
      <c r="C1805" s="492" t="s">
        <v>5161</v>
      </c>
      <c r="D1805" s="493" t="s">
        <v>5172</v>
      </c>
      <c r="E1805" s="489" t="s">
        <v>3543</v>
      </c>
      <c r="F1805" s="475"/>
      <c r="AC1805" s="506">
        <f>A1805</f>
        <v>1</v>
      </c>
      <c r="AD1805" s="48" t="str">
        <f>IF(B1805="","",B1805)</f>
        <v>Marie</v>
      </c>
      <c r="AE1805" s="48" t="str">
        <f>IF(C1805="","",C1805)</f>
        <v>Pearson</v>
      </c>
      <c r="AF1805" s="48" t="str">
        <f>IF(D1805="","",D1805)</f>
        <v>mpearson44@email.com</v>
      </c>
      <c r="AH1805" s="48" t="str">
        <f>CONCATENATE(AD1805," ",AE1805)</f>
        <v>Marie Pearson</v>
      </c>
      <c r="AO1805" s="48">
        <f>IF($E1805=$AD$1800,1,0)</f>
        <v>0</v>
      </c>
      <c r="AQ1805" s="48">
        <f>IF($E1805=$AD$1801,1,0)</f>
        <v>0</v>
      </c>
      <c r="AS1805" s="48">
        <f>IF($E1805=$AD$1802,1,0)</f>
        <v>1</v>
      </c>
      <c r="AU1805" s="48">
        <f>IF($E1805=$AD$1803,1,0)</f>
        <v>0</v>
      </c>
      <c r="AX1805" s="48">
        <f>AQ1805+AS1805+AU1805</f>
        <v>1</v>
      </c>
    </row>
    <row r="1806" spans="1:50" ht="13.75" customHeight="1" thickTop="1" thickBot="1" x14ac:dyDescent="0.35">
      <c r="A1806" s="487">
        <v>2</v>
      </c>
      <c r="B1806" s="494" t="s">
        <v>5162</v>
      </c>
      <c r="C1806" s="495" t="s">
        <v>5163</v>
      </c>
      <c r="D1806" s="496" t="s">
        <v>5173</v>
      </c>
      <c r="E1806" s="489" t="s">
        <v>3543</v>
      </c>
      <c r="F1806" s="475"/>
      <c r="AC1806" s="506">
        <f t="shared" ref="AC1806:AC1844" si="82">A1806</f>
        <v>2</v>
      </c>
      <c r="AD1806" s="48" t="str">
        <f t="shared" ref="AD1806:AF1844" si="83">IF(B1806="","",B1806)</f>
        <v>Sandra</v>
      </c>
      <c r="AE1806" s="48" t="str">
        <f t="shared" si="83"/>
        <v>Lewison</v>
      </c>
      <c r="AF1806" s="48" t="s">
        <v>3540</v>
      </c>
      <c r="AH1806" s="48" t="str">
        <f t="shared" ref="AH1806:AH1844" si="84">CONCATENATE(AD1806," ",AE1806)</f>
        <v>Sandra Lewison</v>
      </c>
      <c r="AO1806" s="48">
        <f t="shared" ref="AO1806:AO1844" si="85">IF($E1806=$AD$1800,1,0)</f>
        <v>0</v>
      </c>
      <c r="AQ1806" s="48">
        <f t="shared" ref="AQ1806:AQ1844" si="86">IF($E1806=$AD$1801,1,0)</f>
        <v>0</v>
      </c>
      <c r="AS1806" s="48">
        <f t="shared" ref="AS1806:AS1844" si="87">IF($E1806=$AD$1802,1,0)</f>
        <v>1</v>
      </c>
      <c r="AU1806" s="48">
        <f t="shared" ref="AU1806:AU1844" si="88">IF($E1806=$AD$1803,1,0)</f>
        <v>0</v>
      </c>
      <c r="AX1806" s="48">
        <f t="shared" ref="AX1806:AX1844" si="89">AQ1806+AS1806+AU1806</f>
        <v>1</v>
      </c>
    </row>
    <row r="1807" spans="1:50" ht="13.75" customHeight="1" thickTop="1" thickBot="1" x14ac:dyDescent="0.35">
      <c r="A1807" s="487">
        <v>3</v>
      </c>
      <c r="B1807" s="494" t="s">
        <v>3525</v>
      </c>
      <c r="C1807" s="495" t="s">
        <v>5166</v>
      </c>
      <c r="D1807" s="496" t="s">
        <v>5174</v>
      </c>
      <c r="E1807" s="489" t="s">
        <v>3543</v>
      </c>
      <c r="F1807" s="475"/>
      <c r="AC1807" s="506">
        <f t="shared" si="82"/>
        <v>3</v>
      </c>
      <c r="AD1807" s="48" t="str">
        <f t="shared" si="83"/>
        <v>Marcus</v>
      </c>
      <c r="AE1807" s="48" t="str">
        <f t="shared" si="83"/>
        <v>Hill</v>
      </c>
      <c r="AF1807" s="48" t="str">
        <f t="shared" si="83"/>
        <v>marcus.w.hill@email.com</v>
      </c>
      <c r="AH1807" s="48" t="str">
        <f t="shared" si="84"/>
        <v>Marcus Hill</v>
      </c>
      <c r="AO1807" s="48">
        <f t="shared" si="85"/>
        <v>0</v>
      </c>
      <c r="AQ1807" s="48">
        <f t="shared" si="86"/>
        <v>0</v>
      </c>
      <c r="AS1807" s="48">
        <f t="shared" si="87"/>
        <v>1</v>
      </c>
      <c r="AU1807" s="48">
        <f t="shared" si="88"/>
        <v>0</v>
      </c>
      <c r="AX1807" s="48">
        <f t="shared" si="89"/>
        <v>1</v>
      </c>
    </row>
    <row r="1808" spans="1:50" ht="13.75" customHeight="1" thickTop="1" thickBot="1" x14ac:dyDescent="0.35">
      <c r="A1808" s="487">
        <v>4</v>
      </c>
      <c r="B1808" s="494" t="s">
        <v>5171</v>
      </c>
      <c r="C1808" s="495" t="s">
        <v>5168</v>
      </c>
      <c r="D1808" s="496" t="s">
        <v>5175</v>
      </c>
      <c r="E1808" s="489" t="s">
        <v>3542</v>
      </c>
      <c r="F1808" s="475"/>
      <c r="AC1808" s="506">
        <f t="shared" si="82"/>
        <v>4</v>
      </c>
      <c r="AD1808" s="48" t="str">
        <f t="shared" si="83"/>
        <v>Christine</v>
      </c>
      <c r="AE1808" s="48" t="str">
        <f t="shared" si="83"/>
        <v>Nash</v>
      </c>
      <c r="AF1808" s="48" t="str">
        <f t="shared" si="83"/>
        <v>chrissy-reese@email.com</v>
      </c>
      <c r="AH1808" s="48" t="str">
        <f t="shared" si="84"/>
        <v>Christine Nash</v>
      </c>
      <c r="AO1808" s="48">
        <f t="shared" si="85"/>
        <v>0</v>
      </c>
      <c r="AQ1808" s="48">
        <f t="shared" si="86"/>
        <v>1</v>
      </c>
      <c r="AS1808" s="48">
        <f t="shared" si="87"/>
        <v>0</v>
      </c>
      <c r="AU1808" s="48">
        <f t="shared" si="88"/>
        <v>0</v>
      </c>
      <c r="AX1808" s="48">
        <f t="shared" si="89"/>
        <v>1</v>
      </c>
    </row>
    <row r="1809" spans="1:50" ht="13.75" customHeight="1" thickTop="1" thickBot="1" x14ac:dyDescent="0.35">
      <c r="A1809" s="487">
        <v>5</v>
      </c>
      <c r="B1809" s="494" t="s">
        <v>4070</v>
      </c>
      <c r="C1809" s="495" t="s">
        <v>5167</v>
      </c>
      <c r="D1809" s="496" t="s">
        <v>5176</v>
      </c>
      <c r="E1809" s="489" t="s">
        <v>3543</v>
      </c>
      <c r="F1809" s="475"/>
      <c r="AC1809" s="506">
        <f t="shared" si="82"/>
        <v>5</v>
      </c>
      <c r="AD1809" s="48" t="str">
        <f t="shared" si="83"/>
        <v>Justin</v>
      </c>
      <c r="AE1809" s="48" t="str">
        <f t="shared" si="83"/>
        <v>Allen</v>
      </c>
      <c r="AF1809" s="48" t="str">
        <f t="shared" si="83"/>
        <v>ja-greatworks@email.com</v>
      </c>
      <c r="AH1809" s="48" t="str">
        <f t="shared" si="84"/>
        <v>Justin Allen</v>
      </c>
      <c r="AO1809" s="48">
        <f t="shared" si="85"/>
        <v>0</v>
      </c>
      <c r="AQ1809" s="48">
        <f t="shared" si="86"/>
        <v>0</v>
      </c>
      <c r="AS1809" s="48">
        <f t="shared" si="87"/>
        <v>1</v>
      </c>
      <c r="AU1809" s="48">
        <f t="shared" si="88"/>
        <v>0</v>
      </c>
      <c r="AX1809" s="48">
        <f t="shared" si="89"/>
        <v>1</v>
      </c>
    </row>
    <row r="1810" spans="1:50" ht="13.75" customHeight="1" thickTop="1" thickBot="1" x14ac:dyDescent="0.35">
      <c r="A1810" s="487">
        <v>6</v>
      </c>
      <c r="B1810" s="494" t="s">
        <v>5170</v>
      </c>
      <c r="C1810" s="495" t="s">
        <v>5169</v>
      </c>
      <c r="D1810" s="496" t="s">
        <v>5177</v>
      </c>
      <c r="E1810" s="489" t="s">
        <v>3546</v>
      </c>
      <c r="F1810" s="475"/>
      <c r="AC1810" s="506">
        <f t="shared" si="82"/>
        <v>6</v>
      </c>
      <c r="AD1810" s="48" t="str">
        <f t="shared" si="83"/>
        <v>Marissa</v>
      </c>
      <c r="AE1810" s="48" t="str">
        <f t="shared" si="83"/>
        <v>Cranson</v>
      </c>
      <c r="AF1810" s="48" t="str">
        <f t="shared" si="83"/>
        <v>marissa1998@email.com</v>
      </c>
      <c r="AH1810" s="48" t="str">
        <f t="shared" si="84"/>
        <v>Marissa Cranson</v>
      </c>
      <c r="AO1810" s="48">
        <f t="shared" si="85"/>
        <v>1</v>
      </c>
      <c r="AQ1810" s="48">
        <f t="shared" si="86"/>
        <v>0</v>
      </c>
      <c r="AS1810" s="48">
        <f t="shared" si="87"/>
        <v>0</v>
      </c>
      <c r="AU1810" s="48">
        <f t="shared" si="88"/>
        <v>0</v>
      </c>
      <c r="AX1810" s="48">
        <f t="shared" si="89"/>
        <v>0</v>
      </c>
    </row>
    <row r="1811" spans="1:50" ht="13.75" customHeight="1" thickTop="1" thickBot="1" x14ac:dyDescent="0.35">
      <c r="A1811" s="487">
        <v>7</v>
      </c>
      <c r="B1811" s="494" t="s">
        <v>5164</v>
      </c>
      <c r="C1811" s="495" t="s">
        <v>5165</v>
      </c>
      <c r="D1811" s="496" t="s">
        <v>5201</v>
      </c>
      <c r="E1811" s="489" t="s">
        <v>3542</v>
      </c>
      <c r="F1811" s="475"/>
      <c r="AC1811" s="506">
        <f t="shared" si="82"/>
        <v>7</v>
      </c>
      <c r="AD1811" s="48" t="str">
        <f t="shared" si="83"/>
        <v>Juan</v>
      </c>
      <c r="AE1811" s="48" t="str">
        <f t="shared" si="83"/>
        <v>Ruiz</v>
      </c>
      <c r="AF1811" s="48" t="str">
        <f t="shared" si="83"/>
        <v>juan-ruiz-rodriquez@email.com</v>
      </c>
      <c r="AH1811" s="48" t="str">
        <f t="shared" si="84"/>
        <v>Juan Ruiz</v>
      </c>
      <c r="AO1811" s="48">
        <f t="shared" si="85"/>
        <v>0</v>
      </c>
      <c r="AQ1811" s="48">
        <f t="shared" si="86"/>
        <v>1</v>
      </c>
      <c r="AS1811" s="48">
        <f t="shared" si="87"/>
        <v>0</v>
      </c>
      <c r="AU1811" s="48">
        <f t="shared" si="88"/>
        <v>0</v>
      </c>
      <c r="AX1811" s="48">
        <f t="shared" si="89"/>
        <v>1</v>
      </c>
    </row>
    <row r="1812" spans="1:50" ht="13.75" customHeight="1" thickTop="1" thickBot="1" x14ac:dyDescent="0.35">
      <c r="A1812" s="487">
        <v>8</v>
      </c>
      <c r="B1812" s="494" t="s">
        <v>5189</v>
      </c>
      <c r="C1812" s="495" t="s">
        <v>5190</v>
      </c>
      <c r="D1812" s="496" t="s">
        <v>5200</v>
      </c>
      <c r="E1812" s="489" t="s">
        <v>3543</v>
      </c>
      <c r="F1812" s="475"/>
      <c r="AC1812" s="506">
        <f t="shared" si="82"/>
        <v>8</v>
      </c>
      <c r="AD1812" s="48" t="str">
        <f t="shared" si="83"/>
        <v>Alexa</v>
      </c>
      <c r="AE1812" s="48" t="str">
        <f t="shared" si="83"/>
        <v>Dysander</v>
      </c>
      <c r="AF1812" s="48" t="str">
        <f t="shared" si="83"/>
        <v>alex-dysander@email.com</v>
      </c>
      <c r="AH1812" s="48" t="str">
        <f t="shared" si="84"/>
        <v>Alexa Dysander</v>
      </c>
      <c r="AO1812" s="48">
        <f t="shared" si="85"/>
        <v>0</v>
      </c>
      <c r="AQ1812" s="48">
        <f t="shared" si="86"/>
        <v>0</v>
      </c>
      <c r="AS1812" s="48">
        <f t="shared" si="87"/>
        <v>1</v>
      </c>
      <c r="AU1812" s="48">
        <f t="shared" si="88"/>
        <v>0</v>
      </c>
      <c r="AX1812" s="48">
        <f t="shared" si="89"/>
        <v>1</v>
      </c>
    </row>
    <row r="1813" spans="1:50" ht="13.75" customHeight="1" thickTop="1" thickBot="1" x14ac:dyDescent="0.35">
      <c r="A1813" s="487">
        <v>9</v>
      </c>
      <c r="B1813" s="494" t="s">
        <v>5191</v>
      </c>
      <c r="C1813" s="495" t="s">
        <v>5192</v>
      </c>
      <c r="D1813" s="496" t="s">
        <v>5203</v>
      </c>
      <c r="E1813" s="489" t="s">
        <v>3543</v>
      </c>
      <c r="F1813" s="475"/>
      <c r="AC1813" s="506">
        <f t="shared" si="82"/>
        <v>9</v>
      </c>
      <c r="AD1813" s="48" t="str">
        <f t="shared" si="83"/>
        <v>Tabitha</v>
      </c>
      <c r="AE1813" s="48" t="str">
        <f t="shared" si="83"/>
        <v>Benson</v>
      </c>
      <c r="AF1813" s="48" t="str">
        <f t="shared" si="83"/>
        <v>tabben@email.com</v>
      </c>
      <c r="AH1813" s="48" t="str">
        <f t="shared" si="84"/>
        <v>Tabitha Benson</v>
      </c>
      <c r="AO1813" s="48">
        <f t="shared" si="85"/>
        <v>0</v>
      </c>
      <c r="AQ1813" s="48">
        <f t="shared" si="86"/>
        <v>0</v>
      </c>
      <c r="AS1813" s="48">
        <f t="shared" si="87"/>
        <v>1</v>
      </c>
      <c r="AU1813" s="48">
        <f t="shared" si="88"/>
        <v>0</v>
      </c>
      <c r="AX1813" s="48">
        <f t="shared" si="89"/>
        <v>1</v>
      </c>
    </row>
    <row r="1814" spans="1:50" ht="13.75" customHeight="1" thickTop="1" thickBot="1" x14ac:dyDescent="0.35">
      <c r="A1814" s="487">
        <v>10</v>
      </c>
      <c r="B1814" s="494" t="s">
        <v>5187</v>
      </c>
      <c r="C1814" s="495" t="s">
        <v>5188</v>
      </c>
      <c r="D1814" s="496" t="s">
        <v>5202</v>
      </c>
      <c r="E1814" s="489" t="s">
        <v>3543</v>
      </c>
      <c r="F1814" s="475"/>
      <c r="AC1814" s="506">
        <f t="shared" si="82"/>
        <v>10</v>
      </c>
      <c r="AD1814" s="48" t="str">
        <f t="shared" si="83"/>
        <v>Jonathan</v>
      </c>
      <c r="AE1814" s="48" t="str">
        <f t="shared" si="83"/>
        <v>Williams</v>
      </c>
      <c r="AF1814" s="48" t="str">
        <f t="shared" si="83"/>
        <v>j.williams@email.com</v>
      </c>
      <c r="AH1814" s="48" t="str">
        <f t="shared" si="84"/>
        <v>Jonathan Williams</v>
      </c>
      <c r="AO1814" s="48">
        <f t="shared" si="85"/>
        <v>0</v>
      </c>
      <c r="AQ1814" s="48">
        <f t="shared" si="86"/>
        <v>0</v>
      </c>
      <c r="AS1814" s="48">
        <f t="shared" si="87"/>
        <v>1</v>
      </c>
      <c r="AU1814" s="48">
        <f t="shared" si="88"/>
        <v>0</v>
      </c>
      <c r="AX1814" s="48">
        <f t="shared" si="89"/>
        <v>1</v>
      </c>
    </row>
    <row r="1815" spans="1:50" ht="13.75" customHeight="1" thickTop="1" thickBot="1" x14ac:dyDescent="0.35">
      <c r="A1815" s="487">
        <v>11</v>
      </c>
      <c r="B1815" s="494" t="s">
        <v>5194</v>
      </c>
      <c r="C1815" s="495" t="s">
        <v>5193</v>
      </c>
      <c r="D1815" s="496" t="s">
        <v>5204</v>
      </c>
      <c r="E1815" s="489" t="s">
        <v>3546</v>
      </c>
      <c r="F1815" s="475"/>
      <c r="AC1815" s="506">
        <f t="shared" si="82"/>
        <v>11</v>
      </c>
      <c r="AD1815" s="48" t="str">
        <f t="shared" si="83"/>
        <v>Miriam</v>
      </c>
      <c r="AE1815" s="48" t="str">
        <f t="shared" si="83"/>
        <v>Kahn</v>
      </c>
      <c r="AF1815" s="48" t="str">
        <f t="shared" si="83"/>
        <v>kahn2009@email.com</v>
      </c>
      <c r="AH1815" s="48" t="str">
        <f t="shared" si="84"/>
        <v>Miriam Kahn</v>
      </c>
      <c r="AO1815" s="48">
        <f t="shared" si="85"/>
        <v>1</v>
      </c>
      <c r="AQ1815" s="48">
        <f t="shared" si="86"/>
        <v>0</v>
      </c>
      <c r="AS1815" s="48">
        <f t="shared" si="87"/>
        <v>0</v>
      </c>
      <c r="AU1815" s="48">
        <f t="shared" si="88"/>
        <v>0</v>
      </c>
      <c r="AX1815" s="48">
        <f t="shared" si="89"/>
        <v>0</v>
      </c>
    </row>
    <row r="1816" spans="1:50" ht="13.75" customHeight="1" thickTop="1" thickBot="1" x14ac:dyDescent="0.35">
      <c r="A1816" s="487">
        <v>12</v>
      </c>
      <c r="B1816" s="494" t="s">
        <v>5195</v>
      </c>
      <c r="C1816" s="495" t="s">
        <v>3526</v>
      </c>
      <c r="D1816" s="496" t="s">
        <v>5205</v>
      </c>
      <c r="E1816" s="489" t="s">
        <v>3543</v>
      </c>
      <c r="F1816" s="475"/>
      <c r="AC1816" s="506">
        <f t="shared" si="82"/>
        <v>12</v>
      </c>
      <c r="AD1816" s="48" t="str">
        <f t="shared" si="83"/>
        <v>Mark</v>
      </c>
      <c r="AE1816" s="48" t="str">
        <f t="shared" si="83"/>
        <v>Tanner</v>
      </c>
      <c r="AF1816" s="48" t="str">
        <f t="shared" si="83"/>
        <v>m-tanner@email.com</v>
      </c>
      <c r="AH1816" s="48" t="str">
        <f t="shared" si="84"/>
        <v>Mark Tanner</v>
      </c>
      <c r="AO1816" s="48">
        <f t="shared" si="85"/>
        <v>0</v>
      </c>
      <c r="AQ1816" s="48">
        <f t="shared" si="86"/>
        <v>0</v>
      </c>
      <c r="AS1816" s="48">
        <f t="shared" si="87"/>
        <v>1</v>
      </c>
      <c r="AU1816" s="48">
        <f t="shared" si="88"/>
        <v>0</v>
      </c>
      <c r="AX1816" s="48">
        <f t="shared" si="89"/>
        <v>1</v>
      </c>
    </row>
    <row r="1817" spans="1:50" ht="13.75" customHeight="1" thickTop="1" thickBot="1" x14ac:dyDescent="0.35">
      <c r="A1817" s="487">
        <v>13</v>
      </c>
      <c r="B1817" s="494" t="s">
        <v>5197</v>
      </c>
      <c r="C1817" s="495" t="s">
        <v>5196</v>
      </c>
      <c r="D1817" s="496" t="s">
        <v>5206</v>
      </c>
      <c r="E1817" s="489" t="s">
        <v>3543</v>
      </c>
      <c r="F1817" s="475"/>
      <c r="AC1817" s="506">
        <f t="shared" si="82"/>
        <v>13</v>
      </c>
      <c r="AD1817" s="48" t="str">
        <f t="shared" si="83"/>
        <v>Annette</v>
      </c>
      <c r="AE1817" s="48" t="str">
        <f t="shared" si="83"/>
        <v>Greason</v>
      </c>
      <c r="AF1817" s="48" t="str">
        <f t="shared" si="83"/>
        <v>greason@email.com</v>
      </c>
      <c r="AH1817" s="48" t="str">
        <f t="shared" si="84"/>
        <v>Annette Greason</v>
      </c>
      <c r="AO1817" s="48">
        <f t="shared" si="85"/>
        <v>0</v>
      </c>
      <c r="AQ1817" s="48">
        <f t="shared" si="86"/>
        <v>0</v>
      </c>
      <c r="AS1817" s="48">
        <f t="shared" si="87"/>
        <v>1</v>
      </c>
      <c r="AU1817" s="48">
        <f t="shared" si="88"/>
        <v>0</v>
      </c>
      <c r="AX1817" s="48">
        <f t="shared" si="89"/>
        <v>1</v>
      </c>
    </row>
    <row r="1818" spans="1:50" ht="13.75" customHeight="1" thickTop="1" thickBot="1" x14ac:dyDescent="0.35">
      <c r="A1818" s="487">
        <v>14</v>
      </c>
      <c r="B1818" s="494" t="s">
        <v>5198</v>
      </c>
      <c r="C1818" s="495" t="s">
        <v>5199</v>
      </c>
      <c r="D1818" s="496" t="s">
        <v>5207</v>
      </c>
      <c r="E1818" s="489" t="s">
        <v>3543</v>
      </c>
      <c r="F1818" s="475"/>
      <c r="AC1818" s="506">
        <f t="shared" si="82"/>
        <v>14</v>
      </c>
      <c r="AD1818" s="48" t="str">
        <f t="shared" si="83"/>
        <v>Jordan</v>
      </c>
      <c r="AE1818" s="48" t="str">
        <f t="shared" si="83"/>
        <v>Watson</v>
      </c>
      <c r="AF1818" s="48" t="str">
        <f t="shared" si="83"/>
        <v>jordanwatson@email.com</v>
      </c>
      <c r="AH1818" s="48" t="str">
        <f t="shared" si="84"/>
        <v>Jordan Watson</v>
      </c>
      <c r="AO1818" s="48">
        <f t="shared" si="85"/>
        <v>0</v>
      </c>
      <c r="AQ1818" s="48">
        <f t="shared" si="86"/>
        <v>0</v>
      </c>
      <c r="AS1818" s="48">
        <f t="shared" si="87"/>
        <v>1</v>
      </c>
      <c r="AU1818" s="48">
        <f t="shared" si="88"/>
        <v>0</v>
      </c>
      <c r="AX1818" s="48">
        <f t="shared" si="89"/>
        <v>1</v>
      </c>
    </row>
    <row r="1819" spans="1:50" ht="13.75" customHeight="1" thickTop="1" thickBot="1" x14ac:dyDescent="0.35">
      <c r="A1819" s="487">
        <v>15</v>
      </c>
      <c r="B1819" s="494" t="s">
        <v>5209</v>
      </c>
      <c r="C1819" s="495" t="s">
        <v>5208</v>
      </c>
      <c r="D1819" s="496" t="s">
        <v>5230</v>
      </c>
      <c r="E1819" s="489" t="s">
        <v>3546</v>
      </c>
      <c r="F1819" s="475"/>
      <c r="AC1819" s="506">
        <f t="shared" si="82"/>
        <v>15</v>
      </c>
      <c r="AD1819" s="48" t="str">
        <f t="shared" si="83"/>
        <v>Lee</v>
      </c>
      <c r="AE1819" s="48" t="str">
        <f t="shared" si="83"/>
        <v>Minson</v>
      </c>
      <c r="AF1819" s="48" t="str">
        <f t="shared" si="83"/>
        <v>leeminson2@email.com</v>
      </c>
      <c r="AH1819" s="48" t="str">
        <f t="shared" si="84"/>
        <v>Lee Minson</v>
      </c>
      <c r="AO1819" s="48">
        <f t="shared" si="85"/>
        <v>1</v>
      </c>
      <c r="AQ1819" s="48">
        <f t="shared" si="86"/>
        <v>0</v>
      </c>
      <c r="AS1819" s="48">
        <f t="shared" si="87"/>
        <v>0</v>
      </c>
      <c r="AU1819" s="48">
        <f t="shared" si="88"/>
        <v>0</v>
      </c>
      <c r="AX1819" s="48">
        <f t="shared" si="89"/>
        <v>0</v>
      </c>
    </row>
    <row r="1820" spans="1:50" ht="13.75" customHeight="1" thickTop="1" thickBot="1" x14ac:dyDescent="0.35">
      <c r="A1820" s="487">
        <v>16</v>
      </c>
      <c r="B1820" s="494" t="s">
        <v>5210</v>
      </c>
      <c r="C1820" s="495" t="s">
        <v>5211</v>
      </c>
      <c r="D1820" s="496" t="s">
        <v>5231</v>
      </c>
      <c r="E1820" s="489" t="s">
        <v>3543</v>
      </c>
      <c r="F1820" s="475"/>
      <c r="AC1820" s="506">
        <f t="shared" si="82"/>
        <v>16</v>
      </c>
      <c r="AD1820" s="48" t="str">
        <f t="shared" si="83"/>
        <v>Thomas</v>
      </c>
      <c r="AE1820" s="48" t="str">
        <f t="shared" si="83"/>
        <v>Parks</v>
      </c>
      <c r="AF1820" s="48" t="str">
        <f t="shared" si="83"/>
        <v>tomparks44@email.com</v>
      </c>
      <c r="AH1820" s="48" t="str">
        <f t="shared" si="84"/>
        <v>Thomas Parks</v>
      </c>
      <c r="AO1820" s="48">
        <f t="shared" si="85"/>
        <v>0</v>
      </c>
      <c r="AQ1820" s="48">
        <f t="shared" si="86"/>
        <v>0</v>
      </c>
      <c r="AS1820" s="48">
        <f t="shared" si="87"/>
        <v>1</v>
      </c>
      <c r="AU1820" s="48">
        <f t="shared" si="88"/>
        <v>0</v>
      </c>
      <c r="AX1820" s="48">
        <f t="shared" si="89"/>
        <v>1</v>
      </c>
    </row>
    <row r="1821" spans="1:50" ht="13.75" customHeight="1" thickTop="1" thickBot="1" x14ac:dyDescent="0.35">
      <c r="A1821" s="487">
        <v>17</v>
      </c>
      <c r="B1821" s="494" t="s">
        <v>5212</v>
      </c>
      <c r="C1821" s="495" t="s">
        <v>3524</v>
      </c>
      <c r="D1821" s="496" t="s">
        <v>5232</v>
      </c>
      <c r="E1821" s="489" t="s">
        <v>3546</v>
      </c>
      <c r="F1821" s="475"/>
      <c r="AC1821" s="506">
        <f t="shared" si="82"/>
        <v>17</v>
      </c>
      <c r="AD1821" s="48" t="str">
        <f t="shared" si="83"/>
        <v>Felton</v>
      </c>
      <c r="AE1821" s="48" t="str">
        <f t="shared" si="83"/>
        <v>Donaldson</v>
      </c>
      <c r="AF1821" s="48" t="str">
        <f t="shared" si="83"/>
        <v>felton@email.com</v>
      </c>
      <c r="AH1821" s="48" t="str">
        <f t="shared" si="84"/>
        <v>Felton Donaldson</v>
      </c>
      <c r="AO1821" s="48">
        <f t="shared" si="85"/>
        <v>1</v>
      </c>
      <c r="AQ1821" s="48">
        <f t="shared" si="86"/>
        <v>0</v>
      </c>
      <c r="AS1821" s="48">
        <f t="shared" si="87"/>
        <v>0</v>
      </c>
      <c r="AU1821" s="48">
        <f t="shared" si="88"/>
        <v>0</v>
      </c>
      <c r="AX1821" s="48">
        <f t="shared" si="89"/>
        <v>0</v>
      </c>
    </row>
    <row r="1822" spans="1:50" ht="13.75" customHeight="1" thickTop="1" thickBot="1" x14ac:dyDescent="0.35">
      <c r="A1822" s="487">
        <v>18</v>
      </c>
      <c r="B1822" s="494" t="s">
        <v>3528</v>
      </c>
      <c r="C1822" s="495" t="s">
        <v>5213</v>
      </c>
      <c r="D1822" s="496" t="s">
        <v>5233</v>
      </c>
      <c r="E1822" s="489" t="s">
        <v>3543</v>
      </c>
      <c r="F1822" s="475"/>
      <c r="AC1822" s="506">
        <f t="shared" si="82"/>
        <v>18</v>
      </c>
      <c r="AD1822" s="48" t="str">
        <f t="shared" si="83"/>
        <v>Charles</v>
      </c>
      <c r="AE1822" s="48" t="str">
        <f t="shared" si="83"/>
        <v>Simmons</v>
      </c>
      <c r="AF1822" s="48" t="str">
        <f t="shared" si="83"/>
        <v>csimmons@email.com</v>
      </c>
      <c r="AH1822" s="48" t="str">
        <f t="shared" si="84"/>
        <v>Charles Simmons</v>
      </c>
      <c r="AO1822" s="48">
        <f t="shared" si="85"/>
        <v>0</v>
      </c>
      <c r="AQ1822" s="48">
        <f t="shared" si="86"/>
        <v>0</v>
      </c>
      <c r="AS1822" s="48">
        <f t="shared" si="87"/>
        <v>1</v>
      </c>
      <c r="AU1822" s="48">
        <f t="shared" si="88"/>
        <v>0</v>
      </c>
      <c r="AX1822" s="48">
        <f t="shared" si="89"/>
        <v>1</v>
      </c>
    </row>
    <row r="1823" spans="1:50" ht="13.75" customHeight="1" thickTop="1" thickBot="1" x14ac:dyDescent="0.35">
      <c r="A1823" s="487">
        <v>19</v>
      </c>
      <c r="B1823" s="494" t="s">
        <v>5215</v>
      </c>
      <c r="C1823" s="495" t="s">
        <v>5214</v>
      </c>
      <c r="D1823" s="496" t="s">
        <v>5234</v>
      </c>
      <c r="E1823" s="489" t="s">
        <v>3543</v>
      </c>
      <c r="F1823" s="475"/>
      <c r="AC1823" s="506">
        <f t="shared" si="82"/>
        <v>19</v>
      </c>
      <c r="AD1823" s="48" t="str">
        <f t="shared" si="83"/>
        <v>Allison</v>
      </c>
      <c r="AE1823" s="48" t="str">
        <f t="shared" si="83"/>
        <v>Clemmens</v>
      </c>
      <c r="AF1823" s="48" t="str">
        <f t="shared" si="83"/>
        <v>clemmens-a@email.com</v>
      </c>
      <c r="AH1823" s="48" t="str">
        <f t="shared" si="84"/>
        <v>Allison Clemmens</v>
      </c>
      <c r="AO1823" s="48">
        <f t="shared" si="85"/>
        <v>0</v>
      </c>
      <c r="AQ1823" s="48">
        <f t="shared" si="86"/>
        <v>0</v>
      </c>
      <c r="AS1823" s="48">
        <f t="shared" si="87"/>
        <v>1</v>
      </c>
      <c r="AU1823" s="48">
        <f t="shared" si="88"/>
        <v>0</v>
      </c>
      <c r="AX1823" s="48">
        <f t="shared" si="89"/>
        <v>1</v>
      </c>
    </row>
    <row r="1824" spans="1:50" ht="13.75" customHeight="1" thickTop="1" thickBot="1" x14ac:dyDescent="0.35">
      <c r="A1824" s="487">
        <v>20</v>
      </c>
      <c r="B1824" s="497" t="s">
        <v>5216</v>
      </c>
      <c r="C1824" s="498" t="s">
        <v>5217</v>
      </c>
      <c r="D1824" s="499" t="s">
        <v>5235</v>
      </c>
      <c r="E1824" s="489" t="s">
        <v>3543</v>
      </c>
      <c r="F1824" s="475"/>
      <c r="AC1824" s="506">
        <f t="shared" si="82"/>
        <v>20</v>
      </c>
      <c r="AD1824" s="48" t="str">
        <f t="shared" si="83"/>
        <v>Roberta</v>
      </c>
      <c r="AE1824" s="48" t="str">
        <f t="shared" si="83"/>
        <v>Simons</v>
      </c>
      <c r="AF1824" s="48" t="str">
        <f t="shared" si="83"/>
        <v>roberta.s@email.com</v>
      </c>
      <c r="AH1824" s="48" t="str">
        <f t="shared" si="84"/>
        <v>Roberta Simons</v>
      </c>
      <c r="AO1824" s="48">
        <f t="shared" si="85"/>
        <v>0</v>
      </c>
      <c r="AQ1824" s="48">
        <f t="shared" si="86"/>
        <v>0</v>
      </c>
      <c r="AS1824" s="48">
        <f t="shared" si="87"/>
        <v>1</v>
      </c>
      <c r="AU1824" s="48">
        <f t="shared" si="88"/>
        <v>0</v>
      </c>
      <c r="AX1824" s="48">
        <f t="shared" si="89"/>
        <v>1</v>
      </c>
    </row>
    <row r="1825" spans="1:63" ht="13.75" customHeight="1" thickTop="1" thickBot="1" x14ac:dyDescent="0.35">
      <c r="A1825" s="487">
        <v>21</v>
      </c>
      <c r="B1825" s="497" t="s">
        <v>5218</v>
      </c>
      <c r="C1825" s="498" t="s">
        <v>5166</v>
      </c>
      <c r="D1825" s="499" t="s">
        <v>5236</v>
      </c>
      <c r="E1825" s="489" t="s">
        <v>3542</v>
      </c>
      <c r="F1825" s="475"/>
      <c r="AC1825" s="506">
        <f t="shared" si="82"/>
        <v>21</v>
      </c>
      <c r="AD1825" s="48" t="str">
        <f t="shared" si="83"/>
        <v>Tammy</v>
      </c>
      <c r="AE1825" s="48" t="str">
        <f t="shared" si="83"/>
        <v>Hill</v>
      </c>
      <c r="AF1825" s="48" t="str">
        <f t="shared" si="83"/>
        <v>tammyhill@email.com</v>
      </c>
      <c r="AH1825" s="48" t="str">
        <f t="shared" si="84"/>
        <v>Tammy Hill</v>
      </c>
      <c r="AO1825" s="48">
        <f t="shared" si="85"/>
        <v>0</v>
      </c>
      <c r="AQ1825" s="48">
        <f t="shared" si="86"/>
        <v>1</v>
      </c>
      <c r="AS1825" s="48">
        <f t="shared" si="87"/>
        <v>0</v>
      </c>
      <c r="AU1825" s="48">
        <f t="shared" si="88"/>
        <v>0</v>
      </c>
      <c r="AX1825" s="48">
        <f t="shared" si="89"/>
        <v>1</v>
      </c>
    </row>
    <row r="1826" spans="1:63" ht="13.75" customHeight="1" thickTop="1" thickBot="1" x14ac:dyDescent="0.35">
      <c r="A1826" s="487">
        <v>22</v>
      </c>
      <c r="B1826" s="497" t="s">
        <v>5219</v>
      </c>
      <c r="C1826" s="498" t="s">
        <v>5169</v>
      </c>
      <c r="D1826" s="499" t="s">
        <v>5237</v>
      </c>
      <c r="E1826" s="489" t="s">
        <v>3543</v>
      </c>
      <c r="F1826" s="475"/>
      <c r="AC1826" s="506">
        <f t="shared" si="82"/>
        <v>22</v>
      </c>
      <c r="AD1826" s="48" t="str">
        <f t="shared" si="83"/>
        <v>Lauren</v>
      </c>
      <c r="AE1826" s="48" t="str">
        <f t="shared" si="83"/>
        <v>Cranson</v>
      </c>
      <c r="AF1826" s="48" t="str">
        <f t="shared" si="83"/>
        <v>lauren.s.cranson@email.com</v>
      </c>
      <c r="AH1826" s="48" t="str">
        <f t="shared" si="84"/>
        <v>Lauren Cranson</v>
      </c>
      <c r="AO1826" s="48">
        <f t="shared" si="85"/>
        <v>0</v>
      </c>
      <c r="AQ1826" s="48">
        <f t="shared" si="86"/>
        <v>0</v>
      </c>
      <c r="AS1826" s="48">
        <f t="shared" si="87"/>
        <v>1</v>
      </c>
      <c r="AU1826" s="48">
        <f t="shared" si="88"/>
        <v>0</v>
      </c>
      <c r="AX1826" s="48">
        <f t="shared" si="89"/>
        <v>1</v>
      </c>
    </row>
    <row r="1827" spans="1:63" ht="13.75" customHeight="1" thickTop="1" thickBot="1" x14ac:dyDescent="0.35">
      <c r="A1827" s="487">
        <v>23</v>
      </c>
      <c r="B1827" s="497" t="s">
        <v>5220</v>
      </c>
      <c r="C1827" s="498" t="s">
        <v>5221</v>
      </c>
      <c r="D1827" s="499" t="s">
        <v>5238</v>
      </c>
      <c r="E1827" s="489" t="s">
        <v>3543</v>
      </c>
      <c r="F1827" s="475"/>
      <c r="AC1827" s="506">
        <f t="shared" si="82"/>
        <v>23</v>
      </c>
      <c r="AD1827" s="48" t="str">
        <f t="shared" si="83"/>
        <v>Rebecca</v>
      </c>
      <c r="AE1827" s="48" t="str">
        <f t="shared" si="83"/>
        <v>Ward</v>
      </c>
      <c r="AF1827" s="48" t="str">
        <f t="shared" si="83"/>
        <v>beckyward@email.com</v>
      </c>
      <c r="AH1827" s="48" t="str">
        <f t="shared" si="84"/>
        <v>Rebecca Ward</v>
      </c>
      <c r="AO1827" s="48">
        <f t="shared" si="85"/>
        <v>0</v>
      </c>
      <c r="AQ1827" s="48">
        <f t="shared" si="86"/>
        <v>0</v>
      </c>
      <c r="AS1827" s="48">
        <f t="shared" si="87"/>
        <v>1</v>
      </c>
      <c r="AU1827" s="48">
        <f t="shared" si="88"/>
        <v>0</v>
      </c>
      <c r="AX1827" s="48">
        <f t="shared" si="89"/>
        <v>1</v>
      </c>
    </row>
    <row r="1828" spans="1:63" ht="13.75" customHeight="1" thickTop="1" thickBot="1" x14ac:dyDescent="0.35">
      <c r="A1828" s="487">
        <v>24</v>
      </c>
      <c r="B1828" s="497" t="s">
        <v>5222</v>
      </c>
      <c r="C1828" s="498" t="s">
        <v>5223</v>
      </c>
      <c r="D1828" s="499" t="s">
        <v>5239</v>
      </c>
      <c r="E1828" s="489" t="s">
        <v>3546</v>
      </c>
      <c r="F1828" s="475"/>
      <c r="AC1828" s="506">
        <f t="shared" si="82"/>
        <v>24</v>
      </c>
      <c r="AD1828" s="48" t="str">
        <f t="shared" si="83"/>
        <v>Bryan</v>
      </c>
      <c r="AE1828" s="48" t="str">
        <f t="shared" si="83"/>
        <v>Larsen</v>
      </c>
      <c r="AF1828" s="48" t="str">
        <f t="shared" si="83"/>
        <v>bryan.r.l@email.com</v>
      </c>
      <c r="AH1828" s="48" t="str">
        <f t="shared" si="84"/>
        <v>Bryan Larsen</v>
      </c>
      <c r="AO1828" s="48">
        <f t="shared" si="85"/>
        <v>1</v>
      </c>
      <c r="AQ1828" s="48">
        <f t="shared" si="86"/>
        <v>0</v>
      </c>
      <c r="AS1828" s="48">
        <f t="shared" si="87"/>
        <v>0</v>
      </c>
      <c r="AU1828" s="48">
        <f t="shared" si="88"/>
        <v>0</v>
      </c>
      <c r="AX1828" s="48">
        <f t="shared" si="89"/>
        <v>0</v>
      </c>
    </row>
    <row r="1829" spans="1:63" ht="13.75" customHeight="1" thickTop="1" thickBot="1" x14ac:dyDescent="0.35">
      <c r="A1829" s="487">
        <v>25</v>
      </c>
      <c r="B1829" s="497" t="s">
        <v>5224</v>
      </c>
      <c r="C1829" s="498" t="s">
        <v>5225</v>
      </c>
      <c r="D1829" s="499" t="s">
        <v>5240</v>
      </c>
      <c r="E1829" s="489" t="s">
        <v>3542</v>
      </c>
      <c r="F1829" s="475"/>
      <c r="AC1829" s="506">
        <f t="shared" si="82"/>
        <v>25</v>
      </c>
      <c r="AD1829" s="48" t="str">
        <f t="shared" si="83"/>
        <v>Emile</v>
      </c>
      <c r="AE1829" s="48" t="str">
        <f t="shared" si="83"/>
        <v>Walker</v>
      </c>
      <c r="AF1829" s="48" t="str">
        <f t="shared" si="83"/>
        <v>walker14@email.com</v>
      </c>
      <c r="AH1829" s="48" t="str">
        <f t="shared" si="84"/>
        <v>Emile Walker</v>
      </c>
      <c r="AO1829" s="48">
        <f t="shared" si="85"/>
        <v>0</v>
      </c>
      <c r="AQ1829" s="48">
        <f t="shared" si="86"/>
        <v>1</v>
      </c>
      <c r="AS1829" s="48">
        <f t="shared" si="87"/>
        <v>0</v>
      </c>
      <c r="AU1829" s="48">
        <f t="shared" si="88"/>
        <v>0</v>
      </c>
      <c r="AX1829" s="48">
        <f t="shared" si="89"/>
        <v>1</v>
      </c>
    </row>
    <row r="1830" spans="1:63" ht="13.75" customHeight="1" thickTop="1" thickBot="1" x14ac:dyDescent="0.35">
      <c r="A1830" s="487">
        <v>26</v>
      </c>
      <c r="B1830" s="497" t="s">
        <v>5226</v>
      </c>
      <c r="C1830" s="498" t="s">
        <v>5227</v>
      </c>
      <c r="D1830" s="499" t="s">
        <v>5241</v>
      </c>
      <c r="E1830" s="489" t="s">
        <v>3543</v>
      </c>
      <c r="F1830" s="475"/>
      <c r="AC1830" s="506">
        <f t="shared" si="82"/>
        <v>26</v>
      </c>
      <c r="AD1830" s="48" t="str">
        <f t="shared" si="83"/>
        <v>Freeda</v>
      </c>
      <c r="AE1830" s="48" t="str">
        <f t="shared" si="83"/>
        <v>Houseman</v>
      </c>
      <c r="AF1830" s="48" t="str">
        <f t="shared" si="83"/>
        <v>freedahousemand@email.com</v>
      </c>
      <c r="AH1830" s="48" t="str">
        <f t="shared" si="84"/>
        <v>Freeda Houseman</v>
      </c>
      <c r="AO1830" s="48">
        <f t="shared" si="85"/>
        <v>0</v>
      </c>
      <c r="AQ1830" s="48">
        <f t="shared" si="86"/>
        <v>0</v>
      </c>
      <c r="AS1830" s="48">
        <f t="shared" si="87"/>
        <v>1</v>
      </c>
      <c r="AU1830" s="48">
        <f t="shared" si="88"/>
        <v>0</v>
      </c>
      <c r="AX1830" s="48">
        <f t="shared" si="89"/>
        <v>1</v>
      </c>
    </row>
    <row r="1831" spans="1:63" ht="13.75" customHeight="1" thickTop="1" thickBot="1" x14ac:dyDescent="0.35">
      <c r="A1831" s="487">
        <v>27</v>
      </c>
      <c r="B1831" s="497" t="s">
        <v>5229</v>
      </c>
      <c r="C1831" s="498" t="s">
        <v>5228</v>
      </c>
      <c r="D1831" s="499" t="s">
        <v>5242</v>
      </c>
      <c r="E1831" s="489" t="s">
        <v>3546</v>
      </c>
      <c r="F1831" s="475"/>
      <c r="AC1831" s="506">
        <f t="shared" si="82"/>
        <v>27</v>
      </c>
      <c r="AD1831" s="48" t="str">
        <f t="shared" si="83"/>
        <v>Del</v>
      </c>
      <c r="AE1831" s="48" t="str">
        <f t="shared" si="83"/>
        <v>Cotter</v>
      </c>
      <c r="AF1831" s="48" t="str">
        <f t="shared" si="83"/>
        <v>delparker@email.com</v>
      </c>
      <c r="AH1831" s="48" t="str">
        <f t="shared" si="84"/>
        <v>Del Cotter</v>
      </c>
      <c r="AO1831" s="48">
        <f t="shared" si="85"/>
        <v>1</v>
      </c>
      <c r="AQ1831" s="48">
        <f t="shared" si="86"/>
        <v>0</v>
      </c>
      <c r="AS1831" s="48">
        <f t="shared" si="87"/>
        <v>0</v>
      </c>
      <c r="AU1831" s="48">
        <f t="shared" si="88"/>
        <v>0</v>
      </c>
      <c r="AX1831" s="48">
        <f t="shared" si="89"/>
        <v>0</v>
      </c>
    </row>
    <row r="1832" spans="1:63" ht="13.75" customHeight="1" thickTop="1" thickBot="1" x14ac:dyDescent="0.35">
      <c r="A1832" s="487">
        <v>28</v>
      </c>
      <c r="B1832" s="497" t="s">
        <v>5243</v>
      </c>
      <c r="C1832" s="498" t="s">
        <v>5244</v>
      </c>
      <c r="D1832" s="499" t="s">
        <v>5245</v>
      </c>
      <c r="E1832" s="489" t="s">
        <v>3542</v>
      </c>
      <c r="F1832" s="475"/>
      <c r="AC1832" s="506">
        <f t="shared" si="82"/>
        <v>28</v>
      </c>
      <c r="AD1832" s="48" t="str">
        <f t="shared" si="83"/>
        <v>Alan</v>
      </c>
      <c r="AE1832" s="48" t="str">
        <f t="shared" si="83"/>
        <v>Marks</v>
      </c>
      <c r="AF1832" s="48" t="str">
        <f t="shared" si="83"/>
        <v>alanmarks@email.com</v>
      </c>
      <c r="AH1832" s="48" t="str">
        <f t="shared" si="84"/>
        <v>Alan Marks</v>
      </c>
      <c r="AO1832" s="48">
        <f t="shared" si="85"/>
        <v>0</v>
      </c>
      <c r="AQ1832" s="48">
        <f t="shared" si="86"/>
        <v>1</v>
      </c>
      <c r="AS1832" s="48">
        <f t="shared" si="87"/>
        <v>0</v>
      </c>
      <c r="AU1832" s="48">
        <f t="shared" si="88"/>
        <v>0</v>
      </c>
      <c r="AX1832" s="48">
        <f t="shared" si="89"/>
        <v>1</v>
      </c>
    </row>
    <row r="1833" spans="1:63" ht="13.75" customHeight="1" thickTop="1" thickBot="1" x14ac:dyDescent="0.35">
      <c r="A1833" s="487">
        <v>29</v>
      </c>
      <c r="B1833" s="497" t="s">
        <v>5246</v>
      </c>
      <c r="C1833" s="498" t="s">
        <v>5247</v>
      </c>
      <c r="D1833" s="499" t="s">
        <v>5259</v>
      </c>
      <c r="E1833" s="489" t="s">
        <v>3542</v>
      </c>
      <c r="F1833" s="475"/>
      <c r="AC1833" s="506">
        <f t="shared" si="82"/>
        <v>29</v>
      </c>
      <c r="AD1833" s="48" t="str">
        <f t="shared" si="83"/>
        <v>Joel</v>
      </c>
      <c r="AE1833" s="48" t="str">
        <f t="shared" si="83"/>
        <v>Johnson</v>
      </c>
      <c r="AF1833" s="48" t="str">
        <f t="shared" si="83"/>
        <v>jjohnson@email.com</v>
      </c>
      <c r="AH1833" s="48" t="str">
        <f t="shared" si="84"/>
        <v>Joel Johnson</v>
      </c>
      <c r="AO1833" s="48">
        <f t="shared" si="85"/>
        <v>0</v>
      </c>
      <c r="AQ1833" s="48">
        <f t="shared" si="86"/>
        <v>1</v>
      </c>
      <c r="AS1833" s="48">
        <f t="shared" si="87"/>
        <v>0</v>
      </c>
      <c r="AU1833" s="48">
        <f t="shared" si="88"/>
        <v>0</v>
      </c>
      <c r="AX1833" s="48">
        <f t="shared" si="89"/>
        <v>1</v>
      </c>
    </row>
    <row r="1834" spans="1:63" ht="13.75" customHeight="1" thickTop="1" thickBot="1" x14ac:dyDescent="0.35">
      <c r="A1834" s="487">
        <v>30</v>
      </c>
      <c r="B1834" s="497" t="s">
        <v>3527</v>
      </c>
      <c r="C1834" s="498" t="s">
        <v>5248</v>
      </c>
      <c r="D1834" s="499" t="s">
        <v>5260</v>
      </c>
      <c r="E1834" s="489" t="s">
        <v>3546</v>
      </c>
      <c r="F1834" s="475"/>
      <c r="AC1834" s="506">
        <f t="shared" si="82"/>
        <v>30</v>
      </c>
      <c r="AD1834" s="48" t="str">
        <f t="shared" si="83"/>
        <v>Lisa</v>
      </c>
      <c r="AE1834" s="48" t="str">
        <f t="shared" si="83"/>
        <v>Patterson</v>
      </c>
      <c r="AF1834" s="48" t="str">
        <f t="shared" si="83"/>
        <v>lisapattersonmiller@email.com</v>
      </c>
      <c r="AH1834" s="48" t="str">
        <f t="shared" si="84"/>
        <v>Lisa Patterson</v>
      </c>
      <c r="AO1834" s="48">
        <f t="shared" si="85"/>
        <v>1</v>
      </c>
      <c r="AQ1834" s="48">
        <f t="shared" si="86"/>
        <v>0</v>
      </c>
      <c r="AS1834" s="48">
        <f t="shared" si="87"/>
        <v>0</v>
      </c>
      <c r="AU1834" s="48">
        <f t="shared" si="88"/>
        <v>0</v>
      </c>
      <c r="AX1834" s="48">
        <f t="shared" si="89"/>
        <v>0</v>
      </c>
    </row>
    <row r="1835" spans="1:63" ht="13.75" customHeight="1" thickTop="1" thickBot="1" x14ac:dyDescent="0.35">
      <c r="A1835" s="487">
        <v>31</v>
      </c>
      <c r="B1835" s="497" t="s">
        <v>5251</v>
      </c>
      <c r="C1835" s="498" t="s">
        <v>3169</v>
      </c>
      <c r="D1835" s="499" t="s">
        <v>5261</v>
      </c>
      <c r="E1835" s="489" t="s">
        <v>3542</v>
      </c>
      <c r="F1835" s="475"/>
      <c r="AC1835" s="506">
        <f t="shared" si="82"/>
        <v>31</v>
      </c>
      <c r="AD1835" s="48" t="str">
        <f t="shared" si="83"/>
        <v>Jennifer</v>
      </c>
      <c r="AE1835" s="48" t="str">
        <f t="shared" si="83"/>
        <v>Norton</v>
      </c>
      <c r="AF1835" s="48" t="str">
        <f t="shared" si="83"/>
        <v>jennynorton@email.com</v>
      </c>
      <c r="AH1835" s="48" t="str">
        <f t="shared" si="84"/>
        <v>Jennifer Norton</v>
      </c>
      <c r="AO1835" s="48">
        <f t="shared" si="85"/>
        <v>0</v>
      </c>
      <c r="AQ1835" s="48">
        <f t="shared" si="86"/>
        <v>1</v>
      </c>
      <c r="AS1835" s="48">
        <f t="shared" si="87"/>
        <v>0</v>
      </c>
      <c r="AU1835" s="48">
        <f t="shared" si="88"/>
        <v>0</v>
      </c>
      <c r="AX1835" s="48">
        <f t="shared" si="89"/>
        <v>1</v>
      </c>
    </row>
    <row r="1836" spans="1:63" ht="13.75" customHeight="1" thickTop="1" thickBot="1" x14ac:dyDescent="0.35">
      <c r="A1836" s="487">
        <v>32</v>
      </c>
      <c r="B1836" s="497" t="s">
        <v>5273</v>
      </c>
      <c r="C1836" s="498" t="s">
        <v>5274</v>
      </c>
      <c r="D1836" s="499" t="s">
        <v>5275</v>
      </c>
      <c r="E1836" s="489" t="s">
        <v>3543</v>
      </c>
      <c r="F1836" s="475"/>
      <c r="AC1836" s="506">
        <f t="shared" si="82"/>
        <v>32</v>
      </c>
      <c r="AD1836" s="48" t="str">
        <f t="shared" si="83"/>
        <v>Abdul</v>
      </c>
      <c r="AE1836" s="48" t="str">
        <f t="shared" si="83"/>
        <v>Said</v>
      </c>
      <c r="AF1836" s="48" t="str">
        <f t="shared" si="83"/>
        <v>saidenterprises@email.com</v>
      </c>
      <c r="AH1836" s="48" t="str">
        <f t="shared" si="84"/>
        <v>Abdul Said</v>
      </c>
      <c r="AO1836" s="48">
        <f t="shared" si="85"/>
        <v>0</v>
      </c>
      <c r="AQ1836" s="48">
        <f t="shared" si="86"/>
        <v>0</v>
      </c>
      <c r="AS1836" s="48">
        <f t="shared" si="87"/>
        <v>1</v>
      </c>
      <c r="AU1836" s="48">
        <f t="shared" si="88"/>
        <v>0</v>
      </c>
      <c r="AX1836" s="48">
        <f t="shared" si="89"/>
        <v>1</v>
      </c>
    </row>
    <row r="1837" spans="1:63" ht="13.75" customHeight="1" thickTop="1" thickBot="1" x14ac:dyDescent="0.35">
      <c r="A1837" s="487">
        <v>33</v>
      </c>
      <c r="B1837" s="497" t="s">
        <v>5252</v>
      </c>
      <c r="C1837" s="498" t="s">
        <v>5253</v>
      </c>
      <c r="D1837" s="499" t="s">
        <v>5263</v>
      </c>
      <c r="E1837" s="489" t="s">
        <v>3542</v>
      </c>
      <c r="F1837" s="475"/>
      <c r="AC1837" s="506">
        <f t="shared" si="82"/>
        <v>33</v>
      </c>
      <c r="AD1837" s="48" t="str">
        <f t="shared" si="83"/>
        <v>Genelle</v>
      </c>
      <c r="AE1837" s="48" t="str">
        <f t="shared" si="83"/>
        <v>Nixon</v>
      </c>
      <c r="AF1837" s="48" t="str">
        <f t="shared" si="83"/>
        <v>genellenixon@email.com</v>
      </c>
      <c r="AH1837" s="48" t="str">
        <f t="shared" si="84"/>
        <v>Genelle Nixon</v>
      </c>
      <c r="AO1837" s="48">
        <f t="shared" si="85"/>
        <v>0</v>
      </c>
      <c r="AQ1837" s="48">
        <f t="shared" si="86"/>
        <v>1</v>
      </c>
      <c r="AS1837" s="48">
        <f t="shared" si="87"/>
        <v>0</v>
      </c>
      <c r="AU1837" s="48">
        <f t="shared" si="88"/>
        <v>0</v>
      </c>
      <c r="AX1837" s="48">
        <f t="shared" si="89"/>
        <v>1</v>
      </c>
    </row>
    <row r="1838" spans="1:63" ht="13.75" customHeight="1" thickTop="1" thickBot="1" x14ac:dyDescent="0.35">
      <c r="A1838" s="487">
        <v>34</v>
      </c>
      <c r="B1838" s="497" t="s">
        <v>5254</v>
      </c>
      <c r="C1838" s="498" t="s">
        <v>5255</v>
      </c>
      <c r="D1838" s="499" t="s">
        <v>5264</v>
      </c>
      <c r="E1838" s="489" t="s">
        <v>3543</v>
      </c>
      <c r="F1838" s="475"/>
      <c r="AC1838" s="506">
        <f t="shared" si="82"/>
        <v>34</v>
      </c>
      <c r="AD1838" s="48" t="str">
        <f t="shared" si="83"/>
        <v>Howard</v>
      </c>
      <c r="AE1838" s="48" t="str">
        <f t="shared" si="83"/>
        <v>Freed</v>
      </c>
      <c r="AF1838" s="48" t="str">
        <f t="shared" si="83"/>
        <v>h.w.freed@email.com</v>
      </c>
      <c r="AH1838" s="48" t="str">
        <f t="shared" si="84"/>
        <v>Howard Freed</v>
      </c>
      <c r="AO1838" s="48">
        <f t="shared" si="85"/>
        <v>0</v>
      </c>
      <c r="AQ1838" s="48">
        <f t="shared" si="86"/>
        <v>0</v>
      </c>
      <c r="AS1838" s="48">
        <f t="shared" si="87"/>
        <v>1</v>
      </c>
      <c r="AU1838" s="48">
        <f t="shared" si="88"/>
        <v>0</v>
      </c>
      <c r="AX1838" s="48">
        <f t="shared" si="89"/>
        <v>1</v>
      </c>
      <c r="BK1838" s="535" t="s">
        <v>910</v>
      </c>
    </row>
    <row r="1839" spans="1:63" ht="13.75" customHeight="1" thickTop="1" thickBot="1" x14ac:dyDescent="0.35">
      <c r="A1839" s="487">
        <v>35</v>
      </c>
      <c r="B1839" s="497" t="s">
        <v>5256</v>
      </c>
      <c r="C1839" s="498" t="s">
        <v>5211</v>
      </c>
      <c r="D1839" s="499" t="s">
        <v>5265</v>
      </c>
      <c r="E1839" s="489" t="s">
        <v>3546</v>
      </c>
      <c r="F1839" s="475"/>
      <c r="AC1839" s="506">
        <f t="shared" si="82"/>
        <v>35</v>
      </c>
      <c r="AD1839" s="48" t="str">
        <f t="shared" si="83"/>
        <v>Aliya</v>
      </c>
      <c r="AE1839" s="48" t="str">
        <f t="shared" si="83"/>
        <v>Parks</v>
      </c>
      <c r="AF1839" s="48" t="str">
        <f t="shared" si="83"/>
        <v>aparks@email.com</v>
      </c>
      <c r="AH1839" s="48" t="str">
        <f t="shared" si="84"/>
        <v>Aliya Parks</v>
      </c>
      <c r="AO1839" s="48">
        <f t="shared" si="85"/>
        <v>1</v>
      </c>
      <c r="AQ1839" s="48">
        <f t="shared" si="86"/>
        <v>0</v>
      </c>
      <c r="AS1839" s="48">
        <f t="shared" si="87"/>
        <v>0</v>
      </c>
      <c r="AU1839" s="48">
        <f t="shared" si="88"/>
        <v>0</v>
      </c>
      <c r="AX1839" s="48">
        <f t="shared" si="89"/>
        <v>0</v>
      </c>
      <c r="BK1839" s="536" t="s">
        <v>19</v>
      </c>
    </row>
    <row r="1840" spans="1:63" ht="13.75" customHeight="1" thickTop="1" thickBot="1" x14ac:dyDescent="0.35">
      <c r="A1840" s="487">
        <v>36</v>
      </c>
      <c r="B1840" s="497" t="s">
        <v>5257</v>
      </c>
      <c r="C1840" s="498" t="s">
        <v>5258</v>
      </c>
      <c r="D1840" s="499" t="s">
        <v>5266</v>
      </c>
      <c r="E1840" s="489" t="s">
        <v>3542</v>
      </c>
      <c r="F1840" s="475"/>
      <c r="AC1840" s="506">
        <f t="shared" si="82"/>
        <v>36</v>
      </c>
      <c r="AD1840" s="48" t="str">
        <f t="shared" si="83"/>
        <v>Randy</v>
      </c>
      <c r="AE1840" s="48" t="str">
        <f t="shared" si="83"/>
        <v>Zylstra</v>
      </c>
      <c r="AF1840" s="48" t="str">
        <f t="shared" si="83"/>
        <v>zylstra56@email.com</v>
      </c>
      <c r="AH1840" s="48" t="str">
        <f t="shared" si="84"/>
        <v>Randy Zylstra</v>
      </c>
      <c r="AO1840" s="48">
        <f t="shared" si="85"/>
        <v>0</v>
      </c>
      <c r="AQ1840" s="48">
        <f t="shared" si="86"/>
        <v>1</v>
      </c>
      <c r="AS1840" s="48">
        <f t="shared" si="87"/>
        <v>0</v>
      </c>
      <c r="AU1840" s="48">
        <f t="shared" si="88"/>
        <v>0</v>
      </c>
      <c r="AX1840" s="48">
        <f t="shared" si="89"/>
        <v>1</v>
      </c>
      <c r="BK1840" s="536" t="s">
        <v>52</v>
      </c>
    </row>
    <row r="1841" spans="1:63" ht="13.75" customHeight="1" thickTop="1" thickBot="1" x14ac:dyDescent="0.35">
      <c r="A1841" s="487">
        <v>37</v>
      </c>
      <c r="B1841" s="497" t="s">
        <v>5267</v>
      </c>
      <c r="C1841" s="498" t="s">
        <v>5268</v>
      </c>
      <c r="D1841" s="499" t="s">
        <v>5276</v>
      </c>
      <c r="E1841" s="489" t="s">
        <v>3546</v>
      </c>
      <c r="F1841" s="475"/>
      <c r="AC1841" s="506">
        <f t="shared" si="82"/>
        <v>37</v>
      </c>
      <c r="AD1841" s="48" t="str">
        <f t="shared" si="83"/>
        <v>Johnny</v>
      </c>
      <c r="AE1841" s="48" t="str">
        <f t="shared" si="83"/>
        <v>Waters</v>
      </c>
      <c r="AF1841" s="48" t="str">
        <f t="shared" si="83"/>
        <v>jwaters1@email.com</v>
      </c>
      <c r="AH1841" s="48" t="str">
        <f t="shared" si="84"/>
        <v>Johnny Waters</v>
      </c>
      <c r="AO1841" s="48">
        <f t="shared" si="85"/>
        <v>1</v>
      </c>
      <c r="AQ1841" s="48">
        <f t="shared" si="86"/>
        <v>0</v>
      </c>
      <c r="AS1841" s="48">
        <f t="shared" si="87"/>
        <v>0</v>
      </c>
      <c r="AU1841" s="48">
        <f t="shared" si="88"/>
        <v>0</v>
      </c>
      <c r="AX1841" s="48">
        <f t="shared" si="89"/>
        <v>0</v>
      </c>
      <c r="BK1841" s="536" t="s">
        <v>56</v>
      </c>
    </row>
    <row r="1842" spans="1:63" ht="13.75" customHeight="1" thickTop="1" thickBot="1" x14ac:dyDescent="0.35">
      <c r="A1842" s="487">
        <v>38</v>
      </c>
      <c r="B1842" s="497" t="s">
        <v>5270</v>
      </c>
      <c r="C1842" s="498" t="s">
        <v>5269</v>
      </c>
      <c r="D1842" s="499" t="s">
        <v>5277</v>
      </c>
      <c r="E1842" s="489" t="s">
        <v>3542</v>
      </c>
      <c r="F1842" s="475"/>
      <c r="AC1842" s="506">
        <f t="shared" si="82"/>
        <v>38</v>
      </c>
      <c r="AD1842" s="48" t="str">
        <f t="shared" si="83"/>
        <v>Wanda</v>
      </c>
      <c r="AE1842" s="48" t="str">
        <f t="shared" si="83"/>
        <v>Hamilton</v>
      </c>
      <c r="AF1842" s="48" t="str">
        <f t="shared" si="83"/>
        <v>whamilton@email.com</v>
      </c>
      <c r="AH1842" s="48" t="str">
        <f t="shared" si="84"/>
        <v>Wanda Hamilton</v>
      </c>
      <c r="AO1842" s="48">
        <f t="shared" si="85"/>
        <v>0</v>
      </c>
      <c r="AQ1842" s="48">
        <f t="shared" si="86"/>
        <v>1</v>
      </c>
      <c r="AS1842" s="48">
        <f t="shared" si="87"/>
        <v>0</v>
      </c>
      <c r="AU1842" s="48">
        <f t="shared" si="88"/>
        <v>0</v>
      </c>
      <c r="AX1842" s="48">
        <f t="shared" si="89"/>
        <v>1</v>
      </c>
      <c r="BK1842" s="536" t="s">
        <v>57</v>
      </c>
    </row>
    <row r="1843" spans="1:63" ht="13.75" customHeight="1" thickTop="1" thickBot="1" x14ac:dyDescent="0.35">
      <c r="A1843" s="487">
        <v>39</v>
      </c>
      <c r="B1843" s="497" t="s">
        <v>5271</v>
      </c>
      <c r="C1843" s="498" t="s">
        <v>5272</v>
      </c>
      <c r="D1843" s="499" t="s">
        <v>5278</v>
      </c>
      <c r="E1843" s="489" t="s">
        <v>3542</v>
      </c>
      <c r="F1843" s="475"/>
      <c r="AC1843" s="506">
        <f t="shared" si="82"/>
        <v>39</v>
      </c>
      <c r="AD1843" s="48" t="str">
        <f t="shared" si="83"/>
        <v>Juanita</v>
      </c>
      <c r="AE1843" s="48" t="str">
        <f t="shared" si="83"/>
        <v>Rodriguez</v>
      </c>
      <c r="AF1843" s="48" t="str">
        <f t="shared" si="83"/>
        <v>jmrodriguez@email.com</v>
      </c>
      <c r="AH1843" s="48" t="str">
        <f t="shared" si="84"/>
        <v>Juanita Rodriguez</v>
      </c>
      <c r="AO1843" s="48">
        <f t="shared" si="85"/>
        <v>0</v>
      </c>
      <c r="AQ1843" s="48">
        <f t="shared" si="86"/>
        <v>1</v>
      </c>
      <c r="AS1843" s="48">
        <f t="shared" si="87"/>
        <v>0</v>
      </c>
      <c r="AU1843" s="48">
        <f t="shared" si="88"/>
        <v>0</v>
      </c>
      <c r="AX1843" s="48">
        <f t="shared" si="89"/>
        <v>1</v>
      </c>
      <c r="BK1843" s="536" t="s">
        <v>911</v>
      </c>
    </row>
    <row r="1844" spans="1:63" ht="13.75" customHeight="1" thickTop="1" thickBot="1" x14ac:dyDescent="0.35">
      <c r="A1844" s="487">
        <v>40</v>
      </c>
      <c r="B1844" s="497" t="s">
        <v>5249</v>
      </c>
      <c r="C1844" s="498" t="s">
        <v>5250</v>
      </c>
      <c r="D1844" s="499" t="s">
        <v>5262</v>
      </c>
      <c r="E1844" s="489" t="s">
        <v>3546</v>
      </c>
      <c r="F1844" s="475"/>
      <c r="AC1844" s="506">
        <f t="shared" si="82"/>
        <v>40</v>
      </c>
      <c r="AD1844" s="48" t="str">
        <f t="shared" si="83"/>
        <v>Peter</v>
      </c>
      <c r="AE1844" s="48" t="str">
        <f t="shared" si="83"/>
        <v>Randall</v>
      </c>
      <c r="AF1844" s="48" t="str">
        <f t="shared" si="83"/>
        <v>peterrandall@email.com</v>
      </c>
      <c r="AH1844" s="48" t="str">
        <f t="shared" si="84"/>
        <v>Peter Randall</v>
      </c>
      <c r="AO1844" s="48">
        <f t="shared" si="85"/>
        <v>1</v>
      </c>
      <c r="AQ1844" s="48">
        <f t="shared" si="86"/>
        <v>0</v>
      </c>
      <c r="AS1844" s="48">
        <f t="shared" si="87"/>
        <v>0</v>
      </c>
      <c r="AU1844" s="48">
        <f t="shared" si="88"/>
        <v>0</v>
      </c>
      <c r="AX1844" s="48">
        <f t="shared" si="89"/>
        <v>0</v>
      </c>
    </row>
    <row r="1845" spans="1:63" ht="13.75" customHeight="1" x14ac:dyDescent="0.3">
      <c r="A1845" s="485"/>
      <c r="B1845" s="485"/>
      <c r="C1845" s="485"/>
      <c r="D1845" s="485"/>
      <c r="E1845" s="485"/>
      <c r="F1845" s="475"/>
      <c r="AO1845" s="52">
        <f>SUM(AO1805:AO1844)</f>
        <v>10</v>
      </c>
      <c r="AP1845" s="48" t="str">
        <f>AO1804</f>
        <v>d</v>
      </c>
      <c r="AQ1845" s="52">
        <f>SUM(AQ1805:AQ1844)</f>
        <v>11</v>
      </c>
      <c r="AR1845" s="48" t="str">
        <f>AQ1804</f>
        <v>f</v>
      </c>
      <c r="AS1845" s="52">
        <f>SUM(AS1805:AS1844)</f>
        <v>19</v>
      </c>
      <c r="AT1845" s="48" t="str">
        <f>AS1804</f>
        <v>s</v>
      </c>
      <c r="AU1845" s="52">
        <f>SUM(AU1805:AU1844)</f>
        <v>0</v>
      </c>
      <c r="AV1845" s="48" t="str">
        <f>AU1804</f>
        <v>n</v>
      </c>
      <c r="AX1845" s="52">
        <f>SUM(AX1805:AX1844)</f>
        <v>30</v>
      </c>
    </row>
    <row r="1846" spans="1:63" ht="30" customHeight="1" x14ac:dyDescent="0.3">
      <c r="A1846" s="862" t="s">
        <v>82</v>
      </c>
      <c r="B1846" s="862" t="s">
        <v>5286</v>
      </c>
      <c r="C1846" s="862"/>
      <c r="D1846" s="872"/>
      <c r="E1846" s="864"/>
      <c r="F1846" s="864"/>
      <c r="AO1846" s="52"/>
      <c r="AQ1846" s="52"/>
      <c r="AS1846" s="52"/>
      <c r="AU1846" s="52"/>
    </row>
    <row r="1847" spans="1:63" ht="13.75" customHeight="1" x14ac:dyDescent="0.3">
      <c r="A1847" s="833" t="s">
        <v>5306</v>
      </c>
      <c r="B1847" s="485"/>
      <c r="C1847" s="485"/>
      <c r="D1847" s="485"/>
      <c r="E1847" s="485"/>
      <c r="F1847" s="475"/>
      <c r="AO1847" s="52"/>
      <c r="AQ1847" s="52"/>
      <c r="AS1847" s="52"/>
      <c r="AU1847" s="52"/>
      <c r="BB1847" s="48"/>
    </row>
    <row r="1848" spans="1:63" ht="20" customHeight="1" x14ac:dyDescent="0.3">
      <c r="A1848" s="485"/>
      <c r="B1848" s="485"/>
      <c r="C1848" s="886" t="s">
        <v>5279</v>
      </c>
      <c r="D1848" s="886" t="s">
        <v>5280</v>
      </c>
      <c r="E1848" s="815"/>
      <c r="F1848" s="475"/>
      <c r="AO1848" s="52"/>
      <c r="AQ1848" s="52"/>
      <c r="AS1848" s="52"/>
      <c r="AU1848" s="52"/>
    </row>
    <row r="1849" spans="1:63" ht="15" customHeight="1" x14ac:dyDescent="0.3">
      <c r="A1849" s="485"/>
      <c r="B1849" s="819" t="s">
        <v>5291</v>
      </c>
      <c r="C1849" s="1130" t="str">
        <f>AG1849</f>
        <v>Asexual transperson registered for life as a sex offender</v>
      </c>
      <c r="D1849" s="1132" t="str">
        <f>AG1850</f>
        <v>Asexual transperson registered for life as a sex offender</v>
      </c>
      <c r="E1849" s="1133"/>
      <c r="F1849" s="475"/>
      <c r="AE1849" s="821" t="str">
        <f>B1849</f>
        <v>Cold open</v>
      </c>
      <c r="AF1849" s="818" t="s">
        <v>62</v>
      </c>
      <c r="AG1849" s="817" t="str">
        <f>CONCATENATE(AI1849,AJ1849,AK1849)</f>
        <v>Asexual transperson registered for life as a sex offender</v>
      </c>
      <c r="AI1849" s="48" t="str">
        <f>IF(C$922=AG$921,"ENTER TAGLINE ABOVE",C$922)</f>
        <v>Asexual transperson registered for life as a sex offender</v>
      </c>
      <c r="AO1849" s="52"/>
      <c r="AQ1849" s="52"/>
      <c r="AS1849" s="52"/>
      <c r="AU1849" s="52"/>
      <c r="BB1849" s="109" t="s">
        <v>5281</v>
      </c>
      <c r="BD1849" s="48" t="s">
        <v>4232</v>
      </c>
    </row>
    <row r="1850" spans="1:63" ht="15" customHeight="1" x14ac:dyDescent="0.3">
      <c r="A1850" s="485"/>
      <c r="B1850" s="819"/>
      <c r="C1850" s="1131"/>
      <c r="D1850" s="1134"/>
      <c r="E1850" s="1135"/>
      <c r="F1850" s="475"/>
      <c r="AF1850" s="818" t="s">
        <v>5288</v>
      </c>
      <c r="AG1850" s="816" t="str">
        <f>CONCATENATE(AI1850,AJ1850,AK1850)</f>
        <v>Asexual transperson registered for life as a sex offender</v>
      </c>
      <c r="AI1850" s="48" t="str">
        <f>IF(C$922=AG$921,"ENTER TAGLINE ABOVE",C$922)</f>
        <v>Asexual transperson registered for life as a sex offender</v>
      </c>
      <c r="AO1850" s="52"/>
      <c r="AQ1850" s="52"/>
      <c r="AS1850" s="52"/>
      <c r="AU1850" s="52"/>
      <c r="BB1850" s="109" t="s">
        <v>5282</v>
      </c>
      <c r="BD1850" s="48" t="s">
        <v>3547</v>
      </c>
    </row>
    <row r="1851" spans="1:63" ht="15" customHeight="1" x14ac:dyDescent="0.3">
      <c r="A1851" s="485"/>
      <c r="B1851" s="819"/>
      <c r="C1851" s="1136" t="str">
        <f>AG1851</f>
        <v>Compared to those already exonerated, Steph Turner shows an 86% chance of being actually innocent. While few felons claim “actual innocence”, Steph’s case shows signs of a grave miscarriage of justice.</v>
      </c>
      <c r="D1851" s="1139" t="str">
        <f>AG1852</f>
        <v>86% strong claim of actual innocence</v>
      </c>
      <c r="E1851" s="1140"/>
      <c r="F1851" s="475"/>
      <c r="AF1851" s="818" t="s">
        <v>62</v>
      </c>
      <c r="AG1851" s="817" t="str">
        <f>CONCATENATE(AI1851,AJ1851,AK1851,AL1851,AM1851,AN1851,AO1851,AP1851,AQ1851,AR1851,AS1851,AT1851)</f>
        <v>Compared to those already exonerated, Steph Turner shows an 86% chance of being actually innocent. While few felons claim “actual innocence”, Steph’s case shows signs of a grave miscarriage of justice.</v>
      </c>
      <c r="AI1851" s="48" t="s">
        <v>5312</v>
      </c>
      <c r="AJ1851" s="48" t="str">
        <f>BG202</f>
        <v>Steph Turner</v>
      </c>
      <c r="AK1851" s="48" t="s">
        <v>5363</v>
      </c>
      <c r="AL1851" s="48" t="str">
        <f>IF(AM1851=8,"an ",IF(AM1851=18,"an ",IF(AND(AM1851&gt;=80,AM1851&lt;=89),"an ","a ")))</f>
        <v xml:space="preserve">an </v>
      </c>
      <c r="AM1851" s="386">
        <f>AI1984</f>
        <v>86</v>
      </c>
      <c r="AN1851" s="48" t="s">
        <v>5313</v>
      </c>
      <c r="AO1851" s="233" t="str">
        <f>I2916</f>
        <v>felon</v>
      </c>
      <c r="AP1851" s="48" t="s">
        <v>5318</v>
      </c>
      <c r="AQ1851" s="48" t="str">
        <f>AN202</f>
        <v>Steph</v>
      </c>
      <c r="AR1851" s="48" t="s">
        <v>5314</v>
      </c>
      <c r="AT1851" s="52"/>
      <c r="AV1851" s="52"/>
      <c r="BB1851" s="109" t="s">
        <v>5283</v>
      </c>
      <c r="BD1851" s="48" t="s">
        <v>5287</v>
      </c>
    </row>
    <row r="1852" spans="1:63" ht="15" customHeight="1" x14ac:dyDescent="0.3">
      <c r="A1852" s="485"/>
      <c r="B1852" s="819"/>
      <c r="C1852" s="1137"/>
      <c r="D1852" s="1134"/>
      <c r="E1852" s="1135"/>
      <c r="F1852" s="475"/>
      <c r="AF1852" s="818" t="s">
        <v>5288</v>
      </c>
      <c r="AG1852" s="816" t="str">
        <f>CONCATENATE(AI1852,AJ1852,AK1852,AL1852,AM1852)</f>
        <v>86% strong claim of actual innocence</v>
      </c>
      <c r="AI1852" s="386">
        <f>AM1851</f>
        <v>86</v>
      </c>
      <c r="AJ1852" s="48" t="s">
        <v>5361</v>
      </c>
      <c r="AK1852" s="48" t="str">
        <f>IF(BG51="","chance",BG51)</f>
        <v>strong claim</v>
      </c>
      <c r="AL1852" s="48" t="s">
        <v>5319</v>
      </c>
      <c r="AO1852" s="52"/>
      <c r="AQ1852" s="52"/>
      <c r="AS1852" s="52"/>
      <c r="AU1852" s="52"/>
      <c r="BB1852" s="109" t="s">
        <v>5284</v>
      </c>
      <c r="BD1852" s="48" t="s">
        <v>3509</v>
      </c>
    </row>
    <row r="1853" spans="1:63" ht="15" customHeight="1" x14ac:dyDescent="0.3">
      <c r="A1853" s="485"/>
      <c r="B1853" s="819"/>
      <c r="C1853" s="1138"/>
      <c r="D1853" s="1141"/>
      <c r="E1853" s="1142"/>
      <c r="F1853" s="475"/>
      <c r="AO1853" s="52"/>
      <c r="AQ1853" s="52"/>
      <c r="AS1853" s="52"/>
      <c r="AU1853" s="52"/>
      <c r="BB1853" s="109" t="s">
        <v>5285</v>
      </c>
      <c r="BD1853" s="48" t="s">
        <v>4236</v>
      </c>
    </row>
    <row r="1854" spans="1:63" ht="15" customHeight="1" x14ac:dyDescent="0.3">
      <c r="A1854" s="485"/>
      <c r="B1854" s="819" t="s">
        <v>5290</v>
      </c>
      <c r="C1854" s="1136" t="str">
        <f>AI1854</f>
        <v>Asexual person comes out as transgender in early 90s, gets falsely accused as being a “sexual predator” homophobic stereotype. Convicted without evidence. Must register as sex offender for life. Forced into poverty and homelessness.</v>
      </c>
      <c r="D1854" s="1139" t="str">
        <f>AG1855</f>
        <v>text of synopsis over moving background image of courtroom</v>
      </c>
      <c r="E1854" s="826"/>
      <c r="F1854" s="475"/>
      <c r="AE1854" s="821" t="str">
        <f>B1854</f>
        <v>Synopsis</v>
      </c>
      <c r="AF1854" s="818" t="s">
        <v>62</v>
      </c>
      <c r="AG1854" s="817" t="str">
        <f>CONCATENATE(AI1854,AJ1854,AK1854,AL1854,AM1854,AN1854,AO1854,AP1854,AQ1854,AR1854,AS1854,AT1854,AU1854,AV1854,AX1854,AY1854,AZ1854,BA1854,BB1854,BC1854)</f>
        <v>Asexual person comes out as transgender in early 90s, gets falsely accused as being a “sexual predator” homophobic stereotype. Convicted without evidence. Must register as sex offender for life. Forced into poverty and homelessness.</v>
      </c>
      <c r="AI1854" s="48" t="str">
        <f>IF(B909="","ENTER SYNOPSIS ABOVE",B909)</f>
        <v>Asexual person comes out as transgender in early 90s, gets falsely accused as being a “sexual predator” homophobic stereotype. Convicted without evidence. Must register as sex offender for life. Forced into poverty and homelessness.</v>
      </c>
      <c r="AO1854" s="52"/>
      <c r="AQ1854" s="52"/>
      <c r="AS1854" s="52"/>
      <c r="AU1854" s="52"/>
    </row>
    <row r="1855" spans="1:63" ht="15" customHeight="1" x14ac:dyDescent="0.3">
      <c r="A1855" s="485"/>
      <c r="B1855" s="819"/>
      <c r="C1855" s="1137"/>
      <c r="D1855" s="1134"/>
      <c r="E1855" s="826"/>
      <c r="F1855" s="475"/>
      <c r="AF1855" s="818" t="s">
        <v>5288</v>
      </c>
      <c r="AG1855" s="816" t="str">
        <f>CONCATENATE(AI1855,AJ1855,AK1855,AL1855,AM1855,AN1855,AO1855,AP1855,AQ1855,AR1855,AS1855,AT1855,AU1855,AV1855,AX1855,AY1855,AZ1855,BA1855,BB1855,BC1855)</f>
        <v>text of synopsis over moving background image of courtroom</v>
      </c>
      <c r="AI1855" s="48" t="s">
        <v>5307</v>
      </c>
      <c r="AO1855" s="52"/>
      <c r="AQ1855" s="52"/>
      <c r="AS1855" s="52"/>
      <c r="AU1855" s="52"/>
    </row>
    <row r="1856" spans="1:63" ht="15" customHeight="1" x14ac:dyDescent="0.3">
      <c r="A1856" s="485"/>
      <c r="B1856" s="819"/>
      <c r="C1856" s="1137"/>
      <c r="D1856" s="1134"/>
      <c r="E1856" s="826"/>
      <c r="F1856" s="475"/>
      <c r="AO1856" s="52"/>
      <c r="AQ1856" s="52"/>
      <c r="AS1856" s="52"/>
      <c r="AU1856" s="52"/>
    </row>
    <row r="1857" spans="1:60" ht="12" customHeight="1" x14ac:dyDescent="0.3">
      <c r="A1857" s="485"/>
      <c r="B1857" s="819" t="s">
        <v>5289</v>
      </c>
      <c r="C1857" s="823" t="s">
        <v>376</v>
      </c>
      <c r="D1857" s="827" t="str">
        <f>C1857</f>
        <v>No criminal history</v>
      </c>
      <c r="E1857" s="826"/>
      <c r="F1857" s="475"/>
      <c r="AO1857" s="52"/>
      <c r="AQ1857" s="52"/>
      <c r="AS1857" s="52"/>
      <c r="AU1857" s="52"/>
    </row>
    <row r="1858" spans="1:60" ht="12" customHeight="1" x14ac:dyDescent="0.3">
      <c r="A1858" s="485"/>
      <c r="B1858" s="819"/>
      <c r="C1858" s="823" t="s">
        <v>531</v>
      </c>
      <c r="D1858" s="827" t="str">
        <f>C1858</f>
        <v>Transphobic investigation and prosecution</v>
      </c>
      <c r="E1858" s="826"/>
      <c r="F1858" s="475"/>
      <c r="AO1858" s="52"/>
      <c r="AQ1858" s="52"/>
      <c r="AS1858" s="52"/>
      <c r="AU1858" s="52"/>
    </row>
    <row r="1859" spans="1:60" ht="12" customHeight="1" x14ac:dyDescent="0.3">
      <c r="A1859" s="485"/>
      <c r="B1859" s="819"/>
      <c r="C1859" s="823" t="s">
        <v>535</v>
      </c>
      <c r="D1859" s="827" t="str">
        <f>C1859</f>
        <v>Climate of sex abuse hysteria</v>
      </c>
      <c r="E1859" s="826"/>
      <c r="F1859" s="475"/>
      <c r="AO1859" s="52"/>
      <c r="AQ1859" s="52"/>
      <c r="AS1859" s="52"/>
      <c r="AU1859" s="52"/>
    </row>
    <row r="1860" spans="1:60" ht="15" customHeight="1" x14ac:dyDescent="0.3">
      <c r="A1860" s="485"/>
      <c r="B1860" s="819" t="s">
        <v>5301</v>
      </c>
      <c r="C1860" s="1137" t="str">
        <f>AG1860</f>
        <v>Nobody is perfect. Steph can admit some imperfections. 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D1860" s="1134" t="str">
        <f>AG1861</f>
        <v>It is now easer for the accused to admit to their imperfections than for police and prosecutors to admit theirs.</v>
      </c>
      <c r="E1860" s="826"/>
      <c r="F1860" s="475"/>
      <c r="AE1860" s="821" t="str">
        <f>B1860</f>
        <v>Humbly admit</v>
      </c>
      <c r="AF1860" s="818" t="s">
        <v>62</v>
      </c>
      <c r="AG1860" s="817" t="str">
        <f>CONCATENATE(AI1860,AJ1860,AK1860,AL1860,AM1860,AN1860,AO1860,AP1860,AQ1860,AR1860,AS1860,AT1860,AU1860,AV1860,AX1860,AY1860,AZ1860,BA1860,BB1860,BC1860)</f>
        <v>Nobody is perfect. Steph can admit some imperfections. 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AI1860" s="48" t="s">
        <v>5320</v>
      </c>
      <c r="AJ1860" s="48" t="str">
        <f>AN202</f>
        <v>Steph</v>
      </c>
      <c r="AK1860" s="48" t="s">
        <v>5321</v>
      </c>
      <c r="AL1860" s="48" t="str">
        <f>IF(B926="","",B926)</f>
        <v>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AO1860" s="52"/>
      <c r="AQ1860" s="52"/>
      <c r="AS1860" s="52"/>
      <c r="AU1860" s="52"/>
    </row>
    <row r="1861" spans="1:60" ht="15" customHeight="1" x14ac:dyDescent="0.3">
      <c r="A1861" s="485"/>
      <c r="B1861" s="819"/>
      <c r="C1861" s="1137"/>
      <c r="D1861" s="1134"/>
      <c r="E1861" s="826"/>
      <c r="F1861" s="475"/>
      <c r="AF1861" s="818" t="s">
        <v>5288</v>
      </c>
      <c r="AG1861" s="816" t="str">
        <f>CONCATENATE(AI1861,AJ1861,AK1861,AL1861,AM1861,AN1861,AO1861,AP1861,AQ1861,AR1861,AS1861,AT1861,AU1861,AV1861,AX1861,AY1861,AZ1861,BA1861,BB1861,BC1861)</f>
        <v>It is now easer for the accused to admit to their imperfections than for police and prosecutors to admit theirs.</v>
      </c>
      <c r="AI1861" s="48" t="s">
        <v>5293</v>
      </c>
      <c r="AO1861" s="52"/>
      <c r="AQ1861" s="52"/>
      <c r="AS1861" s="52"/>
      <c r="AU1861" s="52"/>
    </row>
    <row r="1862" spans="1:60" ht="15" customHeight="1" x14ac:dyDescent="0.3">
      <c r="A1862" s="485"/>
      <c r="B1862" s="819"/>
      <c r="C1862" s="1137"/>
      <c r="D1862" s="1134"/>
      <c r="E1862" s="826"/>
      <c r="F1862" s="475"/>
      <c r="AO1862" s="52"/>
      <c r="AQ1862" s="52"/>
      <c r="AS1862" s="52"/>
      <c r="AU1862" s="52"/>
    </row>
    <row r="1863" spans="1:60" ht="15" customHeight="1" x14ac:dyDescent="0.3">
      <c r="A1863" s="485"/>
      <c r="B1863" s="824" t="s">
        <v>5292</v>
      </c>
      <c r="C1863" s="820" t="str">
        <f>AG1863</f>
        <v xml:space="preserve">Estimate innocence for yourself. Go to ValueRelating.com/sttp-eif and download the form for yourself. See how it's being used right here, to right a terrible wrong. </v>
      </c>
      <c r="D1863" s="835" t="s">
        <v>5492</v>
      </c>
      <c r="E1863" s="828"/>
      <c r="F1863" s="475"/>
      <c r="AF1863" s="818" t="s">
        <v>62</v>
      </c>
      <c r="AG1863" s="817" t="str">
        <f>CONCATENATE(AI1863,AJ1863,AK1863,AL1863,AM1863,AN1863,AO1863,AP1863,AQ1863,AR1863,AS1863,AT1863,AU1863,AV1863,AX1863,AY1863,AZ1863,BA1863,BB1863,BC1863)</f>
        <v xml:space="preserve">Estimate innocence for yourself. Go to ValueRelating.com/sttp-eif and download the form for yourself. See how it's being used right here, to right a terrible wrong. </v>
      </c>
      <c r="AI1863" s="48" t="s">
        <v>5311</v>
      </c>
      <c r="AO1863" s="52"/>
      <c r="AQ1863" s="52"/>
      <c r="AS1863" s="52"/>
      <c r="AU1863" s="52"/>
    </row>
    <row r="1864" spans="1:60" ht="15" customHeight="1" x14ac:dyDescent="0.3">
      <c r="A1864" s="485"/>
      <c r="B1864" s="819" t="s">
        <v>5303</v>
      </c>
      <c r="C1864" s="822" t="s">
        <v>5294</v>
      </c>
      <c r="D1864" s="829" t="s">
        <v>5305</v>
      </c>
      <c r="E1864" s="826"/>
      <c r="F1864" s="475"/>
      <c r="BB1864" s="48"/>
    </row>
    <row r="1865" spans="1:60" ht="15" customHeight="1" x14ac:dyDescent="0.3">
      <c r="A1865" s="485"/>
      <c r="B1865" s="825" t="s">
        <v>5304</v>
      </c>
      <c r="C1865" s="837" t="str">
        <f>AG1865</f>
        <v xml:space="preserve">You're invited to invest in Steph’s innocence. </v>
      </c>
      <c r="D1865" s="830" t="str">
        <f>AG1866</f>
        <v>"Steph needs your help" with claimant image</v>
      </c>
      <c r="E1865" s="826"/>
      <c r="F1865" s="475"/>
      <c r="AF1865" s="818" t="s">
        <v>62</v>
      </c>
      <c r="AG1865" s="817" t="str">
        <f>CONCATENATE(AI1865,AJ1865,AK1865,AL1865,AM1865,AN1865,AO1865,AP1865,AQ1865,AR1865,AS1865,AT1865)</f>
        <v xml:space="preserve">You're invited to invest in Steph’s innocence. </v>
      </c>
      <c r="AI1865" s="48" t="s">
        <v>5323</v>
      </c>
      <c r="AJ1865" s="48" t="str">
        <f>AQ1851</f>
        <v>Steph</v>
      </c>
      <c r="AK1865" s="48" t="s">
        <v>5322</v>
      </c>
      <c r="AO1865" s="52"/>
      <c r="AQ1865" s="52"/>
      <c r="AS1865" s="52"/>
      <c r="AU1865" s="52"/>
      <c r="BH1865" s="48" t="s">
        <v>5295</v>
      </c>
    </row>
    <row r="1866" spans="1:60" ht="15" customHeight="1" x14ac:dyDescent="0.3">
      <c r="A1866" s="485"/>
      <c r="B1866" s="1143" t="s">
        <v>5302</v>
      </c>
      <c r="C1866" s="1137" t="str">
        <f>AG1867</f>
        <v>We are launching an advocacy campaign to help free Steph, and we need your help. With your support, we can convince others to take a closer look at Steph’s 86% likely innocence.</v>
      </c>
      <c r="D1866" s="1134" t="str">
        <f>AG1868</f>
        <v>Invest in Steph’s innocence.</v>
      </c>
      <c r="E1866" s="826"/>
      <c r="F1866" s="475"/>
      <c r="AF1866" s="818" t="s">
        <v>5288</v>
      </c>
      <c r="AG1866" s="816" t="str">
        <f>CONCATENATE(AI1866,AJ1866,AK1866,AL1866,AM1866,AN1866,AO1866,AP1866,AQ1866,AR1866,AS1866,AT1866,AU1866,AV1866,AX1866,AY1866,AZ1866,BA1866,BB1866,BC1866)</f>
        <v>"Steph needs your help" with claimant image</v>
      </c>
      <c r="AI1866" s="48" t="s">
        <v>5324</v>
      </c>
      <c r="AJ1866" s="48" t="str">
        <f>AJ1865</f>
        <v>Steph</v>
      </c>
      <c r="AK1866" s="48" t="s">
        <v>5325</v>
      </c>
      <c r="AO1866" s="52"/>
      <c r="AQ1866" s="52"/>
      <c r="AS1866" s="52"/>
      <c r="AU1866" s="52"/>
    </row>
    <row r="1867" spans="1:60" ht="15" customHeight="1" x14ac:dyDescent="0.3">
      <c r="A1867" s="485"/>
      <c r="B1867" s="1143"/>
      <c r="C1867" s="1137"/>
      <c r="D1867" s="1134"/>
      <c r="E1867" s="826"/>
      <c r="F1867" s="475"/>
      <c r="AF1867" s="818" t="s">
        <v>62</v>
      </c>
      <c r="AG1867" s="817" t="str">
        <f>CONCATENATE(AI1867,AJ1867,AK1867,AL1867,AM1867,AN1867,AO1867,AP1867,AQ1867,AR1867,AS1867,AT1867,AU1867,AV1867,AX1867,AY1867,AZ1867,BA1867,BB1867,BC1867)</f>
        <v>We are launching an advocacy campaign to help free Steph, and we need your help. With your support, we can convince others to take a closer look at Steph’s 86% likely innocence.</v>
      </c>
      <c r="AI1867" s="48" t="s">
        <v>5332</v>
      </c>
      <c r="AJ1867" s="48" t="str">
        <f>AN202</f>
        <v>Steph</v>
      </c>
      <c r="AK1867" s="48" t="s">
        <v>5331</v>
      </c>
      <c r="AL1867" s="48" t="str">
        <f>AN202</f>
        <v>Steph</v>
      </c>
      <c r="AM1867" s="245" t="s">
        <v>5330</v>
      </c>
      <c r="AN1867" s="386">
        <f>AI1984</f>
        <v>86</v>
      </c>
      <c r="AO1867" s="48" t="s">
        <v>5329</v>
      </c>
      <c r="AQ1867" s="52"/>
      <c r="AS1867" s="52"/>
      <c r="AU1867" s="52"/>
    </row>
    <row r="1868" spans="1:60" ht="15" customHeight="1" x14ac:dyDescent="0.3">
      <c r="A1868" s="485"/>
      <c r="B1868" s="1143"/>
      <c r="C1868" s="1137"/>
      <c r="D1868" s="1134"/>
      <c r="E1868" s="826"/>
      <c r="F1868" s="475"/>
      <c r="AF1868" s="818" t="s">
        <v>5288</v>
      </c>
      <c r="AG1868" s="816" t="str">
        <f>CONCATENATE(AI1868,AJ1868,AK1868,AL1868,AM1868,AN1868,AO1868,AP1868,AQ1868,AR1868,AS1868,AT1868,AU1868,AV1868,AX1868,AY1868,AZ1868,BA1868,BB1868,BC1868)</f>
        <v>Invest in Steph’s innocence.</v>
      </c>
      <c r="AI1868" s="48" t="s">
        <v>5327</v>
      </c>
      <c r="AJ1868" s="48" t="str">
        <f>AN202</f>
        <v>Steph</v>
      </c>
      <c r="AK1868" s="48" t="s">
        <v>5328</v>
      </c>
      <c r="AO1868" s="52"/>
      <c r="AQ1868" s="52"/>
      <c r="AS1868" s="52"/>
      <c r="AU1868" s="52"/>
    </row>
    <row r="1869" spans="1:60" ht="15" customHeight="1" x14ac:dyDescent="0.3">
      <c r="A1869" s="485"/>
      <c r="B1869" s="819"/>
      <c r="C1869" s="1156" t="str">
        <f>AG1869</f>
        <v>With your support, we can compel those in the media to take us seriously, to publicize Steph for his compelling story. We can then write to our elected representatives, pointing to your support for his actual innocence. We can also write to innocence projects to take a closer look at Steph’s claim. And with your support, we can transform any innocence deniers in the prosecuting attorney's office to recognize the need to process more viable claims like his. These are just some of what this innocence campaign aims to accomplish, with your help.</v>
      </c>
      <c r="D1869" s="1134" t="str">
        <f>AG1870</f>
        <v>stock images of media, podcaster, journalist, politician, lawyer, judge.</v>
      </c>
      <c r="E1869" s="826"/>
      <c r="F1869" s="475"/>
      <c r="AF1869" s="818" t="s">
        <v>62</v>
      </c>
      <c r="AG1869" s="817" t="str">
        <f>CONCATENATE(AI1869,AJ1869,AK1869,AL1869,AM1869,AN1869,AO1869,AP1869,AQ1869,AR1869,AS1869,AT1869,AU1869,AV1869,AX1869,AY1869,AZ1869,BA1869,BB1869,BC1869)</f>
        <v>With your support, we can compel those in the media to take us seriously, to publicize Steph for his compelling story. We can then write to our elected representatives, pointing to your support for his actual innocence. We can also write to innocence projects to take a closer look at Steph’s claim. And with your support, we can transform any innocence deniers in the prosecuting attorney's office to recognize the need to process more viable claims like his. These are just some of what this innocence campaign aims to accomplish, with your help.</v>
      </c>
      <c r="AI1869" s="48" t="s">
        <v>5333</v>
      </c>
      <c r="AJ1869" s="48" t="str">
        <f>AN202</f>
        <v>Steph</v>
      </c>
      <c r="AK1869" s="48" t="s">
        <v>5334</v>
      </c>
      <c r="AL1869" s="48" t="str">
        <f>BJ206</f>
        <v>his</v>
      </c>
      <c r="AM1869" s="48" t="s">
        <v>5335</v>
      </c>
      <c r="AN1869" s="48" t="str">
        <f>AL1869</f>
        <v>his</v>
      </c>
      <c r="AO1869" s="48" t="s">
        <v>5336</v>
      </c>
      <c r="AP1869" s="48" t="str">
        <f>AN202</f>
        <v>Steph</v>
      </c>
      <c r="AQ1869" s="48" t="s">
        <v>5338</v>
      </c>
      <c r="AR1869" s="48" t="str">
        <f>IF(BZ3214=FALSE,"DA",BZ3214)</f>
        <v>prosecuting attorney</v>
      </c>
      <c r="AS1869" s="245" t="s">
        <v>5339</v>
      </c>
      <c r="AT1869" s="48" t="str">
        <f>BJ206</f>
        <v>his</v>
      </c>
      <c r="AU1869" s="48" t="s">
        <v>5337</v>
      </c>
    </row>
    <row r="1870" spans="1:60" ht="15" customHeight="1" x14ac:dyDescent="0.3">
      <c r="A1870" s="485"/>
      <c r="B1870" s="819"/>
      <c r="C1870" s="1156"/>
      <c r="D1870" s="1134"/>
      <c r="E1870" s="826"/>
      <c r="F1870" s="475"/>
      <c r="AF1870" s="818" t="s">
        <v>5288</v>
      </c>
      <c r="AG1870" s="816" t="str">
        <f>CONCATENATE(AI1870,AJ1870,AK1870,AL1870,AM1870,AN1870,AO1870,AP1870,AQ1870,AR1870,AS1870,AT1870,AU1870,AV1870,AX1870,AY1870,AZ1870,BA1870,BB1870,BC1870)</f>
        <v>stock images of media, podcaster, journalist, politician, lawyer, judge.</v>
      </c>
      <c r="AI1870" s="48" t="s">
        <v>5308</v>
      </c>
      <c r="AO1870" s="52"/>
      <c r="AQ1870" s="52"/>
      <c r="AS1870" s="52"/>
      <c r="AU1870" s="52"/>
    </row>
    <row r="1871" spans="1:60" ht="15" customHeight="1" x14ac:dyDescent="0.3">
      <c r="A1871" s="485"/>
      <c r="B1871" s="819"/>
      <c r="C1871" s="1156"/>
      <c r="D1871" s="1134"/>
      <c r="E1871" s="826"/>
      <c r="F1871" s="475"/>
      <c r="AO1871" s="52"/>
      <c r="AQ1871" s="52"/>
      <c r="AS1871" s="52"/>
      <c r="AU1871" s="52"/>
    </row>
    <row r="1872" spans="1:60" ht="15" customHeight="1" x14ac:dyDescent="0.3">
      <c r="A1872" s="485"/>
      <c r="B1872" s="819"/>
      <c r="C1872" s="1156"/>
      <c r="D1872" s="1134"/>
      <c r="E1872" s="826"/>
      <c r="F1872" s="475"/>
      <c r="AO1872" s="52"/>
      <c r="AQ1872" s="52"/>
      <c r="AS1872" s="52"/>
      <c r="AU1872" s="52"/>
    </row>
    <row r="1873" spans="1:54" ht="15" customHeight="1" x14ac:dyDescent="0.3">
      <c r="A1873" s="485"/>
      <c r="B1873" s="819"/>
      <c r="C1873" s="1156"/>
      <c r="D1873" s="1134"/>
      <c r="E1873" s="826"/>
      <c r="F1873" s="475"/>
      <c r="AO1873" s="52"/>
      <c r="AQ1873" s="52"/>
      <c r="AS1873" s="52"/>
      <c r="BB1873" s="48"/>
    </row>
    <row r="1874" spans="1:54" ht="15" customHeight="1" x14ac:dyDescent="0.3">
      <c r="A1874" s="485"/>
      <c r="B1874" s="819"/>
      <c r="C1874" s="1156"/>
      <c r="D1874" s="1134"/>
      <c r="E1874" s="826"/>
      <c r="F1874" s="475"/>
      <c r="AO1874" s="52"/>
      <c r="AQ1874" s="52"/>
      <c r="AS1874" s="52"/>
      <c r="BB1874" s="48"/>
    </row>
    <row r="1875" spans="1:54" ht="15" customHeight="1" x14ac:dyDescent="0.3">
      <c r="A1875" s="485"/>
      <c r="B1875" s="819"/>
      <c r="C1875" s="1156"/>
      <c r="D1875" s="831"/>
      <c r="E1875" s="826"/>
      <c r="F1875" s="475"/>
      <c r="AO1875" s="52"/>
      <c r="AQ1875" s="52"/>
      <c r="AS1875" s="52"/>
      <c r="AU1875" s="52"/>
    </row>
    <row r="1876" spans="1:54" ht="17" customHeight="1" x14ac:dyDescent="0.3">
      <c r="A1876" s="485"/>
      <c r="B1876" s="819" t="s">
        <v>5299</v>
      </c>
      <c r="C1876" s="1156" t="str">
        <f>AG1876</f>
        <v>You get to help rewrite this next chapter in Steph’s life. You get a voice and a vote in how his campaign for innocence unfolds. You get to help create historical change, by helping us introduce this fresh approach to justice—looking beyond the typical rush to judgment to evaluate the quality of a criminal investigation and the quality of any resulting conviction. You get to help us create meaningful change in the justice system.</v>
      </c>
      <c r="D1876" s="1134" t="str">
        <f>AG1877</f>
        <v>animation of a bookbinary win-lose vs. range win-win</v>
      </c>
      <c r="E1876" s="826"/>
      <c r="F1876" s="475"/>
      <c r="AF1876" s="818" t="s">
        <v>62</v>
      </c>
      <c r="AG1876" s="817" t="str">
        <f>CONCATENATE(AI1876,AJ1876,AK1876,AL1876,AM1876,AN1876,AO1876,AP1876,AQ1876,AR1876,AS1876,AT1876,AU1876,AV1876,AX1876,AY1876,AZ1876,BA1876,BB1876,BC1876)</f>
        <v>You get to help rewrite this next chapter in Steph’s life. You get a voice and a vote in how his campaign for innocence unfolds. You get to help create historical change, by helping us introduce this fresh approach to justice—looking beyond the typical rush to judgment to evaluate the quality of a criminal investigation and the quality of any resulting conviction. You get to help us create meaningful change in the justice system.</v>
      </c>
      <c r="AI1876" s="48" t="s">
        <v>5358</v>
      </c>
      <c r="AJ1876" s="48" t="str">
        <f>AN202</f>
        <v>Steph</v>
      </c>
      <c r="AK1876" s="48" t="s">
        <v>5360</v>
      </c>
      <c r="AL1876" s="48" t="str">
        <f>BJ206</f>
        <v>his</v>
      </c>
      <c r="AM1876" s="48" t="s">
        <v>5359</v>
      </c>
      <c r="AO1876" s="52"/>
      <c r="AQ1876" s="52"/>
      <c r="AS1876" s="52"/>
      <c r="AU1876" s="52"/>
    </row>
    <row r="1877" spans="1:54" ht="17" customHeight="1" x14ac:dyDescent="0.3">
      <c r="A1877" s="485"/>
      <c r="B1877" s="819"/>
      <c r="C1877" s="1156"/>
      <c r="D1877" s="1134"/>
      <c r="E1877" s="826"/>
      <c r="F1877" s="475"/>
      <c r="AF1877" s="818" t="s">
        <v>5288</v>
      </c>
      <c r="AG1877" s="816" t="str">
        <f>CONCATENATE(AI1877,AJ1877,AK1877,AL1877,AM1877,AN1877,AO1877,AP1877,AQ1877,AR1877,AS1877,AT1877,AU1877,AV1877,AX1877,AY1877,AZ1877,BA1877,BB1877,BC1877)</f>
        <v>animation of a bookbinary win-lose vs. range win-win</v>
      </c>
      <c r="AI1877" s="48" t="s">
        <v>5296</v>
      </c>
      <c r="AN1877" s="48" t="s">
        <v>5297</v>
      </c>
      <c r="AO1877" s="52"/>
      <c r="AQ1877" s="52"/>
      <c r="AS1877" s="52"/>
      <c r="AU1877" s="52"/>
    </row>
    <row r="1878" spans="1:54" ht="17" customHeight="1" x14ac:dyDescent="0.3">
      <c r="A1878" s="485"/>
      <c r="B1878" s="819"/>
      <c r="C1878" s="1156"/>
      <c r="D1878" s="1134"/>
      <c r="E1878" s="826"/>
      <c r="F1878" s="475"/>
      <c r="BB1878" s="48"/>
    </row>
    <row r="1879" spans="1:54" ht="17" customHeight="1" x14ac:dyDescent="0.3">
      <c r="A1879" s="485"/>
      <c r="B1879" s="819"/>
      <c r="C1879" s="1156"/>
      <c r="D1879" s="1134"/>
      <c r="E1879" s="826"/>
      <c r="F1879" s="475"/>
      <c r="AI1879" s="48" t="s">
        <v>5298</v>
      </c>
      <c r="AO1879" s="52"/>
      <c r="AQ1879" s="52"/>
      <c r="AS1879" s="52"/>
      <c r="AU1879" s="52"/>
    </row>
    <row r="1880" spans="1:54" ht="17" customHeight="1" x14ac:dyDescent="0.3">
      <c r="A1880" s="485"/>
      <c r="B1880" s="819"/>
      <c r="C1880" s="1156"/>
      <c r="D1880" s="831"/>
      <c r="E1880" s="826"/>
      <c r="F1880" s="475"/>
      <c r="AO1880" s="52"/>
      <c r="AQ1880" s="52"/>
      <c r="AS1880" s="52"/>
      <c r="AU1880" s="52"/>
    </row>
    <row r="1881" spans="1:54" ht="17" customHeight="1" x14ac:dyDescent="0.3">
      <c r="A1881" s="485"/>
      <c r="B1881" s="819"/>
      <c r="C1881" s="1156" t="str">
        <f>AG1881</f>
        <v xml:space="preserve">With your support, we can immediately pre-launch Steph’s campaign for exoneration. Together, we can speak truth to judicial power. With your investment, we can finally free him from this miscarriage of justice and finally correct his felony record. </v>
      </c>
      <c r="D1881" s="1134" t="str">
        <f>AG1882</f>
        <v>stock images of people feeling liberated</v>
      </c>
      <c r="E1881" s="826"/>
      <c r="F1881" s="475"/>
      <c r="AF1881" s="818" t="s">
        <v>62</v>
      </c>
      <c r="AG1881" s="817" t="str">
        <f>CONCATENATE(AI1881,AJ1881,AK1881,AL1881,AM1881,AN1881,AO1881,AP1881,AQ1881,AR1881,AS1881,AT1881,AU1881,AV1881,AX1881,AY1881,AZ1881,BA1881,BB1881,BC1881)</f>
        <v xml:space="preserve">With your support, we can immediately pre-launch Steph’s campaign for exoneration. Together, we can speak truth to judicial power. With your investment, we can finally free him from this miscarriage of justice and finally correct his felony record. </v>
      </c>
      <c r="AI1881" s="48" t="s">
        <v>5348</v>
      </c>
      <c r="AJ1881" s="48" t="str">
        <f>AN202</f>
        <v>Steph</v>
      </c>
      <c r="AK1881" s="245" t="s">
        <v>5349</v>
      </c>
      <c r="AL1881" s="48" t="str">
        <f>BI206</f>
        <v>him</v>
      </c>
      <c r="AM1881" s="48" t="s">
        <v>5350</v>
      </c>
      <c r="AN1881" s="48" t="str">
        <f>AF2916</f>
        <v xml:space="preserve">correct his felony record. </v>
      </c>
      <c r="AO1881" s="52"/>
      <c r="AQ1881" s="52"/>
      <c r="AS1881" s="52"/>
      <c r="AU1881" s="52"/>
    </row>
    <row r="1882" spans="1:54" ht="17" customHeight="1" x14ac:dyDescent="0.3">
      <c r="A1882" s="485"/>
      <c r="B1882" s="819"/>
      <c r="C1882" s="1156"/>
      <c r="D1882" s="1134"/>
      <c r="E1882" s="826"/>
      <c r="F1882" s="475"/>
      <c r="AF1882" s="818" t="s">
        <v>5288</v>
      </c>
      <c r="AG1882" s="816" t="str">
        <f>CONCATENATE(AI1882,AJ1882,AK1882,AL1882,AM1882,AN1882,AO1882,AP1882,AQ1882,AR1882,AS1882,AT1882,AU1882,AV1882,AX1882,AY1882,AZ1882,BA1882,BB1882,BC1882)</f>
        <v>stock images of people feeling liberated</v>
      </c>
      <c r="AI1882" s="48" t="s">
        <v>5309</v>
      </c>
      <c r="AO1882" s="52"/>
      <c r="AQ1882" s="52"/>
      <c r="AS1882" s="52"/>
      <c r="AU1882" s="52"/>
    </row>
    <row r="1883" spans="1:54" ht="17" customHeight="1" x14ac:dyDescent="0.3">
      <c r="A1883" s="485"/>
      <c r="B1883" s="819"/>
      <c r="C1883" s="1156"/>
      <c r="D1883" s="1134"/>
      <c r="E1883" s="826"/>
      <c r="F1883" s="475"/>
      <c r="AF1883" s="818"/>
      <c r="AG1883" s="818"/>
      <c r="AH1883" s="818"/>
      <c r="AI1883" s="818"/>
      <c r="AJ1883" s="818"/>
      <c r="AK1883" s="818"/>
      <c r="AO1883" s="52"/>
      <c r="AQ1883" s="52"/>
      <c r="AS1883" s="52"/>
      <c r="AU1883" s="52"/>
    </row>
    <row r="1884" spans="1:54" ht="20" customHeight="1" x14ac:dyDescent="0.3">
      <c r="A1884" s="485"/>
      <c r="B1884" s="819" t="s">
        <v>5300</v>
      </c>
      <c r="C1884" s="1156" t="str">
        <f>AG1884</f>
        <v>Click on the button below, I WANT TO HELP, to help us get started now. Give five, ten or twenty dollars to help us launch Steph’s campaign. He has waited long enough for justice. Let’s invest what we have to help Steph find the freedom he has lost, and is now long overdue. Thank you.</v>
      </c>
      <c r="D1884" s="1134" t="str">
        <f>AG1885</f>
        <v>"I want to help" button, $5, $10, $20, or more. Image of Steph, fade out to "Thank You!"</v>
      </c>
      <c r="E1884" s="826"/>
      <c r="F1884" s="475"/>
      <c r="AF1884" s="818" t="s">
        <v>62</v>
      </c>
      <c r="AG1884" s="817" t="str">
        <f>CONCATENATE(AI1884,AJ1884,AK1884,AL1884,AM1884,AN1884,AO1884,AP1884,AQ1884,AR1884,AS1884,AT1884,AU1884,AV1884,AX1884,AY1884,AZ1884,BA1884,BB1884,BC1884)</f>
        <v>Click on the button below, I WANT TO HELP, to help us get started now. Give five, ten or twenty dollars to help us launch Steph’s campaign. He has waited long enough for justice. Let’s invest what we have to help Steph find the freedom he has lost, and is now long overdue. Thank you.</v>
      </c>
      <c r="AI1884" s="48" t="s">
        <v>5353</v>
      </c>
      <c r="AJ1884" s="48" t="str">
        <f>AN202</f>
        <v>Steph</v>
      </c>
      <c r="AK1884" s="48" t="s">
        <v>5354</v>
      </c>
      <c r="AL1884" s="48" t="str">
        <f>BG206</f>
        <v>He</v>
      </c>
      <c r="AM1884" s="48" t="s">
        <v>5356</v>
      </c>
      <c r="AN1884" s="48" t="str">
        <f>AN202</f>
        <v>Steph</v>
      </c>
      <c r="AO1884" s="48" t="s">
        <v>5355</v>
      </c>
      <c r="AP1884" s="48" t="str">
        <f>BH206</f>
        <v>he</v>
      </c>
      <c r="AQ1884" s="48" t="s">
        <v>5357</v>
      </c>
      <c r="BB1884" s="48"/>
    </row>
    <row r="1885" spans="1:54" ht="20" customHeight="1" x14ac:dyDescent="0.3">
      <c r="A1885" s="485"/>
      <c r="B1885" s="819"/>
      <c r="C1885" s="1156"/>
      <c r="D1885" s="1134"/>
      <c r="E1885" s="826"/>
      <c r="F1885" s="475"/>
      <c r="AF1885" s="818" t="s">
        <v>5288</v>
      </c>
      <c r="AG1885" s="816" t="str">
        <f>CONCATENATE(AI1885,AJ1885,AK1885,AL1885,AM1885,AN1885,AO1885,AP1885,AQ1885,AR1885,AS1885,AT1885,AU1885,AV1885,AX1885,AY1885,AZ1885,BA1885,BB1885,BC1885)</f>
        <v>"I want to help" button, $5, $10, $20, or more. Image of Steph, fade out to "Thank You!"</v>
      </c>
      <c r="AI1885" s="48" t="s">
        <v>5352</v>
      </c>
      <c r="AJ1885" s="48" t="str">
        <f>AN202</f>
        <v>Steph</v>
      </c>
      <c r="AK1885" s="48" t="s">
        <v>5351</v>
      </c>
      <c r="AO1885" s="52"/>
      <c r="AQ1885" s="52"/>
      <c r="AS1885" s="52"/>
      <c r="AU1885" s="52"/>
    </row>
    <row r="1886" spans="1:54" ht="20" customHeight="1" x14ac:dyDescent="0.3">
      <c r="A1886" s="485"/>
      <c r="B1886" s="819"/>
      <c r="C1886" s="1157"/>
      <c r="D1886" s="1152"/>
      <c r="E1886" s="832"/>
      <c r="F1886" s="475"/>
      <c r="BB1886" s="48"/>
    </row>
    <row r="1887" spans="1:54" ht="5" customHeight="1" x14ac:dyDescent="0.3">
      <c r="A1887" s="485"/>
      <c r="B1887" s="485"/>
      <c r="C1887" s="485"/>
      <c r="D1887" s="485"/>
      <c r="E1887" s="485"/>
      <c r="F1887" s="475"/>
      <c r="AO1887" s="52"/>
      <c r="AQ1887" s="52"/>
      <c r="AS1887" s="52"/>
      <c r="AU1887" s="52"/>
    </row>
    <row r="1888" spans="1:54" s="4" customFormat="1" ht="30" customHeight="1" x14ac:dyDescent="0.3">
      <c r="A1888" s="862" t="s">
        <v>84</v>
      </c>
      <c r="B1888" s="862" t="str">
        <f>IF(OR(C1894=AG1898,C1894=AG1895,C1894=AG1896),"Welcome new members to your team",IF(OR(C1894=AG1894,C1894=AG1897),"Acknowledge your invitees",IF(C1894=AG1899,"Congratulate your team members","Invite your personal supporters")))</f>
        <v>Invite your personal supporters</v>
      </c>
      <c r="C1888" s="862"/>
      <c r="D1888" s="872" t="s">
        <v>3511</v>
      </c>
      <c r="E1888" s="864"/>
      <c r="F1888" s="864"/>
      <c r="AU1888" s="512"/>
      <c r="BB1888" s="388"/>
    </row>
    <row r="1889" spans="1:78" s="4" customFormat="1" x14ac:dyDescent="0.3">
      <c r="A1889" s="246"/>
      <c r="B1889" s="246"/>
      <c r="C1889" s="246"/>
      <c r="D1889" s="246"/>
      <c r="E1889" s="246"/>
      <c r="F1889" s="246"/>
      <c r="AD1889" s="509" t="str">
        <f>IF($C$1891=AH1805,AF1805,IF($C$1891=AH1806,AF1806,IF($C$1891=AH1807,AF1807,IF($C$1891=AH1808,AF1808,IF($C$1891=AH1809,AF1809,IF($C$1891=AH1810,AF1810,IF($C$1891=AH1811,AF1811,IF($C$1891=AH1812,AF1812,IF($C$1891=AH1813,AF1813,IF($C$1891=AH1814,AF1814,IF($C$1891=AH1815,AF1815,IF($C$1891=AH1816,AF1816,IF($C$1891=AH1817,AF1817,IF($C$1891=AH1818,AF1818,IF($C$1891=AH1819,AF1819,IF($C$1891=AH1820,AF1820,IF($C$1891=AH1821,AF1821,IF($C$1891=AH1822,AF1822,IF($C$1891=AH1823,AF1823,IF($C$1891=AH1824,AF1824,IF($C$1891=AH1825,AF1825,IF($C$1891=AH1826,AF1826,IF($C$1891=AH1827,AF1827,IF($C$1891=AH1828,AF1828,IF($C$1891=AH1829,AF1829,IF($C$1891=AH1830,AF1830,IF($C$1891=AH1831,AF1831,IF($C$1891=AH1832,AF1832,IF($C$1891=AH1833,AF1833,IF($C$1891=AH1834,AF1834,IF($C$1891=AH1835,AF1835,IF($C$1891=AH1836,AF1836,IF($C$1891=AH1837,AF1837,IF($C$1891=AH1838,AF1838,IF($C$1891=AH1839,AF1839,IF($C$1891=AH1840,AF1840,IF($C$1891=AH1841,AF1841,IF($C$1891=AH1842,AF1842,IF($C$1891=AH1843,AF1843,IF($C$1891=AH1844,AF1844,""))))))))))))))))))))))))))))))))))))))))</f>
        <v>mpearson44@email.com</v>
      </c>
      <c r="AJ1889" s="596" t="s">
        <v>3935</v>
      </c>
      <c r="AK1889" s="596" t="s">
        <v>3936</v>
      </c>
      <c r="AM1889" s="48" t="str">
        <f>IF(OR($C212=$AD212,$D212=$AH212),$AK1889,C212)</f>
        <v>Proxy</v>
      </c>
      <c r="AN1889" s="48" t="str">
        <f>IF(OR($C212=$AD212,$D212=$AH212),$AK1889,D212)</f>
        <v>Proxy</v>
      </c>
      <c r="AO1889" s="511"/>
      <c r="AP1889" s="511"/>
      <c r="AQ1889" s="4" t="str">
        <f>IF(C212="","Proxy",CONCATENATE(AM1889," ",AN1889))</f>
        <v>Proxy Proxy</v>
      </c>
      <c r="AR1889" s="510" t="str">
        <f>IF(C214="","Proxy's email address",C214)</f>
        <v>Proxy's email address</v>
      </c>
      <c r="AZ1889" s="4" t="s">
        <v>3592</v>
      </c>
      <c r="BA1889" s="503"/>
      <c r="BB1889" s="513">
        <f>AG259</f>
        <v>1993</v>
      </c>
      <c r="BC1889" s="503" t="s">
        <v>3545</v>
      </c>
      <c r="BD1889" s="4" t="str">
        <f>BJ202</f>
        <v>steph</v>
      </c>
      <c r="BE1889" s="503" t="s">
        <v>3545</v>
      </c>
      <c r="BF1889" s="4" t="str">
        <f>BK202</f>
        <v>turner</v>
      </c>
      <c r="BG1889" s="800" t="str">
        <f>IF(OR(C202="",D202="",D259=""),"",CONCATENATE(AZ1889,BA1889,BB1889,BC1889,BD1889,BE1889,BF1889))</f>
        <v>https://www.valuerelating.com/1993-steph-turner</v>
      </c>
      <c r="BH1889" s="233"/>
      <c r="BI1889" s="233"/>
      <c r="BJ1889" s="233"/>
      <c r="BM1889" s="508" t="str">
        <f>IF(AG259=0,BN1889,CONCATENATE(BO1889,BV1889,BW1889,BX1889,BY1889,BZ1889))</f>
        <v>https://www.valuerelating.com/1993-Steph-Turner</v>
      </c>
      <c r="BN1889" s="4" t="s">
        <v>4054</v>
      </c>
      <c r="BO1889" s="4" t="s">
        <v>3592</v>
      </c>
      <c r="BV1889" s="602">
        <f>AG259</f>
        <v>1993</v>
      </c>
      <c r="BW1889" s="602" t="s">
        <v>3545</v>
      </c>
      <c r="BX1889" s="4" t="str">
        <f>C202</f>
        <v>Steph</v>
      </c>
      <c r="BY1889" s="4" t="s">
        <v>3545</v>
      </c>
      <c r="BZ1889" s="4" t="str">
        <f>D202</f>
        <v>Turner</v>
      </c>
    </row>
    <row r="1890" spans="1:78" s="4" customFormat="1" ht="14.5" thickBot="1" x14ac:dyDescent="0.35">
      <c r="A1890" s="246"/>
      <c r="B1890" s="246"/>
      <c r="C1890" s="246"/>
      <c r="D1890" s="246"/>
      <c r="E1890" s="246"/>
      <c r="F1890" s="246"/>
      <c r="AD1890" s="507" t="str">
        <f>IF($C$1891=AH1805,AD1805,IF($C$1891=AH1806,AD1806,IF($C$1891=AH1807,AD1807,IF($C$1891=AH1808,AD1808,IF($C$1891=AH1809,AD1809,IF($C$1891=AH1810,AD1810,IF($C$1891=AH1811,AD1811,IF($C$1891=AH1812,AD1812,IF($C$1891=AH1813,AD1813,IF($C$1891=AH1814,AD1814,IF($C$1891=AH1815,AD1815,IF($C$1891=AH1816,AD1816,IF($C$1891=AH1817,AD1817,IF($C$1891=AH1818,AD1818,IF($C$1891=AH1819,AD1819,IF($C$1891=AH1820,AD1820,IF($C$1891=AH1821,AD1821,IF($C$1891=AH1822,AD1822,IF($C$1891=AH1823,AD1823,IF($C$1891=AH1824,AD1824,IF($C$1891=AH1825,AD1825,IF($C$1891=AH1826,AD1826,IF($C$1891=AH1827,AD1827,IF($C$1891=AH1828,AD1828,IF($C$1891=AH1829,AD1829,IF($C$1891=AH1830,AD1830,IF($C$1891=AH1831,AD1831,IF($C$1891=AH1832,AD1832,IF($C$1891=AH1833,AD1833,IF($C$1891=AH1834,AD1834,IF($C$1891=AH1835,AD1835,IF($C$1891=AH1836,AD1836,IF($C$1891=AH1837,AD1837,IF($C$1891=AH1838,AD1838,IF($C$1891=AH1839,AD1839,IF($C$1891=AH1840,AD1840,IF($C$1891=AH1841,AD1841,IF($C$1891=AH1842,AD1842,IF($C$1891=AH1843,AD1843,IF($C$1891=AH1844,AD1844,"my friend"))))))))))))))))))))))))))))))))))))))))</f>
        <v>Marie</v>
      </c>
      <c r="AG1890" s="510"/>
      <c r="AJ1890" s="596" t="s">
        <v>30</v>
      </c>
      <c r="AK1890" s="596" t="s">
        <v>3934</v>
      </c>
      <c r="AM1890" s="48" t="str">
        <f>C202</f>
        <v>Steph</v>
      </c>
      <c r="AN1890" s="4" t="str">
        <f>D202</f>
        <v>Turner</v>
      </c>
      <c r="AQ1890" s="4" t="str">
        <f>IF(OR(C202="",C202=AD202),"Claimant",CONCATENATE(AM1890," ",AN1890))</f>
        <v>Steph Turner</v>
      </c>
      <c r="AR1890" s="510" t="str">
        <f>IF(C204="","Claimant's email address",C204)</f>
        <v>valuerelating@gmail.com</v>
      </c>
      <c r="BB1890" s="388"/>
    </row>
    <row r="1891" spans="1:78" s="4" customFormat="1" ht="14.5" thickBot="1" x14ac:dyDescent="0.35">
      <c r="A1891" s="246"/>
      <c r="B1891" s="477" t="s">
        <v>1408</v>
      </c>
      <c r="C1891" s="531" t="s">
        <v>5178</v>
      </c>
      <c r="D1891" s="1098" t="str">
        <f>IF(C1890:C1891="","",AD1889)</f>
        <v>mpearson44@email.com</v>
      </c>
      <c r="E1891" s="1098"/>
      <c r="F1891" s="246"/>
      <c r="AC1891" s="627" t="s">
        <v>62</v>
      </c>
      <c r="AD1891" s="559" t="str">
        <f>IF(OR($BD$1768&gt;0,$BD$1770&gt;0),AG1891,BG1891)</f>
        <v>You're invited</v>
      </c>
      <c r="AG1891" s="508" t="str">
        <f t="shared" ref="AG1891:AG1899" si="90">IF($AD$1890="",BG1891,CONCATENATE(AT1891,AU1891,AV1891))</f>
        <v>Hey, Marie, you're invited</v>
      </c>
      <c r="AH1891" s="508"/>
      <c r="AM1891" s="4" t="s">
        <v>3544</v>
      </c>
      <c r="AQ1891" s="4" t="str">
        <f>CONCATENATE(AM1891," ",AN1891)</f>
        <v xml:space="preserve">Value Relating </v>
      </c>
      <c r="AR1891" s="4" t="s">
        <v>102</v>
      </c>
      <c r="AT1891" s="4" t="s">
        <v>3530</v>
      </c>
      <c r="AU1891" s="4" t="str">
        <f>IF(AD1890="","friend",AD1890)</f>
        <v>Marie</v>
      </c>
      <c r="AV1891" s="4" t="s">
        <v>3531</v>
      </c>
      <c r="BB1891" s="388"/>
      <c r="BG1891" s="4" t="s">
        <v>3490</v>
      </c>
      <c r="BO1891" s="645" t="s">
        <v>3490</v>
      </c>
      <c r="BY1891" s="645" t="s">
        <v>3497</v>
      </c>
    </row>
    <row r="1892" spans="1:78" s="4" customFormat="1" ht="14.5" thickBot="1" x14ac:dyDescent="0.35">
      <c r="A1892" s="246"/>
      <c r="B1892" s="477" t="s">
        <v>1409</v>
      </c>
      <c r="C1892" s="531" t="s">
        <v>5478</v>
      </c>
      <c r="D1892" s="75" t="str">
        <f>IF(C1892=AQ1889,AR1889,IF(C1892=AQ1890,AR1890,IF(C1892=AQ1891,AR1891,"")))</f>
        <v>valuerelating@gmail.com</v>
      </c>
      <c r="E1892" s="246"/>
      <c r="F1892" s="246"/>
      <c r="AC1892" s="627" t="s">
        <v>64</v>
      </c>
      <c r="AD1892" s="559" t="str">
        <f>IF(OR($BD$1768&gt;0,$BD$1770&gt;0),AG1892,BG1892)</f>
        <v>Just a reminder</v>
      </c>
      <c r="AG1892" s="508" t="str">
        <f t="shared" si="90"/>
        <v>Just a reminder, Marie, in case you forgot</v>
      </c>
      <c r="AH1892" s="508"/>
      <c r="AT1892" s="4" t="s">
        <v>3532</v>
      </c>
      <c r="AU1892" s="4" t="str">
        <f>AU1891</f>
        <v>Marie</v>
      </c>
      <c r="AV1892" s="4" t="s">
        <v>3534</v>
      </c>
      <c r="BB1892" s="388"/>
      <c r="BG1892" s="4" t="s">
        <v>3491</v>
      </c>
      <c r="BO1892" s="645" t="s">
        <v>3491</v>
      </c>
      <c r="BY1892" s="645" t="s">
        <v>3501</v>
      </c>
    </row>
    <row r="1893" spans="1:78" s="4" customFormat="1" ht="14.5" thickBot="1" x14ac:dyDescent="0.35">
      <c r="A1893" s="246"/>
      <c r="B1893" s="477" t="s">
        <v>1410</v>
      </c>
      <c r="C1893" s="527">
        <f ca="1">TODAY()</f>
        <v>45774</v>
      </c>
      <c r="D1893" s="1099" t="str">
        <f>IF(C1892=AQ1891,"PAID ADVOCACY","")</f>
        <v/>
      </c>
      <c r="E1893" s="1099"/>
      <c r="F1893" s="246"/>
      <c r="AC1893" s="627" t="s">
        <v>4055</v>
      </c>
      <c r="AD1893" s="559" t="str">
        <f>IF(OR($BD$1768&gt;0,$BD$1770&gt;0),AG1893,BG1893)</f>
        <v>Last chance to join us</v>
      </c>
      <c r="AG1893" s="508" t="str">
        <f t="shared" si="90"/>
        <v>Last chance to join us, Marie</v>
      </c>
      <c r="AH1893" s="508"/>
      <c r="AT1893" s="4" t="s">
        <v>3533</v>
      </c>
      <c r="AU1893" s="4" t="str">
        <f>AU1892</f>
        <v>Marie</v>
      </c>
      <c r="BB1893" s="388"/>
      <c r="BG1893" s="4" t="s">
        <v>3492</v>
      </c>
      <c r="BO1893" s="645" t="s">
        <v>3492</v>
      </c>
      <c r="BY1893" s="645" t="s">
        <v>3502</v>
      </c>
    </row>
    <row r="1894" spans="1:78" s="4" customFormat="1" ht="14.5" thickBot="1" x14ac:dyDescent="0.35">
      <c r="A1894" s="246"/>
      <c r="B1894" s="477" t="s">
        <v>3600</v>
      </c>
      <c r="C1894" s="1095" t="s">
        <v>5179</v>
      </c>
      <c r="D1894" s="1096"/>
      <c r="E1894" s="1097"/>
      <c r="F1894" s="246"/>
      <c r="AC1894" s="627" t="s">
        <v>3288</v>
      </c>
      <c r="AD1894" s="559" t="str">
        <f t="shared" ref="AD1894:AD1899" si="91">IF($BD$1770&gt;0,AG1894,"")</f>
        <v/>
      </c>
      <c r="AG1894" s="508" t="str">
        <f t="shared" si="90"/>
        <v>Thank you, Marie, for your consideration</v>
      </c>
      <c r="AH1894" s="508"/>
      <c r="AT1894" s="4" t="s">
        <v>3535</v>
      </c>
      <c r="AU1894" s="4" t="str">
        <f>AU1893</f>
        <v>Marie</v>
      </c>
      <c r="AV1894" s="4" t="s">
        <v>3536</v>
      </c>
      <c r="BB1894" s="388"/>
      <c r="BG1894" s="4" t="s">
        <v>3503</v>
      </c>
      <c r="BO1894" s="645" t="s">
        <v>3503</v>
      </c>
      <c r="BY1894" s="645" t="s">
        <v>3510</v>
      </c>
    </row>
    <row r="1895" spans="1:78" s="4" customFormat="1" ht="13.75" customHeight="1" x14ac:dyDescent="0.3">
      <c r="A1895" s="246"/>
      <c r="B1895" s="246"/>
      <c r="C1895" s="246"/>
      <c r="D1895" s="246"/>
      <c r="E1895" s="246"/>
      <c r="F1895" s="246"/>
      <c r="AC1895" s="627" t="s">
        <v>4056</v>
      </c>
      <c r="AD1895" s="559" t="str">
        <f t="shared" si="91"/>
        <v/>
      </c>
      <c r="AG1895" s="508" t="str">
        <f t="shared" si="90"/>
        <v>Thank you, Marie, for following our campaign</v>
      </c>
      <c r="AH1895" s="508"/>
      <c r="AT1895" s="4" t="s">
        <v>3535</v>
      </c>
      <c r="AU1895" s="4" t="str">
        <f>AU1894</f>
        <v>Marie</v>
      </c>
      <c r="AV1895" s="4" t="s">
        <v>3537</v>
      </c>
      <c r="BB1895" s="388"/>
      <c r="BG1895" s="4" t="s">
        <v>3494</v>
      </c>
      <c r="BO1895" s="645" t="s">
        <v>3494</v>
      </c>
      <c r="BY1895" s="645" t="s">
        <v>3498</v>
      </c>
    </row>
    <row r="1896" spans="1:78" s="4" customFormat="1" ht="13.75" customHeight="1" x14ac:dyDescent="0.3">
      <c r="A1896" s="246"/>
      <c r="B1896" s="1047" t="str">
        <f>AD1900</f>
        <v>Steph Turner was wrongly convicted in 1993 and continues to be falsely registered as a sex offender in Michigan. I'm convinced he had no role in the crime, and now I have a tool to help prove it. The tool compares Steph's case to known exonerations, then calculates a likelihood of innocence. It estimates he is 86% innocent, which is a strong claim. Together, we can help make that claim stronger. And finally liberate him.</v>
      </c>
      <c r="C1896" s="1047"/>
      <c r="D1896" s="1047"/>
      <c r="E1896" s="1047"/>
      <c r="F1896" s="246"/>
      <c r="AC1896" s="627" t="s">
        <v>4057</v>
      </c>
      <c r="AD1896" s="559" t="str">
        <f t="shared" si="91"/>
        <v/>
      </c>
      <c r="AG1896" s="508" t="str">
        <f t="shared" si="90"/>
        <v>Thank you, Marie, for supporting our campaign</v>
      </c>
      <c r="AH1896" s="508"/>
      <c r="AT1896" s="4" t="s">
        <v>3535</v>
      </c>
      <c r="AU1896" s="4" t="str">
        <f>AU1895</f>
        <v>Marie</v>
      </c>
      <c r="AV1896" s="4" t="s">
        <v>3538</v>
      </c>
      <c r="BB1896" s="388"/>
      <c r="BG1896" s="4" t="s">
        <v>3495</v>
      </c>
      <c r="BO1896" s="645" t="s">
        <v>3495</v>
      </c>
      <c r="BY1896" s="645" t="s">
        <v>3499</v>
      </c>
    </row>
    <row r="1897" spans="1:78" s="4" customFormat="1" x14ac:dyDescent="0.3">
      <c r="A1897" s="246"/>
      <c r="B1897" s="1047"/>
      <c r="C1897" s="1047"/>
      <c r="D1897" s="1047"/>
      <c r="E1897" s="1047"/>
      <c r="F1897" s="246"/>
      <c r="AC1897" s="627" t="s">
        <v>4058</v>
      </c>
      <c r="AD1897" s="559" t="str">
        <f t="shared" si="91"/>
        <v/>
      </c>
      <c r="AG1897" s="508" t="str">
        <f t="shared" si="90"/>
        <v>Marie, we have to move forward without you</v>
      </c>
      <c r="AH1897" s="508"/>
      <c r="AT1897" s="4" t="str">
        <f>IF(AD1890="","Friend",AD1890)</f>
        <v>Marie</v>
      </c>
      <c r="AU1897" s="4" t="s">
        <v>3529</v>
      </c>
      <c r="BB1897" s="388"/>
      <c r="BG1897" s="4" t="s">
        <v>3496</v>
      </c>
      <c r="BO1897" s="645" t="s">
        <v>3496</v>
      </c>
      <c r="BY1897" s="645" t="s">
        <v>3500</v>
      </c>
    </row>
    <row r="1898" spans="1:78" s="4" customFormat="1" x14ac:dyDescent="0.3">
      <c r="A1898" s="246"/>
      <c r="B1898" s="1047"/>
      <c r="C1898" s="1047"/>
      <c r="D1898" s="1047"/>
      <c r="E1898" s="1047"/>
      <c r="F1898" s="246"/>
      <c r="AC1898" s="627" t="s">
        <v>4059</v>
      </c>
      <c r="AD1898" s="559" t="str">
        <f t="shared" si="91"/>
        <v/>
      </c>
      <c r="AG1898" s="508" t="str">
        <f t="shared" si="90"/>
        <v>Thank you, Marie, for joining our team at last</v>
      </c>
      <c r="AH1898" s="508"/>
      <c r="AT1898" s="4" t="s">
        <v>3535</v>
      </c>
      <c r="AU1898" s="4" t="str">
        <f>AU1896</f>
        <v>Marie</v>
      </c>
      <c r="AV1898" s="4" t="s">
        <v>3539</v>
      </c>
      <c r="BB1898" s="388"/>
      <c r="BG1898" s="4" t="s">
        <v>3493</v>
      </c>
      <c r="BO1898" s="645" t="s">
        <v>3493</v>
      </c>
      <c r="BY1898" s="645" t="s">
        <v>3519</v>
      </c>
    </row>
    <row r="1899" spans="1:78" s="4" customFormat="1" x14ac:dyDescent="0.3">
      <c r="A1899" s="246"/>
      <c r="B1899" s="1047"/>
      <c r="C1899" s="1047"/>
      <c r="D1899" s="1047"/>
      <c r="E1899" s="1047"/>
      <c r="F1899" s="246"/>
      <c r="AC1899" s="627" t="s">
        <v>3334</v>
      </c>
      <c r="AD1899" s="559" t="str">
        <f t="shared" si="91"/>
        <v/>
      </c>
      <c r="AG1899" s="508" t="str">
        <f t="shared" si="90"/>
        <v>We did it, Marie, we're attracting their attention!</v>
      </c>
      <c r="AT1899" s="4" t="s">
        <v>3598</v>
      </c>
      <c r="AU1899" s="4" t="str">
        <f>AU1898</f>
        <v>Marie</v>
      </c>
      <c r="AV1899" s="4" t="s">
        <v>3599</v>
      </c>
      <c r="BB1899" s="388"/>
      <c r="BG1899" s="4" t="s">
        <v>3597</v>
      </c>
    </row>
    <row r="1900" spans="1:78" s="4" customFormat="1" x14ac:dyDescent="0.3">
      <c r="A1900" s="246"/>
      <c r="B1900" s="1047"/>
      <c r="C1900" s="1047"/>
      <c r="D1900" s="1047"/>
      <c r="E1900" s="1047"/>
      <c r="F1900" s="246"/>
      <c r="AD1900" s="632" t="str">
        <f>IF($C$1894=$AG$1891,AG1902,IF($C$1894=$AG$1892,AG1903,IF($C$1894=$AG$1893,AF1905,IF($C$1894=$AG$1894,AF1905,IF($C$1894=$AG$1895,AF1906,IF(C1894=AG1896,BL1902,IF(C1894=AG1897,BL1903,IF(C1894=AG1898,BL1904,IF(C1894=AG1899,BL1905,AH1901)))))))))</f>
        <v>Steph Turner was wrongly convicted in 1993 and continues to be falsely registered as a sex offender in Michigan. I'm convinced he had no role in the crime, and now I have a tool to help prove it. The tool compares Steph's case to known exonerations, then calculates a likelihood of innocence. It estimates he is 86% innocent, which is a strong claim. Together, we can help make that claim stronger. And finally liberate him.</v>
      </c>
      <c r="BB1900" s="388"/>
    </row>
    <row r="1901" spans="1:78" s="4" customFormat="1" x14ac:dyDescent="0.3">
      <c r="A1901" s="246"/>
      <c r="B1901" s="1047"/>
      <c r="C1901" s="1047"/>
      <c r="D1901" s="1047"/>
      <c r="E1901" s="1047"/>
      <c r="F1901" s="246"/>
      <c r="AG1901" s="508">
        <f>IF($C$1894="",AH1901,AT1901)</f>
        <v>1</v>
      </c>
      <c r="AH1901" s="4" t="s">
        <v>3602</v>
      </c>
      <c r="AT1901" s="82">
        <f>IF($C$1894=AG$1891,AV1901,IF($C$1894=AG$1892,AW1901,IF($C$1894=AG$1893,AX1901,IF($C$1894=AG$1894,AY1901,IF($C$1894=AG$1895,AZ1901,IF($C$1894=AG$1896,BA1901,IF($C$1894=AG$1897,BB1901,IF($C$1894=AG$1898,BC1901,IF($C$1894=AG$1899,BD1901,"")))))))))</f>
        <v>1</v>
      </c>
      <c r="AV1901" s="4">
        <v>1</v>
      </c>
      <c r="AW1901" s="4">
        <v>2</v>
      </c>
      <c r="AX1901" s="4">
        <v>3</v>
      </c>
      <c r="AY1901" s="4">
        <v>4</v>
      </c>
      <c r="AZ1901" s="4">
        <v>5</v>
      </c>
      <c r="BA1901" s="4">
        <v>6</v>
      </c>
      <c r="BB1901" s="4">
        <v>7</v>
      </c>
      <c r="BC1901" s="4">
        <v>8</v>
      </c>
      <c r="BD1901" s="4">
        <v>9</v>
      </c>
      <c r="BE1901" s="4">
        <v>10</v>
      </c>
      <c r="BG1901" s="534"/>
    </row>
    <row r="1902" spans="1:78" s="4" customFormat="1" x14ac:dyDescent="0.3">
      <c r="A1902" s="246"/>
      <c r="B1902" s="1047"/>
      <c r="C1902" s="1047"/>
      <c r="D1902" s="1047"/>
      <c r="E1902" s="1047"/>
      <c r="F1902" s="246"/>
      <c r="AD1902" s="627" t="s">
        <v>62</v>
      </c>
      <c r="AG1902" s="628" t="str">
        <f>CONCATENATE(AI1902,AJ1902,AK1902,AL1902,AM1902,AN1902,AO1902,AP1902,AQ1902,AR1902,AS1902,AT1902,AU1902,AV1902,AX1902,AY1902,AZ1902,BA1902,BB1902,BC1902)</f>
        <v>Steph Turner was wrongly convicted in 1993 and continues to be falsely registered as a sex offender in Michigan. I'm convinced he had no role in the crime, and now I have a tool to help prove it. The tool compares Steph's case to known exonerations, then calculates a likelihood of innocence. It estimates he is 86% innocent, which is a strong claim. Together, we can help make that claim stronger. And finally liberate him.</v>
      </c>
      <c r="AH1902" s="503" t="s">
        <v>885</v>
      </c>
      <c r="AI1902" s="4" t="str">
        <f>BG202</f>
        <v>Steph Turner</v>
      </c>
      <c r="AJ1902" s="4" t="s">
        <v>4061</v>
      </c>
      <c r="AK1902" s="4">
        <f>AG259</f>
        <v>1993</v>
      </c>
      <c r="AL1902" s="4" t="s">
        <v>4062</v>
      </c>
      <c r="AM1902" s="4" t="str">
        <f>AV314</f>
        <v>falsely registered as a sex offender</v>
      </c>
      <c r="AN1902" s="4" t="s">
        <v>4068</v>
      </c>
      <c r="AO1902" s="4" t="str">
        <f>B265</f>
        <v>Michigan</v>
      </c>
      <c r="AP1902" s="4" t="s">
        <v>4063</v>
      </c>
      <c r="AQ1902" s="4" t="str">
        <f>BH206</f>
        <v>he</v>
      </c>
      <c r="AR1902" s="4" t="s">
        <v>4064</v>
      </c>
      <c r="AS1902" s="4" t="str">
        <f>AN202</f>
        <v>Steph</v>
      </c>
      <c r="AT1902" s="503" t="s">
        <v>4071</v>
      </c>
      <c r="AU1902" s="4" t="str">
        <f>BH206</f>
        <v>he</v>
      </c>
      <c r="AV1902" s="4" t="s">
        <v>4066</v>
      </c>
      <c r="AX1902" s="630">
        <f>ROUND((B51*100),0)</f>
        <v>86</v>
      </c>
      <c r="AY1902" s="4" t="s">
        <v>4069</v>
      </c>
      <c r="AZ1902" s="4" t="str">
        <f>BG51</f>
        <v>strong claim</v>
      </c>
      <c r="BA1902" s="4" t="s">
        <v>4067</v>
      </c>
      <c r="BB1902" s="4" t="str">
        <f>BI206</f>
        <v>him</v>
      </c>
      <c r="BC1902" s="388" t="s">
        <v>851</v>
      </c>
      <c r="BI1902" s="627" t="s">
        <v>4057</v>
      </c>
      <c r="BL1902" s="628" t="str">
        <f>CONCATENATE(BN1902,BO1902,BP1902,BQ1902,BR1902,BS1902,BT1902,BU1903,BV1903,BW1903,BX1903,BY1903,BZ1903,CA1903,CB1903,CC1903,CD1903,CE1903,CF1903,CG1903,CH1903)</f>
        <v/>
      </c>
    </row>
    <row r="1903" spans="1:78" s="4" customFormat="1" ht="13.75" customHeight="1" x14ac:dyDescent="0.3">
      <c r="A1903" s="246"/>
      <c r="B1903" s="1047" t="str">
        <f>AD1907</f>
        <v xml:space="preserve">Steph asserts three of six known factors common in wrongful convictions. The most significant factors include , government misconduct, misapplied forensic science, and possibly others less significantly. He identifies 26 other important factors known to wrongly convict the innocent. He needs your support to help validate his strong claim. He needs your help, Marie, checking if the links work for his case documents. With your support, we can draw closer to proving his claim. </v>
      </c>
      <c r="C1903" s="1047"/>
      <c r="D1903" s="1047"/>
      <c r="E1903" s="1047"/>
      <c r="F1903" s="246"/>
      <c r="AD1903" s="627" t="s">
        <v>64</v>
      </c>
      <c r="AG1903" s="628" t="str">
        <f>CONCATENATE(AI1903,AJ1903,AK1903,AL1903,AM1903,AN1903,AO1903,AP1903,AQ1903,AR1903,AS1903,AT1903,AU1903,AV1903,AX1903,AY1903,AZ1903,BA1903,BB1903,BC1903)</f>
        <v>NOT YET AVAILABLE</v>
      </c>
      <c r="AH1903" s="503" t="s">
        <v>885</v>
      </c>
      <c r="AN1903" s="4" t="s">
        <v>4074</v>
      </c>
      <c r="BB1903" s="388"/>
      <c r="BI1903" s="627" t="s">
        <v>4058</v>
      </c>
      <c r="BL1903" s="628" t="str">
        <f>CONCATENATE(BN1903,BO1903,BP1903,BQ1903,BR1903,BS1903,BT1903,BU1904,BV1904,BW1904,BX1904,BY1904,BZ1904,CA1904,CB1904,CC1904,CD1904,CE1904,CF1904,CG1904,CH1904)</f>
        <v xml:space="preserve">Contrary to popular belief, only about 15% of prisoners claim to be actually innocent. Claimant provides a compelling case to demonstrate such innocence. </v>
      </c>
    </row>
    <row r="1904" spans="1:78" s="4" customFormat="1" x14ac:dyDescent="0.3">
      <c r="A1904" s="246"/>
      <c r="B1904" s="1047"/>
      <c r="C1904" s="1047"/>
      <c r="D1904" s="1047"/>
      <c r="E1904" s="1047"/>
      <c r="F1904" s="246"/>
      <c r="AD1904" s="627" t="s">
        <v>4055</v>
      </c>
      <c r="AG1904" s="628" t="str">
        <f>CONCATENATE(AI1904,AJ1904,AK1904,AL1904,AM1904,AN1904,AO1904,AP1904,AQ1904,AR1904,AS1904,AT1904,AU1904,AV1904,AX1904,AY1904,AZ1904,BA1904,BB1904,BC1904)</f>
        <v>WORKING ON IT</v>
      </c>
      <c r="AH1904" s="503" t="s">
        <v>885</v>
      </c>
      <c r="AN1904" s="4" t="s">
        <v>4075</v>
      </c>
      <c r="BB1904" s="388"/>
      <c r="BI1904" s="627" t="s">
        <v>4059</v>
      </c>
      <c r="BL1904" s="628" t="str">
        <f>CONCATENATE(BN1904,BO1904,BP1904,BQ1904,BR1904,BS1904,BT1904,BU1905,BV1905,BW1905,BX1905,BY1905,BZ1905,CA1905,CB1905,CC1905,CD1905,CE1905,CF1905,CG1905,CH1905)</f>
        <v xml:space="preserve">Welcome aboard, Marie! Thank you for joining Steph's campaign for innocence. Not only for himself but for all similarly situated. </v>
      </c>
      <c r="BM1904" s="503" t="s">
        <v>885</v>
      </c>
      <c r="BN1904" s="503" t="s">
        <v>4264</v>
      </c>
      <c r="BO1904" s="4" t="str">
        <f>AD1890</f>
        <v>Marie</v>
      </c>
      <c r="BP1904" s="4" t="s">
        <v>4265</v>
      </c>
      <c r="BQ1904" s="4" t="str">
        <f>AN202</f>
        <v>Steph</v>
      </c>
      <c r="BR1904" s="503" t="s">
        <v>4266</v>
      </c>
      <c r="BS1904" s="4" t="str">
        <f>BI206</f>
        <v>him</v>
      </c>
      <c r="BT1904" s="4" t="s">
        <v>4267</v>
      </c>
      <c r="BU1904" s="4" t="s">
        <v>4050</v>
      </c>
    </row>
    <row r="1905" spans="1:129" s="4" customFormat="1" x14ac:dyDescent="0.3">
      <c r="A1905" s="246"/>
      <c r="B1905" s="1047"/>
      <c r="C1905" s="1047"/>
      <c r="D1905" s="1047"/>
      <c r="E1905" s="1047"/>
      <c r="F1905" s="246"/>
      <c r="AD1905" s="627" t="s">
        <v>3288</v>
      </c>
      <c r="AF1905" s="503" t="str">
        <f>IF($D$1768=$AQ$1768,AG1905,AH1905)</f>
        <v>REQUIRES PASSKEY</v>
      </c>
      <c r="AG1905" s="628" t="str">
        <f>CONCATENATE(AI1905,AJ1905,AK1905,AL1905,AM1905,AN1905,AO1905,AP1905,AQ1905,AR1905,AS1905,AT1905,AU1905,AV1905,AX1905,AY1905,AZ1905,BA1905,BB1905,BC1905)</f>
        <v>ALMOST THERE</v>
      </c>
      <c r="AH1905" s="659" t="s">
        <v>4362</v>
      </c>
      <c r="AN1905" s="4" t="s">
        <v>4076</v>
      </c>
      <c r="BB1905" s="388"/>
      <c r="BI1905" s="627" t="s">
        <v>3334</v>
      </c>
      <c r="BK1905" s="503" t="str">
        <f>IF(OR($D$1768=$AQ$1768,D1774=AL1774),BL1905,BM1905)</f>
        <v xml:space="preserve">With your support, Marie, our campaign is moving forward. Than you for helping us reach another milestone. [PPP] doesn't complain about a legal technicality, but demonstrate [ppp] had no involvement in wrongdoing. </v>
      </c>
      <c r="BL1905" s="628" t="str">
        <f>CONCATENATE(BN1905,BO1905,BP1905,BQ1905,BR1905,BS1905,BT1905,BU1906,BV1906,BW1906,BX1906,BY1906,BZ1906,CA1906,CB1906,CC1906,CD1906,CE1906,CF1906,CG1906,CH1906)</f>
        <v xml:space="preserve">With your support, Marie, our campaign is moving forward. Than you for helping us reach another milestone. [PPP] doesn't complain about a legal technicality, but demonstrate [ppp] had no involvement in wrongdoing. </v>
      </c>
      <c r="BM1905" s="659" t="s">
        <v>4362</v>
      </c>
      <c r="BN1905" s="4" t="s">
        <v>4091</v>
      </c>
      <c r="BO1905" s="4" t="str">
        <f>BO1904</f>
        <v>Marie</v>
      </c>
      <c r="BP1905" s="4" t="s">
        <v>4268</v>
      </c>
    </row>
    <row r="1906" spans="1:129" s="4" customFormat="1" x14ac:dyDescent="0.3">
      <c r="A1906" s="246"/>
      <c r="B1906" s="1047"/>
      <c r="C1906" s="1047"/>
      <c r="D1906" s="1047"/>
      <c r="E1906" s="1047"/>
      <c r="F1906" s="246"/>
      <c r="AD1906" s="627" t="s">
        <v>4056</v>
      </c>
      <c r="AF1906" s="503" t="str">
        <f>IF($D$1768=$AQ$1768,AG1906,AH1906)</f>
        <v>REQUIRES PASSKEY</v>
      </c>
      <c r="AG1906" s="628" t="str">
        <f>CONCATENATE(AI1906,AJ1906,AK1906,AL1906,AM1906,AN1906,AO1906,AP1906,AQ1906,AR1906,AS1906,AT1906,AU1906,AV1906,AX1906,AY1906,AZ1906,BA1906,BB1906,BC1906)</f>
        <v>STILL WORKING ON IT</v>
      </c>
      <c r="AH1906" s="659" t="s">
        <v>4362</v>
      </c>
      <c r="AN1906" s="4" t="s">
        <v>4077</v>
      </c>
      <c r="BB1906" s="388"/>
      <c r="BK1906" s="503">
        <f>IF(OR($D$1768=$AQ$1768,D1770=AL1770),BL1906,BM1906)</f>
        <v>0</v>
      </c>
      <c r="BM1906" s="659" t="s">
        <v>4362</v>
      </c>
      <c r="BU1906" s="4" t="s">
        <v>4051</v>
      </c>
    </row>
    <row r="1907" spans="1:129" s="4" customFormat="1" x14ac:dyDescent="0.3">
      <c r="A1907" s="246"/>
      <c r="B1907" s="1047"/>
      <c r="C1907" s="1047"/>
      <c r="D1907" s="1047"/>
      <c r="E1907" s="1047"/>
      <c r="F1907" s="246"/>
      <c r="AD1907" s="632" t="str">
        <f>IF($C$1894=$AG$1891,AG1909,IF($C$1894=$AG$1892,AG1910,IF($C$1894=$AG$1893,AG1911,IF($C$1894=$AG$1894,AF1912,IF($C$1894=$AG$1895,AF1913,AH1908)))))</f>
        <v xml:space="preserve">Steph asserts three of six known factors common in wrongful convictions. The most significant factors include , government misconduct, misapplied forensic science, and possibly others less significantly. He identifies 26 other important factors known to wrongly convict the innocent. He needs your support to help validate his strong claim. He needs your help, Marie, checking if the links work for his case documents. With your support, we can draw closer to proving his claim. </v>
      </c>
    </row>
    <row r="1908" spans="1:129" s="4" customFormat="1" x14ac:dyDescent="0.3">
      <c r="A1908" s="246"/>
      <c r="B1908" s="1047"/>
      <c r="C1908" s="1047"/>
      <c r="D1908" s="1047"/>
      <c r="E1908" s="1047"/>
      <c r="F1908" s="246"/>
      <c r="AD1908" s="627"/>
      <c r="AG1908" s="508">
        <f>IF($C$1894="",AH1908,AT1908)</f>
        <v>1</v>
      </c>
      <c r="AH1908" s="4" t="s">
        <v>3603</v>
      </c>
      <c r="AT1908" s="82">
        <f>IF($C$1894=AG$1891,AV1908,IF($C$1894=AG$1892,AW1908,IF($C$1894=AG$1893,AX1908,IF($C$1894=AG$1894,AY1908,IF($C$1894=AG$1895,AZ1908,IF($C$1894=AG$1896,BA1908,IF($C$1894=AG$1897,BB1908,IF($C$1894=AG$1898,BC1908,IF($C$1894=AG$1899,BD1908,"")))))))))</f>
        <v>1</v>
      </c>
      <c r="AV1908" s="4">
        <v>1</v>
      </c>
      <c r="AW1908" s="4">
        <v>2</v>
      </c>
      <c r="AX1908" s="4">
        <v>3</v>
      </c>
      <c r="AY1908" s="4">
        <v>4</v>
      </c>
      <c r="AZ1908" s="4">
        <v>5</v>
      </c>
      <c r="BA1908" s="4">
        <v>6</v>
      </c>
      <c r="BB1908" s="4">
        <v>7</v>
      </c>
      <c r="BC1908" s="4">
        <v>8</v>
      </c>
      <c r="BD1908" s="4">
        <v>9</v>
      </c>
      <c r="BE1908" s="4">
        <v>10</v>
      </c>
      <c r="BG1908" s="534" t="e">
        <f>#REF!</f>
        <v>#REF!</v>
      </c>
      <c r="BU1908" s="4" t="s">
        <v>4052</v>
      </c>
    </row>
    <row r="1909" spans="1:129" s="4" customFormat="1" x14ac:dyDescent="0.3">
      <c r="A1909" s="246"/>
      <c r="B1909" s="1047"/>
      <c r="C1909" s="1047"/>
      <c r="D1909" s="1047"/>
      <c r="E1909" s="1047"/>
      <c r="F1909" s="246"/>
      <c r="AD1909" s="627" t="s">
        <v>62</v>
      </c>
      <c r="AG1909" s="628" t="str">
        <f>CONCATENATE(AI1909,AJ1909,AK1909,AL1909,AM1909,AN1909,AO1909,,AP1909,AQ1909,AR1909,AS1909,AT1909,AU1909,AV1909,AW1909,AX1909,AY1909,AZ1909,BA1909,BB1909,BC1909)</f>
        <v xml:space="preserve">Steph asserts three of six known factors common in wrongful convictions. The most significant factors include , government misconduct, misapplied forensic science, and possibly others less significantly. He identifies 26 other important factors known to wrongly convict the innocent. He needs your support to help validate his strong claim. He needs your help, Marie, checking if the links work for his case documents. With your support, we can draw closer to proving his claim. </v>
      </c>
      <c r="AI1909" s="4" t="str">
        <f>BP521</f>
        <v xml:space="preserve">Steph asserts three of six known factors common in wrongful convictions. </v>
      </c>
      <c r="AJ1909" s="4" t="str">
        <f>AB521</f>
        <v xml:space="preserve">The most significant factors include , government misconduct, misapplied forensic science, and possibly others less significantly. </v>
      </c>
      <c r="AK1909" s="4" t="str">
        <f>BP556</f>
        <v xml:space="preserve">He identifies 26 other important factors known to wrongly convict the innocent. </v>
      </c>
      <c r="AL1909" s="4" t="str">
        <f>BG206</f>
        <v>He</v>
      </c>
      <c r="AM1909" s="4" t="s">
        <v>4092</v>
      </c>
      <c r="AN1909" s="4" t="str">
        <f>BJ206</f>
        <v>his</v>
      </c>
      <c r="AO1909" s="4" t="s">
        <v>4060</v>
      </c>
      <c r="AP1909" s="4" t="str">
        <f>BG51</f>
        <v>strong claim</v>
      </c>
      <c r="AQ1909" s="4" t="s">
        <v>4029</v>
      </c>
      <c r="AR1909" s="4" t="str">
        <f>BP501</f>
        <v xml:space="preserve">He needs your help, Marie, checking if the links work for his case documents. </v>
      </c>
      <c r="AS1909" s="642"/>
      <c r="AT1909" s="4" t="s">
        <v>4091</v>
      </c>
      <c r="AU1909" s="4" t="s">
        <v>4090</v>
      </c>
      <c r="AV1909" s="4" t="s">
        <v>5180</v>
      </c>
      <c r="AW1909" s="4" t="str">
        <f>BJ206</f>
        <v>his</v>
      </c>
      <c r="AX1909" s="4" t="s">
        <v>5181</v>
      </c>
    </row>
    <row r="1910" spans="1:129" s="4" customFormat="1" x14ac:dyDescent="0.3">
      <c r="A1910" s="246"/>
      <c r="B1910" s="1047"/>
      <c r="C1910" s="1047"/>
      <c r="D1910" s="1047"/>
      <c r="E1910" s="1047"/>
      <c r="F1910" s="246"/>
      <c r="AD1910" s="627" t="s">
        <v>64</v>
      </c>
      <c r="AG1910" s="628" t="str">
        <f>AG1903</f>
        <v>NOT YET AVAILABLE</v>
      </c>
    </row>
    <row r="1911" spans="1:129" s="4" customFormat="1" ht="13.75" customHeight="1" x14ac:dyDescent="0.3">
      <c r="A1911" s="246"/>
      <c r="B1911" s="1047" t="str">
        <f>AD1914</f>
        <v xml:space="preserve">Steph has asked for help from innocence projects four times. He was told they had to priortize their service to others. Innocence Projects receive far more requests for help than they can serve. Besides, the legal process is generally slow, divisive, and arbitrary. With your help, Marie, we can outdo the legal process with the new transformative option of 'need-response'. Instead of serving laws, it addresses the specific needs for which laws exist to serve. Help us spark a movement, where Steph and I raise the standard of justice, grounding it more in love and understanding. </v>
      </c>
      <c r="C1911" s="1047"/>
      <c r="D1911" s="1047"/>
      <c r="E1911" s="1047"/>
      <c r="F1911" s="246"/>
      <c r="AD1911" s="627" t="s">
        <v>4055</v>
      </c>
      <c r="AG1911" s="628" t="str">
        <f>AG1904</f>
        <v>WORKING ON IT</v>
      </c>
      <c r="BB1911" s="388"/>
      <c r="BM1911" s="503" t="str">
        <f>CONCATENATE(BI337,BI338)</f>
        <v xml:space="preserve">Steph has asked for help from innocence projects four times. He was told they had to priortize their service to others. </v>
      </c>
      <c r="CE1911" s="503" t="s">
        <v>885</v>
      </c>
      <c r="CF1911" s="4" t="str">
        <f>BM1911</f>
        <v xml:space="preserve">Steph has asked for help from innocence projects four times. He was told they had to priortize their service to others. </v>
      </c>
    </row>
    <row r="1912" spans="1:129" s="4" customFormat="1" x14ac:dyDescent="0.3">
      <c r="A1912" s="246"/>
      <c r="B1912" s="1047"/>
      <c r="C1912" s="1047"/>
      <c r="D1912" s="1047"/>
      <c r="E1912" s="1047"/>
      <c r="F1912" s="246"/>
      <c r="AD1912" s="627" t="s">
        <v>3288</v>
      </c>
      <c r="AF1912" s="503" t="str">
        <f>IF($D$1768=$AQ$1768,AG1912,AH1912)</f>
        <v>REQUIRES PASSKEY</v>
      </c>
      <c r="AG1912" s="628" t="str">
        <f>CONCATENATE(AI1912,AJ1912,AK1912,AL1912,AM1912,AN1912,AO1912,AP1912,AQ1912,AR1912,AS1912,AT1912,AU1912,AV1912,AX1912,AY1912,AZ1912,BA1912,BB1912,BC1912)</f>
        <v/>
      </c>
      <c r="AH1912" s="659" t="s">
        <v>4362</v>
      </c>
      <c r="BB1912" s="388"/>
      <c r="BM1912" s="4" t="s">
        <v>4099</v>
      </c>
      <c r="BT1912" s="503" t="s">
        <v>885</v>
      </c>
      <c r="BU1912" s="4" t="s">
        <v>4114</v>
      </c>
      <c r="CE1912" s="503" t="s">
        <v>885</v>
      </c>
      <c r="CF1912" s="4" t="s">
        <v>4109</v>
      </c>
    </row>
    <row r="1913" spans="1:129" s="4" customFormat="1" x14ac:dyDescent="0.3">
      <c r="A1913" s="246"/>
      <c r="B1913" s="1047"/>
      <c r="C1913" s="1047"/>
      <c r="D1913" s="1047"/>
      <c r="E1913" s="1047"/>
      <c r="F1913" s="246"/>
      <c r="AD1913" s="627" t="s">
        <v>4056</v>
      </c>
      <c r="AF1913" s="503" t="str">
        <f>IF($D$1768=$AQ$1768,AG1913,AH1913)</f>
        <v>REQUIRES PASSKEY</v>
      </c>
      <c r="AG1913" s="628" t="str">
        <f>CONCATENATE(AI1913,AJ1913,AK1913,AL1913,AM1913,AN1913,AO1913,AP1913,AQ1913,AR1913,AS1913,AT1913,AU1913,AV1913,AX1913,AY1913,AZ1913,BA1913,BB1913,BC1913)</f>
        <v/>
      </c>
      <c r="AH1913" s="659" t="s">
        <v>4362</v>
      </c>
      <c r="BB1913" s="388"/>
      <c r="BM1913" s="4" t="s">
        <v>4096</v>
      </c>
      <c r="CE1913" s="503" t="s">
        <v>885</v>
      </c>
      <c r="CF1913" s="4" t="s">
        <v>4110</v>
      </c>
    </row>
    <row r="1914" spans="1:129" s="4" customFormat="1" x14ac:dyDescent="0.3">
      <c r="A1914" s="246"/>
      <c r="B1914" s="1047"/>
      <c r="C1914" s="1047"/>
      <c r="D1914" s="1047"/>
      <c r="E1914" s="1047"/>
      <c r="F1914" s="246"/>
      <c r="AD1914" s="632" t="str">
        <f>IF($C$1894=$AG$1891,AG1916,IF($C$1894=$AG$1892,AG1917,IF($C$1894=$AG$1893,AG1918,IF($C$1894=$AG$1894,AG1919,IF($C$1894=$AG$1895,AG1920,AH1915)))))</f>
        <v xml:space="preserve">Steph has asked for help from innocence projects four times. He was told they had to priortize their service to others. Innocence Projects receive far more requests for help than they can serve. Besides, the legal process is generally slow, divisive, and arbitrary. With your help, Marie, we can outdo the legal process with the new transformative option of 'need-response'. Instead of serving laws, it addresses the specific needs for which laws exist to serve. Help us spark a movement, where Steph and I raise the standard of justice, grounding it more in love and understanding. </v>
      </c>
      <c r="BM1914" s="4" t="s">
        <v>4100</v>
      </c>
      <c r="BR1914" s="503" t="s">
        <v>885</v>
      </c>
      <c r="BS1914" s="4" t="s">
        <v>4053</v>
      </c>
      <c r="CE1914" s="503" t="s">
        <v>885</v>
      </c>
      <c r="CF1914" s="4" t="s">
        <v>4108</v>
      </c>
    </row>
    <row r="1915" spans="1:129" s="4" customFormat="1" x14ac:dyDescent="0.3">
      <c r="A1915" s="246"/>
      <c r="B1915" s="1047"/>
      <c r="C1915" s="1047"/>
      <c r="D1915" s="1047"/>
      <c r="E1915" s="1047"/>
      <c r="F1915" s="246"/>
      <c r="AD1915" s="627"/>
      <c r="AG1915" s="508">
        <f>IF($C$1894="",AH1915,AT1915)</f>
        <v>1</v>
      </c>
      <c r="AH1915" s="4" t="s">
        <v>3601</v>
      </c>
      <c r="AT1915" s="82">
        <f>IF($C$1894=AG$1891,AV1915,IF($C$1894=AG$1892,AW1915,IF($C$1894=AG$1893,AX1915,IF($C$1894=AG$1894,AY1915,IF($C$1894=AG$1895,AZ1915,IF($C$1894=AG$1896,BA1915,IF($C$1894=AG$1897,BB1915,IF($C$1894=AG$1898,BC1915,IF($C$1894=AG$1899,BD1915,"")))))))))</f>
        <v>1</v>
      </c>
      <c r="AV1915" s="4">
        <v>1</v>
      </c>
      <c r="AW1915" s="4">
        <v>2</v>
      </c>
      <c r="AX1915" s="4">
        <v>3</v>
      </c>
      <c r="AY1915" s="4">
        <v>4</v>
      </c>
      <c r="AZ1915" s="4">
        <v>5</v>
      </c>
      <c r="BA1915" s="4">
        <v>6</v>
      </c>
      <c r="BB1915" s="4">
        <v>7</v>
      </c>
      <c r="BC1915" s="4">
        <v>8</v>
      </c>
      <c r="BD1915" s="4">
        <v>9</v>
      </c>
      <c r="BE1915" s="4">
        <v>10</v>
      </c>
      <c r="BG1915" s="534"/>
      <c r="BM1915" s="4" t="s">
        <v>4101</v>
      </c>
      <c r="CE1915" s="503" t="s">
        <v>885</v>
      </c>
      <c r="CF1915" s="4" t="s">
        <v>4111</v>
      </c>
    </row>
    <row r="1916" spans="1:129" s="4" customFormat="1" x14ac:dyDescent="0.3">
      <c r="A1916" s="246"/>
      <c r="B1916" s="1047"/>
      <c r="C1916" s="1047"/>
      <c r="D1916" s="1047"/>
      <c r="E1916" s="1047"/>
      <c r="F1916" s="246"/>
      <c r="AD1916" s="627" t="s">
        <v>62</v>
      </c>
      <c r="AG1916" s="628" t="str">
        <f>CONCATENATE(AI1916,AJ1916,AK1916,AL1916,AM1916,AN1916,AO1916,AP1916,AQ1916,AR1916,AS1916,AT1916,AU1916,AV1916,AX1916,AY1916,AZ1916,BA1916,BB1916,BC1916)</f>
        <v xml:space="preserve">Steph has asked for help from innocence projects four times. He was told they had to priortize their service to others. Innocence Projects receive far more requests for help than they can serve. Besides, the legal process is generally slow, divisive, and arbitrary. With your help, Marie, we can outdo the legal process with the new transformative option of 'need-response'. Instead of serving laws, it addresses the specific needs for which laws exist to serve. Help us spark a movement, where Steph and I raise the standard of justice, grounding it more in love and understanding. </v>
      </c>
      <c r="AI1916" s="503" t="str">
        <f>CONCATENATE(BI337,BI338)</f>
        <v xml:space="preserve">Steph has asked for help from innocence projects four times. He was told they had to priortize their service to others. </v>
      </c>
      <c r="AJ1916" s="4" t="s">
        <v>4118</v>
      </c>
      <c r="AK1916" s="4" t="s">
        <v>4104</v>
      </c>
      <c r="AL1916" s="4" t="str">
        <f>AD1890</f>
        <v>Marie</v>
      </c>
      <c r="AM1916" s="4" t="s">
        <v>4115</v>
      </c>
      <c r="AN1916" s="4" t="s">
        <v>4112</v>
      </c>
      <c r="AO1916" s="4" t="s">
        <v>4105</v>
      </c>
      <c r="AP1916" s="4" t="str">
        <f>AN202</f>
        <v>Steph</v>
      </c>
      <c r="AQ1916" s="4" t="s">
        <v>4113</v>
      </c>
      <c r="BB1916" s="388"/>
      <c r="BZ1916" s="631" t="s">
        <v>4120</v>
      </c>
      <c r="CA1916" s="635" t="s">
        <v>4130</v>
      </c>
      <c r="CB1916" s="631" t="s">
        <v>4121</v>
      </c>
      <c r="CC1916" s="635" t="s">
        <v>4131</v>
      </c>
      <c r="CD1916" s="631" t="s">
        <v>4122</v>
      </c>
      <c r="CE1916" s="631" t="s">
        <v>4093</v>
      </c>
      <c r="CF1916" s="631" t="s">
        <v>4123</v>
      </c>
      <c r="CG1916" s="631" t="s">
        <v>4094</v>
      </c>
      <c r="CH1916" s="631" t="s">
        <v>4124</v>
      </c>
      <c r="CI1916" s="631" t="s">
        <v>4095</v>
      </c>
      <c r="CJ1916" s="503" t="s">
        <v>885</v>
      </c>
    </row>
    <row r="1917" spans="1:129" s="4" customFormat="1" x14ac:dyDescent="0.3">
      <c r="A1917" s="246"/>
      <c r="B1917" s="1047"/>
      <c r="C1917" s="1047"/>
      <c r="D1917" s="1047"/>
      <c r="E1917" s="1047"/>
      <c r="F1917" s="246"/>
      <c r="AD1917" s="627" t="s">
        <v>64</v>
      </c>
      <c r="AG1917" s="628" t="str">
        <f>AG1910</f>
        <v>NOT YET AVAILABLE</v>
      </c>
      <c r="BB1917" s="388"/>
      <c r="BM1917" s="4" t="s">
        <v>4119</v>
      </c>
      <c r="CF1917" s="4" t="s">
        <v>4125</v>
      </c>
    </row>
    <row r="1918" spans="1:129" s="4" customFormat="1" x14ac:dyDescent="0.3">
      <c r="A1918" s="246"/>
      <c r="B1918" s="1047"/>
      <c r="C1918" s="1047"/>
      <c r="D1918" s="1047"/>
      <c r="E1918" s="1047"/>
      <c r="F1918" s="246"/>
      <c r="AD1918" s="627" t="s">
        <v>4055</v>
      </c>
      <c r="AG1918" s="628" t="str">
        <f>AG1911</f>
        <v>WORKING ON IT</v>
      </c>
      <c r="AP1918" s="4">
        <f>AI1911</f>
        <v>0</v>
      </c>
      <c r="AQ1918" s="4" t="s">
        <v>4106</v>
      </c>
      <c r="AR1918" s="4">
        <f>BH208</f>
        <v>0</v>
      </c>
      <c r="AS1918" s="4" t="s">
        <v>4107</v>
      </c>
      <c r="BB1918" s="388"/>
      <c r="BM1918" s="4" t="s">
        <v>4093</v>
      </c>
      <c r="CF1918" s="48" t="s">
        <v>4126</v>
      </c>
    </row>
    <row r="1919" spans="1:129" s="4" customFormat="1" x14ac:dyDescent="0.3">
      <c r="A1919" s="246"/>
      <c r="B1919" s="1047" t="str">
        <f>AD1921</f>
        <v>With pioneering support from Value Relating, we're building support to convice the authorities to review Steph's compelling case. With your support, Marie, we can compel the prosecuting attorney of Kent County to see how innocent he actually is. The more who join our campaign, the greater the chance for Steph's exoneration. You can help write the narrative of his upcoming liberation. Join as a follower, for free, and see this story of discovered innocence unfold. Join as a supporter, to invest as little as $10 to start and $2.95 each week. Start with a 14-day trial to help create this unfolding narrative of discovered innocence. Click the link now to help us right this wrong, while the opportunity still exists. Thank you.</v>
      </c>
      <c r="C1919" s="1047"/>
      <c r="D1919" s="1047"/>
      <c r="E1919" s="1047"/>
      <c r="F1919" s="246"/>
      <c r="AD1919" s="627" t="s">
        <v>3288</v>
      </c>
      <c r="AF1919" s="503" t="str">
        <f>IF($D$1768=$AQ$1768,AG1919,AH1919)</f>
        <v>REQUIRES PASSKEY</v>
      </c>
      <c r="AG1919" s="628" t="str">
        <f>CONCATENATE(AI1919,AJ1919,AK1919,AL1919,AM1919,AN1919,AO1919,AP1919,AQ1919,AR1919,AS1919,AT1919,AU1919,AV1919,AX1919,AY1919,AZ1919,BA1919,BB1919,BC1919)</f>
        <v/>
      </c>
      <c r="AH1919" s="659" t="s">
        <v>4362</v>
      </c>
      <c r="BB1919" s="388"/>
      <c r="BM1919" s="4" t="s">
        <v>4116</v>
      </c>
      <c r="BW1919" s="503" t="s">
        <v>885</v>
      </c>
      <c r="BX1919" s="4" t="s">
        <v>4097</v>
      </c>
      <c r="CF1919" s="4" t="s">
        <v>4127</v>
      </c>
    </row>
    <row r="1920" spans="1:129" s="4" customFormat="1" x14ac:dyDescent="0.3">
      <c r="A1920" s="246"/>
      <c r="B1920" s="1047"/>
      <c r="C1920" s="1047"/>
      <c r="D1920" s="1047"/>
      <c r="E1920" s="1047"/>
      <c r="F1920" s="246"/>
      <c r="AD1920" s="627" t="s">
        <v>4056</v>
      </c>
      <c r="AF1920" s="503" t="str">
        <f>IF($D$1768=$AQ$1768,AG1920,AH1920)</f>
        <v>REQUIRES PASSKEY</v>
      </c>
      <c r="AG1920" s="628" t="str">
        <f>CONCATENATE(AI1920,AJ1920,AK1920,AL1920,AM1920,AN1920,AO1920,AP1920,AQ1920,AR1920,AS1920,AT1920,AU1920,AV1920,AX1920,AY1920,AZ1920,BA1920,BB1920,BC1920)</f>
        <v/>
      </c>
      <c r="AH1920" s="659" t="s">
        <v>4362</v>
      </c>
      <c r="BB1920" s="388"/>
      <c r="BM1920" s="4" t="s">
        <v>4094</v>
      </c>
      <c r="CF1920" s="4" t="s">
        <v>4128</v>
      </c>
      <c r="DY1920" s="4" t="str">
        <f>C202</f>
        <v>Steph</v>
      </c>
    </row>
    <row r="1921" spans="1:85" s="4" customFormat="1" x14ac:dyDescent="0.3">
      <c r="A1921" s="246"/>
      <c r="B1921" s="1047"/>
      <c r="C1921" s="1047"/>
      <c r="D1921" s="1047"/>
      <c r="E1921" s="1047"/>
      <c r="F1921" s="246"/>
      <c r="AD1921" s="632" t="str">
        <f>IF($C$1894=$AG$1891,AG1923,IF($C$1894=$AG$1892,AG1924,IF($C$1894=$AG$1893,AG1925,IF($C$1894=$AG$1894,AG1926,IF($C$1894=$AG$1895,AG1927,AH1922)))))</f>
        <v>With pioneering support from Value Relating, we're building support to convice the authorities to review Steph's compelling case. With your support, Marie, we can compel the prosecuting attorney of Kent County to see how innocent he actually is. The more who join our campaign, the greater the chance for Steph's exoneration. You can help write the narrative of his upcoming liberation. Join as a follower, for free, and see this story of discovered innocence unfold. Join as a supporter, to invest as little as $10 to start and $2.95 each week. Start with a 14-day trial to help create this unfolding narrative of discovered innocence. Click the link now to help us right this wrong, while the opportunity still exists. Thank you.</v>
      </c>
      <c r="BM1921" s="4" t="s">
        <v>4098</v>
      </c>
      <c r="CF1921" s="4" t="s">
        <v>4129</v>
      </c>
    </row>
    <row r="1922" spans="1:85" s="4" customFormat="1" x14ac:dyDescent="0.3">
      <c r="A1922" s="246"/>
      <c r="B1922" s="1047"/>
      <c r="C1922" s="1047"/>
      <c r="D1922" s="1047"/>
      <c r="E1922" s="1047"/>
      <c r="F1922" s="246"/>
      <c r="AD1922" s="627"/>
      <c r="AG1922" s="508">
        <f>IF($C$1894="",AH1922,AT1922)</f>
        <v>1</v>
      </c>
      <c r="AH1922" s="4" t="s">
        <v>3605</v>
      </c>
      <c r="AT1922" s="82">
        <f>IF($C$1894=AG$1891,AV1922,IF($C$1894=AG$1892,AW1922,IF($C$1894=AG$1893,AX1922,IF($C$1894=AG$1894,AY1922,IF($C$1894=AG$1895,AZ1922,IF($C$1894=AG$1896,BA1922,IF($C$1894=AG$1897,BB1922,IF($C$1894=AG$1898,BC1922,IF($C$1894=AG$1899,BD1922,"")))))))))</f>
        <v>1</v>
      </c>
      <c r="AV1922" s="4">
        <v>1</v>
      </c>
      <c r="AW1922" s="4">
        <v>2</v>
      </c>
      <c r="AX1922" s="4">
        <v>3</v>
      </c>
      <c r="AY1922" s="4">
        <v>4</v>
      </c>
      <c r="AZ1922" s="4">
        <v>5</v>
      </c>
      <c r="BA1922" s="4">
        <v>6</v>
      </c>
      <c r="BB1922" s="4">
        <v>7</v>
      </c>
      <c r="BC1922" s="4">
        <v>8</v>
      </c>
      <c r="BD1922" s="4">
        <v>9</v>
      </c>
      <c r="BE1922" s="4">
        <v>10</v>
      </c>
      <c r="BG1922" s="534"/>
      <c r="BM1922" s="4" t="s">
        <v>4095</v>
      </c>
    </row>
    <row r="1923" spans="1:85" s="4" customFormat="1" x14ac:dyDescent="0.3">
      <c r="A1923" s="246"/>
      <c r="B1923" s="1047"/>
      <c r="C1923" s="1047"/>
      <c r="D1923" s="1047"/>
      <c r="E1923" s="1047"/>
      <c r="F1923" s="246"/>
      <c r="AD1923" s="627" t="s">
        <v>62</v>
      </c>
      <c r="AG1923" s="628" t="str">
        <f>CONCATENATE(AI1923,AJ1923,AK1923,AL1923,AM1923,AN1923,AO1923,AP1923,AQ1923,AR1923,AS1923,AT1923,AU1923,AV1923,AW1923,AX1923,AY1923,AZ1923,BA1923,BB1923,BC1923)</f>
        <v>With pioneering support from Value Relating, we're building support to convice the authorities to review Steph's compelling case. With your support, Marie, we can compel the prosecuting attorney of Kent County to see how innocent he actually is. The more who join our campaign, the greater the chance for Steph's exoneration. You can help write the narrative of his upcoming liberation. Join as a follower, for free, and see this story of discovered innocence unfold. Join as a supporter, to invest as little as $10 to start and $2.95 each week. Start with a 14-day trial to help create this unfolding narrative of discovered innocence. Click the link now to help us right this wrong, while the opportunity still exists. Thank you.</v>
      </c>
      <c r="AI1923" s="4" t="s">
        <v>4139</v>
      </c>
      <c r="AJ1923" s="4" t="str">
        <f>AN202</f>
        <v>Steph</v>
      </c>
      <c r="AK1923" s="503" t="s">
        <v>4135</v>
      </c>
      <c r="AL1923" s="503" t="str">
        <f>AL1916</f>
        <v>Marie</v>
      </c>
      <c r="AM1923" s="4" t="s">
        <v>4138</v>
      </c>
      <c r="AN1923" s="82" t="str">
        <f>IF(AND(B265="",C265=""),"the district attorney",BZ3213)</f>
        <v>the prosecuting attorney of Kent County</v>
      </c>
      <c r="AO1923" s="4" t="s">
        <v>4137</v>
      </c>
      <c r="AP1923" s="503" t="str">
        <f>BH206</f>
        <v>he</v>
      </c>
      <c r="AQ1923" s="4" t="s">
        <v>4122</v>
      </c>
      <c r="AR1923" s="4" t="s">
        <v>4132</v>
      </c>
      <c r="AS1923" s="4" t="str">
        <f>AN202</f>
        <v>Steph</v>
      </c>
      <c r="AT1923" s="503" t="s">
        <v>4133</v>
      </c>
      <c r="AU1923" s="4" t="str">
        <f>BJ206</f>
        <v>his</v>
      </c>
      <c r="AV1923" s="4" t="s">
        <v>4134</v>
      </c>
      <c r="AW1923" s="4" t="s">
        <v>4136</v>
      </c>
      <c r="AX1923" s="4" t="s">
        <v>4501</v>
      </c>
      <c r="AZ1923" s="4" t="s">
        <v>4129</v>
      </c>
      <c r="BD1923" s="388"/>
    </row>
    <row r="1924" spans="1:85" s="4" customFormat="1" x14ac:dyDescent="0.3">
      <c r="A1924" s="246"/>
      <c r="B1924" s="1047"/>
      <c r="C1924" s="1047"/>
      <c r="D1924" s="1047"/>
      <c r="E1924" s="1047"/>
      <c r="F1924" s="246"/>
      <c r="AD1924" s="627" t="s">
        <v>64</v>
      </c>
      <c r="AG1924" s="628" t="str">
        <f>AG1917</f>
        <v>NOT YET AVAILABLE</v>
      </c>
      <c r="BB1924" s="388"/>
      <c r="CG1924" s="4" t="s">
        <v>4117</v>
      </c>
    </row>
    <row r="1925" spans="1:85" s="4" customFormat="1" x14ac:dyDescent="0.3">
      <c r="A1925" s="246"/>
      <c r="B1925" s="1047"/>
      <c r="C1925" s="1047"/>
      <c r="D1925" s="1047"/>
      <c r="E1925" s="1047"/>
      <c r="F1925" s="246"/>
      <c r="AD1925" s="627" t="s">
        <v>4055</v>
      </c>
      <c r="AG1925" s="628" t="str">
        <f>AG1918</f>
        <v>WORKING ON IT</v>
      </c>
      <c r="BB1925" s="388"/>
    </row>
    <row r="1926" spans="1:85" s="4" customFormat="1" x14ac:dyDescent="0.3">
      <c r="A1926" s="246"/>
      <c r="B1926" s="1047"/>
      <c r="C1926" s="1047"/>
      <c r="D1926" s="1047"/>
      <c r="E1926" s="1047"/>
      <c r="F1926" s="246"/>
      <c r="AD1926" s="627" t="s">
        <v>3288</v>
      </c>
      <c r="AF1926" s="503" t="str">
        <f>IF($D$1768=$AQ$1768,AG1926,AH1926)</f>
        <v>REQUIRES PASSKEY</v>
      </c>
      <c r="AG1926" s="628" t="str">
        <f>CONCATENATE(AI1926,AJ1926,AK1926,AL1926,AM1926,AN1926,AO1926,AP1926,AQ1926,AR1926,AS1926,AT1926,AU1926,AV1926,AX1926,AY1926,AZ1926,BA1926,BB1926,BC1926)</f>
        <v xml:space="preserve">Together, we are challenging the divisiveness of adversarial justice. We know first hand its devestating limits. </v>
      </c>
      <c r="AH1926" s="659" t="s">
        <v>4362</v>
      </c>
      <c r="AQ1926" s="4" t="s">
        <v>5326</v>
      </c>
      <c r="BB1926" s="388"/>
    </row>
    <row r="1927" spans="1:85" s="4" customFormat="1" x14ac:dyDescent="0.3">
      <c r="A1927" s="246"/>
      <c r="B1927" s="1047"/>
      <c r="C1927" s="1047"/>
      <c r="D1927" s="1047"/>
      <c r="E1927" s="1047"/>
      <c r="F1927" s="246"/>
      <c r="AD1927" s="627" t="s">
        <v>4056</v>
      </c>
      <c r="AF1927" s="503" t="str">
        <f>IF($D$1768=$AQ$1768,AG1927,AH1927)</f>
        <v>REQUIRES PASSKEY</v>
      </c>
      <c r="AG1927" s="628" t="str">
        <f>CONCATENATE(AI1927,AJ1927,AK1927,AL1927,AM1927,AN1927,AO1927,AP1927,AQ1927,AR1927,AS1927,AT1927,AU1927,AV1927,AX1927,AY1927,AZ1927,BA1927,BB1927,BC1927)</f>
        <v/>
      </c>
      <c r="AH1927" s="659" t="s">
        <v>4362</v>
      </c>
      <c r="BB1927" s="388"/>
    </row>
    <row r="1928" spans="1:85" s="4" customFormat="1" x14ac:dyDescent="0.3">
      <c r="A1928" s="246"/>
      <c r="B1928" s="1047"/>
      <c r="C1928" s="1047"/>
      <c r="D1928" s="1047"/>
      <c r="E1928" s="1047"/>
      <c r="F1928" s="246"/>
    </row>
    <row r="1929" spans="1:85" s="4" customFormat="1" x14ac:dyDescent="0.3">
      <c r="A1929" s="246"/>
      <c r="B1929" s="1047"/>
      <c r="C1929" s="1047"/>
      <c r="D1929" s="1047"/>
      <c r="E1929" s="1047"/>
      <c r="F1929" s="246"/>
      <c r="AD1929" s="627"/>
    </row>
    <row r="1930" spans="1:85" s="4" customFormat="1" ht="14.5" x14ac:dyDescent="0.35">
      <c r="A1930" s="246"/>
      <c r="B1930" s="1103" t="str">
        <f>BG1889</f>
        <v>https://www.valuerelating.com/1993-steph-turner</v>
      </c>
      <c r="C1930" s="1103"/>
      <c r="D1930" s="1103"/>
      <c r="E1930" s="1103"/>
      <c r="F1930" s="246"/>
      <c r="AD1930" s="627"/>
      <c r="AH1930" s="633" t="s">
        <v>3604</v>
      </c>
    </row>
    <row r="1931" spans="1:85" s="4" customFormat="1" ht="14.5" thickBot="1" x14ac:dyDescent="0.35">
      <c r="A1931" s="246"/>
      <c r="B1931" s="246"/>
      <c r="C1931" s="246"/>
      <c r="D1931" s="246"/>
      <c r="E1931" s="246"/>
      <c r="F1931" s="246"/>
      <c r="BB1931" s="388"/>
    </row>
    <row r="1932" spans="1:85" s="4" customFormat="1" x14ac:dyDescent="0.3">
      <c r="A1932" s="518"/>
      <c r="B1932" s="519"/>
      <c r="C1932" s="519"/>
      <c r="D1932" s="519"/>
      <c r="E1932" s="519"/>
      <c r="F1932" s="520"/>
      <c r="BB1932" s="388"/>
    </row>
    <row r="1933" spans="1:85" s="4" customFormat="1" x14ac:dyDescent="0.3">
      <c r="A1933" s="521"/>
      <c r="B1933" s="661" t="s">
        <v>3567</v>
      </c>
      <c r="C1933" s="660" t="s">
        <v>4386</v>
      </c>
      <c r="D1933" s="662" t="s">
        <v>4381</v>
      </c>
      <c r="E1933" s="522"/>
      <c r="F1933" s="523"/>
      <c r="BB1933" s="388"/>
    </row>
    <row r="1934" spans="1:85" s="4" customFormat="1" ht="14.5" thickBot="1" x14ac:dyDescent="0.35">
      <c r="A1934" s="524"/>
      <c r="B1934" s="525"/>
      <c r="C1934" s="525"/>
      <c r="D1934" s="525"/>
      <c r="E1934" s="525"/>
      <c r="F1934" s="526"/>
      <c r="BB1934" s="388"/>
    </row>
    <row r="1935" spans="1:85" s="4" customFormat="1" ht="30" customHeight="1" x14ac:dyDescent="0.3">
      <c r="A1935" s="862" t="s">
        <v>86</v>
      </c>
      <c r="B1935" s="862" t="s">
        <v>3571</v>
      </c>
      <c r="C1935" s="862"/>
      <c r="D1935" s="872" t="s">
        <v>3512</v>
      </c>
      <c r="E1935" s="864"/>
      <c r="F1935" s="864"/>
      <c r="BB1935" s="388" t="str">
        <f>AG1950</f>
        <v xml:space="preserve">My name is Sandra Lewison and I am trying to help my friend Steph Turner to identify any support in his case documents. </v>
      </c>
    </row>
    <row r="1936" spans="1:85" s="4" customFormat="1" x14ac:dyDescent="0.3">
      <c r="A1936" s="246"/>
      <c r="B1936" s="246"/>
      <c r="C1936" s="246"/>
      <c r="D1936" s="246"/>
      <c r="E1936" s="246"/>
      <c r="F1936" s="246"/>
      <c r="AA1936" s="508" t="str">
        <f>CONCATENATE(AB1936,AC1936)</f>
        <v>CC: Steph</v>
      </c>
      <c r="AB1936" s="4" t="s">
        <v>4167</v>
      </c>
      <c r="AC1936" s="4" t="str">
        <f>AN202</f>
        <v>Steph</v>
      </c>
      <c r="AS1936" s="4" t="s">
        <v>4166</v>
      </c>
      <c r="BB1936" s="388"/>
      <c r="BF1936" s="389"/>
      <c r="BG1936" s="4" t="s">
        <v>62</v>
      </c>
      <c r="BI1936" s="4" t="s">
        <v>64</v>
      </c>
      <c r="BK1936" s="4" t="s">
        <v>4055</v>
      </c>
      <c r="BO1936" s="628" t="str">
        <f>IF(C1938=AP1937,BU1937,IF(C1938=AP1938,BU1938,IF(C1938=AP1939,BU1939,IF(C1938=AP1940,BU1940,IF(C1938=AP1941,BU1941,IF(C1938=AP1942,BU1942,""))))))</f>
        <v>I 100% support Steph Turner's 86% estimated innocence</v>
      </c>
    </row>
    <row r="1937" spans="1:73" s="4" customFormat="1" ht="14.5" thickBot="1" x14ac:dyDescent="0.35">
      <c r="A1937" s="246"/>
      <c r="B1937" s="246"/>
      <c r="C1937" s="246"/>
      <c r="D1937" s="246"/>
      <c r="E1937" s="246"/>
      <c r="F1937" s="246"/>
      <c r="AA1937" s="508" t="str">
        <f>CONCATENATE(AB1937,AC1937)</f>
        <v>CC: Proxy</v>
      </c>
      <c r="AB1937" s="4" t="s">
        <v>4167</v>
      </c>
      <c r="AC1937" s="4" t="str">
        <f>AN212</f>
        <v>Proxy</v>
      </c>
      <c r="AD1937" s="508" t="str">
        <f t="shared" ref="AD1937:AD1942" si="92">CONCATENATE(AG1937,AH1937,AI1937,AJ1937,AL1937)</f>
        <v>I support 100% Steph Turner's strong claim of innocence</v>
      </c>
      <c r="AG1937" s="4" t="s">
        <v>3585</v>
      </c>
      <c r="AH1937" s="4" t="str">
        <f>IF(C202="","this claimant",BG202)</f>
        <v>Steph Turner</v>
      </c>
      <c r="AI1937" s="503" t="s">
        <v>3587</v>
      </c>
      <c r="AJ1937" s="4" t="str">
        <f>IF(AX$51=0,"compelling claim",AX$51)</f>
        <v>strong claim</v>
      </c>
      <c r="AL1937" s="4" t="s">
        <v>4153</v>
      </c>
      <c r="AP1937" s="4" t="s">
        <v>4154</v>
      </c>
      <c r="AR1937" s="503" t="s">
        <v>885</v>
      </c>
      <c r="AS1937" s="4" t="s">
        <v>4159</v>
      </c>
      <c r="AU1937" s="4" t="s">
        <v>4232</v>
      </c>
      <c r="AW1937" s="4" t="s">
        <v>3572</v>
      </c>
      <c r="BB1937" s="388"/>
      <c r="BF1937" s="389">
        <v>1</v>
      </c>
      <c r="BG1937" s="4" t="str">
        <f>$C913</f>
        <v>No criminal history</v>
      </c>
      <c r="BI1937" s="4" t="str">
        <f>$C914</f>
        <v>Consistently maintained innocence, took no plea deals</v>
      </c>
      <c r="BK1937" s="4" t="str">
        <f>$C915</f>
        <v>Transphobic investigation and prosecution</v>
      </c>
      <c r="BO1937" s="4" t="s">
        <v>4230</v>
      </c>
      <c r="BP1937" s="4" t="str">
        <f>AH1937</f>
        <v>Steph Turner</v>
      </c>
      <c r="BQ1937" s="503" t="s">
        <v>3587</v>
      </c>
      <c r="BR1937" s="4" t="str">
        <f>IF(BS1937&gt;75,CONCATENATE(BS1937,BT1937),"compelling innocence claim")</f>
        <v>86% estimated innocence</v>
      </c>
      <c r="BS1937" s="629">
        <f>AI1984</f>
        <v>86</v>
      </c>
      <c r="BT1937" s="503" t="s">
        <v>4493</v>
      </c>
      <c r="BU1937" s="508" t="str">
        <f>CONCATENATE(BO1937,BP1937,BQ1937,BR1937)</f>
        <v>I 100% support Steph Turner's 86% estimated innocence</v>
      </c>
    </row>
    <row r="1938" spans="1:73" s="4" customFormat="1" ht="14.5" thickBot="1" x14ac:dyDescent="0.35">
      <c r="A1938" s="246"/>
      <c r="B1938" s="477" t="s">
        <v>1408</v>
      </c>
      <c r="C1938" s="637" t="s">
        <v>4154</v>
      </c>
      <c r="D1938" s="638"/>
      <c r="E1938" s="479"/>
      <c r="F1938" s="246"/>
      <c r="AA1938" s="508" t="str">
        <f>CONCATENATE(AB1938,AC1938)</f>
        <v>CC: Steph &amp; Proxy</v>
      </c>
      <c r="AB1938" s="4" t="s">
        <v>4167</v>
      </c>
      <c r="AC1938" s="4" t="str">
        <f>CONCATENATE(AN202," &amp; ",AN212)</f>
        <v>Steph &amp; Proxy</v>
      </c>
      <c r="AD1938" s="508" t="str">
        <f t="shared" si="92"/>
        <v>I am investing 100% in Steph Turner's strong claim of innocence</v>
      </c>
      <c r="AG1938" s="4" t="s">
        <v>3586</v>
      </c>
      <c r="AH1938" s="4" t="str">
        <f t="shared" ref="AH1938:AJ1941" si="93">AH1937</f>
        <v>Steph Turner</v>
      </c>
      <c r="AI1938" s="4" t="str">
        <f t="shared" si="93"/>
        <v xml:space="preserve">'s </v>
      </c>
      <c r="AJ1938" s="4" t="str">
        <f>AJ1937</f>
        <v>strong claim</v>
      </c>
      <c r="AL1938" s="4" t="s">
        <v>4153</v>
      </c>
      <c r="AP1938" s="4" t="s">
        <v>4155</v>
      </c>
      <c r="AR1938" s="503" t="s">
        <v>885</v>
      </c>
      <c r="AS1938" s="4" t="s">
        <v>4164</v>
      </c>
      <c r="AU1938" s="4" t="s">
        <v>3509</v>
      </c>
      <c r="AW1938" s="4" t="s">
        <v>3573</v>
      </c>
      <c r="BB1938" s="388"/>
      <c r="BF1938" s="389">
        <v>2</v>
      </c>
      <c r="BG1938" s="4" t="str">
        <f t="shared" ref="BG1938:BG1944" si="94">$C914</f>
        <v>Consistently maintained innocence, took no plea deals</v>
      </c>
      <c r="BI1938" s="4" t="str">
        <f t="shared" ref="BI1938:BI1943" si="95">$C915</f>
        <v>Transphobic investigation and prosecution</v>
      </c>
      <c r="BK1938" s="4" t="str">
        <f t="shared" ref="BK1938:BK1942" si="96">$C916</f>
        <v>Convicted without corroborating evidence</v>
      </c>
      <c r="BO1938" s="4" t="s">
        <v>4231</v>
      </c>
      <c r="BU1938" s="508" t="str">
        <f>CONCATENATE(BO1938,BP1938,BQ1938)</f>
        <v>NOT YET READY</v>
      </c>
    </row>
    <row r="1939" spans="1:73" s="4" customFormat="1" ht="14.5" thickBot="1" x14ac:dyDescent="0.35">
      <c r="A1939" s="246"/>
      <c r="B1939" s="477" t="s">
        <v>1409</v>
      </c>
      <c r="C1939" s="532" t="s">
        <v>5182</v>
      </c>
      <c r="D1939" s="639" t="str">
        <f>IF(C1938=AP1942,AS1936,"")</f>
        <v/>
      </c>
      <c r="E1939" s="479"/>
      <c r="F1939" s="246"/>
      <c r="AD1939" s="508" t="str">
        <f t="shared" si="92"/>
        <v>I am sponsoring 100% Steph Turner's strong claim of innocence</v>
      </c>
      <c r="AG1939" s="4" t="s">
        <v>3588</v>
      </c>
      <c r="AH1939" s="4" t="str">
        <f t="shared" si="93"/>
        <v>Steph Turner</v>
      </c>
      <c r="AI1939" s="4" t="str">
        <f t="shared" si="93"/>
        <v xml:space="preserve">'s </v>
      </c>
      <c r="AJ1939" s="4" t="str">
        <f t="shared" si="93"/>
        <v>strong claim</v>
      </c>
      <c r="AL1939" s="4" t="s">
        <v>4153</v>
      </c>
      <c r="AP1939" s="4" t="s">
        <v>4156</v>
      </c>
      <c r="AR1939" s="503" t="s">
        <v>885</v>
      </c>
      <c r="AS1939" s="4" t="s">
        <v>4161</v>
      </c>
      <c r="AU1939" s="4" t="s">
        <v>4233</v>
      </c>
      <c r="AW1939" s="4" t="s">
        <v>3575</v>
      </c>
      <c r="BB1939" s="388"/>
      <c r="BF1939" s="389">
        <v>3</v>
      </c>
      <c r="BG1939" s="4" t="str">
        <f t="shared" si="94"/>
        <v>Transphobic investigation and prosecution</v>
      </c>
      <c r="BI1939" s="4" t="str">
        <f t="shared" si="95"/>
        <v>Convicted without corroborating evidence</v>
      </c>
      <c r="BK1939" s="4" t="str">
        <f t="shared" si="96"/>
        <v>Climate of sex abuse hysteria</v>
      </c>
      <c r="BO1939" s="4" t="s">
        <v>4231</v>
      </c>
      <c r="BU1939" s="508" t="str">
        <f>CONCATENATE(BO1939,BP1939,BQ1939)</f>
        <v>NOT YET READY</v>
      </c>
    </row>
    <row r="1940" spans="1:73" s="4" customFormat="1" ht="14.5" thickBot="1" x14ac:dyDescent="0.35">
      <c r="A1940" s="246"/>
      <c r="B1940" s="477" t="s">
        <v>1410</v>
      </c>
      <c r="C1940" s="533">
        <f ca="1">TODAY()</f>
        <v>45774</v>
      </c>
      <c r="D1940" s="479"/>
      <c r="E1940" s="479"/>
      <c r="F1940" s="246"/>
      <c r="AD1940" s="508" t="str">
        <f t="shared" si="92"/>
        <v>Join me in following Steph Turner's strong claim of innocence</v>
      </c>
      <c r="AG1940" s="4" t="s">
        <v>3589</v>
      </c>
      <c r="AH1940" s="4" t="str">
        <f t="shared" si="93"/>
        <v>Steph Turner</v>
      </c>
      <c r="AI1940" s="4" t="str">
        <f t="shared" si="93"/>
        <v xml:space="preserve">'s </v>
      </c>
      <c r="AJ1940" s="4" t="str">
        <f t="shared" si="93"/>
        <v>strong claim</v>
      </c>
      <c r="AL1940" s="4" t="s">
        <v>4153</v>
      </c>
      <c r="AP1940" s="4" t="s">
        <v>4157</v>
      </c>
      <c r="AR1940" s="503" t="s">
        <v>885</v>
      </c>
      <c r="AS1940" s="4" t="s">
        <v>4162</v>
      </c>
      <c r="AU1940" s="4" t="s">
        <v>4234</v>
      </c>
      <c r="AW1940" s="4" t="s">
        <v>3574</v>
      </c>
      <c r="BB1940" s="388"/>
      <c r="BF1940" s="389">
        <v>4</v>
      </c>
      <c r="BG1940" s="4" t="str">
        <f t="shared" si="94"/>
        <v>Convicted without corroborating evidence</v>
      </c>
      <c r="BI1940" s="4" t="str">
        <f t="shared" si="95"/>
        <v>Climate of sex abuse hysteria</v>
      </c>
      <c r="BK1940" s="4" t="str">
        <f t="shared" si="96"/>
        <v>Media sensationalized coverage</v>
      </c>
      <c r="BO1940" s="4" t="s">
        <v>4231</v>
      </c>
      <c r="BU1940" s="508" t="str">
        <f>CONCATENATE(BO1940,BP1940,BQ1940)</f>
        <v>NOT YET READY</v>
      </c>
    </row>
    <row r="1941" spans="1:73" s="4" customFormat="1" ht="14.5" thickBot="1" x14ac:dyDescent="0.35">
      <c r="A1941" s="246"/>
      <c r="B1941" s="477" t="s">
        <v>1411</v>
      </c>
      <c r="C1941" s="1100" t="str">
        <f>BO1936</f>
        <v>I 100% support Steph Turner's 86% estimated innocence</v>
      </c>
      <c r="D1941" s="1101"/>
      <c r="E1941" s="1102"/>
      <c r="F1941" s="246"/>
      <c r="AD1941" s="508" t="str">
        <f t="shared" si="92"/>
        <v>Join me in supporting Steph Turner's strong claim of innocence</v>
      </c>
      <c r="AG1941" s="4" t="s">
        <v>3591</v>
      </c>
      <c r="AH1941" s="4" t="str">
        <f t="shared" si="93"/>
        <v>Steph Turner</v>
      </c>
      <c r="AI1941" s="4" t="str">
        <f t="shared" si="93"/>
        <v xml:space="preserve">'s </v>
      </c>
      <c r="AJ1941" s="4" t="str">
        <f t="shared" si="93"/>
        <v>strong claim</v>
      </c>
      <c r="AL1941" s="4" t="s">
        <v>4153</v>
      </c>
      <c r="AP1941" s="4" t="s">
        <v>4158</v>
      </c>
      <c r="AR1941" s="503" t="s">
        <v>885</v>
      </c>
      <c r="AS1941" s="4" t="s">
        <v>4160</v>
      </c>
      <c r="AU1941" s="4" t="s">
        <v>4235</v>
      </c>
      <c r="AW1941" s="4" t="s">
        <v>3576</v>
      </c>
      <c r="BB1941" s="388"/>
      <c r="BF1941" s="389">
        <v>5</v>
      </c>
      <c r="BG1941" s="4" t="str">
        <f t="shared" si="94"/>
        <v>Climate of sex abuse hysteria</v>
      </c>
      <c r="BI1941" s="4" t="str">
        <f t="shared" si="95"/>
        <v>Media sensationalized coverage</v>
      </c>
      <c r="BK1941" s="4" t="str">
        <f t="shared" si="96"/>
        <v>Exculpatory evidence overlooked with untested DNA</v>
      </c>
      <c r="BO1941" s="4" t="s">
        <v>4231</v>
      </c>
      <c r="BU1941" s="508" t="str">
        <f>CONCATENATE(BO1941,BP1941,BQ1941)</f>
        <v>NOT YET READY</v>
      </c>
    </row>
    <row r="1942" spans="1:73" s="4" customFormat="1" x14ac:dyDescent="0.3">
      <c r="A1942" s="246"/>
      <c r="B1942" s="246"/>
      <c r="C1942" s="246"/>
      <c r="D1942" s="246"/>
      <c r="E1942" s="246"/>
      <c r="F1942" s="246"/>
      <c r="AC1942" s="389"/>
      <c r="AD1942" s="508" t="str">
        <f t="shared" si="92"/>
        <v>Join me in sponsoring Steph Turner's strong claim of innocence</v>
      </c>
      <c r="AG1942" s="4" t="s">
        <v>3590</v>
      </c>
      <c r="AH1942" s="4" t="str">
        <f>AH1940</f>
        <v>Steph Turner</v>
      </c>
      <c r="AI1942" s="4" t="str">
        <f>AI1940</f>
        <v xml:space="preserve">'s </v>
      </c>
      <c r="AJ1942" s="4" t="str">
        <f>AJ1941</f>
        <v>strong claim</v>
      </c>
      <c r="AL1942" s="4" t="s">
        <v>4153</v>
      </c>
      <c r="AP1942" s="4" t="str">
        <f>IF(AND(B265="",C265=""),"district attorney",BZ3215)</f>
        <v>Prosecuting Attorney of Kent County in Michigan</v>
      </c>
      <c r="AR1942" s="503" t="s">
        <v>885</v>
      </c>
      <c r="AS1942" s="4" t="s">
        <v>4163</v>
      </c>
      <c r="AU1942" s="4" t="s">
        <v>4236</v>
      </c>
      <c r="BB1942" s="388"/>
      <c r="BF1942" s="389">
        <v>6</v>
      </c>
      <c r="BG1942" s="4" t="str">
        <f t="shared" si="94"/>
        <v>Media sensationalized coverage</v>
      </c>
      <c r="BI1942" s="4" t="str">
        <f t="shared" si="95"/>
        <v>Exculpatory evidence overlooked with untested DNA</v>
      </c>
      <c r="BK1942" s="4" t="str">
        <f t="shared" si="96"/>
        <v>Asexual transperson must register for life as "sex offender"</v>
      </c>
      <c r="BO1942" s="4" t="s">
        <v>4231</v>
      </c>
      <c r="BQ1942" s="4" t="str">
        <f>IF(D1939=AS1937,AU1937,IF(D1939=AS1938,AU1938,IF(D1939=AS1939,AU1939,IF(D1939=AS1940,AU1940,IF(D1939=AS1941,AU1941,IF(D1939=AS1942,AU1942,IF(D1939=AS1936,AU1937,AU1937)))))))</f>
        <v>c</v>
      </c>
      <c r="BU1942" s="508" t="str">
        <f>CONCATENATE(BO1942,BP1942,BQ1942)</f>
        <v>NOT YET READYc</v>
      </c>
    </row>
    <row r="1943" spans="1:73" s="4" customFormat="1" x14ac:dyDescent="0.3">
      <c r="A1943" s="246"/>
      <c r="B1943" s="1047" t="str">
        <f>IF(OR(C1938="",C1939=""),AH1944,AD1943)</f>
        <v xml:space="preserve">My friend Steph Turner and I could be enjoying time together right now. Instead, he currently underemployed because of a crime he didn't do. Now he has a unique tool to demonstrate the level of his actual innocence. Compared to those already exonerated, this tool estimates that Steph has a 86% likelihood of being actually innocent. </v>
      </c>
      <c r="C1943" s="1047"/>
      <c r="D1943" s="1047"/>
      <c r="E1943" s="1047"/>
      <c r="F1943" s="246"/>
      <c r="AC1943" s="389"/>
      <c r="AD1943" s="632" t="str">
        <f>IF($C$1938=$AP$1937,AG1945,IF($C$1938=$AP$1938,AG1946,IF($C$1938=$AP$1939,AG1947,IF($C$1938=$AP$1940,AG1948,IF($C$1938=$AP$1941,AG1949,IF($C$1938=$AP$1942,AG1950,AH1944))))))</f>
        <v xml:space="preserve">My friend Steph Turner and I could be enjoying time together right now. Instead, he currently underemployed because of a crime he didn't do. Now he has a unique tool to demonstrate the level of his actual innocence. Compared to those already exonerated, this tool estimates that Steph has a 86% likelihood of being actually innocent. </v>
      </c>
      <c r="BB1943" s="388"/>
      <c r="BF1943" s="389">
        <v>7</v>
      </c>
      <c r="BG1943" s="4" t="str">
        <f t="shared" si="94"/>
        <v>Exculpatory evidence overlooked with untested DNA</v>
      </c>
      <c r="BI1943" s="4" t="str">
        <f t="shared" si="95"/>
        <v>Asexual transperson must register for life as "sex offender"</v>
      </c>
      <c r="BK1943" s="4" t="str">
        <f>$C913</f>
        <v>No criminal history</v>
      </c>
    </row>
    <row r="1944" spans="1:73" s="4" customFormat="1" x14ac:dyDescent="0.3">
      <c r="A1944" s="246"/>
      <c r="B1944" s="1047"/>
      <c r="C1944" s="1047"/>
      <c r="D1944" s="1047"/>
      <c r="E1944" s="1047"/>
      <c r="F1944" s="246"/>
      <c r="AC1944" s="389"/>
      <c r="AG1944" s="508">
        <f>IF($C$1894="",AH1944,AT1944)</f>
        <v>0</v>
      </c>
      <c r="AH1944" s="4" t="s">
        <v>4210</v>
      </c>
      <c r="BB1944" s="388"/>
      <c r="BF1944" s="389">
        <v>8</v>
      </c>
      <c r="BG1944" s="4" t="str">
        <f t="shared" si="94"/>
        <v>Asexual transperson must register for life as "sex offender"</v>
      </c>
      <c r="BI1944" s="4" t="str">
        <f>$C913</f>
        <v>No criminal history</v>
      </c>
      <c r="BK1944" s="4" t="str">
        <f>$C914</f>
        <v>Consistently maintained innocence, took no plea deals</v>
      </c>
    </row>
    <row r="1945" spans="1:73" s="4" customFormat="1" x14ac:dyDescent="0.3">
      <c r="A1945" s="246"/>
      <c r="B1945" s="1047"/>
      <c r="C1945" s="1047"/>
      <c r="D1945" s="1047"/>
      <c r="E1945" s="1047"/>
      <c r="F1945" s="246"/>
      <c r="AC1945" s="389"/>
      <c r="AD1945" s="627" t="s">
        <v>62</v>
      </c>
      <c r="AG1945" s="628" t="str">
        <f t="shared" ref="AG1945:AG1950" si="97">CONCATENATE(AI1945,AJ1945,AK1945,AL1945,AM1945,AN1945,AO1945,AP1945,AQ1945,AR1945,AS1945,AT1945,AU1945,AV1945,AX1945,AY1945,AZ1945,BA1945,BB1945,BC1945)</f>
        <v xml:space="preserve">My friend Steph Turner and I could be enjoying time together right now. Instead, he currently underemployed because of a crime he didn't do. Now he has a unique tool to demonstrate the level of his actual innocence. Compared to those already exonerated, this tool estimates that Steph has a 86% likelihood of being actually innocent. </v>
      </c>
      <c r="AH1945" s="503" t="s">
        <v>885</v>
      </c>
      <c r="AI1945" s="4" t="s">
        <v>4220</v>
      </c>
      <c r="AJ1945" s="4" t="str">
        <f>BG202</f>
        <v>Steph Turner</v>
      </c>
      <c r="AK1945" s="4" t="s">
        <v>4224</v>
      </c>
      <c r="AL1945" s="4" t="str">
        <f>BH206</f>
        <v>he</v>
      </c>
      <c r="AM1945" s="4" t="str">
        <f>AV311</f>
        <v xml:space="preserve"> currently underemployed because of a crime he didn't do. </v>
      </c>
      <c r="AN1945" s="4" t="s">
        <v>4222</v>
      </c>
      <c r="AO1945" s="4" t="str">
        <f>BH206</f>
        <v>he</v>
      </c>
      <c r="AP1945" s="4" t="s">
        <v>4223</v>
      </c>
      <c r="AQ1945" s="4" t="str">
        <f>BJ206</f>
        <v>his</v>
      </c>
      <c r="AR1945" s="4" t="s">
        <v>4225</v>
      </c>
      <c r="AS1945" s="4" t="str">
        <f>AN202</f>
        <v>Steph</v>
      </c>
      <c r="AT1945" s="4" t="s">
        <v>4226</v>
      </c>
      <c r="AU1945" s="629">
        <f>AI1984</f>
        <v>86</v>
      </c>
      <c r="AV1945" s="503" t="s">
        <v>4227</v>
      </c>
      <c r="BB1945" s="388"/>
    </row>
    <row r="1946" spans="1:73" s="4" customFormat="1" x14ac:dyDescent="0.3">
      <c r="A1946" s="246"/>
      <c r="B1946" s="1047"/>
      <c r="C1946" s="1047"/>
      <c r="D1946" s="1047"/>
      <c r="E1946" s="1047"/>
      <c r="F1946" s="246"/>
      <c r="AC1946" s="389"/>
      <c r="AD1946" s="627" t="s">
        <v>64</v>
      </c>
      <c r="AG1946" s="628" t="str">
        <f t="shared" si="97"/>
        <v xml:space="preserve">Steph Turner holds no bitterness toward the complainant </v>
      </c>
      <c r="AH1946" s="503" t="s">
        <v>885</v>
      </c>
      <c r="AI1946" s="4" t="str">
        <f>BG202</f>
        <v>Steph Turner</v>
      </c>
      <c r="AJ1946" s="4" t="s">
        <v>4219</v>
      </c>
      <c r="BB1946" s="388"/>
    </row>
    <row r="1947" spans="1:73" s="4" customFormat="1" x14ac:dyDescent="0.3">
      <c r="A1947" s="246"/>
      <c r="B1947" s="1047"/>
      <c r="C1947" s="1047"/>
      <c r="D1947" s="1047"/>
      <c r="E1947" s="1047"/>
      <c r="F1947" s="246"/>
      <c r="AC1947" s="389"/>
      <c r="AD1947" s="627" t="s">
        <v>4055</v>
      </c>
      <c r="AG1947" s="628" t="str">
        <f t="shared" si="97"/>
        <v>3rd</v>
      </c>
      <c r="AH1947" s="503" t="s">
        <v>885</v>
      </c>
      <c r="AI1947" s="4" t="s">
        <v>4211</v>
      </c>
      <c r="BB1947" s="388"/>
    </row>
    <row r="1948" spans="1:73" s="4" customFormat="1" x14ac:dyDescent="0.3">
      <c r="A1948" s="246"/>
      <c r="B1948" s="1047"/>
      <c r="C1948" s="1047"/>
      <c r="D1948" s="1047"/>
      <c r="E1948" s="1047"/>
      <c r="F1948" s="246"/>
      <c r="AD1948" s="627" t="s">
        <v>3288</v>
      </c>
      <c r="AG1948" s="628" t="str">
        <f t="shared" si="97"/>
        <v>4th</v>
      </c>
      <c r="AH1948" s="503" t="s">
        <v>885</v>
      </c>
      <c r="AI1948" s="4" t="s">
        <v>4212</v>
      </c>
      <c r="BB1948" s="388"/>
    </row>
    <row r="1949" spans="1:73" s="4" customFormat="1" x14ac:dyDescent="0.3">
      <c r="A1949" s="246"/>
      <c r="B1949" s="1047" t="str">
        <f>IF(OR(C1938="",C1939=""),AH1952,AD1951)</f>
        <v>I learned Steph has asked for help from innocence projects four times. And I learned there are far more wrongly convicted than innocence projects can process. I joined his innocence campaign to help pick up the slack. This new tool highlights some of Steph's compelling innocence.</v>
      </c>
      <c r="C1949" s="1047"/>
      <c r="D1949" s="1047"/>
      <c r="E1949" s="1047"/>
      <c r="F1949" s="246"/>
      <c r="AD1949" s="627" t="s">
        <v>4056</v>
      </c>
      <c r="AG1949" s="628" t="str">
        <f t="shared" si="97"/>
        <v>5th</v>
      </c>
      <c r="AH1949" s="503" t="s">
        <v>885</v>
      </c>
      <c r="AI1949" s="4" t="s">
        <v>4213</v>
      </c>
      <c r="BB1949" s="388"/>
    </row>
    <row r="1950" spans="1:73" s="4" customFormat="1" x14ac:dyDescent="0.3">
      <c r="A1950" s="246"/>
      <c r="B1950" s="1047"/>
      <c r="C1950" s="1047"/>
      <c r="D1950" s="1047"/>
      <c r="E1950" s="1047"/>
      <c r="F1950" s="246"/>
      <c r="AD1950" s="627" t="s">
        <v>4057</v>
      </c>
      <c r="AG1950" s="628" t="str">
        <f t="shared" si="97"/>
        <v xml:space="preserve">My name is Sandra Lewison and I am trying to help my friend Steph Turner to identify any support in his case documents. </v>
      </c>
      <c r="AI1950" s="4" t="s">
        <v>4251</v>
      </c>
      <c r="AJ1950" s="4" t="str">
        <f>C1939</f>
        <v>Sandra Lewison</v>
      </c>
      <c r="AK1950" s="4" t="s">
        <v>4252</v>
      </c>
      <c r="AL1950" s="4" t="str">
        <f>BG202</f>
        <v>Steph Turner</v>
      </c>
      <c r="AM1950" s="4" t="s">
        <v>895</v>
      </c>
      <c r="AN1950" s="4" t="str">
        <f>AV2991</f>
        <v xml:space="preserve">identify any support in his case documents. </v>
      </c>
    </row>
    <row r="1951" spans="1:73" s="4" customFormat="1" x14ac:dyDescent="0.3">
      <c r="A1951" s="246"/>
      <c r="B1951" s="1047"/>
      <c r="C1951" s="1047"/>
      <c r="D1951" s="1047"/>
      <c r="E1951" s="1047"/>
      <c r="F1951" s="246"/>
      <c r="AD1951" s="632" t="str">
        <f>IF($C$1938=$AP$1937,AG1953,IF($C$1938=$AP$1938,AG1954,IF($C$1938=$AP$1939,AG1955,IF($C$1938=$AP$1940,AG1956,IF($C$1938=$AP$1941,AG1957,IF($C$1938=$AP$1942,AG1958,AH1952))))))</f>
        <v>I learned Steph has asked for help from innocence projects four times. And I learned there are far more wrongly convicted than innocence projects can process. I joined his innocence campaign to help pick up the slack. This new tool highlights some of Steph's compelling innocence.</v>
      </c>
      <c r="BB1951" s="388"/>
    </row>
    <row r="1952" spans="1:73" s="4" customFormat="1" x14ac:dyDescent="0.3">
      <c r="A1952" s="246"/>
      <c r="B1952" s="1047"/>
      <c r="C1952" s="1047"/>
      <c r="D1952" s="1047"/>
      <c r="E1952" s="1047"/>
      <c r="F1952" s="246"/>
      <c r="AD1952" s="627"/>
      <c r="AG1952" s="508">
        <f>IF($C$1894="",AH1952,AT1952)</f>
        <v>0</v>
      </c>
      <c r="AH1952" s="4" t="s">
        <v>4208</v>
      </c>
      <c r="BB1952" s="388"/>
    </row>
    <row r="1953" spans="1:66" s="4" customFormat="1" x14ac:dyDescent="0.3">
      <c r="A1953" s="246"/>
      <c r="B1953" s="644" t="s">
        <v>4168</v>
      </c>
      <c r="C1953" s="912" t="s">
        <v>376</v>
      </c>
      <c r="D1953" s="912"/>
      <c r="E1953" s="246"/>
      <c r="F1953" s="246"/>
      <c r="AD1953" s="627" t="s">
        <v>62</v>
      </c>
      <c r="AG1953" s="628" t="str">
        <f t="shared" ref="AG1953:AG1958" si="98">CONCATENATE(AI1953,AJ1953,AK1953,AL1953,AM1953,AN1953,AO1953,AP1953,AQ1953,AR1953,AS1953,AT1953,AU1953,AV1953,AX1953,AY1953,AZ1953,BA1953,BB1953,BC1953)</f>
        <v>I learned Steph has asked for help from innocence projects four times. And I learned there are far more wrongly convicted than innocence projects can process. I joined his innocence campaign to help pick up the slack. This new tool highlights some of Steph's compelling innocence.</v>
      </c>
      <c r="AI1953" s="4" t="s">
        <v>4228</v>
      </c>
      <c r="AJ1953" s="4" t="str">
        <f>BI337</f>
        <v xml:space="preserve">Steph has asked for help from innocence projects four times. </v>
      </c>
      <c r="AL1953" s="4" t="s">
        <v>4229</v>
      </c>
      <c r="AM1953" s="4" t="str">
        <f>BJ206</f>
        <v>his</v>
      </c>
      <c r="AN1953" s="4" t="s">
        <v>4237</v>
      </c>
      <c r="AO1953" s="4" t="str">
        <f>AN202</f>
        <v>Steph</v>
      </c>
      <c r="AP1953" s="503" t="s">
        <v>4238</v>
      </c>
      <c r="BB1953" s="388"/>
    </row>
    <row r="1954" spans="1:66" s="4" customFormat="1" x14ac:dyDescent="0.3">
      <c r="A1954" s="246"/>
      <c r="B1954" s="644" t="s">
        <v>4168</v>
      </c>
      <c r="C1954" s="912" t="s">
        <v>535</v>
      </c>
      <c r="D1954" s="912"/>
      <c r="E1954" s="246"/>
      <c r="F1954" s="246"/>
      <c r="AD1954" s="627" t="s">
        <v>64</v>
      </c>
      <c r="AG1954" s="628" t="str">
        <f t="shared" si="98"/>
        <v>Steph Turner</v>
      </c>
      <c r="AI1954" s="4" t="str">
        <f>AI1946</f>
        <v>Steph Turner</v>
      </c>
      <c r="BB1954" s="388"/>
    </row>
    <row r="1955" spans="1:66" s="4" customFormat="1" x14ac:dyDescent="0.3">
      <c r="A1955" s="246"/>
      <c r="B1955" s="644" t="s">
        <v>4168</v>
      </c>
      <c r="C1955" s="912" t="s">
        <v>535</v>
      </c>
      <c r="D1955" s="912"/>
      <c r="E1955" s="246"/>
      <c r="F1955" s="246"/>
      <c r="AD1955" s="627" t="s">
        <v>4055</v>
      </c>
      <c r="AG1955" s="628" t="str">
        <f t="shared" si="98"/>
        <v>3rd</v>
      </c>
      <c r="AI1955" s="4" t="str">
        <f>AI1947</f>
        <v>3rd</v>
      </c>
      <c r="BB1955" s="388"/>
    </row>
    <row r="1956" spans="1:66" s="4" customFormat="1" x14ac:dyDescent="0.3">
      <c r="A1956" s="246"/>
      <c r="B1956" s="246"/>
      <c r="C1956" s="246"/>
      <c r="D1956" s="246"/>
      <c r="E1956" s="246"/>
      <c r="F1956" s="246"/>
      <c r="AD1956" s="627" t="s">
        <v>3288</v>
      </c>
      <c r="AG1956" s="628" t="str">
        <f t="shared" si="98"/>
        <v>4th</v>
      </c>
      <c r="AI1956" s="4" t="str">
        <f>AI1948</f>
        <v>4th</v>
      </c>
      <c r="BB1956" s="388"/>
    </row>
    <row r="1957" spans="1:66" s="4" customFormat="1" ht="13.75" customHeight="1" x14ac:dyDescent="0.3">
      <c r="A1957" s="246"/>
      <c r="B1957" s="1047" t="str">
        <f>IF(OR(C1938="",C1939=""),AH1960,AD1959)</f>
        <v xml:space="preserve">Your audience may want to hear more about Steph's amazing story. You can catch a glimpse of it at https://www.valuerelating.com/1993-steph-turner. Our campaign will either complement or compete with the slow legal process that continues to fail Steph and others just like him. </v>
      </c>
      <c r="C1957" s="1047"/>
      <c r="D1957" s="1047"/>
      <c r="E1957" s="1047"/>
      <c r="F1957" s="246"/>
      <c r="AC1957" s="389"/>
      <c r="AD1957" s="627" t="s">
        <v>4056</v>
      </c>
      <c r="AG1957" s="628" t="str">
        <f t="shared" si="98"/>
        <v>5th</v>
      </c>
      <c r="AI1957" s="4" t="str">
        <f>AI1949</f>
        <v>5th</v>
      </c>
      <c r="BB1957" s="388"/>
    </row>
    <row r="1958" spans="1:66" s="4" customFormat="1" x14ac:dyDescent="0.3">
      <c r="A1958" s="246"/>
      <c r="B1958" s="1047"/>
      <c r="C1958" s="1047"/>
      <c r="D1958" s="1047"/>
      <c r="E1958" s="1047"/>
      <c r="F1958" s="246"/>
      <c r="AC1958" s="389"/>
      <c r="AD1958" s="627" t="s">
        <v>4057</v>
      </c>
      <c r="AG1958" s="628" t="str">
        <f t="shared" si="98"/>
        <v xml:space="preserve">My name is </v>
      </c>
      <c r="AI1958" s="4" t="str">
        <f>AI1950</f>
        <v xml:space="preserve">My name is </v>
      </c>
    </row>
    <row r="1959" spans="1:66" s="4" customFormat="1" x14ac:dyDescent="0.3">
      <c r="A1959" s="246"/>
      <c r="B1959" s="1047"/>
      <c r="C1959" s="1047"/>
      <c r="D1959" s="1047"/>
      <c r="E1959" s="1047"/>
      <c r="F1959" s="246"/>
      <c r="AC1959" s="389"/>
      <c r="AD1959" s="632" t="str">
        <f>IF($C$1938=$AP$1937,AG1961,IF($C$1938=$AP$1938,AG1962,IF($C$1938=$AP$1939,AG1963,IF($C$1938=$AP$1940,AG1964,IF($C$1938=$AP$1941,AG1965,IF($C$1938=$AP$1942,AG1966,AH1960))))))</f>
        <v xml:space="preserve">Your audience may want to hear more about Steph's amazing story. You can catch a glimpse of it at https://www.valuerelating.com/1993-steph-turner. Our campaign will either complement or compete with the slow legal process that continues to fail Steph and others just like him. </v>
      </c>
      <c r="BB1959" s="388"/>
    </row>
    <row r="1960" spans="1:66" s="4" customFormat="1" x14ac:dyDescent="0.3">
      <c r="A1960" s="246"/>
      <c r="B1960" s="1047"/>
      <c r="C1960" s="1047"/>
      <c r="D1960" s="1047"/>
      <c r="E1960" s="1047"/>
      <c r="F1960" s="246"/>
      <c r="AC1960" s="389"/>
      <c r="AD1960" s="627"/>
      <c r="AG1960" s="508">
        <f>IF($C$1894="",AH1960,AT1960)</f>
        <v>0</v>
      </c>
      <c r="AH1960" s="4" t="s">
        <v>4221</v>
      </c>
      <c r="BB1960" s="388"/>
    </row>
    <row r="1961" spans="1:66" s="4" customFormat="1" x14ac:dyDescent="0.3">
      <c r="A1961" s="246"/>
      <c r="B1961" s="1047"/>
      <c r="C1961" s="1047"/>
      <c r="D1961" s="1047"/>
      <c r="E1961" s="1047"/>
      <c r="F1961" s="246"/>
      <c r="AC1961" s="389"/>
      <c r="AD1961" s="627" t="s">
        <v>62</v>
      </c>
      <c r="AG1961" s="628" t="str">
        <f t="shared" ref="AG1961:AG1966" si="99">CONCATENATE(AI1961,AJ1961,AK1961,AL1961,AM1961,AN1961,AO1961,AP1961,AQ1961,AR1961,AS1961,AT1961,AU1961,AV1961,AX1961,AY1961,AZ1961,BA1961,BB1961,BC1961)</f>
        <v xml:space="preserve">Your audience may want to hear more about Steph's amazing story. You can catch a glimpse of it at https://www.valuerelating.com/1993-steph-turner. Our campaign will either complement or compete with the slow legal process that continues to fail Steph and others just like him. </v>
      </c>
      <c r="AI1961" s="4" t="s">
        <v>4239</v>
      </c>
      <c r="AJ1961" s="4" t="str">
        <f>AN202</f>
        <v>Steph</v>
      </c>
      <c r="AK1961" s="503" t="s">
        <v>4240</v>
      </c>
      <c r="AL1961" s="4" t="str">
        <f>B1930</f>
        <v>https://www.valuerelating.com/1993-steph-turner</v>
      </c>
      <c r="AM1961" s="4" t="s">
        <v>4242</v>
      </c>
      <c r="AN1961" s="4" t="str">
        <f>AN202</f>
        <v>Steph</v>
      </c>
      <c r="AO1961" s="4" t="s">
        <v>4243</v>
      </c>
      <c r="AP1961" s="4" t="str">
        <f>BI206</f>
        <v>him</v>
      </c>
      <c r="AQ1961" s="4" t="s">
        <v>4029</v>
      </c>
      <c r="BB1961" s="388"/>
    </row>
    <row r="1962" spans="1:66" s="4" customFormat="1" ht="13.75" customHeight="1" x14ac:dyDescent="0.3">
      <c r="A1962" s="246"/>
      <c r="B1962" s="1047" t="str">
        <f>IF(OR(C1938="",C1939=""),AH1968,AD1967)</f>
        <v>Perhaps your audience hungers for this alternative giving Steph fresh hope. You can learn more about it at https://www.valuerelating.com/unexonerated. You can ask me to fill you in. Or I can direct you to the campaign leader. I am just one of Steph's supporters trying to make a new kind of difference. I trust you are too.</v>
      </c>
      <c r="C1962" s="1047"/>
      <c r="D1962" s="1047"/>
      <c r="E1962" s="1047"/>
      <c r="F1962" s="246"/>
      <c r="AC1962" s="389"/>
      <c r="AD1962" s="627" t="s">
        <v>64</v>
      </c>
      <c r="AG1962" s="628" t="str">
        <f t="shared" si="99"/>
        <v>Steph Turner</v>
      </c>
      <c r="AI1962" s="4" t="str">
        <f>AI1954</f>
        <v>Steph Turner</v>
      </c>
      <c r="BB1962" s="388"/>
    </row>
    <row r="1963" spans="1:66" s="4" customFormat="1" x14ac:dyDescent="0.3">
      <c r="A1963" s="246"/>
      <c r="B1963" s="1047"/>
      <c r="C1963" s="1047"/>
      <c r="D1963" s="1047"/>
      <c r="E1963" s="1047"/>
      <c r="F1963" s="246"/>
      <c r="AC1963" s="389"/>
      <c r="AD1963" s="627" t="s">
        <v>4055</v>
      </c>
      <c r="AG1963" s="628" t="str">
        <f t="shared" si="99"/>
        <v>3rd</v>
      </c>
      <c r="AI1963" s="4" t="str">
        <f>AI1955</f>
        <v>3rd</v>
      </c>
      <c r="BB1963" s="388"/>
    </row>
    <row r="1964" spans="1:66" s="4" customFormat="1" x14ac:dyDescent="0.3">
      <c r="A1964" s="246"/>
      <c r="B1964" s="1047"/>
      <c r="C1964" s="1047"/>
      <c r="D1964" s="1047"/>
      <c r="E1964" s="1047"/>
      <c r="F1964" s="246"/>
      <c r="AC1964" s="389"/>
      <c r="AD1964" s="627" t="s">
        <v>3288</v>
      </c>
      <c r="AG1964" s="628" t="str">
        <f t="shared" si="99"/>
        <v>4th</v>
      </c>
      <c r="AI1964" s="4" t="str">
        <f>AI1956</f>
        <v>4th</v>
      </c>
      <c r="BB1964" s="388"/>
    </row>
    <row r="1965" spans="1:66" s="4" customFormat="1" x14ac:dyDescent="0.3">
      <c r="A1965" s="246"/>
      <c r="B1965" s="1047"/>
      <c r="C1965" s="1047"/>
      <c r="D1965" s="1047"/>
      <c r="E1965" s="1047"/>
      <c r="F1965" s="246"/>
      <c r="AC1965" s="389"/>
      <c r="AD1965" s="627" t="s">
        <v>4056</v>
      </c>
      <c r="AG1965" s="628" t="str">
        <f t="shared" si="99"/>
        <v>5th</v>
      </c>
      <c r="AI1965" s="4" t="str">
        <f>AI1957</f>
        <v>5th</v>
      </c>
      <c r="BB1965" s="388"/>
    </row>
    <row r="1966" spans="1:66" s="4" customFormat="1" x14ac:dyDescent="0.3">
      <c r="A1966" s="246"/>
      <c r="B1966" s="1047"/>
      <c r="C1966" s="1047"/>
      <c r="D1966" s="1047"/>
      <c r="E1966" s="1047"/>
      <c r="F1966" s="246"/>
      <c r="AC1966" s="389"/>
      <c r="AD1966" s="627" t="s">
        <v>4057</v>
      </c>
      <c r="AG1966" s="628" t="str">
        <f t="shared" si="99"/>
        <v xml:space="preserve">My name is </v>
      </c>
      <c r="AI1966" s="4" t="str">
        <f>AI1958</f>
        <v xml:space="preserve">My name is </v>
      </c>
    </row>
    <row r="1967" spans="1:66" s="4" customFormat="1" x14ac:dyDescent="0.3">
      <c r="A1967" s="246"/>
      <c r="B1967" s="1047"/>
      <c r="C1967" s="1047"/>
      <c r="D1967" s="1047"/>
      <c r="E1967" s="1047"/>
      <c r="F1967" s="246"/>
      <c r="AC1967" s="389"/>
      <c r="AD1967" s="632" t="str">
        <f>IF($C$1938=$AP$1937,AG1969,IF($C$1938=$AP$1938,AG1970,IF($C$1938=$AP$1939,AG1971,IF($C$1938=$AP$1940,AG1972,IF($C$1938=$AP$1941,AG1973,IF($C$1938=$AP$1942,AG1974,AH1968))))))</f>
        <v>Perhaps your audience hungers for this alternative giving Steph fresh hope. You can learn more about it at https://www.valuerelating.com/unexonerated. You can ask me to fill you in. Or I can direct you to the campaign leader. I am just one of Steph's supporters trying to make a new kind of difference. I trust you are too.</v>
      </c>
      <c r="BB1967" s="388"/>
    </row>
    <row r="1968" spans="1:66" s="4" customFormat="1" x14ac:dyDescent="0.3">
      <c r="A1968" s="246"/>
      <c r="B1968" s="1047" t="str">
        <f>IF(AND(C1938=AP1942,C1939=""),AH1976,AD1975)</f>
        <v/>
      </c>
      <c r="C1968" s="1047"/>
      <c r="D1968" s="1047"/>
      <c r="E1968" s="1047"/>
      <c r="F1968" s="246"/>
      <c r="AC1968" s="389"/>
      <c r="AD1968" s="627"/>
      <c r="AG1968" s="508">
        <f>IF($C$1894="",AH1968,AT1968)</f>
        <v>0</v>
      </c>
      <c r="AH1968" s="4" t="s">
        <v>4209</v>
      </c>
      <c r="BB1968" s="388"/>
      <c r="BN1968" s="4" t="s">
        <v>4241</v>
      </c>
    </row>
    <row r="1969" spans="1:65" s="4" customFormat="1" x14ac:dyDescent="0.3">
      <c r="A1969" s="246"/>
      <c r="B1969" s="1047"/>
      <c r="C1969" s="1047"/>
      <c r="D1969" s="1047"/>
      <c r="E1969" s="1047"/>
      <c r="F1969" s="246"/>
      <c r="AC1969" s="389"/>
      <c r="AD1969" s="627" t="s">
        <v>62</v>
      </c>
      <c r="AG1969" s="628" t="str">
        <f>CONCATENATE(AI1969,AJ1969,AK1969,AL1969,AM1969,AN1969,AO1969,AP1969,AQ1969,AR1969,AS1969,AT1969,AU1969,AV1969,AW1969,AX1969,AY1969,AZ1969,BA1969,BB1969,BC1969)</f>
        <v>Perhaps your audience hungers for this alternative giving Steph fresh hope. You can learn more about it at https://www.valuerelating.com/unexonerated. You can ask me to fill you in. Or I can direct you to the campaign leader. I am just one of Steph's supporters trying to make a new kind of difference. I trust you are too.</v>
      </c>
      <c r="AI1969" s="4" t="s">
        <v>4245</v>
      </c>
      <c r="AJ1969" s="4" t="str">
        <f>AJ1961</f>
        <v>Steph</v>
      </c>
      <c r="AK1969" s="4" t="s">
        <v>4246</v>
      </c>
      <c r="AL1969" s="4" t="str">
        <f>AJ1961</f>
        <v>Steph</v>
      </c>
      <c r="AM1969" s="503" t="s">
        <v>4247</v>
      </c>
      <c r="BB1969" s="388"/>
      <c r="BF1969" s="4" t="s">
        <v>4244</v>
      </c>
    </row>
    <row r="1970" spans="1:65" s="4" customFormat="1" x14ac:dyDescent="0.3">
      <c r="A1970" s="246"/>
      <c r="B1970" s="1047"/>
      <c r="C1970" s="1047"/>
      <c r="D1970" s="1047"/>
      <c r="E1970" s="1047"/>
      <c r="F1970" s="246"/>
      <c r="AC1970" s="389"/>
      <c r="AD1970" s="627" t="s">
        <v>64</v>
      </c>
      <c r="AG1970" s="628" t="str">
        <f>CONCATENATE(AI1970,AJ1970,AK1970,AL1970,AM1970,AN1970,AO1970,AP1970,AQ1970,AR1970,AS1970,AT1970,AU1970,AV1970,AX1970,AY1970,AZ1970,BA1970,BB1970,BC1970)</f>
        <v>Steph Turner</v>
      </c>
      <c r="AI1970" s="4" t="str">
        <f>AI1962</f>
        <v>Steph Turner</v>
      </c>
      <c r="BB1970" s="388"/>
    </row>
    <row r="1971" spans="1:65" s="4" customFormat="1" x14ac:dyDescent="0.3">
      <c r="A1971" s="246"/>
      <c r="B1971" s="1047"/>
      <c r="C1971" s="1047"/>
      <c r="D1971" s="1047"/>
      <c r="E1971" s="1047"/>
      <c r="F1971" s="246"/>
      <c r="AC1971" s="389"/>
      <c r="AD1971" s="627" t="s">
        <v>4055</v>
      </c>
      <c r="AG1971" s="628" t="str">
        <f>CONCATENATE(AI1971,AJ1971,AK1971,AL1971,AM1971,AN1971,AO1971,AP1971,AQ1971,AR1971,AS1971,AT1971,AU1971,AV1971,AX1971,AY1971,AZ1971,BA1971,BB1971,BC1971)</f>
        <v>3rd</v>
      </c>
      <c r="AI1971" s="4" t="str">
        <f>AI1963</f>
        <v>3rd</v>
      </c>
      <c r="BB1971" s="388"/>
    </row>
    <row r="1972" spans="1:65" s="4" customFormat="1" x14ac:dyDescent="0.3">
      <c r="A1972" s="246"/>
      <c r="B1972" s="1047"/>
      <c r="C1972" s="1047"/>
      <c r="D1972" s="1047"/>
      <c r="E1972" s="1047"/>
      <c r="F1972" s="246"/>
      <c r="AC1972" s="389"/>
      <c r="AD1972" s="627" t="s">
        <v>3288</v>
      </c>
      <c r="AG1972" s="628" t="str">
        <f>CONCATENATE(AI1972,AJ1972,AK1972,AL1972,AM1972,AN1972,AO1972,AP1972,AQ1972,AR1972,AS1972,AT1972,AU1972,AV1972,AX1972,AY1972,AZ1972,BA1972,BB1972,BC1972)</f>
        <v>4th</v>
      </c>
      <c r="AI1972" s="4" t="str">
        <f>AI1964</f>
        <v>4th</v>
      </c>
      <c r="BB1972" s="388"/>
    </row>
    <row r="1973" spans="1:65" s="4" customFormat="1" x14ac:dyDescent="0.3">
      <c r="A1973" s="246"/>
      <c r="B1973" s="1047"/>
      <c r="C1973" s="1047"/>
      <c r="D1973" s="1047"/>
      <c r="E1973" s="1047"/>
      <c r="F1973" s="246"/>
      <c r="AC1973" s="389"/>
      <c r="AD1973" s="627" t="s">
        <v>4056</v>
      </c>
      <c r="AG1973" s="628" t="str">
        <f>CONCATENATE(AI1973,AJ1973,AK1973,AL1973,AM1973,AN1973,AO1973,AP1973,AQ1973,AR1973,AS1973,AT1973,AU1973,AV1973,AX1973,AY1973,AZ1973,BA1973,BB1973,BC1973)</f>
        <v>5th</v>
      </c>
      <c r="AI1973" s="4" t="str">
        <f>AI1965</f>
        <v>5th</v>
      </c>
      <c r="BB1973" s="388"/>
    </row>
    <row r="1974" spans="1:65" s="4" customFormat="1" x14ac:dyDescent="0.3">
      <c r="A1974" s="246"/>
      <c r="B1974" s="246"/>
      <c r="C1974" s="246"/>
      <c r="D1974" s="246"/>
      <c r="E1974" s="246"/>
      <c r="F1974" s="246"/>
      <c r="AC1974" s="389"/>
      <c r="AD1974" s="627" t="s">
        <v>4057</v>
      </c>
      <c r="AG1974" s="628" t="str">
        <f>CONCATENATE(AI1974,AJ1974,AK1974,AL1974,AM1974,AN1974,AO1974,AP1974,AQ1974,AR1974,AS1974,AT1974,AU1974,AV1974,AX1974,AY1974,AZ1974,BA1974,BB1974,BC1974)</f>
        <v xml:space="preserve">My name is </v>
      </c>
      <c r="AI1974" s="4" t="str">
        <f>AI1966</f>
        <v xml:space="preserve">My name is </v>
      </c>
      <c r="BB1974" s="388"/>
    </row>
    <row r="1975" spans="1:65" s="4" customFormat="1" x14ac:dyDescent="0.3">
      <c r="A1975" s="246"/>
      <c r="B1975" s="246" t="str">
        <f>IF(B1976="","","Best,")</f>
        <v>Best,</v>
      </c>
      <c r="C1975" s="246"/>
      <c r="D1975" s="246"/>
      <c r="E1975" s="246"/>
      <c r="F1975" s="246"/>
      <c r="AC1975" s="389"/>
      <c r="AD1975" s="632" t="str">
        <f>IF($C$1938=$AP$1941,AG1977,IF($C$1938=$AP$1942,AG1978,""))</f>
        <v/>
      </c>
      <c r="BB1975" s="388"/>
    </row>
    <row r="1976" spans="1:65" s="4" customFormat="1" x14ac:dyDescent="0.3">
      <c r="A1976" s="246"/>
      <c r="B1976" s="246" t="str">
        <f>IF(C1939="","",C1939)</f>
        <v>Sandra Lewison</v>
      </c>
      <c r="C1976" s="246"/>
      <c r="D1976" s="246"/>
      <c r="E1976" s="246"/>
      <c r="F1976" s="246"/>
      <c r="AC1976" s="389"/>
      <c r="AD1976" s="627"/>
      <c r="AG1976" s="508">
        <f>IF($C$1894="",AH1976,AT1976)</f>
        <v>0</v>
      </c>
      <c r="AH1976" s="4" t="s">
        <v>4248</v>
      </c>
      <c r="BB1976" s="388"/>
    </row>
    <row r="1977" spans="1:65" s="4" customFormat="1" x14ac:dyDescent="0.3">
      <c r="A1977" s="246"/>
      <c r="B1977" s="246"/>
      <c r="C1977" s="246"/>
      <c r="D1977" s="246"/>
      <c r="E1977" s="246"/>
      <c r="F1977" s="246"/>
      <c r="AC1977" s="389"/>
      <c r="AD1977" s="627" t="s">
        <v>4056</v>
      </c>
      <c r="AG1977" s="628" t="str">
        <f>CONCATENATE(AI1977,AJ1977,AK1977,AL1977,AM1977,AN1977,AO1977,AP1977,AQ1977,AR1977,AS1977,AT1977,AU1977,AV1977,AX1977,AY1977,AZ1977,BA1977,BB1977,BC1977)</f>
        <v>only for IP</v>
      </c>
      <c r="AI1977" s="4" t="s">
        <v>4250</v>
      </c>
      <c r="AP1977" s="503"/>
      <c r="BB1977" s="388"/>
    </row>
    <row r="1978" spans="1:65" s="4" customFormat="1" ht="14.5" thickBot="1" x14ac:dyDescent="0.35">
      <c r="A1978" s="246"/>
      <c r="B1978" s="246"/>
      <c r="C1978" s="246"/>
      <c r="D1978" s="246"/>
      <c r="E1978" s="246"/>
      <c r="F1978" s="246"/>
      <c r="AC1978" s="389"/>
      <c r="AD1978" s="627" t="s">
        <v>4057</v>
      </c>
      <c r="AG1978" s="628" t="str">
        <f>CONCATENATE(AI1978,AJ1978,AK1978,AL1978,AM1978,AN1978,AO1978,AP1978,AQ1978,AR1978,AS1978,AT1978,AU1978,AV1978,AX1978,AY1978,AZ1978,BA1978,BB1978,BC1978)</f>
        <v>only for DA msg</v>
      </c>
      <c r="AI1978" s="4" t="s">
        <v>4249</v>
      </c>
      <c r="BB1978" s="388"/>
    </row>
    <row r="1979" spans="1:65" s="4" customFormat="1" x14ac:dyDescent="0.3">
      <c r="A1979" s="518"/>
      <c r="B1979" s="519"/>
      <c r="C1979" s="519"/>
      <c r="D1979" s="519"/>
      <c r="E1979" s="519"/>
      <c r="F1979" s="520"/>
      <c r="AC1979" s="389"/>
      <c r="BB1979" s="388"/>
    </row>
    <row r="1980" spans="1:65" s="4" customFormat="1" x14ac:dyDescent="0.3">
      <c r="A1980" s="521"/>
      <c r="B1980" s="661" t="s">
        <v>3567</v>
      </c>
      <c r="C1980" s="660" t="s">
        <v>4386</v>
      </c>
      <c r="D1980" s="662" t="s">
        <v>4384</v>
      </c>
      <c r="E1980" s="522"/>
      <c r="F1980" s="523"/>
      <c r="AC1980" s="389"/>
      <c r="BB1980" s="388"/>
    </row>
    <row r="1981" spans="1:65" s="4" customFormat="1" ht="14.5" thickBot="1" x14ac:dyDescent="0.35">
      <c r="A1981" s="524"/>
      <c r="B1981" s="525"/>
      <c r="C1981" s="525"/>
      <c r="D1981" s="525"/>
      <c r="E1981" s="525"/>
      <c r="F1981" s="526"/>
      <c r="AC1981" s="389"/>
      <c r="AG1981" s="4" t="s">
        <v>3594</v>
      </c>
      <c r="AZ1981" s="4" t="s">
        <v>3595</v>
      </c>
      <c r="BB1981" s="388"/>
    </row>
    <row r="1982" spans="1:65" s="4" customFormat="1" ht="30" customHeight="1" x14ac:dyDescent="0.3">
      <c r="A1982" s="862" t="s">
        <v>88</v>
      </c>
      <c r="B1982" s="862" t="s">
        <v>3461</v>
      </c>
      <c r="C1982" s="862"/>
      <c r="D1982" s="872" t="s">
        <v>3513</v>
      </c>
      <c r="E1982" s="864"/>
      <c r="F1982" s="864"/>
      <c r="AC1982" s="389"/>
      <c r="BB1982" s="388"/>
    </row>
    <row r="1983" spans="1:65" s="4" customFormat="1" x14ac:dyDescent="0.3">
      <c r="A1983" s="246"/>
      <c r="B1983" s="246"/>
      <c r="C1983" s="246"/>
      <c r="D1983" s="246"/>
      <c r="E1983" s="246"/>
      <c r="F1983" s="246"/>
      <c r="AB1983" s="631" t="str">
        <f>CONCATENATE("Contact: ",BG202)</f>
        <v>Contact: Steph Turner</v>
      </c>
      <c r="AC1983" s="389"/>
      <c r="AD1983" s="628" t="s">
        <v>3466</v>
      </c>
      <c r="AF1983" s="4" t="str">
        <f>IF(OR(C922=AG921,C922=""),AG1983,C922)</f>
        <v>Asexual transperson registered for life as a sex offender</v>
      </c>
      <c r="AG1983" s="4" t="s">
        <v>3596</v>
      </c>
      <c r="AQ1983" s="508" t="str">
        <f>AF1983</f>
        <v>Asexual transperson registered for life as a sex offender</v>
      </c>
      <c r="BB1983" s="388"/>
    </row>
    <row r="1984" spans="1:65" s="4" customFormat="1" ht="17.5" x14ac:dyDescent="0.35">
      <c r="A1984" s="246"/>
      <c r="B1984" s="246"/>
      <c r="C1984" s="478" t="s">
        <v>3465</v>
      </c>
      <c r="D1984" s="246"/>
      <c r="E1984" s="246"/>
      <c r="F1984" s="246"/>
      <c r="AB1984" s="631" t="str">
        <f>CONCATENATE("Contact: ",BG212)</f>
        <v>Contact: Proxy</v>
      </c>
      <c r="AC1984" s="389"/>
      <c r="AD1984" s="628" t="s">
        <v>4165</v>
      </c>
      <c r="AF1984" s="503" t="str">
        <f>AQ1890</f>
        <v>Steph Turner</v>
      </c>
      <c r="AG1984" s="4" t="s">
        <v>3550</v>
      </c>
      <c r="AH1984" s="517" t="str">
        <f>IF(OR(E780=0.08,OR(E780=0.18,OR(AND(E780&gt;0.79,E780&lt;=0.89)))),"an ","a ")</f>
        <v xml:space="preserve">an </v>
      </c>
      <c r="AI1984" s="530">
        <f>ROUND((E780*100),0)</f>
        <v>86</v>
      </c>
      <c r="AJ1984" s="503" t="s">
        <v>3549</v>
      </c>
      <c r="AQ1984" s="508" t="str">
        <f t="shared" ref="AQ1984:AQ1992" si="100">CONCATENATE(AF1984,AG1984,AH1984,AI1984,AJ1984)</f>
        <v>Steph Turner identified with an 86% likelihood of being innocent</v>
      </c>
      <c r="BB1984" s="388"/>
      <c r="BI1984" s="503" t="s">
        <v>3580</v>
      </c>
      <c r="BJ1984" s="4" t="s">
        <v>3550</v>
      </c>
      <c r="BK1984" s="517" t="s">
        <v>3581</v>
      </c>
      <c r="BL1984" s="530" t="s">
        <v>3583</v>
      </c>
      <c r="BM1984" s="503" t="s">
        <v>3549</v>
      </c>
    </row>
    <row r="1985" spans="1:67" s="4" customFormat="1" ht="15.5" x14ac:dyDescent="0.35">
      <c r="A1985" s="246"/>
      <c r="B1985" s="1128" t="s">
        <v>3466</v>
      </c>
      <c r="C1985" s="1128"/>
      <c r="D1985" s="1150" t="s">
        <v>5480</v>
      </c>
      <c r="E1985" s="1150"/>
      <c r="F1985" s="246"/>
      <c r="AB1985" s="631" t="str">
        <f>"Contact: Value Relating"</f>
        <v>Contact: Value Relating</v>
      </c>
      <c r="AC1985" s="389"/>
      <c r="AF1985" s="503" t="str">
        <f>AQ1890</f>
        <v>Steph Turner</v>
      </c>
      <c r="AG1985" s="4" t="s">
        <v>3548</v>
      </c>
      <c r="AH1985" s="517" t="str">
        <f>IF(OR(E781=0.08,OR(E781=0.18,OR(AND(E781&gt;0.79,E781&lt;=0.89)))),"an ","a ")</f>
        <v xml:space="preserve">a </v>
      </c>
      <c r="AI1985" s="530">
        <f>ROUND((E781*100),0)</f>
        <v>39</v>
      </c>
      <c r="AJ1985" s="503" t="s">
        <v>3549</v>
      </c>
      <c r="AQ1985" s="508" t="str">
        <f t="shared" si="100"/>
        <v>Steph Turner verified with a 39% likelihood of being innocent</v>
      </c>
      <c r="BB1985" s="388"/>
      <c r="BI1985" s="503" t="s">
        <v>3580</v>
      </c>
      <c r="BJ1985" s="4" t="s">
        <v>3548</v>
      </c>
      <c r="BK1985" s="517" t="s">
        <v>3582</v>
      </c>
      <c r="BL1985" s="530" t="s">
        <v>3584</v>
      </c>
      <c r="BM1985" s="503" t="s">
        <v>3549</v>
      </c>
    </row>
    <row r="1986" spans="1:67" s="4" customFormat="1" ht="14.5" x14ac:dyDescent="0.35">
      <c r="A1986" s="246"/>
      <c r="B1986" s="481">
        <f ca="1">TODAY()</f>
        <v>45774</v>
      </c>
      <c r="C1986" s="480"/>
      <c r="D1986" s="482"/>
      <c r="E1986" s="640" t="str">
        <f>AB1987</f>
        <v>valuerelating@gmail.com</v>
      </c>
      <c r="F1986" s="246"/>
      <c r="AB1986" s="631"/>
      <c r="AC1986" s="389"/>
      <c r="AF1986" s="4" t="str">
        <f t="shared" ref="AF1986:AF1991" si="101">AF1985</f>
        <v>Steph Turner</v>
      </c>
      <c r="AG1986" s="4" t="s">
        <v>3551</v>
      </c>
      <c r="AQ1986" s="508" t="str">
        <f t="shared" si="100"/>
        <v>Steph Turner inspires supporters to find the 'quality' of a conviction</v>
      </c>
      <c r="BB1986" s="388"/>
    </row>
    <row r="1987" spans="1:67" s="4" customFormat="1" ht="20" customHeight="1" x14ac:dyDescent="0.35">
      <c r="A1987" s="246"/>
      <c r="B1987" s="246"/>
      <c r="C1987" s="246"/>
      <c r="D1987" s="246"/>
      <c r="E1987" s="640" t="str">
        <f>AB1988</f>
        <v>(920) 445-8760</v>
      </c>
      <c r="F1987" s="246"/>
      <c r="AB1987" s="631" t="str">
        <f>IF(D$1985=AB$1983,AD204,IF(D$1985=AB$1984,AD214,IF(D$1985=AB$1985,AD200,"")))</f>
        <v>valuerelating@gmail.com</v>
      </c>
      <c r="AC1987" s="389"/>
      <c r="AF1987" s="4" t="str">
        <f t="shared" si="101"/>
        <v>Steph Turner</v>
      </c>
      <c r="AG1987" s="503" t="s">
        <v>3552</v>
      </c>
      <c r="AQ1987" s="508" t="str">
        <f t="shared" si="100"/>
        <v>Steph Turner's supporters challenge DA to raise justice standards</v>
      </c>
      <c r="BB1987" s="388"/>
      <c r="BI1987" s="1109" t="s">
        <v>3467</v>
      </c>
      <c r="BJ1987" s="1109"/>
      <c r="BK1987" s="1109"/>
      <c r="BM1987" s="1109" t="s">
        <v>3468</v>
      </c>
      <c r="BN1987" s="1109"/>
      <c r="BO1987" s="1109"/>
    </row>
    <row r="1988" spans="1:67" s="4" customFormat="1" ht="16" x14ac:dyDescent="0.3">
      <c r="A1988" s="246"/>
      <c r="B1988" s="1147" t="s">
        <v>3578</v>
      </c>
      <c r="C1988" s="1148"/>
      <c r="D1988" s="1148"/>
      <c r="E1988" s="1148"/>
      <c r="F1988" s="246"/>
      <c r="AB1988" s="631" t="str">
        <f>IF(D$1985=AB$1983,AN204,IF(D$1985=AB$1984,AN214,IF(D$1985=AB$1985,AK200,"")))</f>
        <v>(920) 445-8760</v>
      </c>
      <c r="AC1988" s="389"/>
      <c r="AF1988" s="4" t="str">
        <f t="shared" si="101"/>
        <v>Steph Turner</v>
      </c>
      <c r="AG1988" s="503" t="s">
        <v>3553</v>
      </c>
      <c r="AQ1988" s="508" t="str">
        <f t="shared" si="100"/>
        <v>Steph Turner's supporters question the legitimacy of adversarial justice</v>
      </c>
      <c r="BB1988" s="388"/>
      <c r="BI1988" s="4" t="s">
        <v>3517</v>
      </c>
    </row>
    <row r="1989" spans="1:67" s="4" customFormat="1" ht="7" customHeight="1" x14ac:dyDescent="0.3">
      <c r="A1989" s="246"/>
      <c r="B1989" s="246"/>
      <c r="C1989" s="246"/>
      <c r="D1989" s="246"/>
      <c r="E1989" s="246"/>
      <c r="F1989" s="246"/>
      <c r="AC1989" s="389"/>
      <c r="AF1989" s="4" t="str">
        <f t="shared" si="101"/>
        <v>Steph Turner</v>
      </c>
      <c r="AG1989" s="503" t="s">
        <v>3554</v>
      </c>
      <c r="AQ1989" s="508" t="str">
        <f t="shared" si="100"/>
        <v>Steph Turner's supporters challenge the legitimacy of adversarial justice</v>
      </c>
      <c r="BB1989" s="388"/>
    </row>
    <row r="1990" spans="1:67" s="4" customFormat="1" ht="13.75" customHeight="1" x14ac:dyDescent="0.3">
      <c r="A1990" s="246"/>
      <c r="B1990" s="1149" t="str">
        <f>IF(B1988="","YOUR COMPELLING CLAIM'S TAGLINE",C922)</f>
        <v>Asexual transperson registered for life as a sex offender</v>
      </c>
      <c r="C1990" s="1149"/>
      <c r="D1990" s="1149"/>
      <c r="E1990" s="1149"/>
      <c r="F1990" s="246"/>
      <c r="AC1990" s="389"/>
      <c r="AF1990" s="4" t="str">
        <f t="shared" si="101"/>
        <v>Steph Turner</v>
      </c>
      <c r="AG1990" s="503" t="s">
        <v>3555</v>
      </c>
      <c r="AQ1990" s="508" t="str">
        <f t="shared" si="100"/>
        <v>Steph Turner's supporters welcome DA's support for conviction quality</v>
      </c>
      <c r="BB1990" s="388"/>
    </row>
    <row r="1991" spans="1:67" s="4" customFormat="1" x14ac:dyDescent="0.3">
      <c r="A1991" s="246"/>
      <c r="B1991" s="634"/>
      <c r="C1991" s="634"/>
      <c r="D1991" s="634"/>
      <c r="E1991" s="634"/>
      <c r="F1991" s="246"/>
      <c r="AF1991" s="4" t="str">
        <f t="shared" si="101"/>
        <v>Steph Turner</v>
      </c>
      <c r="AG1991" s="503" t="s">
        <v>3556</v>
      </c>
      <c r="AQ1991" s="508" t="str">
        <f t="shared" si="100"/>
        <v>Steph Turner's supporters affirm DA's earned legitimacy</v>
      </c>
      <c r="BB1991" s="388"/>
    </row>
    <row r="1992" spans="1:67" s="4" customFormat="1" ht="13.75" customHeight="1" x14ac:dyDescent="0.3">
      <c r="A1992" s="246"/>
      <c r="B1992" s="1047" t="str">
        <f>IF(B1988="","",AC1993)</f>
        <v xml:space="preserve">Value Relating created a revolutionary tool to quickly estimate claims of wrongful conviction. It compares a claim of actual innocence to known cases of exoneration. Then compares those details to calculate Steph Turner's actual innocence. As Steph put it, "Asexual transperson registered for life as a sex offender." </v>
      </c>
      <c r="C1992" s="1047"/>
      <c r="D1992" s="1047"/>
      <c r="E1992" s="1047"/>
      <c r="F1992" s="246"/>
      <c r="AC1992" s="389"/>
      <c r="AF1992" s="4" t="s">
        <v>3633</v>
      </c>
      <c r="AQ1992" s="508" t="str">
        <f t="shared" si="100"/>
        <v>Mounting claims require better processing resources</v>
      </c>
      <c r="BB1992" s="388"/>
    </row>
    <row r="1993" spans="1:67" s="4" customFormat="1" x14ac:dyDescent="0.3">
      <c r="A1993" s="246"/>
      <c r="B1993" s="1047"/>
      <c r="C1993" s="1047"/>
      <c r="D1993" s="1047"/>
      <c r="E1993" s="1047"/>
      <c r="F1993" s="246"/>
      <c r="AC1993" s="632" t="str">
        <f>IF($B$1988=$AQ$1983,AF1995,IF($B$1988=$AQ$1984,AF1996,IF($B$1988=$AQ$1985,AF1997,IF($B$1988=$AQ$1986,AF1998,))))</f>
        <v xml:space="preserve">Value Relating created a revolutionary tool to quickly estimate claims of wrongful conviction. It compares a claim of actual innocence to known cases of exoneration. Then compares those details to calculate Steph Turner's actual innocence. As Steph put it, "Asexual transperson registered for life as a sex offender." </v>
      </c>
    </row>
    <row r="1994" spans="1:67" s="4" customFormat="1" x14ac:dyDescent="0.3">
      <c r="A1994" s="246"/>
      <c r="B1994" s="1047"/>
      <c r="C1994" s="1047"/>
      <c r="D1994" s="1047"/>
      <c r="E1994" s="1047"/>
      <c r="F1994" s="246"/>
      <c r="AF1994" s="508">
        <f>IF($B$1988="",AG1994,AT$1994)</f>
        <v>1</v>
      </c>
      <c r="AG1994" s="4" t="s">
        <v>3602</v>
      </c>
      <c r="AT1994" s="233">
        <f>IF(B1988=AQ1983,AV1994,IF(B1988=AQ1984,AW1994,IF(B1988=AQ1985,AX1994,IF(B1988=AQ1986,AY1994,IF(B1988=AQ1987,AZ1994,IF(B1988=AQ1988,BA1994,IF(B1988=AQ1989,BB1994,IF(B1988=AQ1990,BC1994,IF(B1988=AQ1991,BD1994,IF(B1988=AQ1992,BE1994,""))))))))))</f>
        <v>1</v>
      </c>
      <c r="AV1994" s="4">
        <v>1</v>
      </c>
      <c r="AW1994" s="4">
        <v>2</v>
      </c>
      <c r="AX1994" s="4">
        <v>3</v>
      </c>
      <c r="AY1994" s="4">
        <v>4</v>
      </c>
      <c r="AZ1994" s="4">
        <v>5</v>
      </c>
      <c r="BA1994" s="4">
        <v>6</v>
      </c>
      <c r="BB1994" s="4">
        <v>7</v>
      </c>
      <c r="BC1994" s="4">
        <v>8</v>
      </c>
      <c r="BD1994" s="4">
        <v>9</v>
      </c>
      <c r="BE1994" s="4">
        <v>0</v>
      </c>
    </row>
    <row r="1995" spans="1:67" s="4" customFormat="1" x14ac:dyDescent="0.3">
      <c r="A1995" s="246"/>
      <c r="B1995" s="1047"/>
      <c r="C1995" s="1047"/>
      <c r="D1995" s="1047"/>
      <c r="E1995" s="1047"/>
      <c r="F1995" s="246"/>
      <c r="AC1995" s="627" t="s">
        <v>62</v>
      </c>
      <c r="AF1995" s="628" t="str">
        <f>CONCATENATE(AH1995,AI1995,AJ1995,AK1995,AL1995,AM1995,AN1995,AO1995,AP1995,AQ1995,AR1995,AS1995,AT1995,AU1995,AV1995,AW1995,AX1995,AY1995,AZ1995,BA1995,BB1995)</f>
        <v xml:space="preserve">Value Relating created a revolutionary tool to quickly estimate claims of wrongful conviction. It compares a claim of actual innocence to known cases of exoneration. Then compares those details to calculate Steph Turner's actual innocence. As Steph put it, "Asexual transperson registered for life as a sex offender." </v>
      </c>
      <c r="AI1995" s="4" t="s">
        <v>4187</v>
      </c>
      <c r="AJ1995" s="4" t="str">
        <f>BG202</f>
        <v>Steph Turner</v>
      </c>
      <c r="AK1995" s="503" t="s">
        <v>4175</v>
      </c>
      <c r="AL1995" s="4" t="str">
        <f>AN202</f>
        <v>Steph</v>
      </c>
      <c r="AM1995" s="4" t="s">
        <v>4176</v>
      </c>
      <c r="AN1995" s="4" t="str">
        <f>C922</f>
        <v>Asexual transperson registered for life as a sex offender</v>
      </c>
      <c r="AO1995" s="503" t="s">
        <v>4188</v>
      </c>
      <c r="BB1995" s="388"/>
    </row>
    <row r="1996" spans="1:67" s="4" customFormat="1" x14ac:dyDescent="0.3">
      <c r="A1996" s="246"/>
      <c r="B1996" s="1047"/>
      <c r="C1996" s="1047"/>
      <c r="D1996" s="1047"/>
      <c r="E1996" s="1047"/>
      <c r="F1996" s="246"/>
      <c r="AC1996" s="627" t="s">
        <v>64</v>
      </c>
      <c r="AF1996" s="628" t="str">
        <f>CONCATENATE(AH1996,AI1996,AJ1996,AK1996,AL1996,AM1996,AN1996,AO1996,AP1996,AQ1996,AR1996,AS1996,AT1996,AU1996,AV1996,AW1996,AX1996,AY1996,AZ1996,BA1996,BB1996)</f>
        <v/>
      </c>
      <c r="BB1996" s="388"/>
    </row>
    <row r="1997" spans="1:67" s="4" customFormat="1" x14ac:dyDescent="0.3">
      <c r="A1997" s="246"/>
      <c r="B1997" s="1047"/>
      <c r="C1997" s="1047"/>
      <c r="D1997" s="1047"/>
      <c r="E1997" s="1047"/>
      <c r="F1997" s="246"/>
      <c r="AC1997" s="627" t="s">
        <v>4055</v>
      </c>
      <c r="AE1997" s="503" t="str">
        <f>IF($D$1768=$AQ$1768,AF1997,AG1997)</f>
        <v>REQUIRES PASSKEY</v>
      </c>
      <c r="AF1997" s="628" t="str">
        <f>CONCATENATE(AH1997,AI1997,AJ1997,AK1997,AL1997,AM1997,AN1997,AO1997,AP1997,AQ1997,AR1997,AS1997,AT1997,AU1997,AW1997,AX1997,AY1997,AZ1997,BA1997,BB1997)</f>
        <v xml:space="preserve">Value Relating created a revolutionary tool to quickly estimate claims of wrongful conviction. It goes beyond the guilt-innocence binary. It provides a range of likely innocence, or guilt. It digs up more details to appreciate </v>
      </c>
      <c r="AG1997" s="659" t="s">
        <v>4362</v>
      </c>
      <c r="AI1997" s="4" t="s">
        <v>4174</v>
      </c>
      <c r="BA1997" s="388"/>
    </row>
    <row r="1998" spans="1:67" s="4" customFormat="1" ht="13.75" customHeight="1" x14ac:dyDescent="0.3">
      <c r="A1998" s="246"/>
      <c r="B1998" s="1047" t="str">
        <f>IF(B1988="","",AC1999)</f>
        <v xml:space="preserve">Contrary to popular belief, all prisoners do not claim to be innocent. Steph is among the 15% of prisoners who claim "actual" innocence. Other prisoners admit doing the deed, but fail to see their harm. Others view their conviction as a badge of honor, as a proud outlaw. Not Steph. His 86% estimated innocence sets him apart. </v>
      </c>
      <c r="C1998" s="1047"/>
      <c r="D1998" s="1047"/>
      <c r="E1998" s="1047"/>
      <c r="F1998" s="246"/>
      <c r="AC1998" s="627" t="s">
        <v>3288</v>
      </c>
      <c r="AE1998" s="503" t="str">
        <f>IF($D$1768=$AQ$1768,AF1998,AG1998)</f>
        <v>REQUIRES PASSKEY</v>
      </c>
      <c r="AF1998" s="628" t="str">
        <f>CONCATENATE(AH1998,AI1998,AJ1998,AK1998,AL1998,AM1998,AN1998,AO1998,AP1998,AQ1998,AR1998,AS1998,AT1998,AU1998,AW1998,AX1998,AY1998,AZ1998,BA1998,BB1998)</f>
        <v xml:space="preserve">Click on the link to https://www.valuerelating.com/1993-steph-turner to view Steph's story. </v>
      </c>
      <c r="AG1998" s="659" t="s">
        <v>4362</v>
      </c>
      <c r="AI1998" s="4" t="s">
        <v>4171</v>
      </c>
      <c r="AJ1998" s="4" t="str">
        <f>B1930</f>
        <v>https://www.valuerelating.com/1993-steph-turner</v>
      </c>
      <c r="AK1998" s="4" t="s">
        <v>4172</v>
      </c>
      <c r="AL1998" s="4" t="str">
        <f>AN202</f>
        <v>Steph</v>
      </c>
      <c r="AM1998" s="503" t="s">
        <v>4173</v>
      </c>
      <c r="BA1998" s="388"/>
    </row>
    <row r="1999" spans="1:67" s="4" customFormat="1" x14ac:dyDescent="0.3">
      <c r="A1999" s="246"/>
      <c r="B1999" s="1047"/>
      <c r="C1999" s="1047"/>
      <c r="D1999" s="1047"/>
      <c r="E1999" s="1047"/>
      <c r="F1999" s="246"/>
      <c r="AC1999" s="632" t="str">
        <f>IF($B$1988=$AQ$1983,AF2001,IF($B$1988=$AQ$1984,AF2002,IF($B$1988=$AQ$1985,AF2003,IF($B$1988=$AQ$1986,AF2004,))))</f>
        <v xml:space="preserve">Contrary to popular belief, all prisoners do not claim to be innocent. Steph is among the 15% of prisoners who claim "actual" innocence. Other prisoners admit doing the deed, but fail to see their harm. Others view their conviction as a badge of honor, as a proud outlaw. Not Steph. His 86% estimated innocence sets him apart. </v>
      </c>
      <c r="BB1999" s="388"/>
      <c r="BH1999" s="4" t="str">
        <f>CONCATENATE(BH1997,BI1997,BJ1997,BK1997,BL1997)</f>
        <v/>
      </c>
    </row>
    <row r="2000" spans="1:67" s="4" customFormat="1" x14ac:dyDescent="0.3">
      <c r="A2000" s="246"/>
      <c r="B2000" s="1047"/>
      <c r="C2000" s="1047"/>
      <c r="D2000" s="1047"/>
      <c r="E2000" s="1047"/>
      <c r="F2000" s="246"/>
      <c r="Q2000" s="4" t="str">
        <f>CONCATENATE(V1998,W1998,X1998,Y1998,Z1998)</f>
        <v/>
      </c>
      <c r="AC2000" s="627"/>
      <c r="AF2000" s="508">
        <f>IF($B$1988="",AG2000,AT$1994)</f>
        <v>1</v>
      </c>
      <c r="AG2000" s="4" t="s">
        <v>3603</v>
      </c>
      <c r="BB2000" s="388"/>
    </row>
    <row r="2001" spans="1:54" s="4" customFormat="1" x14ac:dyDescent="0.3">
      <c r="A2001" s="246"/>
      <c r="B2001" s="1047"/>
      <c r="C2001" s="1047"/>
      <c r="D2001" s="1047"/>
      <c r="E2001" s="1047"/>
      <c r="F2001" s="246"/>
      <c r="AC2001" s="627" t="s">
        <v>62</v>
      </c>
      <c r="AF2001" s="628" t="str">
        <f>CONCATENATE(AH2001,AI2001,AJ2001,AK2001,AL2001,AM2001,AN2001,AO2001,AP2001,AQ2001,AR2001,AS2001,AT2001,AU2001,AV2001,AW2001,AX2001,AY2001,AZ2001,BA2001,BB2001)</f>
        <v xml:space="preserve">Contrary to popular belief, all prisoners do not claim to be innocent. Steph is among the 15% of prisoners who claim "actual" innocence. Other prisoners admit doing the deed, but fail to see their harm. Others view their conviction as a badge of honor, as a proud outlaw. Not Steph. His 86% estimated innocence sets him apart. </v>
      </c>
      <c r="AG2001" s="628"/>
      <c r="AI2001" s="4" t="s">
        <v>4177</v>
      </c>
      <c r="AJ2001" s="4" t="str">
        <f>AN202</f>
        <v>Steph</v>
      </c>
      <c r="AK2001" s="4" t="s">
        <v>4206</v>
      </c>
      <c r="AL2001" s="4" t="str">
        <f>AN202</f>
        <v>Steph</v>
      </c>
      <c r="AM2001" s="503" t="s">
        <v>4029</v>
      </c>
      <c r="AN2001" s="4" t="str">
        <f>BK206</f>
        <v>His</v>
      </c>
      <c r="AO2001" s="4" t="s">
        <v>4060</v>
      </c>
      <c r="AP2001" s="629">
        <f>AI1984</f>
        <v>86</v>
      </c>
      <c r="AQ2001" s="503" t="s">
        <v>4182</v>
      </c>
      <c r="AR2001" s="4" t="str">
        <f>BI206</f>
        <v>him</v>
      </c>
      <c r="AS2001" s="4" t="s">
        <v>4179</v>
      </c>
      <c r="BB2001" s="388"/>
    </row>
    <row r="2002" spans="1:54" s="4" customFormat="1" x14ac:dyDescent="0.3">
      <c r="A2002" s="246"/>
      <c r="B2002" s="1047"/>
      <c r="C2002" s="1047"/>
      <c r="D2002" s="1047"/>
      <c r="E2002" s="1047"/>
      <c r="F2002" s="246"/>
      <c r="AC2002" s="627" t="s">
        <v>64</v>
      </c>
      <c r="AF2002" s="628" t="str">
        <f>CONCATENATE(AH2002,AI2002,AJ2002,AK2002,AL2002,AM2002,AN2002,AO2002,AP2002,AQ2002,AR2002,AS2002,AT2002,AU2002,AV2002,AW2002,AX2002,AY2002,AZ2002,BA2002,BB2002)</f>
        <v xml:space="preserve">% likely innocence merits review. </v>
      </c>
      <c r="AG2002" s="628"/>
      <c r="AO2002" s="503" t="s">
        <v>4178</v>
      </c>
      <c r="BB2002" s="388"/>
    </row>
    <row r="2003" spans="1:54" s="4" customFormat="1" x14ac:dyDescent="0.3">
      <c r="A2003" s="246"/>
      <c r="B2003" s="1047" t="str">
        <f>IF(B1988="","",AC2005)</f>
        <v xml:space="preserve">The appellate process overlooked Steph's actual innocence, as it has other exonerees. Innocence projects could help. But they routinely receive far more requests than they can serve. If only half of the 15% claiming actual innocence are truly innocent like Steph, there would be 165,000 viable claims to process. "We know without doubt," declares the editor of the National Registry of Exonerations, "that the vast majority of innocent defendants who are convicted of crimes are never identified and cleared." </v>
      </c>
      <c r="C2003" s="1047"/>
      <c r="D2003" s="1047"/>
      <c r="E2003" s="1047"/>
      <c r="F2003" s="246"/>
      <c r="AC2003" s="627" t="s">
        <v>4055</v>
      </c>
      <c r="AE2003" s="503" t="str">
        <f>IF($D$1768=$AQ$1768,AF2003,AG2003)</f>
        <v>REQUIRES PASSKEY</v>
      </c>
      <c r="AF2003" s="628" t="str">
        <f>CONCATENATE(AH2003,AI2003,AJ2003,AK2003,AL2003,AM2003,AN2003,AO2003,AP2003,AQ2003,AR2003,AS2003,AT2003,AU2003,AW2003,AX2003,AY2003,AZ2003,BA2003,BB2003)</f>
        <v/>
      </c>
      <c r="AG2003" s="659" t="s">
        <v>4362</v>
      </c>
      <c r="BA2003" s="388"/>
    </row>
    <row r="2004" spans="1:54" s="4" customFormat="1" x14ac:dyDescent="0.3">
      <c r="A2004" s="246"/>
      <c r="B2004" s="1047"/>
      <c r="C2004" s="1047"/>
      <c r="D2004" s="1047"/>
      <c r="E2004" s="1047"/>
      <c r="F2004" s="246"/>
      <c r="AC2004" s="627" t="s">
        <v>3288</v>
      </c>
      <c r="AE2004" s="503" t="str">
        <f>IF($D$1768=$AQ$1768,AF2004,AG2004)</f>
        <v>REQUIRES PASSKEY</v>
      </c>
      <c r="AF2004" s="628" t="str">
        <f>CONCATENATE(AH2004,AI2004,AJ2004,AK2004,AL2004,AM2004,AN2004,AO2004,AP2004,AQ2004,AR2004,AS2004,AT2004,AU2004,AW2004,AX2004,AY2004,AZ2004,BA2004,BB2004)</f>
        <v/>
      </c>
      <c r="AG2004" s="659" t="s">
        <v>4362</v>
      </c>
      <c r="BA2004" s="388"/>
    </row>
    <row r="2005" spans="1:54" s="4" customFormat="1" x14ac:dyDescent="0.3">
      <c r="A2005" s="246"/>
      <c r="B2005" s="1047"/>
      <c r="C2005" s="1047"/>
      <c r="D2005" s="1047"/>
      <c r="E2005" s="1047"/>
      <c r="F2005" s="246"/>
      <c r="AC2005" s="632" t="str">
        <f>IF($B$1988=$AQ$1983,AF2007,IF($B$1988=$AQ$1984,AF2008,IF($B$1988=$AQ$1985,AF2009,IF($B$1988=$AQ$1986,AF2010,))))</f>
        <v xml:space="preserve">The appellate process overlooked Steph's actual innocence, as it has other exonerees. Innocence projects could help. But they routinely receive far more requests than they can serve. If only half of the 15% claiming actual innocence are truly innocent like Steph, there would be 165,000 viable claims to process. "We know without doubt," declares the editor of the National Registry of Exonerations, "that the vast majority of innocent defendants who are convicted of crimes are never identified and cleared." </v>
      </c>
      <c r="BB2005" s="388"/>
    </row>
    <row r="2006" spans="1:54" s="4" customFormat="1" x14ac:dyDescent="0.3">
      <c r="A2006" s="246"/>
      <c r="B2006" s="1047"/>
      <c r="C2006" s="1047"/>
      <c r="D2006" s="1047"/>
      <c r="E2006" s="1047"/>
      <c r="F2006" s="246"/>
      <c r="AC2006" s="627"/>
      <c r="AF2006" s="508">
        <f>IF($B$1988="",AG2006,AT$1994)</f>
        <v>1</v>
      </c>
      <c r="AG2006" s="4" t="s">
        <v>3601</v>
      </c>
      <c r="BB2006" s="388"/>
    </row>
    <row r="2007" spans="1:54" s="4" customFormat="1" x14ac:dyDescent="0.3">
      <c r="A2007" s="246"/>
      <c r="B2007" s="1047"/>
      <c r="C2007" s="1047"/>
      <c r="D2007" s="1047"/>
      <c r="E2007" s="1047"/>
      <c r="F2007" s="246"/>
      <c r="AC2007" s="627" t="s">
        <v>62</v>
      </c>
      <c r="AF2007" s="628" t="str">
        <f>CONCATENATE(AH2007,AI2007,AJ2007,AK2007,AL2007,AM2007,AN2007,AO2007,AP2007,AQ2007,AR2007,AS2007,AT2007,AU2007,AV2007,AW2007,AX2007,AY2007,AZ2007,BA2007,BB2007)</f>
        <v xml:space="preserve">The appellate process overlooked Steph's actual innocence, as it has other exonerees. Innocence projects could help. But they routinely receive far more requests than they can serve. If only half of the 15% claiming actual innocence are truly innocent like Steph, there would be 165,000 viable claims to process. "We know without doubt," declares the editor of the National Registry of Exonerations, "that the vast majority of innocent defendants who are convicted of crimes are never identified and cleared." </v>
      </c>
      <c r="AG2007" s="628" t="str">
        <f>CONCATENATE(AH2007,AI2007,AJ2007,AK2007,AL2007,AM2007,AN2007,AO2007,AP2007,AQ2007,AR2007,AS2008,AT2008,AU2008,AW2008,AX2008,AY2008,AZ2008,BA2008,BB2008)</f>
        <v xml:space="preserve">The appellate process overlooked Steph's actual innocence, as it has other exonerees. Innocence projects could help. But they routinely receive far more requests than they can serve. If only half of the 15% claiming actual innocence are truly innocent like Steph, there would be 165,000 viable claims to process. "We know without doubt," declares the editor of the National Registry of Exonerations, "that the vast majority of innocent defendants who are convicted of crimes are never identified and cleared." </v>
      </c>
      <c r="AI2007" s="4" t="s">
        <v>4181</v>
      </c>
      <c r="AJ2007" s="4" t="str">
        <f>AN202</f>
        <v>Steph</v>
      </c>
      <c r="AK2007" s="503" t="s">
        <v>4185</v>
      </c>
      <c r="AL2007" s="4" t="s">
        <v>4184</v>
      </c>
      <c r="AM2007" s="246" t="str">
        <f>AN202</f>
        <v>Steph</v>
      </c>
      <c r="AN2007" s="4" t="s">
        <v>4183</v>
      </c>
      <c r="AO2007" s="246" t="s">
        <v>4180</v>
      </c>
      <c r="BB2007" s="388"/>
    </row>
    <row r="2008" spans="1:54" s="4" customFormat="1" x14ac:dyDescent="0.3">
      <c r="A2008" s="246"/>
      <c r="B2008" s="1047"/>
      <c r="C2008" s="1047"/>
      <c r="D2008" s="1047"/>
      <c r="E2008" s="1047"/>
      <c r="F2008" s="246"/>
      <c r="AC2008" s="627" t="s">
        <v>64</v>
      </c>
      <c r="AF2008" s="628" t="str">
        <f>CONCATENATE(AH2008,AI2008,AJ2008,AK2008,AL2008,AM2008,AN2008,AO2008,AP2008,AQ2008,AR2008,AS2008,AT2008,AU2008,AV2008,AW2008,AX2008,AY2008,AZ2008,BA2008,BB2008)</f>
        <v/>
      </c>
      <c r="AG2008" s="628"/>
      <c r="BB2008" s="388"/>
    </row>
    <row r="2009" spans="1:54" s="4" customFormat="1" x14ac:dyDescent="0.3">
      <c r="A2009" s="246"/>
      <c r="B2009" s="1047"/>
      <c r="C2009" s="1047"/>
      <c r="D2009" s="1047"/>
      <c r="E2009" s="1047"/>
      <c r="F2009" s="246"/>
      <c r="AC2009" s="627" t="s">
        <v>4055</v>
      </c>
      <c r="AE2009" s="503" t="str">
        <f>IF($D$1768=$AQ$1768,AF2009,AG2009)</f>
        <v>REQUIRES PASSKEY</v>
      </c>
      <c r="AF2009" s="628" t="str">
        <f>CONCATENATE(AH2009,AI2009,AJ2009,AK2009,AL2009,AM2009,AN2009,AO2009,AP2009,AQ2009,AR2009,AS2009,AT2009,AU2009,AW2009,AX2009,AY2009,AZ2009,BA2009,BB2009)</f>
        <v/>
      </c>
      <c r="AG2009" s="659" t="s">
        <v>4362</v>
      </c>
      <c r="BA2009" s="388"/>
    </row>
    <row r="2010" spans="1:54" s="4" customFormat="1" ht="13.75" customHeight="1" x14ac:dyDescent="0.3">
      <c r="A2010" s="246"/>
      <c r="B2010" s="1047" t="str">
        <f>IF(B1988="","",AC2011)</f>
        <v>Today, Steph struggles with poverty. Instead of giving up hope, he is pioneering a new approach to this problem. He and  his supporters call for more resources to review claims like his. Here are some highlights of his compelling case for actual innocence.</v>
      </c>
      <c r="C2010" s="1047"/>
      <c r="D2010" s="1047"/>
      <c r="E2010" s="1047"/>
      <c r="F2010" s="246"/>
      <c r="AC2010" s="627" t="s">
        <v>3288</v>
      </c>
      <c r="AE2010" s="503" t="str">
        <f>IF($D$1768=$AQ$1768,AF2010,AG2010)</f>
        <v>REQUIRES PASSKEY</v>
      </c>
      <c r="AF2010" s="628" t="str">
        <f>CONCATENATE(AH2010,AI2010,AJ2010,AK2010,AL2010,AM2010,AN2010,AO2010,AP2010,AQ2010,AR2010,AS2010,AT2010,AU2010,AW2010,AX2010,AY2010,AZ2010,BA2010,BB2010)</f>
        <v/>
      </c>
      <c r="AG2010" s="659" t="s">
        <v>4362</v>
      </c>
      <c r="BA2010" s="388"/>
    </row>
    <row r="2011" spans="1:54" s="4" customFormat="1" x14ac:dyDescent="0.3">
      <c r="A2011" s="246"/>
      <c r="B2011" s="1047"/>
      <c r="C2011" s="1047"/>
      <c r="D2011" s="1047"/>
      <c r="E2011" s="1047"/>
      <c r="F2011" s="246"/>
      <c r="AC2011" s="632" t="str">
        <f>IF($B$1988=$AQ$1983,AF2013,IF($B$1988=$AQ$1984,AF2014,IF($B$1988=$AQ$1985,AF2015,IF($B$1988=$AQ$1986,AF2016,))))</f>
        <v>Today, Steph struggles with poverty. Instead of giving up hope, he is pioneering a new approach to this problem. He and  his supporters call for more resources to review claims like his. Here are some highlights of his compelling case for actual innocence.</v>
      </c>
      <c r="BB2011" s="388"/>
    </row>
    <row r="2012" spans="1:54" s="4" customFormat="1" x14ac:dyDescent="0.3">
      <c r="A2012" s="246"/>
      <c r="B2012" s="1047"/>
      <c r="C2012" s="1047"/>
      <c r="D2012" s="1047"/>
      <c r="E2012" s="1047"/>
      <c r="F2012" s="246"/>
      <c r="AC2012" s="627"/>
      <c r="AF2012" s="508">
        <f>IF($B$1988="",AG2012,AT$1994)</f>
        <v>1</v>
      </c>
      <c r="AG2012" s="4" t="s">
        <v>3605</v>
      </c>
      <c r="BB2012" s="388"/>
    </row>
    <row r="2013" spans="1:54" s="4" customFormat="1" x14ac:dyDescent="0.3">
      <c r="A2013" s="246"/>
      <c r="B2013" s="1047"/>
      <c r="C2013" s="1047"/>
      <c r="D2013" s="1047"/>
      <c r="E2013" s="1047"/>
      <c r="F2013" s="246"/>
      <c r="AC2013" s="627" t="s">
        <v>62</v>
      </c>
      <c r="AF2013" s="628" t="str">
        <f>CONCATENATE(AH2013,AI2013,AJ2013,AK2013,AL2013,AM2013,AN2013,AO2013,AP2013,AQ2013,AR2013,AS2013,AT2013,AU2013,AV2013,AW2013,AX2013,AY2013,AZ2013,BA2013,BB2013)</f>
        <v>Today, Steph struggles with poverty. Instead of giving up hope, he is pioneering a new approach to this problem. He and  his supporters call for more resources to review claims like his. Here are some highlights of his compelling case for actual innocence.</v>
      </c>
      <c r="AG2013" s="628" t="str">
        <f>CONCATENATE(AH2013,AI2013,AJ2013,AK2013,AL2013,AM2013,AN2013,AO2013,AP2013,AQ2013,AR2013,AS2014,AT2014,AU2014,AW2014,AX2014,AY2014,AZ2014,BA2014,BB2014)</f>
        <v>Today, Steph struggles with poverty. Instead of giving up hope, he is pioneering a new approach to this problem. He and  his</v>
      </c>
      <c r="AI2013" s="4" t="s">
        <v>4186</v>
      </c>
      <c r="AJ2013" s="4" t="str">
        <f>AJ2007</f>
        <v>Steph</v>
      </c>
      <c r="AK2013" s="4" t="str">
        <f>AV312</f>
        <v xml:space="preserve"> struggles with poverty</v>
      </c>
      <c r="AM2013" s="4" t="s">
        <v>4190</v>
      </c>
      <c r="AN2013" s="4" t="str">
        <f>BH206</f>
        <v>he</v>
      </c>
      <c r="AO2013" s="4" t="s">
        <v>4189</v>
      </c>
      <c r="AP2013" s="4" t="str">
        <f>BG206</f>
        <v>He</v>
      </c>
      <c r="AQ2013" s="4" t="s">
        <v>4194</v>
      </c>
      <c r="AR2013" s="4" t="str">
        <f>BJ206</f>
        <v>his</v>
      </c>
      <c r="AS2013" s="4" t="s">
        <v>4195</v>
      </c>
      <c r="AT2013" s="4" t="str">
        <f>BJ206</f>
        <v>his</v>
      </c>
      <c r="AU2013" s="4" t="s">
        <v>4196</v>
      </c>
      <c r="AV2013" s="4" t="str">
        <f>AT2013</f>
        <v>his</v>
      </c>
      <c r="AW2013" s="4" t="s">
        <v>4197</v>
      </c>
      <c r="BB2013" s="388"/>
    </row>
    <row r="2014" spans="1:54" s="4" customFormat="1" x14ac:dyDescent="0.3">
      <c r="A2014" s="246"/>
      <c r="B2014" s="644" t="str">
        <f>IF(C2014="","","* ")</f>
        <v xml:space="preserve">* </v>
      </c>
      <c r="C2014" s="1146" t="s">
        <v>376</v>
      </c>
      <c r="D2014" s="1146"/>
      <c r="E2014" s="634"/>
      <c r="F2014" s="246"/>
      <c r="AC2014" s="627" t="s">
        <v>64</v>
      </c>
      <c r="AF2014" s="628" t="str">
        <f>CONCATENATE(AH2014,AI2014,AJ2014,AK2014,AL2014,AM2014,AN2014,AO2014,AP2014,AQ2014,AR2014,AS2014,AT2014,AU2014,AV2014,AW2014,AX2014,AY2014,AZ2014,BA2014,BB2014)</f>
        <v/>
      </c>
      <c r="AG2014" s="628" t="str">
        <f>CONCATENATE(AH2014,AI2014,AJ2014,AK2014,AL2014,AM2014,AN2014,AO2014,AP2014,AQ2014,AR2014,AS2015,AT2015,AU2015,AW2015,AX2015,AY2015,AZ2015,BA2015,BB2015)</f>
        <v/>
      </c>
      <c r="BB2014" s="388"/>
    </row>
    <row r="2015" spans="1:54" s="4" customFormat="1" x14ac:dyDescent="0.3">
      <c r="A2015" s="246"/>
      <c r="B2015" s="644" t="str">
        <f>IF(C2015="","","* ")</f>
        <v xml:space="preserve">* </v>
      </c>
      <c r="C2015" s="1146" t="s">
        <v>531</v>
      </c>
      <c r="D2015" s="1146"/>
      <c r="E2015" s="634"/>
      <c r="F2015" s="246"/>
      <c r="AC2015" s="627" t="s">
        <v>4055</v>
      </c>
      <c r="AE2015" s="503" t="str">
        <f>IF($D$1768=$AQ$1768,AF2015,AG2015)</f>
        <v>REQUIRES PASSKEY</v>
      </c>
      <c r="AF2015" s="628" t="str">
        <f>CONCATENATE(AH2015,AI2015,AJ2015,AK2015,AL2015,AM2015,AN2015,AO2015,AP2015,AQ2015,AR2015,AS2015,AT2015,AU2015,AW2015,AX2015,AY2015,AZ2015,BA2015,BB2015)</f>
        <v/>
      </c>
      <c r="AG2015" s="659" t="s">
        <v>4362</v>
      </c>
      <c r="BA2015" s="388"/>
    </row>
    <row r="2016" spans="1:54" s="4" customFormat="1" x14ac:dyDescent="0.3">
      <c r="A2016" s="246"/>
      <c r="B2016" s="644" t="str">
        <f>IF(C2016="","","* ")</f>
        <v xml:space="preserve">* </v>
      </c>
      <c r="C2016" s="1146" t="s">
        <v>539</v>
      </c>
      <c r="D2016" s="1146"/>
      <c r="E2016" s="246"/>
      <c r="F2016" s="246"/>
      <c r="AC2016" s="627" t="s">
        <v>3288</v>
      </c>
      <c r="AE2016" s="503" t="str">
        <f>IF($D$1768=$AQ$1768,AF2016,AG2016)</f>
        <v>REQUIRES PASSKEY</v>
      </c>
      <c r="AF2016" s="628" t="str">
        <f>CONCATENATE(AH2016,AI2016,AJ2016,AK2016,AL2016,AM2016,AN2016,AO2016,AP2016,AQ2016,AR2016,AS2016,AT2016,AU2016,AW2016,AX2016,AY2016,AZ2016,BA2016,BB2016)</f>
        <v/>
      </c>
      <c r="AG2016" s="659" t="s">
        <v>4362</v>
      </c>
      <c r="BA2016" s="388"/>
    </row>
    <row r="2017" spans="1:64" s="4" customFormat="1" x14ac:dyDescent="0.3">
      <c r="A2017" s="246"/>
      <c r="B2017" s="246"/>
      <c r="C2017" s="246"/>
      <c r="D2017" s="246"/>
      <c r="E2017" s="246"/>
      <c r="F2017" s="246"/>
      <c r="AC2017" s="632" t="str">
        <f>IF($B$1988=$AQ$1983,AF2019,IF($B$1988=$AQ$1984,AF2020,IF($B$1988=$AQ$1985,AF2021,IF($B$1988=$AQ$1986,AF2022,))))</f>
        <v>You can learn more about Steph's story at https://www.valuerelating.com/1993-steph-turner. His compelling innocence claim is one among a growing number using this introductory platform at https://www.valuerelating.com/unexonerated. See how Steph's story cries out for better resources to identify and clear the innocent falsely registered as a sex offender. Starting with Steph himself.</v>
      </c>
      <c r="BB2017" s="388"/>
    </row>
    <row r="2018" spans="1:64" s="4" customFormat="1" x14ac:dyDescent="0.3">
      <c r="A2018" s="246"/>
      <c r="B2018" s="1047" t="str">
        <f>IF(B1988="","",AC2017)</f>
        <v>You can learn more about Steph's story at https://www.valuerelating.com/1993-steph-turner. His compelling innocence claim is one among a growing number using this introductory platform at https://www.valuerelating.com/unexonerated. See how Steph's story cries out for better resources to identify and clear the innocent falsely registered as a sex offender. Starting with Steph himself.</v>
      </c>
      <c r="C2018" s="1047"/>
      <c r="D2018" s="1047"/>
      <c r="E2018" s="1047"/>
      <c r="F2018" s="246"/>
      <c r="AC2018" s="627"/>
      <c r="AF2018" s="508">
        <f>IF($B$1988="",AG2018,AT$1994)</f>
        <v>1</v>
      </c>
      <c r="AG2018" s="4" t="s">
        <v>4170</v>
      </c>
      <c r="AK2018" s="503"/>
      <c r="BB2018" s="388"/>
    </row>
    <row r="2019" spans="1:64" s="4" customFormat="1" x14ac:dyDescent="0.3">
      <c r="A2019" s="246"/>
      <c r="B2019" s="1047"/>
      <c r="C2019" s="1047"/>
      <c r="D2019" s="1047"/>
      <c r="E2019" s="1047"/>
      <c r="F2019" s="246"/>
      <c r="AC2019" s="627" t="s">
        <v>62</v>
      </c>
      <c r="AF2019" s="628" t="str">
        <f>CONCATENATE(AH2019,AI2019,AJ2019,AK2019,AL2019,AM2019,AN2019,AO2019,AP2019,AQ2019,AR2019,AS2019,AT2019,AU2019,AV2019,AW2019,AX2019,AY2019,AZ2019,BA2019,BB2019)</f>
        <v>You can learn more about Steph's story at https://www.valuerelating.com/1993-steph-turner. His compelling innocence claim is one among a growing number using this introductory platform at https://www.valuerelating.com/unexonerated. See how Steph's story cries out for better resources to identify and clear the innocent falsely registered as a sex offender. Starting with Steph himself.</v>
      </c>
      <c r="AG2019" s="628" t="str">
        <f>CONCATENATE(AH2019,AI2019,AJ2019,AK2019,AL2019,AM2019,AN2019,AO2019,AP2019,AQ2019,AR2019,AS2020,AT2020,AU2020,AW2020,AX2020,AY2020,AZ2020,BA2020,BB2020)</f>
        <v>You can learn more about Steph's story at https://www.valuerelating.com/1993-steph-turner. His compelling innocence claim is one among a growing number using this introductory platform at https://www.valuerelating.com/unexonerated. See how Steph</v>
      </c>
      <c r="AI2019" s="4" t="s">
        <v>4198</v>
      </c>
      <c r="AJ2019" s="4" t="str">
        <f>AN202</f>
        <v>Steph</v>
      </c>
      <c r="AK2019" s="503" t="s">
        <v>4199</v>
      </c>
      <c r="AL2019" s="4" t="str">
        <f>B1930</f>
        <v>https://www.valuerelating.com/1993-steph-turner</v>
      </c>
      <c r="AM2019" s="4" t="s">
        <v>4029</v>
      </c>
      <c r="AN2019" s="4" t="str">
        <f>BK206</f>
        <v>His</v>
      </c>
      <c r="AO2019" s="4" t="s">
        <v>4200</v>
      </c>
      <c r="AP2019" s="4" t="s">
        <v>4201</v>
      </c>
      <c r="AQ2019" s="4" t="s">
        <v>4202</v>
      </c>
      <c r="AR2019" s="4" t="str">
        <f>AN202</f>
        <v>Steph</v>
      </c>
      <c r="AS2019" s="503" t="s">
        <v>4203</v>
      </c>
      <c r="AT2019" s="4" t="str">
        <f>AV314</f>
        <v>falsely registered as a sex offender</v>
      </c>
      <c r="AU2019" s="4" t="s">
        <v>4204</v>
      </c>
      <c r="AV2019" s="4" t="str">
        <f>AN202</f>
        <v>Steph</v>
      </c>
      <c r="AW2019" s="4" t="s">
        <v>4060</v>
      </c>
      <c r="AX2019" s="4" t="str">
        <f>BI206</f>
        <v>him</v>
      </c>
      <c r="AY2019" s="4" t="s">
        <v>4205</v>
      </c>
      <c r="BB2019" s="388"/>
    </row>
    <row r="2020" spans="1:64" s="4" customFormat="1" x14ac:dyDescent="0.3">
      <c r="A2020" s="246"/>
      <c r="B2020" s="1047"/>
      <c r="C2020" s="1047"/>
      <c r="D2020" s="1047"/>
      <c r="E2020" s="1047"/>
      <c r="F2020" s="246"/>
      <c r="AC2020" s="627" t="s">
        <v>64</v>
      </c>
      <c r="AF2020" s="628" t="str">
        <f>CONCATENATE(AH2020,AI2020,AJ2020,AK2020,AL2020,AM2020,AN2020,AO2020,AP2020,AQ2020,AR2020,AS2020,AT2020,AU2020,AV2020,AW2020,AX2020,AY2020,AZ2020,BA2020,BB2020)</f>
        <v/>
      </c>
      <c r="AG2020" s="628" t="str">
        <f>CONCATENATE(AH2020,AI2020,AJ2020,AK2020,AL2020,AM2020,AN2020,AO2020,AP2020,AQ2020,AR2020,AS2021,AT2021,AU2021,AW2021,AX2021,AY2021,AZ2021,BA2021,BB2021)</f>
        <v/>
      </c>
      <c r="BB2020" s="388"/>
    </row>
    <row r="2021" spans="1:64" s="4" customFormat="1" x14ac:dyDescent="0.3">
      <c r="A2021" s="246"/>
      <c r="B2021" s="1047"/>
      <c r="C2021" s="1047"/>
      <c r="D2021" s="1047"/>
      <c r="E2021" s="1047"/>
      <c r="F2021" s="246"/>
      <c r="AC2021" s="627" t="s">
        <v>4055</v>
      </c>
      <c r="AE2021" s="503" t="str">
        <f>IF($D$1768=$AQ$1768,AF2021,AG2021)</f>
        <v>REQUIRES PASSKEY</v>
      </c>
      <c r="AF2021" s="628" t="str">
        <f>CONCATENATE(AH2021,AI2021,AJ2021,AK2021,AL2021,AM2021,AN2021,AO2021,AP2021,AQ2021,AR2021,AS2021,AT2021,AU2021,AW2021,AX2021,AY2021,AZ2021,BA2021,BB2021)</f>
        <v/>
      </c>
      <c r="AG2021" s="659" t="s">
        <v>4362</v>
      </c>
      <c r="BA2021" s="388"/>
    </row>
    <row r="2022" spans="1:64" s="4" customFormat="1" x14ac:dyDescent="0.3">
      <c r="A2022" s="246"/>
      <c r="B2022" s="1047"/>
      <c r="C2022" s="1047"/>
      <c r="D2022" s="1047"/>
      <c r="E2022" s="1047"/>
      <c r="F2022" s="246"/>
      <c r="AC2022" s="627" t="s">
        <v>3288</v>
      </c>
      <c r="AE2022" s="503" t="str">
        <f>IF($D$1768=$AQ$1768,AF2022,AG2022)</f>
        <v>REQUIRES PASSKEY</v>
      </c>
      <c r="AF2022" s="628" t="str">
        <f>CONCATENATE(AH2022,AI2022,AJ2022,AK2022,AL2022,AM2022,AN2022,AO2022,AP2022,AQ2022,AR2022,AS2022,AT2022,AU2022,AW2022,AX2022,AY2022,AZ2022,BA2022,BB2022)</f>
        <v/>
      </c>
      <c r="AG2022" s="659" t="s">
        <v>4362</v>
      </c>
      <c r="BA2022" s="388"/>
    </row>
    <row r="2023" spans="1:64" s="4" customFormat="1" x14ac:dyDescent="0.3">
      <c r="A2023" s="246"/>
      <c r="B2023" s="1047"/>
      <c r="C2023" s="1047"/>
      <c r="D2023" s="1047"/>
      <c r="E2023" s="1047"/>
      <c r="F2023" s="246"/>
      <c r="AC2023" s="389"/>
      <c r="BB2023" s="388"/>
    </row>
    <row r="2024" spans="1:64" s="4" customFormat="1" x14ac:dyDescent="0.3">
      <c r="A2024" s="246"/>
      <c r="B2024" s="246"/>
      <c r="C2024" s="246"/>
      <c r="D2024" s="246"/>
      <c r="E2024" s="246"/>
      <c r="F2024" s="246"/>
      <c r="AC2024" s="389"/>
      <c r="BB2024" s="388"/>
    </row>
    <row r="2025" spans="1:64" s="4" customFormat="1" ht="14.5" thickBot="1" x14ac:dyDescent="0.35">
      <c r="A2025" s="246"/>
      <c r="B2025" s="246"/>
      <c r="C2025" s="246"/>
      <c r="D2025" s="246"/>
      <c r="E2025" s="246"/>
      <c r="F2025" s="246"/>
      <c r="AC2025" s="389"/>
      <c r="BB2025" s="388"/>
    </row>
    <row r="2026" spans="1:64" s="4" customFormat="1" x14ac:dyDescent="0.3">
      <c r="A2026" s="518"/>
      <c r="B2026" s="519"/>
      <c r="C2026" s="519"/>
      <c r="D2026" s="519"/>
      <c r="E2026" s="519"/>
      <c r="F2026" s="520"/>
      <c r="AC2026" s="389"/>
      <c r="BB2026" s="388"/>
    </row>
    <row r="2027" spans="1:64" s="4" customFormat="1" x14ac:dyDescent="0.3">
      <c r="A2027" s="521"/>
      <c r="B2027" s="661" t="s">
        <v>3567</v>
      </c>
      <c r="C2027" s="660" t="s">
        <v>4376</v>
      </c>
      <c r="D2027" s="662" t="s">
        <v>4382</v>
      </c>
      <c r="E2027" s="522"/>
      <c r="F2027" s="523"/>
      <c r="AC2027" s="389"/>
      <c r="BB2027" s="388"/>
    </row>
    <row r="2028" spans="1:64" s="4" customFormat="1" ht="14.5" thickBot="1" x14ac:dyDescent="0.35">
      <c r="A2028" s="524"/>
      <c r="B2028" s="525"/>
      <c r="C2028" s="525"/>
      <c r="D2028" s="525"/>
      <c r="E2028" s="525"/>
      <c r="F2028" s="526"/>
      <c r="AC2028" s="389"/>
      <c r="BB2028" s="388"/>
    </row>
    <row r="2029" spans="1:64" s="4" customFormat="1" ht="30" customHeight="1" x14ac:dyDescent="0.3">
      <c r="A2029" s="862" t="s">
        <v>89</v>
      </c>
      <c r="B2029" s="862" t="s">
        <v>3462</v>
      </c>
      <c r="C2029" s="862"/>
      <c r="D2029" s="872" t="s">
        <v>3513</v>
      </c>
      <c r="E2029" s="864"/>
      <c r="F2029" s="864"/>
      <c r="AC2029" s="389"/>
      <c r="BB2029" s="388"/>
    </row>
    <row r="2030" spans="1:64" s="4" customFormat="1" x14ac:dyDescent="0.3">
      <c r="A2030" s="246"/>
      <c r="B2030" s="246"/>
      <c r="C2030" s="246"/>
      <c r="D2030" s="246"/>
      <c r="E2030" s="246"/>
      <c r="F2030" s="246"/>
      <c r="AC2030" s="389"/>
      <c r="AI2030" s="508" t="str">
        <f>IF(C2032=AE2031,AI2031,IF(C2032=AE2032,AI2032,IF(C2032=AE2033,AI2033,IF(C2032=AE2034,AI2034,AI2035))))</f>
        <v>Could you please forward a message to someone special?</v>
      </c>
      <c r="BB2030" s="388"/>
      <c r="BL2030" s="508" t="str">
        <f>IF(C2033=AX2031,BL2031,IF(C2033=AX2032,BL2032,IF(C2033=AX2033,BL2033,IF(C2033=AX2034,BL2034,""))))</f>
        <v xml:space="preserve">My name is Steph Turner. </v>
      </c>
    </row>
    <row r="2031" spans="1:64" s="4" customFormat="1" ht="14.5" thickBot="1" x14ac:dyDescent="0.35">
      <c r="A2031" s="246"/>
      <c r="B2031" s="246"/>
      <c r="C2031" s="246"/>
      <c r="D2031" s="246"/>
      <c r="E2031" s="246"/>
      <c r="F2031" s="246"/>
      <c r="AC2031" s="627" t="s">
        <v>62</v>
      </c>
      <c r="AE2031" s="4" t="str">
        <f>AP1937</f>
        <v>friendly media</v>
      </c>
      <c r="AI2031" s="4" t="s">
        <v>4269</v>
      </c>
      <c r="AX2031" s="4" t="str">
        <f>BG202</f>
        <v>Steph Turner</v>
      </c>
      <c r="BB2031" s="388"/>
      <c r="BD2031" s="4" t="str">
        <f>IF(C$2033=AX$2031,"I",IF(C$2033=AX$2032,BG206,IF(C$2033=AX$2033,"We",IF(C$2033=AX$2034,"They",""))))</f>
        <v>I</v>
      </c>
      <c r="BE2031" s="645" t="s">
        <v>4274</v>
      </c>
      <c r="BL2031" s="4" t="str">
        <f>CONCATENATE("My name is ",AX2031,". ")</f>
        <v xml:space="preserve">My name is Steph Turner. </v>
      </c>
    </row>
    <row r="2032" spans="1:64" s="4" customFormat="1" ht="14.5" thickBot="1" x14ac:dyDescent="0.35">
      <c r="A2032" s="246"/>
      <c r="B2032" s="477" t="s">
        <v>1408</v>
      </c>
      <c r="C2032" s="531" t="s">
        <v>4154</v>
      </c>
      <c r="D2032" s="479"/>
      <c r="E2032" s="479"/>
      <c r="F2032" s="246"/>
      <c r="AC2032" s="627" t="s">
        <v>64</v>
      </c>
      <c r="AE2032" s="4" t="str">
        <f>AP1938</f>
        <v>podcaster</v>
      </c>
      <c r="AI2032" s="4" t="s">
        <v>4270</v>
      </c>
      <c r="AX2032" s="4" t="str">
        <f>BG212</f>
        <v>Proxy</v>
      </c>
      <c r="BB2032" s="388"/>
      <c r="BD2032" s="4" t="str">
        <f>IF(C$2033=AX$2031,"I",IF(C$2033=AX$2032,BH206,IF(C$2033=AX$2033,"we",IF(C$2033=AX$2034,"they",""))))</f>
        <v>I</v>
      </c>
      <c r="BE2032" s="645" t="s">
        <v>4275</v>
      </c>
      <c r="BL2032" s="4" t="str">
        <f>CONCATENATE("My name is ",AX2032,". ")</f>
        <v xml:space="preserve">My name is Proxy. </v>
      </c>
    </row>
    <row r="2033" spans="1:79" s="4" customFormat="1" ht="14.5" thickBot="1" x14ac:dyDescent="0.35">
      <c r="A2033" s="246"/>
      <c r="B2033" s="477" t="s">
        <v>1409</v>
      </c>
      <c r="C2033" s="531" t="s">
        <v>5478</v>
      </c>
      <c r="D2033" s="479"/>
      <c r="E2033" s="479"/>
      <c r="F2033" s="246"/>
      <c r="AC2033" s="627" t="s">
        <v>4055</v>
      </c>
      <c r="AE2033" s="4" t="str">
        <f>AP1939</f>
        <v>local media</v>
      </c>
      <c r="AI2033" s="4" t="s">
        <v>4271</v>
      </c>
      <c r="AX2033" s="4" t="str">
        <f>AC1938</f>
        <v>Steph &amp; Proxy</v>
      </c>
      <c r="BB2033" s="388"/>
      <c r="BD2033" s="4" t="str">
        <f>IF(C$2033=AX$2031,"me",IF(C$2033=AX$2032,BI206,IF(C$2033=AX$2033,"us",IF(C$2033=AX$2034,"them",""))))</f>
        <v>me</v>
      </c>
      <c r="BE2033" s="645" t="s">
        <v>4276</v>
      </c>
      <c r="BL2033" s="4" t="str">
        <f>CONCATENATE("Our names are ",AX2031," and ",AX2032,". ")</f>
        <v xml:space="preserve">Our names are Steph Turner and Proxy. </v>
      </c>
    </row>
    <row r="2034" spans="1:79" s="4" customFormat="1" x14ac:dyDescent="0.3">
      <c r="A2034" s="246"/>
      <c r="B2034" s="477" t="s">
        <v>1410</v>
      </c>
      <c r="C2034" s="527">
        <f ca="1">TODAY()</f>
        <v>45774</v>
      </c>
      <c r="D2034" s="479"/>
      <c r="E2034" s="479"/>
      <c r="F2034" s="246"/>
      <c r="AC2034" s="627" t="s">
        <v>3288</v>
      </c>
      <c r="AE2034" s="4" t="str">
        <f>AP1940</f>
        <v>legacy media</v>
      </c>
      <c r="AI2034" s="4" t="s">
        <v>4272</v>
      </c>
      <c r="AX2034" s="4" t="str">
        <f>IF(D1770=AQ1770,"Value Relating","")</f>
        <v/>
      </c>
      <c r="BB2034" s="388"/>
      <c r="BD2034" s="4" t="str">
        <f>IF(C$2033=AX$2031,"my",IF(C$2033=AX$2032,BJ206,IF(C$2033=AX$2033,"our",IF(C$2033=AX$2034,"their",""))))</f>
        <v>my</v>
      </c>
      <c r="BE2034" s="645" t="s">
        <v>4277</v>
      </c>
      <c r="BL2034" s="4" t="str">
        <f>CONCATENATE("I represent ",AX2031," and ",AX2032,". ")</f>
        <v xml:space="preserve">I represent Steph Turner and Proxy. </v>
      </c>
    </row>
    <row r="2035" spans="1:79" s="4" customFormat="1" x14ac:dyDescent="0.3">
      <c r="A2035" s="246"/>
      <c r="B2035" s="477" t="s">
        <v>1411</v>
      </c>
      <c r="C2035" s="1118" t="str">
        <f>AI2030</f>
        <v>Could you please forward a message to someone special?</v>
      </c>
      <c r="D2035" s="1118"/>
      <c r="E2035" s="1118"/>
      <c r="F2035" s="246"/>
      <c r="AC2035" s="389"/>
      <c r="AI2035" s="4" t="s">
        <v>4273</v>
      </c>
      <c r="BB2035" s="388"/>
      <c r="BD2035" s="4" t="str">
        <f>IF(C$2033=AX$2031,"My",IF(C$2033=AX$2032,"Our",IF(C$2033=AX$2033,"Our",IF(C$2033=AX$2034,"Their",""))))</f>
        <v>My</v>
      </c>
      <c r="BL2035" s="646" t="str">
        <f>CONCATENATE("His name is ",AX2031)</f>
        <v>His name is Steph Turner</v>
      </c>
    </row>
    <row r="2036" spans="1:79" s="4" customFormat="1" x14ac:dyDescent="0.3">
      <c r="A2036" s="246"/>
      <c r="B2036" s="246"/>
      <c r="C2036" s="246"/>
      <c r="D2036" s="246"/>
      <c r="E2036" s="246"/>
      <c r="F2036" s="246"/>
      <c r="AC2036" s="389"/>
      <c r="BB2036" s="388"/>
      <c r="CA2036" s="4" t="str">
        <f>B680</f>
        <v>yes, a moderate factor</v>
      </c>
    </row>
    <row r="2037" spans="1:79" s="4" customFormat="1" x14ac:dyDescent="0.3">
      <c r="A2037" s="246"/>
      <c r="B2037" s="1047" t="str">
        <f>IF(OR(BN2037&lt;2,C2032=""),BO2037,AC2040)</f>
        <v xml:space="preserve">Thank you for your encouraging responses to our support team. Our campaign for Steph Turner's innocence now reaches a critical milestone. And we need your help to reach it. Could you please pass along the following message to someone special? </v>
      </c>
      <c r="C2037" s="1047"/>
      <c r="D2037" s="1047"/>
      <c r="E2037" s="1047"/>
      <c r="F2037" s="246"/>
      <c r="AC2037" s="389"/>
      <c r="BB2037" s="388"/>
      <c r="BN2037" s="508">
        <f>IF(OR(BN2038&gt;1,BN2039&gt;1,BN2040&gt;1,BN2041&gt;1),2,"")</f>
        <v>2</v>
      </c>
      <c r="BO2037" s="4" t="s">
        <v>4302</v>
      </c>
    </row>
    <row r="2038" spans="1:79" s="4" customFormat="1" x14ac:dyDescent="0.3">
      <c r="A2038" s="246"/>
      <c r="B2038" s="1047"/>
      <c r="C2038" s="1047"/>
      <c r="D2038" s="1047"/>
      <c r="E2038" s="1047"/>
      <c r="F2038" s="246"/>
      <c r="AC2038" s="389"/>
      <c r="BB2038" s="388"/>
      <c r="BL2038" s="626" t="str">
        <f>B676</f>
        <v>Respect for crime victim(s)</v>
      </c>
      <c r="BM2038" s="4">
        <v>42</v>
      </c>
      <c r="BN2038" s="246">
        <f>IF($B$680=$B$3008,$E$3008,IF($B$680=$B$3009,$E$3009,IF($B$680=$B$3010,$E$3010,IF($B$680=$B$3011,$E$3011,""))))</f>
        <v>2</v>
      </c>
    </row>
    <row r="2039" spans="1:79" s="4" customFormat="1" x14ac:dyDescent="0.3">
      <c r="A2039" s="246"/>
      <c r="B2039" s="1047"/>
      <c r="C2039" s="1047"/>
      <c r="D2039" s="1047"/>
      <c r="E2039" s="1047"/>
      <c r="F2039" s="246"/>
      <c r="AC2039" s="389"/>
      <c r="BB2039" s="388"/>
      <c r="BL2039" s="626" t="str">
        <f>B631</f>
        <v>Perjured testimony or false accusation</v>
      </c>
      <c r="BM2039" s="4">
        <v>34</v>
      </c>
      <c r="BN2039" s="246">
        <f>IF($B$635=$B$3008,$E$3008,IF($B$635=$B$3009,$E$3009,IF($B$635=$B$3010,$E$3010,IF($B$635=$B$3011,$E$3011,""))))</f>
        <v>2</v>
      </c>
    </row>
    <row r="2040" spans="1:79" s="4" customFormat="1" x14ac:dyDescent="0.3">
      <c r="A2040" s="246"/>
      <c r="B2040" s="1047"/>
      <c r="C2040" s="1047"/>
      <c r="D2040" s="1047"/>
      <c r="E2040" s="1047"/>
      <c r="F2040" s="246"/>
      <c r="AC2040" s="632" t="str">
        <f>IF($B$1988=$AQ$1983,AF2042,IF($B$1988=$AQ$1984,AF2043,IF($B$1988=$AQ$1985,AF2044,IF($B$1988=$AQ$1986,AF2045,""))))</f>
        <v xml:space="preserve">Thank you for your encouraging responses to our support team. Our campaign for Steph Turner's innocence now reaches a critical milestone. And we need your help to reach it. Could you please pass along the following message to someone special? </v>
      </c>
      <c r="BB2040" s="388"/>
      <c r="BL2040" s="626" t="str">
        <f>B584</f>
        <v>No actual crime</v>
      </c>
      <c r="BM2040" s="4">
        <v>26</v>
      </c>
      <c r="BN2040" s="246">
        <f>IF($B$588=$B$3008,$E$3008,IF($B$588=$B$3009,$E$3009,IF($B$588=$B$3010,$E$3010,IF($B$588=$B$3011,$E$3011,""))))</f>
        <v>4</v>
      </c>
    </row>
    <row r="2041" spans="1:79" s="4" customFormat="1" x14ac:dyDescent="0.3">
      <c r="A2041" s="246"/>
      <c r="B2041" s="1047"/>
      <c r="C2041" s="1047"/>
      <c r="D2041" s="1047"/>
      <c r="E2041" s="1047"/>
      <c r="F2041" s="246"/>
      <c r="AF2041" s="508">
        <f>IF($B$1988="",AG2041,AT$1994)</f>
        <v>1</v>
      </c>
      <c r="AG2041" s="4" t="s">
        <v>5142</v>
      </c>
      <c r="BB2041" s="388"/>
      <c r="BL2041" s="626" t="str">
        <f>B602</f>
        <v>Complainant retraction</v>
      </c>
      <c r="BM2041" s="4">
        <v>29</v>
      </c>
      <c r="BN2041" s="246">
        <f>IF($B$606=$B$3008,$E$3008,IF($B$606=$B$3009,$E$3009,IF($B$606=$B$3010,$E$3010,IF($B$606=$B$3011,$E$3011,""))))</f>
        <v>0</v>
      </c>
    </row>
    <row r="2042" spans="1:79" s="4" customFormat="1" ht="13.75" customHeight="1" x14ac:dyDescent="0.3">
      <c r="A2042" s="246"/>
      <c r="B2042" s="1144" t="str">
        <f>IF(OR(BN2037&lt;2,C2032=""),AG2047,AC2046)</f>
        <v xml:space="preserve">"Hi. My name is Steph Turner. We're reaching out to you in a spirit of love and mercy. We are in the middle of a campaign to right a wrong. We can now say with 86% certainty that Steph Turner is actually innocent. </v>
      </c>
      <c r="C2042" s="1144"/>
      <c r="D2042" s="1144"/>
      <c r="E2042" s="1144"/>
      <c r="F2042" s="246"/>
      <c r="AC2042" s="627" t="s">
        <v>62</v>
      </c>
      <c r="AF2042" s="628" t="str">
        <f>CONCATENATE(AH2042,AI2042,AJ2042,AK2042,AL2042,AM2042,AN2042,AO2042,AP2042,AQ2042,AR2042,AS2042,AT2042,AU2042,AV2042,AW2042,AX2042,AY2042,AZ2042,BA2042,BB2042)</f>
        <v xml:space="preserve">Thank you for your encouraging responses to our support team. Our campaign for Steph Turner's innocence now reaches a critical milestone. And we need your help to reach it. Could you please pass along the following message to someone special? </v>
      </c>
      <c r="AI2042" s="4" t="s">
        <v>4281</v>
      </c>
      <c r="AJ2042" s="4" t="str">
        <f>AF1984</f>
        <v>Steph Turner</v>
      </c>
      <c r="AK2042" s="503" t="s">
        <v>4285</v>
      </c>
      <c r="BB2042" s="388"/>
      <c r="BN2042" s="389" t="s">
        <v>3557</v>
      </c>
    </row>
    <row r="2043" spans="1:79" s="4" customFormat="1" x14ac:dyDescent="0.3">
      <c r="A2043" s="246"/>
      <c r="B2043" s="1144"/>
      <c r="C2043" s="1144"/>
      <c r="D2043" s="1144"/>
      <c r="E2043" s="1144"/>
      <c r="F2043" s="246"/>
      <c r="AC2043" s="627" t="s">
        <v>64</v>
      </c>
      <c r="AF2043" s="628" t="str">
        <f>CONCATENATE(AH2043,AI2043,AJ2043,AK2043,AL2043,AM2043,AN2043,AO2043,AP2043,AQ2043,AR2043,AS2043,AT2043,AU2043,AV2043,AW2043,AX2043,AY2043,AZ2043,BA2043,BB2043)</f>
        <v/>
      </c>
      <c r="BB2043" s="388"/>
      <c r="BN2043" s="389" t="s">
        <v>3558</v>
      </c>
    </row>
    <row r="2044" spans="1:79" s="4" customFormat="1" x14ac:dyDescent="0.3">
      <c r="A2044" s="246"/>
      <c r="B2044" s="1144"/>
      <c r="C2044" s="1144"/>
      <c r="D2044" s="1144"/>
      <c r="E2044" s="1144"/>
      <c r="F2044" s="246"/>
      <c r="AC2044" s="627" t="s">
        <v>4055</v>
      </c>
      <c r="AE2044" s="503" t="str">
        <f>IF($D$1768=$AQ$1768,AF2044,AG2044)</f>
        <v>REQUIRES PASSKEY</v>
      </c>
      <c r="AF2044" s="628" t="str">
        <f>CONCATENATE(AH2044,AI2044,AJ2044,AK2044,AL2044,AM2044,AN2044,AO2044,AP2044,AQ2044,AR2044,AS2044,AT2044,AU2044,AW2044,AX2044,AY2044,AZ2044,BA2044,BB2044)</f>
        <v/>
      </c>
      <c r="AG2044" s="659" t="s">
        <v>4362</v>
      </c>
      <c r="BA2044" s="388"/>
      <c r="BN2044" s="389" t="s">
        <v>3559</v>
      </c>
    </row>
    <row r="2045" spans="1:79" s="4" customFormat="1" x14ac:dyDescent="0.3">
      <c r="A2045" s="246"/>
      <c r="B2045" s="1144"/>
      <c r="C2045" s="1144"/>
      <c r="D2045" s="1144"/>
      <c r="E2045" s="1144"/>
      <c r="F2045" s="246"/>
      <c r="AC2045" s="627" t="s">
        <v>3288</v>
      </c>
      <c r="AE2045" s="503" t="str">
        <f>IF($D$1768=$AQ$1768,AF2045,AG2045)</f>
        <v>REQUIRES PASSKEY</v>
      </c>
      <c r="AF2045" s="628" t="str">
        <f>CONCATENATE(AH2045,AI2045,AJ2045,AK2045,AL2045,AM2045,AN2045,AO2045,AP2045,AQ2045,AR2045,AS2045,AT2045,AU2045,AW2045,AX2045,AY2045,AZ2045,BA2045,BB2045)</f>
        <v/>
      </c>
      <c r="AG2045" s="659" t="s">
        <v>4362</v>
      </c>
      <c r="BA2045" s="388"/>
      <c r="BN2045" s="389"/>
    </row>
    <row r="2046" spans="1:79" s="4" customFormat="1" x14ac:dyDescent="0.3">
      <c r="A2046" s="246"/>
      <c r="B2046" s="1144"/>
      <c r="C2046" s="1144"/>
      <c r="D2046" s="1144"/>
      <c r="E2046" s="1144"/>
      <c r="F2046" s="246"/>
      <c r="AC2046" s="632" t="str">
        <f>IF($B$1988=$AQ$1983,AF2048,IF($B$1988=$AQ$1984,AF2049,IF($B$1988=$AQ$1985,AF2050,IF($B$1988=$AQ$1986,AF2051,))))</f>
        <v xml:space="preserve">"Hi. My name is Steph Turner. We're reaching out to you in a spirit of love and mercy. We are in the middle of a campaign to right a wrong. We can now say with 86% certainty that Steph Turner is actually innocent. </v>
      </c>
      <c r="BB2046" s="388"/>
      <c r="BN2046" s="389" t="s">
        <v>3560</v>
      </c>
    </row>
    <row r="2047" spans="1:79" s="4" customFormat="1" x14ac:dyDescent="0.3">
      <c r="A2047" s="246"/>
      <c r="B2047" s="1144" t="str">
        <f>IF(OR(BN2037&lt;2,C2032=""),AG2053,AC2052)</f>
        <v xml:space="preserve">"We undestand this risks bringing up a lot of pain from the past. We fear your pain and our pain will never go away until real justice can be done in a healing way. The law prevents me from contacting you directly. So we asked one of our media contacts to pass along this message of hopeful healing. </v>
      </c>
      <c r="C2047" s="1144"/>
      <c r="D2047" s="1144"/>
      <c r="E2047" s="1144"/>
      <c r="F2047" s="246"/>
      <c r="AC2047" s="627"/>
      <c r="AF2047" s="508">
        <f>IF($B$1988="",AG2047,AT$1994)</f>
        <v>1</v>
      </c>
      <c r="AG2047" s="4" t="s">
        <v>5141</v>
      </c>
      <c r="BB2047" s="388"/>
      <c r="BN2047" s="389" t="s">
        <v>3561</v>
      </c>
    </row>
    <row r="2048" spans="1:79" s="4" customFormat="1" x14ac:dyDescent="0.3">
      <c r="A2048" s="246"/>
      <c r="B2048" s="1144"/>
      <c r="C2048" s="1144"/>
      <c r="D2048" s="1144"/>
      <c r="E2048" s="1144"/>
      <c r="F2048" s="246"/>
      <c r="AC2048" s="627" t="s">
        <v>62</v>
      </c>
      <c r="AF2048" s="628" t="str">
        <f>CONCATENATE(AH2048,AI2048,AJ2048,AK2048,AL2048,AM2048,AN2048,AO2048,AP2048,AQ2048,AR2048,AS2048,AT2048,AU2048,AV2048,AW2048,AX2048,AY2048,AZ2048,BA2048,BB2048)</f>
        <v xml:space="preserve">"Hi. My name is Steph Turner. We're reaching out to you in a spirit of love and mercy. We are in the middle of a campaign to right a wrong. We can now say with 86% certainty that Steph Turner is actually innocent. </v>
      </c>
      <c r="AG2048" s="628"/>
      <c r="AI2048" s="4" t="s">
        <v>4282</v>
      </c>
      <c r="AJ2048" s="4" t="str">
        <f>BL2030</f>
        <v xml:space="preserve">My name is Steph Turner. </v>
      </c>
      <c r="AK2048" s="4" t="s">
        <v>4286</v>
      </c>
      <c r="AL2048" s="629">
        <f>AI1984</f>
        <v>86</v>
      </c>
      <c r="AM2048" s="503" t="s">
        <v>4284</v>
      </c>
      <c r="AN2048" s="4" t="str">
        <f>AX2031</f>
        <v>Steph Turner</v>
      </c>
      <c r="AO2048" s="4" t="s">
        <v>4283</v>
      </c>
      <c r="BB2048" s="388"/>
      <c r="BN2048" s="389" t="s">
        <v>3562</v>
      </c>
    </row>
    <row r="2049" spans="1:69" s="4" customFormat="1" x14ac:dyDescent="0.3">
      <c r="A2049" s="246"/>
      <c r="B2049" s="1144"/>
      <c r="C2049" s="1144"/>
      <c r="D2049" s="1144"/>
      <c r="E2049" s="1144"/>
      <c r="F2049" s="246"/>
      <c r="AC2049" s="627" t="s">
        <v>64</v>
      </c>
      <c r="AF2049" s="628" t="str">
        <f>CONCATENATE(AH2049,AI2049,AJ2049,AK2049,AL2049,AM2049,AN2049,AO2049,AP2049,AQ2049,AR2049,AS2049,AT2049,AU2049,AV2049,AW2049,AX2049,AY2049,AZ2049,BA2049,BB2049)</f>
        <v/>
      </c>
      <c r="AG2049" s="628"/>
      <c r="BB2049" s="388"/>
      <c r="BN2049" s="389"/>
    </row>
    <row r="2050" spans="1:69" s="4" customFormat="1" ht="13.75" customHeight="1" x14ac:dyDescent="0.3">
      <c r="A2050" s="246"/>
      <c r="B2050" s="1144"/>
      <c r="C2050" s="1144"/>
      <c r="D2050" s="1144"/>
      <c r="E2050" s="1144"/>
      <c r="F2050" s="246"/>
      <c r="AC2050" s="627" t="s">
        <v>4055</v>
      </c>
      <c r="AE2050" s="503" t="str">
        <f>IF($D$1768=$AQ$1768,AF2050,AG2050)</f>
        <v>REQUIRES PASSKEY</v>
      </c>
      <c r="AF2050" s="628" t="str">
        <f>CONCATENATE(AH2050,AI2050,AJ2050,AK2050,AL2050,AM2050,AN2050,AO2050,AP2050,AQ2050,AR2050,AS2050,AT2050,AU2050,AW2050,AX2050,AY2050,AZ2050,BA2050,BB2050)</f>
        <v/>
      </c>
      <c r="AG2050" s="659" t="s">
        <v>4362</v>
      </c>
      <c r="BA2050" s="388"/>
      <c r="BN2050" s="389"/>
      <c r="BQ2050" s="4" t="s">
        <v>4218</v>
      </c>
    </row>
    <row r="2051" spans="1:69" s="4" customFormat="1" x14ac:dyDescent="0.3">
      <c r="A2051" s="246"/>
      <c r="B2051" s="1144"/>
      <c r="C2051" s="1144"/>
      <c r="D2051" s="1144"/>
      <c r="E2051" s="1144"/>
      <c r="F2051" s="246"/>
      <c r="AC2051" s="627" t="s">
        <v>3288</v>
      </c>
      <c r="AE2051" s="503" t="str">
        <f>IF($D$1768=$AQ$1768,AF2051,AG2051)</f>
        <v>REQUIRES PASSKEY</v>
      </c>
      <c r="AF2051" s="628" t="str">
        <f>CONCATENATE(AH2051,AI2051,AJ2051,AK2051,AL2051,AM2051,AN2051,AO2051,AP2051,AQ2051,AR2051,AS2051,AT2051,AU2051,AW2051,AX2051,AY2051,AZ2051,BA2051,BB2051)</f>
        <v/>
      </c>
      <c r="AG2051" s="659" t="s">
        <v>4362</v>
      </c>
      <c r="BA2051" s="388"/>
      <c r="BN2051" s="389"/>
    </row>
    <row r="2052" spans="1:69" s="4" customFormat="1" ht="13.75" customHeight="1" x14ac:dyDescent="0.3">
      <c r="A2052" s="246"/>
      <c r="B2052" s="1144" t="str">
        <f>IF(OR(BN2037&lt;2,C2032=""),AG2059,AC2058)</f>
        <v>"Steph was in shock at the time, so he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C2052" s="1144"/>
      <c r="D2052" s="1144"/>
      <c r="E2052" s="1144"/>
      <c r="F2052" s="246"/>
      <c r="AC2052" s="632" t="str">
        <f>IF($B$1988=$AQ$1983,AF2054,IF($B$1988=$AQ$1984,AF2055,IF($B$1988=$AQ$1985,AF2056,IF($B$1988=$AQ$1986,AF2057,))))</f>
        <v xml:space="preserve">"We undestand this risks bringing up a lot of pain from the past. We fear your pain and our pain will never go away until real justice can be done in a healing way. The law prevents me from contacting you directly. So we asked one of our media contacts to pass along this message of hopeful healing. </v>
      </c>
      <c r="BB2052" s="388"/>
      <c r="BN2052" s="389" t="s">
        <v>3563</v>
      </c>
    </row>
    <row r="2053" spans="1:69" s="4" customFormat="1" x14ac:dyDescent="0.3">
      <c r="A2053" s="246"/>
      <c r="B2053" s="1144"/>
      <c r="C2053" s="1144"/>
      <c r="D2053" s="1144"/>
      <c r="E2053" s="1144"/>
      <c r="F2053" s="246"/>
      <c r="AC2053" s="627"/>
      <c r="AF2053" s="508">
        <f>IF($B$1988="",AG2053,AT$1994)</f>
        <v>1</v>
      </c>
      <c r="AG2053" s="4" t="s">
        <v>5144</v>
      </c>
      <c r="BB2053" s="388"/>
      <c r="BN2053" s="389"/>
    </row>
    <row r="2054" spans="1:69" s="4" customFormat="1" x14ac:dyDescent="0.3">
      <c r="A2054" s="246"/>
      <c r="B2054" s="1144"/>
      <c r="C2054" s="1144"/>
      <c r="D2054" s="1144"/>
      <c r="E2054" s="1144"/>
      <c r="F2054" s="246"/>
      <c r="AC2054" s="627" t="s">
        <v>62</v>
      </c>
      <c r="AF2054" s="628" t="str">
        <f>CONCATENATE(AH2054,AI2054,AJ2054,AK2054,AL2054,AM2054,AN2054,AO2054,AP2054,AQ2054,AR2054,AS2054,AT2054,AU2054,AV2054,AW2054,AX2054,AY2054,AZ2054,BA2054,BB2054)</f>
        <v xml:space="preserve">"We undestand this risks bringing up a lot of pain from the past. We fear your pain and our pain will never go away until real justice can be done in a healing way. The law prevents me from contacting you directly. So we asked one of our media contacts to pass along this message of hopeful healing. </v>
      </c>
      <c r="AG2054" s="628" t="str">
        <f>CONCATENATE(AH2054,AI2054,AJ2054,AK2054,AL2054,AM2054,AN2054,AO2054,AP2054,AQ2054,AR2054,AS2055,AT2055,AU2055,AW2055,AX2055,AY2055,AZ2055,BA2055,BB2055)</f>
        <v xml:space="preserve">"We undestand this risks bringing up a lot of pain from the past. We fear your pain and our pain will never go away until real justice can be done in a healing way. The law prevents me from contacting you directly. So we asked one of our media contacts to pass along this message of hopeful healing. </v>
      </c>
      <c r="AI2054" s="4" t="s">
        <v>4300</v>
      </c>
      <c r="AJ2054" s="4" t="str">
        <f>BD2033</f>
        <v>me</v>
      </c>
      <c r="AK2054" s="4" t="s">
        <v>4287</v>
      </c>
      <c r="BB2054" s="388"/>
      <c r="BN2054" s="389"/>
    </row>
    <row r="2055" spans="1:69" s="4" customFormat="1" x14ac:dyDescent="0.3">
      <c r="A2055" s="246"/>
      <c r="B2055" s="1144"/>
      <c r="C2055" s="1144"/>
      <c r="D2055" s="1144"/>
      <c r="E2055" s="1144"/>
      <c r="F2055" s="246"/>
      <c r="AC2055" s="627" t="s">
        <v>64</v>
      </c>
      <c r="AF2055" s="628" t="str">
        <f>CONCATENATE(AH2055,AI2055,AJ2055,AK2055,AL2055,AM2055,AN2055,AO2055,AP2055,AQ2055,AR2055,AS2055,AT2055,AU2055,AV2055,AW2055,AX2055,AY2055,AZ2055,BA2055,BB2055)</f>
        <v/>
      </c>
      <c r="AG2055" s="628"/>
      <c r="BB2055" s="388"/>
      <c r="BN2055" s="389"/>
    </row>
    <row r="2056" spans="1:69" s="4" customFormat="1" x14ac:dyDescent="0.3">
      <c r="A2056" s="246"/>
      <c r="B2056" s="1144"/>
      <c r="C2056" s="1144"/>
      <c r="D2056" s="1144"/>
      <c r="E2056" s="1144"/>
      <c r="F2056" s="246"/>
      <c r="AC2056" s="627" t="s">
        <v>4055</v>
      </c>
      <c r="AE2056" s="503" t="str">
        <f>IF($D$1768=$AQ$1768,AF2056,AG2056)</f>
        <v>REQUIRES PASSKEY</v>
      </c>
      <c r="AF2056" s="628" t="str">
        <f>CONCATENATE(AH2056,AI2056,AJ2056,AK2056,AL2056,AM2056,AN2056,AO2056,AP2056,AQ2056,AR2056,AS2056,AT2056,AU2056,AW2056,AX2056,AY2056,AZ2056,BA2056,BB2056)</f>
        <v/>
      </c>
      <c r="AG2056" s="659" t="s">
        <v>4362</v>
      </c>
      <c r="BA2056" s="388"/>
      <c r="BN2056" s="389"/>
      <c r="BP2056" s="4" t="s">
        <v>4214</v>
      </c>
    </row>
    <row r="2057" spans="1:69" s="4" customFormat="1" x14ac:dyDescent="0.3">
      <c r="A2057" s="246"/>
      <c r="B2057" s="1144" t="str">
        <f>IF(OR(BN2037&lt;2,C2032=""),"",AC2065)</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C2057" s="1144"/>
      <c r="D2057" s="1144"/>
      <c r="E2057" s="1144"/>
      <c r="F2057" s="246"/>
      <c r="AC2057" s="627" t="s">
        <v>3288</v>
      </c>
      <c r="AE2057" s="503" t="str">
        <f>IF($D$1768=$AQ$1768,AF2057,AG2057)</f>
        <v>REQUIRES PASSKEY</v>
      </c>
      <c r="AF2057" s="628" t="str">
        <f>CONCATENATE(AH2057,AI2057,AJ2057,AK2057,AL2057,AM2057,AN2057,AO2057,AP2057,AQ2057,AR2057,AS2057,AT2057,AU2057,AW2057,AX2057,AY2057,AZ2057,BA2057,BB2057)</f>
        <v/>
      </c>
      <c r="AG2057" s="659" t="s">
        <v>4362</v>
      </c>
      <c r="BA2057" s="388"/>
      <c r="BN2057" s="389"/>
    </row>
    <row r="2058" spans="1:69" s="4" customFormat="1" ht="13.75" customHeight="1" x14ac:dyDescent="0.3">
      <c r="A2058" s="246"/>
      <c r="B2058" s="1144"/>
      <c r="C2058" s="1144"/>
      <c r="D2058" s="1144"/>
      <c r="E2058" s="1144"/>
      <c r="F2058" s="246"/>
      <c r="AC2058" s="632" t="str">
        <f>IF($B$1988=$AQ$1983,AF2060,IF($B$1988=$AQ$1984,AF2061,IF($B$1988=$AQ$1985,AF2062,IF($B$1988=$AQ$1986,AF2063,))))</f>
        <v>"Steph was in shock at the time, so he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BB2058" s="388"/>
      <c r="BN2058" s="389"/>
      <c r="BP2058" s="4" t="s">
        <v>4215</v>
      </c>
    </row>
    <row r="2059" spans="1:69" s="4" customFormat="1" x14ac:dyDescent="0.3">
      <c r="A2059" s="246"/>
      <c r="B2059" s="1144"/>
      <c r="C2059" s="1144"/>
      <c r="D2059" s="1144"/>
      <c r="E2059" s="1144"/>
      <c r="F2059" s="246"/>
      <c r="AC2059" s="627"/>
      <c r="AF2059" s="508">
        <f>IF($B$1988="",AG2059,AT$1994)</f>
        <v>1</v>
      </c>
      <c r="AG2059" s="4" t="s">
        <v>5143</v>
      </c>
      <c r="BB2059" s="388"/>
      <c r="BN2059" s="389"/>
      <c r="BP2059" s="4" t="s">
        <v>4216</v>
      </c>
    </row>
    <row r="2060" spans="1:69" s="4" customFormat="1" x14ac:dyDescent="0.3">
      <c r="A2060" s="246"/>
      <c r="B2060" s="1144"/>
      <c r="C2060" s="1144"/>
      <c r="D2060" s="1144"/>
      <c r="E2060" s="1144"/>
      <c r="F2060" s="246"/>
      <c r="AC2060" s="627" t="s">
        <v>62</v>
      </c>
      <c r="AF2060" s="628" t="str">
        <f>CONCATENATE(AH2060,AI2060,AJ2060,AK2060,AL2060,AM2060,AN2060,AO2060,AP2060,AQ2060,AR2060,AS2060,AT2060,AU2060,AV2060,AW2060,AX2060,AY2060,AZ2060,BA2060,BB2060)</f>
        <v>"Steph was in shock at the time, so he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AG2060" s="628" t="str">
        <f>CONCATENATE(AH2060,AI2060,AJ2060,AK2060,AL2060,AM2060,AN2060,AO2060,AP2060,AQ2060,AR2060,AS2061,AT2061,AU2061,AW2061,AX2061,AY2061,AZ2061,BA2061,BB2061)</f>
        <v>"Steph was in shock at the time, so he naturally became self-absorbed. The police and prosecutors easily mischaracterized this as a criminal mindset. They would be self-absorbed too if suddenly losing their freedom and public reputation. We want to take back the power of our lives they stole, for both you and ourselves.</v>
      </c>
      <c r="AI2060" s="4" t="str">
        <f>CONCATENATE("""",AN202)</f>
        <v>"Steph</v>
      </c>
      <c r="AJ2060" s="4" t="s">
        <v>4288</v>
      </c>
      <c r="AK2060" s="4" t="str">
        <f>BH206</f>
        <v>he</v>
      </c>
      <c r="AL2060" s="4" t="s">
        <v>4289</v>
      </c>
      <c r="AM2060" s="4" t="s">
        <v>4217</v>
      </c>
      <c r="AN2060" s="4" t="s">
        <v>4292</v>
      </c>
      <c r="AO2060" s="4" t="s">
        <v>4301</v>
      </c>
      <c r="AP2060" s="4" t="s">
        <v>4290</v>
      </c>
      <c r="AQ2060" s="4" t="s">
        <v>4291</v>
      </c>
      <c r="BB2060" s="388"/>
      <c r="BN2060" s="389"/>
      <c r="BP2060" s="4" t="s">
        <v>4217</v>
      </c>
    </row>
    <row r="2061" spans="1:69" s="4" customFormat="1" x14ac:dyDescent="0.3">
      <c r="A2061" s="246"/>
      <c r="B2061" s="1144"/>
      <c r="C2061" s="1144"/>
      <c r="D2061" s="1144"/>
      <c r="E2061" s="1144"/>
      <c r="F2061" s="246"/>
      <c r="AC2061" s="627" t="s">
        <v>64</v>
      </c>
      <c r="AF2061" s="628" t="str">
        <f>CONCATENATE(AH2061,AI2061,AJ2061,AK2061,AL2061,AM2061,AN2061,AO2061,AP2061,AQ2061,AR2061,AS2061,AT2061,AU2061,AV2061,AW2061,AX2061,AY2061,AZ2061,BA2061,BB2061)</f>
        <v/>
      </c>
      <c r="AG2061" s="628" t="str">
        <f>CONCATENATE(AH2061,AI2061,AJ2061,AK2061,AL2061,AM2061,AN2061,AO2061,AP2061,AQ2061,AR2061,AS2062,AT2062,AU2062,AW2062,AX2062,AY2062,AZ2062,BA2062,BB2062)</f>
        <v/>
      </c>
      <c r="BB2061" s="388"/>
      <c r="BN2061" s="389"/>
    </row>
    <row r="2062" spans="1:69" s="4" customFormat="1" x14ac:dyDescent="0.3">
      <c r="A2062" s="246"/>
      <c r="B2062" s="1144"/>
      <c r="C2062" s="1144"/>
      <c r="D2062" s="1144"/>
      <c r="E2062" s="1144"/>
      <c r="F2062" s="246"/>
      <c r="AC2062" s="627" t="s">
        <v>4055</v>
      </c>
      <c r="AE2062" s="503" t="str">
        <f>IF($D$1768=$AQ$1768,AF2062,AG2062)</f>
        <v>REQUIRES PASSKEY</v>
      </c>
      <c r="AF2062" s="628" t="str">
        <f>CONCATENATE(AH2062,AI2062,AJ2062,AK2062,AL2062,AM2062,AN2062,AO2062,AP2062,AQ2062,AR2062,AS2062,AT2062,AU2062,AW2062,AX2062,AY2062,AZ2062,BA2062,BB2062)</f>
        <v/>
      </c>
      <c r="AG2062" s="659" t="s">
        <v>4362</v>
      </c>
      <c r="BA2062" s="388"/>
      <c r="BN2062" s="389"/>
    </row>
    <row r="2063" spans="1:69" s="4" customFormat="1" x14ac:dyDescent="0.3">
      <c r="A2063" s="246"/>
      <c r="B2063" s="1047" t="str">
        <f>IF(OR(BN2037&lt;2,C2032=""),"",AF2072)</f>
        <v xml:space="preserve">Thank you for passing this on. Once you agree you can pass this message along, I can give you the latest contact information I has. </v>
      </c>
      <c r="C2063" s="1047"/>
      <c r="D2063" s="1047"/>
      <c r="E2063" s="1047"/>
      <c r="F2063" s="246"/>
      <c r="AC2063" s="627" t="s">
        <v>3288</v>
      </c>
      <c r="AE2063" s="503" t="str">
        <f>IF($D$1768=$AQ$1768,AF2063,AG2063)</f>
        <v>REQUIRES PASSKEY</v>
      </c>
      <c r="AF2063" s="628" t="str">
        <f>CONCATENATE(AH2063,AI2063,AJ2063,AK2063,AL2063,AM2063,AN2063,AO2063,AP2063,AQ2063,AR2063,AS2063,AT2063,AU2063,AW2063,AX2063,AY2063,AZ2063,BA2063,BB2063)</f>
        <v/>
      </c>
      <c r="AG2063" s="659" t="s">
        <v>4362</v>
      </c>
      <c r="BA2063" s="388"/>
      <c r="BP2063" s="4" t="s">
        <v>4280</v>
      </c>
    </row>
    <row r="2064" spans="1:69" s="4" customFormat="1" x14ac:dyDescent="0.3">
      <c r="A2064" s="246"/>
      <c r="B2064" s="1047"/>
      <c r="C2064" s="1047"/>
      <c r="D2064" s="1047"/>
      <c r="E2064" s="1047"/>
      <c r="F2064" s="246"/>
      <c r="AC2064" s="389"/>
      <c r="BB2064" s="388"/>
    </row>
    <row r="2065" spans="1:54" s="4" customFormat="1" x14ac:dyDescent="0.3">
      <c r="A2065" s="246"/>
      <c r="B2065" s="1047"/>
      <c r="C2065" s="1047"/>
      <c r="D2065" s="1047"/>
      <c r="E2065" s="1047"/>
      <c r="F2065" s="246"/>
      <c r="AC2065" s="632" t="str">
        <f>IF($B$1988=$AQ$1983,AF2067,IF($B$1988=$AQ$1984,AF2068,IF($B$1988=$AQ$1985,AF2069,IF($B$1988=$AQ$1986,AF2070,))))</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BB2065" s="388"/>
    </row>
    <row r="2066" spans="1:54" s="4" customFormat="1" x14ac:dyDescent="0.3">
      <c r="A2066" s="246"/>
      <c r="B2066" s="1047"/>
      <c r="C2066" s="1047"/>
      <c r="D2066" s="1047"/>
      <c r="E2066" s="1047"/>
      <c r="F2066" s="246"/>
      <c r="AC2066" s="627"/>
      <c r="AF2066" s="508">
        <f>IF($B$1988="",AG2066,AT$1994)</f>
        <v>1</v>
      </c>
      <c r="AG2066" s="4" t="s">
        <v>3605</v>
      </c>
      <c r="BB2066" s="388"/>
    </row>
    <row r="2067" spans="1:54" s="4" customFormat="1" x14ac:dyDescent="0.3">
      <c r="A2067" s="246"/>
      <c r="B2067" s="1047"/>
      <c r="C2067" s="1047"/>
      <c r="D2067" s="1047"/>
      <c r="E2067" s="1047"/>
      <c r="F2067" s="246"/>
      <c r="AC2067" s="627" t="s">
        <v>62</v>
      </c>
      <c r="AF2067" s="628" t="str">
        <f>CONCATENATE(AH2067,AI2067,AJ2067,AK2067,AL2067,AM2067,AN2067,AO2067,AP2067,AQ2067,AR2067,AS2067,AT2067,AU2067,AV2067,AW2067,AX2067,AY2067,AZ2067,BA2067,BB2067)</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AG2067" s="628" t="str">
        <f>CONCATENATE(AH2067,AI2067,AJ2067,AK2067,AL2067,AM2067,AN2067,AO2067,AP2067,AQ2067,AR2067,AS2068,AT2068,AU2068,AW2068,AX2068,AY2068,AZ2068,BA2068,BB2068)</f>
        <v>"We welcome you to join our pioneering approach to deeper justice. We are finding ways to be less dependent on law enforcement authorities that needlessly divide us. We are proactively addressing problems of violence, including the state's exploitation of us, in more engaging ways. We believe you deserve a deeper justice than what you got."</v>
      </c>
      <c r="AI2067" s="4" t="s">
        <v>4293</v>
      </c>
      <c r="AK2067" s="4" t="s">
        <v>4294</v>
      </c>
      <c r="BB2067" s="388"/>
    </row>
    <row r="2068" spans="1:54" s="4" customFormat="1" x14ac:dyDescent="0.3">
      <c r="A2068" s="246"/>
      <c r="B2068" s="1047"/>
      <c r="C2068" s="1047"/>
      <c r="D2068" s="1047"/>
      <c r="E2068" s="1047"/>
      <c r="F2068" s="246"/>
      <c r="AC2068" s="627" t="s">
        <v>64</v>
      </c>
      <c r="AF2068" s="628" t="str">
        <f>CONCATENATE(AH2068,AI2068,AJ2068,AK2068,AL2068,AM2068,AN2068,AO2068,AP2068,AQ2068,AR2068,AS2068,AT2068,AU2068,AV2068,AW2068,AX2068,AY2068,AZ2068,BA2068,BB2068)</f>
        <v/>
      </c>
      <c r="AG2068" s="628" t="str">
        <f>CONCATENATE(AH2068,AI2068,AJ2068,AK2068,AL2068,AM2068,AN2068,AO2068,AP2068,AQ2068,AR2068,AS2069,AT2069,AU2069,AW2069,AX2069,AY2069,AZ2069,BA2069,BB2069)</f>
        <v/>
      </c>
      <c r="BB2068" s="388"/>
    </row>
    <row r="2069" spans="1:54" s="4" customFormat="1" ht="14.5" thickBot="1" x14ac:dyDescent="0.35">
      <c r="A2069" s="246"/>
      <c r="B2069" s="647"/>
      <c r="C2069" s="647"/>
      <c r="D2069" s="647"/>
      <c r="E2069" s="246"/>
      <c r="F2069" s="246"/>
      <c r="AC2069" s="627" t="s">
        <v>4055</v>
      </c>
      <c r="AE2069" s="503" t="str">
        <f>IF($D$1768=$AQ$1768,AF2069,AG2069)</f>
        <v>REQUIRES PASSKEY</v>
      </c>
      <c r="AF2069" s="628" t="str">
        <f>CONCATENATE(AH2069,AI2069,AJ2069,AK2069,AL2069,AM2069,AN2069,AO2069,AP2069,AQ2069,AR2069,AS2069,AT2069,AU2069,AW2069,AX2069,AY2069,AZ2069,BA2069,BB2069)</f>
        <v/>
      </c>
      <c r="AG2069" s="659" t="s">
        <v>4362</v>
      </c>
      <c r="BA2069" s="388"/>
    </row>
    <row r="2070" spans="1:54" s="4" customFormat="1" x14ac:dyDescent="0.3">
      <c r="A2070" s="518"/>
      <c r="B2070" s="519"/>
      <c r="C2070" s="519"/>
      <c r="D2070" s="519"/>
      <c r="E2070" s="519"/>
      <c r="F2070" s="520"/>
      <c r="AC2070" s="627" t="s">
        <v>3288</v>
      </c>
      <c r="AE2070" s="503" t="str">
        <f>IF($D$1768=$AQ$1768,AF2070,AG2070)</f>
        <v>REQUIRES PASSKEY</v>
      </c>
      <c r="AF2070" s="628" t="str">
        <f>CONCATENATE(AH2070,AI2070,AJ2070,AK2070,AL2070,AM2070,AN2070,AO2070,AP2070,AQ2070,AR2070,AS2070,AT2070,AU2070,AW2070,AX2070,AY2070,AZ2070,BA2070,BB2070)</f>
        <v/>
      </c>
      <c r="AG2070" s="659" t="s">
        <v>4362</v>
      </c>
      <c r="BA2070" s="388"/>
    </row>
    <row r="2071" spans="1:54" s="4" customFormat="1" x14ac:dyDescent="0.3">
      <c r="A2071" s="521"/>
      <c r="B2071" s="661" t="s">
        <v>4945</v>
      </c>
      <c r="C2071" s="660" t="s">
        <v>4377</v>
      </c>
      <c r="D2071" s="662" t="s">
        <v>4382</v>
      </c>
      <c r="E2071" s="522"/>
      <c r="F2071" s="523"/>
      <c r="AC2071" s="389"/>
      <c r="BB2071" s="388"/>
    </row>
    <row r="2072" spans="1:54" s="4" customFormat="1" ht="14.5" thickBot="1" x14ac:dyDescent="0.35">
      <c r="A2072" s="524"/>
      <c r="B2072" s="525"/>
      <c r="C2072" s="525"/>
      <c r="D2072" s="525"/>
      <c r="E2072" s="525"/>
      <c r="F2072" s="526"/>
      <c r="AC2072" s="389"/>
      <c r="AF2072" s="628" t="str">
        <f>CONCATENATE(AH2072,AI2072,AJ2072,AK2072,AL2072,AM2072,AN2072,AO2072,AP2072,AQ2072,AR2072,AS2072,AT2072,AU2072,AV2072,AW2072,AX2072,AY2072,AZ2072,BA2072,BB2072)</f>
        <v xml:space="preserve">Thank you for passing this on. Once you agree you can pass this message along, I can give you the latest contact information I has. </v>
      </c>
      <c r="AG2072" s="628" t="str">
        <f>CONCATENATE(AH2072,AI2072,AJ2072,AK2072,AL2072,AM2072,AN2072,AO2072,AP2072,AQ2072,AR2072,AS2073,AT2073,AU2073,AW2073,AX2073,AY2073,AZ2073,BA2073,BB2073)</f>
        <v xml:space="preserve">Thank you for passing this on. Once you agree you can pass this message along, I can give you the latest contact information I has. </v>
      </c>
      <c r="AI2072" s="4" t="s">
        <v>4278</v>
      </c>
      <c r="AJ2072" s="4" t="str">
        <f>BD2032</f>
        <v>I</v>
      </c>
      <c r="AK2072" s="4" t="s">
        <v>4279</v>
      </c>
      <c r="AL2072" s="4" t="str">
        <f>BD2032</f>
        <v>I</v>
      </c>
      <c r="AM2072" s="4" t="str">
        <f>IF(C2038=AX2037," has. "," have. ")</f>
        <v xml:space="preserve"> has. </v>
      </c>
      <c r="BB2072" s="388"/>
    </row>
    <row r="2073" spans="1:54" s="4" customFormat="1" x14ac:dyDescent="0.3">
      <c r="A2073" s="518"/>
      <c r="B2073" s="519"/>
      <c r="C2073" s="519"/>
      <c r="D2073" s="519"/>
      <c r="E2073" s="519"/>
      <c r="F2073" s="520"/>
      <c r="AC2073" s="389"/>
      <c r="BB2073" s="388"/>
    </row>
    <row r="2074" spans="1:54" s="4" customFormat="1" x14ac:dyDescent="0.3">
      <c r="A2074" s="521"/>
      <c r="B2074" s="661" t="s">
        <v>4944</v>
      </c>
      <c r="C2074" s="660" t="s">
        <v>4379</v>
      </c>
      <c r="D2074" s="662" t="s">
        <v>4385</v>
      </c>
      <c r="E2074" s="522"/>
      <c r="F2074" s="523"/>
      <c r="AC2074" s="389"/>
      <c r="BB2074" s="388"/>
    </row>
    <row r="2075" spans="1:54" s="4" customFormat="1" ht="14.5" thickBot="1" x14ac:dyDescent="0.35">
      <c r="A2075" s="524"/>
      <c r="B2075" s="525"/>
      <c r="C2075" s="525"/>
      <c r="D2075" s="525"/>
      <c r="E2075" s="525"/>
      <c r="F2075" s="526"/>
      <c r="AC2075" s="389"/>
      <c r="BB2075" s="388"/>
    </row>
    <row r="2076" spans="1:54" s="4" customFormat="1" ht="30" customHeight="1" x14ac:dyDescent="0.3">
      <c r="A2076" s="862" t="s">
        <v>1412</v>
      </c>
      <c r="B2076" s="1151" t="s">
        <v>3570</v>
      </c>
      <c r="C2076" s="1151"/>
      <c r="D2076" s="872" t="s">
        <v>3513</v>
      </c>
      <c r="E2076" s="864"/>
      <c r="F2076" s="864"/>
      <c r="AB2076" s="40" t="s">
        <v>3463</v>
      </c>
      <c r="AC2076" s="389"/>
      <c r="BB2076" s="388"/>
    </row>
    <row r="2077" spans="1:54" s="4" customFormat="1" x14ac:dyDescent="0.3">
      <c r="A2077" s="246"/>
      <c r="B2077" s="246"/>
      <c r="C2077" s="246"/>
      <c r="D2077" s="246"/>
      <c r="E2077" s="246"/>
      <c r="F2077" s="246"/>
      <c r="AC2077" s="389"/>
      <c r="AI2077" s="508" t="str">
        <f>IF(C2079=AE2078,AI2078,IF(C2079=AE2079,AI2079,IF(C2079=AE2080,AI2080,IF(C2079=AE2081,AI2081,AI2082))))</f>
        <v>Budgeting statewide for innocence</v>
      </c>
      <c r="BB2077" s="388"/>
    </row>
    <row r="2078" spans="1:54" s="4" customFormat="1" ht="14.5" thickBot="1" x14ac:dyDescent="0.35">
      <c r="A2078" s="246"/>
      <c r="B2078" s="246"/>
      <c r="C2078" s="246"/>
      <c r="D2078" s="246"/>
      <c r="E2078" s="246"/>
      <c r="F2078" s="246"/>
      <c r="AC2078" s="627" t="s">
        <v>62</v>
      </c>
      <c r="AE2078" s="4" t="s">
        <v>4303</v>
      </c>
      <c r="AG2078" s="648" t="s">
        <v>4299</v>
      </c>
      <c r="AI2078" s="4" t="s">
        <v>4306</v>
      </c>
      <c r="BB2078" s="388"/>
    </row>
    <row r="2079" spans="1:54" s="4" customFormat="1" ht="14.5" thickBot="1" x14ac:dyDescent="0.35">
      <c r="A2079" s="246"/>
      <c r="B2079" s="477" t="s">
        <v>1408</v>
      </c>
      <c r="C2079" s="531" t="s">
        <v>4304</v>
      </c>
      <c r="D2079" s="559" t="s">
        <v>4298</v>
      </c>
      <c r="E2079" s="479"/>
      <c r="F2079" s="246"/>
      <c r="AC2079" s="627" t="s">
        <v>64</v>
      </c>
      <c r="AE2079" s="4" t="s">
        <v>4304</v>
      </c>
      <c r="AG2079" s="4" t="s">
        <v>4297</v>
      </c>
      <c r="AI2079" s="4" t="s">
        <v>4307</v>
      </c>
      <c r="BB2079" s="388"/>
    </row>
    <row r="2080" spans="1:54" s="4" customFormat="1" ht="14.5" thickBot="1" x14ac:dyDescent="0.35">
      <c r="A2080" s="246"/>
      <c r="B2080" s="477" t="s">
        <v>1409</v>
      </c>
      <c r="C2080" s="531" t="s">
        <v>5478</v>
      </c>
      <c r="D2080" s="479"/>
      <c r="E2080" s="479"/>
      <c r="F2080" s="246"/>
      <c r="AC2080" s="627" t="s">
        <v>4055</v>
      </c>
      <c r="AE2080" s="4" t="s">
        <v>4295</v>
      </c>
      <c r="AG2080" s="4" t="s">
        <v>4298</v>
      </c>
      <c r="AI2080" s="4" t="s">
        <v>4305</v>
      </c>
      <c r="BB2080" s="388"/>
    </row>
    <row r="2081" spans="1:84" s="4" customFormat="1" x14ac:dyDescent="0.3">
      <c r="A2081" s="246"/>
      <c r="B2081" s="477" t="s">
        <v>1410</v>
      </c>
      <c r="C2081" s="527">
        <f ca="1">TODAY()</f>
        <v>45774</v>
      </c>
      <c r="D2081" s="479"/>
      <c r="E2081" s="479"/>
      <c r="F2081" s="246"/>
      <c r="AC2081" s="627" t="s">
        <v>3288</v>
      </c>
      <c r="AE2081" s="4" t="s">
        <v>4296</v>
      </c>
      <c r="AG2081" s="4" t="s">
        <v>912</v>
      </c>
      <c r="AI2081" s="4" t="s">
        <v>4305</v>
      </c>
      <c r="BB2081" s="388"/>
      <c r="BF2081" s="4" t="s">
        <v>4322</v>
      </c>
    </row>
    <row r="2082" spans="1:84" s="4" customFormat="1" x14ac:dyDescent="0.3">
      <c r="A2082" s="246"/>
      <c r="B2082" s="477" t="s">
        <v>1411</v>
      </c>
      <c r="C2082" s="1118" t="str">
        <f>AI2077</f>
        <v>Budgeting statewide for innocence</v>
      </c>
      <c r="D2082" s="1118"/>
      <c r="E2082" s="1118"/>
      <c r="F2082" s="246"/>
      <c r="AC2082" s="389"/>
      <c r="AE2082" s="4" t="s">
        <v>4308</v>
      </c>
      <c r="AI2082" s="4" t="s">
        <v>4273</v>
      </c>
      <c r="BB2082" s="388"/>
      <c r="BF2082" s="4" t="s">
        <v>4323</v>
      </c>
    </row>
    <row r="2083" spans="1:84" s="4" customFormat="1" x14ac:dyDescent="0.3">
      <c r="A2083" s="246"/>
      <c r="B2083" s="246"/>
      <c r="C2083" s="246"/>
      <c r="D2083" s="246"/>
      <c r="E2083" s="246"/>
      <c r="F2083" s="246"/>
      <c r="AC2083" s="389"/>
      <c r="BB2083" s="388"/>
    </row>
    <row r="2084" spans="1:84" s="4" customFormat="1" x14ac:dyDescent="0.3">
      <c r="A2084" s="246"/>
      <c r="B2084" s="1047" t="str">
        <f>IF(C2079="",AG2088,AC2087)</f>
        <v>Steph Turner makes a compelling claim for innocence. He struggles with poverty for a crime we can now know with a degree of certainty that he didn't do. Because we now have a tool that can estimate his innocence, by comparing the known details of his case to known exonerations. Called the "Estimated Innocence Form", it calculates Steph's probable innocence at 86%.</v>
      </c>
      <c r="C2084" s="1047"/>
      <c r="D2084" s="1047"/>
      <c r="E2084" s="1047"/>
      <c r="F2084" s="246"/>
      <c r="AC2084" s="389"/>
      <c r="BB2084" s="388"/>
    </row>
    <row r="2085" spans="1:84" s="4" customFormat="1" x14ac:dyDescent="0.3">
      <c r="A2085" s="246"/>
      <c r="B2085" s="1047"/>
      <c r="C2085" s="1047"/>
      <c r="D2085" s="1047"/>
      <c r="E2085" s="1047"/>
      <c r="F2085" s="246"/>
      <c r="AC2085" s="389"/>
      <c r="BB2085" s="388"/>
    </row>
    <row r="2086" spans="1:84" s="4" customFormat="1" x14ac:dyDescent="0.3">
      <c r="A2086" s="246"/>
      <c r="B2086" s="1047"/>
      <c r="C2086" s="1047"/>
      <c r="D2086" s="1047"/>
      <c r="E2086" s="1047"/>
      <c r="F2086" s="246"/>
      <c r="AC2086" s="389"/>
      <c r="BB2086" s="388"/>
    </row>
    <row r="2087" spans="1:84" s="4" customFormat="1" x14ac:dyDescent="0.3">
      <c r="A2087" s="246"/>
      <c r="B2087" s="1047"/>
      <c r="C2087" s="1047"/>
      <c r="D2087" s="1047"/>
      <c r="E2087" s="1047"/>
      <c r="F2087" s="246"/>
      <c r="AC2087" s="632" t="str">
        <f>IF($B$1988=$AQ$1983,AF2089,IF($B$1988=$AQ$1984,AF2090,IF($B$1988=$AQ$1985,AF2091,IF($B$1988=$AQ$1986,AF2092,))))</f>
        <v>Steph Turner makes a compelling claim for innocence. He struggles with poverty for a crime we can now know with a degree of certainty that he didn't do. Because we now have a tool that can estimate his innocence, by comparing the known details of his case to known exonerations. Called the "Estimated Innocence Form", it calculates Steph's probable innocence at 86%.</v>
      </c>
      <c r="BB2087" s="388"/>
      <c r="BJ2087" s="4" t="s">
        <v>3564</v>
      </c>
      <c r="BU2087" s="246" t="s">
        <v>3568</v>
      </c>
    </row>
    <row r="2088" spans="1:84" s="4" customFormat="1" x14ac:dyDescent="0.3">
      <c r="A2088" s="246"/>
      <c r="B2088" s="1047"/>
      <c r="C2088" s="1047"/>
      <c r="D2088" s="1047"/>
      <c r="E2088" s="1047"/>
      <c r="F2088" s="246"/>
      <c r="AF2088" s="508">
        <f>IF($C$2032="",AG2088,AT$1994)</f>
        <v>1</v>
      </c>
      <c r="AG2088" s="4" t="s">
        <v>3602</v>
      </c>
      <c r="BB2088" s="388"/>
      <c r="BU2088" s="246"/>
    </row>
    <row r="2089" spans="1:84" s="4" customFormat="1" x14ac:dyDescent="0.3">
      <c r="A2089" s="246"/>
      <c r="B2089" s="1047"/>
      <c r="C2089" s="1047"/>
      <c r="D2089" s="1047"/>
      <c r="E2089" s="1047"/>
      <c r="F2089" s="246"/>
      <c r="AC2089" s="627" t="s">
        <v>62</v>
      </c>
      <c r="AF2089" s="628" t="str">
        <f>CONCATENATE(AH2089,AI2089,AJ2089,AK2089,AL2089,AM2089,AN2089,AO2089,AP2089,AQ2089,AR2089,AS2089,AT2089,AU2089,AV2089,AW2089,AX2089,AY2089,AZ2089,BA2089,BB2089)</f>
        <v>Steph Turner makes a compelling claim for innocence. He struggles with poverty for a crime we can now know with a degree of certainty that he didn't do. Because we now have a tool that can estimate his innocence, by comparing the known details of his case to known exonerations. Called the "Estimated Innocence Form", it calculates Steph's probable innocence at 86%.</v>
      </c>
      <c r="AI2089" s="4" t="str">
        <f>AX2031</f>
        <v>Steph Turner</v>
      </c>
      <c r="AJ2089" s="4" t="s">
        <v>4326</v>
      </c>
      <c r="AL2089" s="4" t="str">
        <f>BG206</f>
        <v>He</v>
      </c>
      <c r="AM2089" s="4" t="str">
        <f>AV312</f>
        <v xml:space="preserve"> struggles with poverty</v>
      </c>
      <c r="AN2089" s="4" t="s">
        <v>4327</v>
      </c>
      <c r="AO2089" s="4" t="str">
        <f>BH206</f>
        <v>he</v>
      </c>
      <c r="AP2089" s="4" t="s">
        <v>4328</v>
      </c>
      <c r="AQ2089" s="4" t="str">
        <f>BJ206</f>
        <v>his</v>
      </c>
      <c r="AR2089" s="4" t="s">
        <v>4329</v>
      </c>
      <c r="AS2089" s="4" t="str">
        <f>AQ2089</f>
        <v>his</v>
      </c>
      <c r="AT2089" s="4" t="s">
        <v>4347</v>
      </c>
      <c r="AU2089" s="4" t="str">
        <f>AN202</f>
        <v>Steph</v>
      </c>
      <c r="AV2089" s="503" t="s">
        <v>4348</v>
      </c>
      <c r="AW2089" s="629"/>
      <c r="AX2089" s="629">
        <f>AI1984</f>
        <v>86</v>
      </c>
      <c r="AY2089" s="503" t="s">
        <v>4349</v>
      </c>
      <c r="BB2089" s="388"/>
      <c r="BJ2089" s="4" t="s">
        <v>4102</v>
      </c>
      <c r="BU2089" s="246" t="s">
        <v>3569</v>
      </c>
    </row>
    <row r="2090" spans="1:84" s="4" customFormat="1" x14ac:dyDescent="0.3">
      <c r="A2090" s="246"/>
      <c r="B2090" s="1047"/>
      <c r="C2090" s="1047"/>
      <c r="D2090" s="1047"/>
      <c r="E2090" s="1047"/>
      <c r="F2090" s="246"/>
      <c r="AC2090" s="627" t="s">
        <v>64</v>
      </c>
      <c r="AF2090" s="628" t="str">
        <f>CONCATENATE(AH2090,AI2090,AJ2090,AK2090,AL2090,AM2090,AN2090,AO2090,AP2090,AQ2090,AR2090,AS2090,AT2090,AU2090,AV2090,AW2090,AX2090,AY2090,AZ2090,BA2090,BB2090)</f>
        <v/>
      </c>
      <c r="AZ2090" s="629"/>
      <c r="BB2090" s="388"/>
      <c r="BJ2090" s="4" t="s">
        <v>3565</v>
      </c>
      <c r="BU2090" s="246"/>
    </row>
    <row r="2091" spans="1:84" s="4" customFormat="1" x14ac:dyDescent="0.3">
      <c r="A2091" s="246"/>
      <c r="B2091" s="1047"/>
      <c r="C2091" s="1047"/>
      <c r="D2091" s="1047"/>
      <c r="E2091" s="1047"/>
      <c r="F2091" s="246"/>
      <c r="AC2091" s="627" t="s">
        <v>4055</v>
      </c>
      <c r="AE2091" s="503" t="str">
        <f>IF($D$1768=$AQ$1768,AF2091,AG2091)</f>
        <v>REQUIRES PASSKEY</v>
      </c>
      <c r="AF2091" s="628" t="str">
        <f>CONCATENATE(AH2091,AI2091,AJ2091,AK2091,AL2091,AM2091,AN2091,AO2091,AP2091,AQ2091,AR2091,AS2091,AT2091,AU2091,AW2091,AX2091,AY2091,AZ2091,BA2091,BB2091)</f>
        <v/>
      </c>
      <c r="AG2091" s="659" t="s">
        <v>4362</v>
      </c>
      <c r="BA2091" s="388"/>
      <c r="BU2091" s="246" t="s">
        <v>3593</v>
      </c>
    </row>
    <row r="2092" spans="1:84" s="4" customFormat="1" x14ac:dyDescent="0.3">
      <c r="A2092" s="246"/>
      <c r="B2092" s="1047" t="str">
        <f>IF(C2079="",AG2094,AC2093)</f>
        <v xml:space="preserve">As a local resident of Michigan, Steph relies on the state's innocence projects. But he finds them overwhelmed with too many requests to take the time to review his compelling innocence claim. With only 2 CIUs in Michigan, which typically have only a limited staff, Steph's innocence may never be identified and corrected in time. </v>
      </c>
      <c r="C2092" s="1047"/>
      <c r="D2092" s="1047"/>
      <c r="E2092" s="1047"/>
      <c r="F2092" s="246"/>
      <c r="AC2092" s="627" t="s">
        <v>3288</v>
      </c>
      <c r="AE2092" s="503" t="str">
        <f>IF($D$1768=$AQ$1768,AF2092,AG2092)</f>
        <v>REQUIRES PASSKEY</v>
      </c>
      <c r="AF2092" s="628" t="str">
        <f>CONCATENATE(AH2092,AI2092,AJ2092,AK2092,AL2092,AM2092,AN2092,AO2092,AP2092,AQ2092,AR2092,AS2092,AT2092,AU2092,AW2092,AX2092,AY2092,AZ2092,BA2092,BB2092)</f>
        <v/>
      </c>
      <c r="AG2092" s="659" t="s">
        <v>4362</v>
      </c>
      <c r="BA2092" s="388"/>
    </row>
    <row r="2093" spans="1:84" s="4" customFormat="1" x14ac:dyDescent="0.3">
      <c r="A2093" s="246"/>
      <c r="B2093" s="1047"/>
      <c r="C2093" s="1047"/>
      <c r="D2093" s="1047"/>
      <c r="E2093" s="1047"/>
      <c r="F2093" s="246"/>
      <c r="AC2093" s="632" t="str">
        <f>IF($B$1988=$AQ$1983,AF2095,IF($B$1988=$AQ$1984,AF2096,IF($B$1988=$AQ$1985,AF2097,IF($B$1988=$AQ$1986,AF2098,))))</f>
        <v xml:space="preserve">As a local resident of Michigan, Steph relies on the state's innocence projects. But he finds them overwhelmed with too many requests to take the time to review his compelling innocence claim. With only 2 CIUs in Michigan, which typically have only a limited staff, Steph's innocence may never be identified and corrected in time. </v>
      </c>
      <c r="BB2093" s="388"/>
      <c r="CF2093" s="4" t="s">
        <v>4338</v>
      </c>
    </row>
    <row r="2094" spans="1:84" s="4" customFormat="1" x14ac:dyDescent="0.3">
      <c r="A2094" s="246"/>
      <c r="B2094" s="1047"/>
      <c r="C2094" s="1047"/>
      <c r="D2094" s="1047"/>
      <c r="E2094" s="1047"/>
      <c r="F2094" s="246"/>
      <c r="AC2094" s="627"/>
      <c r="AF2094" s="508">
        <f>IF($B$1988="",AG2094,AT$1994)</f>
        <v>1</v>
      </c>
      <c r="AG2094" s="4" t="s">
        <v>3603</v>
      </c>
      <c r="BB2094" s="388"/>
      <c r="BJ2094" s="4" t="s">
        <v>3566</v>
      </c>
    </row>
    <row r="2095" spans="1:84" s="4" customFormat="1" x14ac:dyDescent="0.3">
      <c r="A2095" s="246"/>
      <c r="B2095" s="1047"/>
      <c r="C2095" s="1047"/>
      <c r="D2095" s="1047"/>
      <c r="E2095" s="1047"/>
      <c r="F2095" s="246"/>
      <c r="AC2095" s="627" t="s">
        <v>62</v>
      </c>
      <c r="AF2095" s="628" t="str">
        <f>CONCATENATE(AH2095,AI2095,AJ2095,AK2095,AL2095,AM2095,AN2095,AO2095,AP2095,AQ2095,AR2095,AS2095,AT2095,AU2095,AV2095,AW2095,AX2095,AY2095,AZ2095,BA2095,BB2095)</f>
        <v xml:space="preserve">As a local resident of Michigan, Steph relies on the state's innocence projects. But he finds them overwhelmed with too many requests to take the time to review his compelling innocence claim. With only 2 CIUs in Michigan, which typically have only a limited staff, Steph's innocence may never be identified and corrected in time. </v>
      </c>
      <c r="AG2095" s="628"/>
      <c r="AI2095" s="4" t="s">
        <v>4330</v>
      </c>
      <c r="AJ2095" s="4" t="str">
        <f>B265</f>
        <v>Michigan</v>
      </c>
      <c r="AK2095" s="503" t="s">
        <v>513</v>
      </c>
      <c r="AL2095" s="4" t="str">
        <f>AJ2001</f>
        <v>Steph</v>
      </c>
      <c r="AM2095" s="4" t="s">
        <v>4331</v>
      </c>
      <c r="AN2095" s="4" t="str">
        <f>AO2089</f>
        <v>he</v>
      </c>
      <c r="AO2095" s="4" t="s">
        <v>4332</v>
      </c>
      <c r="AP2095" s="4" t="str">
        <f>AQ2089</f>
        <v>his</v>
      </c>
      <c r="AQ2095" s="4" t="s">
        <v>4333</v>
      </c>
      <c r="AR2095" s="52" t="str">
        <f>IF(BX3214=0,"With no CIUs in ",IF(BX3214=1,"With only one CIU in ",CONCATENATE("With only ",BX3214," CIUs in ")))</f>
        <v xml:space="preserve">With only 2 CIUs in </v>
      </c>
      <c r="AS2095" s="4" t="str">
        <f>B265</f>
        <v>Michigan</v>
      </c>
      <c r="AT2095" s="4" t="s">
        <v>4344</v>
      </c>
      <c r="AU2095" s="503" t="str">
        <f>AN202</f>
        <v>Steph</v>
      </c>
      <c r="AV2095" s="503" t="s">
        <v>4345</v>
      </c>
      <c r="AY2095" s="503" t="s">
        <v>885</v>
      </c>
      <c r="BB2095" s="388"/>
    </row>
    <row r="2096" spans="1:84" s="4" customFormat="1" x14ac:dyDescent="0.3">
      <c r="A2096" s="246"/>
      <c r="B2096" s="1047"/>
      <c r="C2096" s="1047"/>
      <c r="D2096" s="1047"/>
      <c r="E2096" s="1047"/>
      <c r="F2096" s="246"/>
      <c r="AC2096" s="627" t="s">
        <v>64</v>
      </c>
      <c r="AF2096" s="628" t="str">
        <f>CONCATENATE(AH2096,AI2096,AJ2096,AK2096,AL2096,AM2096,AN2096,AO2096,AP2096,AQ2096,AR2096,AS2096,AT2096,AU2096,AV2096,AW2096,AX2096,AY2096,AZ2096,BA2096,BB2096)</f>
        <v xml:space="preserve">Innocence projects and conviction integrity units cannot keep pace with </v>
      </c>
      <c r="AG2096" s="628"/>
      <c r="AI2096" s="4" t="s">
        <v>4324</v>
      </c>
      <c r="BB2096" s="388"/>
    </row>
    <row r="2097" spans="1:67" s="4" customFormat="1" x14ac:dyDescent="0.3">
      <c r="A2097" s="246"/>
      <c r="B2097" s="1047"/>
      <c r="C2097" s="1047"/>
      <c r="D2097" s="1047"/>
      <c r="E2097" s="1047"/>
      <c r="F2097" s="246"/>
      <c r="AC2097" s="627" t="s">
        <v>4055</v>
      </c>
      <c r="AE2097" s="503" t="str">
        <f>IF($D$1768=$AQ$1768,AF2097,AG2097)</f>
        <v>REQUIRES PASSKEY</v>
      </c>
      <c r="AF2097" s="628" t="str">
        <f>CONCATENATE(AH2097,AI2097,AJ2097,AK2097,AL2097,AM2097,AN2097,AO2097,AP2097,AQ2097,AR2097,AS2097,AT2097,AU2097,AW2097,AX2097,AY2097,AZ2097,BA2097,BB2097)</f>
        <v xml:space="preserve">Innocence projects cannot review every viable innocence claim. </v>
      </c>
      <c r="AG2097" s="659" t="s">
        <v>4362</v>
      </c>
      <c r="AI2097" s="4" t="s">
        <v>4325</v>
      </c>
      <c r="BA2097" s="388"/>
      <c r="BJ2097" s="4" t="str">
        <f>CO3210</f>
        <v>Nationwide, less than 3,000 have been exonerated. [Gross quote}</v>
      </c>
    </row>
    <row r="2098" spans="1:67" s="4" customFormat="1" x14ac:dyDescent="0.3">
      <c r="A2098" s="246"/>
      <c r="B2098" s="1047"/>
      <c r="C2098" s="1047"/>
      <c r="D2098" s="1047"/>
      <c r="E2098" s="1047"/>
      <c r="F2098" s="246"/>
      <c r="AC2098" s="627" t="s">
        <v>3288</v>
      </c>
      <c r="AE2098" s="503" t="str">
        <f>IF($D$1768=$AQ$1768,AF2098,AG2098)</f>
        <v>REQUIRES PASSKEY</v>
      </c>
      <c r="AF2098" s="628" t="str">
        <f>CONCATENATE(AH2098,AI2098,AJ2098,AK2098,AL2098,AM2098,AN2098,AO2098,AP2098,AQ2098,AR2098,AS2098,AT2098,AU2098,AW2098,AX2098,AY2098,AZ2098,BA2098,BB2098)</f>
        <v/>
      </c>
      <c r="AG2098" s="659" t="s">
        <v>4362</v>
      </c>
      <c r="BA2098" s="388"/>
      <c r="BJ2098" s="4" t="str">
        <f>CO3211</f>
        <v xml:space="preserve">Claimaint is estimated to be among the </v>
      </c>
    </row>
    <row r="2099" spans="1:67" s="4" customFormat="1" x14ac:dyDescent="0.3">
      <c r="A2099" s="246"/>
      <c r="B2099" s="1047"/>
      <c r="C2099" s="1047"/>
      <c r="D2099" s="1047"/>
      <c r="E2099" s="1047"/>
      <c r="F2099" s="246"/>
      <c r="AC2099" s="632" t="str">
        <f>IF($B$1988=$AQ$1983,AF2101,IF($B$1988=$AQ$1984,AF2102,IF($B$1988=$AQ$1985,AF2103,IF($B$1988=$AQ$1986,AF2104,))))</f>
        <v xml:space="preserve">"We know without doubt," declares the editor of the National Registry of Exonerations, "that the vast majority of innocent defendants who are convicted of crimes are never identified and cleared." Nationwide, less than 3,000 have been exonerated. Researchers estimate between .5% and 15.4% of prisoners are wrongly convicted. That suggests Steph Turner is one of the 190 to 5,860 in a prison population of 38,053 in Michigan (using 2021 data) who are wrongly convicted. </v>
      </c>
      <c r="BB2099" s="388"/>
      <c r="BJ2099" s="4" t="str">
        <f>CO3214</f>
        <v>190 to 5,860 in a prison population of 38,053</v>
      </c>
    </row>
    <row r="2100" spans="1:67" s="4" customFormat="1" x14ac:dyDescent="0.3">
      <c r="A2100" s="246"/>
      <c r="B2100" s="1047" t="str">
        <f>IF(C2079="",AG2100,AC2099)</f>
        <v xml:space="preserve">"We know without doubt," declares the editor of the National Registry of Exonerations, "that the vast majority of innocent defendants who are convicted of crimes are never identified and cleared." Nationwide, less than 3,000 have been exonerated. Researchers estimate between .5% and 15.4% of prisoners are wrongly convicted. That suggests Steph Turner is one of the 190 to 5,860 in a prison population of 38,053 in Michigan (using 2021 data) who are wrongly convicted. </v>
      </c>
      <c r="C2100" s="1047"/>
      <c r="D2100" s="1047"/>
      <c r="E2100" s="1047"/>
      <c r="F2100" s="246"/>
      <c r="AC2100" s="627"/>
      <c r="AF2100" s="508">
        <f>IF($B$1988="",AG2100,AT$1994)</f>
        <v>1</v>
      </c>
      <c r="AG2100" s="4" t="s">
        <v>3601</v>
      </c>
      <c r="BB2100" s="388"/>
    </row>
    <row r="2101" spans="1:67" s="4" customFormat="1" x14ac:dyDescent="0.3">
      <c r="A2101" s="246"/>
      <c r="B2101" s="1047"/>
      <c r="C2101" s="1047"/>
      <c r="D2101" s="1047"/>
      <c r="E2101" s="1047"/>
      <c r="F2101" s="246"/>
      <c r="AC2101" s="627" t="s">
        <v>62</v>
      </c>
      <c r="AF2101" s="628" t="str">
        <f>CONCATENATE(AH2101,AI2101,AJ2101,AK2101,AL2101,AM2101,AN2101,AO2101,AP2101,AQ2101,AR2101,AS2101,AT2101,AU2101,AV2101,AW2101,AX2101,AY2101,AZ2101,BA2101,BB2101)</f>
        <v xml:space="preserve">"We know without doubt," declares the editor of the National Registry of Exonerations, "that the vast majority of innocent defendants who are convicted of crimes are never identified and cleared." Nationwide, less than 3,000 have been exonerated. Researchers estimate between .5% and 15.4% of prisoners are wrongly convicted. That suggests Steph Turner is one of the 190 to 5,860 in a prison population of 38,053 in Michigan (using 2021 data) who are wrongly convicted. </v>
      </c>
      <c r="AG2101" s="628"/>
      <c r="AI2101" s="4" t="str">
        <f>AO2007</f>
        <v xml:space="preserve">"We know without doubt," declares the editor of the National Registry of Exonerations, "that the vast majority of innocent defendants who are convicted of crimes are never identified and cleared." </v>
      </c>
      <c r="AJ2101" s="4" t="s">
        <v>4346</v>
      </c>
      <c r="AK2101" s="4" t="str">
        <f>CF3213</f>
        <v xml:space="preserve">Researchers estimate between .5% and 15.4% of prisoners are wrongly convicted. That suggests Steph Turner is one of the 190 to 5,860 in a prison population of 38,053 in Michigan (using 2021 data) who are wrongly convicted. </v>
      </c>
      <c r="AL2101" s="503"/>
      <c r="AY2101" s="503" t="s">
        <v>885</v>
      </c>
      <c r="BB2101" s="388"/>
    </row>
    <row r="2102" spans="1:67" s="4" customFormat="1" x14ac:dyDescent="0.3">
      <c r="A2102" s="246"/>
      <c r="B2102" s="1047"/>
      <c r="C2102" s="1047"/>
      <c r="D2102" s="1047"/>
      <c r="E2102" s="1047"/>
      <c r="F2102" s="246"/>
      <c r="AC2102" s="627" t="s">
        <v>64</v>
      </c>
      <c r="AF2102" s="628" t="str">
        <f>CONCATENATE(AH2102,AI2102,AJ2102,AK2102,AL2102,AM2102,AN2102,AO2102,AP2102,AQ2102,AR2102,AS2102,AT2102,AU2102,AV2102,AW2102,AX2102,AY2102,AZ2102,BA2102,BB2102)</f>
        <v/>
      </c>
      <c r="AG2102" s="628"/>
      <c r="BB2102" s="388"/>
    </row>
    <row r="2103" spans="1:67" s="4" customFormat="1" x14ac:dyDescent="0.3">
      <c r="A2103" s="246"/>
      <c r="B2103" s="1047"/>
      <c r="C2103" s="1047"/>
      <c r="D2103" s="1047"/>
      <c r="E2103" s="1047"/>
      <c r="F2103" s="246"/>
      <c r="AC2103" s="627" t="s">
        <v>4055</v>
      </c>
      <c r="AE2103" s="503" t="str">
        <f>IF($D$1768=$AQ$1768,AF2103,AG2103)</f>
        <v>REQUIRES PASSKEY</v>
      </c>
      <c r="AF2103" s="628" t="str">
        <f>CONCATENATE(AH2103,AI2103,AJ2103,AK2103,AL2103,AM2103,AN2103,AO2103,AP2103,AQ2103,AR2103,AS2103,AT2103,AU2103,AW2103,AX2103,AY2103,AZ2103,BA2103,BB2103)</f>
        <v/>
      </c>
      <c r="AG2103" s="659" t="s">
        <v>4362</v>
      </c>
      <c r="BA2103" s="388"/>
    </row>
    <row r="2104" spans="1:67" s="4" customFormat="1" x14ac:dyDescent="0.3">
      <c r="A2104" s="246"/>
      <c r="B2104" s="1047"/>
      <c r="C2104" s="1047"/>
      <c r="D2104" s="1047"/>
      <c r="E2104" s="1047"/>
      <c r="F2104" s="246"/>
      <c r="AC2104" s="627" t="s">
        <v>3288</v>
      </c>
      <c r="AE2104" s="503" t="str">
        <f>IF($D$1768=$AQ$1768,AF2104,AG2104)</f>
        <v>REQUIRES PASSKEY</v>
      </c>
      <c r="AF2104" s="628" t="str">
        <f>CONCATENATE(AH2104,AI2104,AJ2104,AK2104,AL2104,AM2104,AN2104,AO2104,AP2104,AQ2104,AR2104,AS2104,AT2104,AU2104,AW2104,AX2104,AY2104,AZ2104,BA2104,BB2104)</f>
        <v/>
      </c>
      <c r="AG2104" s="659" t="s">
        <v>4362</v>
      </c>
      <c r="BA2104" s="388"/>
    </row>
    <row r="2105" spans="1:67" s="4" customFormat="1" x14ac:dyDescent="0.3">
      <c r="A2105" s="246"/>
      <c r="B2105" s="1047"/>
      <c r="C2105" s="1047"/>
      <c r="D2105" s="1047"/>
      <c r="E2105" s="1047"/>
      <c r="F2105" s="246"/>
      <c r="AC2105" s="632" t="str">
        <f>IF($B$1988=$AQ$1983,AF2107,IF($B$1988=$AQ$1984,AF2108,IF($B$1988=$AQ$1985,AF2109,IF($B$1988=$AQ$1986,AF2110,))))</f>
        <v>The residents of your district want to know they are kept safe. Not only from perpetrators overlooked when the wrong person is convicted, but safe from overzelous law enforcement. I share your concern about the expansion of the powers of the state without adequate accountability. Just as I share the other side's concern about the unequal impact on society's most disadvantaged populations. For the sake of Steph Turner and the many others in Michigan just like him, I implore you to expand or prioritize the budget for prosecuting attorneys to address this growing problem. Give his community of supporters a reason to vote for you. Thank you.</v>
      </c>
      <c r="BB2105" s="388"/>
    </row>
    <row r="2106" spans="1:67" s="4" customFormat="1" x14ac:dyDescent="0.3">
      <c r="A2106" s="246"/>
      <c r="B2106" s="1047"/>
      <c r="C2106" s="1047"/>
      <c r="D2106" s="1047"/>
      <c r="E2106" s="1047"/>
      <c r="F2106" s="246"/>
      <c r="AC2106" s="627"/>
      <c r="AF2106" s="508">
        <f>IF($B$1988="",AG2106,AT$1994)</f>
        <v>1</v>
      </c>
      <c r="AG2106" s="4" t="s">
        <v>3605</v>
      </c>
      <c r="BB2106" s="388"/>
      <c r="BI2106" s="4" t="s">
        <v>3283</v>
      </c>
      <c r="BJ2106" s="4" t="s">
        <v>4359</v>
      </c>
    </row>
    <row r="2107" spans="1:67" s="4" customFormat="1" x14ac:dyDescent="0.3">
      <c r="A2107" s="246"/>
      <c r="B2107" s="1047"/>
      <c r="C2107" s="1047"/>
      <c r="D2107" s="1047"/>
      <c r="E2107" s="1047"/>
      <c r="F2107" s="246"/>
      <c r="AC2107" s="627" t="s">
        <v>62</v>
      </c>
      <c r="AF2107" s="628" t="str">
        <f>CONCATENATE(AH2107,AI2107,AJ2107,AK2107,AL2107,AM2107,AN2107,AO2107,AP2107,AQ2107,AR2107,AS2107,AT2107,AU2107,AV2107,AW2107,AX2107,AY2107,AZ2107,BA2107,BB2107)</f>
        <v>The residents of your district want to know they are kept safe. Not only from perpetrators overlooked when the wrong person is convicted, but safe from overzelous law enforcement. I share your concern about the expansion of the powers of the state without adequate accountability. Just as I share the other side's concern about the unequal impact on society's most disadvantaged populations. For the sake of Steph Turner and the many others in Michigan just like him, I implore you to expand or prioritize the budget for prosecuting attorneys to address this growing problem. Give his community of supporters a reason to vote for you. Thank you.</v>
      </c>
      <c r="AG2107" s="628"/>
      <c r="AI2107" s="4" t="s">
        <v>4338</v>
      </c>
      <c r="AK2107" s="4" t="str">
        <f>IF(D2079=AG2080,CONCATENATE(BK2109,BJ2106,BO2109,BJ2107),IF(D2079=AG2079,CONCATENATE(BK2109,BJ2107,BO2109,BJ2106),BJ2108))</f>
        <v xml:space="preserve">I share your concern about the expansion of the powers of the state without adequate accountability. Just as I share the other side's concern about the unequal impact on society's most disadvantaged populations. </v>
      </c>
      <c r="AL2107" s="4" t="s">
        <v>4353</v>
      </c>
      <c r="AM2107" s="4" t="str">
        <f>BG202</f>
        <v>Steph Turner</v>
      </c>
      <c r="AN2107" s="4" t="s">
        <v>4354</v>
      </c>
      <c r="AO2107" s="4" t="str">
        <f>B265</f>
        <v>Michigan</v>
      </c>
      <c r="AP2107" s="4" t="s">
        <v>4355</v>
      </c>
      <c r="AQ2107" s="4" t="str">
        <f>BI206</f>
        <v>him</v>
      </c>
      <c r="AR2107" s="4" t="s">
        <v>4356</v>
      </c>
      <c r="AS2107" s="4" t="str">
        <f>BZ3214</f>
        <v>prosecuting attorney</v>
      </c>
      <c r="AT2107" s="4" t="s">
        <v>4357</v>
      </c>
      <c r="AU2107" s="4" t="str">
        <f>BJ206</f>
        <v>his</v>
      </c>
      <c r="AV2107" s="4" t="s">
        <v>4358</v>
      </c>
      <c r="BB2107" s="388"/>
      <c r="BI2107" s="4" t="s">
        <v>3288</v>
      </c>
      <c r="BJ2107" s="4" t="s">
        <v>4360</v>
      </c>
    </row>
    <row r="2108" spans="1:67" s="4" customFormat="1" x14ac:dyDescent="0.3">
      <c r="A2108" s="246"/>
      <c r="B2108" s="1047" t="str">
        <f>IF(C2079="",AG2113,AC2105)</f>
        <v>The residents of your district want to know they are kept safe. Not only from perpetrators overlooked when the wrong person is convicted, but safe from overzelous law enforcement. I share your concern about the expansion of the powers of the state without adequate accountability. Just as I share the other side's concern about the unequal impact on society's most disadvantaged populations. For the sake of Steph Turner and the many others in Michigan just like him, I implore you to expand or prioritize the budget for prosecuting attorneys to address this growing problem. Give his community of supporters a reason to vote for you. Thank you.</v>
      </c>
      <c r="C2108" s="1047"/>
      <c r="D2108" s="1047"/>
      <c r="E2108" s="1047"/>
      <c r="F2108" s="246"/>
      <c r="AC2108" s="627" t="s">
        <v>64</v>
      </c>
      <c r="AF2108" s="628" t="str">
        <f>CONCATENATE(AH2108,AI2108,AJ2108,AK2108,AL2108,AM2108,AN2108,AO2108,AP2108,AQ2108,AR2108,AS2108,AT2108,AU2108,AV2108,AW2108,AX2108,AY2108,AZ2108,BA2108,BB2108)</f>
        <v/>
      </c>
      <c r="AG2108" s="628" t="str">
        <f>CONCATENATE(AH2108,AI2108,AJ2108,AK2108,AL2108,AM2108,AN2108,AO2108,AP2108,AQ2108,AR2108,AS2109,AT2109,AU2109,AW2109,AX2109,AY2109,AZ2109,BA2109,BB2109)</f>
        <v/>
      </c>
      <c r="BB2108" s="388"/>
      <c r="BJ2108" s="4" t="s">
        <v>4352</v>
      </c>
    </row>
    <row r="2109" spans="1:67" s="4" customFormat="1" x14ac:dyDescent="0.3">
      <c r="A2109" s="246"/>
      <c r="B2109" s="1047"/>
      <c r="C2109" s="1047"/>
      <c r="D2109" s="1047"/>
      <c r="E2109" s="1047"/>
      <c r="F2109" s="246"/>
      <c r="AC2109" s="627" t="s">
        <v>4055</v>
      </c>
      <c r="AE2109" s="503" t="str">
        <f>IF($D$1768=$AQ$1768,AF2109,AG2109)</f>
        <v>REQUIRES PASSKEY</v>
      </c>
      <c r="AF2109" s="628" t="str">
        <f>CONCATENATE(AH2109,AI2109,AJ2109,AK2109,AL2109,AM2109,AN2109,AO2109,AP2109,AQ2109,AR2109,AS2109,AT2109,AU2109,AW2109,AX2109,AY2109,AZ2109,BA2109,BB2109)</f>
        <v/>
      </c>
      <c r="AG2109" s="659" t="s">
        <v>4362</v>
      </c>
      <c r="BA2109" s="388"/>
      <c r="BK2109" s="4" t="s">
        <v>4350</v>
      </c>
      <c r="BO2109" s="4" t="s">
        <v>4351</v>
      </c>
    </row>
    <row r="2110" spans="1:67" s="4" customFormat="1" x14ac:dyDescent="0.3">
      <c r="A2110" s="246"/>
      <c r="B2110" s="1047"/>
      <c r="C2110" s="1047"/>
      <c r="D2110" s="1047"/>
      <c r="E2110" s="1047"/>
      <c r="F2110" s="246"/>
      <c r="AC2110" s="627" t="s">
        <v>3288</v>
      </c>
      <c r="AE2110" s="503" t="str">
        <f>IF($D$1768=$AQ$1768,AF2110,AG2110)</f>
        <v>REQUIRES PASSKEY</v>
      </c>
      <c r="AF2110" s="628" t="str">
        <f>CONCATENATE(AH2110,AI2110,AJ2110,AK2110,AL2110,AM2110,AN2110,AO2110,AP2110,AQ2110,AR2110,AS2110,AT2110,AU2110,AW2110,AX2110,AY2110,AZ2110,BA2110,BB2110)</f>
        <v/>
      </c>
      <c r="AG2110" s="659" t="s">
        <v>4362</v>
      </c>
      <c r="BA2110" s="388"/>
    </row>
    <row r="2111" spans="1:67" s="4" customFormat="1" x14ac:dyDescent="0.3">
      <c r="A2111" s="246"/>
      <c r="B2111" s="1047"/>
      <c r="C2111" s="1047"/>
      <c r="D2111" s="1047"/>
      <c r="E2111" s="1047"/>
      <c r="F2111" s="246"/>
      <c r="AC2111" s="389"/>
      <c r="BB2111" s="388"/>
    </row>
    <row r="2112" spans="1:67" s="4" customFormat="1" x14ac:dyDescent="0.3">
      <c r="A2112" s="246"/>
      <c r="B2112" s="1047"/>
      <c r="C2112" s="1047"/>
      <c r="D2112" s="1047"/>
      <c r="E2112" s="1047"/>
      <c r="F2112" s="246"/>
      <c r="AC2112" s="632" t="str">
        <f>IF($B$1988=$AQ$1983,AF2114,IF($B$1988=$AQ$1984,AF2115,IF($B$1988=$AQ$1985,AF2116,IF($B$1988=$AQ$1986,AF2117,))))</f>
        <v>text</v>
      </c>
      <c r="BB2112" s="388"/>
    </row>
    <row r="2113" spans="1:54" s="4" customFormat="1" x14ac:dyDescent="0.3">
      <c r="A2113" s="246"/>
      <c r="B2113" s="1047"/>
      <c r="C2113" s="1047"/>
      <c r="D2113" s="1047"/>
      <c r="E2113" s="1047"/>
      <c r="F2113" s="246"/>
      <c r="AC2113" s="627"/>
      <c r="AF2113" s="508">
        <f>IF($B$1988="",AG2113,AT$1994)</f>
        <v>1</v>
      </c>
      <c r="AG2113" s="4" t="s">
        <v>3605</v>
      </c>
      <c r="BB2113" s="388"/>
    </row>
    <row r="2114" spans="1:54" s="4" customFormat="1" x14ac:dyDescent="0.3">
      <c r="A2114" s="246"/>
      <c r="B2114" s="1047"/>
      <c r="C2114" s="1047"/>
      <c r="D2114" s="1047"/>
      <c r="E2114" s="1047"/>
      <c r="F2114" s="246"/>
      <c r="AC2114" s="627" t="s">
        <v>62</v>
      </c>
      <c r="AF2114" s="628" t="str">
        <f>CONCATENATE(AH2114,AI2114,AJ2114,AK2114,AL2114,AM2114,AN2114,AO2114,AP2114,AQ2114,AR2114,AS2114,AT2114,AU2114,AV2114,AW2114,AX2114,AY2114,AZ2114,BA2114,BB2114)</f>
        <v>text</v>
      </c>
      <c r="AG2114" s="628"/>
      <c r="AI2114" s="4" t="s">
        <v>4207</v>
      </c>
      <c r="AK2114" s="503"/>
      <c r="BB2114" s="388"/>
    </row>
    <row r="2115" spans="1:54" s="4" customFormat="1" x14ac:dyDescent="0.3">
      <c r="A2115" s="246"/>
      <c r="B2115" s="1047"/>
      <c r="C2115" s="1047"/>
      <c r="D2115" s="1047"/>
      <c r="E2115" s="1047"/>
      <c r="F2115" s="246"/>
      <c r="AC2115" s="627" t="s">
        <v>64</v>
      </c>
      <c r="AF2115" s="628" t="str">
        <f>CONCATENATE(AH2115,AI2115,AJ2115,AK2115,AL2115,AM2115,AN2115,AO2115,AP2115,AQ2115,AR2115,AS2115,AT2115,AU2115,AV2115,AW2115,AX2115,AY2115,AZ2115,BA2115,BB2115)</f>
        <v/>
      </c>
      <c r="AG2115" s="628" t="str">
        <f>CONCATENATE(AH2115,AI2115,AJ2115,AK2115,AL2115,AM2115,AN2115,AO2115,AP2115,AQ2115,AR2115,AS2116,AT2116,AU2116,AW2116,AX2116,AY2116,AZ2116,BA2116,BB2116)</f>
        <v/>
      </c>
      <c r="BB2115" s="388"/>
    </row>
    <row r="2116" spans="1:54" s="4" customFormat="1" x14ac:dyDescent="0.3">
      <c r="A2116" s="246"/>
      <c r="B2116" s="246"/>
      <c r="C2116" s="246"/>
      <c r="D2116" s="246"/>
      <c r="E2116" s="246"/>
      <c r="F2116" s="246"/>
      <c r="AC2116" s="627" t="s">
        <v>4055</v>
      </c>
      <c r="AE2116" s="503" t="str">
        <f>IF($D$1768=$AQ$1768,AF2116,AG2116)</f>
        <v>REQUIRES PASSKEY</v>
      </c>
      <c r="AF2116" s="628" t="str">
        <f>CONCATENATE(AH2116,AI2116,AJ2116,AK2116,AL2116,AM2116,AN2116,AO2116,AP2116,AQ2116,AR2116,AS2116,AT2116,AU2116,AW2116,AX2116,AY2116,AZ2116,BA2116,BB2116)</f>
        <v/>
      </c>
      <c r="AG2116" s="659" t="s">
        <v>4362</v>
      </c>
      <c r="BA2116" s="388"/>
    </row>
    <row r="2117" spans="1:54" s="4" customFormat="1" x14ac:dyDescent="0.3">
      <c r="A2117" s="246"/>
      <c r="B2117" s="246"/>
      <c r="C2117" s="246"/>
      <c r="D2117" s="246"/>
      <c r="E2117" s="246"/>
      <c r="F2117" s="246"/>
      <c r="AC2117" s="627" t="s">
        <v>3288</v>
      </c>
      <c r="AE2117" s="503" t="str">
        <f>IF($D$1768=$AQ$1768,AF2117,AG2117)</f>
        <v>REQUIRES PASSKEY</v>
      </c>
      <c r="AF2117" s="628" t="str">
        <f>CONCATENATE(AH2117,AI2117,AJ2117,AK2117,AL2117,AM2117,AN2117,AO2117,AP2117,AQ2117,AR2117,AS2117,AT2117,AU2117,AW2117,AX2117,AY2117,AZ2117,BA2117,BB2117)</f>
        <v/>
      </c>
      <c r="AG2117" s="659" t="s">
        <v>4362</v>
      </c>
      <c r="BA2117" s="388"/>
    </row>
    <row r="2118" spans="1:54" s="4" customFormat="1" x14ac:dyDescent="0.3">
      <c r="A2118" s="246"/>
      <c r="B2118" s="246"/>
      <c r="C2118" s="246"/>
      <c r="D2118" s="246"/>
      <c r="E2118" s="246"/>
      <c r="F2118" s="246"/>
      <c r="AC2118" s="389"/>
      <c r="BB2118" s="388"/>
    </row>
    <row r="2119" spans="1:54" s="4" customFormat="1" ht="14.5" thickBot="1" x14ac:dyDescent="0.35">
      <c r="A2119" s="246"/>
      <c r="B2119" s="246"/>
      <c r="C2119" s="246"/>
      <c r="D2119" s="246"/>
      <c r="E2119" s="246"/>
      <c r="F2119" s="246"/>
      <c r="AC2119" s="389"/>
      <c r="AF2119" s="628" t="str">
        <f>CONCATENATE(AH2119,AI2119,AJ2119,AK2119,AL2119,AM2119,AN2119,AO2119,AP2119,AQ2119,AR2119,AS2119,AT2119,AU2119,AV2119,AW2119,AX2119,AY2119,AZ2119,BA2119,BB2119)</f>
        <v>text</v>
      </c>
      <c r="AG2119" s="628"/>
      <c r="AI2119" s="4" t="s">
        <v>4207</v>
      </c>
      <c r="AK2119" s="503"/>
      <c r="BB2119" s="388"/>
    </row>
    <row r="2120" spans="1:54" s="4" customFormat="1" x14ac:dyDescent="0.3">
      <c r="A2120" s="518"/>
      <c r="B2120" s="519"/>
      <c r="C2120" s="519"/>
      <c r="D2120" s="519"/>
      <c r="E2120" s="519"/>
      <c r="F2120" s="520"/>
      <c r="AC2120" s="389"/>
      <c r="BB2120" s="388"/>
    </row>
    <row r="2121" spans="1:54" s="4" customFormat="1" x14ac:dyDescent="0.3">
      <c r="A2121" s="521"/>
      <c r="B2121" s="661" t="s">
        <v>3567</v>
      </c>
      <c r="C2121" s="660" t="s">
        <v>4377</v>
      </c>
      <c r="D2121" s="662" t="s">
        <v>4381</v>
      </c>
      <c r="E2121" s="522"/>
      <c r="F2121" s="523"/>
      <c r="AB2121" s="246" t="s">
        <v>3523</v>
      </c>
      <c r="AC2121" s="389"/>
      <c r="BB2121" s="388"/>
    </row>
    <row r="2122" spans="1:54" s="4" customFormat="1" ht="14.5" thickBot="1" x14ac:dyDescent="0.35">
      <c r="A2122" s="524"/>
      <c r="B2122" s="525"/>
      <c r="C2122" s="525"/>
      <c r="D2122" s="525"/>
      <c r="E2122" s="525"/>
      <c r="F2122" s="526"/>
      <c r="AB2122" s="246" t="s">
        <v>3522</v>
      </c>
      <c r="AC2122" s="389"/>
      <c r="AO2122" s="4">
        <f t="shared" ref="AO2122:AV2122" si="102">AO1845</f>
        <v>10</v>
      </c>
      <c r="AP2122" s="4" t="str">
        <f t="shared" si="102"/>
        <v>d</v>
      </c>
      <c r="AQ2122" s="4">
        <f t="shared" si="102"/>
        <v>11</v>
      </c>
      <c r="AR2122" s="4" t="str">
        <f t="shared" si="102"/>
        <v>f</v>
      </c>
      <c r="AS2122" s="4">
        <f t="shared" si="102"/>
        <v>19</v>
      </c>
      <c r="AT2122" s="4" t="str">
        <f t="shared" si="102"/>
        <v>s</v>
      </c>
      <c r="AU2122" s="4">
        <f t="shared" si="102"/>
        <v>0</v>
      </c>
      <c r="AV2122" s="4" t="str">
        <f t="shared" si="102"/>
        <v>n</v>
      </c>
      <c r="BB2122" s="388"/>
    </row>
    <row r="2123" spans="1:54" s="4" customFormat="1" ht="30" customHeight="1" x14ac:dyDescent="0.3">
      <c r="A2123" s="862" t="s">
        <v>91</v>
      </c>
      <c r="B2123" s="862" t="s">
        <v>3464</v>
      </c>
      <c r="C2123" s="862"/>
      <c r="D2123" s="872" t="s">
        <v>3513</v>
      </c>
      <c r="E2123" s="864"/>
      <c r="F2123" s="864"/>
      <c r="AC2123" s="389"/>
      <c r="BB2123" s="388"/>
    </row>
    <row r="2124" spans="1:54" s="4" customFormat="1" x14ac:dyDescent="0.3">
      <c r="A2124" s="246"/>
      <c r="B2124" s="246"/>
      <c r="C2124" s="246"/>
      <c r="D2124" s="246"/>
      <c r="E2124" s="246"/>
      <c r="F2124" s="246"/>
      <c r="AC2124" s="389"/>
      <c r="AE2124" s="648" t="s">
        <v>4365</v>
      </c>
      <c r="AI2124" s="508" t="str">
        <f>IF(C2126=AE2125,AI2125,IF(C2126=AE2126,AI2126,IF(C2126=AE2127,AI2127,IF(C2126=AE2128,AI2128,AI2129))))</f>
        <v>SELECT A RECIPIENT ABOVE TO SEE THE SUBJECT LINE</v>
      </c>
      <c r="BB2124" s="388"/>
    </row>
    <row r="2125" spans="1:54" s="4" customFormat="1" x14ac:dyDescent="0.3">
      <c r="A2125" s="246"/>
      <c r="B2125" s="246"/>
      <c r="C2125" s="246"/>
      <c r="D2125" s="246"/>
      <c r="E2125" s="246"/>
      <c r="F2125" s="246"/>
      <c r="AC2125" s="627" t="s">
        <v>62</v>
      </c>
      <c r="AE2125" s="4" t="str">
        <f>AX2031</f>
        <v>Steph Turner</v>
      </c>
      <c r="AI2125" s="508" t="str">
        <f>CONCATENATE(AK2125,AL2125,AM2125,AN2125,AO2125)</f>
        <v>Let me introduce you to a new tool to make your job easier</v>
      </c>
      <c r="AK2125" s="4" t="s">
        <v>4373</v>
      </c>
      <c r="AM2125" s="503"/>
      <c r="BB2125" s="388"/>
    </row>
    <row r="2126" spans="1:54" s="4" customFormat="1" ht="14.5" thickBot="1" x14ac:dyDescent="0.35">
      <c r="A2126" s="246"/>
      <c r="B2126" s="477" t="s">
        <v>1408</v>
      </c>
      <c r="C2126" s="1116" t="s">
        <v>3674</v>
      </c>
      <c r="D2126" s="1117"/>
      <c r="E2126" s="1117"/>
      <c r="F2126" s="246"/>
      <c r="AC2126" s="627" t="s">
        <v>64</v>
      </c>
      <c r="AE2126" s="4" t="str">
        <f>AX2032</f>
        <v>Proxy</v>
      </c>
      <c r="AI2126" s="508" t="str">
        <f>CONCATENATE(AK2126,AL2126,AM2126,AN2126,AO2126)</f>
        <v>We estimated Steph's innocence with a 86% certainty, will you?</v>
      </c>
      <c r="AK2126" s="4" t="s">
        <v>4369</v>
      </c>
      <c r="AL2126" s="4" t="str">
        <f>AN202</f>
        <v>Steph</v>
      </c>
      <c r="AM2126" s="503" t="s">
        <v>4370</v>
      </c>
      <c r="AN2126" s="629">
        <f>AI1984</f>
        <v>86</v>
      </c>
      <c r="AO2126" s="503" t="s">
        <v>4371</v>
      </c>
      <c r="BB2126" s="388"/>
    </row>
    <row r="2127" spans="1:54" s="4" customFormat="1" ht="14.5" thickBot="1" x14ac:dyDescent="0.35">
      <c r="A2127" s="246"/>
      <c r="B2127" s="477" t="s">
        <v>1409</v>
      </c>
      <c r="C2127" s="531" t="s">
        <v>5478</v>
      </c>
      <c r="D2127" s="479"/>
      <c r="E2127" s="479"/>
      <c r="F2127" s="246"/>
      <c r="AC2127" s="627" t="s">
        <v>4055</v>
      </c>
      <c r="AE2127" s="4" t="str">
        <f>AX2033</f>
        <v>Steph &amp; Proxy</v>
      </c>
      <c r="AI2127" s="508" t="str">
        <f>CONCATENATE(AK2127,AL2127,AM2127,AN2127,AO2127)</f>
        <v>We can help you validate Steph's innocence</v>
      </c>
      <c r="AK2127" s="4" t="s">
        <v>4368</v>
      </c>
      <c r="AL2127" s="4" t="str">
        <f>AN202</f>
        <v>Steph</v>
      </c>
      <c r="AM2127" s="503" t="s">
        <v>4367</v>
      </c>
      <c r="BB2127" s="388"/>
    </row>
    <row r="2128" spans="1:54" s="4" customFormat="1" x14ac:dyDescent="0.3">
      <c r="A2128" s="246"/>
      <c r="B2128" s="477" t="s">
        <v>1410</v>
      </c>
      <c r="C2128" s="527">
        <f ca="1">TODAY()</f>
        <v>45774</v>
      </c>
      <c r="D2128" s="479"/>
      <c r="E2128" s="479"/>
      <c r="F2128" s="246"/>
      <c r="AC2128" s="627" t="s">
        <v>3288</v>
      </c>
      <c r="AE2128" s="4" t="str">
        <f>AX2034</f>
        <v/>
      </c>
      <c r="AI2128" s="508" t="str">
        <f>CONCATENATE(AK2128,AL2128,AM2128,AN2128,AO2128)</f>
        <v>Let us help you find the resources to keep pace with the need</v>
      </c>
      <c r="AK2128" s="4" t="s">
        <v>4372</v>
      </c>
      <c r="BB2128" s="388"/>
    </row>
    <row r="2129" spans="1:84" s="4" customFormat="1" x14ac:dyDescent="0.3">
      <c r="A2129" s="246"/>
      <c r="B2129" s="477" t="s">
        <v>1411</v>
      </c>
      <c r="C2129" s="943" t="s">
        <v>5482</v>
      </c>
      <c r="D2129" s="944"/>
      <c r="E2129" s="944"/>
      <c r="F2129" s="246"/>
      <c r="AC2129" s="389"/>
      <c r="AI2129" s="4" t="s">
        <v>4273</v>
      </c>
      <c r="BB2129" s="388"/>
    </row>
    <row r="2130" spans="1:84" s="4" customFormat="1" x14ac:dyDescent="0.3">
      <c r="A2130" s="246"/>
      <c r="B2130" s="246"/>
      <c r="C2130" s="246"/>
      <c r="D2130" s="246"/>
      <c r="E2130" s="246"/>
      <c r="F2130" s="246"/>
      <c r="AC2130" s="389"/>
      <c r="BB2130" s="388"/>
    </row>
    <row r="2131" spans="1:84" s="4" customFormat="1" x14ac:dyDescent="0.3">
      <c r="A2131" s="246"/>
      <c r="B2131" s="1047" t="str">
        <f>IF(C2129="","",AC2134)</f>
        <v>We ran the numbers for the innocence movement and it doesn't look good. A handful of lawyers pour hours and hours through a choice number of innocence claims. With an estimated range of 190 to 5,860 in a prison population of 38,053 of likely innocent prisoners in Michigan alone, Steph Turner wonders will you ever get to his compelling claim of innocence?</v>
      </c>
      <c r="C2131" s="1047"/>
      <c r="D2131" s="1047"/>
      <c r="E2131" s="1047"/>
      <c r="F2131" s="246"/>
      <c r="AC2131" s="389"/>
      <c r="BB2131" s="388"/>
    </row>
    <row r="2132" spans="1:84" s="4" customFormat="1" x14ac:dyDescent="0.3">
      <c r="A2132" s="246"/>
      <c r="B2132" s="1047"/>
      <c r="C2132" s="1047"/>
      <c r="D2132" s="1047"/>
      <c r="E2132" s="1047"/>
      <c r="F2132" s="246"/>
      <c r="AC2132" s="389"/>
      <c r="BB2132" s="388"/>
    </row>
    <row r="2133" spans="1:84" s="4" customFormat="1" x14ac:dyDescent="0.3">
      <c r="A2133" s="246"/>
      <c r="B2133" s="1047"/>
      <c r="C2133" s="1047"/>
      <c r="D2133" s="1047"/>
      <c r="E2133" s="1047"/>
      <c r="F2133" s="246"/>
      <c r="AC2133" s="389"/>
      <c r="BB2133" s="388"/>
    </row>
    <row r="2134" spans="1:84" s="4" customFormat="1" x14ac:dyDescent="0.3">
      <c r="A2134" s="246"/>
      <c r="B2134" s="1047"/>
      <c r="C2134" s="1047"/>
      <c r="D2134" s="1047"/>
      <c r="E2134" s="1047"/>
      <c r="F2134" s="246"/>
      <c r="AC2134" s="632" t="str">
        <f>IF($B$1988=$AQ$1983,AF2136,IF($B$1988=$AQ$1984,AF2137,IF($B$1988=$AQ$1985,AF2138,IF($B$1988=$AQ$1986,AF2139,))))</f>
        <v>We ran the numbers for the innocence movement and it doesn't look good. A handful of lawyers pour hours and hours through a choice number of innocence claims. With an estimated range of 190 to 5,860 in a prison population of 38,053 of likely innocent prisoners in Michigan alone, Steph Turner wonders will you ever get to his compelling claim of innocence?</v>
      </c>
      <c r="BB2134" s="388"/>
    </row>
    <row r="2135" spans="1:84" s="4" customFormat="1" x14ac:dyDescent="0.3">
      <c r="A2135" s="246"/>
      <c r="B2135" s="1047"/>
      <c r="C2135" s="1047"/>
      <c r="D2135" s="1047"/>
      <c r="E2135" s="1047"/>
      <c r="F2135" s="246"/>
      <c r="AF2135" s="508">
        <f>IF($B$1988="",AG2135,AT$1994)</f>
        <v>1</v>
      </c>
      <c r="AG2135" s="4" t="s">
        <v>3602</v>
      </c>
      <c r="BB2135" s="388"/>
    </row>
    <row r="2136" spans="1:84" s="4" customFormat="1" ht="14.5" x14ac:dyDescent="0.35">
      <c r="A2136" s="246"/>
      <c r="B2136" s="1047"/>
      <c r="C2136" s="1047"/>
      <c r="D2136" s="1047"/>
      <c r="E2136" s="1047"/>
      <c r="F2136" s="246"/>
      <c r="AC2136" s="627" t="s">
        <v>62</v>
      </c>
      <c r="AF2136" s="628" t="str">
        <f>CONCATENATE(AH2136,AI2136,AJ2136,AK2136,AL2136,AM2136,AN2136,AO2136,AP2136,AQ2136,AR2136,AS2136,AT2136,AU2136,AV2136,AW2136,AX2136,AY2136,AZ2136,BA2136,BB2136)</f>
        <v>We ran the numbers for the innocence movement and it doesn't look good. A handful of lawyers pour hours and hours through a choice number of innocence claims. With an estimated range of 190 to 5,860 in a prison population of 38,053 of likely innocent prisoners in Michigan alone, Steph Turner wonders will you ever get to his compelling claim of innocence?</v>
      </c>
      <c r="AI2136" s="4" t="s">
        <v>4436</v>
      </c>
      <c r="AJ2136" s="4" t="str">
        <f>CO3214</f>
        <v>190 to 5,860 in a prison population of 38,053</v>
      </c>
      <c r="AK2136" s="69" t="s">
        <v>4438</v>
      </c>
      <c r="AM2136" s="4" t="str">
        <f>B265</f>
        <v>Michigan</v>
      </c>
      <c r="AN2136" s="4" t="s">
        <v>4437</v>
      </c>
      <c r="AO2136" s="4" t="str">
        <f>BG202</f>
        <v>Steph Turner</v>
      </c>
      <c r="AP2136" s="69" t="s">
        <v>4439</v>
      </c>
      <c r="AQ2136" s="4" t="str">
        <f>BJ206</f>
        <v>his</v>
      </c>
      <c r="AR2136" s="69" t="s">
        <v>4440</v>
      </c>
      <c r="AV2136" s="503"/>
      <c r="AW2136" s="629"/>
      <c r="AX2136" s="629"/>
      <c r="AY2136" s="503"/>
      <c r="BB2136" s="388"/>
      <c r="CF2136" s="4" t="s">
        <v>3518</v>
      </c>
    </row>
    <row r="2137" spans="1:84" s="4" customFormat="1" x14ac:dyDescent="0.3">
      <c r="A2137" s="246"/>
      <c r="B2137" s="1047" t="str">
        <f>IF(C2129="","",AC2140)</f>
        <v>Don't get me wrong, we're thankful for what you do. But why must we rely exclusively on the same broken adversarial legal process that keeps making these egregious errors? Stephnow has an alternative that can either complement or compete with your noble yet limited efforts. Called the Estimated Innocence Form, hecan now demonstrate hisinnocence with 86% certainty.</v>
      </c>
      <c r="C2137" s="1047"/>
      <c r="D2137" s="1047"/>
      <c r="E2137" s="1047"/>
      <c r="F2137" s="246"/>
      <c r="AC2137" s="627" t="s">
        <v>64</v>
      </c>
      <c r="AF2137" s="628" t="str">
        <f>CONCATENATE(AH2137,AI2137,AJ2137,AK2137,AL2137,AM2137,AN2137,AO2137,AP2137,AQ2137,AR2137,AS2137,AT2137,AU2137,AV2137,AW2137,AX2137,AY2137,AZ2137,BA2137,BB2137)</f>
        <v/>
      </c>
      <c r="AZ2137" s="629"/>
      <c r="BB2137" s="388"/>
    </row>
    <row r="2138" spans="1:84" s="4" customFormat="1" x14ac:dyDescent="0.3">
      <c r="A2138" s="246"/>
      <c r="B2138" s="1047"/>
      <c r="C2138" s="1047"/>
      <c r="D2138" s="1047"/>
      <c r="E2138" s="1047"/>
      <c r="F2138" s="246"/>
      <c r="AC2138" s="627" t="s">
        <v>4055</v>
      </c>
      <c r="AE2138" s="503" t="str">
        <f>IF($D$1768=$AQ$1768,AF2138,AG2138)</f>
        <v>REQUIRES PASSKEY</v>
      </c>
      <c r="AF2138" s="628" t="str">
        <f>CONCATENATE(AH2138,AI2138,AJ2138,AK2138,AL2138,AM2138,AN2138,AO2138,AP2138,AQ2138,AR2138,AS2138,AT2138,AU2138,AW2138,AX2138,AY2138,AZ2138,BA2138,BB2138)</f>
        <v/>
      </c>
      <c r="AG2138" s="659" t="s">
        <v>4362</v>
      </c>
      <c r="BA2138" s="388"/>
      <c r="CF2138" s="4" t="s">
        <v>4463</v>
      </c>
    </row>
    <row r="2139" spans="1:84" s="4" customFormat="1" x14ac:dyDescent="0.3">
      <c r="A2139" s="246"/>
      <c r="B2139" s="1047"/>
      <c r="C2139" s="1047"/>
      <c r="D2139" s="1047"/>
      <c r="E2139" s="1047"/>
      <c r="F2139" s="246"/>
      <c r="AC2139" s="627" t="s">
        <v>3288</v>
      </c>
      <c r="AE2139" s="503" t="str">
        <f>IF($D$1768=$AQ$1768,AF2139,AG2139)</f>
        <v>REQUIRES PASSKEY</v>
      </c>
      <c r="AF2139" s="628" t="str">
        <f>CONCATENATE(AH2139,AI2139,AJ2139,AK2139,AL2139,AM2139,AN2139,AO2139,AP2139,AQ2139,AR2139,AS2139,AT2139,AU2139,AW2139,AX2139,AY2139,AZ2139,BA2139,BB2139)</f>
        <v/>
      </c>
      <c r="AG2139" s="659" t="s">
        <v>4362</v>
      </c>
      <c r="BA2139" s="388"/>
    </row>
    <row r="2140" spans="1:84" s="4" customFormat="1" x14ac:dyDescent="0.3">
      <c r="A2140" s="246"/>
      <c r="B2140" s="1047"/>
      <c r="C2140" s="1047"/>
      <c r="D2140" s="1047"/>
      <c r="E2140" s="1047"/>
      <c r="F2140" s="246"/>
      <c r="AC2140" s="632" t="str">
        <f>IF($B$1988=$AQ$1983,AF2142,IF($B$1988=$AQ$1984,AF2143,IF($B$1988=$AQ$1985,AF2144,IF($B$1988=$AQ$1986,AF2145,))))</f>
        <v>Don't get me wrong, we're thankful for what you do. But why must we rely exclusively on the same broken adversarial legal process that keeps making these egregious errors? Stephnow has an alternative that can either complement or compete with your noble yet limited efforts. Called the Estimated Innocence Form, hecan now demonstrate hisinnocence with 86% certainty.</v>
      </c>
      <c r="BB2140" s="388"/>
    </row>
    <row r="2141" spans="1:84" s="4" customFormat="1" x14ac:dyDescent="0.3">
      <c r="A2141" s="246"/>
      <c r="B2141" s="1047"/>
      <c r="C2141" s="1047"/>
      <c r="D2141" s="1047"/>
      <c r="E2141" s="1047"/>
      <c r="F2141" s="246"/>
      <c r="AC2141" s="627"/>
      <c r="AF2141" s="508">
        <f>IF($B$1988="",AG2141,AT$1994)</f>
        <v>1</v>
      </c>
      <c r="AG2141" s="4" t="s">
        <v>3603</v>
      </c>
      <c r="BB2141" s="388"/>
    </row>
    <row r="2142" spans="1:84" s="4" customFormat="1" x14ac:dyDescent="0.3">
      <c r="A2142" s="246"/>
      <c r="B2142" s="1047"/>
      <c r="C2142" s="1047"/>
      <c r="D2142" s="1047"/>
      <c r="E2142" s="1047"/>
      <c r="F2142" s="246"/>
      <c r="AC2142" s="627" t="s">
        <v>62</v>
      </c>
      <c r="AF2142" s="628" t="str">
        <f>CONCATENATE(AH2142,AI2142,AJ2142,AK2142,AL2142,AM2142,AN2142,AO2142,AP2142,AQ2142,AR2142,AS2142,AT2142,AU2142,AV2142,AW2142,AX2142,AY2142,AZ2142,BA2142,BB2142)</f>
        <v>Don't get me wrong, we're thankful for what you do. But why must we rely exclusively on the same broken adversarial legal process that keeps making these egregious errors? Stephnow has an alternative that can either complement or compete with your noble yet limited efforts. Called the Estimated Innocence Form, hecan now demonstrate hisinnocence with 86% certainty.</v>
      </c>
      <c r="AG2142" s="628"/>
      <c r="AI2142" s="4" t="s">
        <v>4441</v>
      </c>
      <c r="AJ2142" s="4" t="str">
        <f>AN202</f>
        <v>Steph</v>
      </c>
      <c r="AK2142" s="503" t="s">
        <v>4442</v>
      </c>
      <c r="AL2142" s="4" t="str">
        <f>BH206</f>
        <v>he</v>
      </c>
      <c r="AM2142" s="4" t="s">
        <v>4443</v>
      </c>
      <c r="AN2142" s="4" t="str">
        <f>BJ206</f>
        <v>his</v>
      </c>
      <c r="AO2142" s="4" t="s">
        <v>4444</v>
      </c>
      <c r="AP2142" s="629">
        <f>AI1984</f>
        <v>86</v>
      </c>
      <c r="AQ2142" s="503" t="s">
        <v>4445</v>
      </c>
      <c r="AR2142" s="52"/>
      <c r="AU2142" s="503"/>
      <c r="AV2142" s="503"/>
      <c r="AY2142" s="503"/>
      <c r="BB2142" s="388"/>
    </row>
    <row r="2143" spans="1:84" s="4" customFormat="1" x14ac:dyDescent="0.3">
      <c r="A2143" s="246"/>
      <c r="B2143" s="1047" t="str">
        <f>IF(C2129="","",AC2146)</f>
        <v>This tool compares the details to Steph's claim to those already exonerated. The more his case mirrors those exonerated, the higher the score of estimated innocence. This "EIF" processes the nuance of hisinnocence claim more thoroughly than your typical questionairre for claimnants.</v>
      </c>
      <c r="C2143" s="1047"/>
      <c r="D2143" s="1047"/>
      <c r="E2143" s="1047"/>
      <c r="F2143" s="246"/>
      <c r="AC2143" s="627" t="s">
        <v>64</v>
      </c>
      <c r="AF2143" s="628" t="str">
        <f>CONCATENATE(AH2143,AI2143,AJ2143,AK2143,AL2143,AM2143,AN2143,AO2143,AP2143,AQ2143,AR2143,AS2143,AT2143,AU2143,AV2143,AW2143,AX2143,AY2143,AZ2143,BA2143,BB2143)</f>
        <v/>
      </c>
      <c r="AG2143" s="628"/>
      <c r="BB2143" s="388"/>
    </row>
    <row r="2144" spans="1:84" s="4" customFormat="1" x14ac:dyDescent="0.3">
      <c r="A2144" s="246"/>
      <c r="B2144" s="1047"/>
      <c r="C2144" s="1047"/>
      <c r="D2144" s="1047"/>
      <c r="E2144" s="1047"/>
      <c r="F2144" s="246"/>
      <c r="AC2144" s="627" t="s">
        <v>4055</v>
      </c>
      <c r="AE2144" s="503" t="str">
        <f>IF($D$1768=$AQ$1768,AF2144,AG2144)</f>
        <v>REQUIRES PASSKEY</v>
      </c>
      <c r="AF2144" s="628" t="str">
        <f>CONCATENATE(AH2144,AI2144,AJ2144,AK2144,AL2144,AM2144,AN2144,AO2144,AP2144,AQ2144,AR2144,AS2144,AT2144,AU2144,AW2144,AX2144,AY2144,AZ2144,BA2144,BB2144)</f>
        <v xml:space="preserve">Innocence projects cannot review every viable innocence claim. </v>
      </c>
      <c r="AG2144" s="659" t="s">
        <v>4362</v>
      </c>
      <c r="AI2144" s="4" t="s">
        <v>4325</v>
      </c>
      <c r="BA2144" s="388"/>
    </row>
    <row r="2145" spans="1:54" s="4" customFormat="1" x14ac:dyDescent="0.3">
      <c r="A2145" s="246"/>
      <c r="B2145" s="1047"/>
      <c r="C2145" s="1047"/>
      <c r="D2145" s="1047"/>
      <c r="E2145" s="1047"/>
      <c r="F2145" s="246"/>
      <c r="AC2145" s="627" t="s">
        <v>3288</v>
      </c>
      <c r="AE2145" s="503" t="str">
        <f>IF($D$1768=$AQ$1768,AF2145,AG2145)</f>
        <v>REQUIRES PASSKEY</v>
      </c>
      <c r="AF2145" s="628" t="str">
        <f>CONCATENATE(AH2145,AI2145,AJ2145,AK2145,AL2145,AM2145,AN2145,AO2145,AP2145,AQ2145,AR2145,AS2145,AT2145,AU2145,AW2145,AX2145,AY2145,AZ2145,BA2145,BB2145)</f>
        <v/>
      </c>
      <c r="AG2145" s="659" t="s">
        <v>4362</v>
      </c>
      <c r="BA2145" s="388"/>
    </row>
    <row r="2146" spans="1:54" s="4" customFormat="1" x14ac:dyDescent="0.3">
      <c r="A2146" s="246"/>
      <c r="B2146" s="1047"/>
      <c r="C2146" s="1047"/>
      <c r="D2146" s="1047"/>
      <c r="E2146" s="1047"/>
      <c r="F2146" s="246"/>
      <c r="AC2146" s="632" t="str">
        <f>IF($B$1988=$AQ$1983,AF2148,IF($B$1988=$AQ$1984,AF2149,IF($B$1988=$AQ$1985,AF2150,IF($B$1988=$AQ$1986,AF2151,))))</f>
        <v>This tool compares the details to Steph's claim to those already exonerated. The more his case mirrors those exonerated, the higher the score of estimated innocence. This "EIF" processes the nuance of hisinnocence claim more thoroughly than your typical questionairre for claimnants.</v>
      </c>
      <c r="BB2146" s="388"/>
    </row>
    <row r="2147" spans="1:54" s="4" customFormat="1" x14ac:dyDescent="0.3">
      <c r="A2147" s="246"/>
      <c r="B2147" s="1047"/>
      <c r="C2147" s="1047"/>
      <c r="D2147" s="1047"/>
      <c r="E2147" s="1047"/>
      <c r="F2147" s="246"/>
      <c r="AC2147" s="627"/>
      <c r="AF2147" s="508">
        <f>IF($B$1988="",AG2147,AT$1994)</f>
        <v>1</v>
      </c>
      <c r="AG2147" s="4" t="s">
        <v>3601</v>
      </c>
      <c r="BB2147" s="388"/>
    </row>
    <row r="2148" spans="1:54" s="4" customFormat="1" ht="14.5" x14ac:dyDescent="0.35">
      <c r="A2148" s="246"/>
      <c r="B2148" s="1047"/>
      <c r="C2148" s="1047"/>
      <c r="D2148" s="1047"/>
      <c r="E2148" s="1047"/>
      <c r="F2148" s="246"/>
      <c r="AC2148" s="627" t="s">
        <v>62</v>
      </c>
      <c r="AF2148" s="628" t="str">
        <f>CONCATENATE(AH2148,AI2148,AJ2148,AK2148,AL2148,AM2148,AN2148,AO2148,AP2148,AQ2148,AR2148,AS2148,AT2148,AU2148,AV2148,AW2148,AX2148,AY2148,AZ2148,BA2148,BB2148)</f>
        <v>This tool compares the details to Steph's claim to those already exonerated. The more his case mirrors those exonerated, the higher the score of estimated innocence. This "EIF" processes the nuance of hisinnocence claim more thoroughly than your typical questionairre for claimnants.</v>
      </c>
      <c r="AG2148" s="628"/>
      <c r="AI2148" s="4" t="s">
        <v>4446</v>
      </c>
      <c r="AJ2148" s="4" t="str">
        <f>AN202</f>
        <v>Steph</v>
      </c>
      <c r="AK2148" s="624" t="s">
        <v>4447</v>
      </c>
      <c r="AL2148" s="503" t="str">
        <f>BJ206</f>
        <v>his</v>
      </c>
      <c r="AM2148" s="69" t="s">
        <v>4448</v>
      </c>
      <c r="AO2148" s="4" t="str">
        <f>BJ206</f>
        <v>his</v>
      </c>
      <c r="AP2148" s="69" t="s">
        <v>4449</v>
      </c>
      <c r="AY2148" s="503" t="s">
        <v>885</v>
      </c>
      <c r="BB2148" s="388"/>
    </row>
    <row r="2149" spans="1:54" s="4" customFormat="1" x14ac:dyDescent="0.3">
      <c r="A2149" s="246"/>
      <c r="B2149" s="1047" t="str">
        <f>IF(C2129="","",AC2152)</f>
        <v>Steph's chief ally, Proxy, is assembling a team of volunteers to go through his case documents. Together, they will try to link as much of his claim as possible to available documentation. After they lean on those who could provide those documents.</v>
      </c>
      <c r="C2149" s="1047"/>
      <c r="D2149" s="1047"/>
      <c r="E2149" s="1047"/>
      <c r="F2149" s="246"/>
      <c r="AC2149" s="627" t="s">
        <v>64</v>
      </c>
      <c r="AF2149" s="628" t="str">
        <f>CONCATENATE(AH2149,AI2149,AJ2149,AK2149,AL2149,AM2149,AN2149,AO2149,AP2149,AQ2149,AR2149,AS2149,AT2149,AU2149,AV2149,AW2149,AX2149,AY2149,AZ2149,BA2149,BB2149)</f>
        <v/>
      </c>
      <c r="AG2149" s="628"/>
      <c r="BB2149" s="388"/>
    </row>
    <row r="2150" spans="1:54" s="4" customFormat="1" x14ac:dyDescent="0.3">
      <c r="A2150" s="246"/>
      <c r="B2150" s="1047"/>
      <c r="C2150" s="1047"/>
      <c r="D2150" s="1047"/>
      <c r="E2150" s="1047"/>
      <c r="F2150" s="246"/>
      <c r="AC2150" s="627" t="s">
        <v>4055</v>
      </c>
      <c r="AE2150" s="503" t="str">
        <f>IF($D$1768=$AQ$1768,AF2150,AG2150)</f>
        <v>REQUIRES PASSKEY</v>
      </c>
      <c r="AF2150" s="628" t="str">
        <f>CONCATENATE(AH2150,AI2150,AJ2150,AK2150,AL2150,AM2150,AN2150,AO2150,AP2150,AQ2150,AR2150,AS2150,AT2150,AU2150,AW2150,AX2150,AY2150,AZ2150,BA2150,BB2150)</f>
        <v/>
      </c>
      <c r="AG2150" s="659" t="s">
        <v>4362</v>
      </c>
      <c r="BA2150" s="388"/>
    </row>
    <row r="2151" spans="1:54" s="4" customFormat="1" x14ac:dyDescent="0.3">
      <c r="A2151" s="246"/>
      <c r="B2151" s="1047"/>
      <c r="C2151" s="1047"/>
      <c r="D2151" s="1047"/>
      <c r="E2151" s="1047"/>
      <c r="F2151" s="246"/>
      <c r="AC2151" s="627" t="s">
        <v>3288</v>
      </c>
      <c r="AE2151" s="503" t="str">
        <f>IF($D$1768=$AQ$1768,AF2151,AG2151)</f>
        <v>REQUIRES PASSKEY</v>
      </c>
      <c r="AF2151" s="628" t="str">
        <f>CONCATENATE(AH2151,AI2151,AJ2151,AK2151,AL2151,AM2151,AN2151,AO2151,AP2151,AQ2151,AR2151,AS2151,AT2151,AU2151,AW2151,AX2151,AY2151,AZ2151,BA2151,BB2151)</f>
        <v/>
      </c>
      <c r="AG2151" s="659" t="s">
        <v>4362</v>
      </c>
      <c r="BA2151" s="388"/>
    </row>
    <row r="2152" spans="1:54" s="4" customFormat="1" x14ac:dyDescent="0.3">
      <c r="A2152" s="246"/>
      <c r="B2152" s="1047"/>
      <c r="C2152" s="1047"/>
      <c r="D2152" s="1047"/>
      <c r="E2152" s="1047"/>
      <c r="F2152" s="246"/>
      <c r="AC2152" s="632" t="str">
        <f>IF($B$1988=$AQ$1983,AF2154,IF($B$1988=$AQ$1984,AF2155,IF($B$1988=$AQ$1985,AF2156,IF($B$1988=$AQ$1986,AF2157,))))</f>
        <v>Steph's chief ally, Proxy, is assembling a team of volunteers to go through his case documents. Together, they will try to link as much of his claim as possible to available documentation. After they lean on those who could provide those documents.</v>
      </c>
      <c r="BB2152" s="388"/>
    </row>
    <row r="2153" spans="1:54" s="4" customFormat="1" x14ac:dyDescent="0.3">
      <c r="A2153" s="246"/>
      <c r="B2153" s="1047"/>
      <c r="C2153" s="1047"/>
      <c r="D2153" s="1047"/>
      <c r="E2153" s="1047"/>
      <c r="F2153" s="246"/>
      <c r="AC2153" s="627"/>
      <c r="AF2153" s="508">
        <f>IF($B$1988="",AG2153,AT$1994)</f>
        <v>1</v>
      </c>
      <c r="AG2153" s="4" t="s">
        <v>3605</v>
      </c>
      <c r="BB2153" s="388"/>
    </row>
    <row r="2154" spans="1:54" s="4" customFormat="1" ht="14.5" x14ac:dyDescent="0.35">
      <c r="A2154" s="246"/>
      <c r="B2154" s="1047"/>
      <c r="C2154" s="1047"/>
      <c r="D2154" s="1047"/>
      <c r="E2154" s="1047"/>
      <c r="F2154" s="246"/>
      <c r="AC2154" s="627" t="s">
        <v>62</v>
      </c>
      <c r="AF2154" s="628" t="str">
        <f>CONCATENATE(AH2154,AI2154,AJ2154,AK2154,AL2154,AM2154,AN2154,AO2154,AP2154,AQ2154,AR2154,AS2154,AT2154,AU2154,AV2154,AW2154,AX2154,AY2154,AZ2154,BA2154,BB2154)</f>
        <v>Steph's chief ally, Proxy, is assembling a team of volunteers to go through his case documents. Together, they will try to link as much of his claim as possible to available documentation. After they lean on those who could provide those documents.</v>
      </c>
      <c r="AG2154" s="628"/>
      <c r="AI2154" s="4" t="str">
        <f>AN202</f>
        <v>Steph</v>
      </c>
      <c r="AJ2154" s="503" t="s">
        <v>5183</v>
      </c>
      <c r="AK2154" s="4" t="str">
        <f>BG212</f>
        <v>Proxy</v>
      </c>
      <c r="AL2154" s="4" t="s">
        <v>4450</v>
      </c>
      <c r="AM2154" s="4" t="str">
        <f>BJ206</f>
        <v>his</v>
      </c>
      <c r="AN2154" s="69" t="s">
        <v>5185</v>
      </c>
      <c r="AO2154" s="4" t="str">
        <f>BJ206</f>
        <v>his</v>
      </c>
      <c r="AP2154" s="69" t="s">
        <v>5184</v>
      </c>
      <c r="BB2154" s="388"/>
    </row>
    <row r="2155" spans="1:54" s="4" customFormat="1" x14ac:dyDescent="0.3">
      <c r="A2155" s="246"/>
      <c r="B2155" s="1047" t="str">
        <f>IF(C2129="","",AC2159)</f>
        <v>We invite you to engage us during this pioneering approach toward exoneration. During this populist era, we see it's time for us to take up more matters in our own hands. If the legal-judicial process cannot be trusted to correct its own errors, we will step up.  See the enclosed Conviction Summary Report to see what we mean. Then let's talk about getting Steph the overdue justice he deserves. I look forward to your reply, and working on this together. Thank you.</v>
      </c>
      <c r="C2155" s="1047"/>
      <c r="D2155" s="1047"/>
      <c r="E2155" s="1047"/>
      <c r="F2155" s="246"/>
      <c r="AC2155" s="627" t="s">
        <v>64</v>
      </c>
      <c r="AF2155" s="628" t="str">
        <f>CONCATENATE(AH2155,AI2155,AJ2155,AK2155,AL2155,AM2155,AN2155,AO2155,AP2155,AQ2155,AR2155,AS2155,AT2155,AU2155,AV2155,AW2155,AX2155,AY2155,AZ2155,BA2155,BB2155)</f>
        <v/>
      </c>
      <c r="AG2155" s="628" t="str">
        <f>CONCATENATE(AH2155,AI2155,AJ2155,AK2155,AL2155,AM2155,AN2155,AO2155,AP2155,AQ2155,AR2155,AS2156,AT2156,AU2156,AW2156,AX2156,AY2156,AZ2156,BA2156,BB2156)</f>
        <v/>
      </c>
      <c r="BB2155" s="388"/>
    </row>
    <row r="2156" spans="1:54" s="4" customFormat="1" x14ac:dyDescent="0.3">
      <c r="A2156" s="246"/>
      <c r="B2156" s="1047"/>
      <c r="C2156" s="1047"/>
      <c r="D2156" s="1047"/>
      <c r="E2156" s="1047"/>
      <c r="F2156" s="246"/>
      <c r="AC2156" s="627" t="s">
        <v>4055</v>
      </c>
      <c r="AE2156" s="503" t="str">
        <f>IF($D$1768=$AQ$1768,AF2156,AG2156)</f>
        <v>REQUIRES PASSKEY</v>
      </c>
      <c r="AF2156" s="628" t="str">
        <f>CONCATENATE(AH2156,AI2156,AJ2156,AK2156,AL2156,AM2156,AN2156,AO2156,AP2156,AQ2156,AR2156,AS2156,AT2156,AU2156,AW2156,AX2156,AY2156,AZ2156,BA2156,BB2156)</f>
        <v/>
      </c>
      <c r="AG2156" s="659" t="s">
        <v>4362</v>
      </c>
      <c r="BA2156" s="388"/>
    </row>
    <row r="2157" spans="1:54" s="4" customFormat="1" x14ac:dyDescent="0.3">
      <c r="A2157" s="246"/>
      <c r="B2157" s="1047"/>
      <c r="C2157" s="1047"/>
      <c r="D2157" s="1047"/>
      <c r="E2157" s="1047"/>
      <c r="F2157" s="246"/>
      <c r="AC2157" s="627" t="s">
        <v>3288</v>
      </c>
      <c r="AE2157" s="503" t="str">
        <f>IF($D$1768=$AQ$1768,AF2157,AG2157)</f>
        <v>REQUIRES PASSKEY</v>
      </c>
      <c r="AF2157" s="628" t="str">
        <f>CONCATENATE(AH2157,AI2157,AJ2157,AK2157,AL2157,AM2157,AN2157,AO2157,AP2157,AQ2157,AR2157,AS2157,AT2157,AU2157,AW2157,AX2157,AY2157,AZ2157,BA2157,BB2157)</f>
        <v/>
      </c>
      <c r="AG2157" s="659" t="s">
        <v>4362</v>
      </c>
      <c r="BA2157" s="388"/>
    </row>
    <row r="2158" spans="1:54" s="4" customFormat="1" x14ac:dyDescent="0.3">
      <c r="A2158" s="246"/>
      <c r="B2158" s="1047"/>
      <c r="C2158" s="1047"/>
      <c r="D2158" s="1047"/>
      <c r="E2158" s="1047"/>
      <c r="F2158" s="246"/>
      <c r="AC2158" s="389"/>
      <c r="BB2158" s="388"/>
    </row>
    <row r="2159" spans="1:54" s="4" customFormat="1" x14ac:dyDescent="0.3">
      <c r="A2159" s="246"/>
      <c r="B2159" s="1047"/>
      <c r="C2159" s="1047"/>
      <c r="D2159" s="1047"/>
      <c r="E2159" s="1047"/>
      <c r="F2159" s="246"/>
      <c r="AC2159" s="632" t="str">
        <f>IF($B$1988=$AQ$1983,AF2161,IF($B$1988=$AQ$1984,AF2162,IF($B$1988=$AQ$1985,AF2163,IF($B$1988=$AQ$1986,AF2164,))))</f>
        <v>We invite you to engage us during this pioneering approach toward exoneration. During this populist era, we see it's time for us to take up more matters in our own hands. If the legal-judicial process cannot be trusted to correct its own errors, we will step up.  See the enclosed Conviction Summary Report to see what we mean. Then let's talk about getting Steph the overdue justice he deserves. I look forward to your reply, and working on this together. Thank you.</v>
      </c>
      <c r="BB2159" s="388"/>
    </row>
    <row r="2160" spans="1:54" s="4" customFormat="1" x14ac:dyDescent="0.3">
      <c r="A2160" s="246"/>
      <c r="B2160" s="1047"/>
      <c r="C2160" s="1047"/>
      <c r="D2160" s="1047"/>
      <c r="E2160" s="1047"/>
      <c r="F2160" s="246"/>
      <c r="AC2160" s="627"/>
      <c r="AF2160" s="508">
        <f>IF($B$1988="",AG2160,AT$1994)</f>
        <v>1</v>
      </c>
      <c r="AG2160" s="4" t="s">
        <v>4366</v>
      </c>
      <c r="BB2160" s="388"/>
    </row>
    <row r="2161" spans="1:77" s="4" customFormat="1" x14ac:dyDescent="0.3">
      <c r="A2161" s="246"/>
      <c r="B2161" s="246"/>
      <c r="C2161" s="246"/>
      <c r="D2161" s="246"/>
      <c r="E2161" s="246"/>
      <c r="F2161" s="246"/>
      <c r="AC2161" s="627" t="s">
        <v>62</v>
      </c>
      <c r="AF2161" s="628" t="str">
        <f>CONCATENATE(AH2161,AI2161,AJ2161,AK2161,AL2161,AM2161,AN2161,AO2161,AP2161,AQ2161,AR2161,AS2161,AT2161,AU2161,AV2161,AW2161,AX2161,AY2161,AZ2161,BA2161,BB2161)</f>
        <v>We invite you to engage us during this pioneering approach toward exoneration. During this populist era, we see it's time for us to take up more matters in our own hands. If the legal-judicial process cannot be trusted to correct its own errors, we will step up.  See the enclosed Conviction Summary Report to see what we mean. Then let's talk about getting Steph the overdue justice he deserves. I look forward to your reply, and working on this together. Thank you.</v>
      </c>
      <c r="AG2161" s="628"/>
      <c r="AI2161" s="4" t="s">
        <v>4451</v>
      </c>
      <c r="AJ2161" s="4" t="str">
        <f>AN202</f>
        <v>Steph</v>
      </c>
      <c r="AK2161" s="503" t="s">
        <v>4452</v>
      </c>
      <c r="AL2161" s="4" t="str">
        <f>BH206</f>
        <v>he</v>
      </c>
      <c r="AM2161" s="4" t="s">
        <v>4453</v>
      </c>
      <c r="BB2161" s="388"/>
    </row>
    <row r="2162" spans="1:77" s="4" customFormat="1" x14ac:dyDescent="0.3">
      <c r="A2162" s="246"/>
      <c r="B2162" s="246"/>
      <c r="C2162" s="246"/>
      <c r="D2162" s="246"/>
      <c r="E2162" s="246"/>
      <c r="F2162" s="246"/>
      <c r="AC2162" s="627" t="s">
        <v>64</v>
      </c>
      <c r="AF2162" s="628" t="str">
        <f>CONCATENATE(AH2162,AI2162,AJ2162,AK2162,AL2162,AM2162,AN2162,AO2162,AP2162,AQ2162,AR2162,AS2162,AT2162,AU2162,AV2162,AW2162,AX2162,AY2162,AZ2162,BA2162,BB2162)</f>
        <v/>
      </c>
      <c r="AG2162" s="628" t="str">
        <f>CONCATENATE(AH2162,AI2162,AJ2162,AK2162,AL2162,AM2162,AN2162,AO2162,AP2162,AQ2162,AR2162,AS2163,AT2163,AU2163,AW2163,AX2163,AY2163,AZ2163,BA2163,BB2163)</f>
        <v/>
      </c>
      <c r="BB2162" s="388"/>
    </row>
    <row r="2163" spans="1:77" s="4" customFormat="1" x14ac:dyDescent="0.3">
      <c r="A2163" s="246"/>
      <c r="B2163" s="246"/>
      <c r="C2163" s="246"/>
      <c r="D2163" s="246"/>
      <c r="E2163" s="246"/>
      <c r="F2163" s="246"/>
      <c r="AC2163" s="627" t="s">
        <v>4055</v>
      </c>
      <c r="AE2163" s="503" t="str">
        <f>IF($D$1768=$AQ$1768,AF2163,AG2163)</f>
        <v>REQUIRES PASSKEY</v>
      </c>
      <c r="AF2163" s="628" t="str">
        <f>CONCATENATE(AH2163,AI2163,AJ2163,AK2163,AL2163,AM2163,AN2163,AO2163,AP2163,AQ2163,AR2163,AS2163,AT2163,AU2163,AW2163,AX2163,AY2163,AZ2163,BA2163,BB2163)</f>
        <v/>
      </c>
      <c r="AG2163" s="659" t="s">
        <v>4362</v>
      </c>
      <c r="BA2163" s="388"/>
    </row>
    <row r="2164" spans="1:77" s="4" customFormat="1" ht="14.5" thickBot="1" x14ac:dyDescent="0.35">
      <c r="A2164" s="246"/>
      <c r="B2164" s="246"/>
      <c r="C2164" s="246"/>
      <c r="D2164" s="246"/>
      <c r="E2164" s="246"/>
      <c r="F2164" s="246"/>
      <c r="AC2164" s="627" t="s">
        <v>3288</v>
      </c>
      <c r="AE2164" s="503" t="str">
        <f>IF($D$1768=$AQ$1768,AF2164,AG2164)</f>
        <v>REQUIRES PASSKEY</v>
      </c>
      <c r="AF2164" s="628" t="str">
        <f>CONCATENATE(AH2164,AI2164,AJ2164,AK2164,AL2164,AM2164,AN2164,AO2164,AP2164,AQ2164,AR2164,AS2164,AT2164,AU2164,AW2164,AX2164,AY2164,AZ2164,BA2164,BB2164)</f>
        <v/>
      </c>
      <c r="AG2164" s="659" t="s">
        <v>4362</v>
      </c>
      <c r="BA2164" s="388"/>
      <c r="BJ2164" s="4" t="s">
        <v>4386</v>
      </c>
      <c r="BQ2164" s="4" t="s">
        <v>4374</v>
      </c>
      <c r="BY2164" s="4" t="s">
        <v>4381</v>
      </c>
    </row>
    <row r="2165" spans="1:77" s="4" customFormat="1" x14ac:dyDescent="0.3">
      <c r="A2165" s="518"/>
      <c r="B2165" s="519"/>
      <c r="C2165" s="519"/>
      <c r="D2165" s="519"/>
      <c r="E2165" s="519"/>
      <c r="F2165" s="520"/>
      <c r="AC2165" s="389"/>
      <c r="BB2165" s="388"/>
      <c r="BJ2165" s="4" t="s">
        <v>4376</v>
      </c>
      <c r="BQ2165" s="4" t="s">
        <v>4375</v>
      </c>
      <c r="BY2165" s="4" t="s">
        <v>4382</v>
      </c>
    </row>
    <row r="2166" spans="1:77" s="4" customFormat="1" x14ac:dyDescent="0.3">
      <c r="A2166" s="521"/>
      <c r="B2166" s="522"/>
      <c r="C2166" s="522"/>
      <c r="D2166" s="522"/>
      <c r="E2166" s="522"/>
      <c r="F2166" s="523"/>
      <c r="AC2166" s="389"/>
      <c r="AF2166" s="628" t="str">
        <f>CONCATENATE(AH2166,AI2166,AJ2166,AK2166,AL2166,AM2166,AN2166,AO2166,AP2166,AQ2166,AR2166,AS2166,AT2166,AU2166,AV2166,AW2166,AX2166,AY2166,AZ2166,BA2166,BB2166)</f>
        <v>text</v>
      </c>
      <c r="AG2166" s="628"/>
      <c r="AI2166" s="4" t="s">
        <v>4207</v>
      </c>
      <c r="AK2166" s="503"/>
      <c r="BB2166" s="388"/>
      <c r="BJ2166" s="4" t="s">
        <v>4377</v>
      </c>
      <c r="BQ2166" s="4" t="s">
        <v>4377</v>
      </c>
      <c r="BY2166" s="4" t="s">
        <v>4384</v>
      </c>
    </row>
    <row r="2167" spans="1:77" s="4" customFormat="1" x14ac:dyDescent="0.3">
      <c r="A2167" s="521"/>
      <c r="B2167" s="522"/>
      <c r="C2167" s="522"/>
      <c r="D2167" s="522"/>
      <c r="E2167" s="522"/>
      <c r="F2167" s="523"/>
      <c r="AC2167" s="389"/>
      <c r="BB2167" s="388"/>
      <c r="BJ2167" s="4" t="s">
        <v>4378</v>
      </c>
      <c r="BQ2167" s="4" t="s">
        <v>4378</v>
      </c>
      <c r="BY2167" s="4" t="s">
        <v>4383</v>
      </c>
    </row>
    <row r="2168" spans="1:77" s="4" customFormat="1" x14ac:dyDescent="0.3">
      <c r="A2168" s="521"/>
      <c r="B2168" s="661" t="s">
        <v>3567</v>
      </c>
      <c r="C2168" s="660" t="s">
        <v>4376</v>
      </c>
      <c r="D2168" s="662" t="s">
        <v>4383</v>
      </c>
      <c r="E2168" s="522"/>
      <c r="F2168" s="523"/>
      <c r="AC2168" s="389"/>
      <c r="BB2168" s="388"/>
      <c r="BJ2168" s="4" t="s">
        <v>4380</v>
      </c>
      <c r="BQ2168" s="4" t="s">
        <v>4380</v>
      </c>
      <c r="BY2168" s="4" t="s">
        <v>4385</v>
      </c>
    </row>
    <row r="2169" spans="1:77" s="4" customFormat="1" ht="14.5" thickBot="1" x14ac:dyDescent="0.35">
      <c r="A2169" s="524"/>
      <c r="B2169" s="525"/>
      <c r="C2169" s="525"/>
      <c r="D2169" s="525"/>
      <c r="E2169" s="525"/>
      <c r="F2169" s="526"/>
      <c r="AC2169" s="389"/>
      <c r="BB2169" s="388"/>
      <c r="BJ2169" s="4" t="s">
        <v>4379</v>
      </c>
      <c r="BQ2169" s="4" t="s">
        <v>4379</v>
      </c>
    </row>
    <row r="2170" spans="1:77" s="4" customFormat="1" ht="30" customHeight="1" x14ac:dyDescent="0.3">
      <c r="A2170" s="913" t="s">
        <v>5464</v>
      </c>
      <c r="B2170" s="913"/>
      <c r="C2170" s="913"/>
      <c r="D2170" s="914" t="str">
        <f>C57</f>
        <v>Steph Turner</v>
      </c>
      <c r="E2170" s="914"/>
      <c r="F2170" s="565"/>
      <c r="AC2170" s="389"/>
      <c r="AG2170" s="508" t="str">
        <f>IF(A2170=AG2171,"Conviction Quality Report",IF(A2170=AG2172,"Innocence Investigation Springboard",""))</f>
        <v>Conviction Quality Report</v>
      </c>
      <c r="BB2170" s="388"/>
    </row>
    <row r="2171" spans="1:77" s="4" customFormat="1" x14ac:dyDescent="0.3">
      <c r="A2171" s="246"/>
      <c r="B2171" s="246"/>
      <c r="C2171" s="246"/>
      <c r="D2171" s="246"/>
      <c r="E2171" s="246"/>
      <c r="F2171" s="246"/>
      <c r="AC2171" s="389"/>
      <c r="AG2171" s="4" t="s">
        <v>5464</v>
      </c>
      <c r="AS2171" s="4">
        <v>0</v>
      </c>
      <c r="AT2171" s="561" t="s">
        <v>287</v>
      </c>
      <c r="AZ2171" s="561" t="s">
        <v>3821</v>
      </c>
      <c r="BB2171" s="388"/>
      <c r="BG2171" s="503" t="s">
        <v>3822</v>
      </c>
    </row>
    <row r="2172" spans="1:77" s="4" customFormat="1" x14ac:dyDescent="0.3">
      <c r="A2172" s="547" t="s">
        <v>3639</v>
      </c>
      <c r="B2172" s="547" t="s">
        <v>3640</v>
      </c>
      <c r="C2172" s="547" t="s">
        <v>3641</v>
      </c>
      <c r="D2172" s="547" t="s">
        <v>3642</v>
      </c>
      <c r="E2172" s="547" t="s">
        <v>3643</v>
      </c>
      <c r="F2172" s="547"/>
      <c r="AC2172" s="389"/>
      <c r="AG2172" s="4" t="s">
        <v>5465</v>
      </c>
      <c r="AS2172" s="4">
        <v>1</v>
      </c>
      <c r="AT2172" s="561" t="s">
        <v>304</v>
      </c>
      <c r="AZ2172" s="561" t="s">
        <v>3820</v>
      </c>
      <c r="BB2172" s="388"/>
      <c r="BG2172" s="503" t="s">
        <v>3822</v>
      </c>
    </row>
    <row r="2173" spans="1:77" s="4" customFormat="1" ht="13" customHeight="1" x14ac:dyDescent="0.3">
      <c r="A2173" s="546"/>
      <c r="B2173" s="543"/>
      <c r="C2173" s="544" t="s">
        <v>3946</v>
      </c>
      <c r="D2173" s="543"/>
      <c r="E2173" s="915">
        <f>BG522</f>
        <v>0.38949999999999996</v>
      </c>
      <c r="F2173" s="915"/>
      <c r="AC2173" s="389"/>
      <c r="AS2173" s="4">
        <v>2</v>
      </c>
      <c r="AT2173" s="561" t="s">
        <v>335</v>
      </c>
      <c r="AZ2173" s="561" t="s">
        <v>3819</v>
      </c>
      <c r="BB2173" s="388"/>
    </row>
    <row r="2174" spans="1:77" s="4" customFormat="1" ht="13" customHeight="1" x14ac:dyDescent="0.3">
      <c r="A2174" s="566">
        <f>AG2175</f>
        <v>15</v>
      </c>
      <c r="B2174" s="562" t="str">
        <f>AH2175</f>
        <v>not a factor</v>
      </c>
      <c r="C2174" s="563" t="str">
        <f>AI2175</f>
        <v>Eyewitness Misidentification</v>
      </c>
      <c r="D2174" s="562" t="str">
        <f>AJ2175</f>
        <v/>
      </c>
      <c r="E2174" s="905">
        <f>AK2175</f>
        <v>0.38949999999999996</v>
      </c>
      <c r="F2174" s="905"/>
      <c r="AC2174" s="389"/>
      <c r="AS2174" s="4">
        <v>3</v>
      </c>
      <c r="AT2174" s="561" t="s">
        <v>295</v>
      </c>
      <c r="AZ2174" s="561" t="s">
        <v>3818</v>
      </c>
      <c r="BB2174" s="388"/>
    </row>
    <row r="2175" spans="1:77" s="4" customFormat="1" ht="13" customHeight="1" x14ac:dyDescent="0.3">
      <c r="A2175" s="566">
        <f>AG2176</f>
        <v>16</v>
      </c>
      <c r="B2175" s="562" t="str">
        <f>AH2176</f>
        <v>not a factor</v>
      </c>
      <c r="C2175" s="563" t="str">
        <f t="shared" ref="C2175:E2190" si="103">AI2176</f>
        <v>False Confessions or Admissions</v>
      </c>
      <c r="D2175" s="562" t="str">
        <f t="shared" si="103"/>
        <v/>
      </c>
      <c r="E2175" s="905">
        <f>AK2176</f>
        <v>0.38949999999999996</v>
      </c>
      <c r="F2175" s="905"/>
      <c r="AC2175" s="389"/>
      <c r="AG2175" s="4">
        <f>A523</f>
        <v>15</v>
      </c>
      <c r="AH2175" s="4" t="str">
        <f>IF(AM2175=AT$2171,AZ$2171,IF(AM2175=AT$2172,AZ$2172,IF(AM2175=AT$2173,AZ$2173,IF(AM2175=AT$2174,AZ$2174,""))))</f>
        <v>not a factor</v>
      </c>
      <c r="AI2175" s="4" t="str">
        <f>B523</f>
        <v>Eyewitness Misidentification</v>
      </c>
      <c r="AJ2175" s="503" t="str">
        <f>IF(AO2175=0,AL2175,AO2175)</f>
        <v/>
      </c>
      <c r="AK2175" s="560">
        <f>E526</f>
        <v>0.38949999999999996</v>
      </c>
      <c r="AL2175" s="503" t="str">
        <f>IF(OR(AH2175="",AH2175=AZ$2171),"","NOT YET VERIFIED")</f>
        <v/>
      </c>
      <c r="AM2175" s="4" t="str">
        <f>B527</f>
        <v>no, not a factor</v>
      </c>
      <c r="AO2175" s="503">
        <f>D527</f>
        <v>0</v>
      </c>
      <c r="BB2175" s="388"/>
    </row>
    <row r="2176" spans="1:77" s="4" customFormat="1" ht="13" customHeight="1" x14ac:dyDescent="0.3">
      <c r="A2176" s="566">
        <f t="shared" ref="A2176:E2216" si="104">AG2177</f>
        <v>17</v>
      </c>
      <c r="B2176" s="562" t="str">
        <f t="shared" si="104"/>
        <v>significant factor</v>
      </c>
      <c r="C2176" s="563" t="str">
        <f t="shared" si="103"/>
        <v>Government Misconduct</v>
      </c>
      <c r="D2176" s="562" t="str">
        <f t="shared" si="103"/>
        <v>NOT YET VERIFIED</v>
      </c>
      <c r="E2176" s="905">
        <f t="shared" si="103"/>
        <v>0.41449999999999998</v>
      </c>
      <c r="F2176" s="905"/>
      <c r="AC2176" s="389"/>
      <c r="AG2176" s="4">
        <f>A528</f>
        <v>16</v>
      </c>
      <c r="AH2176" s="4" t="str">
        <f t="shared" ref="AH2176:AH2217" si="105">IF(AM2176=AT$2171,AZ$2171,IF(AM2176=AT$2172,AZ$2172,IF(AM2176=AT$2173,AZ$2173,IF(AM2176=AT$2174,AZ$2174,""))))</f>
        <v>not a factor</v>
      </c>
      <c r="AI2176" s="4" t="str">
        <f>B528</f>
        <v>False Confessions or Admissions</v>
      </c>
      <c r="AJ2176" s="503" t="str">
        <f>IF(AO2176=0,AL2176,AO2176)</f>
        <v/>
      </c>
      <c r="AK2176" s="560">
        <f>E531</f>
        <v>0.38949999999999996</v>
      </c>
      <c r="AL2176" s="4" t="str">
        <f t="shared" ref="AL2176:AL2217" si="106">IF(OR(AH2176="",AH2176=AZ$2171),"","NOT YET VERIFIED")</f>
        <v/>
      </c>
      <c r="AM2176" s="4" t="str">
        <f>B532</f>
        <v>no, not a factor</v>
      </c>
      <c r="AO2176" s="503">
        <f>D532</f>
        <v>0</v>
      </c>
      <c r="BB2176" s="388"/>
    </row>
    <row r="2177" spans="1:54" s="4" customFormat="1" ht="13" customHeight="1" x14ac:dyDescent="0.3">
      <c r="A2177" s="566">
        <f t="shared" si="104"/>
        <v>18</v>
      </c>
      <c r="B2177" s="562" t="str">
        <f t="shared" si="104"/>
        <v>significant factor</v>
      </c>
      <c r="C2177" s="563" t="str">
        <f t="shared" si="103"/>
        <v>Unvalidated or Improper Forensic Science</v>
      </c>
      <c r="D2177" s="562" t="str">
        <f t="shared" si="103"/>
        <v>NOT YET VERIFIED</v>
      </c>
      <c r="E2177" s="905">
        <f t="shared" si="103"/>
        <v>0.4395</v>
      </c>
      <c r="F2177" s="905"/>
      <c r="AC2177" s="389"/>
      <c r="AG2177" s="4">
        <f>A534</f>
        <v>17</v>
      </c>
      <c r="AH2177" s="4" t="str">
        <f t="shared" si="105"/>
        <v>significant factor</v>
      </c>
      <c r="AI2177" s="4" t="str">
        <f>B534</f>
        <v>Government Misconduct</v>
      </c>
      <c r="AJ2177" s="503" t="str">
        <f t="shared" ref="AJ2177:AJ2217" si="107">IF(AO2177=0,AL2177,AO2177)</f>
        <v>NOT YET VERIFIED</v>
      </c>
      <c r="AK2177" s="560">
        <f>E537</f>
        <v>0.41449999999999998</v>
      </c>
      <c r="AL2177" s="4" t="str">
        <f t="shared" si="106"/>
        <v>NOT YET VERIFIED</v>
      </c>
      <c r="AM2177" s="4" t="str">
        <f>B538</f>
        <v>yes, a significant factor</v>
      </c>
      <c r="AO2177" s="4">
        <f>D538</f>
        <v>0</v>
      </c>
      <c r="BB2177" s="388"/>
    </row>
    <row r="2178" spans="1:54" s="4" customFormat="1" ht="13" customHeight="1" x14ac:dyDescent="0.3">
      <c r="A2178" s="566">
        <f t="shared" si="104"/>
        <v>19</v>
      </c>
      <c r="B2178" s="562" t="str">
        <f t="shared" si="104"/>
        <v>not a factor</v>
      </c>
      <c r="C2178" s="563" t="str">
        <f t="shared" si="103"/>
        <v>Jail Informant</v>
      </c>
      <c r="D2178" s="562" t="str">
        <f t="shared" si="103"/>
        <v/>
      </c>
      <c r="E2178" s="905">
        <f t="shared" si="103"/>
        <v>0.4395</v>
      </c>
      <c r="F2178" s="905"/>
      <c r="AC2178" s="389"/>
      <c r="AG2178" s="4">
        <f>A539</f>
        <v>18</v>
      </c>
      <c r="AH2178" s="4" t="str">
        <f t="shared" si="105"/>
        <v>significant factor</v>
      </c>
      <c r="AI2178" s="4" t="str">
        <f>B539</f>
        <v>Unvalidated or Improper Forensic Science</v>
      </c>
      <c r="AJ2178" s="503" t="str">
        <f t="shared" si="107"/>
        <v>NOT YET VERIFIED</v>
      </c>
      <c r="AK2178" s="560">
        <f>E542</f>
        <v>0.4395</v>
      </c>
      <c r="AL2178" s="4" t="str">
        <f t="shared" si="106"/>
        <v>NOT YET VERIFIED</v>
      </c>
      <c r="AM2178" s="4" t="str">
        <f>B543</f>
        <v>yes, a significant factor</v>
      </c>
      <c r="AO2178" s="4">
        <f>D543</f>
        <v>0</v>
      </c>
      <c r="BB2178" s="388"/>
    </row>
    <row r="2179" spans="1:54" s="4" customFormat="1" ht="13" customHeight="1" x14ac:dyDescent="0.3">
      <c r="A2179" s="566">
        <f t="shared" si="104"/>
        <v>20</v>
      </c>
      <c r="B2179" s="562" t="str">
        <f t="shared" si="104"/>
        <v>remote factor</v>
      </c>
      <c r="C2179" s="563" t="str">
        <f t="shared" si="103"/>
        <v>Inadequate Defense</v>
      </c>
      <c r="D2179" s="562" t="str">
        <f t="shared" si="103"/>
        <v>NOT YET VERIFIED</v>
      </c>
      <c r="E2179" s="905">
        <f t="shared" si="103"/>
        <v>0.4395</v>
      </c>
      <c r="F2179" s="905"/>
      <c r="AC2179" s="389"/>
      <c r="AG2179" s="4">
        <f>A545</f>
        <v>19</v>
      </c>
      <c r="AH2179" s="4" t="str">
        <f t="shared" si="105"/>
        <v>not a factor</v>
      </c>
      <c r="AI2179" s="4" t="str">
        <f>B545</f>
        <v>Jail Informant</v>
      </c>
      <c r="AJ2179" s="503" t="str">
        <f t="shared" si="107"/>
        <v/>
      </c>
      <c r="AK2179" s="560">
        <f>E548</f>
        <v>0.4395</v>
      </c>
      <c r="AL2179" s="4" t="str">
        <f t="shared" si="106"/>
        <v/>
      </c>
      <c r="AM2179" s="4" t="str">
        <f>B549</f>
        <v>no, not a factor</v>
      </c>
      <c r="AO2179" s="4">
        <f>D549</f>
        <v>0</v>
      </c>
      <c r="BB2179" s="388"/>
    </row>
    <row r="2180" spans="1:54" s="4" customFormat="1" ht="13" customHeight="1" x14ac:dyDescent="0.3">
      <c r="A2180" s="566">
        <f t="shared" si="104"/>
        <v>21</v>
      </c>
      <c r="B2180" s="562" t="str">
        <f t="shared" si="104"/>
        <v>significant factor</v>
      </c>
      <c r="C2180" s="563" t="str">
        <f t="shared" si="103"/>
        <v>Evidence yet to be DNA tested</v>
      </c>
      <c r="D2180" s="562" t="str">
        <f t="shared" si="103"/>
        <v>NOT YET VERIFIED</v>
      </c>
      <c r="E2180" s="905">
        <f t="shared" si="103"/>
        <v>0.46200000000000002</v>
      </c>
      <c r="F2180" s="905"/>
      <c r="AC2180" s="389"/>
      <c r="AG2180" s="4">
        <f>A550</f>
        <v>20</v>
      </c>
      <c r="AH2180" s="4" t="str">
        <f t="shared" si="105"/>
        <v>remote factor</v>
      </c>
      <c r="AI2180" s="4" t="str">
        <f>B550</f>
        <v>Inadequate Defense</v>
      </c>
      <c r="AJ2180" s="503" t="str">
        <f t="shared" si="107"/>
        <v>NOT YET VERIFIED</v>
      </c>
      <c r="AK2180" s="560">
        <f>E553</f>
        <v>0.4395</v>
      </c>
      <c r="AL2180" s="4" t="str">
        <f t="shared" si="106"/>
        <v>NOT YET VERIFIED</v>
      </c>
      <c r="AM2180" s="4" t="str">
        <f>B554</f>
        <v>only a remote factor</v>
      </c>
      <c r="AO2180" s="4">
        <f>D554</f>
        <v>0</v>
      </c>
      <c r="BB2180" s="388"/>
    </row>
    <row r="2181" spans="1:54" s="4" customFormat="1" ht="13" customHeight="1" x14ac:dyDescent="0.3">
      <c r="A2181" s="566">
        <f t="shared" si="104"/>
        <v>22</v>
      </c>
      <c r="B2181" s="562" t="str">
        <f t="shared" si="104"/>
        <v>significant factor</v>
      </c>
      <c r="C2181" s="563" t="str">
        <f t="shared" si="103"/>
        <v>Non-DNA evidence yet to be considered</v>
      </c>
      <c r="D2181" s="562" t="str">
        <f t="shared" si="103"/>
        <v>NOT YET VERIFIED</v>
      </c>
      <c r="E2181" s="905">
        <f t="shared" si="103"/>
        <v>0.47700000000000004</v>
      </c>
      <c r="F2181" s="905"/>
      <c r="AC2181" s="389"/>
      <c r="AG2181" s="4">
        <f>A558</f>
        <v>21</v>
      </c>
      <c r="AH2181" s="4" t="str">
        <f t="shared" si="105"/>
        <v>significant factor</v>
      </c>
      <c r="AI2181" s="4" t="str">
        <f>B558</f>
        <v>Evidence yet to be DNA tested</v>
      </c>
      <c r="AJ2181" s="503" t="str">
        <f t="shared" si="107"/>
        <v>NOT YET VERIFIED</v>
      </c>
      <c r="AK2181" s="560">
        <f>E561</f>
        <v>0.46200000000000002</v>
      </c>
      <c r="AL2181" s="4" t="str">
        <f t="shared" si="106"/>
        <v>NOT YET VERIFIED</v>
      </c>
      <c r="AM2181" s="4" t="str">
        <f>B562</f>
        <v>yes, a significant factor</v>
      </c>
      <c r="AO2181" s="4">
        <f>D562</f>
        <v>0</v>
      </c>
      <c r="BB2181" s="388"/>
    </row>
    <row r="2182" spans="1:54" s="4" customFormat="1" ht="13" customHeight="1" x14ac:dyDescent="0.3">
      <c r="A2182" s="566">
        <f t="shared" si="104"/>
        <v>23</v>
      </c>
      <c r="B2182" s="562" t="str">
        <f t="shared" si="104"/>
        <v>significant factor</v>
      </c>
      <c r="C2182" s="563" t="str">
        <f t="shared" si="103"/>
        <v>Exculpatory evidence exists</v>
      </c>
      <c r="D2182" s="562" t="str">
        <f t="shared" si="103"/>
        <v>NOT YET VERIFIED</v>
      </c>
      <c r="E2182" s="905">
        <f t="shared" si="103"/>
        <v>0.502</v>
      </c>
      <c r="F2182" s="905"/>
      <c r="AC2182" s="389"/>
      <c r="AG2182" s="4">
        <f>A563</f>
        <v>22</v>
      </c>
      <c r="AH2182" s="4" t="str">
        <f t="shared" si="105"/>
        <v>significant factor</v>
      </c>
      <c r="AI2182" s="4" t="str">
        <f>B563</f>
        <v>Non-DNA evidence yet to be considered</v>
      </c>
      <c r="AJ2182" s="503" t="str">
        <f t="shared" si="107"/>
        <v>NOT YET VERIFIED</v>
      </c>
      <c r="AK2182" s="560">
        <f>E566</f>
        <v>0.47700000000000004</v>
      </c>
      <c r="AL2182" s="4" t="str">
        <f t="shared" si="106"/>
        <v>NOT YET VERIFIED</v>
      </c>
      <c r="AM2182" s="4" t="str">
        <f>B567</f>
        <v>yes, a significant factor</v>
      </c>
      <c r="AO2182" s="4">
        <f>D567</f>
        <v>0</v>
      </c>
      <c r="BB2182" s="388"/>
    </row>
    <row r="2183" spans="1:54" s="4" customFormat="1" ht="13" customHeight="1" x14ac:dyDescent="0.3">
      <c r="A2183" s="566">
        <f t="shared" si="104"/>
        <v>24</v>
      </c>
      <c r="B2183" s="562" t="str">
        <f t="shared" si="104"/>
        <v>significant factor</v>
      </c>
      <c r="C2183" s="563" t="str">
        <f t="shared" si="103"/>
        <v>Conviction not corroborated by evidence</v>
      </c>
      <c r="D2183" s="562" t="str">
        <f t="shared" si="103"/>
        <v>NOT YET VERIFIED</v>
      </c>
      <c r="E2183" s="905">
        <f t="shared" si="103"/>
        <v>0.51949999999999996</v>
      </c>
      <c r="F2183" s="905"/>
      <c r="AC2183" s="389"/>
      <c r="AG2183" s="4">
        <f>A568</f>
        <v>23</v>
      </c>
      <c r="AH2183" s="4" t="str">
        <f t="shared" si="105"/>
        <v>significant factor</v>
      </c>
      <c r="AI2183" s="4" t="str">
        <f>B568</f>
        <v>Exculpatory evidence exists</v>
      </c>
      <c r="AJ2183" s="503" t="str">
        <f t="shared" si="107"/>
        <v>NOT YET VERIFIED</v>
      </c>
      <c r="AK2183" s="560">
        <f>E571</f>
        <v>0.502</v>
      </c>
      <c r="AL2183" s="4" t="str">
        <f t="shared" si="106"/>
        <v>NOT YET VERIFIED</v>
      </c>
      <c r="AM2183" s="4" t="str">
        <f>B572</f>
        <v>yes, a significant factor</v>
      </c>
      <c r="AO2183" s="4">
        <f>D572</f>
        <v>0</v>
      </c>
      <c r="BB2183" s="388"/>
    </row>
    <row r="2184" spans="1:54" s="4" customFormat="1" ht="13" customHeight="1" x14ac:dyDescent="0.3">
      <c r="A2184" s="566">
        <f t="shared" si="104"/>
        <v>25</v>
      </c>
      <c r="B2184" s="562" t="str">
        <f t="shared" si="104"/>
        <v>significant factor</v>
      </c>
      <c r="C2184" s="563" t="str">
        <f t="shared" si="103"/>
        <v>Conviction based on irrational theory of guilt</v>
      </c>
      <c r="D2184" s="562" t="str">
        <f t="shared" si="103"/>
        <v>NOT YET VERIFIED</v>
      </c>
      <c r="E2184" s="905">
        <f t="shared" si="103"/>
        <v>0.54449999999999998</v>
      </c>
      <c r="F2184" s="905"/>
      <c r="AC2184" s="389"/>
      <c r="AG2184" s="4">
        <f>A574</f>
        <v>24</v>
      </c>
      <c r="AH2184" s="4" t="str">
        <f t="shared" si="105"/>
        <v>significant factor</v>
      </c>
      <c r="AI2184" s="4" t="str">
        <f>B574</f>
        <v>Conviction not corroborated by evidence</v>
      </c>
      <c r="AJ2184" s="503" t="str">
        <f t="shared" si="107"/>
        <v>NOT YET VERIFIED</v>
      </c>
      <c r="AK2184" s="560">
        <f>E577</f>
        <v>0.51949999999999996</v>
      </c>
      <c r="AL2184" s="4" t="str">
        <f t="shared" si="106"/>
        <v>NOT YET VERIFIED</v>
      </c>
      <c r="AM2184" s="4" t="str">
        <f>B578</f>
        <v>yes, a significant factor</v>
      </c>
      <c r="AO2184" s="4">
        <f>D578</f>
        <v>0</v>
      </c>
      <c r="BB2184" s="388"/>
    </row>
    <row r="2185" spans="1:54" s="4" customFormat="1" ht="13" customHeight="1" x14ac:dyDescent="0.3">
      <c r="A2185" s="566">
        <f t="shared" si="104"/>
        <v>26</v>
      </c>
      <c r="B2185" s="562" t="str">
        <f t="shared" si="104"/>
        <v>significant factor</v>
      </c>
      <c r="C2185" s="563" t="str">
        <f t="shared" si="103"/>
        <v>No actual crime</v>
      </c>
      <c r="D2185" s="562" t="str">
        <f t="shared" si="103"/>
        <v>NOT YET VERIFIED</v>
      </c>
      <c r="E2185" s="905">
        <f t="shared" si="103"/>
        <v>0.56950000000000001</v>
      </c>
      <c r="F2185" s="905"/>
      <c r="AC2185" s="389"/>
      <c r="AG2185" s="4">
        <f>A579</f>
        <v>25</v>
      </c>
      <c r="AH2185" s="4" t="str">
        <f t="shared" si="105"/>
        <v>significant factor</v>
      </c>
      <c r="AI2185" s="4" t="str">
        <f>B579</f>
        <v>Conviction based on irrational theory of guilt</v>
      </c>
      <c r="AJ2185" s="503" t="str">
        <f t="shared" si="107"/>
        <v>NOT YET VERIFIED</v>
      </c>
      <c r="AK2185" s="560">
        <f>E582</f>
        <v>0.54449999999999998</v>
      </c>
      <c r="AL2185" s="4" t="str">
        <f t="shared" si="106"/>
        <v>NOT YET VERIFIED</v>
      </c>
      <c r="AM2185" s="4" t="str">
        <f>B583</f>
        <v>yes, a significant factor</v>
      </c>
      <c r="AO2185" s="4">
        <f>D583</f>
        <v>0</v>
      </c>
      <c r="BB2185" s="388"/>
    </row>
    <row r="2186" spans="1:54" s="4" customFormat="1" ht="13" customHeight="1" x14ac:dyDescent="0.3">
      <c r="A2186" s="566">
        <f t="shared" si="104"/>
        <v>27</v>
      </c>
      <c r="B2186" s="562" t="str">
        <f t="shared" si="104"/>
        <v>significant factor</v>
      </c>
      <c r="C2186" s="563" t="str">
        <f t="shared" si="103"/>
        <v>Law enforcement tunnel vision</v>
      </c>
      <c r="D2186" s="562" t="str">
        <f t="shared" si="103"/>
        <v>NOT YET VERIFIED</v>
      </c>
      <c r="E2186" s="905">
        <f t="shared" si="103"/>
        <v>0.58450000000000002</v>
      </c>
      <c r="F2186" s="905"/>
      <c r="AC2186" s="389"/>
      <c r="AG2186" s="4">
        <f>A584</f>
        <v>26</v>
      </c>
      <c r="AH2186" s="4" t="str">
        <f t="shared" si="105"/>
        <v>significant factor</v>
      </c>
      <c r="AI2186" s="4" t="str">
        <f>B584</f>
        <v>No actual crime</v>
      </c>
      <c r="AJ2186" s="503" t="str">
        <f t="shared" si="107"/>
        <v>NOT YET VERIFIED</v>
      </c>
      <c r="AK2186" s="560">
        <f>E587</f>
        <v>0.56950000000000001</v>
      </c>
      <c r="AL2186" s="4" t="str">
        <f t="shared" si="106"/>
        <v>NOT YET VERIFIED</v>
      </c>
      <c r="AM2186" s="4" t="str">
        <f>B588</f>
        <v>yes, a significant factor</v>
      </c>
      <c r="AO2186" s="4">
        <f>D588</f>
        <v>0</v>
      </c>
      <c r="BB2186" s="388"/>
    </row>
    <row r="2187" spans="1:54" s="4" customFormat="1" ht="13" customHeight="1" x14ac:dyDescent="0.3">
      <c r="A2187" s="566">
        <f t="shared" si="104"/>
        <v>28</v>
      </c>
      <c r="B2187" s="562" t="str">
        <f t="shared" si="104"/>
        <v>moderate factor</v>
      </c>
      <c r="C2187" s="563" t="str">
        <f t="shared" si="103"/>
        <v>Law enforcement noble cause corruption</v>
      </c>
      <c r="D2187" s="562" t="str">
        <f t="shared" si="103"/>
        <v>NOT YET VERIFIED</v>
      </c>
      <c r="E2187" s="905">
        <f t="shared" si="103"/>
        <v>0.59699999999999998</v>
      </c>
      <c r="F2187" s="905"/>
      <c r="AC2187" s="389"/>
      <c r="AG2187" s="4">
        <f>A592</f>
        <v>27</v>
      </c>
      <c r="AH2187" s="4" t="str">
        <f t="shared" si="105"/>
        <v>significant factor</v>
      </c>
      <c r="AI2187" s="4" t="str">
        <f>B592</f>
        <v>Law enforcement tunnel vision</v>
      </c>
      <c r="AJ2187" s="503" t="str">
        <f t="shared" si="107"/>
        <v>NOT YET VERIFIED</v>
      </c>
      <c r="AK2187" s="560">
        <f>E595</f>
        <v>0.58450000000000002</v>
      </c>
      <c r="AL2187" s="4" t="str">
        <f t="shared" si="106"/>
        <v>NOT YET VERIFIED</v>
      </c>
      <c r="AM2187" s="4" t="str">
        <f>B596</f>
        <v>yes, a significant factor</v>
      </c>
      <c r="AO2187" s="4">
        <f>D596</f>
        <v>0</v>
      </c>
      <c r="BB2187" s="388"/>
    </row>
    <row r="2188" spans="1:54" s="4" customFormat="1" ht="13" customHeight="1" x14ac:dyDescent="0.3">
      <c r="A2188" s="566">
        <f t="shared" si="104"/>
        <v>29</v>
      </c>
      <c r="B2188" s="562" t="str">
        <f t="shared" si="104"/>
        <v>not a factor</v>
      </c>
      <c r="C2188" s="563" t="str">
        <f t="shared" si="103"/>
        <v>Complainant retraction</v>
      </c>
      <c r="D2188" s="562" t="str">
        <f t="shared" si="103"/>
        <v/>
      </c>
      <c r="E2188" s="905">
        <f t="shared" si="103"/>
        <v>0.59699999999999998</v>
      </c>
      <c r="F2188" s="905"/>
      <c r="AC2188" s="389"/>
      <c r="AG2188" s="4">
        <f>A597</f>
        <v>28</v>
      </c>
      <c r="AH2188" s="4" t="str">
        <f t="shared" si="105"/>
        <v>moderate factor</v>
      </c>
      <c r="AI2188" s="4" t="str">
        <f>B597</f>
        <v>Law enforcement noble cause corruption</v>
      </c>
      <c r="AJ2188" s="503" t="str">
        <f t="shared" si="107"/>
        <v>NOT YET VERIFIED</v>
      </c>
      <c r="AK2188" s="560">
        <f>E600</f>
        <v>0.59699999999999998</v>
      </c>
      <c r="AL2188" s="4" t="str">
        <f t="shared" si="106"/>
        <v>NOT YET VERIFIED</v>
      </c>
      <c r="AM2188" s="4" t="str">
        <f>B601</f>
        <v>yes, a moderate factor</v>
      </c>
      <c r="AO2188" s="4">
        <f>D601</f>
        <v>0</v>
      </c>
      <c r="BB2188" s="388"/>
    </row>
    <row r="2189" spans="1:54" s="4" customFormat="1" ht="13" customHeight="1" x14ac:dyDescent="0.3">
      <c r="A2189" s="566">
        <f t="shared" si="104"/>
        <v>30</v>
      </c>
      <c r="B2189" s="562" t="str">
        <f t="shared" si="104"/>
        <v>not a factor</v>
      </c>
      <c r="C2189" s="563" t="str">
        <f t="shared" si="103"/>
        <v>Confession from actual perpetrator</v>
      </c>
      <c r="D2189" s="562" t="str">
        <f t="shared" si="103"/>
        <v/>
      </c>
      <c r="E2189" s="905">
        <f t="shared" si="103"/>
        <v>0.59699999999999998</v>
      </c>
      <c r="F2189" s="905"/>
      <c r="AC2189" s="389"/>
      <c r="AG2189" s="4">
        <f>A602</f>
        <v>29</v>
      </c>
      <c r="AH2189" s="4" t="str">
        <f t="shared" si="105"/>
        <v>not a factor</v>
      </c>
      <c r="AI2189" s="4" t="str">
        <f>B602</f>
        <v>Complainant retraction</v>
      </c>
      <c r="AJ2189" s="503" t="str">
        <f t="shared" si="107"/>
        <v/>
      </c>
      <c r="AK2189" s="560">
        <f>E605</f>
        <v>0.59699999999999998</v>
      </c>
      <c r="AL2189" s="4" t="str">
        <f t="shared" si="106"/>
        <v/>
      </c>
      <c r="AM2189" s="4" t="str">
        <f>B606</f>
        <v>no, not a factor</v>
      </c>
      <c r="AO2189" s="4">
        <f>D606</f>
        <v>0</v>
      </c>
      <c r="BB2189" s="388"/>
    </row>
    <row r="2190" spans="1:54" s="4" customFormat="1" ht="13" customHeight="1" x14ac:dyDescent="0.3">
      <c r="A2190" s="566">
        <f t="shared" si="104"/>
        <v>31</v>
      </c>
      <c r="B2190" s="562" t="str">
        <f t="shared" si="104"/>
        <v>not a factor</v>
      </c>
      <c r="C2190" s="563" t="str">
        <f t="shared" si="103"/>
        <v>Another person implicated in the crime</v>
      </c>
      <c r="D2190" s="562" t="str">
        <f t="shared" si="103"/>
        <v/>
      </c>
      <c r="E2190" s="905">
        <f t="shared" si="103"/>
        <v>0.59699999999999998</v>
      </c>
      <c r="F2190" s="905"/>
      <c r="AC2190" s="389"/>
      <c r="AG2190" s="4">
        <f>A608</f>
        <v>30</v>
      </c>
      <c r="AH2190" s="4" t="str">
        <f t="shared" si="105"/>
        <v>not a factor</v>
      </c>
      <c r="AI2190" s="4" t="str">
        <f>B608</f>
        <v>Confession from actual perpetrator</v>
      </c>
      <c r="AJ2190" s="503" t="str">
        <f t="shared" si="107"/>
        <v/>
      </c>
      <c r="AK2190" s="560">
        <f>E611</f>
        <v>0.59699999999999998</v>
      </c>
      <c r="AL2190" s="4" t="str">
        <f t="shared" si="106"/>
        <v/>
      </c>
      <c r="AM2190" s="4" t="str">
        <f>B612</f>
        <v>no, not a factor</v>
      </c>
      <c r="AO2190" s="4">
        <f>D612</f>
        <v>0</v>
      </c>
      <c r="BB2190" s="388"/>
    </row>
    <row r="2191" spans="1:54" s="4" customFormat="1" ht="13" customHeight="1" x14ac:dyDescent="0.3">
      <c r="A2191" s="566">
        <f t="shared" si="104"/>
        <v>32</v>
      </c>
      <c r="B2191" s="562" t="str">
        <f t="shared" si="104"/>
        <v>significant factor</v>
      </c>
      <c r="C2191" s="563" t="str">
        <f t="shared" si="104"/>
        <v>Conviction based upon outmoded law/beliefs</v>
      </c>
      <c r="D2191" s="562" t="str">
        <f t="shared" si="104"/>
        <v>NOT YET VERIFIED</v>
      </c>
      <c r="E2191" s="905">
        <f t="shared" si="104"/>
        <v>0.61449999999999994</v>
      </c>
      <c r="F2191" s="905"/>
      <c r="AC2191" s="389"/>
      <c r="AG2191" s="4">
        <f>A613</f>
        <v>31</v>
      </c>
      <c r="AH2191" s="4" t="str">
        <f t="shared" si="105"/>
        <v>not a factor</v>
      </c>
      <c r="AI2191" s="4" t="str">
        <f>B613</f>
        <v>Another person implicated in the crime</v>
      </c>
      <c r="AJ2191" s="503" t="str">
        <f t="shared" si="107"/>
        <v/>
      </c>
      <c r="AK2191" s="560">
        <f>E616</f>
        <v>0.59699999999999998</v>
      </c>
      <c r="AL2191" s="4" t="str">
        <f t="shared" si="106"/>
        <v/>
      </c>
      <c r="AM2191" s="4" t="str">
        <f>B617</f>
        <v>no, not a factor</v>
      </c>
      <c r="AO2191" s="4">
        <f>D617</f>
        <v>0</v>
      </c>
      <c r="BB2191" s="388"/>
    </row>
    <row r="2192" spans="1:54" s="4" customFormat="1" ht="13" customHeight="1" x14ac:dyDescent="0.3">
      <c r="A2192" s="566">
        <f t="shared" si="104"/>
        <v>33</v>
      </c>
      <c r="B2192" s="562" t="str">
        <f t="shared" si="104"/>
        <v>remote factor</v>
      </c>
      <c r="C2192" s="563" t="str">
        <f t="shared" si="104"/>
        <v>Presenting conflict of interest</v>
      </c>
      <c r="D2192" s="562" t="str">
        <f t="shared" si="104"/>
        <v>NOT YET VERIFIED</v>
      </c>
      <c r="E2192" s="905">
        <f t="shared" si="104"/>
        <v>0.61762499999999998</v>
      </c>
      <c r="F2192" s="905"/>
      <c r="AC2192" s="389"/>
      <c r="AG2192" s="4">
        <f>A618</f>
        <v>32</v>
      </c>
      <c r="AH2192" s="4" t="str">
        <f t="shared" si="105"/>
        <v>significant factor</v>
      </c>
      <c r="AI2192" s="4" t="str">
        <f>B618</f>
        <v>Conviction based upon outmoded law/beliefs</v>
      </c>
      <c r="AJ2192" s="503" t="str">
        <f t="shared" si="107"/>
        <v>NOT YET VERIFIED</v>
      </c>
      <c r="AK2192" s="560">
        <f>E621</f>
        <v>0.61449999999999994</v>
      </c>
      <c r="AL2192" s="4" t="str">
        <f t="shared" si="106"/>
        <v>NOT YET VERIFIED</v>
      </c>
      <c r="AM2192" s="4" t="str">
        <f>B622</f>
        <v>yes, a significant factor</v>
      </c>
      <c r="AO2192" s="4">
        <f>D622</f>
        <v>0</v>
      </c>
      <c r="BB2192" s="388"/>
    </row>
    <row r="2193" spans="1:54" s="4" customFormat="1" ht="13" customHeight="1" x14ac:dyDescent="0.3">
      <c r="A2193" s="566">
        <f t="shared" si="104"/>
        <v>34</v>
      </c>
      <c r="B2193" s="562" t="str">
        <f t="shared" si="104"/>
        <v>significant factor</v>
      </c>
      <c r="C2193" s="563" t="str">
        <f t="shared" si="104"/>
        <v>Perjured testimony or false accusation</v>
      </c>
      <c r="D2193" s="562" t="str">
        <f t="shared" si="104"/>
        <v>NOT YET VERIFIED</v>
      </c>
      <c r="E2193" s="905">
        <f t="shared" si="104"/>
        <v>0.64637499999999992</v>
      </c>
      <c r="F2193" s="905"/>
      <c r="AC2193" s="389"/>
      <c r="AG2193" s="4">
        <f>A626</f>
        <v>33</v>
      </c>
      <c r="AH2193" s="4" t="str">
        <f t="shared" si="105"/>
        <v>remote factor</v>
      </c>
      <c r="AI2193" s="4" t="str">
        <f>B626</f>
        <v>Presenting conflict of interest</v>
      </c>
      <c r="AJ2193" s="503" t="str">
        <f t="shared" si="107"/>
        <v>NOT YET VERIFIED</v>
      </c>
      <c r="AK2193" s="560">
        <f>E629</f>
        <v>0.61762499999999998</v>
      </c>
      <c r="AL2193" s="4" t="str">
        <f t="shared" si="106"/>
        <v>NOT YET VERIFIED</v>
      </c>
      <c r="AM2193" s="4" t="str">
        <f>B630</f>
        <v>only a remote factor</v>
      </c>
      <c r="AO2193" s="4">
        <f>D630</f>
        <v>0</v>
      </c>
      <c r="BB2193" s="388"/>
    </row>
    <row r="2194" spans="1:54" s="4" customFormat="1" ht="13" customHeight="1" x14ac:dyDescent="0.3">
      <c r="A2194" s="566">
        <f t="shared" si="104"/>
        <v>36</v>
      </c>
      <c r="B2194" s="562" t="str">
        <f t="shared" si="104"/>
        <v>moderate factor</v>
      </c>
      <c r="C2194" s="563" t="str">
        <f t="shared" si="104"/>
        <v>Disparate impact</v>
      </c>
      <c r="D2194" s="562" t="str">
        <f t="shared" si="104"/>
        <v>NOT YET VERIFIED</v>
      </c>
      <c r="E2194" s="905">
        <f t="shared" si="104"/>
        <v>0.65387499999999987</v>
      </c>
      <c r="F2194" s="905"/>
      <c r="AC2194" s="389"/>
      <c r="AG2194" s="4">
        <f>A631</f>
        <v>34</v>
      </c>
      <c r="AH2194" s="4" t="str">
        <f t="shared" si="105"/>
        <v>significant factor</v>
      </c>
      <c r="AI2194" s="4" t="str">
        <f>B631</f>
        <v>Perjured testimony or false accusation</v>
      </c>
      <c r="AJ2194" s="503" t="str">
        <f t="shared" si="107"/>
        <v>NOT YET VERIFIED</v>
      </c>
      <c r="AK2194" s="560">
        <f>E639</f>
        <v>0.64637499999999992</v>
      </c>
      <c r="AL2194" s="4" t="str">
        <f t="shared" si="106"/>
        <v>NOT YET VERIFIED</v>
      </c>
      <c r="AM2194" s="4" t="str">
        <f>B640</f>
        <v>yes, a significant factor</v>
      </c>
      <c r="AO2194" s="4">
        <f>D640</f>
        <v>0</v>
      </c>
      <c r="BB2194" s="388"/>
    </row>
    <row r="2195" spans="1:54" s="4" customFormat="1" ht="13" customHeight="1" x14ac:dyDescent="0.3">
      <c r="A2195" s="566">
        <f t="shared" si="104"/>
        <v>37</v>
      </c>
      <c r="B2195" s="562" t="str">
        <f t="shared" si="104"/>
        <v>moderate factor</v>
      </c>
      <c r="C2195" s="563" t="str">
        <f t="shared" si="104"/>
        <v>Law enforcement prejudice</v>
      </c>
      <c r="D2195" s="562" t="str">
        <f t="shared" si="104"/>
        <v>NOT YET VERIFIED</v>
      </c>
      <c r="E2195" s="905">
        <f t="shared" si="104"/>
        <v>0.66012499999999985</v>
      </c>
      <c r="F2195" s="905"/>
      <c r="AC2195" s="389"/>
      <c r="AG2195" s="4">
        <f>A642</f>
        <v>36</v>
      </c>
      <c r="AH2195" s="4" t="str">
        <f t="shared" si="105"/>
        <v>moderate factor</v>
      </c>
      <c r="AI2195" s="4" t="str">
        <f>B642</f>
        <v>Disparate impact</v>
      </c>
      <c r="AJ2195" s="503" t="str">
        <f t="shared" si="107"/>
        <v>NOT YET VERIFIED</v>
      </c>
      <c r="AK2195" s="560">
        <f>E645</f>
        <v>0.65387499999999987</v>
      </c>
      <c r="AL2195" s="4" t="str">
        <f t="shared" si="106"/>
        <v>NOT YET VERIFIED</v>
      </c>
      <c r="AM2195" s="4" t="str">
        <f>B646</f>
        <v>yes, a moderate factor</v>
      </c>
      <c r="AO2195" s="4">
        <f>D646</f>
        <v>0</v>
      </c>
      <c r="BB2195" s="388"/>
    </row>
    <row r="2196" spans="1:54" s="4" customFormat="1" ht="13" customHeight="1" x14ac:dyDescent="0.3">
      <c r="A2196" s="566">
        <f t="shared" si="104"/>
        <v>38</v>
      </c>
      <c r="B2196" s="562" t="str">
        <f t="shared" si="104"/>
        <v>significant factor</v>
      </c>
      <c r="C2196" s="563" t="str">
        <f t="shared" si="104"/>
        <v>Trial by media</v>
      </c>
      <c r="D2196" s="562" t="str">
        <f t="shared" si="104"/>
        <v>NOT YET VERIFIED</v>
      </c>
      <c r="E2196" s="905">
        <f t="shared" si="104"/>
        <v>0.67762499999999981</v>
      </c>
      <c r="F2196" s="905"/>
      <c r="AC2196" s="389"/>
      <c r="AG2196" s="4">
        <f>A647</f>
        <v>37</v>
      </c>
      <c r="AH2196" s="4" t="str">
        <f t="shared" si="105"/>
        <v>moderate factor</v>
      </c>
      <c r="AI2196" s="4" t="str">
        <f>B647</f>
        <v>Law enforcement prejudice</v>
      </c>
      <c r="AJ2196" s="503" t="str">
        <f t="shared" si="107"/>
        <v>NOT YET VERIFIED</v>
      </c>
      <c r="AK2196" s="560">
        <f>E650</f>
        <v>0.66012499999999985</v>
      </c>
      <c r="AL2196" s="4" t="str">
        <f t="shared" si="106"/>
        <v>NOT YET VERIFIED</v>
      </c>
      <c r="AM2196" s="4" t="str">
        <f>B651</f>
        <v>yes, a moderate factor</v>
      </c>
      <c r="AO2196" s="4">
        <f>D651</f>
        <v>0</v>
      </c>
      <c r="BB2196" s="388"/>
    </row>
    <row r="2197" spans="1:54" s="4" customFormat="1" ht="13" customHeight="1" x14ac:dyDescent="0.3">
      <c r="A2197" s="566">
        <f t="shared" si="104"/>
        <v>39</v>
      </c>
      <c r="B2197" s="562" t="str">
        <f t="shared" si="104"/>
        <v>significant factor</v>
      </c>
      <c r="C2197" s="563" t="str">
        <f t="shared" si="104"/>
        <v>Pled not guilty</v>
      </c>
      <c r="D2197" s="562" t="str">
        <f t="shared" si="104"/>
        <v>NOT YET VERIFIED</v>
      </c>
      <c r="E2197" s="905">
        <f t="shared" si="104"/>
        <v>0.70012499999999978</v>
      </c>
      <c r="F2197" s="905"/>
      <c r="AC2197" s="389"/>
      <c r="AG2197" s="4">
        <f>A652</f>
        <v>38</v>
      </c>
      <c r="AH2197" s="4" t="str">
        <f t="shared" si="105"/>
        <v>significant factor</v>
      </c>
      <c r="AI2197" s="4" t="str">
        <f>B652</f>
        <v>Trial by media</v>
      </c>
      <c r="AJ2197" s="503" t="str">
        <f t="shared" si="107"/>
        <v>NOT YET VERIFIED</v>
      </c>
      <c r="AK2197" s="560">
        <f>E655</f>
        <v>0.67762499999999981</v>
      </c>
      <c r="AL2197" s="4" t="str">
        <f t="shared" si="106"/>
        <v>NOT YET VERIFIED</v>
      </c>
      <c r="AM2197" s="4" t="str">
        <f>B656</f>
        <v>yes, a significant factor</v>
      </c>
      <c r="AO2197" s="4">
        <f>D656</f>
        <v>0</v>
      </c>
      <c r="BB2197" s="388"/>
    </row>
    <row r="2198" spans="1:54" s="4" customFormat="1" ht="13" customHeight="1" x14ac:dyDescent="0.3">
      <c r="A2198" s="566">
        <f t="shared" si="104"/>
        <v>40</v>
      </c>
      <c r="B2198" s="562" t="str">
        <f t="shared" si="104"/>
        <v>not a factor</v>
      </c>
      <c r="C2198" s="563" t="str">
        <f t="shared" si="104"/>
        <v>Alford plea</v>
      </c>
      <c r="D2198" s="562" t="str">
        <f t="shared" si="104"/>
        <v/>
      </c>
      <c r="E2198" s="905">
        <f t="shared" si="104"/>
        <v>0.70012499999999978</v>
      </c>
      <c r="F2198" s="905"/>
      <c r="AC2198" s="389"/>
      <c r="AG2198" s="4">
        <f>A660</f>
        <v>39</v>
      </c>
      <c r="AH2198" s="4" t="str">
        <f t="shared" si="105"/>
        <v>significant factor</v>
      </c>
      <c r="AI2198" s="4" t="str">
        <f>B660</f>
        <v>Pled not guilty</v>
      </c>
      <c r="AJ2198" s="503" t="str">
        <f t="shared" si="107"/>
        <v>NOT YET VERIFIED</v>
      </c>
      <c r="AK2198" s="560">
        <f>E663</f>
        <v>0.70012499999999978</v>
      </c>
      <c r="AL2198" s="4" t="str">
        <f t="shared" si="106"/>
        <v>NOT YET VERIFIED</v>
      </c>
      <c r="AM2198" s="4" t="str">
        <f>B664</f>
        <v>yes, a significant factor</v>
      </c>
      <c r="AO2198" s="4">
        <f>D664</f>
        <v>0</v>
      </c>
      <c r="BB2198" s="388"/>
    </row>
    <row r="2199" spans="1:54" s="4" customFormat="1" ht="13" customHeight="1" x14ac:dyDescent="0.3">
      <c r="A2199" s="566">
        <f t="shared" si="104"/>
        <v>41</v>
      </c>
      <c r="B2199" s="562" t="str">
        <f t="shared" si="104"/>
        <v>moderate factor</v>
      </c>
      <c r="C2199" s="563" t="str">
        <f t="shared" si="104"/>
        <v>Duration of innocence claim</v>
      </c>
      <c r="D2199" s="562" t="str">
        <f t="shared" si="104"/>
        <v>NOT YET VERIFIED</v>
      </c>
      <c r="E2199" s="905">
        <f t="shared" si="104"/>
        <v>0.71137499999999976</v>
      </c>
      <c r="F2199" s="905"/>
      <c r="AC2199" s="389"/>
      <c r="AG2199" s="4">
        <f>A665</f>
        <v>40</v>
      </c>
      <c r="AH2199" s="4" t="str">
        <f t="shared" si="105"/>
        <v>not a factor</v>
      </c>
      <c r="AI2199" s="4" t="str">
        <f>B665</f>
        <v>Alford plea</v>
      </c>
      <c r="AJ2199" s="503" t="str">
        <f t="shared" si="107"/>
        <v/>
      </c>
      <c r="AK2199" s="560">
        <f>E668</f>
        <v>0.70012499999999978</v>
      </c>
      <c r="AL2199" s="4" t="str">
        <f t="shared" si="106"/>
        <v/>
      </c>
      <c r="AM2199" s="4" t="str">
        <f>B669</f>
        <v>no, not a factor</v>
      </c>
      <c r="AO2199" s="4">
        <f>D669</f>
        <v>0</v>
      </c>
      <c r="BB2199" s="388"/>
    </row>
    <row r="2200" spans="1:54" s="4" customFormat="1" ht="13" customHeight="1" x14ac:dyDescent="0.3">
      <c r="A2200" s="566">
        <f t="shared" si="104"/>
        <v>42</v>
      </c>
      <c r="B2200" s="562" t="str">
        <f t="shared" si="104"/>
        <v>moderate factor</v>
      </c>
      <c r="C2200" s="563" t="str">
        <f t="shared" si="104"/>
        <v>Respect for crime victim(s)</v>
      </c>
      <c r="D2200" s="562" t="str">
        <f t="shared" si="104"/>
        <v>NOT YET VERIFIED</v>
      </c>
      <c r="E2200" s="905">
        <f t="shared" si="104"/>
        <v>0.72262499999999974</v>
      </c>
      <c r="F2200" s="905"/>
      <c r="AC2200" s="389"/>
      <c r="AG2200" s="4">
        <f>A670</f>
        <v>41</v>
      </c>
      <c r="AH2200" s="4" t="str">
        <f t="shared" si="105"/>
        <v>moderate factor</v>
      </c>
      <c r="AI2200" s="4" t="str">
        <f>B670</f>
        <v>Duration of innocence claim</v>
      </c>
      <c r="AJ2200" s="503" t="str">
        <f t="shared" si="107"/>
        <v>NOT YET VERIFIED</v>
      </c>
      <c r="AK2200" s="560">
        <f>E673</f>
        <v>0.71137499999999976</v>
      </c>
      <c r="AL2200" s="4" t="str">
        <f t="shared" si="106"/>
        <v>NOT YET VERIFIED</v>
      </c>
      <c r="AM2200" s="4" t="str">
        <f>B674</f>
        <v>yes, a moderate factor</v>
      </c>
      <c r="AO2200" s="4">
        <f>D674</f>
        <v>0</v>
      </c>
      <c r="BB2200" s="388"/>
    </row>
    <row r="2201" spans="1:54" s="4" customFormat="1" ht="13" customHeight="1" x14ac:dyDescent="0.3">
      <c r="A2201" s="566">
        <f t="shared" si="104"/>
        <v>43</v>
      </c>
      <c r="B2201" s="562" t="str">
        <f t="shared" si="104"/>
        <v>moderate factor</v>
      </c>
      <c r="C2201" s="563" t="str">
        <f t="shared" si="104"/>
        <v>Positive institutional record</v>
      </c>
      <c r="D2201" s="562" t="str">
        <f t="shared" si="104"/>
        <v>NOT YET VERIFIED</v>
      </c>
      <c r="E2201" s="905">
        <f t="shared" si="104"/>
        <v>0.73137499999999978</v>
      </c>
      <c r="F2201" s="905"/>
      <c r="AC2201" s="389"/>
      <c r="AG2201" s="4">
        <f>A676</f>
        <v>42</v>
      </c>
      <c r="AH2201" s="4" t="str">
        <f t="shared" si="105"/>
        <v>moderate factor</v>
      </c>
      <c r="AI2201" s="4" t="str">
        <f>B676</f>
        <v>Respect for crime victim(s)</v>
      </c>
      <c r="AJ2201" s="503" t="str">
        <f t="shared" si="107"/>
        <v>NOT YET VERIFIED</v>
      </c>
      <c r="AK2201" s="560">
        <f>E679</f>
        <v>0.72262499999999974</v>
      </c>
      <c r="AL2201" s="4" t="str">
        <f t="shared" si="106"/>
        <v>NOT YET VERIFIED</v>
      </c>
      <c r="AM2201" s="4" t="str">
        <f>B680</f>
        <v>yes, a moderate factor</v>
      </c>
      <c r="AO2201" s="4">
        <f>D680</f>
        <v>0</v>
      </c>
      <c r="BB2201" s="388"/>
    </row>
    <row r="2202" spans="1:54" s="4" customFormat="1" ht="13" customHeight="1" x14ac:dyDescent="0.3">
      <c r="A2202" s="566">
        <f t="shared" si="104"/>
        <v>44</v>
      </c>
      <c r="B2202" s="562" t="str">
        <f t="shared" si="104"/>
        <v>significant factor</v>
      </c>
      <c r="C2202" s="563" t="str">
        <f t="shared" si="104"/>
        <v>No criminal history</v>
      </c>
      <c r="D2202" s="562" t="str">
        <f t="shared" si="104"/>
        <v>NOT YET VERIFIED</v>
      </c>
      <c r="E2202" s="905">
        <f t="shared" si="104"/>
        <v>0.75137499999999979</v>
      </c>
      <c r="F2202" s="905"/>
      <c r="AC2202" s="389"/>
      <c r="AG2202" s="4">
        <f>A681</f>
        <v>43</v>
      </c>
      <c r="AH2202" s="4" t="str">
        <f t="shared" si="105"/>
        <v>moderate factor</v>
      </c>
      <c r="AI2202" s="4" t="str">
        <f>B681</f>
        <v>Positive institutional record</v>
      </c>
      <c r="AJ2202" s="503" t="str">
        <f t="shared" si="107"/>
        <v>NOT YET VERIFIED</v>
      </c>
      <c r="AK2202" s="560">
        <f>E684</f>
        <v>0.73137499999999978</v>
      </c>
      <c r="AL2202" s="4" t="str">
        <f t="shared" si="106"/>
        <v>NOT YET VERIFIED</v>
      </c>
      <c r="AM2202" s="4" t="str">
        <f>B685</f>
        <v>yes, a moderate factor</v>
      </c>
      <c r="AO2202" s="4">
        <f>D685</f>
        <v>0</v>
      </c>
      <c r="BB2202" s="388"/>
    </row>
    <row r="2203" spans="1:54" s="4" customFormat="1" ht="13" customHeight="1" x14ac:dyDescent="0.3">
      <c r="A2203" s="566">
        <f t="shared" si="104"/>
        <v>45</v>
      </c>
      <c r="B2203" s="562" t="str">
        <f t="shared" si="104"/>
        <v>moderate factor</v>
      </c>
      <c r="C2203" s="563" t="str">
        <f t="shared" si="104"/>
        <v>Parole denial from maintaining innocence</v>
      </c>
      <c r="D2203" s="562" t="str">
        <f t="shared" si="104"/>
        <v>NOT YET VERIFIED</v>
      </c>
      <c r="E2203" s="905">
        <f t="shared" si="104"/>
        <v>0.75887499999999974</v>
      </c>
      <c r="F2203" s="905"/>
      <c r="AC2203" s="389"/>
      <c r="AG2203" s="4">
        <f>A686</f>
        <v>44</v>
      </c>
      <c r="AH2203" s="4" t="str">
        <f t="shared" si="105"/>
        <v>significant factor</v>
      </c>
      <c r="AI2203" s="4" t="str">
        <f>B686</f>
        <v>No criminal history</v>
      </c>
      <c r="AJ2203" s="503" t="str">
        <f t="shared" si="107"/>
        <v>NOT YET VERIFIED</v>
      </c>
      <c r="AK2203" s="560">
        <f>E689</f>
        <v>0.75137499999999979</v>
      </c>
      <c r="AL2203" s="4" t="str">
        <f t="shared" si="106"/>
        <v>NOT YET VERIFIED</v>
      </c>
      <c r="AM2203" s="4" t="str">
        <f>B690</f>
        <v>yes, a significant factor</v>
      </c>
      <c r="AO2203" s="4">
        <f>D690</f>
        <v>0</v>
      </c>
      <c r="BB2203" s="388"/>
    </row>
    <row r="2204" spans="1:54" s="4" customFormat="1" ht="13" customHeight="1" x14ac:dyDescent="0.3">
      <c r="A2204" s="566">
        <f t="shared" si="104"/>
        <v>46</v>
      </c>
      <c r="B2204" s="562" t="str">
        <f t="shared" si="104"/>
        <v>moderate factor</v>
      </c>
      <c r="C2204" s="563" t="str">
        <f t="shared" si="104"/>
        <v>Any relief on appeal</v>
      </c>
      <c r="D2204" s="562" t="str">
        <f t="shared" si="104"/>
        <v>NOT YET VERIFIED</v>
      </c>
      <c r="E2204" s="905">
        <f t="shared" si="104"/>
        <v>0.7713749999999997</v>
      </c>
      <c r="F2204" s="905"/>
      <c r="AC2204" s="389"/>
      <c r="AG2204" s="4">
        <f>A692</f>
        <v>45</v>
      </c>
      <c r="AH2204" s="4" t="str">
        <f t="shared" si="105"/>
        <v>moderate factor</v>
      </c>
      <c r="AI2204" s="4" t="str">
        <f>B692</f>
        <v>Parole denial from maintaining innocence</v>
      </c>
      <c r="AJ2204" s="503" t="str">
        <f t="shared" si="107"/>
        <v>NOT YET VERIFIED</v>
      </c>
      <c r="AK2204" s="560">
        <f>E695</f>
        <v>0.75887499999999974</v>
      </c>
      <c r="AL2204" s="4" t="str">
        <f t="shared" si="106"/>
        <v>NOT YET VERIFIED</v>
      </c>
      <c r="AM2204" s="4" t="str">
        <f>B696</f>
        <v>yes, a moderate factor</v>
      </c>
      <c r="AO2204" s="4">
        <f>D696</f>
        <v>0</v>
      </c>
      <c r="BB2204" s="388"/>
    </row>
    <row r="2205" spans="1:54" s="4" customFormat="1" ht="13" customHeight="1" x14ac:dyDescent="0.3">
      <c r="A2205" s="566">
        <f t="shared" si="104"/>
        <v>47</v>
      </c>
      <c r="B2205" s="562" t="str">
        <f t="shared" si="104"/>
        <v>remote factor</v>
      </c>
      <c r="C2205" s="563" t="str">
        <f t="shared" si="104"/>
        <v>Supporters</v>
      </c>
      <c r="D2205" s="562" t="str">
        <f t="shared" si="104"/>
        <v>NOT YET VERIFIED</v>
      </c>
      <c r="E2205" s="905">
        <f t="shared" si="104"/>
        <v>0.77762499999999968</v>
      </c>
      <c r="F2205" s="905"/>
      <c r="AC2205" s="389"/>
      <c r="AG2205" s="4">
        <f>A708</f>
        <v>46</v>
      </c>
      <c r="AH2205" s="4" t="str">
        <f t="shared" si="105"/>
        <v>moderate factor</v>
      </c>
      <c r="AI2205" s="4" t="str">
        <f>B708</f>
        <v>Any relief on appeal</v>
      </c>
      <c r="AJ2205" s="503" t="str">
        <f t="shared" si="107"/>
        <v>NOT YET VERIFIED</v>
      </c>
      <c r="AK2205" s="560">
        <f>E711</f>
        <v>0.7713749999999997</v>
      </c>
      <c r="AL2205" s="4" t="str">
        <f t="shared" si="106"/>
        <v>NOT YET VERIFIED</v>
      </c>
      <c r="AM2205" s="4" t="str">
        <f>B712</f>
        <v>yes, a moderate factor</v>
      </c>
      <c r="AO2205" s="4">
        <f>D712</f>
        <v>0</v>
      </c>
      <c r="BB2205" s="388"/>
    </row>
    <row r="2206" spans="1:54" s="4" customFormat="1" ht="13" customHeight="1" x14ac:dyDescent="0.3">
      <c r="A2206" s="566">
        <f t="shared" si="104"/>
        <v>48</v>
      </c>
      <c r="B2206" s="562" t="str">
        <f t="shared" si="104"/>
        <v>not a factor</v>
      </c>
      <c r="C2206" s="563" t="str">
        <f t="shared" si="104"/>
        <v>Affidavits</v>
      </c>
      <c r="D2206" s="562" t="str">
        <f t="shared" si="104"/>
        <v/>
      </c>
      <c r="E2206" s="905">
        <f t="shared" si="104"/>
        <v>0.77762499999999968</v>
      </c>
      <c r="F2206" s="905"/>
      <c r="AC2206" s="389"/>
      <c r="AG2206" s="4">
        <f>A713</f>
        <v>47</v>
      </c>
      <c r="AH2206" s="4" t="str">
        <f t="shared" si="105"/>
        <v>remote factor</v>
      </c>
      <c r="AI2206" s="4" t="str">
        <f>B713</f>
        <v>Supporters</v>
      </c>
      <c r="AJ2206" s="503" t="str">
        <f t="shared" si="107"/>
        <v>NOT YET VERIFIED</v>
      </c>
      <c r="AK2206" s="560">
        <f>E716</f>
        <v>0.77762499999999968</v>
      </c>
      <c r="AL2206" s="4" t="str">
        <f t="shared" si="106"/>
        <v>NOT YET VERIFIED</v>
      </c>
      <c r="AM2206" s="4" t="str">
        <f>B717</f>
        <v>only a remote factor</v>
      </c>
      <c r="AO2206" s="4">
        <f>D717</f>
        <v>0</v>
      </c>
      <c r="BB2206" s="388"/>
    </row>
    <row r="2207" spans="1:54" s="4" customFormat="1" ht="13" customHeight="1" x14ac:dyDescent="0.3">
      <c r="A2207" s="566">
        <f t="shared" si="104"/>
        <v>49</v>
      </c>
      <c r="B2207" s="562" t="str">
        <f t="shared" si="104"/>
        <v>not a factor</v>
      </c>
      <c r="C2207" s="563" t="str">
        <f t="shared" si="104"/>
        <v>Judge support</v>
      </c>
      <c r="D2207" s="562" t="str">
        <f t="shared" si="104"/>
        <v/>
      </c>
      <c r="E2207" s="905">
        <f t="shared" si="104"/>
        <v>0.77762499999999968</v>
      </c>
      <c r="F2207" s="905"/>
      <c r="AC2207" s="389"/>
      <c r="AG2207" s="4">
        <f>A718</f>
        <v>48</v>
      </c>
      <c r="AH2207" s="4" t="str">
        <f t="shared" si="105"/>
        <v>not a factor</v>
      </c>
      <c r="AI2207" s="4" t="str">
        <f>B718</f>
        <v>Affidavits</v>
      </c>
      <c r="AJ2207" s="503" t="str">
        <f t="shared" si="107"/>
        <v/>
      </c>
      <c r="AK2207" s="560">
        <f>E721</f>
        <v>0.77762499999999968</v>
      </c>
      <c r="AL2207" s="4" t="str">
        <f t="shared" si="106"/>
        <v/>
      </c>
      <c r="AM2207" s="4" t="str">
        <f>B722</f>
        <v>no, not a factor</v>
      </c>
      <c r="AO2207" s="4">
        <f>D722</f>
        <v>0</v>
      </c>
      <c r="BB2207" s="388"/>
    </row>
    <row r="2208" spans="1:54" s="4" customFormat="1" ht="13" customHeight="1" x14ac:dyDescent="0.3">
      <c r="A2208" s="566">
        <f t="shared" si="104"/>
        <v>50</v>
      </c>
      <c r="B2208" s="562" t="str">
        <f t="shared" si="104"/>
        <v>not a factor</v>
      </c>
      <c r="C2208" s="563" t="str">
        <f t="shared" si="104"/>
        <v>Prosecutor support</v>
      </c>
      <c r="D2208" s="562" t="str">
        <f t="shared" si="104"/>
        <v/>
      </c>
      <c r="E2208" s="905">
        <f t="shared" si="104"/>
        <v>0.77762499999999968</v>
      </c>
      <c r="F2208" s="905"/>
      <c r="AC2208" s="389"/>
      <c r="AG2208" s="4">
        <f>A724</f>
        <v>49</v>
      </c>
      <c r="AH2208" s="4" t="str">
        <f t="shared" si="105"/>
        <v>not a factor</v>
      </c>
      <c r="AI2208" s="4" t="str">
        <f>B724</f>
        <v>Judge support</v>
      </c>
      <c r="AJ2208" s="503" t="str">
        <f t="shared" si="107"/>
        <v/>
      </c>
      <c r="AK2208" s="560">
        <f>E727</f>
        <v>0.77762499999999968</v>
      </c>
      <c r="AL2208" s="4" t="str">
        <f t="shared" si="106"/>
        <v/>
      </c>
      <c r="AM2208" s="4" t="str">
        <f>B728</f>
        <v>no, not a factor</v>
      </c>
      <c r="AO2208" s="4">
        <f>D728</f>
        <v>0</v>
      </c>
      <c r="BB2208" s="388"/>
    </row>
    <row r="2209" spans="1:60" s="4" customFormat="1" ht="13" customHeight="1" x14ac:dyDescent="0.3">
      <c r="A2209" s="566">
        <f t="shared" si="104"/>
        <v>51</v>
      </c>
      <c r="B2209" s="562" t="str">
        <f t="shared" si="104"/>
        <v>moderate factor</v>
      </c>
      <c r="C2209" s="563" t="str">
        <f t="shared" si="104"/>
        <v>Defense counsel support</v>
      </c>
      <c r="D2209" s="562" t="str">
        <f t="shared" si="104"/>
        <v>NOT YET VERIFIED</v>
      </c>
      <c r="E2209" s="905">
        <f t="shared" si="104"/>
        <v>0.78637499999999971</v>
      </c>
      <c r="F2209" s="905"/>
      <c r="AC2209" s="389"/>
      <c r="AG2209" s="4">
        <f>A729</f>
        <v>50</v>
      </c>
      <c r="AH2209" s="4" t="str">
        <f t="shared" si="105"/>
        <v>not a factor</v>
      </c>
      <c r="AI2209" s="4" t="str">
        <f>B729</f>
        <v>Prosecutor support</v>
      </c>
      <c r="AJ2209" s="503" t="str">
        <f t="shared" si="107"/>
        <v/>
      </c>
      <c r="AK2209" s="560">
        <f>E732</f>
        <v>0.77762499999999968</v>
      </c>
      <c r="AL2209" s="4" t="str">
        <f t="shared" si="106"/>
        <v/>
      </c>
      <c r="AM2209" s="4" t="str">
        <f>B733</f>
        <v>no, not a factor</v>
      </c>
      <c r="AO2209" s="4">
        <f>D733</f>
        <v>0</v>
      </c>
      <c r="BB2209" s="388"/>
    </row>
    <row r="2210" spans="1:60" s="4" customFormat="1" ht="13" customHeight="1" x14ac:dyDescent="0.3">
      <c r="A2210" s="566">
        <f t="shared" si="104"/>
        <v>52</v>
      </c>
      <c r="B2210" s="562" t="str">
        <f t="shared" si="104"/>
        <v>remote factor</v>
      </c>
      <c r="C2210" s="563" t="str">
        <f t="shared" si="104"/>
        <v>Influential support</v>
      </c>
      <c r="D2210" s="562" t="str">
        <f t="shared" si="104"/>
        <v>NOT YET VERIFIED</v>
      </c>
      <c r="E2210" s="905">
        <f t="shared" si="104"/>
        <v>0.79262499999999969</v>
      </c>
      <c r="F2210" s="905"/>
      <c r="AC2210" s="389"/>
      <c r="AG2210" s="4">
        <f>A734</f>
        <v>51</v>
      </c>
      <c r="AH2210" s="4" t="str">
        <f t="shared" si="105"/>
        <v>moderate factor</v>
      </c>
      <c r="AI2210" s="4" t="str">
        <f>B734</f>
        <v>Defense counsel support</v>
      </c>
      <c r="AJ2210" s="503" t="str">
        <f t="shared" si="107"/>
        <v>NOT YET VERIFIED</v>
      </c>
      <c r="AK2210" s="560">
        <f>E737</f>
        <v>0.78637499999999971</v>
      </c>
      <c r="AL2210" s="4" t="str">
        <f t="shared" si="106"/>
        <v>NOT YET VERIFIED</v>
      </c>
      <c r="AM2210" s="4" t="str">
        <f>B738</f>
        <v>yes, a moderate factor</v>
      </c>
      <c r="AO2210" s="4">
        <f>D738</f>
        <v>0</v>
      </c>
      <c r="BB2210" s="388"/>
    </row>
    <row r="2211" spans="1:60" s="4" customFormat="1" ht="13" customHeight="1" x14ac:dyDescent="0.3">
      <c r="A2211" s="566">
        <f t="shared" si="104"/>
        <v>53</v>
      </c>
      <c r="B2211" s="562" t="str">
        <f t="shared" si="104"/>
        <v>moderate factor</v>
      </c>
      <c r="C2211" s="563" t="str">
        <f t="shared" si="104"/>
        <v>Any other relevant items</v>
      </c>
      <c r="D2211" s="562" t="str">
        <f t="shared" si="104"/>
        <v>NOT YET VERIFIED</v>
      </c>
      <c r="E2211" s="905">
        <f t="shared" si="104"/>
        <v>0.80512499999999965</v>
      </c>
      <c r="F2211" s="905"/>
      <c r="AC2211" s="389"/>
      <c r="AG2211" s="4">
        <f>A739</f>
        <v>52</v>
      </c>
      <c r="AH2211" s="4" t="str">
        <f t="shared" si="105"/>
        <v>remote factor</v>
      </c>
      <c r="AI2211" s="4" t="str">
        <f>B739</f>
        <v>Influential support</v>
      </c>
      <c r="AJ2211" s="503" t="str">
        <f t="shared" si="107"/>
        <v>NOT YET VERIFIED</v>
      </c>
      <c r="AK2211" s="560">
        <f>E742</f>
        <v>0.79262499999999969</v>
      </c>
      <c r="AL2211" s="4" t="str">
        <f t="shared" si="106"/>
        <v>NOT YET VERIFIED</v>
      </c>
      <c r="AM2211" s="4" t="str">
        <f>B743</f>
        <v>only a remote factor</v>
      </c>
      <c r="AO2211" s="4">
        <f>D743</f>
        <v>0</v>
      </c>
      <c r="BB2211" s="388"/>
    </row>
    <row r="2212" spans="1:60" s="4" customFormat="1" ht="13" customHeight="1" x14ac:dyDescent="0.3">
      <c r="A2212" s="566">
        <f t="shared" si="104"/>
        <v>54</v>
      </c>
      <c r="B2212" s="562" t="str">
        <f t="shared" si="104"/>
        <v>not a factor</v>
      </c>
      <c r="C2212" s="563" t="str">
        <f t="shared" si="104"/>
        <v>Indictment changed</v>
      </c>
      <c r="D2212" s="562" t="str">
        <f t="shared" si="104"/>
        <v/>
      </c>
      <c r="E2212" s="905">
        <f t="shared" si="104"/>
        <v>0.80512499999999965</v>
      </c>
      <c r="F2212" s="905"/>
      <c r="AC2212" s="389"/>
      <c r="AG2212" s="4">
        <f>A747</f>
        <v>53</v>
      </c>
      <c r="AH2212" s="4" t="str">
        <f t="shared" si="105"/>
        <v>moderate factor</v>
      </c>
      <c r="AI2212" s="4" t="str">
        <f>B747</f>
        <v>Any other relevant items</v>
      </c>
      <c r="AJ2212" s="503" t="str">
        <f t="shared" si="107"/>
        <v>NOT YET VERIFIED</v>
      </c>
      <c r="AK2212" s="560">
        <f>E750</f>
        <v>0.80512499999999965</v>
      </c>
      <c r="AL2212" s="4" t="str">
        <f t="shared" si="106"/>
        <v>NOT YET VERIFIED</v>
      </c>
      <c r="AM2212" s="4" t="str">
        <f>B751</f>
        <v>yes, a moderate factor</v>
      </c>
      <c r="AO2212" s="4">
        <f>D751</f>
        <v>0</v>
      </c>
      <c r="BB2212" s="388"/>
    </row>
    <row r="2213" spans="1:60" s="4" customFormat="1" ht="13" customHeight="1" x14ac:dyDescent="0.3">
      <c r="A2213" s="566">
        <f t="shared" si="104"/>
        <v>55</v>
      </c>
      <c r="B2213" s="562" t="str">
        <f t="shared" si="104"/>
        <v>not a factor</v>
      </c>
      <c r="C2213" s="563" t="str">
        <f t="shared" si="104"/>
        <v>Plea deal turned down</v>
      </c>
      <c r="D2213" s="562" t="str">
        <f t="shared" si="104"/>
        <v/>
      </c>
      <c r="E2213" s="905">
        <f t="shared" si="104"/>
        <v>0.80512499999999965</v>
      </c>
      <c r="F2213" s="905"/>
      <c r="AC2213" s="389"/>
      <c r="AG2213" s="4">
        <f>A757</f>
        <v>54</v>
      </c>
      <c r="AH2213" s="4" t="str">
        <f t="shared" si="105"/>
        <v>not a factor</v>
      </c>
      <c r="AI2213" s="4" t="str">
        <f>B757</f>
        <v>Indictment changed</v>
      </c>
      <c r="AJ2213" s="503" t="str">
        <f t="shared" si="107"/>
        <v/>
      </c>
      <c r="AK2213" s="560">
        <f>E760</f>
        <v>0.80512499999999965</v>
      </c>
      <c r="AL2213" s="4" t="str">
        <f t="shared" si="106"/>
        <v/>
      </c>
      <c r="AM2213" s="4" t="str">
        <f>B761</f>
        <v>no, not a factor</v>
      </c>
      <c r="AO2213" s="4">
        <f>D761</f>
        <v>0</v>
      </c>
      <c r="BB2213" s="388"/>
    </row>
    <row r="2214" spans="1:60" s="4" customFormat="1" ht="13" customHeight="1" x14ac:dyDescent="0.3">
      <c r="A2214" s="566">
        <f t="shared" si="104"/>
        <v>56</v>
      </c>
      <c r="B2214" s="562" t="str">
        <f t="shared" si="104"/>
        <v>significant factor</v>
      </c>
      <c r="C2214" s="563" t="str">
        <f t="shared" si="104"/>
        <v>Asserted right to trial</v>
      </c>
      <c r="D2214" s="562" t="str">
        <f t="shared" si="104"/>
        <v>NOT YET VERIFIED</v>
      </c>
      <c r="E2214" s="905">
        <f t="shared" si="104"/>
        <v>0.83012499999999967</v>
      </c>
      <c r="F2214" s="905"/>
      <c r="AC2214" s="389"/>
      <c r="AG2214" s="4">
        <f>A762</f>
        <v>55</v>
      </c>
      <c r="AH2214" s="4" t="str">
        <f t="shared" si="105"/>
        <v>not a factor</v>
      </c>
      <c r="AI2214" s="4" t="str">
        <f>B762</f>
        <v>Plea deal turned down</v>
      </c>
      <c r="AJ2214" s="503" t="str">
        <f t="shared" si="107"/>
        <v/>
      </c>
      <c r="AK2214" s="560">
        <f>E765</f>
        <v>0.80512499999999965</v>
      </c>
      <c r="AL2214" s="4" t="str">
        <f t="shared" si="106"/>
        <v/>
      </c>
      <c r="AM2214" s="4" t="str">
        <f>B766</f>
        <v>no, not a factor</v>
      </c>
      <c r="AO2214" s="4">
        <f>D766</f>
        <v>0</v>
      </c>
      <c r="BB2214" s="388"/>
    </row>
    <row r="2215" spans="1:60" s="4" customFormat="1" ht="13" customHeight="1" x14ac:dyDescent="0.3">
      <c r="A2215" s="566">
        <f t="shared" si="104"/>
        <v>57</v>
      </c>
      <c r="B2215" s="562" t="str">
        <f t="shared" si="104"/>
        <v>significant factor</v>
      </c>
      <c r="C2215" s="563" t="str">
        <f t="shared" si="104"/>
        <v>Discovery with exculpatory evidence</v>
      </c>
      <c r="D2215" s="562" t="str">
        <f t="shared" si="104"/>
        <v>NOT YET VERIFIED</v>
      </c>
      <c r="E2215" s="905">
        <f t="shared" si="104"/>
        <v>0.85512499999999969</v>
      </c>
      <c r="F2215" s="905"/>
      <c r="AC2215" s="389"/>
      <c r="AG2215" s="4">
        <f>A767</f>
        <v>56</v>
      </c>
      <c r="AH2215" s="4" t="str">
        <f t="shared" si="105"/>
        <v>significant factor</v>
      </c>
      <c r="AI2215" s="4" t="str">
        <f>B767</f>
        <v>Asserted right to trial</v>
      </c>
      <c r="AJ2215" s="503" t="str">
        <f t="shared" si="107"/>
        <v>NOT YET VERIFIED</v>
      </c>
      <c r="AK2215" s="560">
        <f>E770</f>
        <v>0.83012499999999967</v>
      </c>
      <c r="AL2215" s="4" t="str">
        <f t="shared" si="106"/>
        <v>NOT YET VERIFIED</v>
      </c>
      <c r="AM2215" s="4" t="str">
        <f>B771</f>
        <v>yes, a significant factor</v>
      </c>
      <c r="AO2215" s="4">
        <f>D771</f>
        <v>0</v>
      </c>
      <c r="BB2215" s="388"/>
    </row>
    <row r="2216" spans="1:60" s="4" customFormat="1" ht="13" customHeight="1" x14ac:dyDescent="0.3">
      <c r="A2216" s="566">
        <f t="shared" si="104"/>
        <v>58</v>
      </c>
      <c r="B2216" s="562" t="str">
        <f t="shared" si="104"/>
        <v>not a factor</v>
      </c>
      <c r="C2216" s="563" t="str">
        <f t="shared" si="104"/>
        <v>Exculpatory evidence not provided in discovery</v>
      </c>
      <c r="D2216" s="562" t="str">
        <f t="shared" si="104"/>
        <v/>
      </c>
      <c r="E2216" s="905">
        <f t="shared" si="104"/>
        <v>0.85512499999999969</v>
      </c>
      <c r="F2216" s="905"/>
      <c r="AC2216" s="389"/>
      <c r="AG2216" s="4">
        <f>A772</f>
        <v>57</v>
      </c>
      <c r="AH2216" s="4" t="str">
        <f t="shared" si="105"/>
        <v>significant factor</v>
      </c>
      <c r="AI2216" s="4" t="str">
        <f>B772</f>
        <v>Discovery with exculpatory evidence</v>
      </c>
      <c r="AJ2216" s="503" t="str">
        <f t="shared" si="107"/>
        <v>NOT YET VERIFIED</v>
      </c>
      <c r="AK2216" s="560">
        <f>E775</f>
        <v>0.85512499999999969</v>
      </c>
      <c r="AL2216" s="4" t="str">
        <f t="shared" si="106"/>
        <v>NOT YET VERIFIED</v>
      </c>
      <c r="AM2216" s="4" t="str">
        <f>B776</f>
        <v>yes, a significant factor</v>
      </c>
      <c r="AO2216" s="4">
        <f>D776</f>
        <v>0</v>
      </c>
      <c r="BB2216" s="388"/>
    </row>
    <row r="2217" spans="1:60" s="4" customFormat="1" ht="13" customHeight="1" x14ac:dyDescent="0.3">
      <c r="A2217" s="545"/>
      <c r="B2217" s="562"/>
      <c r="C2217" s="563"/>
      <c r="D2217" s="562"/>
      <c r="E2217" s="905">
        <f>AK2219</f>
        <v>0</v>
      </c>
      <c r="F2217" s="905"/>
      <c r="AC2217" s="389"/>
      <c r="AG2217" s="4">
        <f>A777</f>
        <v>58</v>
      </c>
      <c r="AH2217" s="4" t="str">
        <f t="shared" si="105"/>
        <v>not a factor</v>
      </c>
      <c r="AI2217" s="4" t="str">
        <f>B777</f>
        <v>Exculpatory evidence not provided in discovery</v>
      </c>
      <c r="AJ2217" s="503" t="str">
        <f t="shared" si="107"/>
        <v/>
      </c>
      <c r="AK2217" s="560">
        <f>E780</f>
        <v>0.85512499999999969</v>
      </c>
      <c r="AL2217" s="4" t="str">
        <f t="shared" si="106"/>
        <v/>
      </c>
      <c r="AM2217" s="4" t="str">
        <f>B781</f>
        <v>no, not a factor</v>
      </c>
      <c r="AO2217" s="4">
        <f>D781</f>
        <v>0</v>
      </c>
      <c r="BB2217" s="388"/>
    </row>
    <row r="2218" spans="1:60" s="4" customFormat="1" ht="13" customHeight="1" thickBot="1" x14ac:dyDescent="0.35">
      <c r="A2218" s="545"/>
      <c r="B2218" s="655" t="s">
        <v>4361</v>
      </c>
      <c r="C2218" s="656" t="str">
        <f>IF(B500="","",B500)</f>
        <v>Need help identifying support in case documents</v>
      </c>
      <c r="D2218" s="657"/>
      <c r="E2218" s="658"/>
      <c r="F2218" s="564"/>
      <c r="AC2218" s="389"/>
      <c r="AJ2218" s="503"/>
      <c r="AK2218" s="560"/>
      <c r="BB2218" s="388"/>
    </row>
    <row r="2219" spans="1:60" s="4" customFormat="1" ht="13" customHeight="1" x14ac:dyDescent="0.3">
      <c r="A2219" s="246"/>
      <c r="B2219" s="246"/>
      <c r="C2219" s="246"/>
      <c r="D2219" s="246"/>
      <c r="E2219" s="246"/>
      <c r="F2219" s="246"/>
      <c r="AC2219" s="389"/>
      <c r="BB2219" s="388"/>
    </row>
    <row r="2220" spans="1:60" s="4" customFormat="1" ht="30" customHeight="1" x14ac:dyDescent="0.3">
      <c r="A2220" s="862" t="s">
        <v>92</v>
      </c>
      <c r="B2220" s="1151" t="s">
        <v>3632</v>
      </c>
      <c r="C2220" s="1151"/>
      <c r="D2220" s="872" t="s">
        <v>3514</v>
      </c>
      <c r="E2220" s="864"/>
      <c r="F2220" s="864"/>
      <c r="AC2220" s="389"/>
      <c r="AL2220" s="388" t="s">
        <v>4103</v>
      </c>
      <c r="BB2220" s="388"/>
    </row>
    <row r="2221" spans="1:60" s="4" customFormat="1" x14ac:dyDescent="0.3">
      <c r="A2221" s="246"/>
      <c r="B2221" s="246"/>
      <c r="C2221" s="246"/>
      <c r="D2221" s="246"/>
      <c r="E2221" s="246"/>
      <c r="F2221" s="246"/>
      <c r="AC2221" s="389"/>
      <c r="AE2221" s="648" t="s">
        <v>4365</v>
      </c>
      <c r="AI2221" s="508" t="str">
        <f>IF(C2223=AE2222,AI2222,IF(C2223=AE2223,AI2223,IF(C2223=AE2224,AI2224,IF(C2223=AE2225,AI2225,AI2226))))</f>
        <v>SELECT A RECIPIENT ABOVE TO SEE THE SUBJECT LINE</v>
      </c>
      <c r="BB2221" s="388"/>
      <c r="BH2221" s="669" t="str">
        <f>IF(D2224=AG2080,"R",IF(D2224=AG2079,"D","either"))</f>
        <v>either</v>
      </c>
    </row>
    <row r="2222" spans="1:60" s="4" customFormat="1" x14ac:dyDescent="0.3">
      <c r="A2222" s="246"/>
      <c r="B2222" s="246"/>
      <c r="C2222" s="246"/>
      <c r="D2222" s="246"/>
      <c r="E2222" s="246"/>
      <c r="F2222" s="246"/>
      <c r="AC2222" s="627" t="s">
        <v>62</v>
      </c>
      <c r="AE2222" s="4" t="str">
        <f>AE2125</f>
        <v>Steph Turner</v>
      </c>
      <c r="AI2222" s="508" t="str">
        <f>CONCATENATE(AK2222,AL2222,AM2222,AN2222,AO2222)</f>
        <v>Announcing a new tool for estimating viable claims of innocence</v>
      </c>
      <c r="AK2222" s="4" t="s">
        <v>4470</v>
      </c>
      <c r="AM2222" s="503"/>
      <c r="BH2222" s="4" t="s">
        <v>4466</v>
      </c>
    </row>
    <row r="2223" spans="1:60" s="4" customFormat="1" ht="14.5" thickBot="1" x14ac:dyDescent="0.35">
      <c r="A2223" s="246"/>
      <c r="B2223" s="477" t="s">
        <v>1408</v>
      </c>
      <c r="C2223" s="1116" t="s">
        <v>5186</v>
      </c>
      <c r="D2223" s="1117"/>
      <c r="E2223" s="1117"/>
      <c r="F2223" s="246"/>
      <c r="AC2223" s="627" t="s">
        <v>64</v>
      </c>
      <c r="AE2223" s="4" t="str">
        <f>AE2126</f>
        <v>Proxy</v>
      </c>
      <c r="AI2223" s="508" t="str">
        <f>CONCATENATE(AK2223,AL2223,AM2223,AN2223,AO2223)</f>
        <v>Assessing your responsiveness to Steph Turner's 86% estimated innocence</v>
      </c>
      <c r="AK2223" s="4" t="s">
        <v>4494</v>
      </c>
      <c r="AL2223" s="4" t="str">
        <f>BG202</f>
        <v>Steph Turner</v>
      </c>
      <c r="AM2223" s="503" t="s">
        <v>3587</v>
      </c>
      <c r="AN2223" s="629">
        <f>AI1984</f>
        <v>86</v>
      </c>
      <c r="AO2223" s="503" t="s">
        <v>4493</v>
      </c>
      <c r="BB2223" s="388"/>
      <c r="BH2223" s="4" t="s">
        <v>4467</v>
      </c>
    </row>
    <row r="2224" spans="1:60" s="4" customFormat="1" ht="14.5" thickBot="1" x14ac:dyDescent="0.35">
      <c r="A2224" s="246"/>
      <c r="B2224" s="477" t="s">
        <v>1409</v>
      </c>
      <c r="C2224" s="617" t="s">
        <v>3544</v>
      </c>
      <c r="D2224" s="945" t="str">
        <f>AE2226</f>
        <v>PARTY OF DA</v>
      </c>
      <c r="E2224" s="946"/>
      <c r="F2224" s="246"/>
      <c r="AC2224" s="627" t="s">
        <v>4055</v>
      </c>
      <c r="AE2224" s="4" t="str">
        <f>AE2127</f>
        <v>Steph &amp; Proxy</v>
      </c>
      <c r="AI2224" s="508" t="str">
        <f>CONCATENATE(AK2224,AL2224,AM2224,AN2224,AO2224)</f>
        <v>Auditing your support for independently verified innocence</v>
      </c>
      <c r="AK2224" s="4" t="s">
        <v>4535</v>
      </c>
      <c r="AM2224" s="503"/>
      <c r="BB2224" s="388"/>
      <c r="BH2224" s="4" t="s">
        <v>4468</v>
      </c>
    </row>
    <row r="2225" spans="1:60" s="4" customFormat="1" x14ac:dyDescent="0.3">
      <c r="A2225" s="246"/>
      <c r="B2225" s="477" t="s">
        <v>1410</v>
      </c>
      <c r="C2225" s="527">
        <f ca="1">TODAY()</f>
        <v>45774</v>
      </c>
      <c r="D2225" s="479"/>
      <c r="E2225" s="479"/>
      <c r="F2225" s="246"/>
      <c r="AC2225" s="627" t="s">
        <v>3288</v>
      </c>
      <c r="AE2225" s="4" t="str">
        <f>AE2128</f>
        <v/>
      </c>
      <c r="AI2225" s="508" t="str">
        <f>CONCATENATE(AK2225,AL2225,AM2225,AN2225,AO2225)</f>
        <v>Avowing to clear Steph Turner's name by any legitimate means possible</v>
      </c>
      <c r="AK2225" s="4" t="s">
        <v>4471</v>
      </c>
      <c r="AL2225" s="4" t="str">
        <f>AL2223</f>
        <v>Steph Turner</v>
      </c>
      <c r="AM2225" s="503" t="s">
        <v>4472</v>
      </c>
      <c r="BB2225" s="388"/>
      <c r="BH2225" s="4" t="s">
        <v>4469</v>
      </c>
    </row>
    <row r="2226" spans="1:60" s="4" customFormat="1" x14ac:dyDescent="0.3">
      <c r="A2226" s="246"/>
      <c r="B2226" s="477" t="s">
        <v>1411</v>
      </c>
      <c r="C2226" s="943" t="s">
        <v>4470</v>
      </c>
      <c r="D2226" s="944"/>
      <c r="E2226" s="944"/>
      <c r="F2226" s="246"/>
      <c r="AC2226" s="389"/>
      <c r="AE2226" s="4" t="s">
        <v>4485</v>
      </c>
      <c r="AI2226" s="4" t="s">
        <v>4273</v>
      </c>
      <c r="BB2226" s="388"/>
    </row>
    <row r="2227" spans="1:60" s="4" customFormat="1" x14ac:dyDescent="0.3">
      <c r="A2227" s="246"/>
      <c r="B2227" s="246"/>
      <c r="C2227" s="246"/>
      <c r="D2227" s="246"/>
      <c r="E2227" s="246"/>
      <c r="F2227" s="246"/>
      <c r="AC2227" s="389"/>
      <c r="BB2227" s="388"/>
    </row>
    <row r="2228" spans="1:60" s="4" customFormat="1" x14ac:dyDescent="0.3">
      <c r="A2228" s="246"/>
      <c r="B2228" s="1047" t="str">
        <f>IF(C2226="","",AC2231)</f>
        <v>You must get hundreds of petitions each year from prisoners claiming to be railroaded. It's hard to take them seriously. Once convicted, you know felons will do just about anything to undo that conviction. Prisoners are desperate to regain their lost freedom. They will irresponsibly game the system in much the same way they irresponsibly manipulated the situation of their crime.</v>
      </c>
      <c r="C2228" s="1047"/>
      <c r="D2228" s="1047"/>
      <c r="E2228" s="1047"/>
      <c r="F2228" s="246"/>
      <c r="AC2228" s="389"/>
      <c r="BB2228" s="388"/>
    </row>
    <row r="2229" spans="1:60" s="4" customFormat="1" x14ac:dyDescent="0.3">
      <c r="A2229" s="246"/>
      <c r="B2229" s="1047"/>
      <c r="C2229" s="1047"/>
      <c r="D2229" s="1047"/>
      <c r="E2229" s="1047"/>
      <c r="F2229" s="246"/>
      <c r="AC2229" s="389"/>
      <c r="BB2229" s="388"/>
    </row>
    <row r="2230" spans="1:60" s="4" customFormat="1" x14ac:dyDescent="0.3">
      <c r="A2230" s="246"/>
      <c r="B2230" s="1047"/>
      <c r="C2230" s="1047"/>
      <c r="D2230" s="1047"/>
      <c r="E2230" s="1047"/>
      <c r="F2230" s="246"/>
      <c r="AC2230" s="389"/>
      <c r="BB2230" s="388"/>
      <c r="BH2230" s="4" t="s">
        <v>4427</v>
      </c>
    </row>
    <row r="2231" spans="1:60" s="4" customFormat="1" x14ac:dyDescent="0.3">
      <c r="A2231" s="246"/>
      <c r="B2231" s="1047"/>
      <c r="C2231" s="1047"/>
      <c r="D2231" s="1047"/>
      <c r="E2231" s="1047"/>
      <c r="F2231" s="246"/>
      <c r="AC2231" s="632" t="str">
        <f>IF($C$2226=$AI$2222,AF2233,IF($C$2226=$AI$2223,AF2234,IF($C$2226=$AI$2224,AF2235,IF($C$2226=$AI$2225,AF2236,))))</f>
        <v>You must get hundreds of petitions each year from prisoners claiming to be railroaded. It's hard to take them seriously. Once convicted, you know felons will do just about anything to undo that conviction. Prisoners are desperate to regain their lost freedom. They will irresponsibly game the system in much the same way they irresponsibly manipulated the situation of their crime.</v>
      </c>
      <c r="BB2231" s="388"/>
    </row>
    <row r="2232" spans="1:60" s="4" customFormat="1" x14ac:dyDescent="0.3">
      <c r="A2232" s="246"/>
      <c r="B2232" s="1047"/>
      <c r="C2232" s="1047"/>
      <c r="D2232" s="1047"/>
      <c r="E2232" s="1047"/>
      <c r="F2232" s="246"/>
      <c r="AF2232" s="508">
        <f>IF($B$1988="",AG2232,AT$1994)</f>
        <v>1</v>
      </c>
      <c r="AG2232" s="4" t="s">
        <v>3602</v>
      </c>
      <c r="BB2232" s="388"/>
    </row>
    <row r="2233" spans="1:60" s="4" customFormat="1" x14ac:dyDescent="0.3">
      <c r="A2233" s="246"/>
      <c r="B2233" s="1047" t="str">
        <f>IF(C2226="","",AC2237)</f>
        <v xml:space="preserve">Or is the truth buried in these assumptions? Let's be honest now. Your job urges you to claim more than you actually know. While you cling to 'conviction finality', you don't really know what you don't know. Let's face it, it's now easier for the accused to admit their human imperfections than for police and prosecutors to admit theirs. </v>
      </c>
      <c r="C2233" s="1047"/>
      <c r="D2233" s="1047"/>
      <c r="E2233" s="1047"/>
      <c r="F2233" s="246"/>
      <c r="AC2233" s="627" t="s">
        <v>62</v>
      </c>
      <c r="AF2233" s="628" t="str">
        <f>IF($C$2223=$DX$3227,CONCATENATE(AI2233,AJ2233,AK2233),AG2233)</f>
        <v>You must get hundreds of petitions each year from prisoners claiming to be railroaded. It's hard to take them seriously. Once convicted, you know felons will do just about anything to undo that conviction. Prisoners are desperate to regain their lost freedom. They will irresponsibly game the system in much the same way they irresponsibly manipulated the situation of their crime.</v>
      </c>
      <c r="AG2233" s="628" t="str">
        <f>CONCATENATE(AL2233,AM2233,AN2233,AO2233,AP2233,AQ2233,AR2233,AS2233,AT2233,AU2233,AV2233,AW2233,AX2233,AY2233,AZ2233,BA2233,BB2233,BC2233)</f>
        <v>NOT YET READY</v>
      </c>
      <c r="AI2233" s="4" t="s">
        <v>4486</v>
      </c>
      <c r="AK2233" s="503" t="s">
        <v>885</v>
      </c>
      <c r="AL2233" s="642" t="s">
        <v>4231</v>
      </c>
      <c r="AV2233" s="503"/>
      <c r="AW2233" s="629"/>
      <c r="AX2233" s="629"/>
      <c r="AY2233" s="503"/>
      <c r="BB2233" s="388"/>
    </row>
    <row r="2234" spans="1:60" s="4" customFormat="1" x14ac:dyDescent="0.3">
      <c r="A2234" s="246"/>
      <c r="B2234" s="1047"/>
      <c r="C2234" s="1047"/>
      <c r="D2234" s="1047"/>
      <c r="E2234" s="1047"/>
      <c r="F2234" s="246"/>
      <c r="AC2234" s="627" t="s">
        <v>64</v>
      </c>
      <c r="AF2234" s="628" t="str">
        <f>IF($C$2223=$DX$3227,CONCATENATE(AI2234,AJ2234,AK2234),AG2234)</f>
        <v xml:space="preserve">“The primary duty of the prosecutor is to seek justice within the bounds of the law, not merely to convict.” But interpretations of justice, and generalizations about what is necessary for public safety, gets skewed by power dynamics. With minimal accountability, you easily generalize against the falsely accused. Tunnel vision investigations too easily convict the innocent. </v>
      </c>
      <c r="AG2234" s="628" t="str">
        <f>CONCATENATE(AL2234,AM2234,AN2234,AO2234,AP2234,AQ2234,AR2234,AS2234,AT2234,AU2234,AV2234,AW2234,AX2234,AY2234,AZ2234,BA2234,BB2234,BC2234)</f>
        <v>THIS PART NOT YET READY</v>
      </c>
      <c r="AI2234" s="4" t="s">
        <v>4490</v>
      </c>
      <c r="AL2234" s="642" t="s">
        <v>4566</v>
      </c>
      <c r="AZ2234" s="629"/>
      <c r="BB2234" s="388"/>
    </row>
    <row r="2235" spans="1:60" s="4" customFormat="1" x14ac:dyDescent="0.3">
      <c r="A2235" s="246"/>
      <c r="B2235" s="1047"/>
      <c r="C2235" s="1047"/>
      <c r="D2235" s="1047"/>
      <c r="E2235" s="1047"/>
      <c r="F2235" s="246"/>
      <c r="AC2235" s="627" t="s">
        <v>4055</v>
      </c>
      <c r="AD2235" s="503" t="str">
        <f>IF($D$1768=$AQ$1768,AF2235,AH2235)</f>
        <v>REQUIRES PASSKEY</v>
      </c>
      <c r="AE2235" s="503" t="str">
        <f>IF($D$1768=$AQ$1768,AG2235,AH2235)</f>
        <v>REQUIRES PASSKEY</v>
      </c>
      <c r="AF2235" s="628" t="str">
        <f>IF($C$2223=$DX$3227,CONCATENATE(AI2235,AJ2235,AK2235,AL2235,AM2235,AN2235,AO2235,AP2235,AQ2235),AG2235)</f>
        <v xml:space="preserve">Your life is busy, we get it. You don't have time to look too deeply into Steph Turner's innocence claim, as his support team works to identify any support in his case documents. Meanwhile, the wrongful conviction and efforts to resolve it continue to exact a heavy cost not only on his life but also on all his loved ones. </v>
      </c>
      <c r="AG2235" s="628" t="str">
        <f>CONCATENATE(AR2235,AS2235,AT2235,AU2235,AV2235,AW2235,AX2235,AY2235,AZ2235,BA2235,BB2235,BC2235)</f>
        <v>NOT READY YET</v>
      </c>
      <c r="AH2235" s="659" t="s">
        <v>4362</v>
      </c>
      <c r="AI2235" s="4" t="s">
        <v>4536</v>
      </c>
      <c r="AJ2235" s="4" t="str">
        <f>BG202</f>
        <v>Steph Turner</v>
      </c>
      <c r="AK2235" s="503" t="s">
        <v>4539</v>
      </c>
      <c r="AL2235" s="4" t="str">
        <f>BP504</f>
        <v xml:space="preserve">, as his support team works to identify any support in his case documents. </v>
      </c>
      <c r="AM2235" s="4" t="s">
        <v>4542</v>
      </c>
      <c r="AN2235" s="4" t="str">
        <f>BJ206</f>
        <v>his</v>
      </c>
      <c r="AO2235" s="4" t="s">
        <v>4540</v>
      </c>
      <c r="AP2235" s="4" t="str">
        <f>BJ206</f>
        <v>his</v>
      </c>
      <c r="AQ2235" s="4" t="s">
        <v>4541</v>
      </c>
      <c r="AR2235" s="642" t="s">
        <v>4567</v>
      </c>
      <c r="BB2235" s="388"/>
    </row>
    <row r="2236" spans="1:60" s="4" customFormat="1" x14ac:dyDescent="0.3">
      <c r="A2236" s="246"/>
      <c r="B2236" s="1047"/>
      <c r="C2236" s="1047"/>
      <c r="D2236" s="1047"/>
      <c r="E2236" s="1047"/>
      <c r="F2236" s="246"/>
      <c r="AC2236" s="627" t="s">
        <v>3288</v>
      </c>
      <c r="AD2236" s="503" t="str">
        <f>IF($D$1768=$AQ$1768,AF2236,AH2236)</f>
        <v>REQUIRES PASSKEY</v>
      </c>
      <c r="AE2236" s="503" t="str">
        <f>IF($D$1768=$AQ$1768,AF2236,AH2236)</f>
        <v>REQUIRES PASSKEY</v>
      </c>
      <c r="AF2236" s="628" t="str">
        <f>IF($C$2223=$DX$3227,CONCATENATE(AI2236,AJ2236,AK2236,AL2236,AM2236,AN2236,AO2236,AP2236,AQ2236),AG2236)</f>
        <v>Welcome to need-response. Where we focus on resolving all affected needs. That includes resolving Steph Turner's need for justice, in sync with your need to protect the public. Now that Steph's estimated innocence is now up to 86%, we question the legitimacy of authority to whomever rejects this empirical data.</v>
      </c>
      <c r="AG2236" s="628" t="str">
        <f>CONCATENATE(AR2236,AS2236,AT2236,AU2236,AV2236,AW2236,AX2236,AY2236,AZ2236,BA2236,BB2236,BC2236)</f>
        <v>STILL WORKING ON THIS PART</v>
      </c>
      <c r="AH2236" s="659" t="s">
        <v>4362</v>
      </c>
      <c r="AI2236" s="4" t="s">
        <v>4551</v>
      </c>
      <c r="AJ2236" s="4" t="str">
        <f>BG202</f>
        <v>Steph Turner</v>
      </c>
      <c r="AK2236" s="503" t="s">
        <v>4552</v>
      </c>
      <c r="AL2236" s="4" t="str">
        <f>AN202</f>
        <v>Steph</v>
      </c>
      <c r="AM2236" s="503" t="s">
        <v>4553</v>
      </c>
      <c r="AN2236" s="629">
        <f>AI1984</f>
        <v>86</v>
      </c>
      <c r="AO2236" s="503" t="s">
        <v>4554</v>
      </c>
      <c r="AR2236" s="642" t="s">
        <v>4568</v>
      </c>
      <c r="BB2236" s="388"/>
    </row>
    <row r="2237" spans="1:60" s="4" customFormat="1" x14ac:dyDescent="0.3">
      <c r="A2237" s="246"/>
      <c r="B2237" s="1047"/>
      <c r="C2237" s="1047"/>
      <c r="D2237" s="1047"/>
      <c r="E2237" s="1047"/>
      <c r="F2237" s="246"/>
      <c r="AC2237" s="632" t="str">
        <f>IF($C$2226=$AI$2222,AF2239,IF($C$2226=$AI$2223,AF2240,IF($C$2226=$AI$2224,AF2241,IF($C$2226=$AI$2225,AF2242,))))</f>
        <v xml:space="preserve">Or is the truth buried in these assumptions? Let's be honest now. Your job urges you to claim more than you actually know. While you cling to 'conviction finality', you don't really know what you don't know. Let's face it, it's now easier for the accused to admit their human imperfections than for police and prosecutors to admit theirs. </v>
      </c>
      <c r="BB2237" s="388"/>
    </row>
    <row r="2238" spans="1:60" s="4" customFormat="1" x14ac:dyDescent="0.3">
      <c r="A2238" s="246"/>
      <c r="B2238" s="1047" t="str">
        <f>IF(C2226="","",AC2243)</f>
        <v>We're making it easier for you. Value Relating LLC is pioneering a tool for quantifying an innocence claim. Steph Turner is among the first to try it. He was convicted by your office back in 1993. Since then, he maintains that he is actually innocent. By comparing his claim to known exonerations, we can estimate with 86% certainty that Steph is indeed actually innocent.</v>
      </c>
      <c r="C2238" s="1047"/>
      <c r="D2238" s="1047"/>
      <c r="E2238" s="1047"/>
      <c r="F2238" s="246"/>
      <c r="AC2238" s="627"/>
      <c r="AF2238" s="508">
        <f>IF($B$1988="",AG2238,AT$1994)</f>
        <v>1</v>
      </c>
      <c r="AG2238" s="4" t="s">
        <v>3603</v>
      </c>
      <c r="BB2238" s="388"/>
    </row>
    <row r="2239" spans="1:60" s="4" customFormat="1" x14ac:dyDescent="0.3">
      <c r="A2239" s="246"/>
      <c r="B2239" s="1047"/>
      <c r="C2239" s="1047"/>
      <c r="D2239" s="1047"/>
      <c r="E2239" s="1047"/>
      <c r="F2239" s="246"/>
      <c r="AC2239" s="627" t="s">
        <v>62</v>
      </c>
      <c r="AF2239" s="628" t="str">
        <f>IF($C$2223=$DX$3227,CONCATENATE(AI2239,AJ2239,AK2239),AG2239)</f>
        <v xml:space="preserve">Or is the truth buried in these assumptions? Let's be honest now. Your job urges you to claim more than you actually know. While you cling to 'conviction finality', you don't really know what you don't know. Let's face it, it's now easier for the accused to admit their human imperfections than for police and prosecutors to admit theirs. </v>
      </c>
      <c r="AG2239" s="628" t="str">
        <f>CONCATENATE(AL2239,AM2239,AN2239,AO2239,AP2239,AQ2239,AR2239,AS2239,AT2239,AU2239,AV2239,AW2239,AX2239,AY2239,AZ2239,BA2239,BB2239,BC2239)</f>
        <v>NOT YET READY</v>
      </c>
      <c r="AI2239" s="4" t="s">
        <v>4475</v>
      </c>
      <c r="AK2239" s="503" t="s">
        <v>885</v>
      </c>
      <c r="AL2239" s="642" t="str">
        <f>AL2233</f>
        <v>NOT YET READY</v>
      </c>
      <c r="AR2239" s="52"/>
      <c r="AU2239" s="503"/>
      <c r="AV2239" s="503"/>
      <c r="AY2239" s="503"/>
      <c r="BB2239" s="388"/>
    </row>
    <row r="2240" spans="1:60" s="4" customFormat="1" x14ac:dyDescent="0.3">
      <c r="A2240" s="246"/>
      <c r="B2240" s="1047"/>
      <c r="C2240" s="1047"/>
      <c r="D2240" s="1047"/>
      <c r="E2240" s="1047"/>
      <c r="F2240" s="246"/>
      <c r="AC2240" s="627" t="s">
        <v>64</v>
      </c>
      <c r="AF2240" s="628" t="str">
        <f>IF($C$2223=$DX$3227,CONCATENATE(AI2240,AJ2240,AK2240),AG2240)</f>
        <v xml:space="preserve">In the interest of deeper justice, need-response counters power dynamics by going straight to the affected needs on all sides. All personal needs are respected equally. Your institutional needs, such as the state’s exclusive right to violence, can never be greater than the personal needs for which these institutional needs exist to serve. </v>
      </c>
      <c r="AG2240" s="628" t="str">
        <f>CONCATENATE(AL2240,AM2240,AN2240,AO2240,AP2240,AQ2240,AR2240,AS2240,AT2240,AU2240,AV2240,AW2240,AX2240,AY2240,AZ2240,BA2240,BB2240,BC2240)</f>
        <v xml:space="preserve">THIS PART NOT YET READYWhile placement is a binary (under custody or not under state custody), </v>
      </c>
      <c r="AI2240" s="4" t="s">
        <v>4495</v>
      </c>
      <c r="AL2240" s="642" t="str">
        <f>AL2234</f>
        <v>THIS PART NOT YET READY</v>
      </c>
      <c r="AN2240" s="4" t="s">
        <v>4487</v>
      </c>
      <c r="BB2240" s="388"/>
    </row>
    <row r="2241" spans="1:71" s="4" customFormat="1" x14ac:dyDescent="0.3">
      <c r="A2241" s="246"/>
      <c r="B2241" s="1047"/>
      <c r="C2241" s="1047"/>
      <c r="D2241" s="1047"/>
      <c r="E2241" s="1047"/>
      <c r="F2241" s="246"/>
      <c r="AC2241" s="627" t="s">
        <v>4055</v>
      </c>
      <c r="AD2241" s="503" t="str">
        <f>IF($D$1768=$AQ$1768,AF2241,AH2241)</f>
        <v>REQUIRES PASSKEY</v>
      </c>
      <c r="AE2241" s="503" t="str">
        <f>IF($D$1768=$AQ$1768,AF2241,AH2241)</f>
        <v>REQUIRES PASSKEY</v>
      </c>
      <c r="AF2241" s="628" t="str">
        <f>IF($C$2223=$DX$3227,CONCATENATE(AI2241,AJ2241,AK2241),AG2241)</f>
        <v>In the interest of justice for all, we must hold you accountable for the power you hold over our lives. Not in anger, but as a service to you and to your office. This new professional field of need-response prioritizes objective needs over arbitrary laws. While no one sits above the law, no law sits above the needs for which it exists to serve.</v>
      </c>
      <c r="AG2241" s="628" t="str">
        <f>CONCATENATE(AL2241,AM2241,AN2241,AO2241,AP2241,AQ2241,AR2241,AS2241,AT2241,AU2241,AV2241,AW2241,AX2241,AY2241,AZ2241,BA2241,BB2241,BC2241)</f>
        <v>NOT READY YET</v>
      </c>
      <c r="AH2241" s="659" t="s">
        <v>4362</v>
      </c>
      <c r="AI2241" s="4" t="s">
        <v>4543</v>
      </c>
      <c r="AL2241" s="642" t="str">
        <f>AR2235</f>
        <v>NOT READY YET</v>
      </c>
      <c r="BB2241" s="388"/>
      <c r="BM2241" s="4" t="s">
        <v>4534</v>
      </c>
    </row>
    <row r="2242" spans="1:71" s="4" customFormat="1" x14ac:dyDescent="0.3">
      <c r="A2242" s="246"/>
      <c r="B2242" s="1047"/>
      <c r="C2242" s="1047"/>
      <c r="D2242" s="1047"/>
      <c r="E2242" s="1047"/>
      <c r="F2242" s="246"/>
      <c r="AC2242" s="627" t="s">
        <v>3288</v>
      </c>
      <c r="AD2242" s="503" t="str">
        <f>IF($D$1768=$AQ$1768,AF2242,AH2242)</f>
        <v>REQUIRES PASSKEY</v>
      </c>
      <c r="AE2242" s="503" t="str">
        <f>IF($D$1768=$AQ$1768,AF2242,AH2242)</f>
        <v>REQUIRES PASSKEY</v>
      </c>
      <c r="AF2242" s="628" t="str">
        <f>IF($C$2223=$DX$3227,CONCATENATE(AI2242,AJ2242,AK2242),AG2242)</f>
        <v>From this point forward, we challenge any authority presumed over anyone’s needs. Every human need exists as objective phenomenon. You may contest how one’s attempt to relieve a need affects others, which is central to the purpose of law enforcement. No legitimate authority cever contest the reality of the needs themselves.</v>
      </c>
      <c r="AG2242" s="628" t="str">
        <f>CONCATENATE(AL2242,AM2242,AN2242,AO2242,AP2242,AQ2242,AR2242,AS2242,AT2242,AU2242,AV2242,AW2242,AX2242,AY2242,AZ2242,BA2242,BB2242,BC2242)</f>
        <v>STILL WORKING ON THIS PART</v>
      </c>
      <c r="AH2242" s="659" t="s">
        <v>4362</v>
      </c>
      <c r="AI2242" s="4" t="s">
        <v>4562</v>
      </c>
      <c r="AL2242" s="642" t="str">
        <f>AR2236</f>
        <v>STILL WORKING ON THIS PART</v>
      </c>
      <c r="BB2242" s="388"/>
    </row>
    <row r="2243" spans="1:71" s="4" customFormat="1" x14ac:dyDescent="0.3">
      <c r="A2243" s="246"/>
      <c r="B2243" s="1047" t="str">
        <f>IF(C2226="","",AC2249)</f>
        <v xml:space="preserve">See the attached Conviction Quality Report for the results. The tool is being used by Steph's supporters, who are trying to improve the estimate score by verifying the details of his innocence claim. They are now seeking support, checking if the links work for his case documents.  We trust your commitment to justice will support this need.  </v>
      </c>
      <c r="C2243" s="1047"/>
      <c r="D2243" s="1047"/>
      <c r="E2243" s="1047"/>
      <c r="F2243" s="246"/>
      <c r="X2243" s="671"/>
      <c r="AC2243" s="632" t="str">
        <f>IF($C$2226=$AI$2222,AF2245,IF($C$2226=$AI$2223,AF2246,IF($C$2226=$AI$2224,AF2247,IF($C$2226=$AI$2225,AF2248,))))</f>
        <v>We're making it easier for you. Value Relating LLC is pioneering a tool for quantifying an innocence claim. Steph Turner is among the first to try it. He was convicted by your office back in 1993. Since then, he maintains that he is actually innocent. By comparing his claim to known exonerations, we can estimate with 86% certainty that Steph is indeed actually innocent.</v>
      </c>
      <c r="BB2243" s="388"/>
    </row>
    <row r="2244" spans="1:71" s="4" customFormat="1" x14ac:dyDescent="0.3">
      <c r="A2244" s="246"/>
      <c r="B2244" s="1047"/>
      <c r="C2244" s="1047"/>
      <c r="D2244" s="1047"/>
      <c r="E2244" s="1047"/>
      <c r="F2244" s="246"/>
      <c r="AC2244" s="627"/>
      <c r="AF2244" s="508">
        <f>IF($B$1988="",AG2244,AT$1994)</f>
        <v>1</v>
      </c>
      <c r="AG2244" s="4" t="s">
        <v>3601</v>
      </c>
      <c r="BB2244" s="388"/>
    </row>
    <row r="2245" spans="1:71" s="4" customFormat="1" x14ac:dyDescent="0.3">
      <c r="A2245" s="246"/>
      <c r="B2245" s="1047"/>
      <c r="C2245" s="1047"/>
      <c r="D2245" s="1047"/>
      <c r="E2245" s="1047"/>
      <c r="F2245" s="246"/>
      <c r="AC2245" s="627" t="s">
        <v>62</v>
      </c>
      <c r="AF2245" s="628" t="str">
        <f>IF($C$2223=$DX$3227,CONCATENATE(AI2245,AJ2245,AK2245,AL2245,AM2245,AN2245,AO2245,AP2245,AQ2245,AR2245,AS2245,AT2245,AU2245,AV2245,AW2245,AX2245,AY2245,AZ2245),AG2245)</f>
        <v>We're making it easier for you. Value Relating LLC is pioneering a tool for quantifying an innocence claim. Steph Turner is among the first to try it. He was convicted by your office back in 1993. Since then, he maintains that he is actually innocent. By comparing his claim to known exonerations, we can estimate with 86% certainty that Steph is indeed actually innocent.</v>
      </c>
      <c r="AG2245" s="628" t="str">
        <f>CONCATENATE(BA2245,BB2245,BC2245,BD2245,BE2245,BF2245,BG2245,BH2245,BI2245)</f>
        <v>NOT YET READY</v>
      </c>
      <c r="AI2245" s="4" t="s">
        <v>4492</v>
      </c>
      <c r="AJ2245" s="4" t="str">
        <f>BG202</f>
        <v>Steph Turner</v>
      </c>
      <c r="AK2245" s="4" t="s">
        <v>4473</v>
      </c>
      <c r="AL2245" s="503" t="str">
        <f>BG206</f>
        <v>He</v>
      </c>
      <c r="AM2245" s="4" t="s">
        <v>4474</v>
      </c>
      <c r="AN2245" s="4" t="str">
        <f>CONCATENATE(AG259,". ")</f>
        <v xml:space="preserve">1993. </v>
      </c>
      <c r="AO2245" s="230" t="s">
        <v>4476</v>
      </c>
      <c r="AP2245" s="4" t="str">
        <f>BH206</f>
        <v>he</v>
      </c>
      <c r="AQ2245" s="4" t="s">
        <v>4478</v>
      </c>
      <c r="AR2245" s="4" t="str">
        <f>BH206</f>
        <v>he</v>
      </c>
      <c r="AS2245" s="4" t="s">
        <v>4479</v>
      </c>
      <c r="AT2245" s="4" t="str">
        <f>BJ206</f>
        <v>his</v>
      </c>
      <c r="AU2245" s="4" t="s">
        <v>4477</v>
      </c>
      <c r="AV2245" s="629">
        <f>AI1984</f>
        <v>86</v>
      </c>
      <c r="AW2245" s="503" t="s">
        <v>4284</v>
      </c>
      <c r="AX2245" s="4" t="str">
        <f>AN202</f>
        <v>Steph</v>
      </c>
      <c r="AY2245" s="503" t="s">
        <v>4480</v>
      </c>
      <c r="AZ2245" s="503" t="s">
        <v>885</v>
      </c>
      <c r="BA2245" s="642" t="str">
        <f>AL2239</f>
        <v>NOT YET READY</v>
      </c>
      <c r="BB2245" s="388"/>
    </row>
    <row r="2246" spans="1:71" s="4" customFormat="1" x14ac:dyDescent="0.3">
      <c r="A2246" s="246"/>
      <c r="B2246" s="1047"/>
      <c r="C2246" s="1047"/>
      <c r="D2246" s="1047"/>
      <c r="E2246" s="1047"/>
      <c r="F2246" s="246"/>
      <c r="AC2246" s="627" t="s">
        <v>64</v>
      </c>
      <c r="AF2246" s="628" t="str">
        <f>IF($C$2223=$DX$3227,CONCATENATE(AI2246,AJ2246,AK2246,AL2246,AM2246,AN2246,AO2246,AP2246,AQ2246,AR2246,AS2246,AT2246,AU2246,AV2246,AW2246,AX2246,AY2246,AZ2246),AG2246)</f>
        <v xml:space="preserve">Steph Turner's support team continues to personally need your support, checking if the links work for his case documents. You hold the power to review Steph's case. We hold the power to assess how you apply your power, and correlate it with justice outcomes. We look forward to helping you focus your incredible power to resolve more needs. </v>
      </c>
      <c r="AG2246" s="628" t="str">
        <f>CONCATENATE(BA2246,BB2246,BC2246,BD2246,BE2246,BF2246,BG2246,BH2246,BI2246)</f>
        <v>THIS PART NOT YET READY</v>
      </c>
      <c r="AI2246" s="4" t="str">
        <f>AJ2245</f>
        <v>Steph Turner</v>
      </c>
      <c r="AJ2246" s="503" t="s">
        <v>4496</v>
      </c>
      <c r="AK2246" s="4" t="str">
        <f>CONCATENATE(AN2251,AO2251,AP2251)</f>
        <v xml:space="preserve">, checking if the links work for his case documents. </v>
      </c>
      <c r="AL2246" s="4" t="s">
        <v>4514</v>
      </c>
      <c r="AM2246" s="4" t="str">
        <f>AN202</f>
        <v>Steph</v>
      </c>
      <c r="AN2246" s="503" t="s">
        <v>4515</v>
      </c>
      <c r="BA2246" s="642" t="str">
        <f>AL2240</f>
        <v>THIS PART NOT YET READY</v>
      </c>
      <c r="BB2246" s="388"/>
    </row>
    <row r="2247" spans="1:71" s="4" customFormat="1" x14ac:dyDescent="0.3">
      <c r="A2247" s="246"/>
      <c r="B2247" s="1047"/>
      <c r="C2247" s="1047"/>
      <c r="D2247" s="1047"/>
      <c r="E2247" s="1047"/>
      <c r="F2247" s="246"/>
      <c r="AC2247" s="627" t="s">
        <v>4055</v>
      </c>
      <c r="AD2247" s="503" t="str">
        <f>IF($D$1768=$AQ$1768,AF2247,AH2247)</f>
        <v>REQUIRES PASSKEY</v>
      </c>
      <c r="AE2247" s="503" t="str">
        <f>IF($D$1768=$AQ$1768,AF2247,AH2247)</f>
        <v>REQUIRES PASSKEY</v>
      </c>
      <c r="AF2247" s="628" t="str">
        <f>IF($C$2223=$DX$3227,CONCATENATE(AI2247,AJ2247,AK2247,AL2247,AM2247,AN2247,AO2247,AP2247,AQ2247,AR2247,AS2247,AT2247,AU2247,AV2247,AW2247,AX2247,AY2247,AZ2247),AG2247)</f>
        <v>If power corrupts, you risk losing sight of the purpose for law enforcement. Out of fear of your power, Steph and others like him routinely acquiesce to the implicit or explicit demands of your power. Need-response calls it 'structural exaction' when your power "exacts" concessions against the interests of justice. It answers this problem with the "exaction invoice".</v>
      </c>
      <c r="AG2247" s="628" t="str">
        <f>CONCATENATE(BA2247,BB2247,BC2247,BD2247,BE2247,BF2247,BG2247,BH2247,BI2247)</f>
        <v>NOT READY YET</v>
      </c>
      <c r="AH2247" s="659" t="s">
        <v>4362</v>
      </c>
      <c r="AI2247" s="4" t="s">
        <v>4544</v>
      </c>
      <c r="AJ2247" s="4" t="str">
        <f>AN202</f>
        <v>Steph</v>
      </c>
      <c r="AK2247" s="4" t="s">
        <v>4545</v>
      </c>
      <c r="AL2247" s="4" t="str">
        <f>BI206</f>
        <v>him</v>
      </c>
      <c r="AM2247" s="4" t="s">
        <v>4546</v>
      </c>
      <c r="AO2247" s="4" t="s">
        <v>885</v>
      </c>
      <c r="BA2247" s="642" t="str">
        <f>AL2241</f>
        <v>NOT READY YET</v>
      </c>
      <c r="BB2247" s="388"/>
    </row>
    <row r="2248" spans="1:71" s="4" customFormat="1" x14ac:dyDescent="0.3">
      <c r="A2248" s="246"/>
      <c r="B2248" s="1047" t="str">
        <f>IF(C2226="","",AC2256)</f>
        <v>You can learn more by writing to Value Relating LLC at valuerelating@gmail.com. You can expect to hear from us again, as we build support for Steph's calculated innocence. If we don't hear from you, we will presume you have no objections to our pioneering approach to justice. We look forward to working with you in the near future. Thank you.</v>
      </c>
      <c r="C2248" s="1047"/>
      <c r="D2248" s="1047"/>
      <c r="E2248" s="1047"/>
      <c r="F2248" s="246"/>
      <c r="AC2248" s="627" t="s">
        <v>3288</v>
      </c>
      <c r="AD2248" s="503" t="str">
        <f>IF($D$1768=$AQ$1768,AF2248,AH2248)</f>
        <v>REQUIRES PASSKEY</v>
      </c>
      <c r="AE2248" s="503" t="str">
        <f>IF($D$1768=$AQ$1768,AF2248,AH2248)</f>
        <v>REQUIRES PASSKEY</v>
      </c>
      <c r="AF2248" s="628" t="str">
        <f>IF($C$2223=$DX$3227,CONCATENATE(AI2248,AJ2248,AK2248,AL2248,AM2248,AN2248,AO2248,AP2248,AQ2248,AR2248,AS2248,AT2248,AU2248,AV2248,AW2248,AX2248,AY2248,AZ2248),AG2248)</f>
        <v xml:space="preserve">To resolve our objective needs, we address legitimacy in nine key empirical areas. We grant legitimacy where we empirically find mutual respect for each other' objective needs. We refute legitimacy of authority if used to refuse Steph’s experience of thirst, or deny his objective need for companionship, or refute his objective need for self-sufficiency and for liberty. </v>
      </c>
      <c r="AG2248" s="628" t="str">
        <f>CONCATENATE(BA2248,BB2248,BC2248,BD2248,BE2248,BF2248,BG2248,BH2248,BI2248)</f>
        <v>STILL WORKING ON THIS PART</v>
      </c>
      <c r="AH2248" s="659" t="s">
        <v>4362</v>
      </c>
      <c r="AI2248" s="4" t="s">
        <v>4563</v>
      </c>
      <c r="AJ2248" s="4" t="str">
        <f>AN202</f>
        <v>Steph</v>
      </c>
      <c r="AK2248" s="4" t="s">
        <v>4556</v>
      </c>
      <c r="AL2248" s="4" t="str">
        <f>BJ206</f>
        <v>his</v>
      </c>
      <c r="AM2248" s="4" t="s">
        <v>4557</v>
      </c>
      <c r="AN2248" s="4" t="str">
        <f>AL2248</f>
        <v>his</v>
      </c>
      <c r="AO2248" s="4" t="s">
        <v>4564</v>
      </c>
      <c r="BA2248" s="642" t="str">
        <f>AL2242</f>
        <v>STILL WORKING ON THIS PART</v>
      </c>
      <c r="BB2248" s="388"/>
    </row>
    <row r="2249" spans="1:71" s="4" customFormat="1" x14ac:dyDescent="0.3">
      <c r="A2249" s="246"/>
      <c r="B2249" s="1047"/>
      <c r="C2249" s="1047"/>
      <c r="D2249" s="1047"/>
      <c r="E2249" s="1047"/>
      <c r="F2249" s="246"/>
      <c r="AC2249" s="632" t="str">
        <f>IF($C$2226=$AI$2222,AF2251,IF($C$2226=$AI$2223,AF2252,IF($C$2226=$AI$2224,AF2253,IF($C$2226=$AI$2225,AF2254,))))</f>
        <v xml:space="preserve">See the attached Conviction Quality Report for the results. The tool is being used by Steph's supporters, who are trying to improve the estimate score by verifying the details of his innocence claim. They are now seeking support, checking if the links work for his case documents.  We trust your commitment to justice will support this need.  </v>
      </c>
      <c r="BB2249" s="388"/>
      <c r="BJ2249" s="676" t="str">
        <f>IF(C2226=AI2223,BJ2250,"")</f>
        <v/>
      </c>
    </row>
    <row r="2250" spans="1:71" s="4" customFormat="1" x14ac:dyDescent="0.3">
      <c r="A2250" s="246"/>
      <c r="B2250" s="1047"/>
      <c r="C2250" s="1047"/>
      <c r="D2250" s="1047"/>
      <c r="E2250" s="1047"/>
      <c r="F2250" s="246"/>
      <c r="AC2250" s="627"/>
      <c r="AF2250" s="508">
        <f>IF($B$1988="",AG2250,AT$1994)</f>
        <v>1</v>
      </c>
      <c r="AG2250" s="4" t="s">
        <v>3605</v>
      </c>
      <c r="BB2250" s="388"/>
      <c r="BJ2250" s="676" t="s">
        <v>4513</v>
      </c>
    </row>
    <row r="2251" spans="1:71" s="4" customFormat="1" x14ac:dyDescent="0.3">
      <c r="A2251" s="246"/>
      <c r="B2251" s="1047"/>
      <c r="C2251" s="1047"/>
      <c r="D2251" s="1047"/>
      <c r="E2251" s="1047"/>
      <c r="F2251" s="246"/>
      <c r="AC2251" s="627" t="s">
        <v>62</v>
      </c>
      <c r="AF2251" s="628" t="str">
        <f>IF($C$2223=$DX$3227,CONCATENATE(AI2251,AJ2251,AK2251,AL2251,AM2251,AN2251,AO2251,AP2251,AQ2251,AR2251),AG2251)</f>
        <v xml:space="preserve">See the attached Conviction Quality Report for the results. The tool is being used by Steph's supporters, who are trying to improve the estimate score by verifying the details of his innocence claim. They are now seeking support, checking if the links work for his case documents.  We trust your commitment to justice will support this need.  </v>
      </c>
      <c r="AG2251" s="628" t="str">
        <f>CONCATENATE(AS2251,AT2251,AU2251,AV2251,AW2251,AX2251,AY2251,AZ2251,BA2251,BB2251,BC2251,BD2251,BE2251,BF2251,BG2251,BH2251,BI2251)</f>
        <v>NOT YET READY</v>
      </c>
      <c r="AI2251" s="4" t="str">
        <f>CONCATENATE("See the attached ",AG2170," for the results. The tool is being used by ")</f>
        <v xml:space="preserve">See the attached Conviction Quality Report for the results. The tool is being used by </v>
      </c>
      <c r="AJ2251" s="4" t="str">
        <f>AN202</f>
        <v>Steph</v>
      </c>
      <c r="AK2251" s="503" t="s">
        <v>4481</v>
      </c>
      <c r="AL2251" s="4" t="str">
        <f>BJ206</f>
        <v>his</v>
      </c>
      <c r="AM2251" s="4" t="s">
        <v>4482</v>
      </c>
      <c r="AN2251" s="4" t="str">
        <f>BF501</f>
        <v xml:space="preserve">, checking if the links work for </v>
      </c>
      <c r="AO2251" s="4" t="str">
        <f>BG501</f>
        <v>his</v>
      </c>
      <c r="AP2251" s="4" t="str">
        <f>BH501</f>
        <v xml:space="preserve"> case documents. </v>
      </c>
      <c r="AQ2251" s="4" t="s">
        <v>4517</v>
      </c>
      <c r="AR2251" s="503" t="s">
        <v>885</v>
      </c>
      <c r="AS2251" s="642" t="str">
        <f>BA2245</f>
        <v>NOT YET READY</v>
      </c>
      <c r="AV2251" s="503"/>
      <c r="BB2251" s="388"/>
    </row>
    <row r="2252" spans="1:71" s="4" customFormat="1" x14ac:dyDescent="0.3">
      <c r="A2252" s="246"/>
      <c r="B2252" s="1047"/>
      <c r="C2252" s="1047"/>
      <c r="D2252" s="1047"/>
      <c r="E2252" s="1047"/>
      <c r="F2252" s="246"/>
      <c r="AC2252" s="627" t="s">
        <v>64</v>
      </c>
      <c r="AF2252" s="628" t="str">
        <f>IF($C$2223=$DX$3227,CONCATENATE(AI2252,AJ2252,AK2252,AL2252,AM2252,AN2252,AO2252,AP2252,AQ2252,AR2252),AG2252)</f>
        <v>See the attached Power Impact Report. Need-response checks the “gross imbalance of power between prosecutors and defense lawyers” (Green, 1999). With this new field, we want to help you turn Steph's 86% estimated innocence into an objective reality. Thank you for your support.</v>
      </c>
      <c r="AG2252" s="628" t="str">
        <f>CONCATENATE(AS2252,AT2252,AU2252,AV2252,AW2252,AX2252,AY2252,AZ2252,BA2252,BB2252,BC2252,BD2252,BE2252,BF2252,BG2252,BH2252,BI2252)</f>
        <v>THIS PART NOT YET READY</v>
      </c>
      <c r="AI2252" s="4" t="str">
        <f>CONCATENATE("See the attached ",B2267,". ")</f>
        <v xml:space="preserve">See the attached Power Impact Report. </v>
      </c>
      <c r="AJ2252" s="4" t="s">
        <v>4516</v>
      </c>
      <c r="AK2252" s="4" t="str">
        <f>AN202</f>
        <v>Steph</v>
      </c>
      <c r="AL2252" s="503" t="s">
        <v>3587</v>
      </c>
      <c r="AM2252" s="629">
        <f>AV2245</f>
        <v>86</v>
      </c>
      <c r="AN2252" s="503" t="s">
        <v>4518</v>
      </c>
      <c r="AS2252" s="642" t="str">
        <f>BA2246</f>
        <v>THIS PART NOT YET READY</v>
      </c>
      <c r="BB2252" s="388"/>
    </row>
    <row r="2253" spans="1:71" s="4" customFormat="1" x14ac:dyDescent="0.3">
      <c r="A2253" s="246"/>
      <c r="B2253" s="246"/>
      <c r="C2253" s="246"/>
      <c r="D2253" s="246"/>
      <c r="E2253" s="246"/>
      <c r="F2253" s="246"/>
      <c r="AC2253" s="627" t="s">
        <v>4055</v>
      </c>
      <c r="AD2253" s="503" t="str">
        <f>IF($D$1768=$AQ$1768,AF2253,AH2253)</f>
        <v>REQUIRES PASSKEY</v>
      </c>
      <c r="AE2253" s="503" t="str">
        <f>IF($D$1768=$AQ$1768,AF2253,AH2253)</f>
        <v>REQUIRES PASSKEY</v>
      </c>
      <c r="AF2253" s="628" t="str">
        <f>IF($C$2223=$DX$3227,CONCATENATE(AI2253,AJ2253,AK2253,AL2253,AM2253,AN2253,AO2253,AP2253,AQ2253,AR2253),AG2253)</f>
        <v xml:space="preserve">See the attached Exaction Invoice. Each payment for service Value Relating receives from Steph Turner's advocacy campaign is considered an investment on your behalf, or on behalf of the state. It is unethical for us to charge him for the costs he did not incur. Of course, there is no legal obligation to remit the invoice, since it is primarily a tool to communicate impacted needs. </v>
      </c>
      <c r="AG2253" s="628" t="str">
        <f>CONCATENATE(AS2253,AT2253,AU2253,AV2253,AW2253,AX2253,AY2253,AZ2253,BA2253,BB2253,BC2253,BD2253,BE2253,BF2253,BG2253,BH2253,BI2253)</f>
        <v>NOT READY YET</v>
      </c>
      <c r="AH2253" s="659" t="s">
        <v>4362</v>
      </c>
      <c r="AI2253" s="4" t="str">
        <f>CONCATENATE("See the attached ",B2314,". ")</f>
        <v xml:space="preserve">See the attached Exaction Invoice. </v>
      </c>
      <c r="AJ2253" s="4" t="s">
        <v>4497</v>
      </c>
      <c r="AK2253" s="4" t="str">
        <f>AI2246</f>
        <v>Steph Turner</v>
      </c>
      <c r="AL2253" s="503" t="s">
        <v>4547</v>
      </c>
      <c r="AM2253" s="4" t="str">
        <f>BI206</f>
        <v>him</v>
      </c>
      <c r="AN2253" s="4" t="s">
        <v>4548</v>
      </c>
      <c r="AO2253" s="4" t="str">
        <f>BH206</f>
        <v>he</v>
      </c>
      <c r="AP2253" s="4" t="s">
        <v>4549</v>
      </c>
      <c r="AS2253" s="642" t="str">
        <f>BA2247</f>
        <v>NOT READY YET</v>
      </c>
      <c r="BB2253" s="388"/>
    </row>
    <row r="2254" spans="1:71" s="4" customFormat="1" x14ac:dyDescent="0.3">
      <c r="A2254" s="246"/>
      <c r="B2254" s="675" t="s">
        <v>4512</v>
      </c>
      <c r="C2254" s="246"/>
      <c r="D2254" s="246"/>
      <c r="E2254" s="246"/>
      <c r="F2254" s="246"/>
      <c r="AC2254" s="627" t="s">
        <v>3288</v>
      </c>
      <c r="AD2254" s="503" t="str">
        <f>IF($D$1768=$AQ$1768,AF2254,AH2254)</f>
        <v>REQUIRES PASSKEY</v>
      </c>
      <c r="AE2254" s="503" t="str">
        <f>IF($D$1768=$AQ$1768,AF2254,AH2254)</f>
        <v>REQUIRES PASSKEY</v>
      </c>
      <c r="AF2254" s="628" t="str">
        <f>IF($C$2223=$DX$3227,CONCATENATE(AI2254,AJ2254,AK2254,AL2254,AM2254,AN2254,AO2254,AP2254,AQ2254,AR2254),AG2254)</f>
        <v>See the attached Legitimacy Feedback Report. Unlike the state’s exclusive use of violence, need-response anchors its legitimacy in the higher standard of love—of mutually respecting each other’s needs as each would have others respect their own. Wherever such love is impeded by "authority", we avow to resolve those needs by refuting its legitimacy.</v>
      </c>
      <c r="AG2254" s="628" t="str">
        <f>CONCATENATE(AS2254,AT2254,AU2254,AV2254,AW2254,AX2254,AY2254,AZ2254,BA2254,BB2254,BC2254,BD2254,BE2254,BF2254,BG2254,BH2254,BI2254)</f>
        <v>STILL WORKING ON THIS PART</v>
      </c>
      <c r="AH2254" s="659" t="s">
        <v>4362</v>
      </c>
      <c r="AI2254" s="4" t="str">
        <f>CONCATENATE("See the attached ",B2358,". ")</f>
        <v xml:space="preserve">See the attached Legitimacy Feedback Report. </v>
      </c>
      <c r="AJ2254" s="4" t="s">
        <v>4565</v>
      </c>
      <c r="AS2254" s="642" t="str">
        <f>BA2248</f>
        <v>STILL WORKING ON THIS PART</v>
      </c>
      <c r="BB2254" s="388"/>
      <c r="BS2254" s="4" t="s">
        <v>4325</v>
      </c>
    </row>
    <row r="2255" spans="1:71" s="4" customFormat="1" x14ac:dyDescent="0.3">
      <c r="A2255" s="246"/>
      <c r="B2255" s="246"/>
      <c r="C2255" s="246"/>
      <c r="D2255" s="246"/>
      <c r="E2255" s="246"/>
      <c r="F2255" s="246"/>
      <c r="AC2255" s="389"/>
      <c r="BB2255" s="388"/>
      <c r="BS2255" s="4" t="s">
        <v>4491</v>
      </c>
    </row>
    <row r="2256" spans="1:71" s="4" customFormat="1" x14ac:dyDescent="0.3">
      <c r="A2256" s="246"/>
      <c r="B2256" s="246"/>
      <c r="C2256" s="246"/>
      <c r="D2256" s="246"/>
      <c r="E2256" s="246"/>
      <c r="F2256" s="246"/>
      <c r="AC2256" s="632" t="str">
        <f>IF($C$2226=$AI$2222,AF2258,IF($C$2226=$AI$2223,AF2259,IF($C$2226=$AI$2224,AF2260,IF($C$2226=$AI$2225,AF2261,))))</f>
        <v>You can learn more by writing to Value Relating LLC at valuerelating@gmail.com. You can expect to hear from us again, as we build support for Steph's calculated innocence. If we don't hear from you, we will presume you have no objections to our pioneering approach to justice. We look forward to working with you in the near future. Thank you.</v>
      </c>
      <c r="BB2256" s="388"/>
    </row>
    <row r="2257" spans="1:62" s="4" customFormat="1" x14ac:dyDescent="0.3">
      <c r="A2257" s="246"/>
      <c r="B2257" s="246"/>
      <c r="C2257" s="246"/>
      <c r="D2257" s="246"/>
      <c r="E2257" s="246"/>
      <c r="F2257" s="246"/>
      <c r="AC2257" s="627"/>
      <c r="AF2257" s="508">
        <f>IF($B$1988="",AG2257,AT$1994)</f>
        <v>1</v>
      </c>
      <c r="AG2257" s="4" t="s">
        <v>4366</v>
      </c>
      <c r="BB2257" s="388"/>
    </row>
    <row r="2258" spans="1:62" s="4" customFormat="1" x14ac:dyDescent="0.3">
      <c r="A2258" s="246"/>
      <c r="B2258" s="246"/>
      <c r="C2258" s="246"/>
      <c r="D2258" s="246"/>
      <c r="E2258" s="246"/>
      <c r="F2258" s="246"/>
      <c r="AC2258" s="627" t="s">
        <v>62</v>
      </c>
      <c r="AF2258" s="628" t="str">
        <f>IF($C$2223=$DX$3227,CONCATENATE(AI2258,AJ2258,AK2258),AG2258)</f>
        <v>You can learn more by writing to Value Relating LLC at valuerelating@gmail.com. You can expect to hear from us again, as we build support for Steph's calculated innocence. If we don't hear from you, we will presume you have no objections to our pioneering approach to justice. We look forward to working with you in the near future. Thank you.</v>
      </c>
      <c r="AG2258" s="628" t="str">
        <f>CONCATENATE(AM2258,AN2258,AO2258,AP2258,AQ2258,AR2258,AS2258,AT2258,AU2258,AV2258,AW2258,AX2258,AY2258,AZ2258,BA2258,BB2258,BC2258)</f>
        <v>NOT YET READY</v>
      </c>
      <c r="AI2258" s="4" t="s">
        <v>4483</v>
      </c>
      <c r="AJ2258" s="4" t="str">
        <f>AN202</f>
        <v>Steph</v>
      </c>
      <c r="AK2258" s="503" t="s">
        <v>4484</v>
      </c>
      <c r="AL2258" s="503" t="s">
        <v>885</v>
      </c>
      <c r="AM2258" s="642" t="str">
        <f>AS2251</f>
        <v>NOT YET READY</v>
      </c>
      <c r="BB2258" s="388"/>
    </row>
    <row r="2259" spans="1:62" s="4" customFormat="1" x14ac:dyDescent="0.3">
      <c r="A2259" s="246"/>
      <c r="B2259" s="246"/>
      <c r="C2259" s="246"/>
      <c r="D2259" s="246"/>
      <c r="E2259" s="246"/>
      <c r="F2259" s="246"/>
      <c r="AC2259" s="627" t="s">
        <v>64</v>
      </c>
      <c r="AF2259" s="628" t="str">
        <f>IF($C$2223=$DX$3227,CONCATENATE(AI2259,AJ2259,AK2259),AG2259)</f>
        <v/>
      </c>
      <c r="AG2259" s="628" t="str">
        <f>CONCATENATE(AM2259,AN2259,AO2259,AP2259,AQ2259,AR2259,AS2259,AT2259,AU2259,AV2259,AW2259,AX2259,AY2259,AZ2259,BA2259,BB2259,BC2259)</f>
        <v/>
      </c>
      <c r="BB2259" s="388"/>
    </row>
    <row r="2260" spans="1:62" s="4" customFormat="1" ht="14.5" thickBot="1" x14ac:dyDescent="0.35">
      <c r="A2260" s="246"/>
      <c r="B2260" s="246"/>
      <c r="C2260" s="246"/>
      <c r="D2260" s="246"/>
      <c r="E2260" s="246"/>
      <c r="F2260" s="246"/>
      <c r="AC2260" s="627" t="s">
        <v>4055</v>
      </c>
      <c r="AF2260" s="628" t="str">
        <f>IF($C$2223=$DX$3227,CONCATENATE(AI2260,AJ2260,AK2260),AG2260)</f>
        <v>We look forward to engaging each other's impacted needs. And find ways to serve justice for all. We look forward to you reply. Thank you.</v>
      </c>
      <c r="AG2260" s="628" t="str">
        <f>CONCATENATE(AM2260,AN2260,AO2260,AP2260,AQ2260,AR2260,AS2260,AT2260,AU2260,AV2260,AW2260,AX2260,AY2260,AZ2260,BA2260,BB2260,BC2260)</f>
        <v>NOT READY YET</v>
      </c>
      <c r="AI2260" s="4" t="s">
        <v>4550</v>
      </c>
      <c r="AK2260" s="503"/>
      <c r="AL2260" s="503" t="s">
        <v>885</v>
      </c>
      <c r="AM2260" s="642" t="str">
        <f>AS2253</f>
        <v>NOT READY YET</v>
      </c>
      <c r="BB2260" s="388"/>
    </row>
    <row r="2261" spans="1:62" s="4" customFormat="1" x14ac:dyDescent="0.3">
      <c r="A2261" s="518"/>
      <c r="B2261" s="519"/>
      <c r="C2261" s="519"/>
      <c r="D2261" s="519"/>
      <c r="E2261" s="519"/>
      <c r="F2261" s="520"/>
      <c r="AC2261" s="627" t="s">
        <v>3288</v>
      </c>
      <c r="AF2261" s="628" t="str">
        <f>IF($C$2223=$DX$3227,CONCATENATE(AI2261,AJ2261,AK2261,AL2261,AM2261,AN2261),AS2261)</f>
        <v>Again, we say, welcome to need-response. We are raising the standard of justice. Not only with "conviction quality" but also with a measurable accountability of our need-respecting love for each other. We are measuring Steph's respect for your needs, and measuring your respect for his affected needs. We shall now fulfil the purpose of justice, with or without you. Thank you.</v>
      </c>
      <c r="AG2261" s="628" t="str">
        <f>CONCATENATE(AS2261,AT2261,AU2261,AV2261,AW2261,AX2261,AY2261,AZ2261,BA2261,BB2261,BC2261)</f>
        <v>STILL WORKING ON THIS PART</v>
      </c>
      <c r="AI2261" s="4" t="s">
        <v>4558</v>
      </c>
      <c r="AJ2261" s="4" t="str">
        <f>AN202</f>
        <v>Steph</v>
      </c>
      <c r="AK2261" s="503" t="s">
        <v>4559</v>
      </c>
      <c r="AL2261" s="4" t="str">
        <f>BJ206</f>
        <v>his</v>
      </c>
      <c r="AM2261" s="4" t="s">
        <v>4560</v>
      </c>
      <c r="AN2261" s="4" t="s">
        <v>4561</v>
      </c>
      <c r="AS2261" s="642" t="str">
        <f>AS2254</f>
        <v>STILL WORKING ON THIS PART</v>
      </c>
      <c r="BB2261" s="388"/>
    </row>
    <row r="2262" spans="1:62" s="4" customFormat="1" x14ac:dyDescent="0.3">
      <c r="A2262" s="521"/>
      <c r="B2262" s="661" t="s">
        <v>4940</v>
      </c>
      <c r="C2262" s="660" t="s">
        <v>4378</v>
      </c>
      <c r="D2262" s="662" t="s">
        <v>4384</v>
      </c>
      <c r="E2262" s="522"/>
      <c r="F2262" s="523"/>
      <c r="AC2262" s="389"/>
      <c r="BB2262" s="388"/>
    </row>
    <row r="2263" spans="1:62" s="4" customFormat="1" x14ac:dyDescent="0.3">
      <c r="A2263" s="521"/>
      <c r="B2263" s="661" t="s">
        <v>4941</v>
      </c>
      <c r="C2263" s="660"/>
      <c r="D2263" s="662"/>
      <c r="E2263" s="522"/>
      <c r="F2263" s="523"/>
      <c r="AC2263" s="389"/>
      <c r="AF2263" s="628" t="str">
        <f>CONCATENATE(AH2263,AI2263,AJ2263,AK2263,AL2263,AM2263,AN2263,AO2263,AP2263,AQ2263,AR2263,AS2263,AT2263,AU2263,AV2263,AW2263,AX2263,AY2263,AZ2263,BA2263,BB2263)</f>
        <v>text</v>
      </c>
      <c r="AG2263" s="628"/>
      <c r="AI2263" s="4" t="s">
        <v>4207</v>
      </c>
      <c r="AK2263" s="503"/>
      <c r="BB2263" s="388"/>
    </row>
    <row r="2264" spans="1:62" s="4" customFormat="1" x14ac:dyDescent="0.3">
      <c r="A2264" s="521"/>
      <c r="B2264" s="661" t="s">
        <v>4942</v>
      </c>
      <c r="C2264" s="660"/>
      <c r="D2264" s="662"/>
      <c r="E2264" s="522"/>
      <c r="F2264" s="523"/>
      <c r="AC2264" s="389"/>
      <c r="BB2264" s="388"/>
    </row>
    <row r="2265" spans="1:62" s="4" customFormat="1" ht="14.5" x14ac:dyDescent="0.35">
      <c r="A2265" s="521"/>
      <c r="B2265" s="661" t="s">
        <v>4943</v>
      </c>
      <c r="C2265" s="660"/>
      <c r="D2265" s="662"/>
      <c r="E2265" s="522"/>
      <c r="F2265" s="523"/>
      <c r="AC2265" s="389"/>
      <c r="AD2265" s="235" t="s">
        <v>4363</v>
      </c>
      <c r="BB2265" s="388"/>
    </row>
    <row r="2266" spans="1:62" s="4" customFormat="1" ht="14.5" x14ac:dyDescent="0.35">
      <c r="A2266" s="521"/>
      <c r="B2266" s="522"/>
      <c r="C2266" s="522"/>
      <c r="D2266" s="522"/>
      <c r="E2266" s="522"/>
      <c r="F2266" s="523"/>
      <c r="AC2266" s="389"/>
      <c r="AD2266" s="625" t="s">
        <v>4364</v>
      </c>
      <c r="BB2266" s="388"/>
    </row>
    <row r="2267" spans="1:62" s="4" customFormat="1" ht="30" customHeight="1" x14ac:dyDescent="0.3">
      <c r="A2267" s="861" t="s">
        <v>3455</v>
      </c>
      <c r="B2267" s="862" t="s">
        <v>4400</v>
      </c>
      <c r="C2267" s="862"/>
      <c r="D2267" s="871" t="s">
        <v>3460</v>
      </c>
      <c r="E2267" s="864"/>
      <c r="F2267" s="864"/>
      <c r="AC2267" s="389"/>
      <c r="AD2267" s="40" t="s">
        <v>4387</v>
      </c>
      <c r="BB2267" s="388"/>
    </row>
    <row r="2268" spans="1:62" s="4" customFormat="1" x14ac:dyDescent="0.3">
      <c r="A2268" s="475"/>
      <c r="B2268" s="475"/>
      <c r="C2268" s="475"/>
      <c r="D2268" s="475"/>
      <c r="E2268" s="475"/>
      <c r="F2268" s="475"/>
      <c r="AC2268" s="389"/>
      <c r="AD2268" s="4" t="s">
        <v>4488</v>
      </c>
      <c r="BB2268" s="388"/>
    </row>
    <row r="2269" spans="1:62" s="4" customFormat="1" x14ac:dyDescent="0.3">
      <c r="A2269" s="475"/>
      <c r="B2269" s="665" t="s">
        <v>4432</v>
      </c>
      <c r="C2269" s="942" t="s">
        <v>5186</v>
      </c>
      <c r="D2269" s="942"/>
      <c r="E2269" s="942"/>
      <c r="F2269" s="475"/>
      <c r="AC2269" s="389"/>
      <c r="AD2269" s="4" t="s">
        <v>4489</v>
      </c>
      <c r="BB2269" s="388"/>
      <c r="BJ2269" s="4" t="s">
        <v>4408</v>
      </c>
    </row>
    <row r="2270" spans="1:62" s="4" customFormat="1" x14ac:dyDescent="0.3">
      <c r="A2270" s="475"/>
      <c r="B2270" s="475"/>
      <c r="C2270" s="475"/>
      <c r="D2270" s="475"/>
      <c r="E2270" s="475"/>
      <c r="F2270" s="475"/>
      <c r="AC2270" s="389"/>
      <c r="BB2270" s="388"/>
      <c r="BJ2270" s="4" t="s">
        <v>4388</v>
      </c>
    </row>
    <row r="2271" spans="1:62" s="4" customFormat="1" x14ac:dyDescent="0.3">
      <c r="A2271" s="475"/>
      <c r="B2271" s="475" t="s">
        <v>4571</v>
      </c>
      <c r="C2271" s="475"/>
      <c r="D2271" s="475"/>
      <c r="E2271" s="475"/>
      <c r="F2271" s="475"/>
      <c r="AC2271" s="389"/>
      <c r="BB2271" s="388"/>
      <c r="BJ2271" s="4" t="s">
        <v>4389</v>
      </c>
    </row>
    <row r="2272" spans="1:62" s="4" customFormat="1" x14ac:dyDescent="0.3">
      <c r="A2272" s="475"/>
      <c r="B2272" s="475"/>
      <c r="C2272" s="475"/>
      <c r="D2272" s="475"/>
      <c r="E2272" s="475"/>
      <c r="F2272" s="475"/>
      <c r="AC2272" s="389"/>
      <c r="BB2272" s="388"/>
      <c r="BJ2272" s="4" t="s">
        <v>4390</v>
      </c>
    </row>
    <row r="2273" spans="1:69" s="4" customFormat="1" ht="13.75" customHeight="1" x14ac:dyDescent="0.3">
      <c r="A2273" s="475"/>
      <c r="B2273" s="941" t="str">
        <f>AH2273</f>
        <v>Law enforcement creates a power imbalance between the police and citizens. Officers can influence citizens far more than citizens can influence officers. Once arrested and detained, prosecutors magnify this powere imbalance. This 'Power Impact Report' identifies some of the unhealthy consequences from the prosecutor's power.</v>
      </c>
      <c r="C2273" s="941"/>
      <c r="D2273" s="941"/>
      <c r="E2273" s="941"/>
      <c r="F2273" s="475"/>
      <c r="AC2273" s="389"/>
      <c r="AH2273" s="475" t="str">
        <f>CONCATENATE(AL2273,AM2273,AN2273,AO2273,AP2273,AQ2273,AR2273,AS2273)</f>
        <v>Law enforcement creates a power imbalance between the police and citizens. Officers can influence citizens far more than citizens can influence officers. Once arrested and detained, prosecutors magnify this powere imbalance. This 'Power Impact Report' identifies some of the unhealthy consequences from the prosecutor's power.</v>
      </c>
      <c r="AL2273" s="4" t="s">
        <v>4572</v>
      </c>
      <c r="AM2273" s="4" t="str">
        <f>B2267</f>
        <v>Power Impact Report</v>
      </c>
      <c r="AN2273" s="503" t="s">
        <v>4574</v>
      </c>
      <c r="BB2273" s="388"/>
      <c r="BJ2273" s="4" t="s">
        <v>4391</v>
      </c>
    </row>
    <row r="2274" spans="1:69" s="4" customFormat="1" x14ac:dyDescent="0.3">
      <c r="A2274" s="475"/>
      <c r="B2274" s="941"/>
      <c r="C2274" s="941"/>
      <c r="D2274" s="941"/>
      <c r="E2274" s="941"/>
      <c r="F2274" s="475"/>
      <c r="AC2274" s="389"/>
      <c r="BB2274" s="388"/>
      <c r="BJ2274" s="4" t="s">
        <v>4392</v>
      </c>
    </row>
    <row r="2275" spans="1:69" s="4" customFormat="1" x14ac:dyDescent="0.3">
      <c r="A2275" s="475"/>
      <c r="B2275" s="941"/>
      <c r="C2275" s="941"/>
      <c r="D2275" s="941"/>
      <c r="E2275" s="941"/>
      <c r="F2275" s="475"/>
      <c r="AC2275" s="389"/>
      <c r="AH2275" s="475" t="str">
        <f>CONCATENATE(AL2275,AM2275,AN2275,AO2275,AP2275,AQ2275,AR2275,AS2275,AT2275,AU2275,AV2275,AW2275)</f>
        <v>Even if Steph Turner is not as innocent as he claims, the impact of prosecutorial power can ultimately undermine the interests of justice. When compared to other exonerees, he presents a 86% chance of being actually innocent. Consider the following impacts with that in mind.</v>
      </c>
      <c r="AK2275" s="503" t="s">
        <v>885</v>
      </c>
      <c r="AL2275" s="4" t="s">
        <v>4570</v>
      </c>
      <c r="AM2275" s="4" t="str">
        <f>$BG$202</f>
        <v>Steph Turner</v>
      </c>
      <c r="AN2275" s="4" t="s">
        <v>4569</v>
      </c>
      <c r="AO2275" s="4" t="str">
        <f>$BH$206</f>
        <v>he</v>
      </c>
      <c r="AP2275" s="4" t="s">
        <v>4575</v>
      </c>
      <c r="AQ2275" s="4" t="str">
        <f>BH206</f>
        <v>he</v>
      </c>
      <c r="AR2275" s="4" t="s">
        <v>4573</v>
      </c>
      <c r="AS2275" s="629">
        <f>AI1984</f>
        <v>86</v>
      </c>
      <c r="AT2275" s="503" t="s">
        <v>4576</v>
      </c>
      <c r="BB2275" s="388"/>
      <c r="BJ2275" s="4" t="s">
        <v>4399</v>
      </c>
    </row>
    <row r="2276" spans="1:69" s="4" customFormat="1" x14ac:dyDescent="0.3">
      <c r="A2276" s="475"/>
      <c r="B2276" s="941"/>
      <c r="C2276" s="941"/>
      <c r="D2276" s="941"/>
      <c r="E2276" s="941"/>
      <c r="F2276" s="475"/>
      <c r="AC2276" s="389"/>
      <c r="BB2276" s="388"/>
      <c r="BJ2276" s="4" t="s">
        <v>4394</v>
      </c>
      <c r="BQ2276" s="4" t="s">
        <v>4393</v>
      </c>
    </row>
    <row r="2277" spans="1:69" s="4" customFormat="1" x14ac:dyDescent="0.3">
      <c r="A2277" s="475"/>
      <c r="B2277" s="941"/>
      <c r="C2277" s="941"/>
      <c r="D2277" s="941"/>
      <c r="E2277" s="941"/>
      <c r="F2277" s="475"/>
      <c r="AC2277" s="389"/>
      <c r="BB2277" s="388"/>
      <c r="BJ2277" s="4" t="s">
        <v>4395</v>
      </c>
    </row>
    <row r="2278" spans="1:69" s="4" customFormat="1" ht="13.75" customHeight="1" x14ac:dyDescent="0.3">
      <c r="A2278" s="475"/>
      <c r="B2278" s="941" t="str">
        <f>AH2275</f>
        <v>Even if Steph Turner is not as innocent as he claims, the impact of prosecutorial power can ultimately undermine the interests of justice. When compared to other exonerees, he presents a 86% chance of being actually innocent. Consider the following impacts with that in mind.</v>
      </c>
      <c r="C2278" s="941"/>
      <c r="D2278" s="941"/>
      <c r="E2278" s="485"/>
      <c r="F2278" s="475"/>
      <c r="AC2278" s="389"/>
      <c r="BB2278" s="388"/>
      <c r="BJ2278" s="4" t="s">
        <v>4396</v>
      </c>
    </row>
    <row r="2279" spans="1:69" s="4" customFormat="1" x14ac:dyDescent="0.3">
      <c r="A2279" s="475"/>
      <c r="B2279" s="941"/>
      <c r="C2279" s="941"/>
      <c r="D2279" s="941"/>
      <c r="E2279" s="485"/>
      <c r="F2279" s="475"/>
      <c r="AC2279" s="389"/>
      <c r="BB2279" s="388"/>
      <c r="BJ2279" s="4" t="s">
        <v>4397</v>
      </c>
    </row>
    <row r="2280" spans="1:69" s="4" customFormat="1" x14ac:dyDescent="0.3">
      <c r="A2280" s="475"/>
      <c r="B2280" s="941"/>
      <c r="C2280" s="941"/>
      <c r="D2280" s="941"/>
      <c r="E2280" s="485"/>
      <c r="F2280" s="475"/>
      <c r="AC2280" s="389"/>
      <c r="AJ2280" s="685" t="s">
        <v>4578</v>
      </c>
      <c r="BB2280" s="388"/>
      <c r="BJ2280" s="4" t="s">
        <v>4398</v>
      </c>
    </row>
    <row r="2281" spans="1:69" s="4" customFormat="1" x14ac:dyDescent="0.3">
      <c r="A2281" s="475"/>
      <c r="B2281" s="941"/>
      <c r="C2281" s="941"/>
      <c r="D2281" s="941"/>
      <c r="E2281" s="485"/>
      <c r="F2281" s="475"/>
      <c r="AC2281" s="389"/>
      <c r="BB2281" s="388"/>
    </row>
    <row r="2282" spans="1:69" s="4" customFormat="1" ht="20" customHeight="1" x14ac:dyDescent="0.3">
      <c r="A2282" s="475"/>
      <c r="B2282" s="686" t="str">
        <f>AP2282</f>
        <v>How the wrongful conviction challenges Steph Turner's life</v>
      </c>
      <c r="C2282" s="485"/>
      <c r="D2282" s="485"/>
      <c r="E2282" s="485"/>
      <c r="F2282" s="475"/>
      <c r="AC2282" s="389"/>
      <c r="AH2282" s="4" t="s">
        <v>4579</v>
      </c>
      <c r="AI2282" s="4" t="str">
        <f>$AN$874</f>
        <v>Steph Turner</v>
      </c>
      <c r="AJ2282" s="503" t="s">
        <v>4582</v>
      </c>
      <c r="AP2282" s="508" t="str">
        <f>CONCATENATE(AH2282,AI2282,AJ2282)</f>
        <v>How the wrongful conviction challenges Steph Turner's life</v>
      </c>
      <c r="BB2282" s="388"/>
    </row>
    <row r="2283" spans="1:69" s="4" customFormat="1" x14ac:dyDescent="0.3">
      <c r="A2283" s="475"/>
      <c r="B2283" s="664" t="str">
        <f>AP2283</f>
        <v>1) economic: significantly challenged</v>
      </c>
      <c r="C2283" s="664"/>
      <c r="D2283" s="475"/>
      <c r="E2283" s="683">
        <f t="shared" ref="E2283:E2288" si="108">AH882</f>
        <v>3</v>
      </c>
      <c r="F2283" s="475"/>
      <c r="AC2283" s="389"/>
      <c r="AH2283" s="4" t="str">
        <f>CONCATENATE(B882,": ")</f>
        <v xml:space="preserve">1) economic: </v>
      </c>
      <c r="AJ2283" s="503" t="str">
        <f t="shared" ref="AJ2283:AJ2288" si="109">IF(D882="",AJ$2280,D882)</f>
        <v>significantly challenged</v>
      </c>
      <c r="AP2283" s="508" t="str">
        <f>CONCATENATE(AH2283,AI2283,AJ2283)</f>
        <v>1) economic: significantly challenged</v>
      </c>
      <c r="BB2283" s="388"/>
      <c r="BJ2283" s="4" t="s">
        <v>4405</v>
      </c>
    </row>
    <row r="2284" spans="1:69" s="4" customFormat="1" x14ac:dyDescent="0.3">
      <c r="A2284" s="475"/>
      <c r="B2284" s="664" t="str">
        <f t="shared" ref="B2284:B2294" si="110">AP2284</f>
        <v>2) physical health: only slightly challenged</v>
      </c>
      <c r="C2284" s="664"/>
      <c r="D2284" s="475"/>
      <c r="E2284" s="683">
        <f t="shared" si="108"/>
        <v>1</v>
      </c>
      <c r="F2284" s="475"/>
      <c r="AC2284" s="389"/>
      <c r="AH2284" s="4" t="str">
        <f>CONCATENATE(B883,": ")</f>
        <v xml:space="preserve">2) physical health: </v>
      </c>
      <c r="AJ2284" s="503" t="str">
        <f t="shared" si="109"/>
        <v>only slightly challenged</v>
      </c>
      <c r="AP2284" s="508" t="str">
        <f t="shared" ref="AP2284:AP2295" si="111">CONCATENATE(AH2284,AI2284,AJ2284)</f>
        <v>2) physical health: only slightly challenged</v>
      </c>
      <c r="BB2284" s="388"/>
      <c r="BJ2284" s="4" t="s">
        <v>4406</v>
      </c>
    </row>
    <row r="2285" spans="1:69" s="4" customFormat="1" x14ac:dyDescent="0.3">
      <c r="A2285" s="475"/>
      <c r="B2285" s="664" t="str">
        <f t="shared" si="110"/>
        <v>3) mental health: moderately challenged</v>
      </c>
      <c r="C2285" s="664"/>
      <c r="D2285" s="475"/>
      <c r="E2285" s="683">
        <f t="shared" si="108"/>
        <v>2</v>
      </c>
      <c r="F2285" s="475"/>
      <c r="AC2285" s="389"/>
      <c r="AH2285" s="4" t="str">
        <f>CONCATENATE(B884,": ")</f>
        <v xml:space="preserve">3) mental health: </v>
      </c>
      <c r="AJ2285" s="503" t="str">
        <f t="shared" si="109"/>
        <v>moderately challenged</v>
      </c>
      <c r="AP2285" s="508" t="str">
        <f t="shared" si="111"/>
        <v>3) mental health: moderately challenged</v>
      </c>
      <c r="BB2285" s="388"/>
      <c r="BJ2285" s="4" t="s">
        <v>4407</v>
      </c>
    </row>
    <row r="2286" spans="1:69" s="4" customFormat="1" x14ac:dyDescent="0.3">
      <c r="A2286" s="475"/>
      <c r="B2286" s="664" t="str">
        <f t="shared" si="110"/>
        <v>4) relationships: significantly challenged</v>
      </c>
      <c r="C2286" s="664"/>
      <c r="D2286" s="475"/>
      <c r="E2286" s="683">
        <f t="shared" si="108"/>
        <v>3</v>
      </c>
      <c r="F2286" s="475"/>
      <c r="AC2286" s="389"/>
      <c r="AH2286" s="4" t="str">
        <f>CONCATENATE(B885,": ")</f>
        <v xml:space="preserve">4) relationships: </v>
      </c>
      <c r="AJ2286" s="503" t="str">
        <f t="shared" si="109"/>
        <v>significantly challenged</v>
      </c>
      <c r="AP2286" s="508" t="str">
        <f t="shared" si="111"/>
        <v>4) relationships: significantly challenged</v>
      </c>
      <c r="BB2286" s="388"/>
    </row>
    <row r="2287" spans="1:69" s="4" customFormat="1" x14ac:dyDescent="0.3">
      <c r="A2287" s="475"/>
      <c r="B2287" s="664" t="str">
        <f t="shared" si="110"/>
        <v>5) will-to-live: not challenged at all</v>
      </c>
      <c r="C2287" s="664"/>
      <c r="D2287" s="475"/>
      <c r="E2287" s="683">
        <f t="shared" si="108"/>
        <v>0</v>
      </c>
      <c r="F2287" s="475"/>
      <c r="AC2287" s="389"/>
      <c r="AH2287" s="4" t="str">
        <f>CONCATENATE(B886,": ")</f>
        <v xml:space="preserve">5) will-to-live: </v>
      </c>
      <c r="AJ2287" s="503" t="str">
        <f t="shared" si="109"/>
        <v>not challenged at all</v>
      </c>
      <c r="AP2287" s="508" t="str">
        <f t="shared" si="111"/>
        <v>5) will-to-live: not challenged at all</v>
      </c>
      <c r="BB2287" s="388"/>
    </row>
    <row r="2288" spans="1:69" s="4" customFormat="1" x14ac:dyDescent="0.3">
      <c r="A2288" s="475"/>
      <c r="B2288" s="664" t="str">
        <f t="shared" si="110"/>
        <v>6) : NOT REPORTED</v>
      </c>
      <c r="C2288" s="664"/>
      <c r="D2288" s="475"/>
      <c r="E2288" s="683">
        <f t="shared" si="108"/>
        <v>0</v>
      </c>
      <c r="F2288" s="475"/>
      <c r="AC2288" s="389"/>
      <c r="AH2288" s="4" t="s">
        <v>4577</v>
      </c>
      <c r="AI2288" s="4" t="str">
        <f>CONCATENATE(IF(C887="other challenge","",C887),": ")</f>
        <v xml:space="preserve">: </v>
      </c>
      <c r="AJ2288" s="503" t="str">
        <f t="shared" si="109"/>
        <v>NOT REPORTED</v>
      </c>
      <c r="AP2288" s="508" t="str">
        <f t="shared" si="111"/>
        <v>6) : NOT REPORTED</v>
      </c>
      <c r="BB2288" s="388"/>
    </row>
    <row r="2289" spans="1:54" s="4" customFormat="1" ht="20" customHeight="1" x14ac:dyDescent="0.3">
      <c r="A2289" s="475"/>
      <c r="B2289" s="686" t="str">
        <f>AP2289</f>
        <v>How the wrongful conviction affects Steph Turner's aspirations</v>
      </c>
      <c r="C2289" s="475"/>
      <c r="D2289" s="475"/>
      <c r="E2289" s="475"/>
      <c r="F2289" s="475"/>
      <c r="AC2289" s="389"/>
      <c r="AH2289" s="4" t="s">
        <v>4580</v>
      </c>
      <c r="AI2289" s="4" t="str">
        <f>$AN$874</f>
        <v>Steph Turner</v>
      </c>
      <c r="AJ2289" s="503" t="s">
        <v>4581</v>
      </c>
      <c r="AP2289" s="508" t="str">
        <f t="shared" si="111"/>
        <v>How the wrongful conviction affects Steph Turner's aspirations</v>
      </c>
      <c r="BB2289" s="388"/>
    </row>
    <row r="2290" spans="1:54" s="4" customFormat="1" x14ac:dyDescent="0.3">
      <c r="A2290" s="475"/>
      <c r="B2290" s="664" t="str">
        <f t="shared" si="110"/>
        <v>7) income independence: I struggle to make it happen but unsuccessfully</v>
      </c>
      <c r="C2290" s="664"/>
      <c r="D2290" s="475"/>
      <c r="E2290" s="683">
        <f t="shared" ref="E2290:E2295" si="112">AJ892</f>
        <v>3</v>
      </c>
      <c r="F2290" s="475"/>
      <c r="AC2290" s="389"/>
      <c r="AH2290" s="4" t="str">
        <f>CONCATENATE(B892,": ")</f>
        <v xml:space="preserve">7) income independence: </v>
      </c>
      <c r="AJ2290" s="503" t="str">
        <f t="shared" ref="AJ2290:AJ2295" si="113">IF(D892="",AJ$2280,D892)</f>
        <v>I struggle to make it happen but unsuccessfully</v>
      </c>
      <c r="AP2290" s="508" t="str">
        <f t="shared" si="111"/>
        <v>7) income independence: I struggle to make it happen but unsuccessfully</v>
      </c>
      <c r="BB2290" s="388"/>
    </row>
    <row r="2291" spans="1:54" s="4" customFormat="1" x14ac:dyDescent="0.3">
      <c r="A2291" s="475"/>
      <c r="B2291" s="664" t="str">
        <f t="shared" si="110"/>
        <v>8) maintaining healthy lifestyle: I feel I've reached it but not maintained it</v>
      </c>
      <c r="C2291" s="664"/>
      <c r="D2291" s="475"/>
      <c r="E2291" s="683">
        <f t="shared" si="112"/>
        <v>4</v>
      </c>
      <c r="F2291" s="475"/>
      <c r="AC2291" s="389"/>
      <c r="AH2291" s="4" t="str">
        <f>CONCATENATE(B893,": ")</f>
        <v xml:space="preserve">8) maintaining healthy lifestyle: </v>
      </c>
      <c r="AJ2291" s="503" t="str">
        <f t="shared" si="113"/>
        <v>I feel I've reached it but not maintained it</v>
      </c>
      <c r="AP2291" s="508" t="str">
        <f t="shared" si="111"/>
        <v>8) maintaining healthy lifestyle: I feel I've reached it but not maintained it</v>
      </c>
      <c r="BB2291" s="388"/>
    </row>
    <row r="2292" spans="1:54" s="4" customFormat="1" x14ac:dyDescent="0.3">
      <c r="A2292" s="475"/>
      <c r="B2292" s="664" t="str">
        <f t="shared" si="110"/>
        <v>9) overcoming depression &amp; anxiety: I maintain it without help like this</v>
      </c>
      <c r="C2292" s="664"/>
      <c r="D2292" s="475"/>
      <c r="E2292" s="683">
        <f t="shared" si="112"/>
        <v>6</v>
      </c>
      <c r="F2292" s="475"/>
      <c r="AC2292" s="389"/>
      <c r="AH2292" s="4" t="str">
        <f>CONCATENATE(B894,": ")</f>
        <v xml:space="preserve">9) overcoming depression &amp; anxiety: </v>
      </c>
      <c r="AJ2292" s="503" t="str">
        <f t="shared" si="113"/>
        <v>I maintain it without help like this</v>
      </c>
      <c r="AP2292" s="508" t="str">
        <f t="shared" si="111"/>
        <v>9) overcoming depression &amp; anxiety: I maintain it without help like this</v>
      </c>
      <c r="BB2292" s="388"/>
    </row>
    <row r="2293" spans="1:54" s="4" customFormat="1" x14ac:dyDescent="0.3">
      <c r="A2293" s="475"/>
      <c r="B2293" s="664" t="str">
        <f t="shared" si="110"/>
        <v>10) restoring familiy ties: I maintain it without help like this</v>
      </c>
      <c r="C2293" s="664"/>
      <c r="D2293" s="475"/>
      <c r="E2293" s="683">
        <f t="shared" si="112"/>
        <v>6</v>
      </c>
      <c r="F2293" s="475"/>
      <c r="AC2293" s="389"/>
      <c r="AH2293" s="4" t="str">
        <f>CONCATENATE(B895,": ")</f>
        <v xml:space="preserve">10) restoring familiy ties: </v>
      </c>
      <c r="AJ2293" s="503" t="str">
        <f t="shared" si="113"/>
        <v>I maintain it without help like this</v>
      </c>
      <c r="AP2293" s="508" t="str">
        <f t="shared" si="111"/>
        <v>10) restoring familiy ties: I maintain it without help like this</v>
      </c>
      <c r="BB2293" s="388"/>
    </row>
    <row r="2294" spans="1:54" s="4" customFormat="1" x14ac:dyDescent="0.3">
      <c r="A2294" s="475"/>
      <c r="B2294" s="664" t="str">
        <f t="shared" si="110"/>
        <v>11) helping others similarly situated: I don't seek it nor think about it much</v>
      </c>
      <c r="C2294" s="664"/>
      <c r="D2294" s="475"/>
      <c r="E2294" s="683">
        <f t="shared" si="112"/>
        <v>0</v>
      </c>
      <c r="F2294" s="475"/>
      <c r="AC2294" s="389"/>
      <c r="AH2294" s="4" t="str">
        <f>CONCATENATE(B896,": ")</f>
        <v xml:space="preserve">11) helping others similarly situated: </v>
      </c>
      <c r="AJ2294" s="503" t="str">
        <f t="shared" si="113"/>
        <v>I don't seek it nor think about it much</v>
      </c>
      <c r="AP2294" s="508" t="str">
        <f t="shared" si="111"/>
        <v>11) helping others similarly situated: I don't seek it nor think about it much</v>
      </c>
      <c r="BB2294" s="388"/>
    </row>
    <row r="2295" spans="1:54" s="4" customFormat="1" x14ac:dyDescent="0.3">
      <c r="A2295" s="475"/>
      <c r="B2295" s="664" t="str">
        <f>AP2295</f>
        <v>12) other aspiration: NOT REPORTED</v>
      </c>
      <c r="C2295" s="664"/>
      <c r="D2295" s="475"/>
      <c r="E2295" s="683">
        <f t="shared" si="112"/>
        <v>0</v>
      </c>
      <c r="F2295" s="475"/>
      <c r="AC2295" s="389"/>
      <c r="AH2295" s="4" t="s">
        <v>4583</v>
      </c>
      <c r="AI2295" s="4" t="str">
        <f>CONCATENATE(IF(C897="","other aspiration",C897),": ")</f>
        <v xml:space="preserve">other aspiration: </v>
      </c>
      <c r="AJ2295" s="503" t="str">
        <f t="shared" si="113"/>
        <v>NOT REPORTED</v>
      </c>
      <c r="AP2295" s="508" t="str">
        <f t="shared" si="111"/>
        <v>12) other aspiration: NOT REPORTED</v>
      </c>
      <c r="BB2295" s="388"/>
    </row>
    <row r="2296" spans="1:54" s="4" customFormat="1" x14ac:dyDescent="0.3">
      <c r="A2296" s="475"/>
      <c r="B2296" s="475"/>
      <c r="C2296" s="475"/>
      <c r="D2296" s="475"/>
      <c r="E2296" s="475"/>
      <c r="F2296" s="475"/>
      <c r="AC2296" s="389"/>
      <c r="AH2296" s="4">
        <f>SUM(E2283:E2288)</f>
        <v>9</v>
      </c>
      <c r="AI2296" s="4">
        <f>4*6</f>
        <v>24</v>
      </c>
      <c r="AJ2296" s="4">
        <f>AH2296/AI2296</f>
        <v>0.375</v>
      </c>
      <c r="BB2296" s="388"/>
    </row>
    <row r="2297" spans="1:54" s="4" customFormat="1" x14ac:dyDescent="0.3">
      <c r="A2297" s="475"/>
      <c r="B2297" s="941" t="str">
        <f>AV2298</f>
        <v>With a 38% negative impact on Steph Turner's needs, and 53% impact on his aspirations, deeper justice may not be served. Getting to the sources of unjust negative impacts requires us to address unchecked prosecutorial power. Need-response examines the range of outcomes in this "adjudicaton distribution".</v>
      </c>
      <c r="C2297" s="941"/>
      <c r="D2297" s="941"/>
      <c r="E2297" s="941"/>
      <c r="F2297" s="475"/>
      <c r="AC2297" s="389"/>
      <c r="AH2297" s="4">
        <f>SUM(E2290:E2295)</f>
        <v>19</v>
      </c>
      <c r="AI2297" s="4">
        <f>6*6</f>
        <v>36</v>
      </c>
      <c r="AJ2297" s="4">
        <f>AH2297/AI2297</f>
        <v>0.52777777777777779</v>
      </c>
      <c r="BB2297" s="388"/>
    </row>
    <row r="2298" spans="1:54" s="4" customFormat="1" x14ac:dyDescent="0.3">
      <c r="A2298" s="475"/>
      <c r="B2298" s="941"/>
      <c r="C2298" s="941"/>
      <c r="D2298" s="941"/>
      <c r="E2298" s="941"/>
      <c r="F2298" s="475"/>
      <c r="AC2298" s="389"/>
      <c r="AH2298" s="4" t="s">
        <v>4584</v>
      </c>
      <c r="AI2298" s="4">
        <f>ROUND((AJ2296*100),0)</f>
        <v>38</v>
      </c>
      <c r="AJ2298" s="503" t="s">
        <v>4585</v>
      </c>
      <c r="AK2298" s="4" t="str">
        <f>BG202</f>
        <v>Steph Turner</v>
      </c>
      <c r="AL2298" s="503" t="s">
        <v>4586</v>
      </c>
      <c r="AM2298" s="4">
        <f>ROUND((AJ2297*100),0)</f>
        <v>53</v>
      </c>
      <c r="AN2298" s="503" t="s">
        <v>4587</v>
      </c>
      <c r="AO2298" s="4" t="str">
        <f>BJ206</f>
        <v>his</v>
      </c>
      <c r="AP2298" s="4" t="s">
        <v>4588</v>
      </c>
      <c r="AQ2298" s="4" t="str">
        <f>IF(OR(AJ2296&gt;0.5,AJ2297&gt;0.5),"deeper justice may not be served. ","deeper just appears adequately served. ")</f>
        <v xml:space="preserve">deeper justice may not be served. </v>
      </c>
      <c r="AR2298" s="4" t="str">
        <f>AI2299</f>
        <v>Getting to the sources of unjust negative impacts requires us to address unchecked prosecutorial power. Need-response examines the range of outcomes in this "adjudicaton distribution".</v>
      </c>
      <c r="AV2298" s="508" t="str">
        <f>CONCATENATE(AH2298,AI2298,AJ2298,AK2298,AL2298,AM2298,AN2298,AO2298,AP2298,AQ2298,AR2298,AS2298)</f>
        <v>With a 38% negative impact on Steph Turner's needs, and 53% impact on his aspirations, deeper justice may not be served. Getting to the sources of unjust negative impacts requires us to address unchecked prosecutorial power. Need-response examines the range of outcomes in this "adjudicaton distribution".</v>
      </c>
      <c r="BB2298" s="388"/>
    </row>
    <row r="2299" spans="1:54" s="4" customFormat="1" x14ac:dyDescent="0.3">
      <c r="A2299" s="475"/>
      <c r="B2299" s="941"/>
      <c r="C2299" s="941"/>
      <c r="D2299" s="941"/>
      <c r="E2299" s="941"/>
      <c r="F2299" s="475"/>
      <c r="AC2299" s="389"/>
      <c r="AI2299" s="475" t="s">
        <v>4589</v>
      </c>
      <c r="BB2299" s="388"/>
    </row>
    <row r="2300" spans="1:54" s="4" customFormat="1" ht="13.75" customHeight="1" x14ac:dyDescent="0.3">
      <c r="A2300" s="475"/>
      <c r="B2300" s="941"/>
      <c r="C2300" s="941"/>
      <c r="D2300" s="941"/>
      <c r="E2300" s="941"/>
      <c r="F2300" s="475"/>
      <c r="AC2300" s="389"/>
      <c r="BB2300" s="388"/>
    </row>
    <row r="2301" spans="1:54" s="4" customFormat="1" x14ac:dyDescent="0.3">
      <c r="A2301" s="475"/>
      <c r="B2301" s="475"/>
      <c r="C2301" s="505"/>
      <c r="D2301" s="505"/>
      <c r="E2301" s="505"/>
      <c r="F2301" s="475"/>
      <c r="AC2301" s="389"/>
      <c r="BB2301" s="388"/>
    </row>
    <row r="2302" spans="1:54" s="4" customFormat="1" x14ac:dyDescent="0.3">
      <c r="A2302" s="475"/>
      <c r="B2302" s="475"/>
      <c r="C2302" s="505"/>
      <c r="D2302" s="941" t="s">
        <v>4793</v>
      </c>
      <c r="E2302" s="941"/>
      <c r="F2302" s="475"/>
      <c r="AC2302" s="389"/>
      <c r="BB2302" s="388"/>
    </row>
    <row r="2303" spans="1:54" s="4" customFormat="1" x14ac:dyDescent="0.3">
      <c r="A2303" s="475"/>
      <c r="B2303" s="505"/>
      <c r="C2303" s="505"/>
      <c r="D2303" s="941"/>
      <c r="E2303" s="941"/>
      <c r="F2303" s="475"/>
      <c r="AC2303" s="389" t="s">
        <v>912</v>
      </c>
      <c r="BB2303" s="388"/>
    </row>
    <row r="2304" spans="1:54" s="4" customFormat="1" x14ac:dyDescent="0.3">
      <c r="A2304" s="475"/>
      <c r="B2304" s="475"/>
      <c r="C2304" s="475"/>
      <c r="D2304" s="941"/>
      <c r="E2304" s="941"/>
      <c r="F2304" s="475"/>
      <c r="BB2304" s="388"/>
    </row>
    <row r="2305" spans="1:78" s="4" customFormat="1" x14ac:dyDescent="0.3">
      <c r="A2305" s="475"/>
      <c r="B2305" s="475"/>
      <c r="C2305" s="475"/>
      <c r="D2305" s="941"/>
      <c r="E2305" s="941"/>
      <c r="F2305" s="475"/>
      <c r="BB2305" s="388"/>
    </row>
    <row r="2306" spans="1:78" s="4" customFormat="1" x14ac:dyDescent="0.3">
      <c r="A2306" s="475"/>
      <c r="B2306" s="475"/>
      <c r="C2306" s="475"/>
      <c r="D2306" s="941"/>
      <c r="E2306" s="941"/>
      <c r="F2306" s="475"/>
      <c r="AC2306" s="4" t="s">
        <v>913</v>
      </c>
      <c r="BB2306" s="388"/>
    </row>
    <row r="2307" spans="1:78" s="4" customFormat="1" x14ac:dyDescent="0.3">
      <c r="A2307" s="475"/>
      <c r="B2307" s="475"/>
      <c r="C2307" s="475"/>
      <c r="D2307" s="941"/>
      <c r="E2307" s="941"/>
      <c r="F2307" s="475"/>
      <c r="BB2307" s="388"/>
    </row>
    <row r="2308" spans="1:78" s="4" customFormat="1" x14ac:dyDescent="0.3">
      <c r="A2308" s="475"/>
      <c r="B2308" s="475"/>
      <c r="C2308" s="475"/>
      <c r="D2308" s="941"/>
      <c r="E2308" s="941"/>
      <c r="F2308" s="475"/>
      <c r="BB2308" s="388"/>
    </row>
    <row r="2309" spans="1:78" s="4" customFormat="1" x14ac:dyDescent="0.3">
      <c r="A2309" s="475"/>
      <c r="B2309" s="475"/>
      <c r="C2309" s="475"/>
      <c r="D2309" s="941"/>
      <c r="E2309" s="941"/>
      <c r="F2309" s="475"/>
      <c r="AC2309" s="4" t="s">
        <v>914</v>
      </c>
      <c r="BB2309" s="388"/>
    </row>
    <row r="2310" spans="1:78" s="4" customFormat="1" x14ac:dyDescent="0.3">
      <c r="A2310" s="475"/>
      <c r="B2310" s="475"/>
      <c r="C2310" s="475"/>
      <c r="D2310" s="941"/>
      <c r="E2310" s="941"/>
      <c r="F2310" s="475"/>
      <c r="BB2310" s="388"/>
    </row>
    <row r="2311" spans="1:78" s="4" customFormat="1" x14ac:dyDescent="0.3">
      <c r="A2311" s="475"/>
      <c r="B2311" s="475"/>
      <c r="C2311" s="475"/>
      <c r="D2311" s="941"/>
      <c r="E2311" s="941"/>
      <c r="F2311" s="475"/>
      <c r="BB2311" s="388"/>
    </row>
    <row r="2312" spans="1:78" s="4" customFormat="1" x14ac:dyDescent="0.3">
      <c r="A2312" s="475"/>
      <c r="B2312" s="485"/>
      <c r="C2312" s="485"/>
      <c r="D2312" s="941"/>
      <c r="E2312" s="941"/>
      <c r="F2312" s="475"/>
      <c r="AC2312" s="4" t="s">
        <v>915</v>
      </c>
      <c r="BB2312" s="388"/>
      <c r="BZ2312" s="4" t="s">
        <v>4411</v>
      </c>
    </row>
    <row r="2313" spans="1:78" s="4" customFormat="1" ht="10" customHeight="1" thickBot="1" x14ac:dyDescent="0.35">
      <c r="A2313" s="475"/>
      <c r="B2313" s="475"/>
      <c r="C2313" s="475"/>
      <c r="D2313" s="941"/>
      <c r="E2313" s="941"/>
      <c r="F2313" s="475"/>
      <c r="BB2313" s="388"/>
    </row>
    <row r="2314" spans="1:78" s="4" customFormat="1" ht="28" customHeight="1" thickTop="1" thickBot="1" x14ac:dyDescent="0.35">
      <c r="A2314" s="856" t="s">
        <v>3456</v>
      </c>
      <c r="B2314" s="857" t="s">
        <v>4498</v>
      </c>
      <c r="C2314" s="857"/>
      <c r="D2314" s="858" t="s">
        <v>4799</v>
      </c>
      <c r="E2314" s="859"/>
      <c r="F2314" s="860"/>
      <c r="AB2314" s="40" t="s">
        <v>3913</v>
      </c>
      <c r="AD2314" s="40" t="s">
        <v>3460</v>
      </c>
      <c r="AE2314" s="40"/>
      <c r="AF2314" s="40"/>
      <c r="BB2314" s="388"/>
    </row>
    <row r="2315" spans="1:78" s="4" customFormat="1" ht="15" thickTop="1" thickBot="1" x14ac:dyDescent="0.35">
      <c r="A2315" s="475"/>
      <c r="B2315" s="475"/>
      <c r="C2315" s="475"/>
      <c r="D2315" s="475"/>
      <c r="E2315" s="834">
        <v>20</v>
      </c>
      <c r="F2315" s="475"/>
      <c r="AD2315" s="697" t="str">
        <f>IF($BD$1770&gt;0,CONCATENATE(AG2315,AJ2315),AN2315)</f>
        <v>REQUIRES PASSKEY</v>
      </c>
      <c r="AG2315" s="4" t="s">
        <v>4798</v>
      </c>
      <c r="AJ2315" s="4">
        <v>1</v>
      </c>
      <c r="AN2315" s="4" t="s">
        <v>4362</v>
      </c>
      <c r="AW2315" s="4" t="s">
        <v>4802</v>
      </c>
    </row>
    <row r="2316" spans="1:78" s="4" customFormat="1" ht="19.5" thickTop="1" thickBot="1" x14ac:dyDescent="0.35">
      <c r="A2316" s="475"/>
      <c r="B2316" s="1110" t="s">
        <v>4792</v>
      </c>
      <c r="C2316" s="1111"/>
      <c r="D2316" s="1111"/>
      <c r="E2316" s="1112"/>
      <c r="F2316" s="475"/>
      <c r="AD2316" s="697" t="str">
        <f>IF($BD$1770&gt;0,CONCATENATE(AG2316,AJ2316),AN2316)</f>
        <v>REQUIRES PASSKEY</v>
      </c>
      <c r="AG2316" s="4" t="s">
        <v>4798</v>
      </c>
      <c r="AJ2316" s="4">
        <v>2</v>
      </c>
      <c r="AN2316" s="4" t="s">
        <v>4362</v>
      </c>
      <c r="AW2316" s="4" t="s">
        <v>4803</v>
      </c>
    </row>
    <row r="2317" spans="1:78" s="4" customFormat="1" ht="10" customHeight="1" thickTop="1" x14ac:dyDescent="0.3">
      <c r="A2317" s="475"/>
      <c r="B2317" s="1154" t="s">
        <v>5362</v>
      </c>
      <c r="C2317" s="1154"/>
      <c r="D2317" s="1154"/>
      <c r="E2317" s="1155"/>
      <c r="F2317" s="475"/>
      <c r="AD2317" s="697" t="str">
        <f>IF($BD$1770&gt;0,CONCATENATE(AG2317,AJ2317),AN2317)</f>
        <v>REQUIRES PASSKEY</v>
      </c>
      <c r="AG2317" s="4" t="s">
        <v>4798</v>
      </c>
      <c r="AJ2317" s="4">
        <v>3</v>
      </c>
      <c r="AN2317" s="4" t="s">
        <v>4362</v>
      </c>
      <c r="AW2317" s="4" t="s">
        <v>4811</v>
      </c>
      <c r="BA2317" s="4" t="s">
        <v>4804</v>
      </c>
    </row>
    <row r="2318" spans="1:78" s="4" customFormat="1" ht="17" customHeight="1" thickBot="1" x14ac:dyDescent="0.35">
      <c r="A2318" s="475"/>
      <c r="B2318" s="694" t="s">
        <v>4794</v>
      </c>
      <c r="C2318" s="937"/>
      <c r="D2318" s="937"/>
      <c r="E2318" s="938"/>
      <c r="F2318" s="475"/>
      <c r="AD2318" s="697" t="str">
        <f>IF($BD$1770&gt;0,CONCATENATE(AG2318,AJ2318),AN2318)</f>
        <v>REQUIRES PASSKEY</v>
      </c>
      <c r="AG2318" s="4" t="s">
        <v>4798</v>
      </c>
      <c r="AJ2318" s="4">
        <v>4</v>
      </c>
      <c r="AN2318" s="4" t="s">
        <v>4362</v>
      </c>
      <c r="AW2318" s="4" t="s">
        <v>4805</v>
      </c>
    </row>
    <row r="2319" spans="1:78" s="4" customFormat="1" ht="17" customHeight="1" thickTop="1" thickBot="1" x14ac:dyDescent="0.35">
      <c r="A2319" s="475"/>
      <c r="B2319" s="694" t="s">
        <v>4846</v>
      </c>
      <c r="C2319" s="719"/>
      <c r="D2319" s="720">
        <f ca="1">TODAY()</f>
        <v>45774</v>
      </c>
      <c r="E2319" s="722"/>
      <c r="F2319" s="475"/>
      <c r="AD2319" s="697"/>
    </row>
    <row r="2320" spans="1:78" s="4" customFormat="1" ht="14.5" thickTop="1" x14ac:dyDescent="0.3">
      <c r="A2320" s="475"/>
      <c r="B2320" s="933" t="str">
        <f>AD2321</f>
        <v xml:space="preserve">This is an attempt to illuminate hidden costs of a power imbalance. You are under no legal obligation to remit this invoice, and we are under no moral obligation to grant legitimacy if you refuse to engage us to address these structurally exacted costs. This invoice is backed by 30 supporters. </v>
      </c>
      <c r="C2320" s="934"/>
      <c r="D2320" s="934"/>
      <c r="E2320" s="935"/>
      <c r="F2320" s="475"/>
      <c r="AG2320" s="4">
        <f>E2315</f>
        <v>20</v>
      </c>
      <c r="AH2320" s="4" t="s">
        <v>5310</v>
      </c>
    </row>
    <row r="2321" spans="1:64" s="4" customFormat="1" ht="14.4" customHeight="1" x14ac:dyDescent="0.3">
      <c r="A2321" s="475"/>
      <c r="B2321" s="933"/>
      <c r="C2321" s="933"/>
      <c r="D2321" s="933"/>
      <c r="E2321" s="936"/>
      <c r="F2321" s="475"/>
      <c r="AD2321" s="475" t="str">
        <f>CONCATENATE(AF2321,AG2321,AH2321,AI2321,AJ2321,AK2321,AL2321)</f>
        <v xml:space="preserve">This is an attempt to illuminate hidden costs of a power imbalance. You are under no legal obligation to remit this invoice, and we are under no moral obligation to grant legitimacy if you refuse to engage us to address these structurally exacted costs. This invoice is backed by 30 supporters. </v>
      </c>
      <c r="AF2321" s="475" t="s">
        <v>4795</v>
      </c>
      <c r="AG2321" s="4" t="str">
        <f>IF(AX1845&gt;AG2320,CONCATENATE("This invoice is backed by ",AX1845," supporters. "),"")</f>
        <v xml:space="preserve">This invoice is backed by 30 supporters. </v>
      </c>
    </row>
    <row r="2322" spans="1:64" s="4" customFormat="1" x14ac:dyDescent="0.3">
      <c r="A2322" s="475"/>
      <c r="B2322" s="933"/>
      <c r="C2322" s="933"/>
      <c r="D2322" s="933"/>
      <c r="E2322" s="936"/>
      <c r="F2322" s="475"/>
      <c r="AD2322" s="475" t="s">
        <v>4409</v>
      </c>
    </row>
    <row r="2323" spans="1:64" s="4" customFormat="1" ht="15" x14ac:dyDescent="0.3">
      <c r="A2323" s="475"/>
      <c r="B2323" s="723" t="s">
        <v>3635</v>
      </c>
      <c r="C2323" s="475"/>
      <c r="D2323" s="838" t="s">
        <v>3636</v>
      </c>
      <c r="E2323" s="724"/>
      <c r="F2323" s="475"/>
      <c r="BB2323" s="475" t="s">
        <v>4814</v>
      </c>
      <c r="BE2323" s="475" t="s">
        <v>4410</v>
      </c>
      <c r="BJ2323" s="475" t="s">
        <v>3909</v>
      </c>
      <c r="BK2323" s="475"/>
    </row>
    <row r="2324" spans="1:64" s="4" customFormat="1" ht="13.75" customHeight="1" x14ac:dyDescent="0.3">
      <c r="A2324" s="475"/>
      <c r="B2324" s="933" t="str">
        <f>AD2324</f>
        <v>This is primarily a communication tool, to document and engage power-impacted needs. What gets measured gets done. This is to show the transactional costs of the wrongful conviction.</v>
      </c>
      <c r="C2324" s="933"/>
      <c r="D2324" s="933"/>
      <c r="E2324" s="724"/>
      <c r="F2324" s="475"/>
      <c r="AD2324" s="475" t="s">
        <v>4815</v>
      </c>
    </row>
    <row r="2325" spans="1:64" s="4" customFormat="1" x14ac:dyDescent="0.3">
      <c r="A2325" s="475"/>
      <c r="B2325" s="933"/>
      <c r="C2325" s="933"/>
      <c r="D2325" s="933"/>
      <c r="E2325" s="724"/>
      <c r="F2325" s="475"/>
    </row>
    <row r="2326" spans="1:64" s="4" customFormat="1" ht="20" customHeight="1" x14ac:dyDescent="0.3">
      <c r="A2326" s="475"/>
      <c r="B2326" s="483" t="s">
        <v>4810</v>
      </c>
      <c r="C2326" s="483" t="s">
        <v>4809</v>
      </c>
      <c r="D2326" s="483" t="s">
        <v>4808</v>
      </c>
      <c r="E2326" s="724"/>
      <c r="F2326" s="475"/>
      <c r="AD2326" s="4" t="s">
        <v>4797</v>
      </c>
    </row>
    <row r="2327" spans="1:64" s="4" customFormat="1" x14ac:dyDescent="0.3">
      <c r="A2327" s="475"/>
      <c r="B2327" s="713">
        <v>5500</v>
      </c>
      <c r="C2327" s="715" t="str">
        <f>AE2327</f>
        <v>select a numbered invoice above</v>
      </c>
      <c r="D2327" s="716" t="s">
        <v>4802</v>
      </c>
      <c r="E2327" s="724"/>
      <c r="F2327" s="475"/>
      <c r="AD2327" s="707">
        <f>B2327</f>
        <v>5500</v>
      </c>
      <c r="AE2327" s="696" t="str">
        <f>IF(D$2314=AD$2315,AG2327,IF(D$2314=AD$2316,AO2327,IF(D$2314=AD$2317,AX2327,IF(D$2314=AD$2318,BE2327,AD$2326))))</f>
        <v>select a numbered invoice above</v>
      </c>
      <c r="AF2327" s="709"/>
      <c r="AG2327" s="695" t="str">
        <f>CONCATENATE(AI2327,AJ2327,AK2327,AL2327,AM2327)</f>
        <v>Prior investments in Steph's innocence</v>
      </c>
      <c r="AI2327" s="4" t="s">
        <v>4796</v>
      </c>
      <c r="AJ2327" s="4" t="str">
        <f>AN202</f>
        <v>Steph</v>
      </c>
      <c r="AK2327" s="503" t="s">
        <v>4367</v>
      </c>
      <c r="AN2327" s="709"/>
      <c r="AO2327" s="695" t="str">
        <f>CONCATENATE(AQ2327,AR2327,AS2327,AT2327,AU2327)</f>
        <v>Prior investments in Steph's innocence</v>
      </c>
      <c r="AQ2327" s="702" t="str">
        <f>AG2327</f>
        <v>Prior investments in Steph's innocence</v>
      </c>
      <c r="AW2327" s="709"/>
      <c r="AX2327" s="695" t="str">
        <f>CONCATENATE(AZ2327,BA2327,BB2327,BC2327)</f>
        <v>Prior investments in Steph's innocence</v>
      </c>
      <c r="AZ2327" s="702" t="str">
        <f>AQ2327</f>
        <v>Prior investments in Steph's innocence</v>
      </c>
      <c r="BD2327" s="709"/>
      <c r="BE2327" s="695" t="str">
        <f>CONCATENATE(BG2327,BH2327,BI2327,BJ2327)</f>
        <v>NOT YET AVAILABLE</v>
      </c>
      <c r="BG2327" s="702" t="s">
        <v>4074</v>
      </c>
      <c r="BL2327" s="4">
        <f>IF(AND(B2327&gt;0,D2327=""),1,0)</f>
        <v>0</v>
      </c>
    </row>
    <row r="2328" spans="1:64" s="4" customFormat="1" x14ac:dyDescent="0.3">
      <c r="A2328" s="475"/>
      <c r="B2328" s="714">
        <f>AD2328</f>
        <v>0</v>
      </c>
      <c r="C2328" s="715" t="str">
        <f>AE2328</f>
        <v>select a numbered invoice above</v>
      </c>
      <c r="D2328" s="716" t="s">
        <v>4803</v>
      </c>
      <c r="E2328" s="724"/>
      <c r="F2328" s="475"/>
      <c r="AD2328" s="708">
        <f>IF(D$2314=AD$2315,AF2328,IF(D$2314=AD$2316,AN2328,IF(D$2314=AD$2317,AW2328,IF(D$2314=AD$2318,BD2328,0))))</f>
        <v>0</v>
      </c>
      <c r="AE2328" s="696" t="str">
        <f>IF(D$2314=AD$2315,AG2328,IF(D$2314=AD$2316,AO2328,IF(D$2314=AD$2317,AX2328,IF(D$2314=AD$2318,BE2328,AD$2326))))</f>
        <v>select a numbered invoice above</v>
      </c>
      <c r="AF2328" s="744">
        <f>B2458</f>
        <v>3250</v>
      </c>
      <c r="AG2328" s="695" t="str">
        <f>CONCATENATE(AI2328,AJ2328,AK2328,AL2328,AM2328)</f>
        <v>Current investment in Steph's innocence</v>
      </c>
      <c r="AI2328" s="4" t="s">
        <v>4806</v>
      </c>
      <c r="AJ2328" s="4" t="str">
        <f>AJ2327</f>
        <v>Steph</v>
      </c>
      <c r="AK2328" s="503" t="s">
        <v>4367</v>
      </c>
      <c r="AN2328" s="708">
        <f>AF2328</f>
        <v>3250</v>
      </c>
      <c r="AO2328" s="695" t="str">
        <f>CONCATENATE(AQ2328,AR2328,AS2328,AT2328,AU2328)</f>
        <v>Current investment in Steph's innocence</v>
      </c>
      <c r="AQ2328" s="702" t="str">
        <f>AG2328</f>
        <v>Current investment in Steph's innocence</v>
      </c>
      <c r="AW2328" s="708">
        <f>AN2328</f>
        <v>3250</v>
      </c>
      <c r="AX2328" s="695" t="str">
        <f>CONCATENATE(AZ2328,BA2328,BB2328,BC2328)</f>
        <v>Current investment in Steph's innocence</v>
      </c>
      <c r="AZ2328" s="702" t="str">
        <f>AQ2328</f>
        <v>Current investment in Steph's innocence</v>
      </c>
      <c r="BD2328" s="708"/>
      <c r="BE2328" s="695" t="str">
        <f>CONCATENATE(BG2328,BH2328,BI2328,BJ2328)</f>
        <v>STILL WORKING ON IT</v>
      </c>
      <c r="BG2328" s="702" t="s">
        <v>4077</v>
      </c>
      <c r="BL2328" s="4">
        <f>IF(AND(B2328&gt;0,D2328=""),1,0)</f>
        <v>0</v>
      </c>
    </row>
    <row r="2329" spans="1:64" s="4" customFormat="1" x14ac:dyDescent="0.3">
      <c r="A2329" s="475"/>
      <c r="B2329" s="714">
        <f>AD2329</f>
        <v>0</v>
      </c>
      <c r="C2329" s="715" t="str">
        <f>AE2329</f>
        <v>select a numbered invoice above</v>
      </c>
      <c r="D2329" s="716" t="s">
        <v>4811</v>
      </c>
      <c r="E2329" s="724"/>
      <c r="F2329" s="475"/>
      <c r="AD2329" s="708">
        <f>IF(D$2314=AD$2315,AF2329,IF(D$2314=AD$2316,AN2329,IF(D$2314=AD$2317,AW2329,IF(D$2314=AD$2318,BD2329,0))))</f>
        <v>0</v>
      </c>
      <c r="AE2329" s="696" t="str">
        <f>IF(D$2314=AD$2315,AG2329,IF(D$2314=AD$2316,AO2329,IF(D$2314=AD$2317,AX2329,IF(D$2314=AD$2318,BE2329,AD$2326))))</f>
        <v>select a numbered invoice above</v>
      </c>
      <c r="AF2329" s="708">
        <f>AE321*65000</f>
        <v>780000</v>
      </c>
      <c r="AG2329" s="695" t="str">
        <f>CONCATENATE(AI2329,AJ2329,AK2329,AL2329,AM2329)</f>
        <v>Compensation standard for exonerees</v>
      </c>
      <c r="AI2329" s="4" t="s">
        <v>4812</v>
      </c>
      <c r="AK2329" s="503"/>
      <c r="AN2329" s="708">
        <f ca="1">AI$321*10</f>
        <v>116170</v>
      </c>
      <c r="AO2329" s="695" t="str">
        <f>CONCATENATE(AQ2329,AR2329,AS2329,AT2329,AU2329)</f>
        <v>Emotional labor: chronic anxiety</v>
      </c>
      <c r="AQ2329" s="702" t="s">
        <v>4817</v>
      </c>
      <c r="AW2329" s="708"/>
      <c r="AX2329" s="695" t="str">
        <f>CONCATENATE(AZ2329,BA2329,BB2329,BC2329)</f>
        <v>Emotional damage: trauma</v>
      </c>
      <c r="AZ2329" s="702" t="s">
        <v>4819</v>
      </c>
      <c r="BD2329" s="708"/>
      <c r="BE2329" s="695" t="str">
        <f>CONCATENATE(BG2329,BH2329,BI2329,BJ2329)</f>
        <v>ALMOST FINISHED</v>
      </c>
      <c r="BG2329" s="702" t="s">
        <v>4807</v>
      </c>
      <c r="BL2329" s="4">
        <f>IF(AND(B2329&gt;0,D2329=""),1,0)</f>
        <v>0</v>
      </c>
    </row>
    <row r="2330" spans="1:64" s="4" customFormat="1" x14ac:dyDescent="0.3">
      <c r="A2330" s="475"/>
      <c r="B2330" s="714">
        <f>AD2330</f>
        <v>0</v>
      </c>
      <c r="C2330" s="715" t="str">
        <f>AE2330</f>
        <v>select a numbered invoice above</v>
      </c>
      <c r="D2330" s="716" t="s">
        <v>4803</v>
      </c>
      <c r="E2330" s="724"/>
      <c r="F2330" s="475"/>
      <c r="AD2330" s="708">
        <f>IF(D$2314=AD$2315,AF2330,IF(D$2314=AD$2316,AN2330,IF(D$2314=AD$2317,AW2330,IF(D$2314=AD$2318,BD2330,0))))</f>
        <v>0</v>
      </c>
      <c r="AE2330" s="696" t="str">
        <f>IF(D$2314=AD$2315,AG2330,IF(D$2314=AD$2316,AO2330,IF(D$2314=AD$2317,AX2330,IF(D$2314=AD$2318,BE2330,AD$2326))))</f>
        <v>select a numbered invoice above</v>
      </c>
      <c r="AF2330" s="710">
        <f>BS1166</f>
        <v>220956</v>
      </c>
      <c r="AG2330" s="695" t="str">
        <f>CONCATENATE(AI2330,AJ2330,AK2330,AL2330,AM2330)</f>
        <v>Lost income from wrongful conviction</v>
      </c>
      <c r="AI2330" s="4" t="s">
        <v>4813</v>
      </c>
      <c r="AK2330" s="503"/>
      <c r="AN2330" s="708">
        <f ca="1">AI$321*20</f>
        <v>232340</v>
      </c>
      <c r="AO2330" s="695" t="str">
        <f>CONCATENATE(AQ2330,AR2330,AS2330,AT2330,AU2330)</f>
        <v>Emotional labor: chronic depression</v>
      </c>
      <c r="AQ2330" s="702" t="s">
        <v>4818</v>
      </c>
      <c r="AW2330" s="708"/>
      <c r="AX2330" s="695" t="str">
        <f>CONCATENATE(AZ2330,BA2330,BB2330,BC2330)</f>
        <v>Emotional damage: focus</v>
      </c>
      <c r="AZ2330" s="702" t="s">
        <v>4820</v>
      </c>
      <c r="BD2330" s="708"/>
      <c r="BE2330" s="695" t="str">
        <f>CONCATENATE(BG2330,BH2330,BI2330,BJ2330)</f>
        <v>ALMOST FINISHED</v>
      </c>
      <c r="BG2330" s="702" t="s">
        <v>4807</v>
      </c>
      <c r="BL2330" s="4">
        <f>IF(AND(B2330&gt;0,D2330=""),1,0)</f>
        <v>0</v>
      </c>
    </row>
    <row r="2331" spans="1:64" s="4" customFormat="1" x14ac:dyDescent="0.3">
      <c r="A2331" s="475"/>
      <c r="B2331" s="699">
        <f>BI2336</f>
        <v>5500</v>
      </c>
      <c r="C2331" s="700" t="s">
        <v>4800</v>
      </c>
      <c r="D2331" s="701"/>
      <c r="E2331" s="724"/>
      <c r="F2331" s="475"/>
      <c r="AD2331" s="708"/>
      <c r="AE2331" s="696" t="str">
        <f>IF(D$2314=AD$2315,AG2331,IF(D$2314=AD$2316,AO2331,IF(D$2314=AD$2317,AX2331,IF(D$2314=AD$2318,BE2331,AD$2326))))</f>
        <v>select a numbered invoice above</v>
      </c>
      <c r="AF2331" s="708"/>
      <c r="AG2331" s="695" t="str">
        <f>CONCATENATE(AI2331,AJ2331,AK2331,AL2331,AM2331,MN2331)</f>
        <v/>
      </c>
      <c r="AK2331" s="503"/>
      <c r="AN2331" s="708"/>
      <c r="AO2331" s="695" t="str">
        <f>CONCATENATE(AQ2331,AR2331,AS2331,AT2331,AU2331,MV2331)</f>
        <v/>
      </c>
      <c r="AW2331" s="708"/>
      <c r="AX2331" s="695" t="str">
        <f>CONCATENATE(AZ2331,BA2331,BB2331,BC2331,BB2331)</f>
        <v/>
      </c>
      <c r="BD2331" s="708"/>
      <c r="BE2331" s="695" t="str">
        <f>CONCATENATE(BG2331,BH2331,BI2331,BJ2331,BI2331)</f>
        <v/>
      </c>
      <c r="BL2331" s="4">
        <f>SUM(BL2327:BL2330)</f>
        <v>0</v>
      </c>
    </row>
    <row r="2332" spans="1:64" s="4" customFormat="1" x14ac:dyDescent="0.3">
      <c r="A2332" s="475"/>
      <c r="B2332" s="714">
        <f>AE2344</f>
        <v>275</v>
      </c>
      <c r="C2332" s="939" t="str">
        <f>IF(AN2344&gt;0,AD2336,"")</f>
        <v>5% SURCHARGE: for asking if this could be extortion, contrary to facts</v>
      </c>
      <c r="D2332" s="940"/>
      <c r="E2332" s="724"/>
      <c r="F2332" s="475"/>
      <c r="AP2332" s="4">
        <f>IF(OR(D2327="",D2328="",D2329="",D2330=""),1,0)</f>
        <v>0</v>
      </c>
      <c r="BH2332" s="711">
        <f>B2327</f>
        <v>5500</v>
      </c>
      <c r="BI2332" s="709">
        <f>IF($D2327=$AW$2316,0,$B2327)</f>
        <v>5500</v>
      </c>
    </row>
    <row r="2333" spans="1:64" s="4" customFormat="1" x14ac:dyDescent="0.3">
      <c r="A2333" s="475"/>
      <c r="B2333" s="704">
        <f>BI2338</f>
        <v>5775</v>
      </c>
      <c r="C2333" s="475" t="str">
        <f>AD2334</f>
        <v>TOTAL</v>
      </c>
      <c r="D2333" s="791"/>
      <c r="E2333" s="724"/>
      <c r="F2333" s="475"/>
      <c r="AZ2333" s="743"/>
      <c r="BH2333" s="711">
        <f>B2328</f>
        <v>0</v>
      </c>
      <c r="BI2333" s="709">
        <f>IF($D2328=$AW$2316,0,$B2328)</f>
        <v>0</v>
      </c>
    </row>
    <row r="2334" spans="1:64" s="4" customFormat="1" ht="13.75" customHeight="1" thickBot="1" x14ac:dyDescent="0.35">
      <c r="A2334" s="721"/>
      <c r="B2334" s="792"/>
      <c r="C2334" s="792"/>
      <c r="D2334" s="793" t="str">
        <f>IF(B2333=0,"","How much is actual justice worth to you?")</f>
        <v>How much is actual justice worth to you?</v>
      </c>
      <c r="E2334" s="794"/>
      <c r="F2334" s="475"/>
      <c r="AD2334" s="703" t="str">
        <f>IF(AP2332&gt;0,AG2334,AF2334)</f>
        <v>TOTAL</v>
      </c>
      <c r="AF2334" s="4" t="s">
        <v>4801</v>
      </c>
      <c r="AG2334" s="4" t="s">
        <v>4835</v>
      </c>
      <c r="BH2334" s="711">
        <f>B2329</f>
        <v>0</v>
      </c>
      <c r="BI2334" s="709">
        <f>IF($D2329=$AW$2316,0,$B2329)</f>
        <v>0</v>
      </c>
    </row>
    <row r="2335" spans="1:64" s="4" customFormat="1" x14ac:dyDescent="0.3">
      <c r="A2335" s="475"/>
      <c r="B2335" s="475"/>
      <c r="C2335" s="475"/>
      <c r="D2335" s="475"/>
      <c r="E2335" s="475"/>
      <c r="F2335" s="475"/>
      <c r="BH2335" s="711">
        <f>B2330</f>
        <v>0</v>
      </c>
      <c r="BI2335" s="709">
        <f>IF($D2330=$AW$2316,0,$B2330)</f>
        <v>0</v>
      </c>
    </row>
    <row r="2336" spans="1:64" s="4" customFormat="1" ht="16.5" thickBot="1" x14ac:dyDescent="0.35">
      <c r="A2336" s="475"/>
      <c r="B2336" s="678" t="s">
        <v>4529</v>
      </c>
      <c r="C2336" s="949" t="s">
        <v>4519</v>
      </c>
      <c r="D2336" s="950"/>
      <c r="E2336" s="475"/>
      <c r="F2336" s="475"/>
      <c r="AD2336" s="4" t="str">
        <f>IF(C2336=AD2345,AD2337,IF(C2336=AD2346,AD2338,IF(C2336=AD2347,AD2339,IF(C2336=AD2348,AD2340,IF(C2336=AD2349,AD2341,IF(C2336=AD2350,AD2342,"SURCHARGE or DISCOUNT"))))))</f>
        <v>5% SURCHARGE: for asking if this could be extortion, contrary to facts</v>
      </c>
      <c r="BH2336" s="796" t="s">
        <v>4800</v>
      </c>
      <c r="BI2336" s="712">
        <f>SUM(BI2332:BI2335)</f>
        <v>5500</v>
      </c>
      <c r="BL2336" s="797" t="s">
        <v>3489</v>
      </c>
    </row>
    <row r="2337" spans="1:64" s="4" customFormat="1" ht="14.5" thickBot="1" x14ac:dyDescent="0.35">
      <c r="A2337" s="475"/>
      <c r="B2337" s="677" t="s">
        <v>166</v>
      </c>
      <c r="C2337" s="664" t="str">
        <f>IF($AD$2344&gt;0,AF2345,AF2346)</f>
        <v>Is there already a power relation between the AI &amp; RI?</v>
      </c>
      <c r="D2337" s="475"/>
      <c r="E2337" s="475"/>
      <c r="F2337" s="475"/>
      <c r="AD2337" s="698" t="str">
        <f>CONCATENATE(AE2337,AF2337)</f>
        <v>50% DISCOUNT: for welcoming this mutual awareness of affected needs</v>
      </c>
      <c r="AE2337" s="4" t="s">
        <v>4824</v>
      </c>
      <c r="AF2337" s="4" t="s">
        <v>4829</v>
      </c>
      <c r="AP2337" s="4" t="s">
        <v>4853</v>
      </c>
      <c r="BH2337" s="4" t="s">
        <v>4816</v>
      </c>
      <c r="BI2337" s="711">
        <f>AE2344</f>
        <v>275</v>
      </c>
      <c r="BL2337" s="797"/>
    </row>
    <row r="2338" spans="1:64" s="4" customFormat="1" ht="14.5" thickBot="1" x14ac:dyDescent="0.35">
      <c r="A2338" s="475"/>
      <c r="B2338" s="677" t="s">
        <v>166</v>
      </c>
      <c r="C2338" s="664" t="str">
        <f>IF($AD$2344&gt;0,AF2347,AF2348)</f>
        <v>Does the receiving AI hold power over sending RI?</v>
      </c>
      <c r="D2338" s="475"/>
      <c r="E2338" s="475"/>
      <c r="F2338" s="475"/>
      <c r="AD2338" s="698" t="str">
        <f>CONCATENATE(AE2338,AF2338)</f>
        <v>25% DISCOUNT: for engaging impacted needs without bringing up extortion</v>
      </c>
      <c r="AE2338" s="4" t="s">
        <v>4823</v>
      </c>
      <c r="AF2338" s="4" t="s">
        <v>4830</v>
      </c>
      <c r="AP2338" s="4" t="str">
        <f>IF(B2342=AP2339,AU2339,IF(B2342=AP2340,AU2340,IF(B2342=AP2341,AU2341,IF(B2342=AP2342,AU2342,IF(B2342=AP2343,AU2343,AP2337)))))</f>
        <v>We moderately upgrade their legitimacy in the next step</v>
      </c>
      <c r="BH2338" s="795" t="s">
        <v>4801</v>
      </c>
      <c r="BI2338" s="712">
        <f>IF(AP2332=0,BI2336+BI2337,0)</f>
        <v>5775</v>
      </c>
      <c r="BL2338" s="797" t="s">
        <v>5136</v>
      </c>
    </row>
    <row r="2339" spans="1:64" s="4" customFormat="1" ht="14.5" thickBot="1" x14ac:dyDescent="0.35">
      <c r="A2339" s="475"/>
      <c r="B2339" s="677" t="s">
        <v>166</v>
      </c>
      <c r="C2339" s="664" t="str">
        <f>IF($AD$2344&gt;0,AF2349,AF2350)</f>
        <v>Does the RI already experience come coersion from the AI?</v>
      </c>
      <c r="D2339" s="475"/>
      <c r="E2339" s="475"/>
      <c r="F2339" s="475"/>
      <c r="AD2339" s="698" t="str">
        <f>CONCATENATE(AE2339,AF2339,AG2339)</f>
        <v>5% SURCHARGE: for asking if this could be extortion, contrary to facts</v>
      </c>
      <c r="AE2339" s="4" t="s">
        <v>4825</v>
      </c>
      <c r="AF2339" s="4" t="s">
        <v>4832</v>
      </c>
      <c r="AG2339" s="4" t="str">
        <f>IF($AN$2344&gt;0,", contrary to facts","")</f>
        <v>, contrary to facts</v>
      </c>
      <c r="AP2339" s="475" t="s">
        <v>4852</v>
      </c>
      <c r="AU2339" s="4" t="s">
        <v>4857</v>
      </c>
      <c r="BL2339" s="797"/>
    </row>
    <row r="2340" spans="1:64" s="4" customFormat="1" ht="14.5" thickBot="1" x14ac:dyDescent="0.35">
      <c r="A2340" s="475"/>
      <c r="B2340" s="677" t="s">
        <v>166</v>
      </c>
      <c r="C2340" s="664" t="str">
        <f>IF($AD$2344&gt;0,AF2351,AF2352)</f>
        <v>Does the RI seek to address all needs mutually?</v>
      </c>
      <c r="D2340" s="475"/>
      <c r="E2340" s="475"/>
      <c r="F2340" s="475"/>
      <c r="AD2340" s="698" t="str">
        <f>CONCATENATE(AE2340,AF2340,AG2340)</f>
        <v>10% SURCHARGE: for implying this could be extortion, contrary to facts</v>
      </c>
      <c r="AE2340" s="4" t="s">
        <v>4826</v>
      </c>
      <c r="AF2340" s="4" t="s">
        <v>4833</v>
      </c>
      <c r="AG2340" s="4" t="str">
        <f>IF($AN$2344&gt;0,", contrary to facts","")</f>
        <v>, contrary to facts</v>
      </c>
      <c r="AP2340" s="475" t="s">
        <v>4851</v>
      </c>
      <c r="AU2340" s="4" t="s">
        <v>4856</v>
      </c>
      <c r="BL2340" s="797" t="s">
        <v>5137</v>
      </c>
    </row>
    <row r="2341" spans="1:64" s="4" customFormat="1" ht="13.75" customHeight="1" x14ac:dyDescent="0.3">
      <c r="A2341" s="475"/>
      <c r="B2341" s="475"/>
      <c r="C2341" s="475"/>
      <c r="D2341" s="475"/>
      <c r="E2341" s="475"/>
      <c r="F2341" s="475"/>
      <c r="AD2341" s="698" t="str">
        <f>CONCATENATE(AE2341,AF2341,AG2341)</f>
        <v>25% SURCHARGE: for alleging extortion, contrary to the facts</v>
      </c>
      <c r="AE2341" s="4" t="s">
        <v>4828</v>
      </c>
      <c r="AF2341" s="4" t="s">
        <v>4834</v>
      </c>
      <c r="AG2341" s="4" t="str">
        <f>IF($AN$2344&gt;0,", contrary to the facts","")</f>
        <v>, contrary to the facts</v>
      </c>
      <c r="AP2341" s="475" t="s">
        <v>4848</v>
      </c>
      <c r="AU2341" s="4" t="s">
        <v>4858</v>
      </c>
      <c r="BL2341" s="797"/>
    </row>
    <row r="2342" spans="1:64" s="4" customFormat="1" ht="15" customHeight="1" x14ac:dyDescent="0.3">
      <c r="A2342" s="475"/>
      <c r="B2342" s="732" t="s">
        <v>4850</v>
      </c>
      <c r="C2342" s="733" t="str">
        <f>AP2338</f>
        <v>We moderately upgrade their legitimacy in the next step</v>
      </c>
      <c r="D2342" s="505"/>
      <c r="E2342" s="505"/>
      <c r="F2342" s="475"/>
      <c r="AD2342" s="698" t="str">
        <f>CONCATENATE(AE2342,AF2342,AG2342)</f>
        <v>50% SURCHARGE: for accusing RI of extortion contrary to the facts contrary to the facts</v>
      </c>
      <c r="AE2342" s="4" t="s">
        <v>4827</v>
      </c>
      <c r="AF2342" s="4" t="s">
        <v>4831</v>
      </c>
      <c r="AG2342" s="4" t="str">
        <f>IF($AN$2344&gt;0," contrary to the facts","")</f>
        <v xml:space="preserve"> contrary to the facts</v>
      </c>
      <c r="AP2342" s="475" t="s">
        <v>4850</v>
      </c>
      <c r="AU2342" s="4" t="s">
        <v>4855</v>
      </c>
      <c r="BL2342" s="797" t="s">
        <v>5138</v>
      </c>
    </row>
    <row r="2343" spans="1:64" s="4" customFormat="1" ht="10" customHeight="1" x14ac:dyDescent="0.3">
      <c r="A2343" s="475"/>
      <c r="B2343" s="475"/>
      <c r="C2343" s="505"/>
      <c r="D2343" s="505"/>
      <c r="E2343" s="505"/>
      <c r="F2343" s="475"/>
      <c r="AD2343" s="4" t="s">
        <v>4525</v>
      </c>
      <c r="AP2343" s="475" t="s">
        <v>4849</v>
      </c>
      <c r="AU2343" s="4" t="s">
        <v>4854</v>
      </c>
      <c r="BL2343" s="645"/>
    </row>
    <row r="2344" spans="1:64" s="4" customFormat="1" ht="20" customHeight="1" x14ac:dyDescent="0.3">
      <c r="A2344" s="735"/>
      <c r="B2344" s="736" t="str">
        <f>AP2344</f>
        <v>This 'exaction invoice' is one of many need-response tools at our disposal</v>
      </c>
      <c r="C2344" s="735"/>
      <c r="D2344" s="735"/>
      <c r="E2344" s="737"/>
      <c r="F2344" s="475"/>
      <c r="AD2344" s="789">
        <f>IF(C2336=AD2345,AE2345,IF(C2336=AD2346,AE2346,IF(C2336=AD2347,AE2347,IF(C2336=AD2348,AE2348,IF(C2336=AD2349,AE2349,IF(C2336=AD2350,AE2350,1))))))</f>
        <v>0.05</v>
      </c>
      <c r="AE2344" s="788">
        <f>IF(C2336=AD2345,AE2345*B2331,IF(C2336=AD2346,AE2346*B2331,IF(C2336=AD2347,AE2347*B2331,IF(C2336=AD2348,AE2348*B2331,IF(C2336=AD2349,AE2349*B2331,IF(C2336=AD2350,AE2350*B2331,0))))))</f>
        <v>275</v>
      </c>
      <c r="AF2344" s="602"/>
      <c r="AN2344" s="4">
        <f>AN2345+AN2347+AN2349+AN2351</f>
        <v>1</v>
      </c>
      <c r="AP2344" s="4" t="str">
        <f>IF($B$2342&lt;&gt;"",AR2344,AR2347)</f>
        <v>This 'exaction invoice' is one of many need-response tools at our disposal</v>
      </c>
      <c r="AR2344" s="503" t="s">
        <v>4861</v>
      </c>
      <c r="BL2344" s="645"/>
    </row>
    <row r="2345" spans="1:64" s="4" customFormat="1" ht="25" customHeight="1" x14ac:dyDescent="0.3">
      <c r="A2345" s="642"/>
      <c r="B2345" s="734" t="str">
        <f>AP2345</f>
        <v>Explore other 'defunctions' and 'refunctions' of need-response. This is our secret sauce.</v>
      </c>
      <c r="C2345" s="642"/>
      <c r="D2345" s="642"/>
      <c r="E2345" s="727"/>
      <c r="F2345" s="475"/>
      <c r="AD2345" s="4" t="s">
        <v>4523</v>
      </c>
      <c r="AE2345" s="4">
        <v>-0.5</v>
      </c>
      <c r="AF2345" s="4" t="str">
        <f>CONCATENATE(AG2345,AH2345,AI2345,AJ2345,AK2345)</f>
        <v>Is there already a power relation between the AI &amp; RI?</v>
      </c>
      <c r="AG2345" s="4" t="s">
        <v>4847</v>
      </c>
      <c r="AH2345" s="4" t="s">
        <v>4836</v>
      </c>
      <c r="AI2345" s="4" t="s">
        <v>4839</v>
      </c>
      <c r="AJ2345" s="4" t="s">
        <v>4837</v>
      </c>
      <c r="AK2345" s="4" t="s">
        <v>4838</v>
      </c>
      <c r="AL2345" s="4" t="s">
        <v>166</v>
      </c>
      <c r="AM2345" s="4">
        <v>0.25</v>
      </c>
      <c r="AN2345" s="717">
        <f>IF(B2337=AL2345,AM2345,IF(B2337=AL2346,AM2346,0))</f>
        <v>0.25</v>
      </c>
      <c r="AP2345" s="4" t="str">
        <f>IF($B$2342&lt;&gt;"",AR2345,AR2349)</f>
        <v>Explore other 'defunctions' and 'refunctions' of need-response. This is our secret sauce.</v>
      </c>
      <c r="AR2345" s="4" t="s">
        <v>4860</v>
      </c>
      <c r="BL2345" s="645"/>
    </row>
    <row r="2346" spans="1:64" s="4" customFormat="1" ht="17" customHeight="1" x14ac:dyDescent="0.3">
      <c r="A2346" s="642"/>
      <c r="B2346" s="725" t="s">
        <v>4413</v>
      </c>
      <c r="C2346" s="808" t="s">
        <v>4651</v>
      </c>
      <c r="D2346" s="726" t="s">
        <v>4821</v>
      </c>
      <c r="E2346" s="727"/>
      <c r="F2346" s="475"/>
      <c r="AD2346" s="4" t="s">
        <v>4524</v>
      </c>
      <c r="AE2346" s="4">
        <v>-0.25</v>
      </c>
      <c r="AF2346" s="231" t="s">
        <v>4845</v>
      </c>
      <c r="AL2346" s="4" t="s">
        <v>168</v>
      </c>
      <c r="AM2346" s="4">
        <v>0</v>
      </c>
      <c r="AN2346" s="717"/>
      <c r="BL2346" s="798" t="s">
        <v>3484</v>
      </c>
    </row>
    <row r="2347" spans="1:64" s="4" customFormat="1" ht="13.75" customHeight="1" x14ac:dyDescent="0.3">
      <c r="A2347" s="642"/>
      <c r="B2347" s="931" t="str">
        <f>BH2813</f>
        <v>is when a power relation legally coerces the powerless side to involuntarily transfer something of value to the powerful side, without accountably allowing for impacted needs to resolve, whether either side in a power relation is aware of this coercion or not.</v>
      </c>
      <c r="C2347" s="931"/>
      <c r="D2347" s="931"/>
      <c r="E2347" s="932"/>
      <c r="F2347" s="475"/>
      <c r="AD2347" s="4" t="s">
        <v>4519</v>
      </c>
      <c r="AE2347" s="503">
        <f>IF($AN$2344&gt;0.2,0.05,0)</f>
        <v>0.05</v>
      </c>
      <c r="AF2347" s="4" t="str">
        <f>CONCATENATE(AG2347,AH2347,AI2347,AJ2347,AK2347)</f>
        <v>Does the receiving AI hold power over sending RI?</v>
      </c>
      <c r="AG2347" s="4" t="s">
        <v>4841</v>
      </c>
      <c r="AH2347" s="4" t="s">
        <v>4836</v>
      </c>
      <c r="AI2347" s="4" t="s">
        <v>4840</v>
      </c>
      <c r="AJ2347" s="4" t="s">
        <v>4837</v>
      </c>
      <c r="AK2347" s="4" t="s">
        <v>4838</v>
      </c>
      <c r="AL2347" s="4" t="s">
        <v>166</v>
      </c>
      <c r="AM2347" s="4">
        <v>0.25</v>
      </c>
      <c r="AN2347" s="717">
        <f>IF(B2338=AL2347,AM2347,IF(B2338=AL2348,AM2348,0))</f>
        <v>0.25</v>
      </c>
      <c r="AR2347" s="503" t="s">
        <v>4859</v>
      </c>
      <c r="BL2347" s="799" t="s">
        <v>3483</v>
      </c>
    </row>
    <row r="2348" spans="1:64" s="4" customFormat="1" x14ac:dyDescent="0.3">
      <c r="A2348" s="642"/>
      <c r="B2348" s="931"/>
      <c r="C2348" s="931"/>
      <c r="D2348" s="931"/>
      <c r="E2348" s="932"/>
      <c r="F2348" s="475"/>
      <c r="AD2348" s="4" t="s">
        <v>4520</v>
      </c>
      <c r="AE2348" s="503">
        <f>IF($AN$2344&gt;0.4,0.1,0)</f>
        <v>0.1</v>
      </c>
      <c r="AF2348" s="231" t="s">
        <v>4526</v>
      </c>
      <c r="AL2348" s="4" t="s">
        <v>168</v>
      </c>
      <c r="AM2348" s="4">
        <f>AM2346</f>
        <v>0</v>
      </c>
      <c r="AN2348" s="717"/>
      <c r="BL2348" s="799" t="s">
        <v>3482</v>
      </c>
    </row>
    <row r="2349" spans="1:64" s="4" customFormat="1" x14ac:dyDescent="0.3">
      <c r="A2349" s="642"/>
      <c r="B2349" s="931"/>
      <c r="C2349" s="931"/>
      <c r="D2349" s="931"/>
      <c r="E2349" s="932"/>
      <c r="F2349" s="475"/>
      <c r="AD2349" s="4" t="s">
        <v>4521</v>
      </c>
      <c r="AE2349" s="503">
        <f>IF($AN$2344&gt;0.6,0.25,0)</f>
        <v>0.25</v>
      </c>
      <c r="AF2349" s="4" t="str">
        <f>CONCATENATE(AG2349,AH2349,AI2349,AJ2349,AK2349)</f>
        <v>Does the RI already experience come coersion from the AI?</v>
      </c>
      <c r="AG2349" s="4" t="s">
        <v>4842</v>
      </c>
      <c r="AH2349" s="4" t="s">
        <v>4837</v>
      </c>
      <c r="AI2349" s="4" t="s">
        <v>4843</v>
      </c>
      <c r="AJ2349" s="4" t="s">
        <v>4836</v>
      </c>
      <c r="AK2349" s="4" t="s">
        <v>4838</v>
      </c>
      <c r="AL2349" s="4" t="s">
        <v>166</v>
      </c>
      <c r="AM2349" s="4">
        <v>0.25</v>
      </c>
      <c r="AN2349" s="717">
        <f>IF(B2339=AL2349,AM2349,IF(B2339=AL2350,AM2350,0))</f>
        <v>0.25</v>
      </c>
      <c r="AR2349" s="4" t="s">
        <v>4862</v>
      </c>
      <c r="BL2349" s="798" t="s">
        <v>3485</v>
      </c>
    </row>
    <row r="2350" spans="1:64" s="4" customFormat="1" x14ac:dyDescent="0.3">
      <c r="A2350" s="642"/>
      <c r="B2350" s="931"/>
      <c r="C2350" s="931"/>
      <c r="D2350" s="931"/>
      <c r="E2350" s="932"/>
      <c r="F2350" s="475"/>
      <c r="AD2350" s="4" t="s">
        <v>4522</v>
      </c>
      <c r="AE2350" s="503">
        <f>IF($AN$2344=1,0.5,0)</f>
        <v>0.5</v>
      </c>
      <c r="AF2350" s="231" t="s">
        <v>4527</v>
      </c>
      <c r="AL2350" s="4" t="s">
        <v>168</v>
      </c>
      <c r="AM2350" s="4">
        <f>AM2348</f>
        <v>0</v>
      </c>
      <c r="AN2350" s="717"/>
      <c r="BL2350" s="799" t="s">
        <v>3486</v>
      </c>
    </row>
    <row r="2351" spans="1:64" s="4" customFormat="1" ht="17" customHeight="1" x14ac:dyDescent="0.3">
      <c r="A2351" s="642"/>
      <c r="B2351" s="725" t="s">
        <v>4412</v>
      </c>
      <c r="C2351" s="808" t="s">
        <v>4738</v>
      </c>
      <c r="D2351" s="726" t="s">
        <v>4822</v>
      </c>
      <c r="E2351" s="727"/>
      <c r="F2351" s="475"/>
      <c r="AD2351" s="676" t="s">
        <v>4525</v>
      </c>
      <c r="AF2351" s="4" t="str">
        <f>CONCATENATE(AG2351,AH2351,AI2351,AJ2351,AK2351)</f>
        <v>Does the RI seek to address all needs mutually?</v>
      </c>
      <c r="AG2351" s="4" t="s">
        <v>4842</v>
      </c>
      <c r="AH2351" s="4" t="s">
        <v>4837</v>
      </c>
      <c r="AI2351" s="4" t="s">
        <v>4844</v>
      </c>
      <c r="AL2351" s="4" t="s">
        <v>166</v>
      </c>
      <c r="AM2351" s="4">
        <v>0.25</v>
      </c>
      <c r="AN2351" s="717">
        <f>IF(B2340=AL2351,AM2351,IF(B2340=AL2352,AM2352,0))</f>
        <v>0.25</v>
      </c>
      <c r="BL2351" s="799" t="s">
        <v>3487</v>
      </c>
    </row>
    <row r="2352" spans="1:64" s="4" customFormat="1" ht="13.75" customHeight="1" x14ac:dyDescent="0.3">
      <c r="A2352" s="642"/>
      <c r="B2352" s="931" t="str">
        <f>BN2813</f>
        <v>links the right of institutions to impact you or even interact with you on the basis of how well they help or allow you to resolve needs. It holds all leaders and their institutions up to a 'peakfunctional' standard.</v>
      </c>
      <c r="C2352" s="931"/>
      <c r="D2352" s="931"/>
      <c r="E2352" s="932"/>
      <c r="F2352" s="475"/>
      <c r="AF2352" s="231" t="s">
        <v>4528</v>
      </c>
      <c r="AL2352" s="4" t="s">
        <v>168</v>
      </c>
      <c r="AM2352" s="4">
        <f>AM2350</f>
        <v>0</v>
      </c>
    </row>
    <row r="2353" spans="1:75" s="4" customFormat="1" x14ac:dyDescent="0.3">
      <c r="A2353" s="642"/>
      <c r="B2353" s="931"/>
      <c r="C2353" s="931"/>
      <c r="D2353" s="931"/>
      <c r="E2353" s="932"/>
      <c r="F2353" s="475"/>
      <c r="AD2353" s="52" t="str">
        <f>IF(AD2344&gt;0,CONCATENATE(AF2353,AG2353,AH2353),IF(AD2344&lt;=0,CONCATENATE(AI2353,AJ2353,AK2353),""))</f>
        <v xml:space="preserve">For attempting to create value under threat of liberty, this sending RI must increase the subtotal. </v>
      </c>
      <c r="AF2353" s="4" t="s">
        <v>4531</v>
      </c>
      <c r="AG2353" s="679" t="str">
        <f>IF(AN2344=2,"double",IF(AND(AN2344&gt;0,AN2344&lt;2),"increase",""))</f>
        <v>increase</v>
      </c>
      <c r="AH2353" s="4" t="s">
        <v>4530</v>
      </c>
      <c r="AI2353" s="4" t="s">
        <v>4532</v>
      </c>
      <c r="AJ2353" s="679" t="str">
        <f>IF(AD2344=AE2345,"25%",IF(AD2344=AE2346,"10%",""))</f>
        <v/>
      </c>
      <c r="AK2353" s="4" t="s">
        <v>4533</v>
      </c>
    </row>
    <row r="2354" spans="1:75" s="4" customFormat="1" x14ac:dyDescent="0.3">
      <c r="A2354" s="642"/>
      <c r="B2354" s="931"/>
      <c r="C2354" s="931"/>
      <c r="D2354" s="931"/>
      <c r="E2354" s="932"/>
      <c r="F2354" s="475"/>
    </row>
    <row r="2355" spans="1:75" s="4" customFormat="1" x14ac:dyDescent="0.3">
      <c r="A2355" s="642"/>
      <c r="B2355" s="931"/>
      <c r="C2355" s="931"/>
      <c r="D2355" s="931"/>
      <c r="E2355" s="932"/>
      <c r="F2355" s="475"/>
    </row>
    <row r="2356" spans="1:75" s="4" customFormat="1" ht="10" customHeight="1" x14ac:dyDescent="0.3">
      <c r="A2356" s="728"/>
      <c r="B2356" s="728"/>
      <c r="C2356" s="728"/>
      <c r="D2356" s="728"/>
      <c r="E2356" s="729"/>
      <c r="F2356" s="475"/>
    </row>
    <row r="2357" spans="1:75" s="4" customFormat="1" ht="5" customHeight="1" x14ac:dyDescent="0.3">
      <c r="A2357" s="475"/>
      <c r="B2357" s="475"/>
      <c r="C2357" s="475"/>
      <c r="D2357" s="475"/>
      <c r="E2357" s="475"/>
      <c r="F2357" s="475"/>
      <c r="BB2357" s="388"/>
    </row>
    <row r="2358" spans="1:75" s="4" customFormat="1" ht="30" customHeight="1" x14ac:dyDescent="0.3">
      <c r="A2358" s="861" t="s">
        <v>3457</v>
      </c>
      <c r="B2358" s="862" t="s">
        <v>4555</v>
      </c>
      <c r="C2358" s="862"/>
      <c r="D2358" s="863" t="s">
        <v>5122</v>
      </c>
      <c r="E2358" s="864"/>
      <c r="F2358" s="864"/>
      <c r="AB2358" s="40" t="s">
        <v>3914</v>
      </c>
      <c r="AD2358" s="40" t="s">
        <v>3469</v>
      </c>
      <c r="BB2358" s="388"/>
    </row>
    <row r="2359" spans="1:75" s="4" customFormat="1" ht="14.5" thickBot="1" x14ac:dyDescent="0.35">
      <c r="A2359" s="475"/>
      <c r="B2359" s="475"/>
      <c r="C2359" s="475"/>
      <c r="D2359" s="475"/>
      <c r="E2359" s="475"/>
      <c r="F2359" s="475"/>
      <c r="BB2359" s="718" t="str">
        <f>IF(BO2392&lt;&gt;0,BE2359,BB2360)</f>
        <v xml:space="preserve">You don't know what you don't know. The power imbalance from being a prosecutor curbs the courage of others to inform you and illuminate your blind spots. This tends to correlate with systemic failure. You may not effectively recognize, admit or correct errors or conflicts of interest. Measurably earning your legitimacy can help. </v>
      </c>
      <c r="BE2359" s="787" t="s">
        <v>5123</v>
      </c>
      <c r="BJ2359" s="246"/>
      <c r="BK2359" s="246"/>
      <c r="BL2359" s="246"/>
      <c r="BM2359" s="246"/>
      <c r="BN2359" s="246"/>
      <c r="BO2359" s="246"/>
      <c r="BP2359" s="246"/>
      <c r="BQ2359" s="246"/>
      <c r="BR2359" s="246"/>
      <c r="BS2359" s="246"/>
      <c r="BT2359" s="246"/>
      <c r="BU2359" s="246"/>
    </row>
    <row r="2360" spans="1:75" s="4" customFormat="1" ht="19.5" thickTop="1" thickBot="1" x14ac:dyDescent="0.35">
      <c r="A2360" s="475"/>
      <c r="B2360" s="1113" t="s">
        <v>4402</v>
      </c>
      <c r="C2360" s="1114"/>
      <c r="D2360" s="1114"/>
      <c r="E2360" s="1115"/>
      <c r="F2360" s="475"/>
      <c r="AG2360" s="508" t="str">
        <f>IF(B2360=AG2361,AO2361,IF(B2360=AG2362,AO2362,IF(B2360=AG2363,AO2363,IF(B2360=AG2364,AO2364,AO2365))))</f>
        <v>The price of leadership just went up. Opportunity for leaders to positively impact others now soars far higher.</v>
      </c>
      <c r="AV2360" s="503" t="s">
        <v>885</v>
      </c>
      <c r="BB2360" s="718" t="str">
        <f>CONCATENATE(BE2360,BF2360,BG2360,BH2360,BI2360,BJ2360,BK2360,BL2360)</f>
        <v xml:space="preserve">You don't know what you don't know. The power imbalance from being a prosecutor curbs the courage of others to inform you and illuminate your blind spots. This tends to correlate with systemic failure. You may not effectively recognize, admit or correct errors or conflicts of interest. Measurably earning your legitimacy can help. </v>
      </c>
      <c r="BE2360" s="787" t="s">
        <v>5124</v>
      </c>
      <c r="BF2360" s="220" t="str">
        <f>IF(B2360=AG2361,BG2364,IF(B2360=AG2362,BH2364,IF(B2360=AG2363,BI2364,IF(B2360=AG2364,BJ2364,"AI"))))</f>
        <v>prosecutor</v>
      </c>
      <c r="BG2360" s="246" t="str">
        <f>IF(AND($BB$2392&gt;=$BG$2397,$BB$2392&lt;$BH$2396),BH2361,IF(AND($BB$2392&gt;=$BG$2395,$BB$2392&lt;$BH$2394),BM2361,IF(AND($BB$2392&gt;=$BG$2393,$BB$2392&lt;=$BH$2393,$BH$2360),BT2361,"")))</f>
        <v xml:space="preserve"> curbs the courage of others</v>
      </c>
      <c r="BH2360" s="4" t="s">
        <v>5134</v>
      </c>
      <c r="BI2360" s="246" t="str">
        <f>IF(AND($BB$2392&gt;=$BG$2393,$BB$2392&lt;$BH$2393),"errors",IF(AND($BB$2392&gt;=$BG$2395,$BB$2392&lt;$BH$2394),"failure",IF(AND($BB$2392&gt;=$BG$2397,$BB$2392&lt;$BH$2396,$BH$2360),"damage","")))</f>
        <v>failure</v>
      </c>
      <c r="BJ2360" s="4" t="s">
        <v>5133</v>
      </c>
    </row>
    <row r="2361" spans="1:75" s="4" customFormat="1" ht="14.5" thickTop="1" x14ac:dyDescent="0.3">
      <c r="A2361" s="475"/>
      <c r="B2361" s="475"/>
      <c r="C2361" s="475"/>
      <c r="D2361" s="475"/>
      <c r="E2361" s="475"/>
      <c r="F2361" s="475"/>
      <c r="AG2361" s="4" t="s">
        <v>4402</v>
      </c>
      <c r="AO2361" s="4" t="s">
        <v>4464</v>
      </c>
      <c r="AV2361" s="503" t="s">
        <v>885</v>
      </c>
      <c r="BB2361" s="388"/>
      <c r="BE2361" s="645" t="s">
        <v>3637</v>
      </c>
      <c r="BH2361" s="596" t="s">
        <v>5132</v>
      </c>
      <c r="BJ2361" s="685"/>
      <c r="BM2361" s="4" t="s">
        <v>5129</v>
      </c>
      <c r="BT2361" s="685" t="s">
        <v>5131</v>
      </c>
    </row>
    <row r="2362" spans="1:75" s="4" customFormat="1" ht="25" customHeight="1" x14ac:dyDescent="0.3">
      <c r="A2362" s="475"/>
      <c r="B2362" s="948" t="str">
        <f>AG2360</f>
        <v>The price of leadership just went up. Opportunity for leaders to positively impact others now soars far higher.</v>
      </c>
      <c r="C2362" s="948"/>
      <c r="D2362" s="948"/>
      <c r="E2362" s="948"/>
      <c r="F2362" s="475"/>
      <c r="AG2362" s="4" t="s">
        <v>4401</v>
      </c>
      <c r="AO2362" s="4" t="s">
        <v>5059</v>
      </c>
      <c r="AV2362" s="503" t="s">
        <v>885</v>
      </c>
      <c r="BB2362" s="759" t="str">
        <f>IF(B2360=AG2361,BG2362,IF(B2360=AG2362,BH2362,IF(B2360=AG2363,BI2362,IF(B2360=AG2364,BJ2362,""))))</f>
        <v>This announces legitimacy standards for prosecutors on nine dimensions</v>
      </c>
      <c r="BD2362" s="730"/>
      <c r="BE2362" s="760"/>
      <c r="BF2362" s="730"/>
      <c r="BG2362" s="730" t="s">
        <v>5000</v>
      </c>
      <c r="BH2362" s="730" t="s">
        <v>4999</v>
      </c>
      <c r="BI2362" s="730" t="s">
        <v>5001</v>
      </c>
      <c r="BJ2362" s="730" t="s">
        <v>5002</v>
      </c>
    </row>
    <row r="2363" spans="1:75" s="4" customFormat="1" ht="25" customHeight="1" x14ac:dyDescent="0.3">
      <c r="A2363" s="475"/>
      <c r="B2363" s="948"/>
      <c r="C2363" s="948"/>
      <c r="D2363" s="948"/>
      <c r="E2363" s="948"/>
      <c r="F2363" s="475"/>
      <c r="AG2363" s="4" t="s">
        <v>4403</v>
      </c>
      <c r="AO2363" s="4" t="s">
        <v>5060</v>
      </c>
      <c r="AV2363" s="503" t="s">
        <v>885</v>
      </c>
      <c r="BB2363" s="730">
        <v>2</v>
      </c>
      <c r="BD2363" s="730">
        <v>1</v>
      </c>
      <c r="BE2363" s="730">
        <v>0</v>
      </c>
      <c r="BF2363" s="730">
        <v>0</v>
      </c>
      <c r="BG2363" s="730"/>
      <c r="BH2363" s="730">
        <f>BB2364/5</f>
        <v>3.6</v>
      </c>
      <c r="BI2363" s="730"/>
    </row>
    <row r="2364" spans="1:75" s="4" customFormat="1" ht="25" customHeight="1" x14ac:dyDescent="0.3">
      <c r="A2364" s="475"/>
      <c r="B2364" s="948"/>
      <c r="C2364" s="948"/>
      <c r="D2364" s="948"/>
      <c r="E2364" s="948"/>
      <c r="F2364" s="475"/>
      <c r="AG2364" s="4" t="s">
        <v>4404</v>
      </c>
      <c r="AO2364" s="4" t="s">
        <v>4465</v>
      </c>
      <c r="AV2364" s="503" t="s">
        <v>885</v>
      </c>
      <c r="BB2364" s="730">
        <f>BB2363*9</f>
        <v>18</v>
      </c>
      <c r="BD2364" s="730">
        <f>BD2363*9</f>
        <v>9</v>
      </c>
      <c r="BE2364" s="730">
        <f>BE2363*9</f>
        <v>0</v>
      </c>
      <c r="BF2364" s="730"/>
      <c r="BG2364" s="731" t="s">
        <v>5125</v>
      </c>
      <c r="BH2364" s="731" t="s">
        <v>5126</v>
      </c>
      <c r="BI2364" s="731" t="s">
        <v>5127</v>
      </c>
      <c r="BJ2364" s="731" t="s">
        <v>5128</v>
      </c>
      <c r="BW2364" s="4" t="s">
        <v>5130</v>
      </c>
    </row>
    <row r="2365" spans="1:75" s="4" customFormat="1" ht="25" customHeight="1" x14ac:dyDescent="0.35">
      <c r="A2365" s="475"/>
      <c r="B2365" s="948"/>
      <c r="C2365" s="948"/>
      <c r="D2365" s="948"/>
      <c r="E2365" s="948"/>
      <c r="F2365" s="475"/>
      <c r="AG2365" s="873" t="s">
        <v>5460</v>
      </c>
      <c r="AO2365" s="730" t="s">
        <v>5461</v>
      </c>
      <c r="AW2365" s="503" t="s">
        <v>885</v>
      </c>
      <c r="BB2365" s="761" t="str">
        <f>IF(C2373=BF2365,BD2365,IF(C2373=BF2366,BD2366,IF(C2373=BF2367,BD2367,"")))</f>
        <v>non-scientific</v>
      </c>
      <c r="BD2365" s="762" t="s">
        <v>4966</v>
      </c>
      <c r="BF2365" s="779" t="str">
        <f t="shared" ref="BF2365:BF2391" si="114">IF($B$2360=$AG$2361,BG2365,IF($B$2360=$AG$2362,BH2365,IF($B$2360=$AG$2363,BI2365,IF($B$2360=$AG$2364,BJ2365,""))))</f>
        <v>Prosecution is open to critique from scientific community of forensics used in case</v>
      </c>
      <c r="BG2365" s="763" t="s">
        <v>5015</v>
      </c>
      <c r="BH2365" s="763" t="s">
        <v>5026</v>
      </c>
      <c r="BI2365" s="783" t="s">
        <v>5053</v>
      </c>
      <c r="BJ2365" s="783" t="s">
        <v>5003</v>
      </c>
      <c r="BK2365" s="503" t="s">
        <v>885</v>
      </c>
      <c r="BM2365" s="764"/>
      <c r="BN2365" s="764"/>
      <c r="BO2365" s="765">
        <f>IF(C2373="",1,0)</f>
        <v>0</v>
      </c>
      <c r="BP2365" s="730"/>
      <c r="BQ2365" s="759" t="str">
        <f>IF(D2373=BD2365,BR2365,IF(D2373=BD2366,BR2366,IF(D2373=BD2367,BR2367,"")))</f>
        <v>improve it</v>
      </c>
      <c r="BR2365" s="730" t="s">
        <v>4899</v>
      </c>
    </row>
    <row r="2366" spans="1:75" s="4" customFormat="1" ht="20" customHeight="1" x14ac:dyDescent="0.35">
      <c r="A2366" s="475"/>
      <c r="B2366" s="903" t="str">
        <f>BB2359</f>
        <v xml:space="preserve">You don't know what you don't know. The power imbalance from being a prosecutor curbs the courage of others to inform you and illuminate your blind spots. This tends to correlate with systemic failure. You may not effectively recognize, admit or correct errors or conflicts of interest. Measurably earning your legitimacy can help. </v>
      </c>
      <c r="C2366" s="903"/>
      <c r="D2366" s="903"/>
      <c r="E2366" s="903"/>
      <c r="F2366" s="475"/>
      <c r="BB2366" s="766">
        <f>IF(BB2365=BD2365,BB$2363,IF(BB2365=BD2366,BD$2363,IF(BB2365=BD2367,BE$2363,BM$1021)))</f>
        <v>1</v>
      </c>
      <c r="BD2366" s="767" t="s">
        <v>4967</v>
      </c>
      <c r="BF2366" s="780" t="str">
        <f t="shared" si="114"/>
        <v>Prosecution ignores critique from scientific community of forensics used in case</v>
      </c>
      <c r="BG2366" s="768" t="s">
        <v>5016</v>
      </c>
      <c r="BH2366" s="768" t="s">
        <v>5027</v>
      </c>
      <c r="BI2366" s="784" t="s">
        <v>5054</v>
      </c>
      <c r="BJ2366" s="784" t="s">
        <v>5007</v>
      </c>
      <c r="BK2366" s="503" t="s">
        <v>885</v>
      </c>
      <c r="BM2366"/>
      <c r="BN2366"/>
      <c r="BO2366" s="769"/>
      <c r="BP2366" s="730"/>
      <c r="BQ2366" s="730"/>
      <c r="BR2366" s="730" t="s">
        <v>4900</v>
      </c>
    </row>
    <row r="2367" spans="1:75" s="4" customFormat="1" ht="15" customHeight="1" x14ac:dyDescent="0.35">
      <c r="A2367" s="475"/>
      <c r="B2367" s="903"/>
      <c r="C2367" s="903"/>
      <c r="D2367" s="903"/>
      <c r="E2367" s="903"/>
      <c r="F2367" s="475"/>
      <c r="AU2367" s="754" t="s">
        <v>4899</v>
      </c>
      <c r="BB2367" s="770"/>
      <c r="BD2367" s="771" t="s">
        <v>4968</v>
      </c>
      <c r="BF2367" s="781" t="str">
        <f t="shared" si="114"/>
        <v>Prosecution rejects critique from scientific community of forensics used in case</v>
      </c>
      <c r="BG2367" s="772" t="s">
        <v>5017</v>
      </c>
      <c r="BH2367" s="772" t="s">
        <v>5028</v>
      </c>
      <c r="BI2367" s="785" t="s">
        <v>5055</v>
      </c>
      <c r="BJ2367" s="785" t="s">
        <v>5008</v>
      </c>
      <c r="BK2367" s="503" t="s">
        <v>885</v>
      </c>
      <c r="BM2367" s="682"/>
      <c r="BN2367" s="682"/>
      <c r="BO2367" s="773"/>
      <c r="BP2367" s="730"/>
      <c r="BQ2367" s="730"/>
      <c r="BR2367" s="730" t="s">
        <v>4901</v>
      </c>
    </row>
    <row r="2368" spans="1:75" s="4" customFormat="1" ht="15" customHeight="1" x14ac:dyDescent="0.35">
      <c r="A2368" s="475"/>
      <c r="B2368" s="903"/>
      <c r="C2368" s="903"/>
      <c r="D2368" s="903"/>
      <c r="E2368" s="903"/>
      <c r="F2368" s="475"/>
      <c r="AG2368" s="508" t="str">
        <f>CONCATENATE(AI2368,AJ2368)</f>
        <v>pro-scientific</v>
      </c>
      <c r="AI2368" s="4" t="s">
        <v>4896</v>
      </c>
      <c r="AJ2368" s="4" t="s">
        <v>4957</v>
      </c>
      <c r="AN2368" s="508" t="str">
        <f>CONCATENATE(AP2368,AQ2368)</f>
        <v>pro-inspirational</v>
      </c>
      <c r="AP2368" s="4" t="s">
        <v>4896</v>
      </c>
      <c r="AQ2368" s="4" t="s">
        <v>4960</v>
      </c>
      <c r="AU2368" s="755" t="s">
        <v>4900</v>
      </c>
      <c r="BB2368" s="761" t="str">
        <f>IF(C2375=BF2368,BD2368,IF(C2375=BF2369,BD2369,IF(C2375=BF2370,BD2370,"")))</f>
        <v>pro-democratic</v>
      </c>
      <c r="BD2368" s="762" t="s">
        <v>4969</v>
      </c>
      <c r="BF2368" s="779" t="str">
        <f t="shared" si="114"/>
        <v>Prosecution is open to direct input from people impacted by their actions</v>
      </c>
      <c r="BG2368" s="768" t="s">
        <v>5135</v>
      </c>
      <c r="BH2368" s="768" t="s">
        <v>5029</v>
      </c>
      <c r="BI2368" s="784" t="s">
        <v>5056</v>
      </c>
      <c r="BJ2368" s="784" t="s">
        <v>5004</v>
      </c>
      <c r="BK2368" s="503" t="s">
        <v>885</v>
      </c>
      <c r="BM2368" s="764"/>
      <c r="BN2368" s="764"/>
      <c r="BO2368" s="765">
        <f>IF(C2375="",1,0)</f>
        <v>0</v>
      </c>
      <c r="BP2368" s="730"/>
      <c r="BQ2368" s="759" t="str">
        <f>IF(D2375=BD2368,BR2368,IF(D2375=BD2369,BR2369,IF(D2375=BD2370,BR2370,"")))</f>
        <v>celebrate it</v>
      </c>
      <c r="BR2368" s="730" t="s">
        <v>4899</v>
      </c>
    </row>
    <row r="2369" spans="1:70" s="4" customFormat="1" ht="15" customHeight="1" x14ac:dyDescent="0.35">
      <c r="A2369" s="475"/>
      <c r="B2369" s="903"/>
      <c r="C2369" s="903"/>
      <c r="D2369" s="903"/>
      <c r="E2369" s="903"/>
      <c r="F2369" s="475"/>
      <c r="AG2369" s="508" t="str">
        <f t="shared" ref="AG2369:AG2376" si="115">CONCATENATE(AI2369,AJ2369)</f>
        <v>non-scientific</v>
      </c>
      <c r="AI2369" s="4" t="s">
        <v>4897</v>
      </c>
      <c r="AJ2369" s="4" t="s">
        <v>4957</v>
      </c>
      <c r="AN2369" s="508" t="str">
        <f t="shared" ref="AN2369:AN2385" si="116">CONCATENATE(AP2369,AQ2369)</f>
        <v>non-inspirational</v>
      </c>
      <c r="AP2369" s="4" t="s">
        <v>4897</v>
      </c>
      <c r="AQ2369" s="4" t="s">
        <v>4960</v>
      </c>
      <c r="AU2369" s="756" t="s">
        <v>4901</v>
      </c>
      <c r="BB2369" s="766">
        <f>IF(BB2368=BD2368,BB$2363,IF(BB2368=BD2369,BD$2363,IF(BB2368=BD2370,BE$2363,BM$1021)))</f>
        <v>2</v>
      </c>
      <c r="BD2369" s="767" t="s">
        <v>4970</v>
      </c>
      <c r="BF2369" s="780" t="str">
        <f t="shared" si="114"/>
        <v>Prosecution ignores direct input from people impacted by their actions, defers to legalese</v>
      </c>
      <c r="BG2369" s="768" t="s">
        <v>5018</v>
      </c>
      <c r="BH2369" s="768" t="s">
        <v>5030</v>
      </c>
      <c r="BI2369" s="784" t="s">
        <v>5057</v>
      </c>
      <c r="BJ2369" s="784" t="s">
        <v>5005</v>
      </c>
      <c r="BK2369" s="503" t="s">
        <v>885</v>
      </c>
      <c r="BM2369"/>
      <c r="BN2369"/>
      <c r="BO2369" s="769"/>
      <c r="BP2369" s="730"/>
      <c r="BQ2369" s="730"/>
      <c r="BR2369" s="730" t="s">
        <v>4900</v>
      </c>
    </row>
    <row r="2370" spans="1:70" s="4" customFormat="1" ht="15" customHeight="1" x14ac:dyDescent="0.35">
      <c r="A2370" s="475"/>
      <c r="B2370" s="903"/>
      <c r="C2370" s="903"/>
      <c r="D2370" s="903"/>
      <c r="E2370" s="903"/>
      <c r="F2370" s="475"/>
      <c r="AG2370" s="508" t="str">
        <f t="shared" si="115"/>
        <v>anti-scientific</v>
      </c>
      <c r="AI2370" s="4" t="s">
        <v>4898</v>
      </c>
      <c r="AJ2370" s="4" t="s">
        <v>4957</v>
      </c>
      <c r="AN2370" s="508" t="str">
        <f t="shared" si="116"/>
        <v>anti-inspirational</v>
      </c>
      <c r="AP2370" s="4" t="s">
        <v>4898</v>
      </c>
      <c r="AQ2370" s="4" t="s">
        <v>4960</v>
      </c>
      <c r="BB2370" s="770"/>
      <c r="BD2370" s="771" t="s">
        <v>4971</v>
      </c>
      <c r="BF2370" s="781" t="str">
        <f t="shared" si="114"/>
        <v>Prosecution rejects direct input from people impacted by their actions</v>
      </c>
      <c r="BG2370" s="772" t="s">
        <v>5019</v>
      </c>
      <c r="BH2370" s="772" t="s">
        <v>5031</v>
      </c>
      <c r="BI2370" s="784" t="s">
        <v>5058</v>
      </c>
      <c r="BJ2370" s="785" t="s">
        <v>5006</v>
      </c>
      <c r="BK2370" s="503" t="s">
        <v>885</v>
      </c>
      <c r="BM2370" s="682"/>
      <c r="BN2370" s="682"/>
      <c r="BO2370" s="773"/>
      <c r="BP2370" s="730"/>
      <c r="BQ2370" s="730"/>
      <c r="BR2370" s="730" t="s">
        <v>4901</v>
      </c>
    </row>
    <row r="2371" spans="1:70" s="4" customFormat="1" ht="15" x14ac:dyDescent="0.35">
      <c r="A2371" s="475"/>
      <c r="B2371" s="904" t="str">
        <f>BB2362</f>
        <v>This announces legitimacy standards for prosecutors on nine dimensions</v>
      </c>
      <c r="C2371" s="904"/>
      <c r="D2371" s="904"/>
      <c r="E2371" s="904"/>
      <c r="F2371" s="475"/>
      <c r="AG2371" s="508" t="str">
        <f t="shared" si="115"/>
        <v>pro-democratic</v>
      </c>
      <c r="AI2371" s="4" t="s">
        <v>4896</v>
      </c>
      <c r="AJ2371" s="4" t="s">
        <v>4958</v>
      </c>
      <c r="AN2371" s="508" t="str">
        <f t="shared" si="116"/>
        <v>pro-wisdom</v>
      </c>
      <c r="AP2371" s="4" t="s">
        <v>4896</v>
      </c>
      <c r="AQ2371" s="4" t="s">
        <v>4961</v>
      </c>
      <c r="BB2371" s="761" t="str">
        <f>IF(C2377=BF2371,BD2371,IF(C2377=BF2372,BD2372,IF(C2377=BF2373,BD2373,"")))</f>
        <v>non-constitutional</v>
      </c>
      <c r="BD2371" s="762" t="s">
        <v>4972</v>
      </c>
      <c r="BF2371" s="779" t="str">
        <f t="shared" si="114"/>
        <v>Prosecution acts in accordance to universal principles affirmed in foundational law</v>
      </c>
      <c r="BG2371" s="763" t="s">
        <v>5020</v>
      </c>
      <c r="BH2371" s="763" t="s">
        <v>5032</v>
      </c>
      <c r="BI2371" s="763" t="s">
        <v>5047</v>
      </c>
      <c r="BJ2371" s="783" t="s">
        <v>5079</v>
      </c>
      <c r="BK2371" s="503" t="s">
        <v>885</v>
      </c>
      <c r="BM2371" s="764"/>
      <c r="BN2371" s="764"/>
      <c r="BO2371" s="765">
        <f>IF(C2377="",1,0)</f>
        <v>0</v>
      </c>
      <c r="BP2371" s="730"/>
      <c r="BQ2371" s="759" t="str">
        <f>IF(D2377=BD2371,BR2371,IF(D2377=BD2372,BR2372,IF(D2377=BD2373,BR2373,"")))</f>
        <v>improve it</v>
      </c>
      <c r="BR2371" s="730" t="s">
        <v>4899</v>
      </c>
    </row>
    <row r="2372" spans="1:70" s="4" customFormat="1" ht="15" thickBot="1" x14ac:dyDescent="0.4">
      <c r="A2372" s="475"/>
      <c r="B2372" s="475"/>
      <c r="C2372" s="475"/>
      <c r="D2372" s="475"/>
      <c r="E2372" s="475"/>
      <c r="F2372" s="475"/>
      <c r="AG2372" s="508" t="str">
        <f t="shared" si="115"/>
        <v>non-democratic</v>
      </c>
      <c r="AI2372" s="4" t="s">
        <v>4897</v>
      </c>
      <c r="AJ2372" s="4" t="s">
        <v>4958</v>
      </c>
      <c r="AN2372" s="508" t="str">
        <f t="shared" si="116"/>
        <v>non-wisdom</v>
      </c>
      <c r="AP2372" s="4" t="s">
        <v>4897</v>
      </c>
      <c r="AQ2372" s="4" t="s">
        <v>4961</v>
      </c>
      <c r="BB2372" s="766">
        <f>IF(BB2371=BD2371,BB$2363,IF(BB2371=BD2372,BD$2363,IF(BB2371=BD2373,BE$2363,BM$1021)))</f>
        <v>1</v>
      </c>
      <c r="BD2372" s="767" t="s">
        <v>4973</v>
      </c>
      <c r="BF2372" s="780" t="str">
        <f t="shared" si="114"/>
        <v>Prosecution often deviates from universal principles upheld in foundational law</v>
      </c>
      <c r="BG2372" s="768" t="s">
        <v>5021</v>
      </c>
      <c r="BH2372" s="768" t="s">
        <v>5033</v>
      </c>
      <c r="BI2372" s="768" t="s">
        <v>5048</v>
      </c>
      <c r="BJ2372" s="784" t="s">
        <v>5081</v>
      </c>
      <c r="BK2372" s="503" t="s">
        <v>885</v>
      </c>
      <c r="BM2372"/>
      <c r="BN2372"/>
      <c r="BO2372" s="769"/>
      <c r="BP2372" s="730"/>
      <c r="BQ2372" s="730"/>
      <c r="BR2372" s="730" t="s">
        <v>4900</v>
      </c>
    </row>
    <row r="2373" spans="1:70" s="4" customFormat="1" ht="15" customHeight="1" thickTop="1" x14ac:dyDescent="0.35">
      <c r="A2373" s="684">
        <v>1</v>
      </c>
      <c r="B2373" s="668" t="s">
        <v>4454</v>
      </c>
      <c r="C2373" s="901" t="s">
        <v>5016</v>
      </c>
      <c r="D2373" s="782" t="str">
        <f>IF(B2360="","",BB2365)</f>
        <v>non-scientific</v>
      </c>
      <c r="E2373" s="475"/>
      <c r="F2373" s="475"/>
      <c r="AG2373" s="508" t="str">
        <f t="shared" si="115"/>
        <v>anti-democratic</v>
      </c>
      <c r="AI2373" s="4" t="s">
        <v>4898</v>
      </c>
      <c r="AJ2373" s="4" t="s">
        <v>4958</v>
      </c>
      <c r="AN2373" s="508" t="str">
        <f t="shared" si="116"/>
        <v>anti-wisdom</v>
      </c>
      <c r="AP2373" s="4" t="s">
        <v>4898</v>
      </c>
      <c r="AQ2373" s="4" t="s">
        <v>4961</v>
      </c>
      <c r="BB2373" s="770"/>
      <c r="BD2373" s="771" t="s">
        <v>4974</v>
      </c>
      <c r="BF2373" s="781" t="str">
        <f t="shared" si="114"/>
        <v>Prosecution routinely violaes universal principles affirmed in foundational law</v>
      </c>
      <c r="BG2373" s="772" t="s">
        <v>5022</v>
      </c>
      <c r="BH2373" s="772" t="s">
        <v>5034</v>
      </c>
      <c r="BI2373" s="772" t="s">
        <v>5049</v>
      </c>
      <c r="BJ2373" s="785" t="s">
        <v>5080</v>
      </c>
      <c r="BK2373" s="503" t="s">
        <v>885</v>
      </c>
      <c r="BM2373" s="682"/>
      <c r="BN2373" s="682"/>
      <c r="BO2373" s="773"/>
      <c r="BP2373" s="730"/>
      <c r="BQ2373" s="730"/>
      <c r="BR2373" s="730" t="s">
        <v>4901</v>
      </c>
    </row>
    <row r="2374" spans="1:70" s="4" customFormat="1" ht="15" customHeight="1" thickBot="1" x14ac:dyDescent="0.4">
      <c r="A2374" s="684"/>
      <c r="B2374" s="475"/>
      <c r="C2374" s="902"/>
      <c r="D2374" s="778" t="str">
        <f>BQ2365</f>
        <v>improve it</v>
      </c>
      <c r="E2374" s="475"/>
      <c r="F2374" s="475"/>
      <c r="AG2374" s="508" t="str">
        <f t="shared" si="115"/>
        <v>pro-constitutional</v>
      </c>
      <c r="AI2374" s="4" t="s">
        <v>4896</v>
      </c>
      <c r="AJ2374" s="4" t="s">
        <v>4959</v>
      </c>
      <c r="AN2374" s="508" t="str">
        <f t="shared" si="116"/>
        <v>pro-love</v>
      </c>
      <c r="AP2374" s="4" t="s">
        <v>4896</v>
      </c>
      <c r="AQ2374" s="4" t="s">
        <v>4962</v>
      </c>
      <c r="BB2374" s="761" t="str">
        <f>IF(C2379=BF2374,BD2374,IF(C2379=BF2375,BD2375,IF(C2379=BF2376,BD2376,"")))</f>
        <v>non-inspirational</v>
      </c>
      <c r="BD2374" s="762" t="s">
        <v>4975</v>
      </c>
      <c r="BF2374" s="779" t="str">
        <f t="shared" si="114"/>
        <v>Prosecution grounded in moral principles and traditional wisdom widely held sacred</v>
      </c>
      <c r="BG2374" s="763" t="s">
        <v>5023</v>
      </c>
      <c r="BH2374" s="763" t="s">
        <v>5085</v>
      </c>
      <c r="BI2374" s="763" t="s">
        <v>5050</v>
      </c>
      <c r="BJ2374" s="783" t="s">
        <v>5082</v>
      </c>
      <c r="BK2374" s="503" t="s">
        <v>885</v>
      </c>
      <c r="BM2374" s="764"/>
      <c r="BN2374" s="764"/>
      <c r="BO2374" s="765">
        <f>IF(C2379="",1,0)</f>
        <v>0</v>
      </c>
      <c r="BP2374" s="730"/>
      <c r="BQ2374" s="759" t="str">
        <f>IF(D2379=BD2374,BR2374,IF(D2379=BD2375,BR2375,IF(D2379=BD2376,BR2376,"")))</f>
        <v>improve it</v>
      </c>
      <c r="BR2374" s="730" t="s">
        <v>4899</v>
      </c>
    </row>
    <row r="2375" spans="1:70" s="4" customFormat="1" ht="15" customHeight="1" thickTop="1" x14ac:dyDescent="0.35">
      <c r="A2375" s="684">
        <f>A2373+1</f>
        <v>2</v>
      </c>
      <c r="B2375" s="668" t="s">
        <v>4455</v>
      </c>
      <c r="C2375" s="901" t="s">
        <v>5135</v>
      </c>
      <c r="D2375" s="782" t="str">
        <f>IF(B2360="","",BB2368)</f>
        <v>pro-democratic</v>
      </c>
      <c r="E2375" s="475"/>
      <c r="F2375" s="475"/>
      <c r="AG2375" s="508" t="str">
        <f t="shared" si="115"/>
        <v>non-constitutional</v>
      </c>
      <c r="AI2375" s="4" t="s">
        <v>4897</v>
      </c>
      <c r="AJ2375" s="4" t="s">
        <v>4959</v>
      </c>
      <c r="AN2375" s="508" t="str">
        <f t="shared" si="116"/>
        <v>non-love</v>
      </c>
      <c r="AP2375" s="4" t="s">
        <v>4897</v>
      </c>
      <c r="AQ2375" s="4" t="s">
        <v>4962</v>
      </c>
      <c r="BB2375" s="766">
        <f>IF(BB2374=BD2374,BB$2363,IF(BB2374=BD2375,BD$2363,IF(BB2374=BD2376,BE$2363,BM$1021)))</f>
        <v>1</v>
      </c>
      <c r="BD2375" s="767" t="s">
        <v>4976</v>
      </c>
      <c r="BF2375" s="780" t="str">
        <f t="shared" si="114"/>
        <v>Prosecution deviates from moral principles and traditional wisdom widely held sacred</v>
      </c>
      <c r="BG2375" s="768" t="s">
        <v>5024</v>
      </c>
      <c r="BH2375" s="768" t="s">
        <v>5086</v>
      </c>
      <c r="BI2375" s="768" t="s">
        <v>5051</v>
      </c>
      <c r="BJ2375" s="784" t="s">
        <v>5083</v>
      </c>
      <c r="BK2375" s="503" t="s">
        <v>885</v>
      </c>
      <c r="BM2375"/>
      <c r="BN2375"/>
      <c r="BO2375" s="769"/>
      <c r="BP2375" s="730"/>
      <c r="BQ2375" s="730"/>
      <c r="BR2375" s="730" t="s">
        <v>4900</v>
      </c>
    </row>
    <row r="2376" spans="1:70" s="4" customFormat="1" ht="15" customHeight="1" thickBot="1" x14ac:dyDescent="0.4">
      <c r="A2376" s="684"/>
      <c r="B2376" s="475"/>
      <c r="C2376" s="902"/>
      <c r="D2376" s="778" t="str">
        <f>BQ2368</f>
        <v>celebrate it</v>
      </c>
      <c r="E2376" s="475"/>
      <c r="F2376" s="475"/>
      <c r="AG2376" s="508" t="str">
        <f t="shared" si="115"/>
        <v>anti-constitutional</v>
      </c>
      <c r="AI2376" s="4" t="s">
        <v>4898</v>
      </c>
      <c r="AJ2376" s="4" t="s">
        <v>4959</v>
      </c>
      <c r="AN2376" s="508" t="str">
        <f t="shared" si="116"/>
        <v>anti-love</v>
      </c>
      <c r="AP2376" s="4" t="s">
        <v>4898</v>
      </c>
      <c r="AQ2376" s="4" t="s">
        <v>4962</v>
      </c>
      <c r="BB2376" s="770"/>
      <c r="BD2376" s="771" t="s">
        <v>4977</v>
      </c>
      <c r="BF2376" s="781" t="str">
        <f t="shared" si="114"/>
        <v>Prosecution contrary to moral principles and traditional wisdom widely held sacred</v>
      </c>
      <c r="BG2376" s="772" t="s">
        <v>5025</v>
      </c>
      <c r="BH2376" s="772" t="s">
        <v>5087</v>
      </c>
      <c r="BI2376" s="772" t="s">
        <v>5052</v>
      </c>
      <c r="BJ2376" s="785" t="s">
        <v>5084</v>
      </c>
      <c r="BK2376" s="503" t="s">
        <v>885</v>
      </c>
      <c r="BM2376" s="682"/>
      <c r="BN2376" s="682"/>
      <c r="BO2376" s="773"/>
      <c r="BP2376" s="730"/>
      <c r="BQ2376" s="730"/>
      <c r="BR2376" s="730" t="s">
        <v>4901</v>
      </c>
    </row>
    <row r="2377" spans="1:70" s="4" customFormat="1" ht="15" customHeight="1" thickTop="1" x14ac:dyDescent="0.35">
      <c r="A2377" s="684">
        <f>A2375+1</f>
        <v>3</v>
      </c>
      <c r="B2377" s="668" t="s">
        <v>4456</v>
      </c>
      <c r="C2377" s="901" t="s">
        <v>5021</v>
      </c>
      <c r="D2377" s="782" t="str">
        <f>IF(B2360="","",BB2371)</f>
        <v>non-constitutional</v>
      </c>
      <c r="E2377" s="475"/>
      <c r="F2377" s="475"/>
      <c r="AN2377" s="508" t="str">
        <f t="shared" si="116"/>
        <v>pro-accountable</v>
      </c>
      <c r="AP2377" s="4" t="s">
        <v>4896</v>
      </c>
      <c r="AQ2377" s="4" t="s">
        <v>4963</v>
      </c>
      <c r="BB2377" s="761" t="str">
        <f>IF(C2381=BF2377,BD2377,IF(C2381=BF2378,BD2378,IF(C2381=BF2379,BD2379,"")))</f>
        <v>non-wisdom</v>
      </c>
      <c r="BD2377" s="762" t="s">
        <v>4978</v>
      </c>
      <c r="BF2377" s="779" t="str">
        <f t="shared" si="114"/>
        <v>Prosecution demonstrates universal principles for mutually resolving needs responsibly</v>
      </c>
      <c r="BG2377" s="763" t="s">
        <v>5009</v>
      </c>
      <c r="BH2377" s="763" t="s">
        <v>5088</v>
      </c>
      <c r="BI2377" s="763" t="s">
        <v>5070</v>
      </c>
      <c r="BJ2377" s="783" t="s">
        <v>5097</v>
      </c>
      <c r="BK2377" s="503" t="s">
        <v>885</v>
      </c>
      <c r="BM2377" s="764"/>
      <c r="BN2377" s="764"/>
      <c r="BO2377" s="765">
        <f>IF(C2381="",1,0)</f>
        <v>0</v>
      </c>
      <c r="BP2377" s="730"/>
      <c r="BQ2377" s="759" t="str">
        <f>IF(D2381=BD2377,BR2377,IF(D2381=BD2378,BR2378,IF(D2381=BD2379,BR2379,"")))</f>
        <v>improve it</v>
      </c>
      <c r="BR2377" s="730" t="s">
        <v>4899</v>
      </c>
    </row>
    <row r="2378" spans="1:70" s="4" customFormat="1" ht="15" customHeight="1" thickBot="1" x14ac:dyDescent="0.4">
      <c r="A2378" s="684"/>
      <c r="B2378" s="475"/>
      <c r="C2378" s="902"/>
      <c r="D2378" s="778" t="str">
        <f>BQ2371</f>
        <v>improve it</v>
      </c>
      <c r="E2378" s="475"/>
      <c r="F2378" s="475"/>
      <c r="AG2378" s="739" t="s">
        <v>4863</v>
      </c>
      <c r="AN2378" s="508" t="str">
        <f t="shared" si="116"/>
        <v>non-accountable</v>
      </c>
      <c r="AP2378" s="4" t="s">
        <v>4897</v>
      </c>
      <c r="AQ2378" s="4" t="s">
        <v>4963</v>
      </c>
      <c r="BB2378" s="766">
        <f>IF(BB2377=BD2377,BB$2363,IF(BB2377=BD2378,BD$2363,IF(BB2377=BD2379,BE$2363,BM$1021)))</f>
        <v>1</v>
      </c>
      <c r="BD2378" s="767" t="s">
        <v>4979</v>
      </c>
      <c r="BF2378" s="780" t="str">
        <f t="shared" si="114"/>
        <v>Prosecution compromises universal principles for mutually resolving needs responsibly</v>
      </c>
      <c r="BG2378" s="768" t="s">
        <v>5011</v>
      </c>
      <c r="BH2378" s="768" t="s">
        <v>5089</v>
      </c>
      <c r="BI2378" s="768" t="s">
        <v>5071</v>
      </c>
      <c r="BJ2378" s="784" t="s">
        <v>5098</v>
      </c>
      <c r="BK2378" s="503" t="s">
        <v>885</v>
      </c>
      <c r="BM2378"/>
      <c r="BN2378"/>
      <c r="BO2378" s="769"/>
      <c r="BP2378" s="730"/>
      <c r="BQ2378" s="730"/>
      <c r="BR2378" s="730" t="s">
        <v>4900</v>
      </c>
    </row>
    <row r="2379" spans="1:70" s="4" customFormat="1" ht="15" customHeight="1" thickTop="1" x14ac:dyDescent="0.35">
      <c r="A2379" s="684">
        <f>A2377+1</f>
        <v>4</v>
      </c>
      <c r="B2379" s="668" t="s">
        <v>4457</v>
      </c>
      <c r="C2379" s="901" t="s">
        <v>5024</v>
      </c>
      <c r="D2379" s="782" t="str">
        <f>IF(B2360="","",BB2374)</f>
        <v>non-inspirational</v>
      </c>
      <c r="E2379" s="475"/>
      <c r="F2379" s="475"/>
      <c r="AG2379" s="739" t="s">
        <v>4864</v>
      </c>
      <c r="AN2379" s="508" t="str">
        <f t="shared" si="116"/>
        <v>anti-accountable</v>
      </c>
      <c r="AP2379" s="4" t="s">
        <v>4898</v>
      </c>
      <c r="AQ2379" s="4" t="s">
        <v>4963</v>
      </c>
      <c r="BB2379" s="770"/>
      <c r="BD2379" s="771" t="s">
        <v>4980</v>
      </c>
      <c r="BF2379" s="781" t="str">
        <f t="shared" si="114"/>
        <v>Prosecution violates universal principles for mutually resolving needs responsibly</v>
      </c>
      <c r="BG2379" s="772" t="s">
        <v>5010</v>
      </c>
      <c r="BH2379" s="772" t="s">
        <v>5090</v>
      </c>
      <c r="BI2379" s="772" t="s">
        <v>5072</v>
      </c>
      <c r="BJ2379" s="785" t="s">
        <v>5099</v>
      </c>
      <c r="BK2379" s="503" t="s">
        <v>885</v>
      </c>
      <c r="BM2379" s="682"/>
      <c r="BN2379" s="682"/>
      <c r="BO2379" s="773"/>
      <c r="BP2379" s="730"/>
      <c r="BQ2379" s="730"/>
      <c r="BR2379" s="730" t="s">
        <v>4901</v>
      </c>
    </row>
    <row r="2380" spans="1:70" s="4" customFormat="1" ht="15" customHeight="1" thickBot="1" x14ac:dyDescent="0.4">
      <c r="A2380" s="684"/>
      <c r="B2380" s="475"/>
      <c r="C2380" s="902"/>
      <c r="D2380" s="778" t="str">
        <f>BQ2374</f>
        <v>improve it</v>
      </c>
      <c r="E2380" s="475"/>
      <c r="F2380" s="475"/>
      <c r="AG2380" s="739" t="s">
        <v>4865</v>
      </c>
      <c r="AN2380" s="508" t="str">
        <f t="shared" si="116"/>
        <v>pro-supportive</v>
      </c>
      <c r="AP2380" s="4" t="s">
        <v>4896</v>
      </c>
      <c r="AQ2380" s="4" t="s">
        <v>4964</v>
      </c>
      <c r="BB2380" s="761" t="str">
        <f>IF(C2383=BF2380,BD2380,IF(C2383=BF2381,BD2381,IF(C2383=BF2382,BD2382,"")))</f>
        <v>anti-love</v>
      </c>
      <c r="BD2380" s="762" t="s">
        <v>4996</v>
      </c>
      <c r="BF2380" s="779" t="str">
        <f t="shared" si="114"/>
        <v>Prosecution puts the needs of the adjudicated over their own personal or institutional need</v>
      </c>
      <c r="BG2380" s="763" t="s">
        <v>5012</v>
      </c>
      <c r="BH2380" s="763" t="s">
        <v>5035</v>
      </c>
      <c r="BI2380" s="763" t="s">
        <v>5074</v>
      </c>
      <c r="BJ2380" s="783" t="s">
        <v>5100</v>
      </c>
      <c r="BK2380" s="503" t="s">
        <v>885</v>
      </c>
      <c r="BM2380" s="764"/>
      <c r="BN2380" s="764"/>
      <c r="BO2380" s="765">
        <f>IF(C2383="",1,0)</f>
        <v>0</v>
      </c>
      <c r="BP2380" s="730"/>
      <c r="BQ2380" s="759" t="str">
        <f>IF(D2383=BD2380,BR2380,IF(D2383=BD2381,BR2381,IF(D2383=BD2382,BR2382,"")))</f>
        <v>let's fix it</v>
      </c>
      <c r="BR2380" s="730" t="s">
        <v>4899</v>
      </c>
    </row>
    <row r="2381" spans="1:70" s="4" customFormat="1" ht="15" customHeight="1" thickTop="1" x14ac:dyDescent="0.35">
      <c r="A2381" s="684">
        <f>A2379+1</f>
        <v>5</v>
      </c>
      <c r="B2381" s="668" t="s">
        <v>4458</v>
      </c>
      <c r="C2381" s="901" t="s">
        <v>5011</v>
      </c>
      <c r="D2381" s="782" t="str">
        <f>IF(B2360="","",BB2377)</f>
        <v>non-wisdom</v>
      </c>
      <c r="E2381" s="475"/>
      <c r="F2381" s="475"/>
      <c r="AG2381" s="739" t="s">
        <v>4866</v>
      </c>
      <c r="AN2381" s="508" t="str">
        <f t="shared" si="116"/>
        <v>non-supportive</v>
      </c>
      <c r="AP2381" s="4" t="s">
        <v>4897</v>
      </c>
      <c r="AQ2381" s="4" t="s">
        <v>4964</v>
      </c>
      <c r="BB2381" s="766">
        <f>IF(BB2380=BD2380,BB$2363,IF(BB2380=BD2381,BD$2363,IF(BB2380=BD2382,BE$2363,BM$1021)))</f>
        <v>0</v>
      </c>
      <c r="BD2381" s="767" t="s">
        <v>4997</v>
      </c>
      <c r="BF2381" s="780" t="str">
        <f t="shared" si="114"/>
        <v>Prosecution sets the needs of the adjudicated on par with their own personal or institutional need</v>
      </c>
      <c r="BG2381" s="768" t="s">
        <v>5013</v>
      </c>
      <c r="BH2381" s="768" t="s">
        <v>5036</v>
      </c>
      <c r="BI2381" s="768" t="s">
        <v>5073</v>
      </c>
      <c r="BJ2381" s="784" t="s">
        <v>5102</v>
      </c>
      <c r="BK2381" s="503" t="s">
        <v>885</v>
      </c>
      <c r="BM2381"/>
      <c r="BN2381"/>
      <c r="BO2381" s="769"/>
      <c r="BP2381" s="730"/>
      <c r="BQ2381" s="730"/>
      <c r="BR2381" s="730" t="s">
        <v>4900</v>
      </c>
    </row>
    <row r="2382" spans="1:70" s="4" customFormat="1" ht="15" customHeight="1" thickBot="1" x14ac:dyDescent="0.4">
      <c r="A2382" s="684"/>
      <c r="B2382" s="475"/>
      <c r="C2382" s="902"/>
      <c r="D2382" s="778" t="str">
        <f>BQ2377</f>
        <v>improve it</v>
      </c>
      <c r="E2382" s="475"/>
      <c r="F2382" s="475"/>
      <c r="AG2382" s="739" t="s">
        <v>4867</v>
      </c>
      <c r="AN2382" s="508" t="str">
        <f t="shared" si="116"/>
        <v>anti-supportive</v>
      </c>
      <c r="AP2382" s="4" t="s">
        <v>4898</v>
      </c>
      <c r="AQ2382" s="4" t="s">
        <v>4964</v>
      </c>
      <c r="BB2382" s="770"/>
      <c r="BD2382" s="771" t="s">
        <v>4998</v>
      </c>
      <c r="BF2382" s="781" t="str">
        <f t="shared" si="114"/>
        <v xml:space="preserve">Prosecution puts their own personal or institutional needs over the needs of the adjudicated </v>
      </c>
      <c r="BG2382" s="772" t="s">
        <v>5014</v>
      </c>
      <c r="BH2382" s="768" t="s">
        <v>5037</v>
      </c>
      <c r="BI2382" s="772" t="s">
        <v>5075</v>
      </c>
      <c r="BJ2382" s="785" t="s">
        <v>5101</v>
      </c>
      <c r="BK2382" s="503" t="s">
        <v>885</v>
      </c>
      <c r="BM2382" s="682"/>
      <c r="BN2382" s="682"/>
      <c r="BO2382" s="773"/>
      <c r="BP2382" s="730"/>
      <c r="BQ2382" s="730"/>
      <c r="BR2382" s="730" t="s">
        <v>4901</v>
      </c>
    </row>
    <row r="2383" spans="1:70" s="4" customFormat="1" ht="15" customHeight="1" thickTop="1" x14ac:dyDescent="0.35">
      <c r="A2383" s="684">
        <f>A2381+1</f>
        <v>6</v>
      </c>
      <c r="B2383" s="668" t="s">
        <v>4459</v>
      </c>
      <c r="C2383" s="901" t="s">
        <v>5014</v>
      </c>
      <c r="D2383" s="782" t="str">
        <f>IF(B2360="","",BB2380)</f>
        <v>anti-love</v>
      </c>
      <c r="E2383" s="475"/>
      <c r="F2383" s="475"/>
      <c r="AN2383" s="508" t="str">
        <f t="shared" si="116"/>
        <v>pro-responsive</v>
      </c>
      <c r="AP2383" s="4" t="s">
        <v>4896</v>
      </c>
      <c r="AQ2383" s="4" t="s">
        <v>4965</v>
      </c>
      <c r="BB2383" s="761" t="str">
        <f>IF(C2385=BF2383,BD2383,IF(C2385=BF2384,BD2384,IF(C2385=BF2385,BD2385,"")))</f>
        <v>non-accountable</v>
      </c>
      <c r="BD2383" s="762" t="s">
        <v>4981</v>
      </c>
      <c r="BF2383" s="779" t="str">
        <f t="shared" si="114"/>
        <v>Prosecutor holds themself directly accountable to justice outcomes of all</v>
      </c>
      <c r="BG2383" s="763" t="s">
        <v>5068</v>
      </c>
      <c r="BH2383" s="763" t="s">
        <v>5091</v>
      </c>
      <c r="BI2383" s="763" t="s">
        <v>5038</v>
      </c>
      <c r="BJ2383" s="783" t="s">
        <v>5103</v>
      </c>
      <c r="BK2383" s="503" t="s">
        <v>885</v>
      </c>
      <c r="BM2383" s="764"/>
      <c r="BN2383" s="764"/>
      <c r="BO2383" s="765">
        <f>IF(C2385="",1,0)</f>
        <v>0</v>
      </c>
      <c r="BP2383" s="730"/>
      <c r="BQ2383" s="759" t="str">
        <f>IF(D2385=BD2383,BR2383,IF(D2385=BD2384,BR2384,IF(D2385=BD2385,BR2385,"")))</f>
        <v>improve it</v>
      </c>
      <c r="BR2383" s="730" t="s">
        <v>4899</v>
      </c>
    </row>
    <row r="2384" spans="1:70" s="4" customFormat="1" ht="15" customHeight="1" thickBot="1" x14ac:dyDescent="0.35">
      <c r="A2384" s="684"/>
      <c r="B2384" s="475"/>
      <c r="C2384" s="902"/>
      <c r="D2384" s="778" t="str">
        <f>BQ2380</f>
        <v>let's fix it</v>
      </c>
      <c r="E2384" s="475"/>
      <c r="F2384" s="475"/>
      <c r="AG2384" s="746">
        <v>4</v>
      </c>
      <c r="AH2384" s="745" t="s">
        <v>4878</v>
      </c>
      <c r="AN2384" s="508" t="str">
        <f t="shared" si="116"/>
        <v>non-responsive</v>
      </c>
      <c r="AP2384" s="4" t="s">
        <v>4897</v>
      </c>
      <c r="AQ2384" s="4" t="s">
        <v>4965</v>
      </c>
      <c r="BB2384" s="766">
        <f>IF(BB2383=BD2383,BB$2363,IF(BB2383=BD2384,BD$2363,IF(BB2383=BD2385,BE$2363,BM$1021)))</f>
        <v>1</v>
      </c>
      <c r="BD2384" s="767" t="s">
        <v>4982</v>
      </c>
      <c r="BF2384" s="780" t="str">
        <f t="shared" si="114"/>
        <v>Prosecutor tends to put conviction rates ahead of justice outcomes for all</v>
      </c>
      <c r="BG2384" s="768" t="s">
        <v>5069</v>
      </c>
      <c r="BH2384" s="768" t="s">
        <v>5092</v>
      </c>
      <c r="BI2384" s="768" t="s">
        <v>5039</v>
      </c>
      <c r="BJ2384" s="784" t="s">
        <v>5104</v>
      </c>
      <c r="BK2384" s="503" t="s">
        <v>885</v>
      </c>
      <c r="BM2384" s="730"/>
      <c r="BN2384" s="730"/>
      <c r="BO2384" s="769"/>
      <c r="BP2384" s="730"/>
      <c r="BQ2384" s="730"/>
      <c r="BR2384" s="730" t="s">
        <v>4900</v>
      </c>
    </row>
    <row r="2385" spans="1:70" s="4" customFormat="1" ht="15" customHeight="1" thickTop="1" x14ac:dyDescent="0.35">
      <c r="A2385" s="684">
        <f>A2383+1</f>
        <v>7</v>
      </c>
      <c r="B2385" s="668" t="s">
        <v>4460</v>
      </c>
      <c r="C2385" s="901" t="s">
        <v>5069</v>
      </c>
      <c r="D2385" s="782" t="str">
        <f>IF(B2360="","",BB2383)</f>
        <v>non-accountable</v>
      </c>
      <c r="E2385" s="475"/>
      <c r="F2385" s="475"/>
      <c r="AG2385" s="746">
        <v>3</v>
      </c>
      <c r="AH2385" s="747" t="s">
        <v>4879</v>
      </c>
      <c r="AN2385" s="508" t="str">
        <f t="shared" si="116"/>
        <v>anti-responsive</v>
      </c>
      <c r="AP2385" s="4" t="s">
        <v>4898</v>
      </c>
      <c r="AQ2385" s="4" t="s">
        <v>4965</v>
      </c>
      <c r="BB2385" s="770"/>
      <c r="BD2385" s="771" t="s">
        <v>4983</v>
      </c>
      <c r="BF2385" s="781" t="str">
        <f t="shared" si="114"/>
        <v>Prosecutor resist all efforts to correct wrongful convictions</v>
      </c>
      <c r="BG2385" s="768" t="s">
        <v>5067</v>
      </c>
      <c r="BH2385" s="772" t="s">
        <v>5093</v>
      </c>
      <c r="BI2385" s="772" t="s">
        <v>5040</v>
      </c>
      <c r="BJ2385" s="785" t="s">
        <v>5105</v>
      </c>
      <c r="BK2385" s="503" t="s">
        <v>885</v>
      </c>
      <c r="BM2385" s="774"/>
      <c r="BN2385" s="774"/>
      <c r="BO2385" s="773"/>
      <c r="BP2385" s="730"/>
      <c r="BQ2385" s="730"/>
      <c r="BR2385" s="730" t="s">
        <v>4901</v>
      </c>
    </row>
    <row r="2386" spans="1:70" s="4" customFormat="1" ht="15" customHeight="1" thickBot="1" x14ac:dyDescent="0.35">
      <c r="A2386" s="684"/>
      <c r="B2386" s="475"/>
      <c r="C2386" s="902"/>
      <c r="D2386" s="778" t="str">
        <f>BQ2383</f>
        <v>improve it</v>
      </c>
      <c r="E2386" s="475"/>
      <c r="F2386" s="475"/>
      <c r="AG2386" s="746">
        <v>2</v>
      </c>
      <c r="AH2386" s="748" t="s">
        <v>4880</v>
      </c>
      <c r="BB2386" s="761" t="str">
        <f>IF(C2387=BF2386,BD2386,IF(C2387=BF2387,BD2387,IF(C2387=BF2388,BD2388,"")))</f>
        <v>non-supportive</v>
      </c>
      <c r="BD2386" s="762" t="s">
        <v>4984</v>
      </c>
      <c r="BF2386" s="779" t="str">
        <f t="shared" si="114"/>
        <v>Prosecutors support viable innocence claims, such as releasing all relevant case documents</v>
      </c>
      <c r="BG2386" s="763" t="s">
        <v>5064</v>
      </c>
      <c r="BH2386" s="763" t="s">
        <v>5094</v>
      </c>
      <c r="BI2386" s="763" t="s">
        <v>5041</v>
      </c>
      <c r="BJ2386" s="783" t="s">
        <v>5106</v>
      </c>
      <c r="BK2386" s="503" t="s">
        <v>885</v>
      </c>
      <c r="BM2386" s="775"/>
      <c r="BN2386" s="775"/>
      <c r="BO2386" s="765">
        <f>IF(C2387="",1,0)</f>
        <v>0</v>
      </c>
      <c r="BP2386" s="730"/>
      <c r="BQ2386" s="759" t="str">
        <f>IF(D2387=BD2386,BR2386,IF(D2387=BD2387,BR2387,IF(D2387=BD2388,BR2388,"")))</f>
        <v>improve it</v>
      </c>
      <c r="BR2386" s="730" t="s">
        <v>4899</v>
      </c>
    </row>
    <row r="2387" spans="1:70" s="4" customFormat="1" ht="15" customHeight="1" thickTop="1" x14ac:dyDescent="0.35">
      <c r="A2387" s="684">
        <f>A2385+1</f>
        <v>8</v>
      </c>
      <c r="B2387" s="668" t="s">
        <v>4461</v>
      </c>
      <c r="C2387" s="901" t="s">
        <v>5065</v>
      </c>
      <c r="D2387" s="782" t="str">
        <f>IF(B2360="","",BB2386)</f>
        <v>non-supportive</v>
      </c>
      <c r="E2387" s="475"/>
      <c r="F2387" s="475"/>
      <c r="AG2387" s="746">
        <v>1</v>
      </c>
      <c r="AH2387" s="749" t="s">
        <v>4881</v>
      </c>
      <c r="AM2387" s="483" t="s">
        <v>3470</v>
      </c>
      <c r="AQ2387" s="503" t="s">
        <v>885</v>
      </c>
      <c r="BB2387" s="766">
        <f>IF(BB2386=BD2386,BB$2363,IF(BB2386=BD2387,BD$2363,IF(BB2386=BD2388,BE$2363,BM$1021)))</f>
        <v>1</v>
      </c>
      <c r="BD2387" s="767" t="s">
        <v>4985</v>
      </c>
      <c r="BF2387" s="780" t="str">
        <f t="shared" si="114"/>
        <v>Prosecutors drag their feed on viable innocence claims, like stonewalling release of case items</v>
      </c>
      <c r="BG2387" s="768" t="s">
        <v>5065</v>
      </c>
      <c r="BH2387" s="768" t="s">
        <v>5095</v>
      </c>
      <c r="BI2387" s="768" t="s">
        <v>5042</v>
      </c>
      <c r="BJ2387" s="784" t="s">
        <v>5108</v>
      </c>
      <c r="BK2387" s="503" t="s">
        <v>885</v>
      </c>
      <c r="BM2387" s="730"/>
      <c r="BN2387" s="730"/>
      <c r="BO2387" s="769"/>
      <c r="BP2387" s="730"/>
      <c r="BQ2387" s="730"/>
      <c r="BR2387" s="730" t="s">
        <v>4900</v>
      </c>
    </row>
    <row r="2388" spans="1:70" s="4" customFormat="1" ht="15" customHeight="1" thickBot="1" x14ac:dyDescent="0.35">
      <c r="A2388" s="684"/>
      <c r="B2388" s="475"/>
      <c r="C2388" s="902"/>
      <c r="D2388" s="778" t="str">
        <f>BQ2386</f>
        <v>improve it</v>
      </c>
      <c r="E2388" s="475"/>
      <c r="F2388" s="475"/>
      <c r="AG2388" s="746">
        <v>0</v>
      </c>
      <c r="AH2388" s="750" t="s">
        <v>4882</v>
      </c>
      <c r="AP2388" s="4" t="s">
        <v>4887</v>
      </c>
      <c r="AS2388" s="4" t="s">
        <v>4893</v>
      </c>
      <c r="AV2388" s="503" t="s">
        <v>885</v>
      </c>
      <c r="BB2388" s="770"/>
      <c r="BD2388" s="771" t="s">
        <v>4986</v>
      </c>
      <c r="BF2388" s="781" t="str">
        <f t="shared" si="114"/>
        <v>Prosecutors deny viable innocence claims, refusing to offer any support</v>
      </c>
      <c r="BG2388" s="772" t="s">
        <v>5066</v>
      </c>
      <c r="BH2388" s="772" t="s">
        <v>5096</v>
      </c>
      <c r="BI2388" s="772" t="s">
        <v>5043</v>
      </c>
      <c r="BJ2388" s="785" t="s">
        <v>5107</v>
      </c>
      <c r="BK2388" s="503" t="s">
        <v>885</v>
      </c>
      <c r="BM2388" s="774"/>
      <c r="BN2388" s="774"/>
      <c r="BO2388" s="773"/>
      <c r="BP2388" s="730"/>
      <c r="BQ2388" s="730"/>
      <c r="BR2388" s="730" t="s">
        <v>4901</v>
      </c>
    </row>
    <row r="2389" spans="1:70" s="4" customFormat="1" ht="15" customHeight="1" thickTop="1" x14ac:dyDescent="0.35">
      <c r="A2389" s="684">
        <f>A2387+1</f>
        <v>9</v>
      </c>
      <c r="B2389" s="668" t="s">
        <v>4462</v>
      </c>
      <c r="C2389" s="901" t="s">
        <v>5062</v>
      </c>
      <c r="D2389" s="782" t="str">
        <f>IF(B2360="","",BB2389)</f>
        <v>non-responsive</v>
      </c>
      <c r="E2389" s="475"/>
      <c r="F2389" s="475"/>
      <c r="AG2389" s="746">
        <v>-1</v>
      </c>
      <c r="AH2389" s="750" t="s">
        <v>4883</v>
      </c>
      <c r="AP2389" s="4" t="s">
        <v>4888</v>
      </c>
      <c r="AS2389" s="4" t="s">
        <v>4895</v>
      </c>
      <c r="AV2389" s="503" t="s">
        <v>885</v>
      </c>
      <c r="BB2389" s="761" t="str">
        <f>IF(C2389=BF2389,BD2389,IF(C2389=BF2390,BD2390,IF(C2389=BF2391,BD2391,"")))</f>
        <v>non-responsive</v>
      </c>
      <c r="BD2389" s="762" t="s">
        <v>4987</v>
      </c>
      <c r="BF2389" s="779" t="str">
        <f t="shared" si="114"/>
        <v>Prosecutor is fully responsive to viable claims of innocence.</v>
      </c>
      <c r="BG2389" s="763" t="s">
        <v>5061</v>
      </c>
      <c r="BH2389" s="763" t="s">
        <v>5076</v>
      </c>
      <c r="BI2389" s="763" t="s">
        <v>5044</v>
      </c>
      <c r="BJ2389" s="783" t="s">
        <v>5111</v>
      </c>
      <c r="BK2389" s="503" t="s">
        <v>885</v>
      </c>
      <c r="BM2389" s="775"/>
      <c r="BN2389" s="775"/>
      <c r="BO2389" s="765">
        <f>IF(C2389="",1,0)</f>
        <v>0</v>
      </c>
      <c r="BP2389" s="730"/>
      <c r="BQ2389" s="759" t="str">
        <f>IF(D2389=BD2389,BR2389,IF(D2389=BD2390,BR2390,IF(D2389=BD2391,BR2391,"")))</f>
        <v>improve it</v>
      </c>
      <c r="BR2389" s="730" t="s">
        <v>4899</v>
      </c>
    </row>
    <row r="2390" spans="1:70" s="4" customFormat="1" ht="15" customHeight="1" thickBot="1" x14ac:dyDescent="0.35">
      <c r="A2390" s="475"/>
      <c r="B2390" s="475"/>
      <c r="C2390" s="902"/>
      <c r="D2390" s="778" t="str">
        <f>BQ2389</f>
        <v>improve it</v>
      </c>
      <c r="E2390" s="475"/>
      <c r="F2390" s="475"/>
      <c r="AG2390" s="746">
        <v>-2</v>
      </c>
      <c r="AH2390" s="751" t="s">
        <v>4884</v>
      </c>
      <c r="AP2390" s="4" t="s">
        <v>4890</v>
      </c>
      <c r="AS2390" s="4" t="s">
        <v>4894</v>
      </c>
      <c r="AV2390" s="503" t="s">
        <v>885</v>
      </c>
      <c r="BB2390" s="766">
        <f>IF(BB2389=BD2389,BB$2363,IF(BB2389=BD2390,BD$2363,IF(BB2389=BD2391,BE$2363,BM$1021)))</f>
        <v>1</v>
      </c>
      <c r="BD2390" s="767" t="s">
        <v>4988</v>
      </c>
      <c r="BE2390" s="768"/>
      <c r="BF2390" s="780" t="str">
        <f t="shared" si="114"/>
        <v>Prosecutor is inadequately responsive to viable claims of innocence.</v>
      </c>
      <c r="BG2390" s="768" t="s">
        <v>5062</v>
      </c>
      <c r="BH2390" s="768" t="s">
        <v>5078</v>
      </c>
      <c r="BI2390" s="768" t="s">
        <v>5045</v>
      </c>
      <c r="BJ2390" s="784" t="s">
        <v>5110</v>
      </c>
      <c r="BK2390" s="503" t="s">
        <v>885</v>
      </c>
      <c r="BM2390" s="730"/>
      <c r="BN2390" s="730"/>
      <c r="BO2390" s="769"/>
      <c r="BP2390" s="730"/>
      <c r="BQ2390" s="730"/>
      <c r="BR2390" s="730" t="s">
        <v>4900</v>
      </c>
    </row>
    <row r="2391" spans="1:70" s="4" customFormat="1" ht="15.5" thickTop="1" x14ac:dyDescent="0.3">
      <c r="A2391" s="475"/>
      <c r="B2391" s="475"/>
      <c r="C2391" s="475"/>
      <c r="D2391" s="475"/>
      <c r="E2391" s="475"/>
      <c r="F2391" s="475"/>
      <c r="AG2391" s="746">
        <v>-3</v>
      </c>
      <c r="AH2391" s="752" t="s">
        <v>4885</v>
      </c>
      <c r="AP2391" s="4" t="s">
        <v>4891</v>
      </c>
      <c r="AS2391" s="4" t="s">
        <v>4889</v>
      </c>
      <c r="AV2391" s="503" t="s">
        <v>885</v>
      </c>
      <c r="BB2391" s="770"/>
      <c r="BD2391" s="771" t="s">
        <v>4989</v>
      </c>
      <c r="BE2391" s="772"/>
      <c r="BF2391" s="781" t="str">
        <f t="shared" si="114"/>
        <v>Prosecutor is totally unresponsive to viable claims of innocence.</v>
      </c>
      <c r="BG2391" s="772" t="s">
        <v>5063</v>
      </c>
      <c r="BH2391" s="772" t="s">
        <v>5077</v>
      </c>
      <c r="BI2391" s="772" t="s">
        <v>5046</v>
      </c>
      <c r="BJ2391" s="785" t="s">
        <v>5109</v>
      </c>
      <c r="BK2391" s="503" t="s">
        <v>885</v>
      </c>
      <c r="BM2391" s="774"/>
      <c r="BN2391" s="774"/>
      <c r="BO2391" s="773"/>
      <c r="BP2391" s="730"/>
      <c r="BQ2391" s="730"/>
      <c r="BR2391" s="730" t="s">
        <v>4900</v>
      </c>
    </row>
    <row r="2392" spans="1:70" s="4" customFormat="1" ht="13.75" customHeight="1" thickBot="1" x14ac:dyDescent="0.4">
      <c r="A2392" s="475"/>
      <c r="B2392" s="786" t="s">
        <v>5121</v>
      </c>
      <c r="C2392" s="900"/>
      <c r="D2392" s="900"/>
      <c r="E2392" s="900"/>
      <c r="F2392" s="475"/>
      <c r="AG2392" s="746">
        <v>-4</v>
      </c>
      <c r="AH2392" s="753" t="s">
        <v>4886</v>
      </c>
      <c r="AP2392" s="4" t="s">
        <v>4892</v>
      </c>
      <c r="AV2392" s="503" t="s">
        <v>885</v>
      </c>
      <c r="BB2392" s="776">
        <f>BB2366+BB2369+BB2372+BB2375+BB2378+BB2381+BB2384+BB2387+BB2390</f>
        <v>9</v>
      </c>
      <c r="BD2392" s="730"/>
      <c r="BE2392" s="730"/>
      <c r="BF2392"/>
      <c r="BG2392"/>
      <c r="BH2392"/>
      <c r="BI2392"/>
      <c r="BM2392" s="730"/>
      <c r="BN2392" s="730" t="s">
        <v>4990</v>
      </c>
      <c r="BO2392" s="730">
        <f>BO2365+BO2368+BO2371+BO2374+BO2377+BO2380+BO2383+BO2386+BO2389</f>
        <v>0</v>
      </c>
      <c r="BP2392" s="730"/>
      <c r="BQ2392" s="730"/>
      <c r="BR2392" s="730"/>
    </row>
    <row r="2393" spans="1:70" s="4" customFormat="1" ht="17.399999999999999" customHeight="1" thickTop="1" x14ac:dyDescent="0.35">
      <c r="A2393" s="475"/>
      <c r="B2393" s="890" t="str">
        <f>BB2393</f>
        <v>Based on our assessment, we recognize you as an</v>
      </c>
      <c r="C2393" s="891"/>
      <c r="D2393" s="892" t="str">
        <f>BB2394</f>
        <v>adequate authority:</v>
      </c>
      <c r="E2393" s="893"/>
      <c r="F2393" s="475"/>
      <c r="BB2393" s="730" t="str">
        <f>IF(BO2392&gt;0,BD2393,BE2393)</f>
        <v>Based on our assessment, we recognize you as an</v>
      </c>
      <c r="BD2393" s="730" t="s">
        <v>5120</v>
      </c>
      <c r="BE2393" s="730" t="str">
        <f>IF(AND(BB2392&gt;BG2393,BB2392&lt;=BH2393),BI2393,IF(AND(BB2392&gt;BG2394,BB2392&lt;=BH2394),BI2394,IF(AND(BB2392&gt;BG2395,BB2392&lt;=BH2395),BI2395,IF(AND(BB2392&gt;BG2396,BB2392&lt;=BH2396),BI2396,IF(AND(BB2392&gt;=BG2397,BB2392&lt;=BH2397),BI2397,"")))))</f>
        <v>Based on our assessment, we recognize you as an</v>
      </c>
      <c r="BF2393" s="730"/>
      <c r="BG2393" s="730">
        <f>BH2393-BH2363</f>
        <v>14.4</v>
      </c>
      <c r="BH2393" s="730">
        <f>BB2364</f>
        <v>18</v>
      </c>
      <c r="BI2393" s="730" t="s">
        <v>5112</v>
      </c>
      <c r="BM2393" s="777" t="s">
        <v>5114</v>
      </c>
      <c r="BN2393" s="730" t="s">
        <v>4991</v>
      </c>
      <c r="BO2393"/>
      <c r="BP2393"/>
      <c r="BQ2393"/>
      <c r="BR2393"/>
    </row>
    <row r="2394" spans="1:70" s="4" customFormat="1" ht="14.4" customHeight="1" x14ac:dyDescent="0.35">
      <c r="A2394" s="475"/>
      <c r="B2394" s="894" t="str">
        <f>BB2395</f>
        <v>You demonstrate a conciliatory responsiveness to about half the needs you powerfully impact. Your leadership seems mediocre. We invite you to follow our campaign to improve areas showing room for improvement. We can audit you again to publicly recognize your improvements.</v>
      </c>
      <c r="C2394" s="895"/>
      <c r="D2394" s="895"/>
      <c r="E2394" s="896"/>
      <c r="F2394" s="475"/>
      <c r="AG2394" s="4" t="s">
        <v>5366</v>
      </c>
      <c r="BB2394" s="777" t="str">
        <f>IF(BO2392&gt;0,BD2394,BE2394)</f>
        <v>adequate authority:</v>
      </c>
      <c r="BD2394" s="730" t="s">
        <v>4992</v>
      </c>
      <c r="BE2394" s="730" t="str">
        <f>IF(AND(BB2392&gt;BG2393,BB2392&lt;=BH2393),BM2393,IF(AND(BB2392&gt;BG2394,BB2392&lt;=BH2394),BM2394,IF(AND(BB2392&gt;BG2395,BB2392&lt;=BH2395),BM2395,IF(AND(BB2392&gt;BG2396,BB2392&lt;=BH2396),BM2396,IF(AND(BB2392&gt;=BG2397,BB2392&lt;=BH2397),BM2397,"")))))</f>
        <v>adequate authority:</v>
      </c>
      <c r="BF2394" s="730"/>
      <c r="BG2394" s="730">
        <f>BH2394-BH2363</f>
        <v>10.8</v>
      </c>
      <c r="BH2394" s="730">
        <f>BG2393</f>
        <v>14.4</v>
      </c>
      <c r="BI2394" s="730" t="s">
        <v>5112</v>
      </c>
      <c r="BM2394" s="777" t="s">
        <v>5113</v>
      </c>
      <c r="BN2394" s="730" t="s">
        <v>4993</v>
      </c>
      <c r="BO2394"/>
      <c r="BP2394"/>
      <c r="BQ2394"/>
      <c r="BR2394"/>
    </row>
    <row r="2395" spans="1:70" s="4" customFormat="1" ht="14.5" x14ac:dyDescent="0.35">
      <c r="A2395" s="475"/>
      <c r="B2395" s="894"/>
      <c r="C2395" s="895"/>
      <c r="D2395" s="895"/>
      <c r="E2395" s="896"/>
      <c r="F2395" s="475"/>
      <c r="AG2395" s="4" t="s">
        <v>5365</v>
      </c>
      <c r="BB2395" s="730" t="str">
        <f>IF(BO2392&gt;0,BD2395,BE2395)</f>
        <v>You demonstrate a conciliatory responsiveness to about half the needs you powerfully impact. Your leadership seems mediocre. We invite you to follow our campaign to improve areas showing room for improvement. We can audit you again to publicly recognize your improvements.</v>
      </c>
      <c r="BD2395" s="730" t="str">
        <f>BN2392</f>
        <v>BY HONESTLY ASSESSING THE POWERHOLDER'S IMPACT, YOU GIVE THEM DIRECT FEEDBACK THEY RARELY RECEIVE. YOU PROVIDE A CONCILIATORY PROCESS TO IMPROVE THEIR IMPACT. YOU INCENTIVIZE THEM TO SUPPORT YOUR MUTUALLY BENEFICIAL CAUSE.</v>
      </c>
      <c r="BE2395" s="730" t="str">
        <f>IF(AND(BB2392&gt;BG2393,BB2392&lt;=BH2393),BN2393,IF(AND(BB2392&gt;BG2394,BB2392&lt;=BH2394),BN2394,IF(AND(BB2392&gt;BG2395,BB2392&lt;=BH2395),BN2395,IF(AND(BB2392&gt;BG2396,BB2392&lt;=BH2396),BN2396,IF(AND(BB2392&gt;=BG2397,BB2392&lt;=BH2397),BN2397,"")))))</f>
        <v>You demonstrate a conciliatory responsiveness to about half the needs you powerfully impact. Your leadership seems mediocre. We invite you to follow our campaign to improve areas showing room for improvement. We can audit you again to publicly recognize your improvements.</v>
      </c>
      <c r="BF2395" s="730"/>
      <c r="BG2395" s="730">
        <f>BH2395-BH2363</f>
        <v>7.2000000000000011</v>
      </c>
      <c r="BH2395" s="730">
        <f>BG2394</f>
        <v>10.8</v>
      </c>
      <c r="BI2395" s="730" t="s">
        <v>5118</v>
      </c>
      <c r="BM2395" s="777" t="s">
        <v>5115</v>
      </c>
      <c r="BN2395" s="730" t="s">
        <v>5119</v>
      </c>
      <c r="BO2395"/>
      <c r="BP2395"/>
      <c r="BQ2395"/>
      <c r="BR2395"/>
    </row>
    <row r="2396" spans="1:70" s="4" customFormat="1" ht="14.5" x14ac:dyDescent="0.35">
      <c r="A2396" s="475"/>
      <c r="B2396" s="894"/>
      <c r="C2396" s="895"/>
      <c r="D2396" s="895"/>
      <c r="E2396" s="896"/>
      <c r="F2396" s="475"/>
      <c r="AG2396" s="4" t="s">
        <v>4920</v>
      </c>
      <c r="BB2396" s="730"/>
      <c r="BD2396" s="730"/>
      <c r="BE2396" s="730"/>
      <c r="BF2396" s="730"/>
      <c r="BG2396" s="730">
        <f>BH2396-BH2363</f>
        <v>3.600000000000001</v>
      </c>
      <c r="BH2396" s="730">
        <f>BG2395</f>
        <v>7.2000000000000011</v>
      </c>
      <c r="BI2396" s="730" t="s">
        <v>5118</v>
      </c>
      <c r="BM2396" s="777" t="s">
        <v>5116</v>
      </c>
      <c r="BN2396" s="730" t="s">
        <v>4994</v>
      </c>
      <c r="BO2396"/>
      <c r="BP2396"/>
      <c r="BQ2396"/>
      <c r="BR2396"/>
    </row>
    <row r="2397" spans="1:70" s="4" customFormat="1" ht="15" thickBot="1" x14ac:dyDescent="0.4">
      <c r="A2397" s="475"/>
      <c r="B2397" s="897"/>
      <c r="C2397" s="898"/>
      <c r="D2397" s="898"/>
      <c r="E2397" s="899"/>
      <c r="F2397" s="475"/>
      <c r="AG2397" s="4" t="s">
        <v>5367</v>
      </c>
      <c r="BB2397" s="730"/>
      <c r="BD2397" s="730"/>
      <c r="BE2397" s="730"/>
      <c r="BF2397" s="730"/>
      <c r="BG2397" s="730">
        <f>BH2397-BH2363</f>
        <v>0</v>
      </c>
      <c r="BH2397" s="730">
        <f>BG2396</f>
        <v>3.600000000000001</v>
      </c>
      <c r="BI2397" s="730" t="s">
        <v>5112</v>
      </c>
      <c r="BM2397" s="777" t="s">
        <v>5117</v>
      </c>
      <c r="BN2397" s="730" t="s">
        <v>4995</v>
      </c>
      <c r="BO2397"/>
      <c r="BP2397"/>
      <c r="BQ2397"/>
      <c r="BR2397"/>
    </row>
    <row r="2398" spans="1:70" s="4" customFormat="1" ht="10" customHeight="1" thickTop="1" x14ac:dyDescent="0.3">
      <c r="A2398" s="475"/>
      <c r="B2398" s="475"/>
      <c r="C2398" s="475"/>
      <c r="D2398" s="475"/>
      <c r="E2398" s="475"/>
      <c r="F2398" s="475"/>
    </row>
    <row r="2399" spans="1:70" s="4" customFormat="1" ht="30" hidden="1" customHeight="1" x14ac:dyDescent="0.3">
      <c r="A2399" s="861" t="s">
        <v>4431</v>
      </c>
      <c r="B2399" s="865" t="s">
        <v>5364</v>
      </c>
      <c r="C2399" s="865" t="s">
        <v>5365</v>
      </c>
      <c r="D2399" s="863" t="str">
        <f>IF(C2399=AG2395,"conviction finality","")</f>
        <v>conviction finality</v>
      </c>
      <c r="E2399" s="864"/>
      <c r="F2399" s="864"/>
    </row>
    <row r="2400" spans="1:70" s="4" customFormat="1" ht="20" hidden="1" customHeight="1" x14ac:dyDescent="0.3">
      <c r="A2400" s="475"/>
      <c r="B2400" s="475"/>
      <c r="C2400" s="475"/>
      <c r="D2400" s="475"/>
      <c r="E2400" s="475"/>
      <c r="F2400" s="475"/>
    </row>
    <row r="2401" spans="1:6" s="4" customFormat="1" ht="13.75" hidden="1" customHeight="1" x14ac:dyDescent="0.3">
      <c r="A2401" s="475"/>
      <c r="B2401" s="475" t="s">
        <v>5459</v>
      </c>
      <c r="C2401" s="475"/>
      <c r="D2401" s="475"/>
      <c r="E2401" s="475"/>
      <c r="F2401" s="475"/>
    </row>
    <row r="2402" spans="1:6" s="4" customFormat="1" ht="13.75" hidden="1" customHeight="1" x14ac:dyDescent="0.3">
      <c r="A2402" s="475"/>
      <c r="B2402" s="475"/>
      <c r="C2402" s="475"/>
      <c r="D2402" s="475"/>
      <c r="E2402" s="475"/>
      <c r="F2402" s="475"/>
    </row>
    <row r="2403" spans="1:6" s="4" customFormat="1" ht="13.75" hidden="1" customHeight="1" x14ac:dyDescent="0.3">
      <c r="A2403" s="475"/>
      <c r="B2403" s="475"/>
      <c r="C2403" s="475"/>
      <c r="D2403" s="475"/>
      <c r="E2403" s="475"/>
      <c r="F2403" s="475"/>
    </row>
    <row r="2404" spans="1:6" s="4" customFormat="1" ht="13.75" hidden="1" customHeight="1" x14ac:dyDescent="0.3">
      <c r="A2404" s="475"/>
      <c r="B2404" s="475"/>
      <c r="C2404" s="475"/>
      <c r="D2404" s="475"/>
      <c r="E2404" s="475"/>
      <c r="F2404" s="475"/>
    </row>
    <row r="2405" spans="1:6" s="4" customFormat="1" ht="13.75" hidden="1" customHeight="1" x14ac:dyDescent="0.3">
      <c r="A2405" s="475"/>
      <c r="B2405" s="475"/>
      <c r="C2405" s="475"/>
      <c r="D2405" s="475"/>
      <c r="E2405" s="475"/>
      <c r="F2405" s="475"/>
    </row>
    <row r="2406" spans="1:6" s="4" customFormat="1" ht="13.75" hidden="1" customHeight="1" x14ac:dyDescent="0.3">
      <c r="A2406" s="475"/>
      <c r="B2406" s="475"/>
      <c r="C2406" s="475"/>
      <c r="D2406" s="475"/>
      <c r="E2406" s="475"/>
      <c r="F2406" s="475"/>
    </row>
    <row r="2407" spans="1:6" s="4" customFormat="1" ht="13.75" hidden="1" customHeight="1" x14ac:dyDescent="0.3">
      <c r="A2407" s="475"/>
      <c r="B2407" s="475"/>
      <c r="C2407" s="475"/>
      <c r="D2407" s="475"/>
      <c r="E2407" s="475"/>
      <c r="F2407" s="475"/>
    </row>
    <row r="2408" spans="1:6" s="4" customFormat="1" ht="13.75" hidden="1" customHeight="1" x14ac:dyDescent="0.3">
      <c r="A2408" s="475"/>
      <c r="B2408" s="475"/>
      <c r="C2408" s="475"/>
      <c r="D2408" s="475"/>
      <c r="E2408" s="475"/>
      <c r="F2408" s="475"/>
    </row>
    <row r="2409" spans="1:6" s="4" customFormat="1" ht="13.75" hidden="1" customHeight="1" x14ac:dyDescent="0.3">
      <c r="A2409" s="475"/>
      <c r="B2409" s="475"/>
      <c r="C2409" s="475"/>
      <c r="D2409" s="475"/>
      <c r="E2409" s="475"/>
      <c r="F2409" s="475"/>
    </row>
    <row r="2410" spans="1:6" s="4" customFormat="1" ht="13.75" hidden="1" customHeight="1" x14ac:dyDescent="0.3">
      <c r="A2410" s="475"/>
      <c r="B2410" s="475"/>
      <c r="C2410" s="475"/>
      <c r="D2410" s="475"/>
      <c r="E2410" s="475"/>
      <c r="F2410" s="475"/>
    </row>
    <row r="2411" spans="1:6" s="4" customFormat="1" ht="13.75" hidden="1" customHeight="1" x14ac:dyDescent="0.3">
      <c r="A2411" s="475"/>
      <c r="B2411" s="475"/>
      <c r="C2411" s="475"/>
      <c r="D2411" s="475"/>
      <c r="E2411" s="475"/>
      <c r="F2411" s="475"/>
    </row>
    <row r="2412" spans="1:6" s="4" customFormat="1" ht="13.75" hidden="1" customHeight="1" x14ac:dyDescent="0.3">
      <c r="A2412" s="475"/>
      <c r="B2412" s="475"/>
      <c r="C2412" s="475"/>
      <c r="D2412" s="475"/>
      <c r="E2412" s="475"/>
      <c r="F2412" s="475"/>
    </row>
    <row r="2413" spans="1:6" s="4" customFormat="1" ht="13.75" hidden="1" customHeight="1" x14ac:dyDescent="0.3">
      <c r="A2413" s="475"/>
      <c r="B2413" s="475"/>
      <c r="C2413" s="475"/>
      <c r="D2413" s="475"/>
      <c r="E2413" s="475"/>
      <c r="F2413" s="475"/>
    </row>
    <row r="2414" spans="1:6" s="4" customFormat="1" ht="13.75" hidden="1" customHeight="1" x14ac:dyDescent="0.3">
      <c r="A2414" s="475"/>
      <c r="B2414" s="475"/>
      <c r="C2414" s="475"/>
      <c r="D2414" s="475"/>
      <c r="E2414" s="475"/>
      <c r="F2414" s="475"/>
    </row>
    <row r="2415" spans="1:6" s="4" customFormat="1" ht="13.75" hidden="1" customHeight="1" x14ac:dyDescent="0.3">
      <c r="A2415" s="475"/>
      <c r="B2415" s="475"/>
      <c r="C2415" s="475"/>
      <c r="D2415" s="475"/>
      <c r="E2415" s="475"/>
      <c r="F2415" s="475"/>
    </row>
    <row r="2416" spans="1:6" s="4" customFormat="1" ht="13.75" hidden="1" customHeight="1" x14ac:dyDescent="0.3">
      <c r="A2416" s="475"/>
      <c r="B2416" s="475"/>
      <c r="C2416" s="475"/>
      <c r="D2416" s="475"/>
      <c r="E2416" s="475"/>
      <c r="F2416" s="475"/>
    </row>
    <row r="2417" spans="1:6" s="4" customFormat="1" ht="13.75" hidden="1" customHeight="1" x14ac:dyDescent="0.3">
      <c r="A2417" s="475"/>
      <c r="B2417" s="475"/>
      <c r="C2417" s="475"/>
      <c r="D2417" s="475"/>
      <c r="E2417" s="475"/>
      <c r="F2417" s="475"/>
    </row>
    <row r="2418" spans="1:6" s="4" customFormat="1" ht="13.75" hidden="1" customHeight="1" x14ac:dyDescent="0.3">
      <c r="A2418" s="475"/>
      <c r="B2418" s="475"/>
      <c r="C2418" s="475"/>
      <c r="D2418" s="475"/>
      <c r="E2418" s="475"/>
      <c r="F2418" s="475"/>
    </row>
    <row r="2419" spans="1:6" s="4" customFormat="1" ht="13.75" hidden="1" customHeight="1" x14ac:dyDescent="0.3">
      <c r="A2419" s="475"/>
      <c r="B2419" s="475"/>
      <c r="C2419" s="475"/>
      <c r="D2419" s="475"/>
      <c r="E2419" s="475"/>
      <c r="F2419" s="475"/>
    </row>
    <row r="2420" spans="1:6" s="4" customFormat="1" ht="13.75" hidden="1" customHeight="1" x14ac:dyDescent="0.3">
      <c r="A2420" s="475"/>
      <c r="B2420" s="475"/>
      <c r="C2420" s="475"/>
      <c r="D2420" s="475"/>
      <c r="E2420" s="475"/>
      <c r="F2420" s="475"/>
    </row>
    <row r="2421" spans="1:6" s="4" customFormat="1" ht="13.75" hidden="1" customHeight="1" x14ac:dyDescent="0.3">
      <c r="A2421" s="475"/>
      <c r="B2421" s="475"/>
      <c r="C2421" s="475"/>
      <c r="D2421" s="475"/>
      <c r="E2421" s="475"/>
      <c r="F2421" s="475"/>
    </row>
    <row r="2422" spans="1:6" s="4" customFormat="1" ht="13.75" hidden="1" customHeight="1" x14ac:dyDescent="0.3">
      <c r="A2422" s="475"/>
      <c r="B2422" s="475"/>
      <c r="C2422" s="475"/>
      <c r="D2422" s="475"/>
      <c r="E2422" s="475"/>
      <c r="F2422" s="475"/>
    </row>
    <row r="2423" spans="1:6" s="4" customFormat="1" ht="13.75" hidden="1" customHeight="1" x14ac:dyDescent="0.3">
      <c r="A2423" s="475"/>
      <c r="B2423" s="475"/>
      <c r="C2423" s="475"/>
      <c r="D2423" s="475"/>
      <c r="E2423" s="475"/>
      <c r="F2423" s="475"/>
    </row>
    <row r="2424" spans="1:6" s="4" customFormat="1" ht="13.75" hidden="1" customHeight="1" x14ac:dyDescent="0.3">
      <c r="A2424" s="475"/>
      <c r="B2424" s="475"/>
      <c r="C2424" s="475"/>
      <c r="D2424" s="475"/>
      <c r="E2424" s="475"/>
      <c r="F2424" s="475"/>
    </row>
    <row r="2425" spans="1:6" s="4" customFormat="1" ht="13.75" hidden="1" customHeight="1" x14ac:dyDescent="0.3">
      <c r="A2425" s="475"/>
      <c r="B2425" s="475"/>
      <c r="C2425" s="475"/>
      <c r="D2425" s="475"/>
      <c r="E2425" s="475"/>
      <c r="F2425" s="475"/>
    </row>
    <row r="2426" spans="1:6" s="4" customFormat="1" ht="13.75" hidden="1" customHeight="1" x14ac:dyDescent="0.3">
      <c r="A2426" s="475"/>
      <c r="B2426" s="475"/>
      <c r="C2426" s="475"/>
      <c r="D2426" s="475"/>
      <c r="E2426" s="475"/>
      <c r="F2426" s="475"/>
    </row>
    <row r="2427" spans="1:6" s="4" customFormat="1" ht="13.75" hidden="1" customHeight="1" x14ac:dyDescent="0.3">
      <c r="A2427" s="475"/>
      <c r="B2427" s="475"/>
      <c r="C2427" s="475"/>
      <c r="D2427" s="475"/>
      <c r="E2427" s="475"/>
      <c r="F2427" s="475"/>
    </row>
    <row r="2428" spans="1:6" s="4" customFormat="1" ht="13.75" hidden="1" customHeight="1" x14ac:dyDescent="0.3">
      <c r="A2428" s="475"/>
      <c r="B2428" s="475"/>
      <c r="C2428" s="475"/>
      <c r="D2428" s="475"/>
      <c r="E2428" s="475"/>
      <c r="F2428" s="475"/>
    </row>
    <row r="2429" spans="1:6" s="4" customFormat="1" ht="13.75" hidden="1" customHeight="1" x14ac:dyDescent="0.3">
      <c r="A2429" s="475"/>
      <c r="B2429" s="475"/>
      <c r="C2429" s="475"/>
      <c r="D2429" s="475"/>
      <c r="E2429" s="475"/>
      <c r="F2429" s="475"/>
    </row>
    <row r="2430" spans="1:6" s="4" customFormat="1" ht="13.75" hidden="1" customHeight="1" x14ac:dyDescent="0.3">
      <c r="A2430" s="475"/>
      <c r="B2430" s="475"/>
      <c r="C2430" s="475"/>
      <c r="D2430" s="475"/>
      <c r="E2430" s="475"/>
      <c r="F2430" s="475"/>
    </row>
    <row r="2431" spans="1:6" s="4" customFormat="1" ht="13.75" hidden="1" customHeight="1" x14ac:dyDescent="0.3">
      <c r="A2431" s="475"/>
      <c r="B2431" s="475"/>
      <c r="C2431" s="475"/>
      <c r="D2431" s="475"/>
      <c r="E2431" s="475"/>
      <c r="F2431" s="475"/>
    </row>
    <row r="2432" spans="1:6" s="4" customFormat="1" ht="13.75" hidden="1" customHeight="1" x14ac:dyDescent="0.3">
      <c r="A2432" s="475"/>
      <c r="B2432" s="475"/>
      <c r="C2432" s="475"/>
      <c r="D2432" s="475"/>
      <c r="E2432" s="475"/>
      <c r="F2432" s="475"/>
    </row>
    <row r="2433" spans="1:54" s="4" customFormat="1" ht="13.75" hidden="1" customHeight="1" x14ac:dyDescent="0.3">
      <c r="A2433" s="475"/>
      <c r="B2433" s="475"/>
      <c r="C2433" s="475"/>
      <c r="D2433" s="475"/>
      <c r="E2433" s="475"/>
      <c r="F2433" s="475"/>
    </row>
    <row r="2434" spans="1:54" s="4" customFormat="1" ht="13.75" hidden="1" customHeight="1" x14ac:dyDescent="0.3">
      <c r="A2434" s="475"/>
      <c r="B2434" s="475"/>
      <c r="C2434" s="475"/>
      <c r="D2434" s="475"/>
      <c r="E2434" s="475"/>
      <c r="F2434" s="475"/>
    </row>
    <row r="2435" spans="1:54" s="4" customFormat="1" ht="13.75" hidden="1" customHeight="1" x14ac:dyDescent="0.3">
      <c r="A2435" s="475"/>
      <c r="B2435" s="475"/>
      <c r="C2435" s="475"/>
      <c r="D2435" s="475"/>
      <c r="E2435" s="475"/>
      <c r="F2435" s="475"/>
    </row>
    <row r="2436" spans="1:54" s="4" customFormat="1" ht="13.75" hidden="1" customHeight="1" x14ac:dyDescent="0.3">
      <c r="A2436" s="475"/>
      <c r="B2436" s="475"/>
      <c r="C2436" s="475"/>
      <c r="D2436" s="475"/>
      <c r="E2436" s="475"/>
      <c r="F2436" s="475"/>
    </row>
    <row r="2437" spans="1:54" s="4" customFormat="1" ht="13.75" hidden="1" customHeight="1" x14ac:dyDescent="0.3">
      <c r="A2437" s="475"/>
      <c r="B2437" s="475"/>
      <c r="C2437" s="475"/>
      <c r="D2437" s="475"/>
      <c r="E2437" s="475"/>
      <c r="F2437" s="475"/>
    </row>
    <row r="2438" spans="1:54" s="4" customFormat="1" ht="13.75" hidden="1" customHeight="1" x14ac:dyDescent="0.3">
      <c r="A2438" s="475"/>
      <c r="B2438" s="475"/>
      <c r="C2438" s="475"/>
      <c r="D2438" s="475"/>
      <c r="E2438" s="475"/>
      <c r="F2438" s="475"/>
    </row>
    <row r="2439" spans="1:54" s="4" customFormat="1" ht="13.75" hidden="1" customHeight="1" x14ac:dyDescent="0.3">
      <c r="A2439" s="475"/>
      <c r="B2439" s="475"/>
      <c r="C2439" s="475"/>
      <c r="D2439" s="475"/>
      <c r="E2439" s="475"/>
      <c r="F2439" s="475"/>
    </row>
    <row r="2440" spans="1:54" s="4" customFormat="1" ht="13.75" hidden="1" customHeight="1" x14ac:dyDescent="0.3">
      <c r="A2440" s="475"/>
      <c r="B2440" s="475"/>
      <c r="C2440" s="475"/>
      <c r="D2440" s="475"/>
      <c r="E2440" s="475"/>
      <c r="F2440" s="475"/>
    </row>
    <row r="2441" spans="1:54" s="4" customFormat="1" ht="13.75" hidden="1" customHeight="1" x14ac:dyDescent="0.3">
      <c r="A2441" s="475"/>
      <c r="B2441" s="475"/>
      <c r="C2441" s="475"/>
      <c r="D2441" s="475"/>
      <c r="E2441" s="475"/>
      <c r="F2441" s="475"/>
    </row>
    <row r="2442" spans="1:54" s="4" customFormat="1" ht="13.75" hidden="1" customHeight="1" x14ac:dyDescent="0.3">
      <c r="A2442" s="475"/>
      <c r="B2442" s="475"/>
      <c r="C2442" s="475"/>
      <c r="D2442" s="475"/>
      <c r="E2442" s="475"/>
      <c r="F2442" s="475"/>
    </row>
    <row r="2443" spans="1:54" s="4" customFormat="1" ht="13.75" hidden="1" customHeight="1" x14ac:dyDescent="0.3">
      <c r="A2443" s="475"/>
      <c r="B2443" s="475"/>
      <c r="C2443" s="475"/>
      <c r="D2443" s="475"/>
      <c r="E2443" s="475"/>
      <c r="F2443" s="475"/>
    </row>
    <row r="2444" spans="1:54" s="4" customFormat="1" ht="13.75" hidden="1" customHeight="1" x14ac:dyDescent="0.3">
      <c r="A2444" s="475"/>
      <c r="B2444" s="475"/>
      <c r="C2444" s="475"/>
      <c r="D2444" s="475"/>
      <c r="E2444" s="475"/>
      <c r="F2444" s="475"/>
    </row>
    <row r="2445" spans="1:54" s="4" customFormat="1" ht="20" hidden="1" customHeight="1" x14ac:dyDescent="0.3">
      <c r="A2445" s="475"/>
      <c r="B2445" s="475"/>
      <c r="C2445" s="475"/>
      <c r="D2445" s="475"/>
      <c r="E2445" s="475"/>
      <c r="F2445" s="475"/>
    </row>
    <row r="2446" spans="1:54" s="4" customFormat="1" ht="30" customHeight="1" x14ac:dyDescent="0.3">
      <c r="A2446" s="866" t="s">
        <v>3458</v>
      </c>
      <c r="B2446" s="867" t="s">
        <v>4425</v>
      </c>
      <c r="C2446" s="867"/>
      <c r="D2446" s="868"/>
      <c r="E2446" s="869"/>
      <c r="F2446" s="870"/>
      <c r="BB2446" s="4" t="str">
        <f>BE2395</f>
        <v>You demonstrate a conciliatory responsiveness to about half the needs you powerfully impact. Your leadership seems mediocre. We invite you to follow our campaign to improve areas showing room for improvement. We can audit you again to publicly recognize your improvements.</v>
      </c>
    </row>
    <row r="2447" spans="1:54" s="4" customFormat="1" x14ac:dyDescent="0.3">
      <c r="A2447" s="666"/>
      <c r="F2447" s="667"/>
    </row>
    <row r="2448" spans="1:54" s="4" customFormat="1" ht="10" customHeight="1" thickBot="1" x14ac:dyDescent="0.35">
      <c r="A2448" s="666"/>
      <c r="F2448" s="667"/>
    </row>
    <row r="2449" spans="1:59" s="4" customFormat="1" ht="25.5" thickTop="1" thickBot="1" x14ac:dyDescent="0.35">
      <c r="A2449" s="666"/>
      <c r="B2449" s="906" t="s">
        <v>4430</v>
      </c>
      <c r="C2449" s="907"/>
      <c r="D2449" s="907"/>
      <c r="E2449" s="908"/>
      <c r="F2449" s="667"/>
      <c r="BB2449" s="388"/>
    </row>
    <row r="2450" spans="1:59" s="4" customFormat="1" ht="14.5" thickTop="1" x14ac:dyDescent="0.3">
      <c r="A2450" s="666"/>
      <c r="F2450" s="667"/>
      <c r="BB2450" s="388"/>
    </row>
    <row r="2451" spans="1:59" s="4" customFormat="1" x14ac:dyDescent="0.3">
      <c r="A2451" s="666"/>
      <c r="F2451" s="667"/>
      <c r="AE2451" s="4" t="s">
        <v>4420</v>
      </c>
      <c r="AQ2451" s="4" t="s">
        <v>4922</v>
      </c>
      <c r="AV2451" s="757" t="s">
        <v>4902</v>
      </c>
      <c r="BB2451" s="757" t="s">
        <v>4935</v>
      </c>
      <c r="BC2451" s="757" t="s">
        <v>4936</v>
      </c>
    </row>
    <row r="2452" spans="1:59" s="4" customFormat="1" x14ac:dyDescent="0.3">
      <c r="A2452" s="666"/>
      <c r="B2452" s="740">
        <f ca="1">TODAY()-60</f>
        <v>45714</v>
      </c>
      <c r="C2452" s="231" t="s">
        <v>4869</v>
      </c>
      <c r="D2452" s="231" t="s">
        <v>4870</v>
      </c>
      <c r="F2452" s="667"/>
      <c r="AE2452" s="4" t="s">
        <v>4428</v>
      </c>
      <c r="AG2452" s="4" t="s">
        <v>4429</v>
      </c>
      <c r="AQ2452" s="231" t="s">
        <v>4923</v>
      </c>
      <c r="AV2452" s="738" t="s">
        <v>4903</v>
      </c>
      <c r="BB2452" s="738" t="s">
        <v>4937</v>
      </c>
      <c r="BG2452" s="738" t="s">
        <v>4932</v>
      </c>
    </row>
    <row r="2453" spans="1:59" s="4" customFormat="1" x14ac:dyDescent="0.3">
      <c r="A2453" s="666"/>
      <c r="F2453" s="667"/>
      <c r="AE2453" s="4" t="s">
        <v>4421</v>
      </c>
      <c r="AF2453" s="4" t="s">
        <v>4422</v>
      </c>
      <c r="AQ2453" s="231" t="s">
        <v>4925</v>
      </c>
      <c r="AV2453" s="738" t="s">
        <v>4904</v>
      </c>
      <c r="BB2453" s="738" t="s">
        <v>4938</v>
      </c>
      <c r="BG2453" s="738" t="s">
        <v>4933</v>
      </c>
    </row>
    <row r="2454" spans="1:59" s="4" customFormat="1" x14ac:dyDescent="0.3">
      <c r="A2454" s="666"/>
      <c r="F2454" s="667"/>
      <c r="AQ2454" s="231" t="s">
        <v>4926</v>
      </c>
      <c r="AV2454" s="738" t="s">
        <v>4872</v>
      </c>
      <c r="BB2454" s="738" t="s">
        <v>4939</v>
      </c>
      <c r="BG2454" s="738" t="s">
        <v>4934</v>
      </c>
    </row>
    <row r="2455" spans="1:59" s="4" customFormat="1" x14ac:dyDescent="0.3">
      <c r="A2455" s="666"/>
      <c r="B2455" s="740">
        <f ca="1">TODAY()+14</f>
        <v>45788</v>
      </c>
      <c r="C2455" s="231" t="str">
        <f>B500</f>
        <v>Need help identifying support in case documents</v>
      </c>
      <c r="D2455" s="231" t="s">
        <v>4871</v>
      </c>
      <c r="F2455" s="667"/>
      <c r="AE2455" s="4" t="s">
        <v>4423</v>
      </c>
      <c r="AQ2455" s="231" t="s">
        <v>4927</v>
      </c>
      <c r="AV2455" s="738" t="s">
        <v>4905</v>
      </c>
      <c r="BB2455" s="738" t="s">
        <v>4912</v>
      </c>
    </row>
    <row r="2456" spans="1:59" s="4" customFormat="1" x14ac:dyDescent="0.3">
      <c r="A2456" s="666"/>
      <c r="F2456" s="667"/>
      <c r="AQ2456" s="231" t="s">
        <v>4928</v>
      </c>
      <c r="AV2456" s="738" t="s">
        <v>4906</v>
      </c>
      <c r="BB2456" s="388"/>
    </row>
    <row r="2457" spans="1:59" s="4" customFormat="1" x14ac:dyDescent="0.3">
      <c r="A2457" s="666"/>
      <c r="F2457" s="667"/>
      <c r="AG2457" s="4" t="s">
        <v>4434</v>
      </c>
      <c r="AV2457" s="738" t="s">
        <v>4907</v>
      </c>
      <c r="BB2457" s="388"/>
    </row>
    <row r="2458" spans="1:59" s="4" customFormat="1" x14ac:dyDescent="0.3">
      <c r="A2458" s="666"/>
      <c r="B2458" s="741">
        <v>3250</v>
      </c>
      <c r="C2458" s="231" t="s">
        <v>4873</v>
      </c>
      <c r="D2458" s="231" t="s">
        <v>4875</v>
      </c>
      <c r="F2458" s="667"/>
      <c r="G2458" s="347"/>
      <c r="H2458" s="347"/>
      <c r="I2458" s="347"/>
      <c r="J2458" s="347"/>
      <c r="K2458" s="347"/>
      <c r="L2458" s="347"/>
      <c r="M2458" s="347"/>
      <c r="N2458" s="347"/>
      <c r="O2458" s="347"/>
      <c r="P2458" s="347"/>
      <c r="Q2458" s="347"/>
      <c r="R2458" s="347"/>
      <c r="S2458" s="347"/>
      <c r="T2458" s="347"/>
      <c r="U2458" s="347"/>
      <c r="V2458" s="347"/>
      <c r="W2458" s="347"/>
      <c r="X2458" s="347"/>
      <c r="Y2458" s="347"/>
      <c r="Z2458" s="347"/>
      <c r="AE2458" s="4" t="s">
        <v>4424</v>
      </c>
      <c r="AG2458" s="4" t="s">
        <v>4435</v>
      </c>
      <c r="AQ2458" s="4" t="s">
        <v>4924</v>
      </c>
      <c r="AV2458" s="738" t="s">
        <v>4908</v>
      </c>
      <c r="BB2458" s="388"/>
    </row>
    <row r="2459" spans="1:59" s="4" customFormat="1" x14ac:dyDescent="0.3">
      <c r="A2459" s="666"/>
      <c r="F2459" s="667"/>
      <c r="AG2459" s="4" t="s">
        <v>4433</v>
      </c>
      <c r="AQ2459" s="231" t="s">
        <v>4929</v>
      </c>
      <c r="AV2459" s="738" t="s">
        <v>4909</v>
      </c>
      <c r="BB2459" s="757" t="s">
        <v>4917</v>
      </c>
    </row>
    <row r="2460" spans="1:59" s="4" customFormat="1" x14ac:dyDescent="0.3">
      <c r="A2460" s="666"/>
      <c r="F2460" s="667"/>
      <c r="AQ2460" s="231" t="s">
        <v>4930</v>
      </c>
      <c r="AV2460" s="738" t="s">
        <v>4910</v>
      </c>
      <c r="BB2460" s="738" t="s">
        <v>4918</v>
      </c>
    </row>
    <row r="2461" spans="1:59" s="4" customFormat="1" x14ac:dyDescent="0.3">
      <c r="A2461" s="666"/>
      <c r="B2461" s="741">
        <v>1725</v>
      </c>
      <c r="C2461" s="231" t="s">
        <v>4874</v>
      </c>
      <c r="D2461" s="231" t="s">
        <v>1027</v>
      </c>
      <c r="F2461" s="667"/>
      <c r="AE2461" s="4" t="s">
        <v>4426</v>
      </c>
      <c r="AQ2461" s="231" t="s">
        <v>4931</v>
      </c>
      <c r="AV2461" s="738" t="s">
        <v>4911</v>
      </c>
      <c r="BB2461" s="738" t="s">
        <v>4919</v>
      </c>
    </row>
    <row r="2462" spans="1:59" s="4" customFormat="1" x14ac:dyDescent="0.3">
      <c r="A2462" s="666"/>
      <c r="F2462" s="667"/>
      <c r="AV2462" s="738" t="s">
        <v>4912</v>
      </c>
      <c r="BB2462" s="738" t="s">
        <v>4920</v>
      </c>
    </row>
    <row r="2463" spans="1:59" s="4" customFormat="1" x14ac:dyDescent="0.3">
      <c r="A2463" s="666"/>
      <c r="B2463" s="347"/>
      <c r="C2463" s="347"/>
      <c r="D2463" s="347"/>
      <c r="F2463" s="667"/>
      <c r="AE2463" s="347"/>
      <c r="AF2463" s="347"/>
      <c r="AG2463" s="347"/>
      <c r="AV2463" s="738" t="s">
        <v>4913</v>
      </c>
      <c r="BB2463" s="738" t="s">
        <v>4921</v>
      </c>
    </row>
    <row r="2464" spans="1:59" s="4" customFormat="1" x14ac:dyDescent="0.3">
      <c r="A2464" s="666"/>
      <c r="B2464" s="347">
        <v>48</v>
      </c>
      <c r="C2464" s="231" t="s">
        <v>4872</v>
      </c>
      <c r="D2464" s="742">
        <v>625</v>
      </c>
      <c r="F2464" s="667"/>
      <c r="BB2464" s="388"/>
    </row>
    <row r="2465" spans="1:54" s="4" customFormat="1" ht="13.25" customHeight="1" x14ac:dyDescent="0.3">
      <c r="A2465" s="666"/>
      <c r="B2465" s="347"/>
      <c r="F2465" s="667"/>
      <c r="AV2465" s="757" t="s">
        <v>4954</v>
      </c>
      <c r="BB2465" s="388"/>
    </row>
    <row r="2466" spans="1:54" s="4" customFormat="1" x14ac:dyDescent="0.3">
      <c r="A2466" s="666"/>
      <c r="B2466" s="347"/>
      <c r="F2466" s="667"/>
      <c r="AV2466" s="738" t="s">
        <v>4946</v>
      </c>
      <c r="BB2466" s="388"/>
    </row>
    <row r="2467" spans="1:54" s="4" customFormat="1" x14ac:dyDescent="0.3">
      <c r="A2467" s="666"/>
      <c r="B2467" s="347">
        <v>13</v>
      </c>
      <c r="C2467" s="231" t="s">
        <v>4877</v>
      </c>
      <c r="D2467" s="231" t="s">
        <v>4876</v>
      </c>
      <c r="F2467" s="667"/>
      <c r="AV2467" s="738" t="s">
        <v>4947</v>
      </c>
      <c r="BB2467" s="388"/>
    </row>
    <row r="2468" spans="1:54" s="4" customFormat="1" x14ac:dyDescent="0.3">
      <c r="A2468" s="666"/>
      <c r="B2468" s="347"/>
      <c r="F2468" s="667"/>
      <c r="AE2468" s="347" t="s">
        <v>4868</v>
      </c>
      <c r="AV2468" s="738" t="s">
        <v>4948</v>
      </c>
      <c r="BB2468" s="388"/>
    </row>
    <row r="2469" spans="1:54" s="4" customFormat="1" x14ac:dyDescent="0.3">
      <c r="A2469" s="666"/>
      <c r="B2469" s="347"/>
      <c r="F2469" s="667"/>
      <c r="AV2469" s="738" t="s">
        <v>4949</v>
      </c>
      <c r="BB2469" s="388"/>
    </row>
    <row r="2470" spans="1:54" s="4" customFormat="1" x14ac:dyDescent="0.3">
      <c r="A2470" s="666"/>
      <c r="B2470" s="4" t="str">
        <f ca="1">AE2471</f>
        <v>9th  week</v>
      </c>
      <c r="C2470" s="231" t="str">
        <f>AV2471</f>
        <v>Judicial exoneration</v>
      </c>
      <c r="D2470" s="231" t="str">
        <f>AV2474</f>
        <v>State compensation</v>
      </c>
      <c r="F2470" s="667"/>
      <c r="AV2470" s="738" t="s">
        <v>4950</v>
      </c>
      <c r="BB2470" s="388"/>
    </row>
    <row r="2471" spans="1:54" s="4" customFormat="1" x14ac:dyDescent="0.3">
      <c r="A2471" s="666"/>
      <c r="B2471" s="347"/>
      <c r="F2471" s="667"/>
      <c r="AE2471" s="4" t="str">
        <f ca="1">CONCATENATE(AH2471,AI2471,AJ2471)</f>
        <v>9th  week</v>
      </c>
      <c r="AH2471" s="758">
        <f ca="1">ROUND(((TODAY()-B2452)/7),0)</f>
        <v>9</v>
      </c>
      <c r="AI2471" s="4" t="str">
        <f ca="1">IF(AH2471=1,"st",IF(AH2471=2,"nd",IF(AH2471=3,"rd","th")))</f>
        <v>th</v>
      </c>
      <c r="AJ2471" s="4" t="s">
        <v>4956</v>
      </c>
      <c r="AV2471" s="738" t="s">
        <v>4951</v>
      </c>
      <c r="BB2471" s="388"/>
    </row>
    <row r="2472" spans="1:54" s="4" customFormat="1" x14ac:dyDescent="0.3">
      <c r="A2472" s="666"/>
      <c r="B2472" s="347"/>
      <c r="F2472" s="667"/>
      <c r="BB2472" s="388"/>
    </row>
    <row r="2473" spans="1:54" s="4" customFormat="1" x14ac:dyDescent="0.3">
      <c r="A2473" s="666"/>
      <c r="B2473" s="347"/>
      <c r="F2473" s="667"/>
      <c r="AV2473" s="757" t="s">
        <v>4955</v>
      </c>
      <c r="BB2473" s="388"/>
    </row>
    <row r="2474" spans="1:54" s="4" customFormat="1" x14ac:dyDescent="0.3">
      <c r="A2474" s="666"/>
      <c r="B2474" s="347"/>
      <c r="F2474" s="667"/>
      <c r="AV2474" s="738" t="s">
        <v>4952</v>
      </c>
      <c r="BB2474" s="388"/>
    </row>
    <row r="2475" spans="1:54" s="4" customFormat="1" x14ac:dyDescent="0.3">
      <c r="A2475" s="666"/>
      <c r="B2475" s="347"/>
      <c r="F2475" s="667"/>
      <c r="AV2475" s="738" t="s">
        <v>4914</v>
      </c>
      <c r="BB2475" s="388"/>
    </row>
    <row r="2476" spans="1:54" s="4" customFormat="1" x14ac:dyDescent="0.3">
      <c r="A2476" s="666"/>
      <c r="B2476" s="347"/>
      <c r="F2476" s="667"/>
      <c r="AV2476" s="738" t="s">
        <v>4915</v>
      </c>
      <c r="BB2476" s="388"/>
    </row>
    <row r="2477" spans="1:54" s="4" customFormat="1" x14ac:dyDescent="0.3">
      <c r="A2477" s="666"/>
      <c r="B2477" s="347"/>
      <c r="F2477" s="667"/>
      <c r="AV2477" s="738" t="s">
        <v>4916</v>
      </c>
      <c r="BB2477" s="388"/>
    </row>
    <row r="2478" spans="1:54" s="4" customFormat="1" x14ac:dyDescent="0.3">
      <c r="A2478" s="666"/>
      <c r="F2478" s="667"/>
      <c r="AV2478" s="738" t="s">
        <v>4953</v>
      </c>
      <c r="BB2478" s="388"/>
    </row>
    <row r="2479" spans="1:54" s="4" customFormat="1" x14ac:dyDescent="0.3">
      <c r="A2479" s="666"/>
      <c r="F2479" s="667"/>
      <c r="BB2479" s="388"/>
    </row>
    <row r="2480" spans="1:54" s="4" customFormat="1" x14ac:dyDescent="0.3">
      <c r="A2480" s="666"/>
      <c r="F2480" s="667"/>
      <c r="BB2480" s="388"/>
    </row>
    <row r="2481" spans="1:54" s="4" customFormat="1" x14ac:dyDescent="0.3">
      <c r="A2481" s="666"/>
      <c r="F2481" s="667"/>
      <c r="BB2481" s="388"/>
    </row>
    <row r="2482" spans="1:54" s="4" customFormat="1" x14ac:dyDescent="0.3">
      <c r="A2482" s="666"/>
      <c r="F2482" s="667"/>
      <c r="BB2482" s="388"/>
    </row>
    <row r="2483" spans="1:54" s="4" customFormat="1" x14ac:dyDescent="0.3">
      <c r="A2483" s="666"/>
      <c r="F2483" s="667"/>
      <c r="BB2483" s="388"/>
    </row>
    <row r="2484" spans="1:54" s="4" customFormat="1" x14ac:dyDescent="0.3">
      <c r="A2484" s="666"/>
      <c r="F2484" s="667"/>
      <c r="BB2484" s="388"/>
    </row>
    <row r="2485" spans="1:54" s="4" customFormat="1" x14ac:dyDescent="0.3">
      <c r="A2485" s="666"/>
      <c r="F2485" s="667"/>
      <c r="BB2485" s="388"/>
    </row>
    <row r="2486" spans="1:54" s="4" customFormat="1" x14ac:dyDescent="0.3">
      <c r="A2486" s="801"/>
      <c r="B2486" s="888" t="s">
        <v>5140</v>
      </c>
      <c r="C2486" s="888"/>
      <c r="D2486" s="888"/>
      <c r="E2486" s="888"/>
      <c r="F2486" s="802"/>
      <c r="BB2486" s="388"/>
    </row>
    <row r="2487" spans="1:54" s="4" customFormat="1" x14ac:dyDescent="0.3">
      <c r="A2487" s="801"/>
      <c r="B2487" s="888"/>
      <c r="C2487" s="888"/>
      <c r="D2487" s="888"/>
      <c r="E2487" s="888"/>
      <c r="F2487" s="802"/>
      <c r="BB2487" s="388"/>
    </row>
    <row r="2488" spans="1:54" s="4" customFormat="1" ht="14.4" customHeight="1" x14ac:dyDescent="0.3">
      <c r="A2488" s="801"/>
      <c r="B2488" s="887" t="s">
        <v>5139</v>
      </c>
      <c r="C2488" s="887"/>
      <c r="D2488" s="887"/>
      <c r="E2488" s="887"/>
      <c r="F2488" s="802"/>
      <c r="BB2488" s="388"/>
    </row>
    <row r="2489" spans="1:54" s="4" customFormat="1" ht="13.75" customHeight="1" x14ac:dyDescent="0.3">
      <c r="A2489" s="801"/>
      <c r="B2489" s="887"/>
      <c r="C2489" s="887"/>
      <c r="D2489" s="887"/>
      <c r="E2489" s="887"/>
      <c r="F2489" s="802"/>
      <c r="BB2489" s="388"/>
    </row>
    <row r="2490" spans="1:54" s="4" customFormat="1" x14ac:dyDescent="0.3">
      <c r="A2490" s="801"/>
      <c r="B2490" s="887"/>
      <c r="C2490" s="887"/>
      <c r="D2490" s="887"/>
      <c r="E2490" s="887"/>
      <c r="F2490" s="802"/>
      <c r="BB2490" s="388"/>
    </row>
    <row r="2491" spans="1:54" s="4" customFormat="1" x14ac:dyDescent="0.3">
      <c r="A2491" s="801"/>
      <c r="B2491" s="887"/>
      <c r="C2491" s="887"/>
      <c r="D2491" s="887"/>
      <c r="E2491" s="887"/>
      <c r="F2491" s="802"/>
      <c r="BB2491" s="388"/>
    </row>
    <row r="2492" spans="1:54" s="4" customFormat="1" x14ac:dyDescent="0.3">
      <c r="A2492" s="803"/>
      <c r="B2492" s="804"/>
      <c r="C2492" s="804"/>
      <c r="D2492" s="804"/>
      <c r="E2492" s="804"/>
      <c r="F2492" s="805"/>
      <c r="BB2492" s="388"/>
    </row>
    <row r="2493" spans="1:54" s="4" customFormat="1" x14ac:dyDescent="0.3">
      <c r="BB2493" s="388"/>
    </row>
    <row r="2494" spans="1:54" s="4" customFormat="1" x14ac:dyDescent="0.3">
      <c r="BB2494" s="388"/>
    </row>
    <row r="2495" spans="1:54" s="4" customFormat="1" x14ac:dyDescent="0.3">
      <c r="BB2495" s="388"/>
    </row>
    <row r="2496" spans="1:54" s="4" customFormat="1" x14ac:dyDescent="0.3">
      <c r="BB2496" s="388"/>
    </row>
    <row r="2497" spans="54:54" s="4" customFormat="1" x14ac:dyDescent="0.3">
      <c r="BB2497" s="388"/>
    </row>
    <row r="2498" spans="54:54" s="4" customFormat="1" x14ac:dyDescent="0.3">
      <c r="BB2498" s="388"/>
    </row>
    <row r="2499" spans="54:54" s="4" customFormat="1" x14ac:dyDescent="0.3">
      <c r="BB2499" s="388"/>
    </row>
    <row r="2500" spans="54:54" s="4" customFormat="1" x14ac:dyDescent="0.3">
      <c r="BB2500" s="388"/>
    </row>
    <row r="2501" spans="54:54" s="4" customFormat="1" x14ac:dyDescent="0.3">
      <c r="BB2501" s="388"/>
    </row>
    <row r="2502" spans="54:54" s="4" customFormat="1" x14ac:dyDescent="0.3">
      <c r="BB2502" s="388"/>
    </row>
    <row r="2503" spans="54:54" s="4" customFormat="1" x14ac:dyDescent="0.3">
      <c r="BB2503" s="388"/>
    </row>
    <row r="2504" spans="54:54" s="4" customFormat="1" x14ac:dyDescent="0.3">
      <c r="BB2504" s="388"/>
    </row>
    <row r="2505" spans="54:54" s="4" customFormat="1" x14ac:dyDescent="0.3">
      <c r="BB2505" s="388"/>
    </row>
    <row r="2506" spans="54:54" s="4" customFormat="1" x14ac:dyDescent="0.3">
      <c r="BB2506" s="388"/>
    </row>
    <row r="2507" spans="54:54" s="4" customFormat="1" x14ac:dyDescent="0.3">
      <c r="BB2507" s="388"/>
    </row>
    <row r="2508" spans="54:54" s="4" customFormat="1" x14ac:dyDescent="0.3">
      <c r="BB2508" s="388"/>
    </row>
    <row r="2509" spans="54:54" s="4" customFormat="1" x14ac:dyDescent="0.3">
      <c r="BB2509" s="388"/>
    </row>
    <row r="2510" spans="54:54" s="4" customFormat="1" x14ac:dyDescent="0.3">
      <c r="BB2510" s="388"/>
    </row>
    <row r="2511" spans="54:54" s="4" customFormat="1" x14ac:dyDescent="0.3">
      <c r="BB2511" s="388"/>
    </row>
    <row r="2512" spans="54:54" s="4" customFormat="1" x14ac:dyDescent="0.3">
      <c r="BB2512" s="388"/>
    </row>
    <row r="2513" spans="54:54" s="4" customFormat="1" x14ac:dyDescent="0.3">
      <c r="BB2513" s="388"/>
    </row>
    <row r="2514" spans="54:54" s="4" customFormat="1" x14ac:dyDescent="0.3">
      <c r="BB2514" s="388"/>
    </row>
    <row r="2515" spans="54:54" s="4" customFormat="1" x14ac:dyDescent="0.3">
      <c r="BB2515" s="388"/>
    </row>
    <row r="2516" spans="54:54" s="4" customFormat="1" x14ac:dyDescent="0.3">
      <c r="BB2516" s="388"/>
    </row>
    <row r="2517" spans="54:54" s="4" customFormat="1" x14ac:dyDescent="0.3">
      <c r="BB2517" s="388"/>
    </row>
    <row r="2518" spans="54:54" s="4" customFormat="1" x14ac:dyDescent="0.3">
      <c r="BB2518" s="388"/>
    </row>
    <row r="2519" spans="54:54" s="4" customFormat="1" x14ac:dyDescent="0.3">
      <c r="BB2519" s="388"/>
    </row>
    <row r="2520" spans="54:54" s="4" customFormat="1" x14ac:dyDescent="0.3">
      <c r="BB2520" s="388"/>
    </row>
    <row r="2521" spans="54:54" s="4" customFormat="1" x14ac:dyDescent="0.3">
      <c r="BB2521" s="388"/>
    </row>
    <row r="2522" spans="54:54" s="4" customFormat="1" x14ac:dyDescent="0.3">
      <c r="BB2522" s="388"/>
    </row>
    <row r="2523" spans="54:54" s="4" customFormat="1" x14ac:dyDescent="0.3">
      <c r="BB2523" s="388"/>
    </row>
    <row r="2524" spans="54:54" s="4" customFormat="1" x14ac:dyDescent="0.3">
      <c r="BB2524" s="388"/>
    </row>
    <row r="2525" spans="54:54" s="4" customFormat="1" x14ac:dyDescent="0.3">
      <c r="BB2525" s="388"/>
    </row>
    <row r="2526" spans="54:54" s="4" customFormat="1" x14ac:dyDescent="0.3">
      <c r="BB2526" s="388"/>
    </row>
    <row r="2527" spans="54:54" s="4" customFormat="1" x14ac:dyDescent="0.3">
      <c r="BB2527" s="388"/>
    </row>
    <row r="2528" spans="54:54" s="4" customFormat="1" x14ac:dyDescent="0.3">
      <c r="BB2528" s="388"/>
    </row>
    <row r="2529" spans="54:54" s="4" customFormat="1" x14ac:dyDescent="0.3">
      <c r="BB2529" s="388"/>
    </row>
    <row r="2530" spans="54:54" s="4" customFormat="1" x14ac:dyDescent="0.3">
      <c r="BB2530" s="388"/>
    </row>
    <row r="2531" spans="54:54" s="4" customFormat="1" x14ac:dyDescent="0.3">
      <c r="BB2531" s="388"/>
    </row>
    <row r="2532" spans="54:54" s="4" customFormat="1" x14ac:dyDescent="0.3">
      <c r="BB2532" s="388"/>
    </row>
    <row r="2533" spans="54:54" s="4" customFormat="1" x14ac:dyDescent="0.3">
      <c r="BB2533" s="388"/>
    </row>
    <row r="2534" spans="54:54" s="4" customFormat="1" x14ac:dyDescent="0.3">
      <c r="BB2534" s="388"/>
    </row>
    <row r="2535" spans="54:54" s="4" customFormat="1" x14ac:dyDescent="0.3">
      <c r="BB2535" s="388"/>
    </row>
    <row r="2536" spans="54:54" s="4" customFormat="1" x14ac:dyDescent="0.3">
      <c r="BB2536" s="388"/>
    </row>
    <row r="2537" spans="54:54" s="4" customFormat="1" x14ac:dyDescent="0.3">
      <c r="BB2537" s="388"/>
    </row>
    <row r="2538" spans="54:54" s="4" customFormat="1" x14ac:dyDescent="0.3">
      <c r="BB2538" s="388"/>
    </row>
    <row r="2539" spans="54:54" s="4" customFormat="1" x14ac:dyDescent="0.3">
      <c r="BB2539" s="388"/>
    </row>
    <row r="2540" spans="54:54" s="4" customFormat="1" x14ac:dyDescent="0.3">
      <c r="BB2540" s="388"/>
    </row>
    <row r="2541" spans="54:54" s="4" customFormat="1" x14ac:dyDescent="0.3">
      <c r="BB2541" s="388"/>
    </row>
    <row r="2542" spans="54:54" s="4" customFormat="1" x14ac:dyDescent="0.3">
      <c r="BB2542" s="388"/>
    </row>
    <row r="2543" spans="54:54" s="4" customFormat="1" x14ac:dyDescent="0.3">
      <c r="BB2543" s="388"/>
    </row>
    <row r="2544" spans="54:54" s="4" customFormat="1" x14ac:dyDescent="0.3">
      <c r="BB2544" s="388"/>
    </row>
    <row r="2545" spans="54:54" s="4" customFormat="1" x14ac:dyDescent="0.3">
      <c r="BB2545" s="388"/>
    </row>
    <row r="2546" spans="54:54" s="4" customFormat="1" x14ac:dyDescent="0.3">
      <c r="BB2546" s="388"/>
    </row>
    <row r="2547" spans="54:54" s="4" customFormat="1" x14ac:dyDescent="0.3">
      <c r="BB2547" s="388"/>
    </row>
    <row r="2548" spans="54:54" s="4" customFormat="1" x14ac:dyDescent="0.3">
      <c r="BB2548" s="388"/>
    </row>
    <row r="2549" spans="54:54" s="4" customFormat="1" x14ac:dyDescent="0.3">
      <c r="BB2549" s="388"/>
    </row>
    <row r="2550" spans="54:54" s="4" customFormat="1" x14ac:dyDescent="0.3">
      <c r="BB2550" s="388"/>
    </row>
    <row r="2551" spans="54:54" s="4" customFormat="1" x14ac:dyDescent="0.3">
      <c r="BB2551" s="388"/>
    </row>
    <row r="2552" spans="54:54" s="4" customFormat="1" x14ac:dyDescent="0.3">
      <c r="BB2552" s="388"/>
    </row>
    <row r="2553" spans="54:54" s="4" customFormat="1" x14ac:dyDescent="0.3">
      <c r="BB2553" s="388"/>
    </row>
    <row r="2554" spans="54:54" s="4" customFormat="1" x14ac:dyDescent="0.3">
      <c r="BB2554" s="388"/>
    </row>
    <row r="2555" spans="54:54" s="4" customFormat="1" x14ac:dyDescent="0.3">
      <c r="BB2555" s="388"/>
    </row>
    <row r="2556" spans="54:54" s="4" customFormat="1" x14ac:dyDescent="0.3">
      <c r="BB2556" s="388"/>
    </row>
    <row r="2557" spans="54:54" s="4" customFormat="1" x14ac:dyDescent="0.3">
      <c r="BB2557" s="388"/>
    </row>
    <row r="2558" spans="54:54" s="4" customFormat="1" x14ac:dyDescent="0.3">
      <c r="BB2558" s="388"/>
    </row>
    <row r="2559" spans="54:54" s="4" customFormat="1" x14ac:dyDescent="0.3">
      <c r="BB2559" s="388"/>
    </row>
    <row r="2560" spans="54:54" s="4" customFormat="1" x14ac:dyDescent="0.3">
      <c r="BB2560" s="388"/>
    </row>
    <row r="2561" spans="54:54" s="4" customFormat="1" x14ac:dyDescent="0.3">
      <c r="BB2561" s="388"/>
    </row>
    <row r="2562" spans="54:54" s="4" customFormat="1" x14ac:dyDescent="0.3">
      <c r="BB2562" s="388"/>
    </row>
    <row r="2563" spans="54:54" s="4" customFormat="1" x14ac:dyDescent="0.3">
      <c r="BB2563" s="388"/>
    </row>
    <row r="2564" spans="54:54" s="4" customFormat="1" x14ac:dyDescent="0.3">
      <c r="BB2564" s="388"/>
    </row>
    <row r="2565" spans="54:54" s="4" customFormat="1" x14ac:dyDescent="0.3">
      <c r="BB2565" s="388"/>
    </row>
    <row r="2566" spans="54:54" s="4" customFormat="1" x14ac:dyDescent="0.3">
      <c r="BB2566" s="388"/>
    </row>
    <row r="2567" spans="54:54" s="4" customFormat="1" x14ac:dyDescent="0.3">
      <c r="BB2567" s="388"/>
    </row>
    <row r="2568" spans="54:54" s="4" customFormat="1" x14ac:dyDescent="0.3">
      <c r="BB2568" s="388"/>
    </row>
    <row r="2569" spans="54:54" s="4" customFormat="1" x14ac:dyDescent="0.3">
      <c r="BB2569" s="388"/>
    </row>
    <row r="2570" spans="54:54" s="4" customFormat="1" x14ac:dyDescent="0.3">
      <c r="BB2570" s="388"/>
    </row>
    <row r="2571" spans="54:54" s="4" customFormat="1" x14ac:dyDescent="0.3">
      <c r="BB2571" s="388"/>
    </row>
    <row r="2572" spans="54:54" s="4" customFormat="1" x14ac:dyDescent="0.3">
      <c r="BB2572" s="388"/>
    </row>
    <row r="2573" spans="54:54" s="4" customFormat="1" x14ac:dyDescent="0.3">
      <c r="BB2573" s="388"/>
    </row>
    <row r="2574" spans="54:54" s="4" customFormat="1" x14ac:dyDescent="0.3">
      <c r="BB2574" s="388"/>
    </row>
    <row r="2575" spans="54:54" s="4" customFormat="1" x14ac:dyDescent="0.3">
      <c r="BB2575" s="388"/>
    </row>
    <row r="2576" spans="54:54" s="4" customFormat="1" x14ac:dyDescent="0.3">
      <c r="BB2576" s="388"/>
    </row>
    <row r="2577" spans="54:54" s="4" customFormat="1" x14ac:dyDescent="0.3">
      <c r="BB2577" s="388"/>
    </row>
    <row r="2578" spans="54:54" s="4" customFormat="1" x14ac:dyDescent="0.3">
      <c r="BB2578" s="388"/>
    </row>
    <row r="2579" spans="54:54" s="4" customFormat="1" x14ac:dyDescent="0.3">
      <c r="BB2579" s="388"/>
    </row>
    <row r="2580" spans="54:54" s="4" customFormat="1" x14ac:dyDescent="0.3">
      <c r="BB2580" s="388"/>
    </row>
    <row r="2581" spans="54:54" s="4" customFormat="1" x14ac:dyDescent="0.3">
      <c r="BB2581" s="388"/>
    </row>
    <row r="2582" spans="54:54" s="4" customFormat="1" x14ac:dyDescent="0.3">
      <c r="BB2582" s="388"/>
    </row>
    <row r="2583" spans="54:54" s="4" customFormat="1" x14ac:dyDescent="0.3">
      <c r="BB2583" s="388"/>
    </row>
    <row r="2584" spans="54:54" s="4" customFormat="1" x14ac:dyDescent="0.3">
      <c r="BB2584" s="388"/>
    </row>
    <row r="2585" spans="54:54" s="4" customFormat="1" x14ac:dyDescent="0.3">
      <c r="BB2585" s="388"/>
    </row>
    <row r="2586" spans="54:54" s="4" customFormat="1" x14ac:dyDescent="0.3">
      <c r="BB2586" s="388"/>
    </row>
    <row r="2587" spans="54:54" s="4" customFormat="1" x14ac:dyDescent="0.3">
      <c r="BB2587" s="388"/>
    </row>
    <row r="2588" spans="54:54" s="4" customFormat="1" x14ac:dyDescent="0.3">
      <c r="BB2588" s="388"/>
    </row>
    <row r="2589" spans="54:54" s="4" customFormat="1" x14ac:dyDescent="0.3">
      <c r="BB2589" s="388"/>
    </row>
    <row r="2590" spans="54:54" s="4" customFormat="1" x14ac:dyDescent="0.3">
      <c r="BB2590" s="388"/>
    </row>
    <row r="2591" spans="54:54" s="4" customFormat="1" x14ac:dyDescent="0.3">
      <c r="BB2591" s="388"/>
    </row>
    <row r="2592" spans="54:54" s="4" customFormat="1" x14ac:dyDescent="0.3">
      <c r="BB2592" s="388"/>
    </row>
    <row r="2593" spans="54:54" s="4" customFormat="1" x14ac:dyDescent="0.3">
      <c r="BB2593" s="388"/>
    </row>
    <row r="2594" spans="54:54" s="4" customFormat="1" x14ac:dyDescent="0.3">
      <c r="BB2594" s="388"/>
    </row>
    <row r="2595" spans="54:54" s="4" customFormat="1" x14ac:dyDescent="0.3">
      <c r="BB2595" s="388"/>
    </row>
    <row r="2596" spans="54:54" s="4" customFormat="1" x14ac:dyDescent="0.3">
      <c r="BB2596" s="388"/>
    </row>
    <row r="2597" spans="54:54" s="4" customFormat="1" x14ac:dyDescent="0.3">
      <c r="BB2597" s="388"/>
    </row>
    <row r="2598" spans="54:54" s="4" customFormat="1" x14ac:dyDescent="0.3">
      <c r="BB2598" s="388"/>
    </row>
    <row r="2599" spans="54:54" s="4" customFormat="1" x14ac:dyDescent="0.3">
      <c r="BB2599" s="388"/>
    </row>
    <row r="2600" spans="54:54" s="4" customFormat="1" x14ac:dyDescent="0.3">
      <c r="BB2600" s="388"/>
    </row>
    <row r="2601" spans="54:54" s="4" customFormat="1" x14ac:dyDescent="0.3">
      <c r="BB2601" s="388"/>
    </row>
    <row r="2602" spans="54:54" s="4" customFormat="1" x14ac:dyDescent="0.3">
      <c r="BB2602" s="388"/>
    </row>
    <row r="2603" spans="54:54" s="4" customFormat="1" x14ac:dyDescent="0.3">
      <c r="BB2603" s="388"/>
    </row>
    <row r="2604" spans="54:54" s="4" customFormat="1" x14ac:dyDescent="0.3">
      <c r="BB2604" s="388"/>
    </row>
    <row r="2605" spans="54:54" s="4" customFormat="1" x14ac:dyDescent="0.3">
      <c r="BB2605" s="388"/>
    </row>
    <row r="2606" spans="54:54" s="4" customFormat="1" x14ac:dyDescent="0.3">
      <c r="BB2606" s="388"/>
    </row>
    <row r="2607" spans="54:54" s="4" customFormat="1" x14ac:dyDescent="0.3">
      <c r="BB2607" s="388"/>
    </row>
    <row r="2608" spans="54:54" s="4" customFormat="1" x14ac:dyDescent="0.3">
      <c r="BB2608" s="388"/>
    </row>
    <row r="2609" spans="54:54" s="4" customFormat="1" x14ac:dyDescent="0.3">
      <c r="BB2609" s="388"/>
    </row>
    <row r="2610" spans="54:54" s="4" customFormat="1" x14ac:dyDescent="0.3">
      <c r="BB2610" s="388"/>
    </row>
    <row r="2611" spans="54:54" s="4" customFormat="1" x14ac:dyDescent="0.3">
      <c r="BB2611" s="388"/>
    </row>
    <row r="2612" spans="54:54" s="4" customFormat="1" x14ac:dyDescent="0.3">
      <c r="BB2612" s="388"/>
    </row>
    <row r="2613" spans="54:54" s="4" customFormat="1" x14ac:dyDescent="0.3">
      <c r="BB2613" s="388"/>
    </row>
    <row r="2614" spans="54:54" s="4" customFormat="1" x14ac:dyDescent="0.3">
      <c r="BB2614" s="388"/>
    </row>
    <row r="2615" spans="54:54" s="4" customFormat="1" x14ac:dyDescent="0.3">
      <c r="BB2615" s="388"/>
    </row>
    <row r="2616" spans="54:54" s="4" customFormat="1" x14ac:dyDescent="0.3">
      <c r="BB2616" s="388"/>
    </row>
    <row r="2617" spans="54:54" s="4" customFormat="1" x14ac:dyDescent="0.3">
      <c r="BB2617" s="388"/>
    </row>
    <row r="2618" spans="54:54" s="4" customFormat="1" x14ac:dyDescent="0.3">
      <c r="BB2618" s="388"/>
    </row>
    <row r="2619" spans="54:54" s="4" customFormat="1" x14ac:dyDescent="0.3">
      <c r="BB2619" s="388"/>
    </row>
    <row r="2620" spans="54:54" s="4" customFormat="1" x14ac:dyDescent="0.3">
      <c r="BB2620" s="388"/>
    </row>
    <row r="2621" spans="54:54" s="4" customFormat="1" x14ac:dyDescent="0.3">
      <c r="BB2621" s="388"/>
    </row>
    <row r="2622" spans="54:54" s="4" customFormat="1" x14ac:dyDescent="0.3">
      <c r="BB2622" s="388"/>
    </row>
    <row r="2623" spans="54:54" s="4" customFormat="1" x14ac:dyDescent="0.3">
      <c r="BB2623" s="388"/>
    </row>
    <row r="2624" spans="54:54" s="4" customFormat="1" x14ac:dyDescent="0.3">
      <c r="BB2624" s="388"/>
    </row>
    <row r="2625" spans="54:54" s="4" customFormat="1" x14ac:dyDescent="0.3">
      <c r="BB2625" s="388"/>
    </row>
    <row r="2626" spans="54:54" s="4" customFormat="1" x14ac:dyDescent="0.3">
      <c r="BB2626" s="388"/>
    </row>
    <row r="2627" spans="54:54" s="4" customFormat="1" x14ac:dyDescent="0.3">
      <c r="BB2627" s="388"/>
    </row>
    <row r="2628" spans="54:54" s="4" customFormat="1" x14ac:dyDescent="0.3">
      <c r="BB2628" s="388"/>
    </row>
    <row r="2629" spans="54:54" s="4" customFormat="1" x14ac:dyDescent="0.3">
      <c r="BB2629" s="388"/>
    </row>
    <row r="2630" spans="54:54" s="4" customFormat="1" x14ac:dyDescent="0.3">
      <c r="BB2630" s="388"/>
    </row>
    <row r="2631" spans="54:54" s="4" customFormat="1" x14ac:dyDescent="0.3">
      <c r="BB2631" s="388"/>
    </row>
    <row r="2632" spans="54:54" s="4" customFormat="1" x14ac:dyDescent="0.3">
      <c r="BB2632" s="388"/>
    </row>
    <row r="2633" spans="54:54" s="4" customFormat="1" x14ac:dyDescent="0.3">
      <c r="BB2633" s="388"/>
    </row>
    <row r="2634" spans="54:54" s="4" customFormat="1" x14ac:dyDescent="0.3">
      <c r="BB2634" s="388"/>
    </row>
    <row r="2635" spans="54:54" s="4" customFormat="1" x14ac:dyDescent="0.3">
      <c r="BB2635" s="388"/>
    </row>
    <row r="2636" spans="54:54" s="4" customFormat="1" x14ac:dyDescent="0.3">
      <c r="BB2636" s="388"/>
    </row>
    <row r="2637" spans="54:54" s="4" customFormat="1" x14ac:dyDescent="0.3">
      <c r="BB2637" s="388"/>
    </row>
    <row r="2638" spans="54:54" s="4" customFormat="1" x14ac:dyDescent="0.3">
      <c r="BB2638" s="388"/>
    </row>
    <row r="2639" spans="54:54" s="4" customFormat="1" x14ac:dyDescent="0.3">
      <c r="BB2639" s="388"/>
    </row>
    <row r="2640" spans="54:54" s="4" customFormat="1" x14ac:dyDescent="0.3">
      <c r="BB2640" s="388"/>
    </row>
    <row r="2641" spans="54:54" s="4" customFormat="1" x14ac:dyDescent="0.3">
      <c r="BB2641" s="388"/>
    </row>
    <row r="2642" spans="54:54" s="4" customFormat="1" x14ac:dyDescent="0.3">
      <c r="BB2642" s="388"/>
    </row>
    <row r="2643" spans="54:54" s="4" customFormat="1" x14ac:dyDescent="0.3">
      <c r="BB2643" s="388"/>
    </row>
    <row r="2644" spans="54:54" s="4" customFormat="1" x14ac:dyDescent="0.3">
      <c r="BB2644" s="388"/>
    </row>
    <row r="2645" spans="54:54" s="4" customFormat="1" x14ac:dyDescent="0.3">
      <c r="BB2645" s="388"/>
    </row>
    <row r="2646" spans="54:54" s="4" customFormat="1" x14ac:dyDescent="0.3">
      <c r="BB2646" s="388"/>
    </row>
    <row r="2647" spans="54:54" s="4" customFormat="1" x14ac:dyDescent="0.3">
      <c r="BB2647" s="388"/>
    </row>
    <row r="2648" spans="54:54" s="4" customFormat="1" x14ac:dyDescent="0.3">
      <c r="BB2648" s="388"/>
    </row>
    <row r="2649" spans="54:54" s="4" customFormat="1" x14ac:dyDescent="0.3">
      <c r="BB2649" s="388"/>
    </row>
    <row r="2650" spans="54:54" s="4" customFormat="1" x14ac:dyDescent="0.3">
      <c r="BB2650" s="388"/>
    </row>
    <row r="2651" spans="54:54" s="4" customFormat="1" x14ac:dyDescent="0.3">
      <c r="BB2651" s="388"/>
    </row>
    <row r="2652" spans="54:54" s="4" customFormat="1" x14ac:dyDescent="0.3">
      <c r="BB2652" s="388"/>
    </row>
    <row r="2653" spans="54:54" s="4" customFormat="1" x14ac:dyDescent="0.3">
      <c r="BB2653" s="388"/>
    </row>
    <row r="2654" spans="54:54" s="4" customFormat="1" x14ac:dyDescent="0.3">
      <c r="BB2654" s="388"/>
    </row>
    <row r="2655" spans="54:54" s="4" customFormat="1" x14ac:dyDescent="0.3">
      <c r="BB2655" s="388"/>
    </row>
    <row r="2656" spans="54:54" s="4" customFormat="1" x14ac:dyDescent="0.3">
      <c r="BB2656" s="388"/>
    </row>
    <row r="2657" spans="54:54" s="4" customFormat="1" x14ac:dyDescent="0.3">
      <c r="BB2657" s="388"/>
    </row>
    <row r="2658" spans="54:54" s="4" customFormat="1" x14ac:dyDescent="0.3">
      <c r="BB2658" s="388"/>
    </row>
    <row r="2659" spans="54:54" s="4" customFormat="1" x14ac:dyDescent="0.3">
      <c r="BB2659" s="388"/>
    </row>
    <row r="2660" spans="54:54" s="4" customFormat="1" x14ac:dyDescent="0.3">
      <c r="BB2660" s="388"/>
    </row>
    <row r="2661" spans="54:54" s="4" customFormat="1" x14ac:dyDescent="0.3">
      <c r="BB2661" s="388"/>
    </row>
    <row r="2662" spans="54:54" s="4" customFormat="1" x14ac:dyDescent="0.3">
      <c r="BB2662" s="388"/>
    </row>
    <row r="2663" spans="54:54" s="4" customFormat="1" x14ac:dyDescent="0.3">
      <c r="BB2663" s="388"/>
    </row>
    <row r="2664" spans="54:54" s="4" customFormat="1" x14ac:dyDescent="0.3">
      <c r="BB2664" s="388"/>
    </row>
    <row r="2665" spans="54:54" s="4" customFormat="1" x14ac:dyDescent="0.3">
      <c r="BB2665" s="388"/>
    </row>
    <row r="2666" spans="54:54" s="4" customFormat="1" x14ac:dyDescent="0.3">
      <c r="BB2666" s="388"/>
    </row>
    <row r="2667" spans="54:54" s="4" customFormat="1" x14ac:dyDescent="0.3">
      <c r="BB2667" s="388"/>
    </row>
    <row r="2668" spans="54:54" s="4" customFormat="1" x14ac:dyDescent="0.3">
      <c r="BB2668" s="388"/>
    </row>
    <row r="2669" spans="54:54" s="4" customFormat="1" x14ac:dyDescent="0.3">
      <c r="BB2669" s="388"/>
    </row>
    <row r="2670" spans="54:54" s="4" customFormat="1" x14ac:dyDescent="0.3">
      <c r="BB2670" s="388"/>
    </row>
    <row r="2671" spans="54:54" s="4" customFormat="1" x14ac:dyDescent="0.3">
      <c r="BB2671" s="388"/>
    </row>
    <row r="2672" spans="54:54" s="4" customFormat="1" x14ac:dyDescent="0.3">
      <c r="BB2672" s="388"/>
    </row>
    <row r="2673" spans="54:54" s="4" customFormat="1" x14ac:dyDescent="0.3">
      <c r="BB2673" s="388"/>
    </row>
    <row r="2674" spans="54:54" s="4" customFormat="1" x14ac:dyDescent="0.3">
      <c r="BB2674" s="388"/>
    </row>
    <row r="2675" spans="54:54" s="4" customFormat="1" x14ac:dyDescent="0.3">
      <c r="BB2675" s="388"/>
    </row>
    <row r="2676" spans="54:54" s="4" customFormat="1" x14ac:dyDescent="0.3">
      <c r="BB2676" s="388"/>
    </row>
    <row r="2677" spans="54:54" s="4" customFormat="1" x14ac:dyDescent="0.3">
      <c r="BB2677" s="388"/>
    </row>
    <row r="2678" spans="54:54" s="4" customFormat="1" x14ac:dyDescent="0.3">
      <c r="BB2678" s="388"/>
    </row>
    <row r="2679" spans="54:54" s="4" customFormat="1" x14ac:dyDescent="0.3">
      <c r="BB2679" s="388"/>
    </row>
    <row r="2680" spans="54:54" s="4" customFormat="1" x14ac:dyDescent="0.3">
      <c r="BB2680" s="388"/>
    </row>
    <row r="2681" spans="54:54" s="4" customFormat="1" x14ac:dyDescent="0.3">
      <c r="BB2681" s="388"/>
    </row>
    <row r="2682" spans="54:54" s="4" customFormat="1" x14ac:dyDescent="0.3">
      <c r="BB2682" s="388"/>
    </row>
    <row r="2683" spans="54:54" s="4" customFormat="1" x14ac:dyDescent="0.3">
      <c r="BB2683" s="388"/>
    </row>
    <row r="2684" spans="54:54" s="4" customFormat="1" x14ac:dyDescent="0.3">
      <c r="BB2684" s="388"/>
    </row>
    <row r="2685" spans="54:54" s="4" customFormat="1" x14ac:dyDescent="0.3">
      <c r="BB2685" s="388"/>
    </row>
    <row r="2686" spans="54:54" s="4" customFormat="1" x14ac:dyDescent="0.3">
      <c r="BB2686" s="388"/>
    </row>
    <row r="2687" spans="54:54" s="4" customFormat="1" x14ac:dyDescent="0.3">
      <c r="BB2687" s="388"/>
    </row>
    <row r="2688" spans="54:54" s="4" customFormat="1" x14ac:dyDescent="0.3">
      <c r="BB2688" s="388"/>
    </row>
    <row r="2689" spans="54:54" s="4" customFormat="1" x14ac:dyDescent="0.3">
      <c r="BB2689" s="388"/>
    </row>
    <row r="2690" spans="54:54" s="4" customFormat="1" x14ac:dyDescent="0.3">
      <c r="BB2690" s="388"/>
    </row>
    <row r="2691" spans="54:54" s="4" customFormat="1" x14ac:dyDescent="0.3">
      <c r="BB2691" s="388"/>
    </row>
    <row r="2692" spans="54:54" s="4" customFormat="1" x14ac:dyDescent="0.3">
      <c r="BB2692" s="388"/>
    </row>
    <row r="2693" spans="54:54" s="4" customFormat="1" x14ac:dyDescent="0.3">
      <c r="BB2693" s="388"/>
    </row>
    <row r="2694" spans="54:54" s="4" customFormat="1" x14ac:dyDescent="0.3">
      <c r="BB2694" s="388"/>
    </row>
    <row r="2695" spans="54:54" s="4" customFormat="1" x14ac:dyDescent="0.3">
      <c r="BB2695" s="388"/>
    </row>
    <row r="2696" spans="54:54" s="4" customFormat="1" x14ac:dyDescent="0.3">
      <c r="BB2696" s="388"/>
    </row>
    <row r="2697" spans="54:54" s="4" customFormat="1" x14ac:dyDescent="0.3">
      <c r="BB2697" s="388"/>
    </row>
    <row r="2698" spans="54:54" s="4" customFormat="1" x14ac:dyDescent="0.3">
      <c r="BB2698" s="388"/>
    </row>
    <row r="2699" spans="54:54" s="4" customFormat="1" x14ac:dyDescent="0.3">
      <c r="BB2699" s="388"/>
    </row>
    <row r="2700" spans="54:54" s="4" customFormat="1" x14ac:dyDescent="0.3">
      <c r="BB2700" s="388"/>
    </row>
    <row r="2701" spans="54:54" s="4" customFormat="1" x14ac:dyDescent="0.3">
      <c r="BB2701" s="388"/>
    </row>
    <row r="2702" spans="54:54" s="4" customFormat="1" x14ac:dyDescent="0.3">
      <c r="BB2702" s="388"/>
    </row>
    <row r="2703" spans="54:54" s="4" customFormat="1" x14ac:dyDescent="0.3">
      <c r="BB2703" s="388"/>
    </row>
    <row r="2704" spans="54:54" s="4" customFormat="1" x14ac:dyDescent="0.3">
      <c r="BB2704" s="388"/>
    </row>
    <row r="2705" spans="1:71" s="4" customFormat="1" x14ac:dyDescent="0.3">
      <c r="BB2705" s="388"/>
    </row>
    <row r="2706" spans="1:71" s="4" customFormat="1" x14ac:dyDescent="0.3">
      <c r="BB2706" s="388"/>
    </row>
    <row r="2707" spans="1:71" s="4" customFormat="1" x14ac:dyDescent="0.3">
      <c r="BB2707" s="388"/>
    </row>
    <row r="2708" spans="1:71" s="4" customFormat="1" x14ac:dyDescent="0.3">
      <c r="BB2708" s="388"/>
    </row>
    <row r="2709" spans="1:71" s="4" customFormat="1" x14ac:dyDescent="0.3">
      <c r="BB2709" s="388"/>
    </row>
    <row r="2710" spans="1:71" s="4" customFormat="1" x14ac:dyDescent="0.3">
      <c r="BB2710" s="388"/>
    </row>
    <row r="2711" spans="1:71" s="4" customFormat="1" x14ac:dyDescent="0.3">
      <c r="BB2711" s="388"/>
    </row>
    <row r="2712" spans="1:71" s="4" customFormat="1" x14ac:dyDescent="0.3">
      <c r="BB2712" s="388"/>
    </row>
    <row r="2713" spans="1:71" s="4" customFormat="1" x14ac:dyDescent="0.3">
      <c r="BB2713" s="388"/>
    </row>
    <row r="2714" spans="1:71" s="4" customFormat="1" x14ac:dyDescent="0.3">
      <c r="BB2714" s="388"/>
    </row>
    <row r="2715" spans="1:71" s="4" customFormat="1" ht="14.5" thickBot="1" x14ac:dyDescent="0.35">
      <c r="A2715" s="390"/>
      <c r="B2715" s="390"/>
      <c r="C2715" s="390"/>
      <c r="D2715" s="390"/>
      <c r="E2715" s="390"/>
      <c r="F2715" s="390"/>
      <c r="BB2715" s="388"/>
    </row>
    <row r="2716" spans="1:71" ht="14.5" hidden="1" thickTop="1" x14ac:dyDescent="0.3">
      <c r="BS2716" s="4"/>
    </row>
    <row r="2717" spans="1:71" ht="17.5" hidden="1" x14ac:dyDescent="0.35">
      <c r="A2717" s="567" t="str">
        <f>A199</f>
        <v>A.</v>
      </c>
      <c r="B2717" s="567" t="str">
        <f>B199</f>
        <v>Case information</v>
      </c>
      <c r="C2717" s="567"/>
      <c r="D2717" s="567"/>
      <c r="E2717" s="567"/>
      <c r="F2717" s="567"/>
      <c r="G2717" s="572" t="s">
        <v>3860</v>
      </c>
      <c r="H2717" s="573"/>
      <c r="I2717" s="573"/>
    </row>
    <row r="2718" spans="1:71" hidden="1" x14ac:dyDescent="0.3"/>
    <row r="2719" spans="1:71" ht="18.5" hidden="1" x14ac:dyDescent="0.45">
      <c r="B2719" s="399" t="str">
        <f>C205</f>
        <v>gender (from list)</v>
      </c>
      <c r="C2719" s="399" t="str">
        <f>D205</f>
        <v>preferred pronoun (from list)</v>
      </c>
      <c r="D2719" s="624" t="s">
        <v>4040</v>
      </c>
      <c r="G2719" s="508" t="str">
        <f>IF($D$206=$C2720,G2720,IF($D$206=$C2721,G2721,IF($D$206=$C2722,G2722,IF($D$206=$C2723,G2723,IF($D$206=$C2724,G2724,"they")))))</f>
        <v>he</v>
      </c>
      <c r="H2719" s="508" t="str">
        <f>IF($D$206=$C2720,H2720,IF($D$206=$C2721,H2721,IF($D$206=$C2722,H2722,IF($D$206=$C2723,H2723,IF($D$206=$C2724,H2724,"them")))))</f>
        <v>him</v>
      </c>
      <c r="I2719" s="508" t="str">
        <f>IF($D$206=$C2720,I2720,IF($D$206=$C2721,I2721,IF($D$206=$C2722,I2722,IF($D$206=$C2723,I2723,IF($D$206=$C2724,I2724,"their")))))</f>
        <v>his</v>
      </c>
      <c r="J2719" s="508" t="str">
        <f>IF($D$206=$C2720,J2720,IF($D$206=$C2721,J2721,IF($D$206=$C2722,J2722,IF($D$206=$C2723,J2723,IF($D$206=$C2724,J2724,"They")))))</f>
        <v>He</v>
      </c>
      <c r="K2719" s="508"/>
      <c r="L2719" s="508"/>
    </row>
    <row r="2720" spans="1:71" ht="14.5" hidden="1" x14ac:dyDescent="0.35">
      <c r="B2720" s="69" t="s">
        <v>1285</v>
      </c>
      <c r="C2720" s="69" t="s">
        <v>3826</v>
      </c>
      <c r="G2720" s="4" t="s">
        <v>3830</v>
      </c>
      <c r="H2720" s="4" t="s">
        <v>3833</v>
      </c>
      <c r="I2720" s="4" t="s">
        <v>3834</v>
      </c>
      <c r="J2720" s="4" t="s">
        <v>3839</v>
      </c>
    </row>
    <row r="2721" spans="2:10" ht="14.5" hidden="1" x14ac:dyDescent="0.35">
      <c r="B2721" s="69" t="s">
        <v>1286</v>
      </c>
      <c r="C2721" s="69" t="s">
        <v>3827</v>
      </c>
      <c r="G2721" s="4" t="s">
        <v>3831</v>
      </c>
      <c r="H2721" s="4" t="s">
        <v>3835</v>
      </c>
      <c r="I2721" s="4" t="s">
        <v>3836</v>
      </c>
      <c r="J2721" s="4" t="s">
        <v>3840</v>
      </c>
    </row>
    <row r="2722" spans="2:10" ht="14.5" hidden="1" x14ac:dyDescent="0.35">
      <c r="B2722" s="69" t="s">
        <v>105</v>
      </c>
      <c r="C2722" s="69" t="s">
        <v>3828</v>
      </c>
      <c r="G2722" s="4" t="s">
        <v>3832</v>
      </c>
      <c r="H2722" s="4" t="s">
        <v>3837</v>
      </c>
      <c r="I2722" s="4" t="s">
        <v>3838</v>
      </c>
      <c r="J2722" s="4" t="s">
        <v>3841</v>
      </c>
    </row>
    <row r="2723" spans="2:10" ht="14.5" hidden="1" x14ac:dyDescent="0.35">
      <c r="C2723" s="624" t="s">
        <v>4039</v>
      </c>
      <c r="G2723" s="4" t="str">
        <f>C2723</f>
        <v>my first name</v>
      </c>
      <c r="H2723" s="4" t="str">
        <f>G2723</f>
        <v>my first name</v>
      </c>
      <c r="I2723" s="4" t="str">
        <f>CONCATENATE(C2723,"'s")</f>
        <v>my first name's</v>
      </c>
      <c r="J2723" s="4" t="str">
        <f>G2723</f>
        <v>my first name</v>
      </c>
    </row>
    <row r="2724" spans="2:10" ht="14.5" hidden="1" x14ac:dyDescent="0.35">
      <c r="C2724" s="69" t="s">
        <v>3829</v>
      </c>
      <c r="G2724" s="82" t="s">
        <v>3832</v>
      </c>
      <c r="H2724" s="82" t="s">
        <v>3837</v>
      </c>
      <c r="I2724" s="82" t="s">
        <v>3838</v>
      </c>
      <c r="J2724" s="82" t="s">
        <v>3841</v>
      </c>
    </row>
    <row r="2725" spans="2:10" hidden="1" x14ac:dyDescent="0.3"/>
    <row r="2726" spans="2:10" ht="18.5" hidden="1" x14ac:dyDescent="0.45">
      <c r="B2726" s="399" t="str">
        <f>C207</f>
        <v>race (from list)</v>
      </c>
      <c r="C2726" s="399" t="str">
        <f>D207</f>
        <v>primary language (from list)</v>
      </c>
    </row>
    <row r="2727" spans="2:10" ht="14.5" hidden="1" x14ac:dyDescent="0.35">
      <c r="B2727" s="69" t="s">
        <v>109</v>
      </c>
      <c r="C2727" s="69" t="s">
        <v>110</v>
      </c>
    </row>
    <row r="2728" spans="2:10" ht="14.5" hidden="1" x14ac:dyDescent="0.35">
      <c r="B2728" s="69" t="s">
        <v>1287</v>
      </c>
      <c r="C2728" s="69" t="s">
        <v>1289</v>
      </c>
    </row>
    <row r="2729" spans="2:10" ht="14.5" hidden="1" x14ac:dyDescent="0.35">
      <c r="B2729" s="69" t="s">
        <v>1288</v>
      </c>
      <c r="C2729" s="69" t="s">
        <v>929</v>
      </c>
    </row>
    <row r="2730" spans="2:10" ht="14.5" hidden="1" x14ac:dyDescent="0.35">
      <c r="B2730" s="69" t="s">
        <v>105</v>
      </c>
    </row>
    <row r="2731" spans="2:10" hidden="1" x14ac:dyDescent="0.3"/>
    <row r="2732" spans="2:10" ht="18.5" hidden="1" x14ac:dyDescent="0.45">
      <c r="B2732" s="399" t="str">
        <f>C215</f>
        <v>relation to claimant (pick from list)</v>
      </c>
      <c r="C2732" s="399" t="str">
        <f>D215</f>
        <v>how long knowing claimant</v>
      </c>
    </row>
    <row r="2733" spans="2:10" ht="14.5" hidden="1" x14ac:dyDescent="0.35">
      <c r="B2733" s="69" t="s">
        <v>3842</v>
      </c>
      <c r="C2733" s="69" t="s">
        <v>1290</v>
      </c>
    </row>
    <row r="2734" spans="2:10" ht="14.5" hidden="1" x14ac:dyDescent="0.35">
      <c r="B2734" s="69" t="s">
        <v>3843</v>
      </c>
      <c r="C2734" s="69" t="s">
        <v>117</v>
      </c>
    </row>
    <row r="2735" spans="2:10" ht="14.5" hidden="1" x14ac:dyDescent="0.35">
      <c r="B2735" s="69" t="s">
        <v>116</v>
      </c>
      <c r="C2735" s="69" t="s">
        <v>444</v>
      </c>
    </row>
    <row r="2736" spans="2:10" ht="14.5" hidden="1" x14ac:dyDescent="0.35">
      <c r="B2736" s="69" t="s">
        <v>1276</v>
      </c>
      <c r="C2736" s="69" t="s">
        <v>1291</v>
      </c>
    </row>
    <row r="2737" spans="2:8" ht="14.5" hidden="1" x14ac:dyDescent="0.35">
      <c r="B2737" s="69" t="s">
        <v>1277</v>
      </c>
    </row>
    <row r="2738" spans="2:8" ht="18.5" hidden="1" x14ac:dyDescent="0.45">
      <c r="B2738" s="69" t="s">
        <v>1278</v>
      </c>
      <c r="D2738" s="399" t="s">
        <v>1292</v>
      </c>
    </row>
    <row r="2739" spans="2:8" ht="14.5" hidden="1" x14ac:dyDescent="0.35">
      <c r="B2739" s="69" t="s">
        <v>1279</v>
      </c>
      <c r="D2739" s="69" t="s">
        <v>1293</v>
      </c>
      <c r="E2739" s="48">
        <v>0</v>
      </c>
    </row>
    <row r="2740" spans="2:8" ht="14.5" hidden="1" x14ac:dyDescent="0.35">
      <c r="B2740" s="69" t="s">
        <v>1280</v>
      </c>
      <c r="D2740" s="69" t="s">
        <v>1294</v>
      </c>
      <c r="E2740" s="48">
        <v>2.5</v>
      </c>
    </row>
    <row r="2741" spans="2:8" ht="14.5" hidden="1" x14ac:dyDescent="0.35">
      <c r="B2741" s="69" t="s">
        <v>1281</v>
      </c>
      <c r="D2741" s="69" t="s">
        <v>197</v>
      </c>
      <c r="E2741" s="48">
        <v>5</v>
      </c>
    </row>
    <row r="2742" spans="2:8" ht="14.5" hidden="1" x14ac:dyDescent="0.35">
      <c r="B2742" s="69" t="s">
        <v>1282</v>
      </c>
      <c r="D2742" s="69" t="s">
        <v>3963</v>
      </c>
      <c r="E2742" s="48">
        <v>10</v>
      </c>
    </row>
    <row r="2743" spans="2:8" ht="14.5" hidden="1" x14ac:dyDescent="0.35">
      <c r="B2743" s="69" t="s">
        <v>1283</v>
      </c>
      <c r="D2743" s="69" t="s">
        <v>923</v>
      </c>
      <c r="E2743" s="48">
        <v>0</v>
      </c>
    </row>
    <row r="2744" spans="2:8" ht="14.5" hidden="1" x14ac:dyDescent="0.35">
      <c r="B2744" s="69" t="s">
        <v>1284</v>
      </c>
    </row>
    <row r="2745" spans="2:8" ht="14.5" hidden="1" x14ac:dyDescent="0.35">
      <c r="B2745" s="69" t="s">
        <v>912</v>
      </c>
    </row>
    <row r="2746" spans="2:8" hidden="1" x14ac:dyDescent="0.3"/>
    <row r="2747" spans="2:8" ht="18.5" hidden="1" x14ac:dyDescent="0.45">
      <c r="B2747" s="399" t="str">
        <f>B219</f>
        <v>What is your specific claim of innocence?</v>
      </c>
    </row>
    <row r="2748" spans="2:8" ht="14.5" hidden="1" x14ac:dyDescent="0.35">
      <c r="B2748" s="582" t="s">
        <v>3972</v>
      </c>
      <c r="E2748" s="48">
        <v>25</v>
      </c>
    </row>
    <row r="2749" spans="2:8" ht="14.5" hidden="1" x14ac:dyDescent="0.35">
      <c r="B2749" s="582" t="s">
        <v>3973</v>
      </c>
      <c r="E2749" s="48">
        <f t="shared" ref="E2749:E2754" si="117">E2748-5</f>
        <v>20</v>
      </c>
    </row>
    <row r="2750" spans="2:8" ht="14.5" hidden="1" x14ac:dyDescent="0.35">
      <c r="B2750" s="582" t="s">
        <v>3974</v>
      </c>
      <c r="E2750" s="48">
        <f t="shared" si="117"/>
        <v>15</v>
      </c>
    </row>
    <row r="2751" spans="2:8" ht="14.5" hidden="1" x14ac:dyDescent="0.35">
      <c r="B2751" s="582" t="s">
        <v>3975</v>
      </c>
      <c r="E2751" s="48">
        <f t="shared" si="117"/>
        <v>10</v>
      </c>
    </row>
    <row r="2752" spans="2:8" ht="14.5" hidden="1" x14ac:dyDescent="0.35">
      <c r="B2752" s="582" t="s">
        <v>3977</v>
      </c>
      <c r="E2752" s="48">
        <f t="shared" si="117"/>
        <v>5</v>
      </c>
      <c r="H2752" s="48"/>
    </row>
    <row r="2753" spans="2:5" ht="14.5" hidden="1" x14ac:dyDescent="0.35">
      <c r="B2753" s="582" t="s">
        <v>3978</v>
      </c>
      <c r="E2753" s="48">
        <f t="shared" si="117"/>
        <v>0</v>
      </c>
    </row>
    <row r="2754" spans="2:5" ht="14.5" hidden="1" x14ac:dyDescent="0.35">
      <c r="B2754" s="582" t="s">
        <v>3976</v>
      </c>
      <c r="E2754" s="48">
        <f t="shared" si="117"/>
        <v>-5</v>
      </c>
    </row>
    <row r="2755" spans="2:5" ht="14.5" hidden="1" x14ac:dyDescent="0.35">
      <c r="B2755" s="582"/>
    </row>
    <row r="2756" spans="2:5" ht="18.5" hidden="1" x14ac:dyDescent="0.45">
      <c r="B2756" s="399" t="str">
        <f>B221</f>
        <v>Which for you feels worse? Being wrongly convicted or being falsely incarcerated?</v>
      </c>
    </row>
    <row r="2757" spans="2:5" hidden="1" x14ac:dyDescent="0.3">
      <c r="B2757" s="606" t="s">
        <v>3979</v>
      </c>
      <c r="E2757" s="48">
        <v>10</v>
      </c>
    </row>
    <row r="2758" spans="2:5" hidden="1" x14ac:dyDescent="0.3">
      <c r="B2758" s="606" t="s">
        <v>3980</v>
      </c>
      <c r="E2758" s="48">
        <v>0</v>
      </c>
    </row>
    <row r="2759" spans="2:5" ht="14.5" hidden="1" x14ac:dyDescent="0.35">
      <c r="B2759" s="582"/>
    </row>
    <row r="2760" spans="2:5" hidden="1" x14ac:dyDescent="0.3"/>
    <row r="2761" spans="2:5" ht="18.5" hidden="1" x14ac:dyDescent="0.45">
      <c r="B2761" s="399" t="str">
        <f>B225</f>
        <v>initial charge(s)</v>
      </c>
      <c r="C2761" s="399" t="str">
        <f>C225</f>
        <v>alleged involvement level</v>
      </c>
      <c r="D2761" s="399" t="str">
        <f>D225</f>
        <v>actual involvement</v>
      </c>
    </row>
    <row r="2762" spans="2:5" ht="14.5" hidden="1" x14ac:dyDescent="0.35">
      <c r="B2762" s="69" t="s">
        <v>3611</v>
      </c>
      <c r="C2762" s="48" t="s">
        <v>173</v>
      </c>
      <c r="D2762" s="69" t="s">
        <v>3608</v>
      </c>
      <c r="E2762" s="48">
        <v>1</v>
      </c>
    </row>
    <row r="2763" spans="2:5" ht="14.5" hidden="1" x14ac:dyDescent="0.35">
      <c r="B2763" s="69" t="s">
        <v>3612</v>
      </c>
      <c r="C2763" s="48" t="s">
        <v>123</v>
      </c>
      <c r="D2763" s="69" t="s">
        <v>1266</v>
      </c>
      <c r="E2763" s="101">
        <f>E2762-0.1</f>
        <v>0.9</v>
      </c>
    </row>
    <row r="2764" spans="2:5" ht="14.5" hidden="1" x14ac:dyDescent="0.35">
      <c r="B2764" s="69" t="s">
        <v>3607</v>
      </c>
      <c r="C2764" s="48" t="s">
        <v>3609</v>
      </c>
      <c r="D2764" s="69" t="s">
        <v>1267</v>
      </c>
      <c r="E2764" s="101">
        <f t="shared" ref="E2764:E2772" si="118">E2763-0.1</f>
        <v>0.8</v>
      </c>
    </row>
    <row r="2765" spans="2:5" ht="14.5" hidden="1" x14ac:dyDescent="0.35">
      <c r="B2765" s="69" t="s">
        <v>122</v>
      </c>
      <c r="D2765" s="69" t="s">
        <v>1268</v>
      </c>
      <c r="E2765" s="101">
        <f t="shared" si="118"/>
        <v>0.70000000000000007</v>
      </c>
    </row>
    <row r="2766" spans="2:5" ht="14.5" hidden="1" x14ac:dyDescent="0.35">
      <c r="B2766" s="69" t="s">
        <v>1261</v>
      </c>
      <c r="C2766" s="48" t="s">
        <v>1262</v>
      </c>
      <c r="D2766" s="69" t="s">
        <v>1269</v>
      </c>
      <c r="E2766" s="101">
        <f t="shared" si="118"/>
        <v>0.60000000000000009</v>
      </c>
    </row>
    <row r="2767" spans="2:5" ht="14.5" hidden="1" x14ac:dyDescent="0.35">
      <c r="B2767" s="69" t="s">
        <v>1263</v>
      </c>
      <c r="C2767" s="48" t="s">
        <v>1264</v>
      </c>
      <c r="D2767" s="69" t="s">
        <v>1270</v>
      </c>
      <c r="E2767" s="101">
        <f t="shared" si="118"/>
        <v>0.50000000000000011</v>
      </c>
    </row>
    <row r="2768" spans="2:5" ht="14.5" hidden="1" x14ac:dyDescent="0.35">
      <c r="B2768" s="69" t="s">
        <v>1265</v>
      </c>
      <c r="D2768" s="604" t="s">
        <v>1271</v>
      </c>
      <c r="E2768" s="101">
        <f t="shared" si="118"/>
        <v>0.40000000000000013</v>
      </c>
    </row>
    <row r="2769" spans="1:5" ht="14.5" hidden="1" x14ac:dyDescent="0.35">
      <c r="B2769" s="69" t="s">
        <v>105</v>
      </c>
      <c r="D2769" s="69" t="s">
        <v>1272</v>
      </c>
      <c r="E2769" s="101">
        <f t="shared" si="118"/>
        <v>0.30000000000000016</v>
      </c>
    </row>
    <row r="2770" spans="1:5" ht="14.5" hidden="1" x14ac:dyDescent="0.35">
      <c r="D2770" s="69" t="s">
        <v>1273</v>
      </c>
      <c r="E2770" s="101">
        <f t="shared" si="118"/>
        <v>0.20000000000000015</v>
      </c>
    </row>
    <row r="2771" spans="1:5" ht="14.5" hidden="1" x14ac:dyDescent="0.35">
      <c r="D2771" s="69" t="s">
        <v>1274</v>
      </c>
      <c r="E2771" s="101">
        <f t="shared" si="118"/>
        <v>0.10000000000000014</v>
      </c>
    </row>
    <row r="2772" spans="1:5" ht="14.5" hidden="1" x14ac:dyDescent="0.35">
      <c r="D2772" s="69" t="s">
        <v>1275</v>
      </c>
      <c r="E2772" s="101">
        <f t="shared" si="118"/>
        <v>1.3877787807814457E-16</v>
      </c>
    </row>
    <row r="2773" spans="1:5" ht="17.5" hidden="1" x14ac:dyDescent="0.35">
      <c r="A2773" s="568" t="str">
        <f>A242</f>
        <v>Plea</v>
      </c>
    </row>
    <row r="2774" spans="1:5" ht="18.5" hidden="1" x14ac:dyDescent="0.45">
      <c r="B2774" s="399" t="str">
        <f>B243</f>
        <v>Did you plead guilty? (If yes, explain why below)</v>
      </c>
      <c r="C2774" s="399" t="str">
        <f>IF(B248="","Offered plea deal?",B248)</f>
        <v>Offered a plea deal?</v>
      </c>
      <c r="D2774" s="399" t="str">
        <f>B250</f>
        <v>How long insisting you're completely innocent?</v>
      </c>
    </row>
    <row r="2775" spans="1:5" ht="14.5" hidden="1" x14ac:dyDescent="0.35">
      <c r="B2775" s="69" t="s">
        <v>916</v>
      </c>
      <c r="C2775" s="69" t="s">
        <v>127</v>
      </c>
      <c r="D2775" s="48" t="s">
        <v>129</v>
      </c>
      <c r="E2775" s="101">
        <v>0.8</v>
      </c>
    </row>
    <row r="2776" spans="1:5" ht="14.5" hidden="1" x14ac:dyDescent="0.35">
      <c r="B2776" s="69" t="s">
        <v>3610</v>
      </c>
      <c r="C2776" s="69" t="s">
        <v>917</v>
      </c>
      <c r="D2776" s="48" t="s">
        <v>1304</v>
      </c>
      <c r="E2776" s="101">
        <v>0.9</v>
      </c>
    </row>
    <row r="2777" spans="1:5" ht="14.5" hidden="1" x14ac:dyDescent="0.35">
      <c r="B2777" s="69" t="s">
        <v>126</v>
      </c>
      <c r="C2777" s="69" t="s">
        <v>918</v>
      </c>
      <c r="D2777" s="82" t="s">
        <v>3964</v>
      </c>
      <c r="E2777" s="101">
        <v>1</v>
      </c>
    </row>
    <row r="2778" spans="1:5" ht="18.5" hidden="1" x14ac:dyDescent="0.45">
      <c r="B2778" s="399" t="str">
        <f>B246</f>
        <v/>
      </c>
      <c r="C2778" s="69" t="s">
        <v>920</v>
      </c>
      <c r="D2778" s="48" t="s">
        <v>1307</v>
      </c>
      <c r="E2778" s="101">
        <v>0.5</v>
      </c>
    </row>
    <row r="2779" spans="1:5" ht="14.5" hidden="1" x14ac:dyDescent="0.35">
      <c r="B2779" s="69" t="s">
        <v>919</v>
      </c>
      <c r="C2779" s="69" t="s">
        <v>922</v>
      </c>
      <c r="D2779" s="48" t="s">
        <v>1309</v>
      </c>
      <c r="E2779" s="101">
        <v>0</v>
      </c>
    </row>
    <row r="2780" spans="1:5" ht="14.5" hidden="1" x14ac:dyDescent="0.35">
      <c r="B2780" s="69" t="s">
        <v>921</v>
      </c>
      <c r="C2780" s="69" t="s">
        <v>923</v>
      </c>
      <c r="D2780" s="48" t="s">
        <v>1311</v>
      </c>
      <c r="E2780" s="101">
        <v>-0.5</v>
      </c>
    </row>
    <row r="2781" spans="1:5" ht="14.5" hidden="1" x14ac:dyDescent="0.35">
      <c r="B2781" s="69"/>
      <c r="C2781" s="69"/>
    </row>
    <row r="2782" spans="1:5" ht="18.5" hidden="1" x14ac:dyDescent="0.45">
      <c r="B2782" s="399" t="s">
        <v>4151</v>
      </c>
      <c r="C2782" s="69"/>
    </row>
    <row r="2783" spans="1:5" hidden="1" x14ac:dyDescent="0.3">
      <c r="B2783" s="48" t="s">
        <v>4150</v>
      </c>
    </row>
    <row r="2784" spans="1:5" hidden="1" x14ac:dyDescent="0.3">
      <c r="B2784" s="48" t="s">
        <v>4149</v>
      </c>
    </row>
    <row r="2785" spans="2:3" hidden="1" x14ac:dyDescent="0.3">
      <c r="B2785" s="48" t="s">
        <v>3919</v>
      </c>
    </row>
    <row r="2786" spans="2:3" hidden="1" x14ac:dyDescent="0.3">
      <c r="B2786" s="48" t="s">
        <v>4152</v>
      </c>
    </row>
    <row r="2787" spans="2:3" hidden="1" x14ac:dyDescent="0.3">
      <c r="B2787" s="48" t="s">
        <v>1322</v>
      </c>
    </row>
    <row r="2788" spans="2:3" hidden="1" x14ac:dyDescent="0.3">
      <c r="B2788" s="48" t="s">
        <v>1323</v>
      </c>
    </row>
    <row r="2789" spans="2:3" hidden="1" x14ac:dyDescent="0.3">
      <c r="B2789" s="48" t="s">
        <v>1324</v>
      </c>
    </row>
    <row r="2790" spans="2:3" hidden="1" x14ac:dyDescent="0.3">
      <c r="B2790" s="48" t="s">
        <v>1325</v>
      </c>
    </row>
    <row r="2791" spans="2:3" hidden="1" x14ac:dyDescent="0.3">
      <c r="B2791" s="48" t="s">
        <v>3922</v>
      </c>
    </row>
    <row r="2792" spans="2:3" hidden="1" x14ac:dyDescent="0.3">
      <c r="B2792" s="48" t="s">
        <v>3918</v>
      </c>
    </row>
    <row r="2793" spans="2:3" hidden="1" x14ac:dyDescent="0.3">
      <c r="B2793" s="48" t="s">
        <v>1319</v>
      </c>
    </row>
    <row r="2794" spans="2:3" hidden="1" x14ac:dyDescent="0.3">
      <c r="B2794" s="48" t="s">
        <v>1320</v>
      </c>
    </row>
    <row r="2795" spans="2:3" hidden="1" x14ac:dyDescent="0.3">
      <c r="B2795" s="48" t="s">
        <v>1321</v>
      </c>
    </row>
    <row r="2796" spans="2:3" hidden="1" x14ac:dyDescent="0.3">
      <c r="B2796" s="48" t="s">
        <v>3920</v>
      </c>
    </row>
    <row r="2797" spans="2:3" hidden="1" x14ac:dyDescent="0.3">
      <c r="B2797" s="48" t="s">
        <v>3917</v>
      </c>
    </row>
    <row r="2798" spans="2:3" hidden="1" x14ac:dyDescent="0.3">
      <c r="B2798" s="48" t="s">
        <v>3921</v>
      </c>
    </row>
    <row r="2799" spans="2:3" hidden="1" x14ac:dyDescent="0.3">
      <c r="B2799" s="48" t="s">
        <v>923</v>
      </c>
    </row>
    <row r="2800" spans="2:3" ht="14.5" hidden="1" x14ac:dyDescent="0.35">
      <c r="B2800" s="69"/>
      <c r="C2800" s="69"/>
    </row>
    <row r="2801" spans="1:70" hidden="1" x14ac:dyDescent="0.3"/>
    <row r="2802" spans="1:70" ht="17.5" hidden="1" x14ac:dyDescent="0.35">
      <c r="A2802" s="568" t="str">
        <f>A255</f>
        <v>Conviction</v>
      </c>
    </row>
    <row r="2803" spans="1:70" ht="18.5" hidden="1" x14ac:dyDescent="0.45">
      <c r="B2803" s="399" t="str">
        <f>B256</f>
        <v>What is the conviction based upon?</v>
      </c>
      <c r="C2803" s="399" t="s">
        <v>143</v>
      </c>
    </row>
    <row r="2804" spans="1:70" ht="15" hidden="1" thickBot="1" x14ac:dyDescent="0.4">
      <c r="A2804" s="52">
        <f>SUM(A2805:A2810)</f>
        <v>1</v>
      </c>
      <c r="B2804" s="68" t="s">
        <v>130</v>
      </c>
      <c r="D2804" s="421" t="s">
        <v>152</v>
      </c>
      <c r="E2804" s="594" t="s">
        <v>185</v>
      </c>
      <c r="F2804" s="421"/>
    </row>
    <row r="2805" spans="1:70" ht="15.5" hidden="1" thickTop="1" thickBot="1" x14ac:dyDescent="0.4">
      <c r="A2805" s="48">
        <v>0</v>
      </c>
      <c r="B2805" s="69" t="s">
        <v>131</v>
      </c>
      <c r="C2805" s="48">
        <v>-0.5</v>
      </c>
      <c r="D2805" s="421" t="s">
        <v>156</v>
      </c>
      <c r="E2805" s="594" t="s">
        <v>186</v>
      </c>
      <c r="F2805" s="595"/>
    </row>
    <row r="2806" spans="1:70" ht="15.5" hidden="1" thickTop="1" thickBot="1" x14ac:dyDescent="0.4">
      <c r="A2806" s="48">
        <v>0</v>
      </c>
      <c r="B2806" s="69" t="s">
        <v>135</v>
      </c>
      <c r="C2806" s="48">
        <v>0</v>
      </c>
      <c r="D2806" s="421" t="s">
        <v>158</v>
      </c>
      <c r="E2806" s="594" t="s">
        <v>191</v>
      </c>
      <c r="F2806" s="595"/>
    </row>
    <row r="2807" spans="1:70" ht="15.5" hidden="1" thickTop="1" thickBot="1" x14ac:dyDescent="0.4">
      <c r="A2807" s="48">
        <v>0</v>
      </c>
      <c r="B2807" s="69" t="s">
        <v>136</v>
      </c>
      <c r="C2807" s="48">
        <v>0.25</v>
      </c>
      <c r="D2807" s="421" t="s">
        <v>161</v>
      </c>
      <c r="E2807" s="594" t="s">
        <v>193</v>
      </c>
      <c r="F2807" s="595"/>
    </row>
    <row r="2808" spans="1:70" ht="15" hidden="1" thickTop="1" x14ac:dyDescent="0.35">
      <c r="A2808" s="48">
        <f>IF($D$256=B2808,1,0)</f>
        <v>1</v>
      </c>
      <c r="B2808" s="69" t="s">
        <v>137</v>
      </c>
      <c r="C2808" s="48">
        <v>0.5</v>
      </c>
      <c r="D2808" s="421" t="s">
        <v>929</v>
      </c>
    </row>
    <row r="2809" spans="1:70" ht="14.5" hidden="1" x14ac:dyDescent="0.35">
      <c r="A2809" s="48">
        <f>IF($D$256=B2809,1,0)</f>
        <v>0</v>
      </c>
      <c r="B2809" s="69" t="s">
        <v>139</v>
      </c>
      <c r="C2809" s="48">
        <v>1</v>
      </c>
    </row>
    <row r="2810" spans="1:70" ht="14.5" hidden="1" x14ac:dyDescent="0.35">
      <c r="A2810" s="48">
        <f>IF($D$256=B2810,1,0)</f>
        <v>0</v>
      </c>
      <c r="B2810" s="69" t="s">
        <v>105</v>
      </c>
      <c r="C2810" s="48">
        <v>0</v>
      </c>
    </row>
    <row r="2811" spans="1:70" hidden="1" x14ac:dyDescent="0.3"/>
    <row r="2812" spans="1:70" ht="17.5" hidden="1" x14ac:dyDescent="0.35">
      <c r="A2812" s="568" t="str">
        <f>B263</f>
        <v>Jurisdiction of conviction</v>
      </c>
      <c r="BH2812" s="48" t="s">
        <v>4789</v>
      </c>
      <c r="BN2812" s="48" t="s">
        <v>4790</v>
      </c>
    </row>
    <row r="2813" spans="1:70" ht="18.5" hidden="1" x14ac:dyDescent="0.45">
      <c r="B2813" s="434" t="str">
        <f>B264</f>
        <v>State (or fed):</v>
      </c>
      <c r="C2813" s="434" t="str">
        <f>C264</f>
        <v>County:</v>
      </c>
      <c r="D2813" s="434" t="str">
        <f>D264</f>
        <v>City</v>
      </c>
      <c r="BG2813" s="692" t="str">
        <f>IF(B2346=BF2814,BG2814,IF(B2346=BF2815,BG2815,IF(B2346=BF2816,BG2816,IF(B2346=BF2817,BG2817,IF(B2346=BF2818,BG2818,IF(B2346=BF2819,BG2819,IF(B2346=BF2820,BG2820,IF(B2346=BF2821,BG2821,IF(B2346=BF2822,BG2822,IF(B2346=BF2823,BG2823,IF(B2346=BF2824,BG2824,IF(B2346=BF2825,BG2825,IF(B2346=BF2826,BG2826,IF(B2346=BF2827,BG2827,IF(B2346=BF2828,BG2828,IF(B2346=BF2829,BG2829,IF(B2346=BF2830,BG2830,IF(B2346=BF2831,BG2831,IF(B2346=BF2832,BG2832,IF(B2346=BF2833,BG2833,IF(B2346=BF2834,BG2834,IF(B2346=BF2835,BG2835,IF(B2346=BF2836,BG2836,IF(B2346=BF2837,BG2837,IF(B2346=BF2838,BG2838,IF(B2346=BF2839,BG2839,IF(B2346=BF2840,BG2840,IF(B2346=BF2841,BG2841,IF(B2346=BF2842,BG2842,IF(B2346=BF2843,BG2843,IF(B2346=BF2844,BG2844,IF(B2346=BF2845,BG2845,IF(B2346=BF2846,BG2846,IF(B2346=BF2847,BG2847,IF(B2346=BF2848,BG2848,IF(B2346=BF2849,BG2849,IF(B2346=BF2850,BG2850,IF(B2346=BF2851,BG2851,IF(B2346=BF2852,BG2852,IF(B2346=BF2853,BG2853,IF(B2346=BF2854,BG2854,IF(B2346=BF2855,BG2855,IF(B2346=BF2856,BG2856,IF(B2346=BF2857,BG2857,IF(B2346=BF2858,BG2858,IF(B2346=BF2859,BG2859,IF(B2346=BF2860,BG2860,IF(B2346=BF2861,BG2861,IF(B2346=BF2862,BG2862,IF(B2346=BF2863,BG2863,IF(B2346=BF2864,BG2864,"DEFUNCTION")))))))))))))))))))))))))))))))))))))))))))))))))))</f>
        <v>DEFUNCTION</v>
      </c>
      <c r="BH2813" s="692" t="str">
        <f>IF(C2346=BG2814,BH2814,IF(C2346=BG2815,BH2815,IF(C2346=BG2816,BH2816,IF(C2346=BG2817,BH2817,IF(C2346=BG2818,BH2818,IF(C2346=BG2819,BH2819,IF(C2346=BG2820,BH2820,IF(C2346=BG2821,BH2821,IF(C2346=BG2822,BH2822,IF(C2346=BG2823,BH2823,IF(C2346=BG2824,BH2824,IF(C2346=BG2825,BH2825,IF(C2346=BG2826,BH2826,IF(C2346=BG2827,BH2827,IF(C2346=BG2828,BH2828,IF(C2346=BG2829,BH2829,IF(C2346=BG2830,BH2830,IF(C2346=BG2831,BH2831,IF(C2346=BG2832,BH2832,IF(C2346=BG2833,BH2833,IF(C2346=BG2834,BH2834,IF(C2346=BG2835,BH2835,IF(C2346=BG2836,BH2836,IF(C2346=BG2837,BH2837,IF(C2346=BG2838,BH2838,IF(C2346=BG2839,BH2839,IF(C2346=BG2840,BH2840,IF(C2346=BG2841,BH2841,IF(C2346=BG2842,BH2842,IF(C2346=BG2843,BH2843,IF(C2346=BG2844,BH2844,IF(C2346=BG2845,BH2845,IF(C2346=BG2846,BH2846,IF(C2346=BG2847,BH2847,IF(C2346=BG2848,BH2848,IF(C2346=BG2849,BH2849,IF(C2346=BG2850,BH2850,IF(C2346=BG2851,BH2851,IF(C2346=BG2852,BH2852,IF(C2346=BG2853,BH2853,IF(C2346=BG2854,BH2854,IF(C2346=BG2855,BH2855,IF(C2346=BG2856,BH2856,IF(C2346=BG2857,BH2857,IF(C2346=BG2858,BH2858,IF(C2346=BG2859,BH2859,IF(C2346=BG2860,BH2860,IF(C2346=BG2861,BH2861,IF(C2346=BG2862,BH2862,IF(C2346=BG2863,BH2863,IF(C2346=BG2864,BH2864,BH2812)))))))))))))))))))))))))))))))))))))))))))))))))))</f>
        <v>is when a power relation legally coerces the powerless side to involuntarily transfer something of value to the powerful side, without accountably allowing for impacted needs to resolve, whether either side in a power relation is aware of this coercion or not.</v>
      </c>
      <c r="BM2813" s="692" t="str">
        <f>IF(B2351=BL2814,BM2814,IF(B2351=BL2815,BM2815,IF(B2351=BL2816,BM2816,IF(B2351=BL2817,BM2817,IF(B2351=BL2818,BM2818,IF(B2351=BL2819,BM2819,IF(B2351=BL2820,BM2820,IF(B2351=BL2821,BM2821,IF(B2351=BL2822,BM2822,IF(B2351=BL2823,BM2823,IF(B2351=BL2824,BM2824,IF(B2351=BL2825,BM2825,IF(B2351=BL2826,BM2826,IF(B2351=BL2827,BM2827,IF(B2351=BL2828,BM2828,IF(B2351=BL2829,BM2829,IF(B2351=BL2830,BM2830,IF(B2351=BL2831,BM2831,IF(B2351=BL2832,BM2832,IF(B2351=BL2833,BM2833,IF(B2351=BL2834,BM2834,IF(B2351=BL2835,BM2835,IF(B2351=BL2836,BM2836,IF(B2351=BL2837,BM2837,IF(B2351=BL2838,BM2838,IF(B2351=BL2839,BM2839,IF(B2351=BL2840,BM2840,IF(B2351=BL2841,BM2841,IF(B2351=BL2842,BM2842,IF(B2351=BL2843,BM2843,IF(B2351=BL2844,BM2844,IF(B2351=BL2845,BM2845,IF(B2351=BL2846,BM2846,IF(B2351=BL2847,BM2847,IF(B2351=BL2848,BM2848,IF(B2351=BL2849,BM2849,IF(B2351=BL2850,BM2850,IF(B2351=BL2851,BM2851,IF(B2351=BL2852,BM2852,IF(B2351=BL2853,BM2853,IF(B2351=BL2854,BM2854,IF(B2351=BL2855,BM2855,IF(B2351=BL2856,BM2856,IF(B2351=BL2857,BM2857,IF(B2351=BL2858,BM2858,IF(B2351=BL2859,BM2859,IF(B2351=BL2860,BM2860,IF(B2351=BL2861,BM2861,IF(B2351=BL2862,BM2862,IF(B2351=BL2863,BM2863,"REFUNCTION"))))))))))))))))))))))))))))))))))))))))))))))))))</f>
        <v>REFUNCTION</v>
      </c>
      <c r="BN2813" s="692" t="str">
        <f>IF(C2351=BM2814,BN2814,IF(C2351=BM2815,BN2815,IF(C2351=BM2816,BN2816,IF(C2351=BM2817,BN2817,IF(C2351=BM2818,BN2818,IF(C2351=BM2819,BN2819,IF(C2351=BM2820,BN2820,IF(C2351=BM2821,BN2821,IF(C2351=BM2822,BN2822,IF(C2351=BM2823,BN2823,IF(C2351=BM2824,BN2824,IF(C2351=BM2825,BN2825,IF(C2351=BM2826,BN2826,IF(C2351=BM2827,BN2827,IF(C2351=BM2828,BN2828,IF(C2351=BM2829,BN2829,IF(C2351=BM2830,BN2830,IF(C2351=BM2831,BN2831,IF(C2351=BM2832,BN2832,IF(C2351=BM2833,BN2833,IF(C2351=BM2834,BN2834,IF(C2351=BM2835,BN2835,IF(C2351=BM2836,BN2836,IF(C2351=BM2837,BN2837,IF(C2351=BM2838,BN2838,IF(C2351=BM2839,BN2839,IF(C2351=BM2840,BN2840,IF(C2351=BM2841,BN2841,IF(C2351=BM2842,BN2842,IF(C2351=BM2843,BN2843,IF(C2351=BM2844,BN2844,IF(C2351=BM2845,BN2845,IF(C2351=BM2846,BN2846,IF(C2351=BM2847,BN2847,IF(C2351=BM2848,BN2848,IF(C2351=BM2849,BN2849,IF(C2351=BM2850,BN2850,IF(C2351=BM2851,BN2851,IF(C2351=BM2852,BN2852,IF(C2351=BM2853,BN2853,IF(C2351=BM2854,BN2854,IF(C2351=BM2855,BN2855,IF(C2351=BM2856,BN2856,IF(C2351=BM2857,BN2857,IF(C2351=BM2858,BN2858,IF(C2351=BM2859,BN2859,IF(C2351=BM2860,BN2860,IF(C2351=BM2861,BN2861,IF(C2351=BM2862,BN2862,IF(C2351=BM2863,BN2863,BN2812))))))))))))))))))))))))))))))))))))))))))))))))))</f>
        <v>links the right of institutions to impact you or even interact with you on the basis of how well they help or allow you to resolve needs. It holds all leaders and their institutions up to a 'peakfunctional' standard.</v>
      </c>
    </row>
    <row r="2814" spans="1:70" hidden="1" x14ac:dyDescent="0.3">
      <c r="A2814" s="48">
        <v>1</v>
      </c>
      <c r="BF2814" s="48">
        <f>A2814</f>
        <v>1</v>
      </c>
      <c r="BG2814" s="687" t="s">
        <v>4590</v>
      </c>
      <c r="BH2814" s="690" t="s">
        <v>4669</v>
      </c>
      <c r="BK2814" s="245" t="s">
        <v>885</v>
      </c>
      <c r="BL2814" s="48">
        <f>BF2814</f>
        <v>1</v>
      </c>
      <c r="BM2814" s="687" t="s">
        <v>4459</v>
      </c>
      <c r="BN2814" s="690" t="s">
        <v>4591</v>
      </c>
      <c r="BR2814" s="245" t="s">
        <v>885</v>
      </c>
    </row>
    <row r="2815" spans="1:70" hidden="1" x14ac:dyDescent="0.3">
      <c r="A2815" s="48">
        <f>A2814+1</f>
        <v>2</v>
      </c>
      <c r="BF2815" s="48">
        <f t="shared" ref="BF2815:BF2863" si="119">A2815</f>
        <v>2</v>
      </c>
      <c r="BG2815" s="687" t="s">
        <v>4592</v>
      </c>
      <c r="BH2815" s="690" t="s">
        <v>4670</v>
      </c>
      <c r="BK2815" s="245" t="s">
        <v>885</v>
      </c>
      <c r="BL2815" s="48">
        <f t="shared" ref="BL2815:BL2863" si="120">BF2815</f>
        <v>2</v>
      </c>
      <c r="BM2815" s="687" t="s">
        <v>4693</v>
      </c>
      <c r="BN2815" s="690" t="s">
        <v>4741</v>
      </c>
      <c r="BR2815" s="245" t="s">
        <v>885</v>
      </c>
    </row>
    <row r="2816" spans="1:70" hidden="1" x14ac:dyDescent="0.3">
      <c r="A2816" s="48">
        <f t="shared" ref="A2816:A2874" si="121">A2815+1</f>
        <v>3</v>
      </c>
      <c r="BF2816" s="48">
        <f t="shared" si="119"/>
        <v>3</v>
      </c>
      <c r="BG2816" s="687" t="s">
        <v>4593</v>
      </c>
      <c r="BH2816" s="690" t="s">
        <v>4594</v>
      </c>
      <c r="BK2816" s="245" t="s">
        <v>885</v>
      </c>
      <c r="BL2816" s="48">
        <f t="shared" si="120"/>
        <v>3</v>
      </c>
      <c r="BM2816" s="687" t="s">
        <v>4694</v>
      </c>
      <c r="BN2816" s="690" t="s">
        <v>4742</v>
      </c>
      <c r="BR2816" s="245" t="s">
        <v>885</v>
      </c>
    </row>
    <row r="2817" spans="1:70" hidden="1" x14ac:dyDescent="0.3">
      <c r="A2817" s="48">
        <f t="shared" si="121"/>
        <v>4</v>
      </c>
      <c r="BF2817" s="48">
        <f t="shared" si="119"/>
        <v>4</v>
      </c>
      <c r="BG2817" s="687" t="s">
        <v>4595</v>
      </c>
      <c r="BH2817" s="690" t="s">
        <v>4671</v>
      </c>
      <c r="BK2817" s="245" t="s">
        <v>885</v>
      </c>
      <c r="BL2817" s="48">
        <f t="shared" si="120"/>
        <v>4</v>
      </c>
      <c r="BM2817" s="687" t="s">
        <v>4695</v>
      </c>
      <c r="BN2817" s="690" t="s">
        <v>4743</v>
      </c>
      <c r="BR2817" s="245" t="s">
        <v>885</v>
      </c>
    </row>
    <row r="2818" spans="1:70" hidden="1" x14ac:dyDescent="0.3">
      <c r="A2818" s="48">
        <f t="shared" si="121"/>
        <v>5</v>
      </c>
      <c r="BF2818" s="48">
        <f t="shared" si="119"/>
        <v>5</v>
      </c>
      <c r="BG2818" s="688" t="s">
        <v>4691</v>
      </c>
      <c r="BH2818" s="690" t="s">
        <v>4692</v>
      </c>
      <c r="BK2818" s="245" t="s">
        <v>885</v>
      </c>
      <c r="BL2818" s="48">
        <f t="shared" si="120"/>
        <v>5</v>
      </c>
      <c r="BM2818" s="687" t="s">
        <v>4696</v>
      </c>
      <c r="BN2818" s="690" t="s">
        <v>4744</v>
      </c>
      <c r="BR2818" s="245" t="s">
        <v>885</v>
      </c>
    </row>
    <row r="2819" spans="1:70" hidden="1" x14ac:dyDescent="0.3">
      <c r="A2819" s="48">
        <f t="shared" si="121"/>
        <v>6</v>
      </c>
      <c r="BF2819" s="48">
        <f t="shared" si="119"/>
        <v>6</v>
      </c>
      <c r="BG2819" s="687" t="s">
        <v>4596</v>
      </c>
      <c r="BH2819" s="690" t="s">
        <v>4597</v>
      </c>
      <c r="BK2819" s="245" t="s">
        <v>885</v>
      </c>
      <c r="BL2819" s="48">
        <f t="shared" si="120"/>
        <v>6</v>
      </c>
      <c r="BM2819" s="687" t="s">
        <v>4697</v>
      </c>
      <c r="BN2819" s="690" t="s">
        <v>4745</v>
      </c>
      <c r="BR2819" s="245" t="s">
        <v>885</v>
      </c>
    </row>
    <row r="2820" spans="1:70" hidden="1" x14ac:dyDescent="0.3">
      <c r="A2820" s="48">
        <f t="shared" si="121"/>
        <v>7</v>
      </c>
      <c r="BF2820" s="48">
        <f t="shared" si="119"/>
        <v>7</v>
      </c>
      <c r="BG2820" s="687" t="s">
        <v>4598</v>
      </c>
      <c r="BH2820" s="690" t="s">
        <v>4599</v>
      </c>
      <c r="BK2820" s="245" t="s">
        <v>885</v>
      </c>
      <c r="BL2820" s="48">
        <f t="shared" si="120"/>
        <v>7</v>
      </c>
      <c r="BM2820" s="687" t="s">
        <v>4698</v>
      </c>
      <c r="BN2820" s="690" t="s">
        <v>4746</v>
      </c>
      <c r="BR2820" s="245" t="s">
        <v>885</v>
      </c>
    </row>
    <row r="2821" spans="1:70" hidden="1" x14ac:dyDescent="0.3">
      <c r="A2821" s="48">
        <f t="shared" si="121"/>
        <v>8</v>
      </c>
      <c r="BF2821" s="48">
        <f t="shared" si="119"/>
        <v>8</v>
      </c>
      <c r="BG2821" s="687" t="s">
        <v>4600</v>
      </c>
      <c r="BH2821" s="690" t="s">
        <v>4672</v>
      </c>
      <c r="BK2821" s="245" t="s">
        <v>885</v>
      </c>
      <c r="BL2821" s="48">
        <f t="shared" si="120"/>
        <v>8</v>
      </c>
      <c r="BM2821" s="687" t="s">
        <v>4699</v>
      </c>
      <c r="BN2821" s="690" t="s">
        <v>4747</v>
      </c>
      <c r="BR2821" s="245" t="s">
        <v>885</v>
      </c>
    </row>
    <row r="2822" spans="1:70" hidden="1" x14ac:dyDescent="0.3">
      <c r="A2822" s="48">
        <f t="shared" si="121"/>
        <v>9</v>
      </c>
      <c r="BF2822" s="48">
        <f t="shared" si="119"/>
        <v>9</v>
      </c>
      <c r="BG2822" s="687" t="s">
        <v>4601</v>
      </c>
      <c r="BH2822" s="690" t="s">
        <v>4673</v>
      </c>
      <c r="BK2822" s="245" t="s">
        <v>885</v>
      </c>
      <c r="BL2822" s="48">
        <f t="shared" si="120"/>
        <v>9</v>
      </c>
      <c r="BM2822" s="687" t="s">
        <v>4700</v>
      </c>
      <c r="BN2822" s="690" t="s">
        <v>4748</v>
      </c>
      <c r="BR2822" s="245" t="s">
        <v>885</v>
      </c>
    </row>
    <row r="2823" spans="1:70" hidden="1" x14ac:dyDescent="0.3">
      <c r="A2823" s="48">
        <f t="shared" si="121"/>
        <v>10</v>
      </c>
      <c r="BF2823" s="48">
        <f t="shared" si="119"/>
        <v>10</v>
      </c>
      <c r="BG2823" s="687" t="s">
        <v>4602</v>
      </c>
      <c r="BH2823" s="690" t="s">
        <v>4674</v>
      </c>
      <c r="BK2823" s="245" t="s">
        <v>885</v>
      </c>
      <c r="BL2823" s="48">
        <f t="shared" si="120"/>
        <v>10</v>
      </c>
      <c r="BM2823" s="687" t="s">
        <v>4701</v>
      </c>
      <c r="BN2823" s="690" t="s">
        <v>4749</v>
      </c>
      <c r="BR2823" s="245" t="s">
        <v>885</v>
      </c>
    </row>
    <row r="2824" spans="1:70" hidden="1" x14ac:dyDescent="0.3">
      <c r="A2824" s="48">
        <f t="shared" si="121"/>
        <v>11</v>
      </c>
      <c r="BF2824" s="48">
        <f t="shared" si="119"/>
        <v>11</v>
      </c>
      <c r="BG2824" s="687" t="s">
        <v>4603</v>
      </c>
      <c r="BH2824" s="690" t="s">
        <v>4675</v>
      </c>
      <c r="BK2824" s="245" t="s">
        <v>885</v>
      </c>
      <c r="BL2824" s="48">
        <f t="shared" si="120"/>
        <v>11</v>
      </c>
      <c r="BM2824" s="687" t="s">
        <v>4702</v>
      </c>
      <c r="BN2824" s="690" t="s">
        <v>4750</v>
      </c>
      <c r="BR2824" s="245" t="s">
        <v>885</v>
      </c>
    </row>
    <row r="2825" spans="1:70" hidden="1" x14ac:dyDescent="0.3">
      <c r="A2825" s="48">
        <f t="shared" si="121"/>
        <v>12</v>
      </c>
      <c r="BF2825" s="48">
        <f t="shared" si="119"/>
        <v>12</v>
      </c>
      <c r="BG2825" s="687" t="s">
        <v>4604</v>
      </c>
      <c r="BH2825" s="690" t="s">
        <v>4676</v>
      </c>
      <c r="BK2825" s="245" t="s">
        <v>885</v>
      </c>
      <c r="BL2825" s="48">
        <f t="shared" si="120"/>
        <v>12</v>
      </c>
      <c r="BM2825" s="687" t="s">
        <v>4703</v>
      </c>
      <c r="BN2825" s="690" t="s">
        <v>4751</v>
      </c>
      <c r="BR2825" s="245" t="s">
        <v>885</v>
      </c>
    </row>
    <row r="2826" spans="1:70" hidden="1" x14ac:dyDescent="0.3">
      <c r="A2826" s="48">
        <f t="shared" si="121"/>
        <v>13</v>
      </c>
      <c r="BF2826" s="48">
        <f t="shared" si="119"/>
        <v>13</v>
      </c>
      <c r="BG2826" s="687" t="s">
        <v>4605</v>
      </c>
      <c r="BH2826" s="690" t="s">
        <v>4677</v>
      </c>
      <c r="BK2826" s="245" t="s">
        <v>885</v>
      </c>
      <c r="BL2826" s="48">
        <f t="shared" si="120"/>
        <v>13</v>
      </c>
      <c r="BM2826" s="687" t="s">
        <v>4704</v>
      </c>
      <c r="BN2826" s="690" t="s">
        <v>4752</v>
      </c>
      <c r="BR2826" s="245" t="s">
        <v>885</v>
      </c>
    </row>
    <row r="2827" spans="1:70" hidden="1" x14ac:dyDescent="0.3">
      <c r="A2827" s="48">
        <f t="shared" si="121"/>
        <v>14</v>
      </c>
      <c r="BF2827" s="48">
        <f t="shared" si="119"/>
        <v>14</v>
      </c>
      <c r="BG2827" s="687" t="s">
        <v>4606</v>
      </c>
      <c r="BH2827" s="690" t="s">
        <v>4607</v>
      </c>
      <c r="BK2827" s="245" t="s">
        <v>885</v>
      </c>
      <c r="BL2827" s="48">
        <f t="shared" si="120"/>
        <v>14</v>
      </c>
      <c r="BM2827" s="687" t="s">
        <v>4705</v>
      </c>
      <c r="BN2827" s="690" t="s">
        <v>4753</v>
      </c>
      <c r="BR2827" s="245" t="s">
        <v>885</v>
      </c>
    </row>
    <row r="2828" spans="1:70" hidden="1" x14ac:dyDescent="0.3">
      <c r="A2828" s="48">
        <f t="shared" si="121"/>
        <v>15</v>
      </c>
      <c r="BF2828" s="48">
        <f t="shared" si="119"/>
        <v>15</v>
      </c>
      <c r="BG2828" s="687" t="s">
        <v>4608</v>
      </c>
      <c r="BH2828" s="690" t="s">
        <v>4609</v>
      </c>
      <c r="BK2828" s="245" t="s">
        <v>885</v>
      </c>
      <c r="BL2828" s="48">
        <f t="shared" si="120"/>
        <v>15</v>
      </c>
      <c r="BM2828" s="687" t="s">
        <v>4706</v>
      </c>
      <c r="BN2828" s="690" t="s">
        <v>4754</v>
      </c>
      <c r="BR2828" s="245" t="s">
        <v>885</v>
      </c>
    </row>
    <row r="2829" spans="1:70" hidden="1" x14ac:dyDescent="0.3">
      <c r="A2829" s="48">
        <f t="shared" si="121"/>
        <v>16</v>
      </c>
      <c r="BF2829" s="48">
        <f t="shared" si="119"/>
        <v>16</v>
      </c>
      <c r="BG2829" s="687" t="s">
        <v>4610</v>
      </c>
      <c r="BH2829" s="690" t="s">
        <v>4611</v>
      </c>
      <c r="BK2829" s="245" t="s">
        <v>885</v>
      </c>
      <c r="BL2829" s="48">
        <f t="shared" si="120"/>
        <v>16</v>
      </c>
      <c r="BM2829" s="687" t="s">
        <v>4707</v>
      </c>
      <c r="BN2829" s="690" t="s">
        <v>4755</v>
      </c>
      <c r="BR2829" s="245" t="s">
        <v>885</v>
      </c>
    </row>
    <row r="2830" spans="1:70" hidden="1" x14ac:dyDescent="0.3">
      <c r="A2830" s="48">
        <f t="shared" si="121"/>
        <v>17</v>
      </c>
      <c r="BF2830" s="48">
        <f t="shared" si="119"/>
        <v>17</v>
      </c>
      <c r="BG2830" s="687" t="s">
        <v>4612</v>
      </c>
      <c r="BH2830" s="690" t="s">
        <v>4613</v>
      </c>
      <c r="BK2830" s="245" t="s">
        <v>885</v>
      </c>
      <c r="BL2830" s="48">
        <f t="shared" si="120"/>
        <v>17</v>
      </c>
      <c r="BM2830" s="687" t="s">
        <v>4708</v>
      </c>
      <c r="BN2830" s="690" t="s">
        <v>4756</v>
      </c>
      <c r="BR2830" s="245" t="s">
        <v>885</v>
      </c>
    </row>
    <row r="2831" spans="1:70" hidden="1" x14ac:dyDescent="0.3">
      <c r="A2831" s="48">
        <f t="shared" si="121"/>
        <v>18</v>
      </c>
      <c r="BF2831" s="48">
        <f t="shared" si="119"/>
        <v>18</v>
      </c>
      <c r="BG2831" s="687" t="s">
        <v>4614</v>
      </c>
      <c r="BH2831" s="690" t="s">
        <v>4678</v>
      </c>
      <c r="BK2831" s="245" t="s">
        <v>885</v>
      </c>
      <c r="BL2831" s="48">
        <f t="shared" si="120"/>
        <v>18</v>
      </c>
      <c r="BM2831" s="687" t="s">
        <v>4709</v>
      </c>
      <c r="BN2831" s="690" t="s">
        <v>4757</v>
      </c>
      <c r="BR2831" s="245" t="s">
        <v>885</v>
      </c>
    </row>
    <row r="2832" spans="1:70" hidden="1" x14ac:dyDescent="0.3">
      <c r="A2832" s="48">
        <f t="shared" si="121"/>
        <v>19</v>
      </c>
      <c r="BF2832" s="48">
        <f t="shared" si="119"/>
        <v>19</v>
      </c>
      <c r="BG2832" s="688" t="s">
        <v>4615</v>
      </c>
      <c r="BH2832" s="691" t="s">
        <v>4616</v>
      </c>
      <c r="BK2832" s="245" t="s">
        <v>885</v>
      </c>
      <c r="BL2832" s="48">
        <f t="shared" si="120"/>
        <v>19</v>
      </c>
      <c r="BM2832" s="687" t="s">
        <v>4710</v>
      </c>
      <c r="BN2832" s="690" t="s">
        <v>4758</v>
      </c>
      <c r="BR2832" s="245" t="s">
        <v>885</v>
      </c>
    </row>
    <row r="2833" spans="1:70" hidden="1" x14ac:dyDescent="0.3">
      <c r="A2833" s="48">
        <f t="shared" si="121"/>
        <v>20</v>
      </c>
      <c r="BF2833" s="48">
        <f t="shared" si="119"/>
        <v>20</v>
      </c>
      <c r="BG2833" s="688" t="s">
        <v>4617</v>
      </c>
      <c r="BH2833" s="691" t="s">
        <v>4618</v>
      </c>
      <c r="BK2833" s="245" t="s">
        <v>885</v>
      </c>
      <c r="BL2833" s="48">
        <f t="shared" si="120"/>
        <v>20</v>
      </c>
      <c r="BM2833" s="687" t="s">
        <v>4711</v>
      </c>
      <c r="BN2833" s="690" t="s">
        <v>4759</v>
      </c>
      <c r="BR2833" s="245" t="s">
        <v>885</v>
      </c>
    </row>
    <row r="2834" spans="1:70" hidden="1" x14ac:dyDescent="0.3">
      <c r="A2834" s="48">
        <f t="shared" si="121"/>
        <v>21</v>
      </c>
      <c r="BF2834" s="48">
        <f t="shared" si="119"/>
        <v>21</v>
      </c>
      <c r="BG2834" s="688" t="s">
        <v>4619</v>
      </c>
      <c r="BH2834" s="691" t="s">
        <v>4620</v>
      </c>
      <c r="BK2834" s="245" t="s">
        <v>885</v>
      </c>
      <c r="BL2834" s="48">
        <f t="shared" si="120"/>
        <v>21</v>
      </c>
      <c r="BM2834" s="687" t="s">
        <v>552</v>
      </c>
      <c r="BN2834" s="690" t="s">
        <v>4760</v>
      </c>
      <c r="BR2834" s="245" t="s">
        <v>885</v>
      </c>
    </row>
    <row r="2835" spans="1:70" hidden="1" x14ac:dyDescent="0.3">
      <c r="A2835" s="48">
        <f t="shared" si="121"/>
        <v>22</v>
      </c>
      <c r="BF2835" s="48">
        <f t="shared" si="119"/>
        <v>22</v>
      </c>
      <c r="BG2835" s="688" t="s">
        <v>4621</v>
      </c>
      <c r="BH2835" s="691" t="s">
        <v>4622</v>
      </c>
      <c r="BK2835" s="245" t="s">
        <v>885</v>
      </c>
      <c r="BL2835" s="48">
        <f t="shared" si="120"/>
        <v>22</v>
      </c>
      <c r="BM2835" s="687" t="s">
        <v>4712</v>
      </c>
      <c r="BN2835" s="690" t="s">
        <v>4761</v>
      </c>
      <c r="BR2835" s="245" t="s">
        <v>885</v>
      </c>
    </row>
    <row r="2836" spans="1:70" hidden="1" x14ac:dyDescent="0.3">
      <c r="A2836" s="48">
        <f t="shared" si="121"/>
        <v>23</v>
      </c>
      <c r="BF2836" s="48">
        <f t="shared" si="119"/>
        <v>23</v>
      </c>
      <c r="BG2836" s="688" t="s">
        <v>4623</v>
      </c>
      <c r="BH2836" s="691" t="s">
        <v>4624</v>
      </c>
      <c r="BK2836" s="245" t="s">
        <v>885</v>
      </c>
      <c r="BL2836" s="48">
        <f t="shared" si="120"/>
        <v>23</v>
      </c>
      <c r="BM2836" s="687" t="s">
        <v>4713</v>
      </c>
      <c r="BN2836" s="690" t="s">
        <v>4762</v>
      </c>
      <c r="BR2836" s="245" t="s">
        <v>885</v>
      </c>
    </row>
    <row r="2837" spans="1:70" hidden="1" x14ac:dyDescent="0.3">
      <c r="A2837" s="48">
        <f t="shared" si="121"/>
        <v>24</v>
      </c>
      <c r="BF2837" s="48">
        <f t="shared" si="119"/>
        <v>24</v>
      </c>
      <c r="BG2837" s="687" t="s">
        <v>4625</v>
      </c>
      <c r="BH2837" s="690" t="s">
        <v>4626</v>
      </c>
      <c r="BK2837" s="245" t="s">
        <v>885</v>
      </c>
      <c r="BL2837" s="48">
        <f t="shared" si="120"/>
        <v>24</v>
      </c>
      <c r="BM2837" s="687" t="s">
        <v>4714</v>
      </c>
      <c r="BN2837" s="690" t="s">
        <v>4763</v>
      </c>
      <c r="BR2837" s="245" t="s">
        <v>885</v>
      </c>
    </row>
    <row r="2838" spans="1:70" hidden="1" x14ac:dyDescent="0.3">
      <c r="A2838" s="48">
        <f t="shared" si="121"/>
        <v>25</v>
      </c>
      <c r="BF2838" s="48">
        <f t="shared" si="119"/>
        <v>25</v>
      </c>
      <c r="BG2838" s="687" t="s">
        <v>4627</v>
      </c>
      <c r="BH2838" s="690" t="s">
        <v>4679</v>
      </c>
      <c r="BK2838" s="245" t="s">
        <v>885</v>
      </c>
      <c r="BL2838" s="48">
        <f t="shared" si="120"/>
        <v>25</v>
      </c>
      <c r="BM2838" s="687" t="s">
        <v>4715</v>
      </c>
      <c r="BN2838" s="690" t="s">
        <v>4764</v>
      </c>
      <c r="BR2838" s="245" t="s">
        <v>885</v>
      </c>
    </row>
    <row r="2839" spans="1:70" hidden="1" x14ac:dyDescent="0.3">
      <c r="A2839" s="48">
        <f t="shared" si="121"/>
        <v>26</v>
      </c>
      <c r="BF2839" s="48">
        <f t="shared" si="119"/>
        <v>26</v>
      </c>
      <c r="BG2839" s="687" t="s">
        <v>4628</v>
      </c>
      <c r="BH2839" s="690" t="s">
        <v>4629</v>
      </c>
      <c r="BK2839" s="245" t="s">
        <v>885</v>
      </c>
      <c r="BL2839" s="48">
        <f t="shared" si="120"/>
        <v>26</v>
      </c>
      <c r="BM2839" s="687" t="s">
        <v>4716</v>
      </c>
      <c r="BN2839" s="690" t="s">
        <v>4765</v>
      </c>
      <c r="BR2839" s="245" t="s">
        <v>885</v>
      </c>
    </row>
    <row r="2840" spans="1:70" hidden="1" x14ac:dyDescent="0.3">
      <c r="A2840" s="48">
        <f t="shared" si="121"/>
        <v>27</v>
      </c>
      <c r="BF2840" s="48">
        <f t="shared" si="119"/>
        <v>27</v>
      </c>
      <c r="BG2840" s="687" t="s">
        <v>4630</v>
      </c>
      <c r="BH2840" s="690" t="s">
        <v>4680</v>
      </c>
      <c r="BK2840" s="245" t="s">
        <v>885</v>
      </c>
      <c r="BL2840" s="48">
        <f t="shared" si="120"/>
        <v>27</v>
      </c>
      <c r="BM2840" s="687" t="s">
        <v>4717</v>
      </c>
      <c r="BN2840" s="690" t="s">
        <v>4766</v>
      </c>
      <c r="BR2840" s="245" t="s">
        <v>885</v>
      </c>
    </row>
    <row r="2841" spans="1:70" hidden="1" x14ac:dyDescent="0.3">
      <c r="A2841" s="48">
        <f t="shared" si="121"/>
        <v>28</v>
      </c>
      <c r="BF2841" s="48">
        <f t="shared" si="119"/>
        <v>28</v>
      </c>
      <c r="BG2841" s="687" t="s">
        <v>4632</v>
      </c>
      <c r="BH2841" s="690" t="s">
        <v>4681</v>
      </c>
      <c r="BK2841" s="245" t="s">
        <v>885</v>
      </c>
      <c r="BL2841" s="48">
        <f t="shared" si="120"/>
        <v>28</v>
      </c>
      <c r="BM2841" s="687" t="s">
        <v>4718</v>
      </c>
      <c r="BN2841" s="690" t="s">
        <v>4767</v>
      </c>
      <c r="BR2841" s="245" t="s">
        <v>885</v>
      </c>
    </row>
    <row r="2842" spans="1:70" hidden="1" x14ac:dyDescent="0.3">
      <c r="A2842" s="48">
        <f t="shared" si="121"/>
        <v>29</v>
      </c>
      <c r="BF2842" s="48">
        <f t="shared" si="119"/>
        <v>29</v>
      </c>
      <c r="BG2842" s="687" t="s">
        <v>4631</v>
      </c>
      <c r="BH2842" s="690" t="s">
        <v>4682</v>
      </c>
      <c r="BK2842" s="245" t="s">
        <v>885</v>
      </c>
      <c r="BL2842" s="48">
        <f t="shared" si="120"/>
        <v>29</v>
      </c>
      <c r="BM2842" s="687" t="s">
        <v>4719</v>
      </c>
      <c r="BN2842" s="690" t="s">
        <v>4768</v>
      </c>
      <c r="BR2842" s="245" t="s">
        <v>885</v>
      </c>
    </row>
    <row r="2843" spans="1:70" hidden="1" x14ac:dyDescent="0.3">
      <c r="A2843" s="48">
        <f t="shared" si="121"/>
        <v>30</v>
      </c>
      <c r="BF2843" s="48">
        <f t="shared" si="119"/>
        <v>30</v>
      </c>
      <c r="BG2843" s="687" t="s">
        <v>4633</v>
      </c>
      <c r="BH2843" s="690" t="s">
        <v>4634</v>
      </c>
      <c r="BK2843" s="245" t="s">
        <v>885</v>
      </c>
      <c r="BL2843" s="48">
        <f t="shared" si="120"/>
        <v>30</v>
      </c>
      <c r="BM2843" s="687" t="s">
        <v>4720</v>
      </c>
      <c r="BN2843" s="690" t="s">
        <v>4769</v>
      </c>
      <c r="BR2843" s="245" t="s">
        <v>885</v>
      </c>
    </row>
    <row r="2844" spans="1:70" hidden="1" x14ac:dyDescent="0.3">
      <c r="A2844" s="48">
        <f t="shared" si="121"/>
        <v>31</v>
      </c>
      <c r="BF2844" s="48">
        <f t="shared" si="119"/>
        <v>31</v>
      </c>
      <c r="BG2844" s="688" t="s">
        <v>4666</v>
      </c>
      <c r="BH2844" s="690" t="s">
        <v>4683</v>
      </c>
      <c r="BK2844" s="245" t="s">
        <v>885</v>
      </c>
      <c r="BL2844" s="48">
        <f t="shared" si="120"/>
        <v>31</v>
      </c>
      <c r="BM2844" s="687" t="s">
        <v>4721</v>
      </c>
      <c r="BN2844" s="690" t="s">
        <v>4770</v>
      </c>
      <c r="BR2844" s="245" t="s">
        <v>885</v>
      </c>
    </row>
    <row r="2845" spans="1:70" hidden="1" x14ac:dyDescent="0.3">
      <c r="A2845" s="48">
        <f t="shared" si="121"/>
        <v>32</v>
      </c>
      <c r="BF2845" s="48">
        <f t="shared" si="119"/>
        <v>32</v>
      </c>
      <c r="BG2845" s="687" t="s">
        <v>4667</v>
      </c>
      <c r="BH2845" s="690" t="s">
        <v>4684</v>
      </c>
      <c r="BK2845" s="245" t="s">
        <v>885</v>
      </c>
      <c r="BL2845" s="48">
        <f t="shared" si="120"/>
        <v>32</v>
      </c>
      <c r="BM2845" s="687" t="s">
        <v>4722</v>
      </c>
      <c r="BN2845" s="690" t="s">
        <v>4771</v>
      </c>
      <c r="BR2845" s="245" t="s">
        <v>885</v>
      </c>
    </row>
    <row r="2846" spans="1:70" hidden="1" x14ac:dyDescent="0.3">
      <c r="A2846" s="48">
        <f t="shared" si="121"/>
        <v>33</v>
      </c>
      <c r="BF2846" s="48">
        <f t="shared" si="119"/>
        <v>33</v>
      </c>
      <c r="BG2846" s="687" t="s">
        <v>4635</v>
      </c>
      <c r="BH2846" s="690" t="s">
        <v>4636</v>
      </c>
      <c r="BK2846" s="245" t="s">
        <v>885</v>
      </c>
      <c r="BL2846" s="48">
        <f t="shared" si="120"/>
        <v>33</v>
      </c>
      <c r="BM2846" s="687" t="s">
        <v>4723</v>
      </c>
      <c r="BN2846" s="690" t="s">
        <v>4772</v>
      </c>
      <c r="BR2846" s="245" t="s">
        <v>885</v>
      </c>
    </row>
    <row r="2847" spans="1:70" hidden="1" x14ac:dyDescent="0.3">
      <c r="A2847" s="48">
        <f t="shared" si="121"/>
        <v>34</v>
      </c>
      <c r="BF2847" s="48">
        <f t="shared" si="119"/>
        <v>34</v>
      </c>
      <c r="BG2847" s="687" t="s">
        <v>4637</v>
      </c>
      <c r="BH2847" s="690" t="s">
        <v>4638</v>
      </c>
      <c r="BK2847" s="245" t="s">
        <v>885</v>
      </c>
      <c r="BL2847" s="48">
        <f t="shared" si="120"/>
        <v>34</v>
      </c>
      <c r="BM2847" s="687" t="s">
        <v>4724</v>
      </c>
      <c r="BN2847" s="690" t="s">
        <v>4773</v>
      </c>
      <c r="BR2847" s="245" t="s">
        <v>885</v>
      </c>
    </row>
    <row r="2848" spans="1:70" hidden="1" x14ac:dyDescent="0.3">
      <c r="A2848" s="48">
        <f t="shared" si="121"/>
        <v>35</v>
      </c>
      <c r="BF2848" s="48">
        <f t="shared" si="119"/>
        <v>35</v>
      </c>
      <c r="BG2848" s="687" t="s">
        <v>4639</v>
      </c>
      <c r="BH2848" s="690" t="s">
        <v>4685</v>
      </c>
      <c r="BK2848" s="245" t="s">
        <v>885</v>
      </c>
      <c r="BL2848" s="48">
        <f t="shared" si="120"/>
        <v>35</v>
      </c>
      <c r="BM2848" s="687" t="s">
        <v>4725</v>
      </c>
      <c r="BN2848" s="690" t="s">
        <v>4774</v>
      </c>
      <c r="BR2848" s="245" t="s">
        <v>885</v>
      </c>
    </row>
    <row r="2849" spans="1:70" hidden="1" x14ac:dyDescent="0.3">
      <c r="A2849" s="48">
        <f t="shared" si="121"/>
        <v>36</v>
      </c>
      <c r="BF2849" s="48">
        <f t="shared" si="119"/>
        <v>36</v>
      </c>
      <c r="BG2849" s="687" t="s">
        <v>4640</v>
      </c>
      <c r="BH2849" s="690" t="s">
        <v>4641</v>
      </c>
      <c r="BK2849" s="245" t="s">
        <v>885</v>
      </c>
      <c r="BL2849" s="48">
        <f t="shared" si="120"/>
        <v>36</v>
      </c>
      <c r="BM2849" s="687" t="s">
        <v>4726</v>
      </c>
      <c r="BN2849" s="690" t="s">
        <v>4775</v>
      </c>
      <c r="BR2849" s="245" t="s">
        <v>885</v>
      </c>
    </row>
    <row r="2850" spans="1:70" hidden="1" x14ac:dyDescent="0.3">
      <c r="A2850" s="48">
        <f t="shared" si="121"/>
        <v>37</v>
      </c>
      <c r="BF2850" s="48">
        <f t="shared" si="119"/>
        <v>37</v>
      </c>
      <c r="BG2850" s="687" t="s">
        <v>4642</v>
      </c>
      <c r="BH2850" s="690" t="s">
        <v>4686</v>
      </c>
      <c r="BK2850" s="245" t="s">
        <v>885</v>
      </c>
      <c r="BL2850" s="48">
        <f t="shared" si="120"/>
        <v>37</v>
      </c>
      <c r="BM2850" s="687" t="s">
        <v>4727</v>
      </c>
      <c r="BN2850" s="690" t="s">
        <v>4776</v>
      </c>
      <c r="BR2850" s="245" t="s">
        <v>885</v>
      </c>
    </row>
    <row r="2851" spans="1:70" hidden="1" x14ac:dyDescent="0.3">
      <c r="A2851" s="48">
        <f t="shared" si="121"/>
        <v>38</v>
      </c>
      <c r="BF2851" s="48">
        <f t="shared" si="119"/>
        <v>38</v>
      </c>
      <c r="BG2851" s="687" t="s">
        <v>4643</v>
      </c>
      <c r="BH2851" s="690" t="s">
        <v>4687</v>
      </c>
      <c r="BK2851" s="245" t="s">
        <v>885</v>
      </c>
      <c r="BL2851" s="48">
        <f t="shared" si="120"/>
        <v>38</v>
      </c>
      <c r="BM2851" s="687" t="s">
        <v>4728</v>
      </c>
      <c r="BN2851" s="690" t="s">
        <v>4777</v>
      </c>
      <c r="BR2851" s="245" t="s">
        <v>885</v>
      </c>
    </row>
    <row r="2852" spans="1:70" hidden="1" x14ac:dyDescent="0.3">
      <c r="A2852" s="48">
        <f t="shared" si="121"/>
        <v>39</v>
      </c>
      <c r="BF2852" s="48">
        <f t="shared" si="119"/>
        <v>39</v>
      </c>
      <c r="BG2852" s="687" t="s">
        <v>4644</v>
      </c>
      <c r="BH2852" s="690" t="s">
        <v>4645</v>
      </c>
      <c r="BK2852" s="245" t="s">
        <v>885</v>
      </c>
      <c r="BL2852" s="48">
        <f t="shared" si="120"/>
        <v>39</v>
      </c>
      <c r="BM2852" s="687" t="s">
        <v>4729</v>
      </c>
      <c r="BN2852" s="690" t="s">
        <v>4778</v>
      </c>
      <c r="BR2852" s="245" t="s">
        <v>885</v>
      </c>
    </row>
    <row r="2853" spans="1:70" hidden="1" x14ac:dyDescent="0.3">
      <c r="A2853" s="48">
        <f t="shared" si="121"/>
        <v>40</v>
      </c>
      <c r="BF2853" s="48">
        <f t="shared" si="119"/>
        <v>40</v>
      </c>
      <c r="BG2853" s="687" t="s">
        <v>4646</v>
      </c>
      <c r="BH2853" s="690" t="s">
        <v>4647</v>
      </c>
      <c r="BK2853" s="245" t="s">
        <v>885</v>
      </c>
      <c r="BL2853" s="48">
        <f t="shared" si="120"/>
        <v>40</v>
      </c>
      <c r="BM2853" s="687" t="s">
        <v>4730</v>
      </c>
      <c r="BN2853" s="690" t="s">
        <v>4779</v>
      </c>
      <c r="BR2853" s="245" t="s">
        <v>885</v>
      </c>
    </row>
    <row r="2854" spans="1:70" hidden="1" x14ac:dyDescent="0.3">
      <c r="A2854" s="48">
        <f t="shared" si="121"/>
        <v>41</v>
      </c>
      <c r="BF2854" s="48">
        <f t="shared" si="119"/>
        <v>41</v>
      </c>
      <c r="BG2854" s="687" t="s">
        <v>4648</v>
      </c>
      <c r="BH2854" s="690" t="s">
        <v>4688</v>
      </c>
      <c r="BK2854" s="245" t="s">
        <v>885</v>
      </c>
      <c r="BL2854" s="48">
        <f t="shared" si="120"/>
        <v>41</v>
      </c>
      <c r="BM2854" s="687" t="s">
        <v>4731</v>
      </c>
      <c r="BN2854" s="690" t="s">
        <v>4780</v>
      </c>
      <c r="BR2854" s="245" t="s">
        <v>885</v>
      </c>
    </row>
    <row r="2855" spans="1:70" hidden="1" x14ac:dyDescent="0.3">
      <c r="A2855" s="48">
        <f t="shared" si="121"/>
        <v>42</v>
      </c>
      <c r="BF2855" s="48">
        <f t="shared" si="119"/>
        <v>42</v>
      </c>
      <c r="BG2855" s="687" t="s">
        <v>4649</v>
      </c>
      <c r="BH2855" s="690" t="s">
        <v>4650</v>
      </c>
      <c r="BK2855" s="245" t="s">
        <v>885</v>
      </c>
      <c r="BL2855" s="48">
        <f t="shared" si="120"/>
        <v>42</v>
      </c>
      <c r="BM2855" s="687" t="s">
        <v>4732</v>
      </c>
      <c r="BN2855" s="690" t="s">
        <v>4781</v>
      </c>
      <c r="BR2855" s="245" t="s">
        <v>885</v>
      </c>
    </row>
    <row r="2856" spans="1:70" hidden="1" x14ac:dyDescent="0.3">
      <c r="A2856" s="48">
        <f t="shared" si="121"/>
        <v>43</v>
      </c>
      <c r="BF2856" s="48">
        <f t="shared" si="119"/>
        <v>43</v>
      </c>
      <c r="BG2856" s="687" t="s">
        <v>4651</v>
      </c>
      <c r="BH2856" s="690" t="s">
        <v>4652</v>
      </c>
      <c r="BK2856" s="245" t="s">
        <v>885</v>
      </c>
      <c r="BL2856" s="48">
        <f t="shared" si="120"/>
        <v>43</v>
      </c>
      <c r="BM2856" s="687" t="s">
        <v>4733</v>
      </c>
      <c r="BN2856" s="690" t="s">
        <v>4782</v>
      </c>
      <c r="BR2856" s="245" t="s">
        <v>885</v>
      </c>
    </row>
    <row r="2857" spans="1:70" hidden="1" x14ac:dyDescent="0.3">
      <c r="A2857" s="48">
        <f t="shared" si="121"/>
        <v>44</v>
      </c>
      <c r="BF2857" s="48">
        <f t="shared" si="119"/>
        <v>44</v>
      </c>
      <c r="BG2857" s="687" t="s">
        <v>4653</v>
      </c>
      <c r="BH2857" s="690" t="s">
        <v>4654</v>
      </c>
      <c r="BK2857" s="245" t="s">
        <v>885</v>
      </c>
      <c r="BL2857" s="48">
        <f t="shared" si="120"/>
        <v>44</v>
      </c>
      <c r="BM2857" s="687" t="s">
        <v>4734</v>
      </c>
      <c r="BN2857" s="690" t="s">
        <v>4783</v>
      </c>
      <c r="BR2857" s="245" t="s">
        <v>885</v>
      </c>
    </row>
    <row r="2858" spans="1:70" hidden="1" x14ac:dyDescent="0.3">
      <c r="A2858" s="48">
        <f t="shared" si="121"/>
        <v>45</v>
      </c>
      <c r="BF2858" s="48">
        <f t="shared" si="119"/>
        <v>45</v>
      </c>
      <c r="BG2858" s="687" t="s">
        <v>4655</v>
      </c>
      <c r="BH2858" s="690" t="s">
        <v>4656</v>
      </c>
      <c r="BK2858" s="245" t="s">
        <v>885</v>
      </c>
      <c r="BL2858" s="48">
        <f t="shared" si="120"/>
        <v>45</v>
      </c>
      <c r="BM2858" s="687" t="s">
        <v>4735</v>
      </c>
      <c r="BN2858" s="690" t="s">
        <v>4784</v>
      </c>
      <c r="BR2858" s="245" t="s">
        <v>885</v>
      </c>
    </row>
    <row r="2859" spans="1:70" hidden="1" x14ac:dyDescent="0.3">
      <c r="A2859" s="48">
        <f t="shared" si="121"/>
        <v>46</v>
      </c>
      <c r="BF2859" s="48">
        <f t="shared" si="119"/>
        <v>46</v>
      </c>
      <c r="BG2859" s="687" t="s">
        <v>4657</v>
      </c>
      <c r="BH2859" s="690" t="s">
        <v>4658</v>
      </c>
      <c r="BK2859" s="245" t="s">
        <v>885</v>
      </c>
      <c r="BL2859" s="48">
        <f t="shared" si="120"/>
        <v>46</v>
      </c>
      <c r="BM2859" s="687" t="s">
        <v>4736</v>
      </c>
      <c r="BN2859" s="690" t="s">
        <v>4785</v>
      </c>
      <c r="BR2859" s="245" t="s">
        <v>885</v>
      </c>
    </row>
    <row r="2860" spans="1:70" hidden="1" x14ac:dyDescent="0.3">
      <c r="A2860" s="48">
        <f t="shared" si="121"/>
        <v>47</v>
      </c>
      <c r="BF2860" s="48">
        <f t="shared" si="119"/>
        <v>47</v>
      </c>
      <c r="BG2860" s="687" t="s">
        <v>4659</v>
      </c>
      <c r="BH2860" s="690" t="s">
        <v>4660</v>
      </c>
      <c r="BK2860" s="245" t="s">
        <v>885</v>
      </c>
      <c r="BL2860" s="48">
        <f t="shared" si="120"/>
        <v>47</v>
      </c>
      <c r="BM2860" s="687" t="s">
        <v>4737</v>
      </c>
      <c r="BN2860" s="690" t="s">
        <v>4786</v>
      </c>
      <c r="BR2860" s="245" t="s">
        <v>885</v>
      </c>
    </row>
    <row r="2861" spans="1:70" hidden="1" x14ac:dyDescent="0.3">
      <c r="A2861" s="48">
        <f t="shared" si="121"/>
        <v>48</v>
      </c>
      <c r="BF2861" s="48">
        <f t="shared" si="119"/>
        <v>48</v>
      </c>
      <c r="BG2861" s="687" t="s">
        <v>4661</v>
      </c>
      <c r="BH2861" s="690" t="s">
        <v>4662</v>
      </c>
      <c r="BK2861" s="245" t="s">
        <v>885</v>
      </c>
      <c r="BL2861" s="48">
        <f t="shared" si="120"/>
        <v>48</v>
      </c>
      <c r="BM2861" s="687" t="s">
        <v>4738</v>
      </c>
      <c r="BN2861" s="690" t="s">
        <v>4791</v>
      </c>
      <c r="BR2861" s="245" t="s">
        <v>885</v>
      </c>
    </row>
    <row r="2862" spans="1:70" hidden="1" x14ac:dyDescent="0.3">
      <c r="A2862" s="48">
        <f t="shared" si="121"/>
        <v>49</v>
      </c>
      <c r="BF2862" s="48">
        <f t="shared" si="119"/>
        <v>49</v>
      </c>
      <c r="BG2862" s="687" t="s">
        <v>4663</v>
      </c>
      <c r="BH2862" s="690" t="s">
        <v>4689</v>
      </c>
      <c r="BK2862" s="245" t="s">
        <v>885</v>
      </c>
      <c r="BL2862" s="48">
        <f t="shared" si="120"/>
        <v>49</v>
      </c>
      <c r="BM2862" s="687" t="s">
        <v>4739</v>
      </c>
      <c r="BN2862" s="690" t="s">
        <v>4787</v>
      </c>
      <c r="BR2862" s="245" t="s">
        <v>885</v>
      </c>
    </row>
    <row r="2863" spans="1:70" hidden="1" x14ac:dyDescent="0.3">
      <c r="A2863" s="48">
        <f t="shared" si="121"/>
        <v>50</v>
      </c>
      <c r="BF2863" s="48">
        <f t="shared" si="119"/>
        <v>50</v>
      </c>
      <c r="BG2863" s="687" t="s">
        <v>4664</v>
      </c>
      <c r="BH2863" s="690" t="s">
        <v>4665</v>
      </c>
      <c r="BK2863" s="245" t="s">
        <v>885</v>
      </c>
      <c r="BL2863" s="48">
        <f t="shared" si="120"/>
        <v>50</v>
      </c>
      <c r="BM2863" s="687" t="s">
        <v>4740</v>
      </c>
      <c r="BN2863" s="690" t="s">
        <v>4788</v>
      </c>
      <c r="BR2863" s="245" t="s">
        <v>885</v>
      </c>
    </row>
    <row r="2864" spans="1:70" hidden="1" x14ac:dyDescent="0.3">
      <c r="A2864" s="48">
        <f t="shared" si="121"/>
        <v>51</v>
      </c>
      <c r="BG2864" s="689" t="s">
        <v>4668</v>
      </c>
      <c r="BH2864" s="690" t="s">
        <v>4690</v>
      </c>
      <c r="BK2864" s="245" t="s">
        <v>885</v>
      </c>
    </row>
    <row r="2865" spans="1:4" hidden="1" x14ac:dyDescent="0.3">
      <c r="A2865" s="48">
        <f t="shared" si="121"/>
        <v>52</v>
      </c>
    </row>
    <row r="2866" spans="1:4" hidden="1" x14ac:dyDescent="0.3">
      <c r="A2866" s="48">
        <f t="shared" si="121"/>
        <v>53</v>
      </c>
    </row>
    <row r="2867" spans="1:4" hidden="1" x14ac:dyDescent="0.3">
      <c r="A2867" s="48">
        <f t="shared" si="121"/>
        <v>54</v>
      </c>
    </row>
    <row r="2868" spans="1:4" hidden="1" x14ac:dyDescent="0.3">
      <c r="A2868" s="48">
        <f t="shared" si="121"/>
        <v>55</v>
      </c>
    </row>
    <row r="2869" spans="1:4" hidden="1" x14ac:dyDescent="0.3">
      <c r="A2869" s="48">
        <f t="shared" si="121"/>
        <v>56</v>
      </c>
    </row>
    <row r="2870" spans="1:4" hidden="1" x14ac:dyDescent="0.3">
      <c r="A2870" s="48">
        <f t="shared" si="121"/>
        <v>57</v>
      </c>
    </row>
    <row r="2871" spans="1:4" hidden="1" x14ac:dyDescent="0.3">
      <c r="A2871" s="48">
        <f t="shared" si="121"/>
        <v>58</v>
      </c>
    </row>
    <row r="2872" spans="1:4" hidden="1" x14ac:dyDescent="0.3">
      <c r="A2872" s="48">
        <f t="shared" si="121"/>
        <v>59</v>
      </c>
    </row>
    <row r="2873" spans="1:4" hidden="1" x14ac:dyDescent="0.3">
      <c r="A2873" s="48">
        <f t="shared" si="121"/>
        <v>60</v>
      </c>
    </row>
    <row r="2874" spans="1:4" hidden="1" x14ac:dyDescent="0.3">
      <c r="A2874" s="48">
        <f t="shared" si="121"/>
        <v>61</v>
      </c>
    </row>
    <row r="2875" spans="1:4" hidden="1" x14ac:dyDescent="0.3"/>
    <row r="2876" spans="1:4" hidden="1" x14ac:dyDescent="0.3"/>
    <row r="2877" spans="1:4" ht="15.5" hidden="1" x14ac:dyDescent="0.35">
      <c r="B2877" s="569" t="str">
        <f>B274</f>
        <v>Defense counsel</v>
      </c>
      <c r="C2877" s="569" t="str">
        <f>B275</f>
        <v>Satisfaction level</v>
      </c>
      <c r="D2877" s="569" t="s">
        <v>3859</v>
      </c>
    </row>
    <row r="2878" spans="1:4" hidden="1" x14ac:dyDescent="0.3">
      <c r="B2878" s="48" t="s">
        <v>3613</v>
      </c>
      <c r="C2878" s="48" t="s">
        <v>1295</v>
      </c>
      <c r="D2878" s="48" t="s">
        <v>1299</v>
      </c>
    </row>
    <row r="2879" spans="1:4" hidden="1" x14ac:dyDescent="0.3">
      <c r="B2879" s="48" t="s">
        <v>3614</v>
      </c>
      <c r="C2879" s="48" t="s">
        <v>164</v>
      </c>
      <c r="D2879" s="48" t="s">
        <v>165</v>
      </c>
    </row>
    <row r="2880" spans="1:4" hidden="1" x14ac:dyDescent="0.3">
      <c r="B2880" s="48" t="s">
        <v>3615</v>
      </c>
      <c r="C2880" s="48" t="s">
        <v>1296</v>
      </c>
      <c r="D2880" s="48" t="s">
        <v>3618</v>
      </c>
    </row>
    <row r="2881" spans="2:4" hidden="1" x14ac:dyDescent="0.3">
      <c r="C2881" s="48" t="s">
        <v>1297</v>
      </c>
      <c r="D2881" s="48" t="s">
        <v>1300</v>
      </c>
    </row>
    <row r="2882" spans="2:4" hidden="1" x14ac:dyDescent="0.3">
      <c r="C2882" s="48" t="s">
        <v>1298</v>
      </c>
      <c r="D2882" s="48" t="s">
        <v>1301</v>
      </c>
    </row>
    <row r="2883" spans="2:4" hidden="1" x14ac:dyDescent="0.3">
      <c r="D2883" s="48" t="s">
        <v>1302</v>
      </c>
    </row>
    <row r="2884" spans="2:4" hidden="1" x14ac:dyDescent="0.3"/>
    <row r="2885" spans="2:4" ht="18.5" hidden="1" x14ac:dyDescent="0.45">
      <c r="B2885" s="399" t="str">
        <f>B277</f>
        <v>How many codefendants?</v>
      </c>
    </row>
    <row r="2886" spans="2:4" ht="15.5" hidden="1" x14ac:dyDescent="0.35">
      <c r="C2886" s="570" t="s">
        <v>3844</v>
      </c>
      <c r="D2886" s="570" t="s">
        <v>3845</v>
      </c>
    </row>
    <row r="2887" spans="2:4" hidden="1" x14ac:dyDescent="0.3">
      <c r="C2887" s="48" t="s">
        <v>173</v>
      </c>
      <c r="D2887" s="48" t="s">
        <v>174</v>
      </c>
    </row>
    <row r="2888" spans="2:4" hidden="1" x14ac:dyDescent="0.3">
      <c r="C2888" s="48" t="s">
        <v>123</v>
      </c>
      <c r="D2888" s="48" t="s">
        <v>176</v>
      </c>
    </row>
    <row r="2889" spans="2:4" hidden="1" x14ac:dyDescent="0.3">
      <c r="C2889" s="48" t="s">
        <v>3609</v>
      </c>
      <c r="D2889" s="48" t="s">
        <v>179</v>
      </c>
    </row>
    <row r="2890" spans="2:4" hidden="1" x14ac:dyDescent="0.3">
      <c r="D2890" s="48" t="s">
        <v>181</v>
      </c>
    </row>
    <row r="2891" spans="2:4" ht="15.5" hidden="1" x14ac:dyDescent="0.35">
      <c r="B2891" s="570" t="s">
        <v>3846</v>
      </c>
      <c r="C2891" s="570" t="s">
        <v>3848</v>
      </c>
      <c r="D2891" s="570" t="s">
        <v>3849</v>
      </c>
    </row>
    <row r="2892" spans="2:4" ht="14.5" hidden="1" x14ac:dyDescent="0.35">
      <c r="B2892" s="69" t="s">
        <v>167</v>
      </c>
      <c r="C2892" s="48" t="str">
        <f>C2887</f>
        <v>principal</v>
      </c>
      <c r="D2892" s="48" t="s">
        <v>151</v>
      </c>
    </row>
    <row r="2893" spans="2:4" ht="14.5" hidden="1" x14ac:dyDescent="0.35">
      <c r="B2893" s="69" t="s">
        <v>170</v>
      </c>
      <c r="C2893" s="48" t="str">
        <f>C2888</f>
        <v>aiding &amp; abetting</v>
      </c>
      <c r="D2893" s="48" t="s">
        <v>178</v>
      </c>
    </row>
    <row r="2894" spans="2:4" ht="14.5" hidden="1" x14ac:dyDescent="0.35">
      <c r="B2894" s="69" t="s">
        <v>172</v>
      </c>
      <c r="C2894" s="48" t="str">
        <f>C2889</f>
        <v>accessory after the fact</v>
      </c>
      <c r="D2894" s="48" t="s">
        <v>182</v>
      </c>
    </row>
    <row r="2895" spans="2:4" ht="14.5" hidden="1" x14ac:dyDescent="0.35">
      <c r="B2895" s="69" t="s">
        <v>175</v>
      </c>
    </row>
    <row r="2896" spans="2:4" ht="14.5" hidden="1" x14ac:dyDescent="0.35">
      <c r="B2896" s="69" t="s">
        <v>177</v>
      </c>
    </row>
    <row r="2897" spans="2:4" ht="14.5" hidden="1" x14ac:dyDescent="0.35">
      <c r="B2897" s="69" t="s">
        <v>180</v>
      </c>
    </row>
    <row r="2898" spans="2:4" hidden="1" x14ac:dyDescent="0.3">
      <c r="B2898" s="48" t="s">
        <v>3847</v>
      </c>
    </row>
    <row r="2899" spans="2:4" ht="15.5" hidden="1" x14ac:dyDescent="0.35">
      <c r="B2899" s="570" t="s">
        <v>3850</v>
      </c>
      <c r="C2899" s="570" t="s">
        <v>3857</v>
      </c>
      <c r="D2899" s="570" t="s">
        <v>3858</v>
      </c>
    </row>
    <row r="2900" spans="2:4" hidden="1" x14ac:dyDescent="0.3">
      <c r="B2900" s="48" t="s">
        <v>166</v>
      </c>
      <c r="C2900" s="48" t="s">
        <v>166</v>
      </c>
      <c r="D2900" s="48" t="s">
        <v>166</v>
      </c>
    </row>
    <row r="2901" spans="2:4" hidden="1" x14ac:dyDescent="0.3">
      <c r="B2901" s="82" t="s">
        <v>3853</v>
      </c>
      <c r="C2901" s="48" t="s">
        <v>169</v>
      </c>
      <c r="D2901" s="48" t="s">
        <v>169</v>
      </c>
    </row>
    <row r="2902" spans="2:4" hidden="1" x14ac:dyDescent="0.3">
      <c r="B2902" s="82" t="s">
        <v>3856</v>
      </c>
      <c r="C2902" s="48" t="s">
        <v>168</v>
      </c>
      <c r="D2902" s="48" t="s">
        <v>168</v>
      </c>
    </row>
    <row r="2903" spans="2:4" hidden="1" x14ac:dyDescent="0.3">
      <c r="B2903" s="82" t="s">
        <v>3855</v>
      </c>
      <c r="C2903" s="245" t="s">
        <v>885</v>
      </c>
    </row>
    <row r="2904" spans="2:4" hidden="1" x14ac:dyDescent="0.3">
      <c r="B2904" s="48" t="s">
        <v>168</v>
      </c>
      <c r="C2904" s="245"/>
    </row>
    <row r="2905" spans="2:4" hidden="1" x14ac:dyDescent="0.3">
      <c r="B2905" s="82" t="s">
        <v>3852</v>
      </c>
      <c r="C2905" s="245" t="s">
        <v>885</v>
      </c>
    </row>
    <row r="2906" spans="2:4" hidden="1" x14ac:dyDescent="0.3">
      <c r="B2906" s="82" t="s">
        <v>3854</v>
      </c>
      <c r="C2906" s="245" t="s">
        <v>885</v>
      </c>
    </row>
    <row r="2907" spans="2:4" hidden="1" x14ac:dyDescent="0.3">
      <c r="B2907" s="82" t="s">
        <v>3851</v>
      </c>
      <c r="C2907" s="245" t="s">
        <v>885</v>
      </c>
    </row>
    <row r="2908" spans="2:4" hidden="1" x14ac:dyDescent="0.3">
      <c r="B2908" s="82" t="s">
        <v>912</v>
      </c>
    </row>
    <row r="2909" spans="2:4" hidden="1" x14ac:dyDescent="0.3"/>
    <row r="2910" spans="2:4" ht="15.5" hidden="1" x14ac:dyDescent="0.35">
      <c r="B2910" s="570" t="str">
        <f>D306</f>
        <v>If multiple sentences:</v>
      </c>
      <c r="C2910" s="570" t="str">
        <f>D309</f>
        <v xml:space="preserve">Appeal decision: </v>
      </c>
    </row>
    <row r="2911" spans="2:4" ht="14.5" hidden="1" x14ac:dyDescent="0.35">
      <c r="B2911" s="69" t="s">
        <v>190</v>
      </c>
      <c r="C2911" s="571" t="str">
        <f>D2739</f>
        <v>affirmed all convictions and sentences</v>
      </c>
      <c r="D2911" s="421" t="s">
        <v>218</v>
      </c>
    </row>
    <row r="2912" spans="2:4" ht="14.5" hidden="1" x14ac:dyDescent="0.35">
      <c r="B2912" s="69" t="s">
        <v>192</v>
      </c>
      <c r="C2912" s="571" t="str">
        <f>D2740</f>
        <v>affirmed all convictions, threw out sentence</v>
      </c>
      <c r="D2912" s="421" t="s">
        <v>219</v>
      </c>
    </row>
    <row r="2913" spans="2:42" hidden="1" x14ac:dyDescent="0.3">
      <c r="C2913" s="571" t="str">
        <f>D2741</f>
        <v>affirmed convictions in part, and threw out part</v>
      </c>
    </row>
    <row r="2914" spans="2:42" hidden="1" x14ac:dyDescent="0.3">
      <c r="C2914" s="571" t="str">
        <f>D2742</f>
        <v>threw out most convictions</v>
      </c>
    </row>
    <row r="2915" spans="2:42" hidden="1" x14ac:dyDescent="0.3">
      <c r="C2915" s="571" t="str">
        <f>D2743</f>
        <v>other (explain below)</v>
      </c>
    </row>
    <row r="2916" spans="2:42" hidden="1" x14ac:dyDescent="0.3">
      <c r="I2916" s="836" t="str">
        <f>IF(I2917=FALSE,"felon",I1872)</f>
        <v>felon</v>
      </c>
      <c r="AF2916" s="243" t="str">
        <f>IF(AF2917=FALSE,AF2928,AF2917)</f>
        <v xml:space="preserve">correct his felony record. </v>
      </c>
    </row>
    <row r="2917" spans="2:42" ht="15.5" hidden="1" x14ac:dyDescent="0.35">
      <c r="B2917" s="570" t="str">
        <f>IF(D314="",B314,"Custody status")</f>
        <v>Custody status</v>
      </c>
      <c r="C2917" s="569" t="s">
        <v>3861</v>
      </c>
      <c r="D2917" s="569" t="str">
        <f>B324</f>
        <v>Sentence severity</v>
      </c>
      <c r="I2917" s="517" t="b">
        <f>IF(D314=C2918,I2918,IF(D314=C2919,I2919,IF(D314=C2920,I2920,IF(D314=C2921,I2921,IF(D314=C2922,I2922,IF(D314=C2923,I2923,IF(D314=C2924=I2924,IF(264=C2925,I2925,IF(D314=C2926,I2926,IF(D314=C2927,I2927,IF(D314=C2928,I2928,IF(D314=C2929,I2929,IF(D314=C2930,I2930,IF(D314=C2931,I2931,IF(D314=C2932,I2932,IF(D314=C2933,I2933,IF(D314=C2934,I2934,IF(D314=C2935,I2935,IF(264=C2936,I2936,IF(D314=C2937,I2937,IF(D314=C2938,I2938,IF(D314=C2939,I2939,IF(D314="","")))))))))))))))))))))))</f>
        <v>0</v>
      </c>
      <c r="AF2917" s="1153" t="b">
        <f>IF(D314=C2918,AF2918,IF(D314=C2919,AF2919,IF(D314=C2920,AF2920,IF(D314=C2921,AF2921,IF(D314=C2922,AF2922,IF(D314=C2923,AF2923,IF(D314=C2924=AF2924,IF(264=C2925,AF2925,IF(D314=C2926,AF2926,IF(D314=C2927,AF2927,IF(D314=C2928,AF2928,IF(D314=C2929,AF2929,IF(D314=C2930,AF2930,IF(D314=C2931,AF2931,IF(D314=C2932,AF2932,IF(D314=C2933,AF2933,IF(D314=C2934,AF2934,IF(D314=C2935,AF2935,IF(264=C2936,AF2936,IF(D314=C2937,AF2937,IF(D314=C2938,AF2938,IF(D314=C2939,AF2939,IF(D314="","")))))))))))))))))))))))</f>
        <v>0</v>
      </c>
      <c r="AG2917" s="1153"/>
      <c r="AH2917" s="1153"/>
      <c r="AI2917" s="1153"/>
      <c r="AJ2917" s="1153"/>
      <c r="AK2917" s="1153"/>
      <c r="AL2917" s="1153"/>
    </row>
    <row r="2918" spans="2:42" ht="14.5" hidden="1" x14ac:dyDescent="0.35">
      <c r="B2918" s="48">
        <v>0</v>
      </c>
      <c r="C2918" s="69" t="s">
        <v>983</v>
      </c>
      <c r="D2918" s="69" t="s">
        <v>984</v>
      </c>
      <c r="I2918" s="4" t="s">
        <v>5315</v>
      </c>
      <c r="AF2918" s="48" t="str">
        <f>CONCATENATE(AN2918,AO2918,AP2918)</f>
        <v xml:space="preserve">liberate him from death row. </v>
      </c>
      <c r="AN2918" s="48" t="s">
        <v>5346</v>
      </c>
      <c r="AO2918" s="48" t="str">
        <f>BI206</f>
        <v>him</v>
      </c>
      <c r="AP2918" s="48" t="s">
        <v>5347</v>
      </c>
    </row>
    <row r="2919" spans="2:42" ht="14.5" hidden="1" x14ac:dyDescent="0.35">
      <c r="B2919" s="48">
        <v>0</v>
      </c>
      <c r="C2919" s="400" t="s">
        <v>985</v>
      </c>
      <c r="D2919" s="69" t="s">
        <v>986</v>
      </c>
      <c r="I2919" s="4" t="s">
        <v>5316</v>
      </c>
      <c r="AF2919" s="48" t="str">
        <f>CONCATENATE(AN2919,AO2919,AP2919)</f>
        <v xml:space="preserve">bring him home. </v>
      </c>
      <c r="AN2919" s="48" t="s">
        <v>5340</v>
      </c>
      <c r="AO2919" s="48" t="str">
        <f>BI206</f>
        <v>him</v>
      </c>
      <c r="AP2919" s="48" t="s">
        <v>5343</v>
      </c>
    </row>
    <row r="2920" spans="2:42" ht="14.5" hidden="1" x14ac:dyDescent="0.35">
      <c r="B2920" s="48">
        <v>0</v>
      </c>
      <c r="C2920" s="400" t="s">
        <v>987</v>
      </c>
      <c r="D2920" s="69" t="s">
        <v>988</v>
      </c>
      <c r="I2920" s="4" t="s">
        <v>5316</v>
      </c>
      <c r="AF2920" s="48" t="str">
        <f>CONCATENATE(AN2920,AO2920,AP2920)</f>
        <v xml:space="preserve">bring him home. </v>
      </c>
      <c r="AN2920" s="48" t="str">
        <f>AN2919</f>
        <v xml:space="preserve">bring </v>
      </c>
      <c r="AO2920" s="48" t="str">
        <f>AO2919</f>
        <v>him</v>
      </c>
      <c r="AP2920" s="48" t="str">
        <f>AP2919</f>
        <v xml:space="preserve"> home. </v>
      </c>
    </row>
    <row r="2921" spans="2:42" ht="14.5" hidden="1" x14ac:dyDescent="0.35">
      <c r="B2921" s="48">
        <v>0.5</v>
      </c>
      <c r="C2921" s="400" t="s">
        <v>989</v>
      </c>
      <c r="D2921" s="69" t="s">
        <v>207</v>
      </c>
      <c r="I2921" s="4" t="s">
        <v>5316</v>
      </c>
      <c r="AF2921" s="48" t="str">
        <f t="shared" ref="AF2921:AF2939" si="122">CONCATENATE(AN2921,AO2921,AP2921)</f>
        <v xml:space="preserve">bring him home. </v>
      </c>
      <c r="AN2921" s="48" t="str">
        <f t="shared" ref="AN2921:AP2927" si="123">AN2920</f>
        <v xml:space="preserve">bring </v>
      </c>
      <c r="AO2921" s="48" t="str">
        <f t="shared" si="123"/>
        <v>him</v>
      </c>
      <c r="AP2921" s="48" t="str">
        <f t="shared" si="123"/>
        <v xml:space="preserve"> home. </v>
      </c>
    </row>
    <row r="2922" spans="2:42" ht="14.5" hidden="1" x14ac:dyDescent="0.35">
      <c r="B2922" s="48">
        <v>0.75</v>
      </c>
      <c r="C2922" s="400" t="s">
        <v>990</v>
      </c>
      <c r="D2922" s="69" t="s">
        <v>3623</v>
      </c>
      <c r="I2922" s="4" t="s">
        <v>5316</v>
      </c>
      <c r="AF2922" s="48" t="str">
        <f t="shared" si="122"/>
        <v xml:space="preserve">bring him home. </v>
      </c>
      <c r="AN2922" s="48" t="str">
        <f t="shared" si="123"/>
        <v xml:space="preserve">bring </v>
      </c>
      <c r="AO2922" s="48" t="str">
        <f t="shared" si="123"/>
        <v>him</v>
      </c>
      <c r="AP2922" s="48" t="str">
        <f t="shared" si="123"/>
        <v xml:space="preserve"> home. </v>
      </c>
    </row>
    <row r="2923" spans="2:42" ht="14.5" hidden="1" x14ac:dyDescent="0.35">
      <c r="B2923" s="48">
        <v>0.9</v>
      </c>
      <c r="C2923" s="400" t="s">
        <v>991</v>
      </c>
      <c r="D2923" s="69" t="s">
        <v>992</v>
      </c>
      <c r="I2923" s="4" t="s">
        <v>5316</v>
      </c>
      <c r="AF2923" s="48" t="str">
        <f t="shared" si="122"/>
        <v xml:space="preserve">bring him home. </v>
      </c>
      <c r="AN2923" s="48" t="str">
        <f t="shared" si="123"/>
        <v xml:space="preserve">bring </v>
      </c>
      <c r="AO2923" s="48" t="str">
        <f t="shared" si="123"/>
        <v>him</v>
      </c>
      <c r="AP2923" s="48" t="str">
        <f t="shared" si="123"/>
        <v xml:space="preserve"> home. </v>
      </c>
    </row>
    <row r="2924" spans="2:42" ht="14.5" hidden="1" x14ac:dyDescent="0.35">
      <c r="B2924" s="48">
        <v>1</v>
      </c>
      <c r="C2924" s="400" t="s">
        <v>993</v>
      </c>
      <c r="D2924" s="69" t="s">
        <v>994</v>
      </c>
      <c r="I2924" s="4" t="s">
        <v>5316</v>
      </c>
      <c r="AF2924" s="48" t="str">
        <f t="shared" si="122"/>
        <v xml:space="preserve">bring him home. </v>
      </c>
      <c r="AN2924" s="48" t="str">
        <f t="shared" si="123"/>
        <v xml:space="preserve">bring </v>
      </c>
      <c r="AO2924" s="48" t="str">
        <f t="shared" si="123"/>
        <v>him</v>
      </c>
      <c r="AP2924" s="48" t="str">
        <f t="shared" si="123"/>
        <v xml:space="preserve"> home. </v>
      </c>
    </row>
    <row r="2925" spans="2:42" ht="14.5" hidden="1" x14ac:dyDescent="0.35">
      <c r="B2925" s="48">
        <v>1</v>
      </c>
      <c r="C2925" s="400" t="s">
        <v>995</v>
      </c>
      <c r="D2925" s="69" t="s">
        <v>996</v>
      </c>
      <c r="I2925" s="4" t="s">
        <v>5316</v>
      </c>
      <c r="AF2925" s="48" t="str">
        <f t="shared" si="122"/>
        <v xml:space="preserve">bring him home. </v>
      </c>
      <c r="AN2925" s="48" t="str">
        <f t="shared" si="123"/>
        <v xml:space="preserve">bring </v>
      </c>
      <c r="AO2925" s="48" t="str">
        <f t="shared" si="123"/>
        <v>him</v>
      </c>
      <c r="AP2925" s="48" t="str">
        <f t="shared" si="123"/>
        <v xml:space="preserve"> home. </v>
      </c>
    </row>
    <row r="2926" spans="2:42" ht="14.5" hidden="1" x14ac:dyDescent="0.35">
      <c r="B2926" s="48">
        <v>0.25</v>
      </c>
      <c r="C2926" s="400" t="s">
        <v>997</v>
      </c>
      <c r="D2926" s="69"/>
      <c r="I2926" s="4" t="s">
        <v>5316</v>
      </c>
      <c r="AF2926" s="48" t="str">
        <f t="shared" si="122"/>
        <v xml:space="preserve">bring him home. </v>
      </c>
      <c r="AN2926" s="48" t="str">
        <f t="shared" si="123"/>
        <v xml:space="preserve">bring </v>
      </c>
      <c r="AO2926" s="48" t="str">
        <f t="shared" si="123"/>
        <v>him</v>
      </c>
      <c r="AP2926" s="48" t="str">
        <f t="shared" si="123"/>
        <v xml:space="preserve"> home. </v>
      </c>
    </row>
    <row r="2927" spans="2:42" ht="14.5" hidden="1" x14ac:dyDescent="0.35">
      <c r="B2927" s="48">
        <v>0</v>
      </c>
      <c r="C2927" s="400" t="s">
        <v>998</v>
      </c>
      <c r="D2927" s="69"/>
      <c r="I2927" s="4" t="s">
        <v>5316</v>
      </c>
      <c r="AF2927" s="48" t="str">
        <f t="shared" si="122"/>
        <v xml:space="preserve">bring him home. </v>
      </c>
      <c r="AN2927" s="48" t="str">
        <f t="shared" si="123"/>
        <v xml:space="preserve">bring </v>
      </c>
      <c r="AO2927" s="48" t="str">
        <f t="shared" si="123"/>
        <v>him</v>
      </c>
      <c r="AP2927" s="48" t="str">
        <f t="shared" si="123"/>
        <v xml:space="preserve"> home. </v>
      </c>
    </row>
    <row r="2928" spans="2:42" ht="15.5" hidden="1" x14ac:dyDescent="0.35">
      <c r="B2928" s="48">
        <v>0.5</v>
      </c>
      <c r="C2928" s="69" t="s">
        <v>219</v>
      </c>
      <c r="D2928" s="569" t="str">
        <f>B326</f>
        <v>Refused rehab from maintaining innocence?</v>
      </c>
      <c r="I2928" s="4" t="s">
        <v>5317</v>
      </c>
      <c r="AF2928" s="48" t="str">
        <f t="shared" si="122"/>
        <v xml:space="preserve">correct his felony record. </v>
      </c>
      <c r="AN2928" s="48" t="s">
        <v>5341</v>
      </c>
      <c r="AO2928" s="48" t="str">
        <f>BJ206</f>
        <v>his</v>
      </c>
      <c r="AP2928" s="48" t="s">
        <v>5344</v>
      </c>
    </row>
    <row r="2929" spans="2:42" ht="14.5" hidden="1" x14ac:dyDescent="0.35">
      <c r="B2929" s="48">
        <v>0</v>
      </c>
      <c r="C2929" s="69" t="s">
        <v>999</v>
      </c>
      <c r="D2929" s="48" t="s">
        <v>3954</v>
      </c>
      <c r="E2929" s="48">
        <v>1</v>
      </c>
      <c r="I2929" s="4" t="s">
        <v>5317</v>
      </c>
      <c r="AF2929" s="48" t="str">
        <f t="shared" si="122"/>
        <v xml:space="preserve">correct his felony record. </v>
      </c>
      <c r="AN2929" s="48" t="str">
        <f t="shared" ref="AN2929:AP2933" si="124">AN2928</f>
        <v xml:space="preserve">correct </v>
      </c>
      <c r="AO2929" s="48" t="str">
        <f t="shared" si="124"/>
        <v>his</v>
      </c>
      <c r="AP2929" s="48" t="str">
        <f t="shared" si="124"/>
        <v xml:space="preserve"> felony record. </v>
      </c>
    </row>
    <row r="2930" spans="2:42" ht="14.5" hidden="1" x14ac:dyDescent="0.35">
      <c r="B2930" s="48">
        <v>0</v>
      </c>
      <c r="C2930" s="69" t="s">
        <v>1000</v>
      </c>
      <c r="D2930" s="48" t="s">
        <v>3955</v>
      </c>
      <c r="E2930" s="101">
        <f>E2929-0.25</f>
        <v>0.75</v>
      </c>
      <c r="I2930" s="4" t="s">
        <v>5317</v>
      </c>
      <c r="AF2930" s="48" t="str">
        <f t="shared" si="122"/>
        <v xml:space="preserve">correct his felony record. </v>
      </c>
      <c r="AN2930" s="48" t="str">
        <f t="shared" si="124"/>
        <v xml:space="preserve">correct </v>
      </c>
      <c r="AO2930" s="48" t="str">
        <f t="shared" si="124"/>
        <v>his</v>
      </c>
      <c r="AP2930" s="48" t="str">
        <f t="shared" si="124"/>
        <v xml:space="preserve"> felony record. </v>
      </c>
    </row>
    <row r="2931" spans="2:42" ht="14.5" hidden="1" x14ac:dyDescent="0.35">
      <c r="B2931" s="48">
        <v>0</v>
      </c>
      <c r="C2931" s="69" t="s">
        <v>1001</v>
      </c>
      <c r="D2931" s="48" t="s">
        <v>3957</v>
      </c>
      <c r="E2931" s="101">
        <f>E2930-0.25</f>
        <v>0.5</v>
      </c>
      <c r="I2931" s="4" t="s">
        <v>5317</v>
      </c>
      <c r="AF2931" s="48" t="str">
        <f t="shared" si="122"/>
        <v xml:space="preserve">correct his felony record. </v>
      </c>
      <c r="AN2931" s="48" t="str">
        <f t="shared" si="124"/>
        <v xml:space="preserve">correct </v>
      </c>
      <c r="AO2931" s="48" t="str">
        <f t="shared" si="124"/>
        <v>his</v>
      </c>
      <c r="AP2931" s="48" t="str">
        <f t="shared" si="124"/>
        <v xml:space="preserve"> felony record. </v>
      </c>
    </row>
    <row r="2932" spans="2:42" ht="14.5" hidden="1" x14ac:dyDescent="0.35">
      <c r="B2932" s="48">
        <v>0</v>
      </c>
      <c r="C2932" s="69" t="s">
        <v>1002</v>
      </c>
      <c r="D2932" s="48" t="s">
        <v>3950</v>
      </c>
      <c r="E2932" s="101">
        <f>E2931-0.25</f>
        <v>0.25</v>
      </c>
      <c r="I2932" s="4" t="s">
        <v>5317</v>
      </c>
      <c r="AF2932" s="48" t="str">
        <f t="shared" si="122"/>
        <v xml:space="preserve">correct his felony record. </v>
      </c>
      <c r="AN2932" s="48" t="str">
        <f t="shared" si="124"/>
        <v xml:space="preserve">correct </v>
      </c>
      <c r="AO2932" s="48" t="str">
        <f t="shared" si="124"/>
        <v>his</v>
      </c>
      <c r="AP2932" s="48" t="str">
        <f t="shared" si="124"/>
        <v xml:space="preserve"> felony record. </v>
      </c>
    </row>
    <row r="2933" spans="2:42" ht="14.5" hidden="1" x14ac:dyDescent="0.35">
      <c r="B2933" s="48">
        <v>0</v>
      </c>
      <c r="C2933" s="69" t="s">
        <v>1003</v>
      </c>
      <c r="D2933" s="48" t="s">
        <v>3952</v>
      </c>
      <c r="E2933" s="101">
        <f>E2932-1</f>
        <v>-0.75</v>
      </c>
      <c r="I2933" s="4" t="s">
        <v>5317</v>
      </c>
      <c r="AF2933" s="48" t="str">
        <f t="shared" si="122"/>
        <v xml:space="preserve">correct his felony record. </v>
      </c>
      <c r="AN2933" s="48" t="str">
        <f t="shared" si="124"/>
        <v xml:space="preserve">correct </v>
      </c>
      <c r="AO2933" s="48" t="str">
        <f t="shared" si="124"/>
        <v>his</v>
      </c>
      <c r="AP2933" s="48" t="str">
        <f t="shared" si="124"/>
        <v xml:space="preserve"> felony record. </v>
      </c>
    </row>
    <row r="2934" spans="2:42" ht="14.5" hidden="1" x14ac:dyDescent="0.35">
      <c r="B2934" s="48">
        <v>0</v>
      </c>
      <c r="C2934" s="69" t="s">
        <v>200</v>
      </c>
      <c r="D2934" s="48" t="s">
        <v>3953</v>
      </c>
      <c r="E2934" s="101">
        <f>E2933-0.25</f>
        <v>-1</v>
      </c>
      <c r="I2934" s="4" t="s">
        <v>5317</v>
      </c>
      <c r="AF2934" s="48" t="str">
        <f t="shared" si="122"/>
        <v xml:space="preserve">remove him from the registry. </v>
      </c>
      <c r="AN2934" s="48" t="s">
        <v>5342</v>
      </c>
      <c r="AO2934" s="48" t="str">
        <f>BI206</f>
        <v>him</v>
      </c>
      <c r="AP2934" s="48" t="s">
        <v>5345</v>
      </c>
    </row>
    <row r="2935" spans="2:42" ht="14.5" hidden="1" x14ac:dyDescent="0.35">
      <c r="B2935" s="48">
        <v>0</v>
      </c>
      <c r="C2935" s="400" t="s">
        <v>1004</v>
      </c>
      <c r="D2935" s="48" t="s">
        <v>3951</v>
      </c>
      <c r="E2935" s="101">
        <v>0</v>
      </c>
      <c r="I2935" s="4" t="s">
        <v>5316</v>
      </c>
      <c r="AF2935" s="48" t="str">
        <f t="shared" si="122"/>
        <v xml:space="preserve">bring him home. </v>
      </c>
      <c r="AN2935" s="48" t="str">
        <f>AN2927</f>
        <v xml:space="preserve">bring </v>
      </c>
      <c r="AO2935" s="48" t="str">
        <f>AO2927</f>
        <v>him</v>
      </c>
      <c r="AP2935" s="48" t="str">
        <f>AP2927</f>
        <v xml:space="preserve"> home. </v>
      </c>
    </row>
    <row r="2936" spans="2:42" ht="14.5" hidden="1" x14ac:dyDescent="0.35">
      <c r="B2936" s="48">
        <v>-2</v>
      </c>
      <c r="C2936" s="393" t="s">
        <v>1005</v>
      </c>
      <c r="D2936" s="48" t="s">
        <v>3956</v>
      </c>
      <c r="E2936" s="101">
        <v>0</v>
      </c>
      <c r="I2936" s="4" t="s">
        <v>5317</v>
      </c>
      <c r="AF2936" s="48" t="str">
        <f t="shared" si="122"/>
        <v xml:space="preserve">correct his felony record. </v>
      </c>
      <c r="AN2936" s="48" t="str">
        <f t="shared" ref="AN2936:AP2939" si="125">AN2933</f>
        <v xml:space="preserve">correct </v>
      </c>
      <c r="AO2936" s="48" t="str">
        <f t="shared" si="125"/>
        <v>his</v>
      </c>
      <c r="AP2936" s="48" t="str">
        <f t="shared" si="125"/>
        <v xml:space="preserve"> felony record. </v>
      </c>
    </row>
    <row r="2937" spans="2:42" ht="14.5" hidden="1" x14ac:dyDescent="0.35">
      <c r="B2937" s="48">
        <v>-5</v>
      </c>
      <c r="C2937" s="393" t="s">
        <v>1006</v>
      </c>
      <c r="D2937" s="69"/>
      <c r="I2937" s="4" t="s">
        <v>5317</v>
      </c>
      <c r="AF2937" s="48" t="str">
        <f t="shared" si="122"/>
        <v xml:space="preserve">remove him from the registry. </v>
      </c>
      <c r="AN2937" s="48" t="str">
        <f t="shared" si="125"/>
        <v xml:space="preserve">remove </v>
      </c>
      <c r="AO2937" s="48" t="str">
        <f t="shared" si="125"/>
        <v>him</v>
      </c>
      <c r="AP2937" s="48" t="str">
        <f t="shared" si="125"/>
        <v xml:space="preserve"> from the registry. </v>
      </c>
    </row>
    <row r="2938" spans="2:42" ht="14.5" hidden="1" x14ac:dyDescent="0.35">
      <c r="B2938" s="48">
        <v>-10</v>
      </c>
      <c r="C2938" s="393" t="s">
        <v>1007</v>
      </c>
      <c r="I2938" s="4" t="s">
        <v>5317</v>
      </c>
      <c r="AF2938" s="48" t="str">
        <f t="shared" si="122"/>
        <v xml:space="preserve">bring him home. </v>
      </c>
      <c r="AN2938" s="48" t="str">
        <f t="shared" si="125"/>
        <v xml:space="preserve">bring </v>
      </c>
      <c r="AO2938" s="48" t="str">
        <f t="shared" si="125"/>
        <v>him</v>
      </c>
      <c r="AP2938" s="48" t="str">
        <f t="shared" si="125"/>
        <v xml:space="preserve"> home. </v>
      </c>
    </row>
    <row r="2939" spans="2:42" ht="14.5" hidden="1" x14ac:dyDescent="0.35">
      <c r="B2939" s="48">
        <v>0</v>
      </c>
      <c r="C2939" s="69" t="s">
        <v>1008</v>
      </c>
      <c r="D2939" s="421" t="s">
        <v>1009</v>
      </c>
      <c r="I2939" s="4" t="s">
        <v>5317</v>
      </c>
      <c r="AF2939" s="48" t="str">
        <f t="shared" si="122"/>
        <v xml:space="preserve">correct his felony record. </v>
      </c>
      <c r="AN2939" s="48" t="str">
        <f t="shared" si="125"/>
        <v xml:space="preserve">correct </v>
      </c>
      <c r="AO2939" s="48" t="str">
        <f t="shared" si="125"/>
        <v>his</v>
      </c>
      <c r="AP2939" s="48" t="str">
        <f t="shared" si="125"/>
        <v xml:space="preserve"> felony record. </v>
      </c>
    </row>
    <row r="2940" spans="2:42" hidden="1" x14ac:dyDescent="0.3"/>
    <row r="2941" spans="2:42" ht="15.5" hidden="1" x14ac:dyDescent="0.35">
      <c r="B2941" s="570" t="str">
        <f>IF(D328="","Maxing out?",B328)</f>
        <v>Discharged from max sentence due to innocence claim?</v>
      </c>
      <c r="C2941" s="570" t="str">
        <f>B329</f>
        <v>Sex offender registry:</v>
      </c>
      <c r="D2941" s="570" t="str">
        <f>B331</f>
        <v>If exonerated, expect to seek compensation?</v>
      </c>
      <c r="E2941" s="570" t="str">
        <f>B337</f>
        <v>How often requesting help from an innocence project:</v>
      </c>
    </row>
    <row r="2942" spans="2:42" ht="14.5" hidden="1" x14ac:dyDescent="0.35">
      <c r="B2942" s="48" t="s">
        <v>166</v>
      </c>
      <c r="C2942" s="69" t="s">
        <v>460</v>
      </c>
      <c r="D2942" s="69" t="s">
        <v>166</v>
      </c>
      <c r="E2942" s="48">
        <v>0</v>
      </c>
      <c r="F2942" s="101">
        <v>0</v>
      </c>
    </row>
    <row r="2943" spans="2:42" ht="14.5" hidden="1" x14ac:dyDescent="0.35">
      <c r="B2943" s="48" t="s">
        <v>168</v>
      </c>
      <c r="C2943" s="69" t="s">
        <v>978</v>
      </c>
      <c r="D2943" s="69" t="s">
        <v>168</v>
      </c>
      <c r="E2943" s="48">
        <v>1</v>
      </c>
      <c r="F2943" s="101">
        <f>F2942+0.2</f>
        <v>0.2</v>
      </c>
    </row>
    <row r="2944" spans="2:42" ht="14.5" hidden="1" x14ac:dyDescent="0.35">
      <c r="C2944" s="69" t="s">
        <v>979</v>
      </c>
      <c r="D2944" s="69" t="s">
        <v>169</v>
      </c>
      <c r="E2944" s="48">
        <v>2</v>
      </c>
      <c r="F2944" s="101">
        <f>F2943+0.2</f>
        <v>0.4</v>
      </c>
    </row>
    <row r="2945" spans="2:7" ht="14.5" hidden="1" x14ac:dyDescent="0.35">
      <c r="C2945" s="69" t="s">
        <v>210</v>
      </c>
      <c r="D2945" s="69" t="s">
        <v>3862</v>
      </c>
      <c r="E2945" s="48">
        <v>3</v>
      </c>
      <c r="F2945" s="101">
        <f>F2944+0.2</f>
        <v>0.60000000000000009</v>
      </c>
    </row>
    <row r="2946" spans="2:7" ht="14.5" hidden="1" x14ac:dyDescent="0.35">
      <c r="C2946" s="69"/>
      <c r="D2946" s="69"/>
      <c r="E2946" s="48">
        <v>4</v>
      </c>
      <c r="F2946" s="101">
        <f>F2945+0.2</f>
        <v>0.8</v>
      </c>
    </row>
    <row r="2947" spans="2:7" ht="15.5" hidden="1" x14ac:dyDescent="0.35">
      <c r="B2947" s="570" t="str">
        <f>B332</f>
        <v>Could compensation make up for all the loss?</v>
      </c>
      <c r="C2947" s="69"/>
      <c r="E2947" s="351" t="s">
        <v>3631</v>
      </c>
      <c r="F2947" s="101">
        <f>F2946+0.2</f>
        <v>1</v>
      </c>
    </row>
    <row r="2948" spans="2:7" ht="14.5" hidden="1" x14ac:dyDescent="0.35">
      <c r="B2948" s="69" t="s">
        <v>3626</v>
      </c>
      <c r="C2948" s="69"/>
      <c r="E2948" s="351"/>
    </row>
    <row r="2949" spans="2:7" ht="15.5" hidden="1" x14ac:dyDescent="0.35">
      <c r="B2949" s="69" t="s">
        <v>3625</v>
      </c>
      <c r="C2949" s="69"/>
      <c r="E2949" s="570" t="str">
        <f>B325</f>
        <v>How many major misconducts while incarcerated?</v>
      </c>
      <c r="G2949" s="503" t="s">
        <v>885</v>
      </c>
    </row>
    <row r="2950" spans="2:7" ht="14.5" hidden="1" x14ac:dyDescent="0.35">
      <c r="B2950" s="69" t="s">
        <v>3627</v>
      </c>
      <c r="C2950" s="69"/>
      <c r="E2950" s="48">
        <v>0</v>
      </c>
      <c r="F2950" s="48">
        <v>0</v>
      </c>
    </row>
    <row r="2951" spans="2:7" ht="14.5" hidden="1" x14ac:dyDescent="0.35">
      <c r="B2951" s="69" t="s">
        <v>3628</v>
      </c>
      <c r="C2951" s="69"/>
      <c r="E2951" s="48">
        <v>1</v>
      </c>
      <c r="F2951" s="48">
        <v>1</v>
      </c>
    </row>
    <row r="2952" spans="2:7" ht="14.5" hidden="1" x14ac:dyDescent="0.35">
      <c r="B2952" s="69" t="s">
        <v>3629</v>
      </c>
      <c r="C2952" s="69"/>
      <c r="E2952" s="48">
        <v>2</v>
      </c>
      <c r="F2952" s="48">
        <v>2</v>
      </c>
    </row>
    <row r="2953" spans="2:7" ht="14.5" hidden="1" x14ac:dyDescent="0.35">
      <c r="C2953" s="69"/>
      <c r="E2953" s="48">
        <v>3</v>
      </c>
      <c r="F2953" s="48">
        <v>3</v>
      </c>
    </row>
    <row r="2954" spans="2:7" ht="15.5" hidden="1" x14ac:dyDescent="0.35">
      <c r="B2954" s="570" t="str">
        <f>B334</f>
        <v>Any CIU?</v>
      </c>
      <c r="C2954" s="570" t="str">
        <f>C334</f>
        <v>Heard from the CIU near you?</v>
      </c>
      <c r="D2954" s="570" t="str">
        <f>D334</f>
        <v>Any favorable news from the CIU?</v>
      </c>
      <c r="E2954" s="48">
        <v>4</v>
      </c>
      <c r="F2954" s="48">
        <v>4</v>
      </c>
    </row>
    <row r="2955" spans="2:7" hidden="1" x14ac:dyDescent="0.3">
      <c r="B2955" s="48" t="s">
        <v>166</v>
      </c>
      <c r="C2955" s="48" t="str">
        <f>B2955</f>
        <v>yes</v>
      </c>
      <c r="D2955" s="48" t="str">
        <f>C2955</f>
        <v>yes</v>
      </c>
      <c r="E2955" s="48">
        <v>5</v>
      </c>
      <c r="F2955" s="48">
        <v>5</v>
      </c>
    </row>
    <row r="2956" spans="2:7" hidden="1" x14ac:dyDescent="0.3">
      <c r="B2956" s="48" t="s">
        <v>216</v>
      </c>
      <c r="C2956" s="48" t="str">
        <f t="shared" ref="C2956:D2958" si="126">B2956</f>
        <v>not yet</v>
      </c>
      <c r="D2956" s="48" t="str">
        <f t="shared" si="126"/>
        <v>not yet</v>
      </c>
      <c r="E2956" s="48">
        <v>6</v>
      </c>
      <c r="F2956" s="48">
        <v>6</v>
      </c>
    </row>
    <row r="2957" spans="2:7" hidden="1" x14ac:dyDescent="0.3">
      <c r="B2957" s="48" t="s">
        <v>924</v>
      </c>
      <c r="C2957" s="48" t="str">
        <f t="shared" si="126"/>
        <v>not that I'm aware of</v>
      </c>
      <c r="D2957" s="48" t="str">
        <f t="shared" si="126"/>
        <v>not that I'm aware of</v>
      </c>
      <c r="E2957" s="48">
        <v>7</v>
      </c>
      <c r="F2957" s="48">
        <v>7</v>
      </c>
    </row>
    <row r="2958" spans="2:7" hidden="1" x14ac:dyDescent="0.3">
      <c r="B2958" s="48" t="s">
        <v>168</v>
      </c>
      <c r="C2958" s="48" t="str">
        <f t="shared" si="126"/>
        <v>no</v>
      </c>
      <c r="D2958" s="48" t="str">
        <f t="shared" si="126"/>
        <v>no</v>
      </c>
      <c r="E2958" s="48">
        <v>8</v>
      </c>
      <c r="F2958" s="48">
        <v>8</v>
      </c>
    </row>
    <row r="2959" spans="2:7" ht="14.5" hidden="1" x14ac:dyDescent="0.35">
      <c r="C2959" s="69"/>
      <c r="E2959" s="48">
        <v>9</v>
      </c>
      <c r="F2959" s="48">
        <v>9</v>
      </c>
    </row>
    <row r="2960" spans="2:7" ht="15.5" hidden="1" x14ac:dyDescent="0.35">
      <c r="B2960" s="570" t="str">
        <f>B338</f>
        <v>What was the response? Explain further below.</v>
      </c>
      <c r="E2960" s="48">
        <v>10</v>
      </c>
      <c r="F2960" s="48">
        <v>10</v>
      </c>
    </row>
    <row r="2961" spans="2:6" hidden="1" x14ac:dyDescent="0.3">
      <c r="B2961" s="391" t="s">
        <v>925</v>
      </c>
      <c r="E2961" s="48" t="s">
        <v>3933</v>
      </c>
      <c r="F2961" s="48">
        <v>11</v>
      </c>
    </row>
    <row r="2962" spans="2:6" hidden="1" x14ac:dyDescent="0.3">
      <c r="B2962" s="391" t="s">
        <v>926</v>
      </c>
    </row>
    <row r="2963" spans="2:6" hidden="1" x14ac:dyDescent="0.3">
      <c r="B2963" s="391" t="s">
        <v>927</v>
      </c>
    </row>
    <row r="2964" spans="2:6" hidden="1" x14ac:dyDescent="0.3">
      <c r="B2964" s="391" t="s">
        <v>217</v>
      </c>
      <c r="C2964" s="542" t="s">
        <v>928</v>
      </c>
    </row>
    <row r="2965" spans="2:6" hidden="1" x14ac:dyDescent="0.3">
      <c r="B2965" s="391" t="s">
        <v>929</v>
      </c>
    </row>
    <row r="2966" spans="2:6" hidden="1" x14ac:dyDescent="0.3"/>
    <row r="2967" spans="2:6" ht="15.5" hidden="1" x14ac:dyDescent="0.35">
      <c r="B2967" s="570" t="str">
        <f>B342</f>
        <v>Criminal history</v>
      </c>
      <c r="C2967" s="570"/>
      <c r="D2967" s="570" t="str">
        <f>D342</f>
        <v>Criminal history contributors</v>
      </c>
    </row>
    <row r="2968" spans="2:6" hidden="1" x14ac:dyDescent="0.3">
      <c r="B2968" s="48" t="s">
        <v>223</v>
      </c>
      <c r="C2968" s="48">
        <v>1</v>
      </c>
      <c r="D2968" s="48" t="s">
        <v>1315</v>
      </c>
    </row>
    <row r="2969" spans="2:6" hidden="1" x14ac:dyDescent="0.3">
      <c r="B2969" s="48" t="s">
        <v>1303</v>
      </c>
      <c r="C2969" s="14">
        <f t="shared" ref="C2969:C2977" si="127">C2968-0.2</f>
        <v>0.8</v>
      </c>
      <c r="D2969" s="48" t="s">
        <v>1316</v>
      </c>
    </row>
    <row r="2970" spans="2:6" hidden="1" x14ac:dyDescent="0.3">
      <c r="B2970" s="48" t="s">
        <v>1305</v>
      </c>
      <c r="C2970" s="14">
        <f t="shared" si="127"/>
        <v>0.60000000000000009</v>
      </c>
      <c r="D2970" s="48" t="s">
        <v>1317</v>
      </c>
    </row>
    <row r="2971" spans="2:6" hidden="1" x14ac:dyDescent="0.3">
      <c r="B2971" s="48" t="s">
        <v>1306</v>
      </c>
      <c r="C2971" s="14">
        <f t="shared" si="127"/>
        <v>0.40000000000000008</v>
      </c>
      <c r="D2971" s="48" t="s">
        <v>1318</v>
      </c>
    </row>
    <row r="2972" spans="2:6" hidden="1" x14ac:dyDescent="0.3">
      <c r="B2972" s="48" t="s">
        <v>1308</v>
      </c>
      <c r="C2972" s="14">
        <f t="shared" si="127"/>
        <v>0.20000000000000007</v>
      </c>
      <c r="D2972" s="48" t="s">
        <v>912</v>
      </c>
    </row>
    <row r="2973" spans="2:6" hidden="1" x14ac:dyDescent="0.3">
      <c r="B2973" s="48" t="s">
        <v>1310</v>
      </c>
      <c r="C2973" s="14">
        <f t="shared" si="127"/>
        <v>0</v>
      </c>
    </row>
    <row r="2974" spans="2:6" hidden="1" x14ac:dyDescent="0.3">
      <c r="B2974" s="48" t="s">
        <v>1312</v>
      </c>
      <c r="C2974" s="14">
        <f t="shared" si="127"/>
        <v>-0.2</v>
      </c>
    </row>
    <row r="2975" spans="2:6" hidden="1" x14ac:dyDescent="0.3">
      <c r="B2975" s="48" t="s">
        <v>1313</v>
      </c>
      <c r="C2975" s="14">
        <f t="shared" si="127"/>
        <v>-0.4</v>
      </c>
    </row>
    <row r="2976" spans="2:6" hidden="1" x14ac:dyDescent="0.3">
      <c r="B2976" s="48" t="s">
        <v>1312</v>
      </c>
      <c r="C2976" s="14">
        <f t="shared" si="127"/>
        <v>-0.60000000000000009</v>
      </c>
    </row>
    <row r="2977" spans="1:54" hidden="1" x14ac:dyDescent="0.3">
      <c r="B2977" s="48" t="s">
        <v>1314</v>
      </c>
      <c r="C2977" s="14">
        <f t="shared" si="127"/>
        <v>-0.8</v>
      </c>
    </row>
    <row r="2978" spans="1:54" hidden="1" x14ac:dyDescent="0.3"/>
    <row r="2979" spans="1:54" hidden="1" x14ac:dyDescent="0.3"/>
    <row r="2980" spans="1:54" hidden="1" x14ac:dyDescent="0.3"/>
    <row r="2981" spans="1:54" ht="17.5" hidden="1" x14ac:dyDescent="0.35">
      <c r="A2981" s="567" t="str">
        <f>A355</f>
        <v>B.</v>
      </c>
      <c r="B2981" s="567" t="str">
        <f>B355</f>
        <v>Documentation for verification</v>
      </c>
      <c r="C2981" s="567"/>
      <c r="D2981" s="567">
        <f>D355</f>
        <v>0</v>
      </c>
      <c r="E2981" s="567"/>
      <c r="F2981" s="567"/>
    </row>
    <row r="2982" spans="1:54" hidden="1" x14ac:dyDescent="0.3"/>
    <row r="2983" spans="1:54" ht="15.5" hidden="1" x14ac:dyDescent="0.35">
      <c r="B2983" s="392" t="s">
        <v>940</v>
      </c>
      <c r="D2983" s="393" t="s">
        <v>941</v>
      </c>
      <c r="BB2983" s="48"/>
    </row>
    <row r="2984" spans="1:54" ht="14.5" hidden="1" x14ac:dyDescent="0.35">
      <c r="B2984" s="48" t="s">
        <v>238</v>
      </c>
      <c r="D2984" s="69" t="s">
        <v>942</v>
      </c>
      <c r="G2984" s="4">
        <v>0.12</v>
      </c>
      <c r="AC2984" s="48" t="str">
        <f>B2984</f>
        <v>By URL below, searchable text  (best)</v>
      </c>
      <c r="AD2984" s="48" t="str">
        <f>B2985</f>
        <v>By URL below, audio/visual recording  (great)</v>
      </c>
      <c r="AE2984" s="48" t="str">
        <f>B2986</f>
        <v>By URL below, image only  (good)</v>
      </c>
      <c r="AF2984" s="48" t="str">
        <f>B2987</f>
        <v>By email below  (fair)</v>
      </c>
      <c r="AG2984" s="48" t="str">
        <f>B2988</f>
        <v>Not at this time  (poor)</v>
      </c>
      <c r="AH2984" s="48" t="str">
        <f>B2989</f>
        <v>Not applicable  (okay)</v>
      </c>
      <c r="BB2984" s="48"/>
    </row>
    <row r="2985" spans="1:54" ht="14.5" hidden="1" x14ac:dyDescent="0.35">
      <c r="B2985" s="48" t="s">
        <v>943</v>
      </c>
      <c r="D2985" s="69" t="s">
        <v>944</v>
      </c>
      <c r="G2985" s="4">
        <v>0.25</v>
      </c>
      <c r="BB2985" s="48"/>
    </row>
    <row r="2986" spans="1:54" ht="14.5" hidden="1" x14ac:dyDescent="0.35">
      <c r="B2986" s="48" t="s">
        <v>247</v>
      </c>
      <c r="D2986" s="69" t="s">
        <v>945</v>
      </c>
      <c r="G2986" s="4">
        <v>0.5</v>
      </c>
      <c r="BB2986" s="48"/>
    </row>
    <row r="2987" spans="1:54" ht="14.5" hidden="1" x14ac:dyDescent="0.35">
      <c r="B2987" s="48" t="s">
        <v>946</v>
      </c>
      <c r="D2987" s="69" t="s">
        <v>947</v>
      </c>
      <c r="G2987" s="4">
        <v>1</v>
      </c>
      <c r="BB2987" s="48"/>
    </row>
    <row r="2988" spans="1:54" ht="14.5" hidden="1" x14ac:dyDescent="0.35">
      <c r="B2988" s="48" t="s">
        <v>948</v>
      </c>
      <c r="D2988" s="69" t="s">
        <v>243</v>
      </c>
      <c r="G2988" s="4">
        <v>0</v>
      </c>
      <c r="BB2988" s="48"/>
    </row>
    <row r="2989" spans="1:54" hidden="1" x14ac:dyDescent="0.3">
      <c r="B2989" s="48" t="s">
        <v>949</v>
      </c>
      <c r="D2989" s="48" t="s">
        <v>950</v>
      </c>
      <c r="BB2989" s="48"/>
    </row>
    <row r="2990" spans="1:54" hidden="1" x14ac:dyDescent="0.3"/>
    <row r="2991" spans="1:54" ht="17.5" hidden="1" x14ac:dyDescent="0.45">
      <c r="B2991" s="574" t="s">
        <v>3863</v>
      </c>
      <c r="D2991" s="48">
        <f>IF(B500=B2992,E2992,IF(B500=B2993,E2993,IF(B500=B2994,E2994,IF(B500=B2995,E2995,IF(B500=B2998,E2996,IF(B500=B2996,E2997,IF(B500=B2997,E2998,IF(B500=B2999,E2999,IF(B500=B3000,E3000,IF(B500=B3001,E3001,0))))))))))</f>
        <v>0.5</v>
      </c>
      <c r="AV2991" s="636" t="str">
        <f>IF(B500=B2992,AV2992,IF(B500=B2993,AV2993,IF(B500=B2994,AV2994,IF(B500=B2995,AV2995,IF(B500=B2996,AV2996,IF(B500=B2997,AV2997,IF(B500=B2998,AV2998,IF(B500=B2999,AV2999,IF(B500=B3000,AV3000,IF(B500=B3001,AV3001,""))))))))))</f>
        <v xml:space="preserve">identify any support in his case documents. </v>
      </c>
    </row>
    <row r="2992" spans="1:54" hidden="1" x14ac:dyDescent="0.3">
      <c r="B2992" s="575" t="s">
        <v>3864</v>
      </c>
      <c r="D2992" s="48" t="s">
        <v>4078</v>
      </c>
      <c r="E2992" s="576">
        <v>0.1</v>
      </c>
      <c r="AD2992" s="48" t="str">
        <f>B2992</f>
        <v>Need help locating my case documents</v>
      </c>
      <c r="AP2992" s="48" t="s">
        <v>4253</v>
      </c>
      <c r="AQ2992" s="48" t="str">
        <f>BG501</f>
        <v>his</v>
      </c>
      <c r="AR2992" s="48" t="str">
        <f>BH501</f>
        <v xml:space="preserve"> case documents. </v>
      </c>
      <c r="AV2992" s="52" t="str">
        <f t="shared" ref="AV2992:AV3001" si="128">CONCATENATE(AP2992,AQ2992,AR2992)</f>
        <v xml:space="preserve">locate all his case documents. </v>
      </c>
    </row>
    <row r="2993" spans="1:48" hidden="1" x14ac:dyDescent="0.3">
      <c r="B2993" s="575" t="s">
        <v>3865</v>
      </c>
      <c r="D2993" s="48" t="s">
        <v>4079</v>
      </c>
      <c r="E2993" s="576">
        <f>E2992+0.1</f>
        <v>0.2</v>
      </c>
      <c r="AD2993" s="48" t="str">
        <f t="shared" ref="AD2993:AD3001" si="129">B2993</f>
        <v>Need help accessing my case documents</v>
      </c>
      <c r="AP2993" s="48" t="s">
        <v>4261</v>
      </c>
      <c r="AQ2993" s="48" t="str">
        <f>AQ2992</f>
        <v>his</v>
      </c>
      <c r="AR2993" s="48" t="str">
        <f>AR2992</f>
        <v xml:space="preserve"> case documents. </v>
      </c>
      <c r="AV2993" s="52" t="str">
        <f t="shared" si="128"/>
        <v xml:space="preserve">affordably access all his case documents. </v>
      </c>
    </row>
    <row r="2994" spans="1:48" hidden="1" x14ac:dyDescent="0.3">
      <c r="B2994" s="575" t="s">
        <v>3866</v>
      </c>
      <c r="D2994" s="48" t="s">
        <v>4081</v>
      </c>
      <c r="E2994" s="576">
        <f t="shared" ref="E2994:E3001" si="130">E2993+0.1</f>
        <v>0.30000000000000004</v>
      </c>
      <c r="AD2994" s="48" t="str">
        <f t="shared" si="129"/>
        <v>Need help scanning my case documents</v>
      </c>
      <c r="AP2994" s="48" t="s">
        <v>4254</v>
      </c>
      <c r="AQ2994" s="48" t="str">
        <f>AQ2993</f>
        <v>his</v>
      </c>
      <c r="AR2994" s="48" t="str">
        <f>AR2993</f>
        <v xml:space="preserve"> case documents. </v>
      </c>
      <c r="AV2994" s="52" t="str">
        <f t="shared" si="128"/>
        <v xml:space="preserve">find a digitized copy of all his case documents. </v>
      </c>
    </row>
    <row r="2995" spans="1:48" hidden="1" x14ac:dyDescent="0.3">
      <c r="B2995" s="575" t="s">
        <v>3867</v>
      </c>
      <c r="D2995" s="48" t="s">
        <v>4080</v>
      </c>
      <c r="E2995" s="576">
        <f t="shared" si="130"/>
        <v>0.4</v>
      </c>
      <c r="AD2995" s="48" t="str">
        <f t="shared" si="129"/>
        <v>Need help counting pages of case documents</v>
      </c>
      <c r="AP2995" s="48" t="s">
        <v>4255</v>
      </c>
      <c r="AQ2995" s="48" t="str">
        <f t="shared" ref="AQ2995:AQ3001" si="131">AQ2994</f>
        <v>his</v>
      </c>
      <c r="AR2995" s="48" t="str">
        <f>AR2994</f>
        <v xml:space="preserve"> case documents. </v>
      </c>
      <c r="AV2995" s="52" t="str">
        <f t="shared" si="128"/>
        <v xml:space="preserve">count the pages of all his case documents. </v>
      </c>
    </row>
    <row r="2996" spans="1:48" hidden="1" x14ac:dyDescent="0.3">
      <c r="B2996" s="575" t="s">
        <v>3869</v>
      </c>
      <c r="D2996" s="48" t="s">
        <v>4082</v>
      </c>
      <c r="E2996" s="576">
        <f t="shared" si="130"/>
        <v>0.5</v>
      </c>
      <c r="AD2996" s="48" t="str">
        <f t="shared" si="129"/>
        <v>Need help uploading case documents</v>
      </c>
      <c r="AP2996" s="48" t="s">
        <v>4256</v>
      </c>
      <c r="AQ2996" s="48" t="str">
        <f t="shared" si="131"/>
        <v>his</v>
      </c>
      <c r="AR2996" s="48" t="str">
        <f>AR2995</f>
        <v xml:space="preserve"> case documents. </v>
      </c>
      <c r="AV2996" s="52" t="str">
        <f t="shared" si="128"/>
        <v xml:space="preserve">upload all of his case documents. </v>
      </c>
    </row>
    <row r="2997" spans="1:48" hidden="1" x14ac:dyDescent="0.3">
      <c r="B2997" s="575" t="s">
        <v>3870</v>
      </c>
      <c r="D2997" s="48" t="s">
        <v>4083</v>
      </c>
      <c r="E2997" s="576">
        <f t="shared" si="130"/>
        <v>0.6</v>
      </c>
      <c r="AD2997" s="48" t="str">
        <f t="shared" si="129"/>
        <v>Need help checking if URL works</v>
      </c>
      <c r="AP2997" s="48" t="s">
        <v>4257</v>
      </c>
      <c r="AQ2997" s="48" t="str">
        <f t="shared" si="131"/>
        <v>his</v>
      </c>
      <c r="AR2997" s="48" t="str">
        <f>AR2996</f>
        <v xml:space="preserve"> case documents. </v>
      </c>
      <c r="AV2997" s="52" t="str">
        <f t="shared" si="128"/>
        <v xml:space="preserve">check the links to all of his case documents. </v>
      </c>
    </row>
    <row r="2998" spans="1:48" hidden="1" x14ac:dyDescent="0.3">
      <c r="B2998" s="575" t="s">
        <v>3868</v>
      </c>
      <c r="D2998" s="48" t="s">
        <v>4084</v>
      </c>
      <c r="E2998" s="576">
        <f t="shared" si="130"/>
        <v>0.7</v>
      </c>
      <c r="AD2998" s="48" t="str">
        <f t="shared" si="129"/>
        <v>Need help identifying support in case documents</v>
      </c>
      <c r="AP2998" s="48" t="s">
        <v>4258</v>
      </c>
      <c r="AQ2998" s="48" t="str">
        <f t="shared" si="131"/>
        <v>his</v>
      </c>
      <c r="AR2998" s="48" t="str">
        <f>AR2997</f>
        <v xml:space="preserve"> case documents. </v>
      </c>
      <c r="AV2998" s="52" t="str">
        <f t="shared" si="128"/>
        <v xml:space="preserve">identify any support in his case documents. </v>
      </c>
    </row>
    <row r="2999" spans="1:48" hidden="1" x14ac:dyDescent="0.3">
      <c r="B2999" s="575" t="s">
        <v>3871</v>
      </c>
      <c r="D2999" s="48" t="s">
        <v>4085</v>
      </c>
      <c r="E2999" s="576">
        <f t="shared" si="130"/>
        <v>0.79999999999999993</v>
      </c>
      <c r="AD2999" s="48" t="str">
        <f t="shared" si="129"/>
        <v>Need help hiring independent verifiers</v>
      </c>
      <c r="AP2999" s="48" t="s">
        <v>4262</v>
      </c>
      <c r="AQ2999" s="48" t="str">
        <f t="shared" si="131"/>
        <v>his</v>
      </c>
      <c r="AR2999" s="48" t="str">
        <f>AR2998</f>
        <v xml:space="preserve"> case documents. </v>
      </c>
      <c r="AV2999" s="52" t="str">
        <f t="shared" si="128"/>
        <v xml:space="preserve">hire impartial verifiers to review his case documents. </v>
      </c>
    </row>
    <row r="3000" spans="1:48" hidden="1" x14ac:dyDescent="0.3">
      <c r="B3000" s="575" t="s">
        <v>3872</v>
      </c>
      <c r="D3000" s="48" t="s">
        <v>4086</v>
      </c>
      <c r="E3000" s="576">
        <f t="shared" si="130"/>
        <v>0.89999999999999991</v>
      </c>
      <c r="AD3000" s="48" t="str">
        <f t="shared" si="129"/>
        <v>Need help verifying claim using case documents</v>
      </c>
      <c r="AP3000" s="48" t="s">
        <v>4259</v>
      </c>
      <c r="AQ3000" s="48" t="str">
        <f t="shared" si="131"/>
        <v>his</v>
      </c>
      <c r="AR3000" s="48" t="s">
        <v>4263</v>
      </c>
      <c r="AV3000" s="52" t="str">
        <f t="shared" si="128"/>
        <v>independently validate or invalidate his innocence claim.</v>
      </c>
    </row>
    <row r="3001" spans="1:48" hidden="1" x14ac:dyDescent="0.3">
      <c r="B3001" s="575" t="s">
        <v>3873</v>
      </c>
      <c r="D3001" s="48" t="s">
        <v>4086</v>
      </c>
      <c r="E3001" s="576">
        <f t="shared" si="130"/>
        <v>0.99999999999999989</v>
      </c>
      <c r="AD3001" s="48" t="str">
        <f t="shared" si="129"/>
        <v>Need accreditation on claim verification</v>
      </c>
      <c r="AP3001" s="48" t="s">
        <v>4260</v>
      </c>
      <c r="AQ3001" s="48" t="str">
        <f t="shared" si="131"/>
        <v>his</v>
      </c>
      <c r="AR3001" s="48" t="s">
        <v>4263</v>
      </c>
      <c r="AV3001" s="52" t="str">
        <f t="shared" si="128"/>
        <v>vouch for the impartiality in qualifyin his innocence claim.</v>
      </c>
    </row>
    <row r="3002" spans="1:48" hidden="1" x14ac:dyDescent="0.3"/>
    <row r="3003" spans="1:48" hidden="1" x14ac:dyDescent="0.3"/>
    <row r="3004" spans="1:48" hidden="1" x14ac:dyDescent="0.3"/>
    <row r="3005" spans="1:48" ht="17.5" hidden="1" x14ac:dyDescent="0.35">
      <c r="A3005" s="567" t="s">
        <v>3874</v>
      </c>
      <c r="B3005" s="567" t="str">
        <f>B521</f>
        <v>Common factors in wrongful convictions</v>
      </c>
      <c r="C3005" s="567"/>
      <c r="D3005" s="567"/>
      <c r="E3005" s="567"/>
      <c r="F3005" s="567"/>
    </row>
    <row r="3006" spans="1:48" hidden="1" x14ac:dyDescent="0.3"/>
    <row r="3007" spans="1:48" ht="15" hidden="1" x14ac:dyDescent="0.3">
      <c r="B3007" s="392" t="s">
        <v>930</v>
      </c>
    </row>
    <row r="3008" spans="1:48" hidden="1" x14ac:dyDescent="0.3">
      <c r="B3008" s="48" t="s">
        <v>287</v>
      </c>
      <c r="D3008" s="48">
        <v>0</v>
      </c>
      <c r="E3008" s="48">
        <v>0</v>
      </c>
    </row>
    <row r="3009" spans="2:54" hidden="1" x14ac:dyDescent="0.3">
      <c r="B3009" s="48" t="s">
        <v>304</v>
      </c>
      <c r="D3009" s="48">
        <v>0.25</v>
      </c>
      <c r="E3009" s="48">
        <v>1</v>
      </c>
    </row>
    <row r="3010" spans="2:54" hidden="1" x14ac:dyDescent="0.3">
      <c r="B3010" s="48" t="s">
        <v>335</v>
      </c>
      <c r="D3010" s="48">
        <v>0.5</v>
      </c>
      <c r="E3010" s="48">
        <v>2</v>
      </c>
    </row>
    <row r="3011" spans="2:54" hidden="1" x14ac:dyDescent="0.3">
      <c r="B3011" s="48" t="s">
        <v>295</v>
      </c>
      <c r="C3011" s="52"/>
      <c r="D3011" s="52">
        <v>1</v>
      </c>
      <c r="E3011" s="52">
        <v>4</v>
      </c>
      <c r="F3011" s="52"/>
    </row>
    <row r="3012" spans="2:54" hidden="1" x14ac:dyDescent="0.3">
      <c r="C3012" s="52"/>
      <c r="D3012" s="52"/>
      <c r="E3012" s="52"/>
      <c r="F3012" s="52"/>
    </row>
    <row r="3013" spans="2:54" ht="15" hidden="1" x14ac:dyDescent="0.3">
      <c r="B3013" s="392" t="s">
        <v>931</v>
      </c>
      <c r="C3013" s="52"/>
      <c r="D3013" s="52"/>
      <c r="E3013" s="52"/>
      <c r="F3013" s="52"/>
    </row>
    <row r="3014" spans="2:54" hidden="1" x14ac:dyDescent="0.3">
      <c r="B3014" s="48" t="s">
        <v>347</v>
      </c>
      <c r="E3014" s="101">
        <f t="shared" ref="E3014:E3019" si="132">AC3014</f>
        <v>0.25000000000000006</v>
      </c>
      <c r="F3014" s="101"/>
      <c r="G3014" s="4">
        <f>G3015-0.1</f>
        <v>0.50000000000000011</v>
      </c>
      <c r="AA3014" s="101"/>
      <c r="AB3014" s="101">
        <f t="shared" ref="AB3014:AD3017" si="133">AB3015-0.05</f>
        <v>0.49999999999999983</v>
      </c>
      <c r="AC3014" s="101">
        <f t="shared" si="133"/>
        <v>0.25000000000000006</v>
      </c>
      <c r="AD3014" s="101">
        <f t="shared" si="133"/>
        <v>0</v>
      </c>
      <c r="AE3014" s="101">
        <f>AE3015-0.2</f>
        <v>0</v>
      </c>
      <c r="BB3014" s="48"/>
    </row>
    <row r="3015" spans="2:54" hidden="1" x14ac:dyDescent="0.3">
      <c r="B3015" s="48" t="s">
        <v>315</v>
      </c>
      <c r="E3015" s="101">
        <f t="shared" si="132"/>
        <v>0.30000000000000004</v>
      </c>
      <c r="F3015" s="101"/>
      <c r="G3015" s="4">
        <f>G3016-0.1</f>
        <v>0.60000000000000009</v>
      </c>
      <c r="AA3015" s="101"/>
      <c r="AB3015" s="101">
        <f t="shared" si="133"/>
        <v>0.54999999999999982</v>
      </c>
      <c r="AC3015" s="101">
        <f t="shared" si="133"/>
        <v>0.30000000000000004</v>
      </c>
      <c r="AD3015" s="101">
        <f t="shared" si="133"/>
        <v>5.0000000000000017E-2</v>
      </c>
      <c r="AE3015" s="101">
        <f>AE3016-0.2</f>
        <v>0.20000000000000007</v>
      </c>
      <c r="BB3015" s="48"/>
    </row>
    <row r="3016" spans="2:54" hidden="1" x14ac:dyDescent="0.3">
      <c r="B3016" s="48" t="s">
        <v>322</v>
      </c>
      <c r="E3016" s="101">
        <f t="shared" si="132"/>
        <v>0.35000000000000003</v>
      </c>
      <c r="F3016" s="101"/>
      <c r="G3016" s="4">
        <f>G3017-0.1</f>
        <v>0.70000000000000007</v>
      </c>
      <c r="AA3016" s="101"/>
      <c r="AB3016" s="101">
        <f t="shared" si="133"/>
        <v>0.59999999999999987</v>
      </c>
      <c r="AC3016" s="101">
        <f t="shared" si="133"/>
        <v>0.35000000000000003</v>
      </c>
      <c r="AD3016" s="101">
        <f t="shared" si="133"/>
        <v>0.10000000000000002</v>
      </c>
      <c r="AE3016" s="101">
        <f>AE3017-0.2</f>
        <v>0.40000000000000008</v>
      </c>
      <c r="BB3016" s="48"/>
    </row>
    <row r="3017" spans="2:54" hidden="1" x14ac:dyDescent="0.3">
      <c r="B3017" s="48" t="s">
        <v>379</v>
      </c>
      <c r="E3017" s="101">
        <f t="shared" si="132"/>
        <v>0.4</v>
      </c>
      <c r="F3017" s="101"/>
      <c r="G3017" s="4">
        <f>G3018-0.1</f>
        <v>0.8</v>
      </c>
      <c r="AA3017" s="101"/>
      <c r="AB3017" s="101">
        <f t="shared" si="133"/>
        <v>0.64999999999999991</v>
      </c>
      <c r="AC3017" s="101">
        <f t="shared" si="133"/>
        <v>0.4</v>
      </c>
      <c r="AD3017" s="101">
        <f t="shared" si="133"/>
        <v>0.15000000000000002</v>
      </c>
      <c r="AE3017" s="101">
        <f>AE3018-0.2</f>
        <v>0.60000000000000009</v>
      </c>
      <c r="BB3017" s="48"/>
    </row>
    <row r="3018" spans="2:54" hidden="1" x14ac:dyDescent="0.3">
      <c r="B3018" s="48" t="s">
        <v>311</v>
      </c>
      <c r="E3018" s="101">
        <f t="shared" si="132"/>
        <v>0.45</v>
      </c>
      <c r="F3018" s="101"/>
      <c r="G3018" s="4">
        <f>G3019-0.1</f>
        <v>0.9</v>
      </c>
      <c r="AA3018" s="101"/>
      <c r="AB3018" s="101">
        <f>AB3019-0.05</f>
        <v>0.7</v>
      </c>
      <c r="AC3018" s="101">
        <f>AC3019-0.05</f>
        <v>0.45</v>
      </c>
      <c r="AD3018" s="101">
        <f>AD3019-0.05</f>
        <v>0.2</v>
      </c>
      <c r="AE3018" s="101">
        <f>AE3019-0.2</f>
        <v>0.8</v>
      </c>
      <c r="BB3018" s="48"/>
    </row>
    <row r="3019" spans="2:54" hidden="1" x14ac:dyDescent="0.3">
      <c r="B3019" s="48" t="s">
        <v>296</v>
      </c>
      <c r="E3019" s="101">
        <f t="shared" si="132"/>
        <v>0.5</v>
      </c>
      <c r="F3019" s="101"/>
      <c r="G3019" s="4">
        <v>1</v>
      </c>
      <c r="AA3019" s="101"/>
      <c r="AB3019" s="101">
        <v>0.75</v>
      </c>
      <c r="AC3019" s="48">
        <v>0.5</v>
      </c>
      <c r="AD3019" s="101">
        <v>0.25</v>
      </c>
      <c r="AE3019" s="101">
        <v>1</v>
      </c>
      <c r="BB3019" s="48"/>
    </row>
    <row r="3020" spans="2:54" hidden="1" x14ac:dyDescent="0.3">
      <c r="C3020" s="52"/>
      <c r="D3020" s="52"/>
      <c r="BB3020" s="48"/>
    </row>
    <row r="3021" spans="2:54" ht="15" hidden="1" x14ac:dyDescent="0.3">
      <c r="B3021" s="392" t="s">
        <v>932</v>
      </c>
      <c r="BB3021" s="48"/>
    </row>
    <row r="3022" spans="2:54" hidden="1" x14ac:dyDescent="0.3">
      <c r="B3022" s="48" t="s">
        <v>933</v>
      </c>
      <c r="E3022" s="101">
        <v>-2</v>
      </c>
      <c r="F3022" s="101"/>
      <c r="BB3022" s="48"/>
    </row>
    <row r="3023" spans="2:54" hidden="1" x14ac:dyDescent="0.3">
      <c r="B3023" s="48" t="s">
        <v>934</v>
      </c>
      <c r="E3023" s="101">
        <v>-1</v>
      </c>
      <c r="F3023" s="101"/>
      <c r="BB3023" s="48"/>
    </row>
    <row r="3024" spans="2:54" hidden="1" x14ac:dyDescent="0.3">
      <c r="B3024" s="48" t="s">
        <v>935</v>
      </c>
      <c r="E3024" s="101">
        <v>-0.5</v>
      </c>
      <c r="F3024" s="101"/>
      <c r="BB3024" s="48"/>
    </row>
    <row r="3025" spans="1:54" hidden="1" x14ac:dyDescent="0.3">
      <c r="B3025" s="48" t="s">
        <v>936</v>
      </c>
      <c r="E3025" s="101">
        <v>-0.25</v>
      </c>
      <c r="F3025" s="101"/>
      <c r="BB3025" s="48"/>
    </row>
    <row r="3026" spans="1:54" hidden="1" x14ac:dyDescent="0.3">
      <c r="B3026" s="48" t="s">
        <v>937</v>
      </c>
      <c r="E3026" s="101">
        <v>0</v>
      </c>
      <c r="F3026" s="101"/>
      <c r="BB3026" s="48"/>
    </row>
    <row r="3027" spans="1:54" hidden="1" x14ac:dyDescent="0.3">
      <c r="B3027" s="48" t="s">
        <v>938</v>
      </c>
      <c r="E3027" s="101">
        <v>0.25</v>
      </c>
      <c r="F3027" s="101"/>
      <c r="BB3027" s="48"/>
    </row>
    <row r="3028" spans="1:54" hidden="1" x14ac:dyDescent="0.3">
      <c r="B3028" s="48" t="s">
        <v>939</v>
      </c>
      <c r="E3028" s="101">
        <v>0.5</v>
      </c>
      <c r="F3028" s="101"/>
      <c r="BB3028" s="48"/>
    </row>
    <row r="3029" spans="1:54" hidden="1" x14ac:dyDescent="0.3">
      <c r="B3029" s="48" t="s">
        <v>305</v>
      </c>
      <c r="E3029" s="101">
        <v>1</v>
      </c>
      <c r="F3029" s="101"/>
      <c r="BB3029" s="48"/>
    </row>
    <row r="3030" spans="1:54" hidden="1" x14ac:dyDescent="0.3"/>
    <row r="3031" spans="1:54" hidden="1" x14ac:dyDescent="0.3">
      <c r="C3031" s="48" t="s">
        <v>3816</v>
      </c>
    </row>
    <row r="3032" spans="1:54" hidden="1" x14ac:dyDescent="0.3">
      <c r="C3032" s="48" t="s">
        <v>3817</v>
      </c>
    </row>
    <row r="3033" spans="1:54" hidden="1" x14ac:dyDescent="0.3"/>
    <row r="3034" spans="1:54" hidden="1" x14ac:dyDescent="0.3"/>
    <row r="3035" spans="1:54" hidden="1" x14ac:dyDescent="0.3">
      <c r="G3035" s="48"/>
      <c r="H3035" s="48"/>
      <c r="I3035" s="48"/>
      <c r="J3035" s="48"/>
      <c r="K3035" s="48"/>
      <c r="L3035" s="48"/>
      <c r="M3035" s="48"/>
      <c r="N3035" s="48"/>
      <c r="O3035" s="48"/>
      <c r="P3035" s="48"/>
      <c r="Q3035" s="48"/>
      <c r="R3035" s="48"/>
      <c r="S3035" s="48"/>
      <c r="T3035" s="48"/>
      <c r="U3035" s="48"/>
      <c r="V3035" s="48"/>
      <c r="W3035" s="48"/>
      <c r="X3035" s="48"/>
      <c r="Y3035" s="48"/>
      <c r="Z3035" s="48"/>
      <c r="BB3035" s="48"/>
    </row>
    <row r="3036" spans="1:54" ht="17.5" hidden="1" x14ac:dyDescent="0.35">
      <c r="A3036" s="567" t="str">
        <f>A783</f>
        <v>D.</v>
      </c>
      <c r="B3036" s="567" t="str">
        <f>B783</f>
        <v>Requests and responses for exoneration help</v>
      </c>
      <c r="C3036" s="567"/>
      <c r="D3036" s="567"/>
      <c r="E3036" s="567"/>
      <c r="F3036" s="567"/>
      <c r="G3036" s="48"/>
      <c r="H3036" s="48"/>
      <c r="I3036" s="48"/>
      <c r="J3036" s="48"/>
      <c r="K3036" s="48"/>
      <c r="L3036" s="48"/>
      <c r="M3036" s="48"/>
      <c r="N3036" s="48"/>
      <c r="O3036" s="48"/>
      <c r="P3036" s="48"/>
      <c r="Q3036" s="48"/>
      <c r="R3036" s="48"/>
      <c r="S3036" s="48"/>
      <c r="T3036" s="48"/>
      <c r="U3036" s="48"/>
      <c r="V3036" s="48"/>
      <c r="W3036" s="48"/>
      <c r="X3036" s="48"/>
      <c r="Y3036" s="48"/>
      <c r="Z3036" s="48"/>
      <c r="BB3036" s="48"/>
    </row>
    <row r="3037" spans="1:54" hidden="1" x14ac:dyDescent="0.3">
      <c r="G3037" s="48"/>
      <c r="H3037" s="48"/>
      <c r="I3037" s="48"/>
      <c r="J3037" s="48"/>
      <c r="K3037" s="48"/>
      <c r="L3037" s="48"/>
      <c r="M3037" s="48"/>
      <c r="N3037" s="48"/>
      <c r="O3037" s="48"/>
      <c r="P3037" s="48"/>
      <c r="Q3037" s="48"/>
      <c r="R3037" s="48"/>
      <c r="S3037" s="48"/>
      <c r="T3037" s="48"/>
      <c r="U3037" s="48"/>
      <c r="V3037" s="48"/>
      <c r="W3037" s="48"/>
      <c r="X3037" s="48"/>
      <c r="Y3037" s="48"/>
      <c r="Z3037" s="48"/>
      <c r="BB3037" s="48"/>
    </row>
    <row r="3038" spans="1:54" ht="14.5" hidden="1" x14ac:dyDescent="0.3">
      <c r="B3038" s="578" t="str">
        <f>B787</f>
        <v>Satisfaction level:</v>
      </c>
      <c r="C3038" s="577" t="s">
        <v>3875</v>
      </c>
      <c r="G3038" s="48"/>
      <c r="H3038" s="48"/>
      <c r="I3038" s="48"/>
      <c r="J3038" s="48"/>
      <c r="K3038" s="48"/>
      <c r="L3038" s="48"/>
      <c r="M3038" s="48"/>
      <c r="N3038" s="48"/>
      <c r="O3038" s="48"/>
      <c r="P3038" s="48"/>
      <c r="Q3038" s="48"/>
      <c r="R3038" s="48"/>
      <c r="S3038" s="48"/>
      <c r="T3038" s="48"/>
      <c r="U3038" s="48"/>
      <c r="V3038" s="48"/>
      <c r="W3038" s="48"/>
      <c r="X3038" s="48"/>
      <c r="Y3038" s="48"/>
      <c r="Z3038" s="48"/>
      <c r="BB3038" s="48"/>
    </row>
    <row r="3039" spans="1:54" ht="14.5" hidden="1" x14ac:dyDescent="0.3">
      <c r="C3039" s="577" t="s">
        <v>3876</v>
      </c>
      <c r="G3039" s="48"/>
      <c r="H3039" s="48"/>
      <c r="I3039" s="48"/>
      <c r="J3039" s="48"/>
      <c r="K3039" s="48"/>
      <c r="L3039" s="48"/>
      <c r="M3039" s="48"/>
      <c r="N3039" s="48"/>
      <c r="O3039" s="48"/>
      <c r="P3039" s="48"/>
      <c r="Q3039" s="48"/>
      <c r="R3039" s="48"/>
      <c r="S3039" s="48"/>
      <c r="T3039" s="48"/>
      <c r="U3039" s="48"/>
      <c r="V3039" s="48"/>
      <c r="W3039" s="48"/>
      <c r="X3039" s="48"/>
      <c r="Y3039" s="48"/>
      <c r="Z3039" s="48"/>
      <c r="BB3039" s="48"/>
    </row>
    <row r="3040" spans="1:54" ht="14.5" hidden="1" x14ac:dyDescent="0.3">
      <c r="C3040" s="577" t="s">
        <v>3877</v>
      </c>
      <c r="G3040" s="48"/>
      <c r="H3040" s="48"/>
      <c r="I3040" s="48"/>
      <c r="J3040" s="48"/>
      <c r="K3040" s="48"/>
      <c r="L3040" s="48"/>
      <c r="M3040" s="48"/>
      <c r="N3040" s="48"/>
      <c r="O3040" s="48"/>
      <c r="P3040" s="48"/>
      <c r="Q3040" s="48"/>
      <c r="R3040" s="48"/>
      <c r="S3040" s="48"/>
      <c r="T3040" s="48"/>
      <c r="U3040" s="48"/>
      <c r="V3040" s="48"/>
      <c r="W3040" s="48"/>
      <c r="X3040" s="48"/>
      <c r="Y3040" s="48"/>
      <c r="Z3040" s="48"/>
      <c r="BB3040" s="48"/>
    </row>
    <row r="3041" spans="2:54" ht="14.5" hidden="1" x14ac:dyDescent="0.3">
      <c r="C3041" s="577" t="s">
        <v>3878</v>
      </c>
      <c r="G3041" s="48"/>
      <c r="H3041" s="48"/>
      <c r="I3041" s="48"/>
      <c r="J3041" s="48"/>
      <c r="K3041" s="48"/>
      <c r="L3041" s="48"/>
      <c r="M3041" s="48"/>
      <c r="N3041" s="48"/>
      <c r="O3041" s="48"/>
      <c r="P3041" s="48"/>
      <c r="Q3041" s="48"/>
      <c r="R3041" s="48"/>
      <c r="S3041" s="48"/>
      <c r="T3041" s="48"/>
      <c r="U3041" s="48"/>
      <c r="V3041" s="48"/>
      <c r="W3041" s="48"/>
      <c r="X3041" s="48"/>
      <c r="Y3041" s="48"/>
      <c r="Z3041" s="48"/>
      <c r="BB3041" s="48"/>
    </row>
    <row r="3042" spans="2:54" ht="14.5" hidden="1" x14ac:dyDescent="0.3">
      <c r="C3042" s="577" t="s">
        <v>3879</v>
      </c>
      <c r="G3042" s="48"/>
      <c r="H3042" s="48"/>
      <c r="I3042" s="48"/>
      <c r="J3042" s="48"/>
      <c r="K3042" s="48"/>
      <c r="L3042" s="48"/>
      <c r="M3042" s="48"/>
      <c r="N3042" s="48"/>
      <c r="O3042" s="48"/>
      <c r="P3042" s="48"/>
      <c r="Q3042" s="48"/>
      <c r="R3042" s="48"/>
      <c r="S3042" s="48"/>
      <c r="T3042" s="48"/>
      <c r="U3042" s="48"/>
      <c r="V3042" s="48"/>
      <c r="W3042" s="48"/>
      <c r="X3042" s="48"/>
      <c r="Y3042" s="48"/>
      <c r="Z3042" s="48"/>
      <c r="BB3042" s="48"/>
    </row>
    <row r="3043" spans="2:54" hidden="1" x14ac:dyDescent="0.3">
      <c r="G3043" s="48"/>
      <c r="H3043" s="48"/>
      <c r="I3043" s="48"/>
      <c r="J3043" s="48"/>
      <c r="K3043" s="48"/>
      <c r="L3043" s="48"/>
      <c r="M3043" s="48"/>
      <c r="N3043" s="48"/>
      <c r="O3043" s="48"/>
      <c r="P3043" s="48"/>
      <c r="Q3043" s="48"/>
      <c r="R3043" s="48"/>
      <c r="S3043" s="48"/>
      <c r="T3043" s="48"/>
      <c r="U3043" s="48"/>
      <c r="V3043" s="48"/>
      <c r="W3043" s="48"/>
      <c r="X3043" s="48"/>
      <c r="Y3043" s="48"/>
      <c r="Z3043" s="48"/>
      <c r="BB3043" s="48"/>
    </row>
    <row r="3044" spans="2:54" ht="14.5" hidden="1" x14ac:dyDescent="0.3">
      <c r="B3044" s="578" t="str">
        <f>B788</f>
        <v>Trust level:</v>
      </c>
      <c r="C3044" s="577" t="s">
        <v>3880</v>
      </c>
      <c r="G3044" s="48"/>
      <c r="H3044" s="48"/>
      <c r="I3044" s="48"/>
      <c r="J3044" s="48"/>
      <c r="K3044" s="48"/>
      <c r="L3044" s="48"/>
      <c r="M3044" s="48"/>
      <c r="N3044" s="48"/>
      <c r="O3044" s="48"/>
      <c r="P3044" s="48"/>
      <c r="Q3044" s="48"/>
      <c r="R3044" s="48"/>
      <c r="S3044" s="48"/>
      <c r="T3044" s="48"/>
      <c r="U3044" s="48"/>
      <c r="V3044" s="48"/>
      <c r="W3044" s="48"/>
      <c r="X3044" s="48"/>
      <c r="Y3044" s="48"/>
      <c r="Z3044" s="48"/>
      <c r="BB3044" s="48"/>
    </row>
    <row r="3045" spans="2:54" ht="14.5" hidden="1" x14ac:dyDescent="0.3">
      <c r="C3045" s="577" t="s">
        <v>3881</v>
      </c>
      <c r="G3045" s="48"/>
      <c r="H3045" s="48"/>
      <c r="I3045" s="48"/>
      <c r="J3045" s="48"/>
      <c r="K3045" s="48"/>
      <c r="L3045" s="48"/>
      <c r="M3045" s="48"/>
      <c r="N3045" s="48"/>
      <c r="O3045" s="48"/>
      <c r="P3045" s="48"/>
      <c r="Q3045" s="48"/>
      <c r="R3045" s="48"/>
      <c r="S3045" s="48"/>
      <c r="T3045" s="48"/>
      <c r="U3045" s="48"/>
      <c r="V3045" s="48"/>
      <c r="W3045" s="48"/>
      <c r="X3045" s="48"/>
      <c r="Y3045" s="48"/>
      <c r="Z3045" s="48"/>
      <c r="BB3045" s="48"/>
    </row>
    <row r="3046" spans="2:54" ht="14.5" hidden="1" x14ac:dyDescent="0.3">
      <c r="C3046" s="577" t="s">
        <v>3882</v>
      </c>
      <c r="G3046" s="48"/>
      <c r="H3046" s="48"/>
      <c r="I3046" s="48"/>
      <c r="J3046" s="48"/>
      <c r="K3046" s="48"/>
      <c r="L3046" s="48"/>
      <c r="M3046" s="48"/>
      <c r="N3046" s="48"/>
      <c r="O3046" s="48"/>
      <c r="P3046" s="48"/>
      <c r="Q3046" s="48"/>
      <c r="R3046" s="48"/>
      <c r="S3046" s="48"/>
      <c r="T3046" s="48"/>
      <c r="U3046" s="48"/>
      <c r="V3046" s="48"/>
      <c r="W3046" s="48"/>
      <c r="X3046" s="48"/>
      <c r="Y3046" s="48"/>
      <c r="Z3046" s="48"/>
      <c r="BB3046" s="48"/>
    </row>
    <row r="3047" spans="2:54" ht="14.5" hidden="1" x14ac:dyDescent="0.3">
      <c r="C3047" s="577" t="s">
        <v>3883</v>
      </c>
      <c r="G3047" s="48"/>
      <c r="H3047" s="48"/>
      <c r="I3047" s="48"/>
      <c r="J3047" s="48"/>
      <c r="K3047" s="48"/>
      <c r="L3047" s="48"/>
      <c r="M3047" s="48"/>
      <c r="N3047" s="48"/>
      <c r="O3047" s="48"/>
      <c r="P3047" s="48"/>
      <c r="Q3047" s="48"/>
      <c r="R3047" s="48"/>
      <c r="S3047" s="48"/>
      <c r="T3047" s="48"/>
      <c r="U3047" s="48"/>
      <c r="V3047" s="48"/>
      <c r="W3047" s="48"/>
      <c r="X3047" s="48"/>
      <c r="Y3047" s="48"/>
      <c r="Z3047" s="48"/>
      <c r="BB3047" s="48"/>
    </row>
    <row r="3048" spans="2:54" ht="14.5" hidden="1" x14ac:dyDescent="0.3">
      <c r="B3048" s="52"/>
      <c r="C3048" s="577" t="s">
        <v>3884</v>
      </c>
      <c r="G3048" s="48"/>
      <c r="H3048" s="48"/>
      <c r="I3048" s="48"/>
      <c r="J3048" s="48"/>
      <c r="K3048" s="48"/>
      <c r="L3048" s="48"/>
      <c r="M3048" s="48"/>
      <c r="N3048" s="48"/>
      <c r="O3048" s="48"/>
      <c r="P3048" s="48"/>
      <c r="Q3048" s="48"/>
      <c r="R3048" s="48"/>
      <c r="S3048" s="48"/>
      <c r="T3048" s="48"/>
      <c r="U3048" s="48"/>
      <c r="V3048" s="48"/>
      <c r="W3048" s="48"/>
      <c r="X3048" s="48"/>
      <c r="Y3048" s="48"/>
      <c r="Z3048" s="48"/>
      <c r="BB3048" s="48"/>
    </row>
    <row r="3049" spans="2:54" hidden="1" x14ac:dyDescent="0.3">
      <c r="G3049" s="48"/>
      <c r="H3049" s="48"/>
      <c r="I3049" s="48"/>
      <c r="J3049" s="48"/>
      <c r="K3049" s="48"/>
      <c r="L3049" s="48"/>
      <c r="M3049" s="48"/>
      <c r="N3049" s="48"/>
      <c r="O3049" s="48"/>
      <c r="P3049" s="48"/>
      <c r="Q3049" s="48"/>
      <c r="R3049" s="48"/>
      <c r="S3049" s="48"/>
      <c r="T3049" s="48"/>
      <c r="U3049" s="48"/>
      <c r="V3049" s="48"/>
      <c r="W3049" s="48"/>
      <c r="X3049" s="48"/>
      <c r="Y3049" s="48"/>
      <c r="Z3049" s="48"/>
      <c r="BB3049" s="48"/>
    </row>
    <row r="3050" spans="2:54" ht="14.5" hidden="1" x14ac:dyDescent="0.3">
      <c r="B3050" s="52">
        <v>62</v>
      </c>
      <c r="C3050" s="577" t="s">
        <v>3885</v>
      </c>
      <c r="G3050" s="48"/>
      <c r="H3050" s="48"/>
      <c r="I3050" s="48"/>
      <c r="J3050" s="48"/>
      <c r="K3050" s="48"/>
      <c r="L3050" s="48"/>
      <c r="M3050" s="48"/>
      <c r="N3050" s="48"/>
      <c r="O3050" s="48"/>
      <c r="P3050" s="48"/>
      <c r="Q3050" s="48"/>
      <c r="R3050" s="48"/>
      <c r="S3050" s="48"/>
      <c r="T3050" s="48"/>
      <c r="U3050" s="48"/>
      <c r="V3050" s="48"/>
      <c r="W3050" s="48"/>
      <c r="X3050" s="48"/>
      <c r="Y3050" s="48"/>
      <c r="Z3050" s="48"/>
      <c r="BB3050" s="48"/>
    </row>
    <row r="3051" spans="2:54" ht="14.5" hidden="1" x14ac:dyDescent="0.3">
      <c r="C3051" s="577" t="s">
        <v>3886</v>
      </c>
      <c r="G3051" s="48"/>
      <c r="H3051" s="48"/>
      <c r="I3051" s="48"/>
      <c r="J3051" s="48"/>
      <c r="K3051" s="48"/>
      <c r="L3051" s="48"/>
      <c r="M3051" s="48"/>
      <c r="N3051" s="48"/>
      <c r="O3051" s="48"/>
      <c r="P3051" s="48"/>
      <c r="Q3051" s="48"/>
      <c r="R3051" s="48"/>
      <c r="S3051" s="48"/>
      <c r="T3051" s="48"/>
      <c r="U3051" s="48"/>
      <c r="V3051" s="48"/>
      <c r="W3051" s="48"/>
      <c r="X3051" s="48"/>
      <c r="Y3051" s="48"/>
      <c r="Z3051" s="48"/>
      <c r="BB3051" s="48"/>
    </row>
    <row r="3052" spans="2:54" ht="14.5" hidden="1" x14ac:dyDescent="0.3">
      <c r="C3052" s="577" t="s">
        <v>3887</v>
      </c>
      <c r="G3052" s="48"/>
      <c r="H3052" s="48"/>
      <c r="I3052" s="48"/>
      <c r="J3052" s="48"/>
      <c r="K3052" s="48"/>
      <c r="L3052" s="48"/>
      <c r="M3052" s="48"/>
      <c r="N3052" s="48"/>
      <c r="O3052" s="48"/>
      <c r="P3052" s="48"/>
      <c r="Q3052" s="48"/>
      <c r="R3052" s="48"/>
      <c r="S3052" s="48"/>
      <c r="T3052" s="48"/>
      <c r="U3052" s="48"/>
      <c r="V3052" s="48"/>
      <c r="W3052" s="48"/>
      <c r="X3052" s="48"/>
      <c r="Y3052" s="48"/>
      <c r="Z3052" s="48"/>
      <c r="BB3052" s="48"/>
    </row>
    <row r="3053" spans="2:54" ht="14.5" hidden="1" x14ac:dyDescent="0.3">
      <c r="C3053" s="577" t="s">
        <v>3888</v>
      </c>
      <c r="G3053" s="48"/>
      <c r="H3053" s="48"/>
      <c r="I3053" s="48"/>
      <c r="J3053" s="48"/>
      <c r="K3053" s="48"/>
      <c r="L3053" s="48"/>
      <c r="M3053" s="48"/>
      <c r="N3053" s="48"/>
      <c r="O3053" s="48"/>
      <c r="P3053" s="48"/>
      <c r="Q3053" s="48"/>
      <c r="R3053" s="48"/>
      <c r="S3053" s="48"/>
      <c r="T3053" s="48"/>
      <c r="U3053" s="48"/>
      <c r="V3053" s="48"/>
      <c r="W3053" s="48"/>
      <c r="X3053" s="48"/>
      <c r="Y3053" s="48"/>
      <c r="Z3053" s="48"/>
      <c r="BB3053" s="48"/>
    </row>
    <row r="3054" spans="2:54" ht="14.5" hidden="1" x14ac:dyDescent="0.3">
      <c r="C3054" s="577" t="s">
        <v>3889</v>
      </c>
      <c r="G3054" s="48"/>
      <c r="H3054" s="48"/>
      <c r="I3054" s="48"/>
      <c r="J3054" s="48"/>
      <c r="K3054" s="48"/>
      <c r="L3054" s="48"/>
      <c r="M3054" s="48"/>
      <c r="N3054" s="48"/>
      <c r="O3054" s="48"/>
      <c r="P3054" s="48"/>
      <c r="Q3054" s="48"/>
      <c r="R3054" s="48"/>
      <c r="S3054" s="48"/>
      <c r="T3054" s="48"/>
      <c r="U3054" s="48"/>
      <c r="V3054" s="48"/>
      <c r="W3054" s="48"/>
      <c r="X3054" s="48"/>
      <c r="Y3054" s="48"/>
      <c r="Z3054" s="48"/>
      <c r="BB3054" s="48"/>
    </row>
    <row r="3055" spans="2:54" hidden="1" x14ac:dyDescent="0.3">
      <c r="G3055" s="48"/>
      <c r="H3055" s="48"/>
      <c r="I3055" s="48"/>
      <c r="J3055" s="48"/>
      <c r="K3055" s="48"/>
      <c r="L3055" s="48"/>
      <c r="M3055" s="48"/>
      <c r="N3055" s="48"/>
      <c r="O3055" s="48"/>
      <c r="P3055" s="48"/>
      <c r="Q3055" s="48"/>
      <c r="R3055" s="48"/>
      <c r="S3055" s="48"/>
      <c r="T3055" s="48"/>
      <c r="U3055" s="48"/>
      <c r="V3055" s="48"/>
      <c r="W3055" s="48"/>
      <c r="X3055" s="48"/>
      <c r="Y3055" s="48"/>
      <c r="Z3055" s="48"/>
      <c r="BB3055" s="48"/>
    </row>
    <row r="3056" spans="2:54" ht="14.5" hidden="1" x14ac:dyDescent="0.3">
      <c r="B3056" s="52">
        <f>B3050</f>
        <v>62</v>
      </c>
      <c r="C3056" s="577" t="s">
        <v>3890</v>
      </c>
      <c r="G3056" s="48"/>
      <c r="H3056" s="48"/>
      <c r="I3056" s="48"/>
      <c r="J3056" s="48"/>
      <c r="K3056" s="48"/>
      <c r="L3056" s="48"/>
      <c r="M3056" s="48"/>
      <c r="N3056" s="48"/>
      <c r="O3056" s="48"/>
      <c r="P3056" s="48"/>
      <c r="Q3056" s="48"/>
      <c r="R3056" s="48"/>
      <c r="S3056" s="48"/>
      <c r="T3056" s="48"/>
      <c r="U3056" s="48"/>
      <c r="V3056" s="48"/>
      <c r="W3056" s="48"/>
      <c r="X3056" s="48"/>
      <c r="Y3056" s="48"/>
      <c r="Z3056" s="48"/>
      <c r="BB3056" s="48"/>
    </row>
    <row r="3057" spans="1:54" ht="14.5" hidden="1" x14ac:dyDescent="0.3">
      <c r="C3057" s="577" t="s">
        <v>3891</v>
      </c>
    </row>
    <row r="3058" spans="1:54" ht="14.5" hidden="1" x14ac:dyDescent="0.3">
      <c r="C3058" s="577" t="s">
        <v>3892</v>
      </c>
      <c r="BB3058" s="48"/>
    </row>
    <row r="3059" spans="1:54" ht="14.5" hidden="1" x14ac:dyDescent="0.3">
      <c r="C3059" s="577" t="s">
        <v>3893</v>
      </c>
      <c r="BB3059" s="48"/>
    </row>
    <row r="3060" spans="1:54" ht="14.5" hidden="1" x14ac:dyDescent="0.3">
      <c r="C3060" s="577" t="s">
        <v>3894</v>
      </c>
      <c r="BB3060" s="48"/>
    </row>
    <row r="3061" spans="1:54" hidden="1" x14ac:dyDescent="0.3">
      <c r="D3061" s="578" t="str">
        <f>B808</f>
        <v xml:space="preserve">OTHER: </v>
      </c>
    </row>
    <row r="3062" spans="1:54" ht="14.5" hidden="1" x14ac:dyDescent="0.35">
      <c r="B3062" s="52">
        <f>B3056</f>
        <v>62</v>
      </c>
      <c r="C3062" s="69" t="s">
        <v>959</v>
      </c>
      <c r="D3062" s="48">
        <f>C808</f>
        <v>0</v>
      </c>
    </row>
    <row r="3063" spans="1:54" ht="14.5" hidden="1" x14ac:dyDescent="0.35">
      <c r="C3063" s="69" t="s">
        <v>423</v>
      </c>
    </row>
    <row r="3064" spans="1:54" ht="14.5" hidden="1" x14ac:dyDescent="0.35">
      <c r="C3064" s="69" t="s">
        <v>421</v>
      </c>
    </row>
    <row r="3065" spans="1:54" ht="14.5" hidden="1" x14ac:dyDescent="0.35">
      <c r="C3065" s="69" t="s">
        <v>960</v>
      </c>
    </row>
    <row r="3066" spans="1:54" ht="14.5" hidden="1" x14ac:dyDescent="0.35">
      <c r="C3066" s="69" t="s">
        <v>426</v>
      </c>
    </row>
    <row r="3067" spans="1:54" ht="14.5" hidden="1" x14ac:dyDescent="0.35">
      <c r="C3067" s="69" t="s">
        <v>961</v>
      </c>
    </row>
    <row r="3068" spans="1:54" hidden="1" x14ac:dyDescent="0.3"/>
    <row r="3069" spans="1:54" hidden="1" x14ac:dyDescent="0.3">
      <c r="A3069" s="52">
        <v>63</v>
      </c>
    </row>
    <row r="3070" spans="1:54" hidden="1" x14ac:dyDescent="0.3">
      <c r="A3070" s="579">
        <f>A812</f>
        <v>1</v>
      </c>
      <c r="B3070" s="579" t="str">
        <f>B812</f>
        <v>reason for being denied review in the past</v>
      </c>
      <c r="D3070" s="581" t="s">
        <v>3895</v>
      </c>
    </row>
    <row r="3071" spans="1:54" hidden="1" x14ac:dyDescent="0.3">
      <c r="B3071" s="580" t="s">
        <v>1334</v>
      </c>
    </row>
    <row r="3072" spans="1:54" hidden="1" x14ac:dyDescent="0.3">
      <c r="B3072" s="580" t="s">
        <v>1335</v>
      </c>
    </row>
    <row r="3073" spans="1:4" hidden="1" x14ac:dyDescent="0.3">
      <c r="B3073" s="580" t="s">
        <v>1336</v>
      </c>
    </row>
    <row r="3074" spans="1:4" hidden="1" x14ac:dyDescent="0.3">
      <c r="B3074" s="580" t="s">
        <v>1383</v>
      </c>
    </row>
    <row r="3075" spans="1:4" hidden="1" x14ac:dyDescent="0.3">
      <c r="B3075" s="580" t="s">
        <v>1337</v>
      </c>
    </row>
    <row r="3076" spans="1:4" hidden="1" x14ac:dyDescent="0.3">
      <c r="B3076" s="580" t="s">
        <v>912</v>
      </c>
    </row>
    <row r="3077" spans="1:4" hidden="1" x14ac:dyDescent="0.3">
      <c r="A3077" s="579">
        <f>A813</f>
        <v>2</v>
      </c>
      <c r="B3077" s="579" t="str">
        <f>B813</f>
        <v>revisiting case risks retraumatization</v>
      </c>
      <c r="D3077" s="581" t="s">
        <v>3896</v>
      </c>
    </row>
    <row r="3078" spans="1:4" hidden="1" x14ac:dyDescent="0.3">
      <c r="B3078" s="580" t="s">
        <v>1340</v>
      </c>
    </row>
    <row r="3079" spans="1:4" hidden="1" x14ac:dyDescent="0.3">
      <c r="B3079" s="580" t="s">
        <v>1341</v>
      </c>
    </row>
    <row r="3080" spans="1:4" hidden="1" x14ac:dyDescent="0.3">
      <c r="B3080" s="580" t="s">
        <v>1342</v>
      </c>
    </row>
    <row r="3081" spans="1:4" hidden="1" x14ac:dyDescent="0.3">
      <c r="B3081" s="580" t="s">
        <v>1343</v>
      </c>
    </row>
    <row r="3082" spans="1:4" hidden="1" x14ac:dyDescent="0.3">
      <c r="B3082" s="580" t="s">
        <v>1344</v>
      </c>
    </row>
    <row r="3083" spans="1:4" hidden="1" x14ac:dyDescent="0.3">
      <c r="B3083" s="580" t="s">
        <v>1345</v>
      </c>
    </row>
    <row r="3084" spans="1:4" hidden="1" x14ac:dyDescent="0.3">
      <c r="A3084" s="579">
        <f>A814</f>
        <v>3</v>
      </c>
      <c r="B3084" s="579" t="str">
        <f>B814</f>
        <v>depression level from legal-jud. process as only option</v>
      </c>
      <c r="D3084" s="581" t="s">
        <v>3897</v>
      </c>
    </row>
    <row r="3085" spans="1:4" hidden="1" x14ac:dyDescent="0.3">
      <c r="B3085" s="580" t="s">
        <v>1347</v>
      </c>
    </row>
    <row r="3086" spans="1:4" hidden="1" x14ac:dyDescent="0.3">
      <c r="B3086" s="580" t="s">
        <v>1348</v>
      </c>
    </row>
    <row r="3087" spans="1:4" hidden="1" x14ac:dyDescent="0.3">
      <c r="B3087" s="580" t="s">
        <v>1349</v>
      </c>
    </row>
    <row r="3088" spans="1:4" hidden="1" x14ac:dyDescent="0.3">
      <c r="B3088" s="580" t="s">
        <v>1350</v>
      </c>
    </row>
    <row r="3089" spans="1:4" hidden="1" x14ac:dyDescent="0.3">
      <c r="B3089" s="580" t="s">
        <v>1351</v>
      </c>
    </row>
    <row r="3090" spans="1:4" hidden="1" x14ac:dyDescent="0.3">
      <c r="A3090" s="579">
        <f>A815</f>
        <v>4</v>
      </c>
      <c r="B3090" s="579" t="str">
        <f>B815</f>
        <v>anxiety from relying on same process creating error</v>
      </c>
      <c r="D3090" s="581" t="s">
        <v>3898</v>
      </c>
    </row>
    <row r="3091" spans="1:4" hidden="1" x14ac:dyDescent="0.3">
      <c r="B3091" s="580" t="s">
        <v>1353</v>
      </c>
    </row>
    <row r="3092" spans="1:4" hidden="1" x14ac:dyDescent="0.3">
      <c r="B3092" s="580" t="s">
        <v>1354</v>
      </c>
    </row>
    <row r="3093" spans="1:4" hidden="1" x14ac:dyDescent="0.3">
      <c r="B3093" s="580" t="s">
        <v>1355</v>
      </c>
    </row>
    <row r="3094" spans="1:4" hidden="1" x14ac:dyDescent="0.3">
      <c r="B3094" s="580" t="s">
        <v>1356</v>
      </c>
    </row>
    <row r="3095" spans="1:4" hidden="1" x14ac:dyDescent="0.3">
      <c r="B3095" s="580" t="s">
        <v>1357</v>
      </c>
    </row>
    <row r="3096" spans="1:4" hidden="1" x14ac:dyDescent="0.3">
      <c r="A3096" s="579">
        <f>A816</f>
        <v>5</v>
      </c>
      <c r="B3096" s="579" t="str">
        <f>B816</f>
        <v>anxiety from slowness of legal-judicial process</v>
      </c>
      <c r="D3096" s="581" t="s">
        <v>3899</v>
      </c>
    </row>
    <row r="3097" spans="1:4" hidden="1" x14ac:dyDescent="0.3">
      <c r="B3097" s="580" t="s">
        <v>1359</v>
      </c>
    </row>
    <row r="3098" spans="1:4" hidden="1" x14ac:dyDescent="0.3">
      <c r="B3098" s="580" t="s">
        <v>1360</v>
      </c>
    </row>
    <row r="3099" spans="1:4" hidden="1" x14ac:dyDescent="0.3">
      <c r="B3099" s="580" t="s">
        <v>1361</v>
      </c>
    </row>
    <row r="3100" spans="1:4" hidden="1" x14ac:dyDescent="0.3">
      <c r="B3100" s="580" t="s">
        <v>1362</v>
      </c>
    </row>
    <row r="3101" spans="1:4" hidden="1" x14ac:dyDescent="0.3">
      <c r="B3101" s="580" t="s">
        <v>1363</v>
      </c>
    </row>
    <row r="3102" spans="1:4" hidden="1" x14ac:dyDescent="0.3">
      <c r="A3102" s="579">
        <f>A817</f>
        <v>6</v>
      </c>
      <c r="B3102" s="579" t="str">
        <f>B817</f>
        <v>anxiety from prosecutor's power to reinforce error</v>
      </c>
      <c r="D3102" s="581" t="s">
        <v>3900</v>
      </c>
    </row>
    <row r="3103" spans="1:4" hidden="1" x14ac:dyDescent="0.3">
      <c r="B3103" s="580" t="s">
        <v>1365</v>
      </c>
    </row>
    <row r="3104" spans="1:4" hidden="1" x14ac:dyDescent="0.3">
      <c r="B3104" s="580" t="s">
        <v>1366</v>
      </c>
    </row>
    <row r="3105" spans="1:4" hidden="1" x14ac:dyDescent="0.3">
      <c r="B3105" s="580" t="s">
        <v>3755</v>
      </c>
    </row>
    <row r="3106" spans="1:4" hidden="1" x14ac:dyDescent="0.3">
      <c r="B3106" s="580" t="s">
        <v>1367</v>
      </c>
    </row>
    <row r="3107" spans="1:4" hidden="1" x14ac:dyDescent="0.3">
      <c r="B3107" s="580" t="s">
        <v>1368</v>
      </c>
    </row>
    <row r="3108" spans="1:4" hidden="1" x14ac:dyDescent="0.3">
      <c r="A3108" s="579">
        <f>A818</f>
        <v>7</v>
      </c>
      <c r="B3108" s="579" t="str">
        <f>B818</f>
        <v>anxiety from having little to no control over process</v>
      </c>
      <c r="D3108" s="581" t="s">
        <v>3901</v>
      </c>
    </row>
    <row r="3109" spans="1:4" hidden="1" x14ac:dyDescent="0.3">
      <c r="B3109" s="580" t="s">
        <v>1370</v>
      </c>
    </row>
    <row r="3110" spans="1:4" hidden="1" x14ac:dyDescent="0.3">
      <c r="B3110" s="580" t="s">
        <v>1371</v>
      </c>
    </row>
    <row r="3111" spans="1:4" hidden="1" x14ac:dyDescent="0.3">
      <c r="B3111" s="580" t="s">
        <v>1372</v>
      </c>
    </row>
    <row r="3112" spans="1:4" hidden="1" x14ac:dyDescent="0.3">
      <c r="B3112" s="580" t="s">
        <v>1373</v>
      </c>
    </row>
    <row r="3113" spans="1:4" hidden="1" x14ac:dyDescent="0.3">
      <c r="B3113" s="580" t="s">
        <v>1374</v>
      </c>
    </row>
    <row r="3114" spans="1:4" hidden="1" x14ac:dyDescent="0.3">
      <c r="A3114" s="579">
        <f>A819</f>
        <v>8</v>
      </c>
      <c r="B3114" s="579" t="str">
        <f>B819</f>
        <v>disillusionment with legal-judicial process</v>
      </c>
      <c r="D3114" s="581" t="s">
        <v>3902</v>
      </c>
    </row>
    <row r="3115" spans="1:4" hidden="1" x14ac:dyDescent="0.3">
      <c r="B3115" s="580" t="s">
        <v>1376</v>
      </c>
    </row>
    <row r="3116" spans="1:4" hidden="1" x14ac:dyDescent="0.3">
      <c r="B3116" s="580" t="s">
        <v>1377</v>
      </c>
    </row>
    <row r="3117" spans="1:4" hidden="1" x14ac:dyDescent="0.3">
      <c r="B3117" s="580" t="s">
        <v>1397</v>
      </c>
    </row>
    <row r="3118" spans="1:4" hidden="1" x14ac:dyDescent="0.3">
      <c r="B3118" s="580" t="s">
        <v>1378</v>
      </c>
    </row>
    <row r="3119" spans="1:4" hidden="1" x14ac:dyDescent="0.3">
      <c r="B3119" s="580" t="s">
        <v>1379</v>
      </c>
    </row>
    <row r="3120" spans="1:4" hidden="1" x14ac:dyDescent="0.3"/>
    <row r="3121" spans="1:6" hidden="1" x14ac:dyDescent="0.3"/>
    <row r="3122" spans="1:6" hidden="1" x14ac:dyDescent="0.3"/>
    <row r="3123" spans="1:6" ht="17.5" hidden="1" x14ac:dyDescent="0.35">
      <c r="A3123" s="567" t="str">
        <f>A826</f>
        <v>E.</v>
      </c>
      <c r="B3123" s="567" t="str">
        <f>B826</f>
        <v>Collateral consequences of wrongful conviction</v>
      </c>
      <c r="C3123" s="567"/>
      <c r="D3123" s="567"/>
      <c r="E3123" s="567"/>
      <c r="F3123" s="567"/>
    </row>
    <row r="3124" spans="1:6" hidden="1" x14ac:dyDescent="0.3"/>
    <row r="3125" spans="1:6" hidden="1" x14ac:dyDescent="0.3"/>
    <row r="3126" spans="1:6" ht="15.5" hidden="1" x14ac:dyDescent="0.35">
      <c r="A3126" s="570">
        <f>A831</f>
        <v>64</v>
      </c>
      <c r="B3126" s="570" t="str">
        <f>B831</f>
        <v>Collateral consequences impacting claimant</v>
      </c>
      <c r="C3126" s="570"/>
      <c r="D3126" s="570"/>
      <c r="E3126" s="570"/>
      <c r="F3126" s="570"/>
    </row>
    <row r="3127" spans="1:6" ht="14.5" hidden="1" x14ac:dyDescent="0.35">
      <c r="B3127" s="586" t="s">
        <v>436</v>
      </c>
    </row>
    <row r="3128" spans="1:6" ht="14.5" hidden="1" x14ac:dyDescent="0.35">
      <c r="B3128" s="586" t="s">
        <v>439</v>
      </c>
    </row>
    <row r="3129" spans="1:6" ht="14.5" hidden="1" x14ac:dyDescent="0.35">
      <c r="B3129" s="586" t="s">
        <v>441</v>
      </c>
    </row>
    <row r="3130" spans="1:6" ht="14.5" hidden="1" x14ac:dyDescent="0.35">
      <c r="B3130" s="586" t="s">
        <v>443</v>
      </c>
    </row>
    <row r="3131" spans="1:6" ht="14.5" hidden="1" x14ac:dyDescent="0.35">
      <c r="B3131" s="586" t="s">
        <v>447</v>
      </c>
    </row>
    <row r="3132" spans="1:6" ht="14.5" hidden="1" x14ac:dyDescent="0.35">
      <c r="B3132" s="586" t="s">
        <v>448</v>
      </c>
    </row>
    <row r="3133" spans="1:6" ht="14.5" hidden="1" x14ac:dyDescent="0.35">
      <c r="B3133" s="586" t="s">
        <v>449</v>
      </c>
    </row>
    <row r="3134" spans="1:6" ht="14.5" hidden="1" x14ac:dyDescent="0.35">
      <c r="B3134" s="586" t="s">
        <v>980</v>
      </c>
    </row>
    <row r="3135" spans="1:6" ht="14.5" hidden="1" x14ac:dyDescent="0.35">
      <c r="B3135" s="586" t="s">
        <v>450</v>
      </c>
    </row>
    <row r="3136" spans="1:6" ht="14.5" hidden="1" x14ac:dyDescent="0.35">
      <c r="B3136" s="586" t="s">
        <v>451</v>
      </c>
    </row>
    <row r="3137" spans="1:54" ht="14.5" hidden="1" x14ac:dyDescent="0.35">
      <c r="B3137" s="586" t="s">
        <v>453</v>
      </c>
    </row>
    <row r="3138" spans="1:54" ht="14.5" hidden="1" x14ac:dyDescent="0.35">
      <c r="B3138" s="586" t="s">
        <v>454</v>
      </c>
    </row>
    <row r="3139" spans="1:54" ht="14.5" hidden="1" x14ac:dyDescent="0.35">
      <c r="B3139" s="586" t="s">
        <v>3621</v>
      </c>
    </row>
    <row r="3140" spans="1:54" ht="14.5" hidden="1" x14ac:dyDescent="0.35">
      <c r="B3140" s="586" t="s">
        <v>457</v>
      </c>
    </row>
    <row r="3141" spans="1:54" ht="14.5" hidden="1" x14ac:dyDescent="0.35">
      <c r="B3141" s="586" t="s">
        <v>459</v>
      </c>
    </row>
    <row r="3142" spans="1:54" ht="14.5" hidden="1" x14ac:dyDescent="0.35">
      <c r="B3142" s="586" t="s">
        <v>461</v>
      </c>
    </row>
    <row r="3143" spans="1:54" ht="14.5" hidden="1" x14ac:dyDescent="0.35">
      <c r="B3143" s="586" t="s">
        <v>463</v>
      </c>
    </row>
    <row r="3144" spans="1:54" ht="14.5" hidden="1" x14ac:dyDescent="0.35">
      <c r="B3144" s="586" t="s">
        <v>464</v>
      </c>
    </row>
    <row r="3145" spans="1:54" ht="14.5" hidden="1" x14ac:dyDescent="0.35">
      <c r="B3145" s="586" t="s">
        <v>465</v>
      </c>
    </row>
    <row r="3146" spans="1:54" hidden="1" x14ac:dyDescent="0.3"/>
    <row r="3147" spans="1:54" hidden="1" x14ac:dyDescent="0.3">
      <c r="A3147" s="52">
        <v>64</v>
      </c>
      <c r="B3147" s="579" t="s">
        <v>3903</v>
      </c>
    </row>
    <row r="3148" spans="1:54" ht="14.5" hidden="1" x14ac:dyDescent="0.35">
      <c r="B3148" s="582" t="s">
        <v>460</v>
      </c>
      <c r="BB3148" s="48"/>
    </row>
    <row r="3149" spans="1:54" ht="14.5" hidden="1" x14ac:dyDescent="0.35">
      <c r="B3149" s="582" t="s">
        <v>452</v>
      </c>
      <c r="BB3149" s="48"/>
    </row>
    <row r="3150" spans="1:54" ht="14.5" hidden="1" x14ac:dyDescent="0.35">
      <c r="B3150" s="582" t="s">
        <v>435</v>
      </c>
      <c r="BB3150" s="48"/>
    </row>
    <row r="3151" spans="1:54" hidden="1" x14ac:dyDescent="0.3">
      <c r="A3151" s="52">
        <f>A3147</f>
        <v>64</v>
      </c>
      <c r="B3151" s="579" t="s">
        <v>3904</v>
      </c>
    </row>
    <row r="3152" spans="1:54" ht="14.5" hidden="1" x14ac:dyDescent="0.35">
      <c r="B3152" s="582" t="s">
        <v>455</v>
      </c>
      <c r="BB3152" s="48"/>
    </row>
    <row r="3153" spans="1:54" ht="14.5" hidden="1" x14ac:dyDescent="0.35">
      <c r="B3153" s="582" t="s">
        <v>444</v>
      </c>
      <c r="BB3153" s="48"/>
    </row>
    <row r="3154" spans="1:54" ht="14.5" hidden="1" x14ac:dyDescent="0.35">
      <c r="B3154" s="582" t="s">
        <v>437</v>
      </c>
      <c r="BB3154" s="48"/>
    </row>
    <row r="3155" spans="1:54" hidden="1" x14ac:dyDescent="0.3"/>
    <row r="3156" spans="1:54" ht="14.5" hidden="1" x14ac:dyDescent="0.35">
      <c r="A3156" s="52">
        <v>65</v>
      </c>
      <c r="B3156" s="393" t="s">
        <v>3905</v>
      </c>
    </row>
    <row r="3157" spans="1:54" ht="14.5" hidden="1" x14ac:dyDescent="0.35">
      <c r="B3157" s="582" t="s">
        <v>460</v>
      </c>
    </row>
    <row r="3158" spans="1:54" ht="14.5" hidden="1" x14ac:dyDescent="0.35">
      <c r="B3158" s="582" t="s">
        <v>452</v>
      </c>
    </row>
    <row r="3159" spans="1:54" ht="14.5" hidden="1" x14ac:dyDescent="0.35">
      <c r="B3159" s="582" t="s">
        <v>474</v>
      </c>
    </row>
    <row r="3160" spans="1:54" ht="14.5" hidden="1" x14ac:dyDescent="0.35">
      <c r="B3160" s="582" t="s">
        <v>435</v>
      </c>
    </row>
    <row r="3161" spans="1:54" ht="14.5" hidden="1" x14ac:dyDescent="0.35">
      <c r="A3161" s="52">
        <f>A3156</f>
        <v>65</v>
      </c>
      <c r="B3161" s="393" t="s">
        <v>3906</v>
      </c>
    </row>
    <row r="3162" spans="1:54" ht="14.5" hidden="1" x14ac:dyDescent="0.35">
      <c r="B3162" s="582" t="s">
        <v>490</v>
      </c>
    </row>
    <row r="3163" spans="1:54" ht="14.5" hidden="1" x14ac:dyDescent="0.35">
      <c r="B3163" s="582" t="s">
        <v>981</v>
      </c>
    </row>
    <row r="3164" spans="1:54" ht="14.5" hidden="1" x14ac:dyDescent="0.35">
      <c r="B3164" s="582" t="s">
        <v>476</v>
      </c>
    </row>
    <row r="3165" spans="1:54" ht="14.5" hidden="1" x14ac:dyDescent="0.35">
      <c r="B3165" s="582" t="s">
        <v>478</v>
      </c>
    </row>
    <row r="3166" spans="1:54" ht="14.5" hidden="1" x14ac:dyDescent="0.35">
      <c r="B3166" s="582" t="s">
        <v>982</v>
      </c>
    </row>
    <row r="3167" spans="1:54" ht="14.5" hidden="1" x14ac:dyDescent="0.35">
      <c r="B3167" s="582" t="s">
        <v>481</v>
      </c>
    </row>
    <row r="3168" spans="1:54" ht="14.5" hidden="1" x14ac:dyDescent="0.35">
      <c r="B3168" s="582" t="s">
        <v>3619</v>
      </c>
    </row>
    <row r="3169" spans="1:3" ht="14.5" hidden="1" x14ac:dyDescent="0.35">
      <c r="B3169" s="582" t="s">
        <v>3620</v>
      </c>
    </row>
    <row r="3170" spans="1:3" hidden="1" x14ac:dyDescent="0.3"/>
    <row r="3171" spans="1:3" ht="14.5" hidden="1" x14ac:dyDescent="0.35">
      <c r="A3171" s="52">
        <f>A877</f>
        <v>66</v>
      </c>
      <c r="B3171" s="393" t="str">
        <f>B877</f>
        <v>Current neglected needs due to these collateral consequences</v>
      </c>
    </row>
    <row r="3172" spans="1:3" ht="14.5" hidden="1" x14ac:dyDescent="0.35">
      <c r="B3172" s="583" t="s">
        <v>953</v>
      </c>
      <c r="C3172" s="584"/>
    </row>
    <row r="3173" spans="1:3" ht="14.5" hidden="1" x14ac:dyDescent="0.35">
      <c r="B3173" s="582" t="s">
        <v>507</v>
      </c>
    </row>
    <row r="3174" spans="1:3" ht="14.5" hidden="1" x14ac:dyDescent="0.35">
      <c r="B3174" s="582" t="s">
        <v>505</v>
      </c>
    </row>
    <row r="3175" spans="1:3" ht="14.5" hidden="1" x14ac:dyDescent="0.35">
      <c r="B3175" s="582" t="s">
        <v>506</v>
      </c>
    </row>
    <row r="3176" spans="1:3" ht="14.5" hidden="1" x14ac:dyDescent="0.35">
      <c r="B3176" s="582" t="s">
        <v>503</v>
      </c>
    </row>
    <row r="3177" spans="1:3" ht="14.5" hidden="1" x14ac:dyDescent="0.35">
      <c r="B3177" s="582" t="s">
        <v>954</v>
      </c>
    </row>
    <row r="3178" spans="1:3" ht="14.5" hidden="1" x14ac:dyDescent="0.35">
      <c r="B3178" s="585" t="str">
        <f>B887</f>
        <v>6) OTHER:</v>
      </c>
      <c r="C3178" s="48">
        <f>C887</f>
        <v>0</v>
      </c>
    </row>
    <row r="3179" spans="1:3" ht="14.5" hidden="1" x14ac:dyDescent="0.35">
      <c r="B3179" s="583" t="s">
        <v>955</v>
      </c>
      <c r="C3179" s="584"/>
    </row>
    <row r="3180" spans="1:3" ht="14.5" hidden="1" x14ac:dyDescent="0.35">
      <c r="B3180" s="582" t="s">
        <v>516</v>
      </c>
    </row>
    <row r="3181" spans="1:3" ht="14.5" hidden="1" x14ac:dyDescent="0.35">
      <c r="B3181" s="582" t="s">
        <v>956</v>
      </c>
    </row>
    <row r="3182" spans="1:3" ht="14.5" hidden="1" x14ac:dyDescent="0.35">
      <c r="B3182" s="582" t="s">
        <v>957</v>
      </c>
    </row>
    <row r="3183" spans="1:3" ht="14.5" hidden="1" x14ac:dyDescent="0.35">
      <c r="B3183" s="582" t="s">
        <v>512</v>
      </c>
    </row>
    <row r="3184" spans="1:3" ht="14.5" hidden="1" x14ac:dyDescent="0.35">
      <c r="B3184" s="582" t="s">
        <v>514</v>
      </c>
    </row>
    <row r="3185" spans="1:31" ht="14.5" hidden="1" x14ac:dyDescent="0.35">
      <c r="B3185" s="582" t="s">
        <v>958</v>
      </c>
    </row>
    <row r="3186" spans="1:31" ht="14.5" hidden="1" x14ac:dyDescent="0.35">
      <c r="B3186" s="582" t="s">
        <v>515</v>
      </c>
    </row>
    <row r="3187" spans="1:31" ht="14.5" hidden="1" x14ac:dyDescent="0.35">
      <c r="B3187" s="585" t="str">
        <f>B897</f>
        <v>12) OTHER:</v>
      </c>
      <c r="C3187" s="48">
        <f>C897</f>
        <v>0</v>
      </c>
    </row>
    <row r="3188" spans="1:31" hidden="1" x14ac:dyDescent="0.3"/>
    <row r="3189" spans="1:31" hidden="1" x14ac:dyDescent="0.3"/>
    <row r="3190" spans="1:31" hidden="1" x14ac:dyDescent="0.3"/>
    <row r="3191" spans="1:31" ht="17.5" hidden="1" x14ac:dyDescent="0.35">
      <c r="A3191" s="567" t="str">
        <f>A903</f>
        <v>F.</v>
      </c>
      <c r="B3191" s="567" t="str">
        <f>B903</f>
        <v>Claimant narrative</v>
      </c>
      <c r="C3191" s="567"/>
      <c r="D3191" s="567"/>
      <c r="E3191" s="567"/>
      <c r="F3191" s="567"/>
    </row>
    <row r="3192" spans="1:31" hidden="1" x14ac:dyDescent="0.3"/>
    <row r="3193" spans="1:31" hidden="1" x14ac:dyDescent="0.3">
      <c r="B3193" s="581" t="s">
        <v>3907</v>
      </c>
    </row>
    <row r="3194" spans="1:31" hidden="1" x14ac:dyDescent="0.3">
      <c r="B3194" s="581"/>
    </row>
    <row r="3195" spans="1:31" hidden="1" x14ac:dyDescent="0.3"/>
    <row r="3196" spans="1:31" hidden="1" x14ac:dyDescent="0.3"/>
    <row r="3197" spans="1:31" ht="17.5" hidden="1" x14ac:dyDescent="0.35">
      <c r="A3197" s="567" t="str">
        <f>A1126</f>
        <v>G.</v>
      </c>
      <c r="B3197" s="567" t="str">
        <f>B1126</f>
        <v>Compensation</v>
      </c>
      <c r="C3197" s="567"/>
      <c r="D3197" s="567"/>
      <c r="E3197" s="567"/>
      <c r="F3197" s="567"/>
    </row>
    <row r="3198" spans="1:31" hidden="1" x14ac:dyDescent="0.3"/>
    <row r="3199" spans="1:31" hidden="1" x14ac:dyDescent="0.3"/>
    <row r="3200" spans="1:31" ht="15" hidden="1" x14ac:dyDescent="0.35">
      <c r="B3200" s="409" t="str">
        <f>B1131</f>
        <v>Statute</v>
      </c>
      <c r="D3200" s="446" t="str">
        <f>IF($D$1129=B3281,AB3281,IF($D$1129=B3282,AB3282,IF($D$1129=B3283,AB3283,IF($D$1129=B3284,AB3284,IF($D$1129=B3285,AB3285,IF($D$1129=B3286,AB3286,IF($D$1129=B3287,AB3287,IF($D$1129=B3288,AB3288,IF($D$1129=B3289,AB3289,IF($D$1129=B3290,AB3290,IF($D$1129=B3291,AB3291,IF($D$1129=B3292,AB3292,IF($D$1129=B3293,AB3293,IF($D$1129=B3294,AB3294,IF($D$1129=B3295,AB3295,IF($D$1129=B3296,AB3296,IF($D$1129=B3297,AB3297,IF($D$1129=B3298,AB3298,IF($D$1129=B3299,AB3299,IF($D$1129=B3300,AB3300,IF($D$1129=B3301,AB3301,IF($D$1129=B3302,AB3302,IF($D$1129=B3303,AB3303,IF($D$1129=B3304,AB3304,IF($D$1129=B3305,AB3305,IF($D$1129=B3306,AB3306,IF($D$1129=B3307,AB3307,IF($D$1129=B3308,AB3308,IF($D$1129=B3309,AB3309,IF($D$1129=B3310,AB3310,IF($D$1129=B3311,AB3311,IF($D$1129=B3312,AB3312,IF($D$1129=B3313,AB3313,IF($D$1129=B3314,AB3314,IF($D$1129=B3315,AB3315,IF($D$1129=B3316,AB3316,IF($D$1129=B3317,AB3317,IF($D$1129=B3318,AB3318,IF($D$1129=B3319,AB3319,IF($D$1129=B3320,AB3320,IF($D$1129=B3321,AB3321,IF($D$1129=B3322,AB3322,IF($D$1129=B3323,AB3323,IF($D$1129=B3324,AB3324,IF($D$1129=B3325,AB3325,IF($D$1129=B3326,AB3326,IF($D$1129=B3327,AB3327,IF($D$1129=B3328,AB3328,IF($D$1129=B3329,AB3329,IF($D$1129=B3330,AB3330,IF($D$1129=B3331,AB3331,IF($D$1129=B3332,AB3332,AB3279))))))))))))))))))))))))))))))))))))))))))))))))))))</f>
        <v>MCLS 691.1751 et seq</v>
      </c>
      <c r="AE3200" s="48" t="str">
        <f ca="1">CONCATENATE(AE$3208,AM$3208,AN$3208,B$3220,AE$3210)</f>
        <v>Since your conviction occurred 31 years ago, California prevents employers and others from running a criminal background check that far back.</v>
      </c>
    </row>
    <row r="3201" spans="1:184" hidden="1" x14ac:dyDescent="0.3">
      <c r="B3201" s="366" t="str">
        <f>B1133</f>
        <v>Eligibility</v>
      </c>
      <c r="D3201" s="447" t="str">
        <f>IF($D$1129=B3281,AO3281,IF($D$1129=B3282,AO3282,IF($D$1129=B3283,AO3283,IF($D$1129=B3284,AO3284,IF($D$1129=B3285,AO3285,IF($D$1129=B3286,AO3286,IF($D$1129=B3287,AO3287,IF($D$1129=B3288,AO3288,IF($D$1129=B3289,AO3289,IF($D$1129=B3290,AO3290,IF($D$1129=B3291,AO3291,IF($D$1129=B3292,AO3292,IF($D$1129=B3293,AO3293,IF($D$1129=B3294,AO3294,IF($D$1129=B3295,AO3295,IF($D$1129=B3296,AO3296,IF($D$1129=B3297,AO3297,IF($D$1129=B3298,AO3298,IF($D$1129=B3299,AO3299,IF($D$1129=B3300,AO3300,IF($D$1129=B3301,AO3301,IF($D$1129=B3302,AO3302,IF($D$1129=B3303,AO3303,IF($D$1129=B3304,AO3304,IF($D$1129=B3305,AO3305,IF($D$1129=B3306,AO3306,IF($D$1129=B3307,AO3307,IF($D$1129=B3308,AO3308,IF($D$1129=B3309,AO3309,IF($D$1129=B3310,AO3310,IF($D$1129=B3311,AO3311,IF($D$1129=B3312,AO3312,IF($D$1129=B3313,AO3313,IF($D$1129=B3314,AO3314,IF($D$1129=B3315,AO3315,IF($D$1129=B3316,AO3316,IF($D$1129=B3317,AO3317,IF($D$1129=B3318,AO3318,IF($D$1129=B3319,AO3319,IF($D$1129=B3320,AO3320,IF($D$1129=B3321,AO3321,IF($D$1129=B3322,AO3322,IF($D$1129=B3323,AO3323,IF($D$1129=B3324,AO3324,IF($D$1129=B3325,AO3325,IF($D$1129=B3326,AO3326,IF($D$1129=B3327,AO3327,IF($D$1129=B3328,AO3328,IF($D$1129=B3329,AO3329,IF($D$1129=B3330,AO3330,IF($D$1129=B3331,AO3331,IF($D$1129=B3332,AO3332,AO3279))))))))))))))))))))))))))))))))))))))))))))))))))))</f>
        <v>Judgment of conviction was reversed or vacated and charges were dismissed or found not guilty on retrial.</v>
      </c>
      <c r="AE3201" s="48" t="str">
        <f ca="1">CONCATENATE(AE$3208,AM$3208,AN$3208,B$3242,AE$3210)</f>
        <v>Since your conviction occurred 31 years ago, Montana prevents employers and others from running a criminal background check that far back.</v>
      </c>
    </row>
    <row r="3202" spans="1:184" hidden="1" x14ac:dyDescent="0.3">
      <c r="B3202" s="366" t="str">
        <f>B1141</f>
        <v xml:space="preserve">Standard </v>
      </c>
      <c r="D3202" s="447" t="str">
        <f>IF($D$1129=B3281,AS3281,IF($D$1129=B3282,AS3282,IF($D$1129=B3283,AS3283,IF($D$1129=B3284,AS3284,IF($D$1129=B3285,AS3285,IF($D$1129=B3286,AS3286,IF($D$1129=B3287,AS3287,IF($D$1129=B3288,AS3288,IF($D$1129=B3289,AS3289,IF($D$1129=B3290,AS3290,IF($D$1129=B3291,AS3291,IF($D$1129=B3292,AS3292,IF($D$1129=B3293,AS3293,IF($D$1129=B3294,AS3294,IF($D$1129=B3295,AS3295,IF($D$1129=B3296,AS3296,IF($D$1129=B3297,AS3297,IF($D$1129=B3298,AS3298,IF($D$1129=B3299,AS3299,IF($D$1129=B3300,AS3300,IF($D$1129=B3301,AS3301,IF($D$1129=B3302,AS3302,IF($D$1129=B3303,AS3303,IF($D$1129=B3304,AS3304,IF($D$1129=B3305,AS3305,IF($D$1129=B3306,AS3306,IF($D$1129=B3307,AS3307,IF($D$1129=B3308,AS3308,IF($D$1129=B3309,AS3309,IF($D$1129=B3310,AS3310,IF($D$1129=B3311,AS3311,IF($D$1129=B3312,AS3312,IF($D$1129=B3313,AS3313,IF($D$1129=B3314,AS3314,IF($D$1129=B3315,AS3315,IF($D$1129=B3316,AS3316,IF($D$1129=B3317,AS3317,IF($D$1129=B3318,AS3318,IF($D$1129=B3319,AS3319,IF($D$1129=B3320,AS3320,IF($D$1129=B3321,AS3321,IF($D$1129=B3322,AS3322,IF($D$1129=B3323,AS3323,IF($D$1129=B3324,AS3324,IF($D$1129=B3325,AS3325,IF($D$1129=B3326,AS3326,IF($D$1129=B3327,AS3327,IF($D$1129=B3328,AS3328,IF($D$1129=B3329,AS3329,IF($D$1129=B3330,AS3330,IF($D$1129=B3331,AS3331,IF($D$1129=B3332,AS3332,AS3279))))))))))))))))))))))))))))))))))))))))))))))))))))</f>
        <v>Clear and convincing</v>
      </c>
    </row>
    <row r="3203" spans="1:184" hidden="1" x14ac:dyDescent="0.3">
      <c r="B3203" s="366" t="str">
        <f>B1145</f>
        <v xml:space="preserve">Determined </v>
      </c>
      <c r="D3203" s="446" t="str">
        <f>IF($D$1129=B3281,AD3281,IF($D$1129=B3282,AD3282,IF($D$1129=B3283,AD3283,IF($D$1129=B3284,AD3284,IF($D$1129=B3285,AD3285,IF($D$1129=B3286,AD3286,IF($D$1129=B3287,AD3287,IF($D$1129=B3288,AD3288,IF($D$1129=B3289,AD3289,IF($D$1129=B3290,AD3290,IF($D$1129=B3291,AD3291,IF($D$1129=B3292,AD3292,IF($D$1129=B3293,AD3293,IF($D$1129=B3294,AD3294,IF($D$1129=B3295,AD3295,IF($D$1129=B3296,AD3296,IF($D$1129=B3297,AD3297,IF($D$1129=B3298,AD3298,IF($D$1129=B3299,AD3299,IF($D$1129=B3300,AD3300,IF($D$1129=B3301,AD3301,IF($D$1129=B3302,AD3302,IF($D$1129=B3303,AD3303,IF($D$1129=B3304,AD3304,IF($D$1129=B3305,AD3305,IF($D$1129=B3306,AD3306,IF($D$1129=B3307,AD3307,IF($D$1129=B3308,AD3308,IF($D$1129=B3309,AD3309,IF($D$1129=B3310,AD3310,IF($D$1129=B3311,AD3311,IF($D$1129=B3312,AD3312,IF($D$1129=B3313,AD3313,IF($D$1129=B3314,AD3314,IF($D$1129=B3315,AD3315,IF($D$1129=B3316,AD3316,IF($D$1129=B3317,AD3317,IF($D$1129=B3318,AD3318,IF($D$1129=B3319,AD3319,IF($D$1129=B3320,AD3320,IF($D$1129=B3321,AD3321,IF($D$1129=B3322,AD3322,IF($D$1129=B3323,AD3323,IF($D$1129=B3324,AD3324,IF($D$1129=B3325,AD3325,IF($D$1129=B3326,AD3326,IF($D$1129=B3327,AD3327,IF($D$1129=B3328,AD3328,IF($D$1129=B3329,AD3329,IF($D$1129=B3330,AD3330,IF($D$1129=B3331,AD3331,IF($D$1129=B3332,AD3332,AD3279))))))))))))))))))))))))))))))))))))))))))))))))))))</f>
        <v>Court of Claims</v>
      </c>
    </row>
    <row r="3204" spans="1:184" hidden="1" x14ac:dyDescent="0.3">
      <c r="B3204" s="366" t="str">
        <f>B1148</f>
        <v>Timely filing</v>
      </c>
      <c r="D3204" s="446" t="str">
        <f>IF($D$1129=B3281,AI3281,IF($D$1129=B3282,AI3282,IF($D$1129=B3283,AI3283,IF($D$1129=B3284,AI3284,IF($D$1129=B3285,AI3285,IF($D$1129=B3286,AI3286,IF($D$1129=B3287,AI3287,IF($D$1129=B3288,AI3288,IF($D$1129=B3289,AI3289,IF($D$1129=B3290,AI3290,IF($D$1129=B3291,AI3291,IF($D$1129=B3292,AI3292,IF($D$1129=B3293,AI3293,IF($D$1129=B3294,AI3294,IF($D$1129=B3295,AI3295,IF($D$1129=B3296,AI3296,IF($D$1129=B3297,AI3297,IF($D$1129=B3298,AI3298,IF($D$1129=B3299,AI3299,IF($D$1129=B3300,AI3300,IF($D$1129=B3301,AI3301,IF($D$1129=B3302,AI3302,IF($D$1129=B3303,AI3303,IF($D$1129=B3304,AI3304,IF($D$1129=B3305,AI3305,IF($D$1129=B3306,AI3306,IF($D$1129=B3307,AI3307,IF($D$1129=B3308,AI3308,IF($D$1129=B3309,AI3309,IF($D$1129=B3310,AI3310,IF($D$1129=B3311,AI3311,IF($D$1129=B3312,AI3312,IF($D$1129=B3313,AI3313,IF($D$1129=B3314,AI3314,IF($D$1129=B3315,AI3315,IF($D$1129=B3316,AI3316,IF($D$1129=B3317,AI3317,IF($D$1129=B3318,AI3318,IF($D$1129=B3319,AI3319,IF($D$1129=B3320,AI3320,IF($D$1129=B3321,AI3321,IF($D$1129=B3322,AI3322,IF($D$1129=B3323,AI3323,IF($D$1129=B3324,AI3324,IF($D$1129=B3325,AI3325,IF($D$1129=B3326,AI3326,IF($D$1129=B3327,AI3327,IF($D$1129=B3328,AI3328,IF($D$1129=B3329,AI3329,IF($D$1129=B3330,AI3330,IF($D$1129=B3331,AI3331,IF($D$1129=B3332,AI3332,AI3279))))))))))))))))))))))))))))))))))))))))))))))))))))</f>
        <v>3 years</v>
      </c>
      <c r="AE3204" s="48" t="str">
        <f ca="1">CONCATENATE(AE3208,AM3208,AN3208,AE3209,AM3209,AO3209)</f>
        <v xml:space="preserve">Since your conviction occurred 31 years ago, and you earn only about $8200 per year, </v>
      </c>
      <c r="CF3204" s="48" t="s">
        <v>4312</v>
      </c>
    </row>
    <row r="3205" spans="1:184" hidden="1" x14ac:dyDescent="0.3">
      <c r="B3205" s="366" t="str">
        <f>B1150</f>
        <v xml:space="preserve">Maximum </v>
      </c>
      <c r="D3205" s="447" t="str">
        <f>IF($D$1129=B3281,D3281,IF($D$1129=B3282,D3282,IF($D$1129=B3283,D3283,IF($D$1129=B3284,D3284,IF($D$1129=B3285,D3285,IF($D$1129=B3286,D3286,IF($D$1129=B3287,D3287,IF($D$1129=B3288,D3288,IF($D$1129=B3289,D3289,IF($D$1129=B3290,D3290,IF($D$1129=B3291,D3291,IF($D$1129=B3292,D3292,IF($D$1129=B3293,D3293,IF($D$1129=B3294,D3294,IF($D$1129=B3295,D3295,IF($D$1129=B3296,D3296,IF($D$1129=B3297,D3297,IF($D$1129=B3298,D3298,IF($D$1129=B3299,D3299,IF($D$1129=B3300,D3300,IF($D$1129=B3301,D3301,IF($D$1129=B3302,D3302,IF($D$1129=B3303,D3303,IF($D$1129=B3304,D3304,IF($D$1129=B3305,D3305,IF($D$1129=B3306,D3306,IF($D$1129=B3307,D3307,IF($D$1129=B3308,D3308,IF($D$1129=B3309,D3309,IF($D$1129=B3310,D3310,IF($D$1129=B3311,D3311,IF($D$1129=B3312,D3312,IF($D$1129=B3313,D3313,IF($D$1129=B3314,D3314,IF($D$1129=B3315,D3315,IF($D$1129=B3316,D3316,IF($D$1129=B3317,D3317,IF($D$1129=B3318,D3318,IF($D$1129=B3319,D3319,IF($D$1129=B3320,D3320,IF($D$1129=B3321,D3321,IF($D$1129=B3322,D3322,IF($D$1129=B3323,D3323,IF($D$1129=B3324,D3324,IF($D$1129=B3325,D3325,IF($D$1129=B3326,D3326,IF($D$1129=B3327,D3327,IF($D$1129=B3328,D3328,IF($D$1129=B3329,D3329,IF($D$1129=B3330,D3330,IF($D$1129=B3331,D3331,IF($D$1129=B3332,D3332,D3279))))))))))))))))))))))))))))))))))))))))))))))))))))</f>
        <v>not provided</v>
      </c>
      <c r="AE3205" s="48" t="str">
        <f ca="1">CONCATENATE(AE3212,AM3212,AN3212,AE3220,AJ3220,BO3220,B3237,AE3232)</f>
        <v xml:space="preserve"> does not limit how far back and employer can run a background check. Since your conviction occurred 31 years ago, and you earn only about $8200 per year, California prevents employers and others from running a criminal background check that far back.Massachusetts</v>
      </c>
      <c r="CF3205" s="48" t="s">
        <v>4313</v>
      </c>
    </row>
    <row r="3206" spans="1:184" hidden="1" x14ac:dyDescent="0.3">
      <c r="B3206" s="366" t="str">
        <f>B1153</f>
        <v xml:space="preserve">Per year </v>
      </c>
      <c r="D3206" s="447">
        <f>IF($D$1129=B3281,C3281,IF($D$1129=B3282,C3282,IF($D$1129=B3283,C3283,IF($D$1129=B3284,C3284,IF($D$1129=B3285,C3285,IF($D$1129=B3286,C3286,IF($D$1129=B3287,C3287,IF($D$1129=B3288,C3288,IF($D$1129=B3289,C3289,IF($D$1129=B3290,C3290,IF($D$1129=B3291,C3291,IF($D$1129=B3292,C3292,IF($D$1129=B3293,C3293,IF($D$1129=B3294,C3294,IF($D$1129=B3295,C3295,IF($D$1129=B3296,C3296,IF($D$1129=B3297,C3297,IF($D$1129=B3298,C3298,IF($D$1129=B3299,C3299,IF($D$1129=B3300,C3300,IF($D$1129=B3301,C3301,IF($D$1129=B3302,C3302,IF($D$1129=B3303,C3303,IF($D$1129=B3304,C3304,IF($D$1129=B3305,C3305,IF($D$1129=B3306,C3306,IF($D$1129=B3307,C3307,IF($D$1129=B3308,C3308,IF($D$1129=B3309,C3309,IF($D$1129=B3310,C3310,IF($D$1129=B3311,C3311,IF($D$1129=B3312,C3312,IF($D$1129=B3313,C3313,IF($D$1129=B3314,C3314,IF($D$1129=B3315,C3315,IF($D$1129=B3316,C3316,IF($D$1129=B3317,C3317,IF($D$1129=B3318,C3318,IF($D$1129=B3319,C3319,IF($D$1129=B3320,C3320,IF($D$1129=B3321,C3321,IF($D$1129=B3322,C3322,IF($D$1129=B3323,C3329,IF($D$1129=B3324,C3324,IF($D$1129=B3325,C3325,IF($D$1129=B3326,C3326,IF($D$1129=B3327,C3327,IF($D$1129=B3328,C3328,IF($D$1129=B3329,C3329,IF($D$1129=B3330,C3330,IF($D$1129=B3331,C3331,IF($D$1129=B3332,C3332,C3279))))))))))))))))))))))))))))))))))))))))))))))))))))</f>
        <v>50000</v>
      </c>
      <c r="AC3206" s="49" t="str">
        <f>IF(AND($AD$104=$B3216,$AI$104=$B$3212),AC3216,IF(AND($AD$104=$B3217,$AI$104=$B$3212),AC3217,IF(AND($AD$104=$B3218,$AI$104=$B$3212),AC3218,IF(AND($AD$104=$B3219,$AI$104=$B$3212),AC3219,IF(AND($AD$104=$B3220,$AI$104=$B$3212),AC3220,IF(AND($AD$104=$B3221,$AI$104=$B$3212),AC3221,IF(AND($AD$104=$B3222,$AI$104=$B$3212),AC3222,IF(AND($AD$104=$B3223,$AI$104=$B$3212),AC3223,IF(AND($AD$104=$B3224,$AI$104=$B$3212),AC3224,IF(AND($AD$104=$B3225,$AI$104=$B$3212),AC3225,IF(AND($AD$104=$B3226,$AI$104=$B$3212),AC3226,IF(AND($AD$104=$B3227,$AI$104=$B$3212),AC3227,IF(AND($AD$104=$B3228,$AI$104=$B$3212),AC3228,IF(AND($AD$104=$B3229,$AI$104=$B$3212),AC3229,IF(AND($AD$104=$B3230,$AI$104=$B$3212),AC3230,IF(AND($AD$104=$B3231,$AI$104=$B$3212),AC3231,IF(AND($AD$104=$B3232,$AI$104=$B$3212),AC3232,IF(AND($AD$104=$B3233,$AI$104=$B$3212),AC3233,IF(AND($AD$104=$B3234,$AI$104=$B$3212),AC3234,IF(AND($AD$104=$B3235,$AI$104=$B$3212),AC3235,IF(AND($AD$104=$B3236,$AI$104=$B$3212),AC3236,IF(AND($AD$104=$B3237,$AI$104=$B$3212),AC3237,IF(AND($AD$104=$B3238,$AI$104=$B$3212),AC3238,IF(AND($AD$104=$B3239,$AI$104=$B$3212),AC3239,IF(AND($AD$104=$B3240,$AI$104=$B$3212),AC3240,IF(AND($AD$104=$B3241,$AI$104=$B$3212),AC3241,IF(AND($AD$104=$B3242,$AI$104=$B$3212),AC3242,IF(AND($AD$104=$B3243,$AI$104=$B$3212),AC3243,IF(AND($AD$104=$B3244,$AI$104=$B$3212),AC3244,IF(AND($AD$104=$B3245,$AI$104=$B$3212),AC3245,IF(AND($AD$104=$B3246,$AI$104=$B$3212),AC3246,IF(AND($AD$104=$B3247,$AI$104=$B$3212),AC3247,IF(AND($AD$104=$B3248,$AI$104=$B$3212),AC3248,IF(AND($AD$104=$B3249,$AI$104=$B$3212),AC3249,IF(AND($AD$104=$B3250,$AI$104=$B$3212),AC3250,IF(AND($AD$104=$B3251,$AI$104=$B$3212),AC3251,IF(AND($AD$104=$B3252,$AI$104=$B$3212),AC3252,IF(AND($AD$104=$B3253,$AI$104=$B$3212),AC3253,IF(AND($AD$104=$B3254,$AI$104=$B$3212),AC3254,IF(AND($AD$104=$B3255,$AI$104=$B$3212),AC3255,IF(AND($AD$104=$B3256,$AI$104=$B$3212),AC3256,IF(AND($AD$104=$B3257,$AI$104=$B$3212),AC3257,IF(AND($AD$104=$B3258,$AI$104=$B$3212),AC3258,IF(AND($AD$104=$B3259,$AI$104=$B$3212),AC3259,IF(AND($AD$104=$B3260,$AI$104=$B$3212),AC3260,IF(AND($AD$104=$B3261,$AI$104=$B$3212),AC3261,IF(AND($AD$104=$B3262,$AI$104=$B$3212),AC3262,IF(AND($AD$104=$B3263,$AI$104=$B$3212),AC3263,IF(AND($AD$104=$B3264,$AI$104=$B$3212),AC3264,IF(AND($AD$104=$B3265,$AI$104=$B$3212),AC3265,IF(AND($AD$104=$B3266,$AI$104=$B$3212),AC3266,IF(AND($AD$104=$B3267,$AI$104=$B$3212),AC3267,AC3207))))))))))))))))))))))))))))))))))))))))))))))))))))</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AD3206" s="49"/>
      <c r="AE3206" s="49"/>
      <c r="AF3206" s="49"/>
      <c r="AG3206" s="49"/>
      <c r="AH3206" s="49"/>
      <c r="AI3206" s="49"/>
      <c r="AJ3206" s="49"/>
      <c r="AK3206" s="49"/>
      <c r="AL3206" s="49"/>
      <c r="AM3206" s="49"/>
      <c r="AN3206" s="49"/>
      <c r="AO3206" s="49"/>
      <c r="AP3206" s="49"/>
      <c r="AQ3206" s="49"/>
      <c r="AR3206" s="49"/>
      <c r="AS3206" s="49"/>
      <c r="AT3206" s="49"/>
      <c r="AU3206" s="49"/>
      <c r="AV3206" s="49"/>
      <c r="AW3206" s="49"/>
      <c r="AX3206" s="49"/>
      <c r="AY3206" s="49"/>
      <c r="AZ3206" s="49"/>
      <c r="BA3206" s="49"/>
      <c r="BB3206" s="401"/>
      <c r="BC3206" s="49"/>
      <c r="BD3206" s="49"/>
      <c r="BE3206" s="49"/>
      <c r="BF3206" s="49"/>
      <c r="BG3206" s="49"/>
      <c r="BH3206" s="49"/>
      <c r="BI3206" s="49"/>
      <c r="BJ3206" s="49"/>
      <c r="BK3206" s="49"/>
      <c r="BL3206" s="49"/>
      <c r="BM3206" s="49"/>
      <c r="BN3206" s="49"/>
      <c r="BO3206" s="49"/>
      <c r="BP3206" s="49"/>
      <c r="BQ3206" s="49"/>
      <c r="BR3206" s="49"/>
      <c r="BT3206" s="49"/>
      <c r="BU3206" s="49"/>
    </row>
    <row r="3207" spans="1:184" hidden="1" x14ac:dyDescent="0.3">
      <c r="B3207" s="366" t="str">
        <f>B1156</f>
        <v xml:space="preserve">Future civil </v>
      </c>
      <c r="D3207" s="447" t="str">
        <f>IF($D$1129=B3281,AK3281,IF($D$1129=B3282,AK3282,IF($D$1129=B3283,AK3283,IF($D$1129=B3284,AK3284,IF($D$1129=B3285,AK3285,IF($D$1129=B3286,AK3286,IF($D$1129=B3287,AK3287,IF($D$1129=B3288,AK3288,IF($D$1129=B3289,AK3289,IF($D$1129=B3290,AK3290,IF($D$1129=B3291,AK3291,IF($D$1129=B3292,AK3292,IF($D$1129=B3293,AK3293,IF($D$1129=B3294,AK3294,IF($D$1129=B3295,AK3295,IF($D$1129=B3296,AK3296,IF($D$1129=B3297,AK3297,IF($D$1129=B3298,AK3298,IF($D$1129=B3299,AK3299,IF($D$1129=B3300,AK3300,IF($D$1129=B3301,AK3301,IF($D$1129=B3302,AK3302,IF($D$1129=B3303,AK3303,IF($D$1129=B3304,AK3304,IF($D$1129=B3305,AK3305,IF($D$1129=B3306,AK3306,IF($D$1129=B3307,AK3307,IF($D$1129=B3308,AK3308,IF($D$1129=B3309,AK3309,IF($D$1129=B3310,AK3310,IF($D$1129=B3311,AK3311,IF($D$1129=B3312,AK3312,IF($D$1129=B3313,AK3313,IF($D$1129=B3314,AK3314,IF($D$1129=B3315,AK3315,IF($D$1129=B3316,AK3316,IF($D$1129=B3317,AK3317,IF($D$1129=B3318,AK3318,IF($D$1129=B3319,AK3319,IF($D$1129=B3320,AK3320,IF($D$1129=B3321,AK3321,IF($D$1129=B3322,AK3322,IF($D$1129=B3323,AK3323,IF($D$1129=B3324,AK3324,IF($D$1129=B3325,AK3325,IF($D$1129=B3326,AK3326,IF($D$1129=B3327,AK3327,IF($D$1129=B3328,AK3328,IF($D$1129=B3329,AK3329,IF($D$1129=B3330,AK3330,IF($D$1129=B3331,AK3331,IF($D$1129=B3332,AK3332,AK3279))))))))))))))))))))))))))))))))))))))))))))))))))))</f>
        <v>conditional</v>
      </c>
      <c r="AC3207" s="48" t="s">
        <v>1010</v>
      </c>
      <c r="BS3207" s="49"/>
      <c r="CF3207" s="48" t="s">
        <v>4314</v>
      </c>
    </row>
    <row r="3208" spans="1:184" hidden="1" x14ac:dyDescent="0.3">
      <c r="B3208" s="366" t="s">
        <v>1406</v>
      </c>
      <c r="D3208" s="447">
        <f>IF($D$1129=B3281,BN3281,IF($D$1129=B3282,BN3282,IF($D$1129=B3283,BN3283,IF($D$1129=B3284,BN3284,IF($D$1129=B3285,BN3285,IF($D$1129=B3286,BN3286,IF($D$1129=B3287,BN3287,IF($D$1129=B3288,BN3288,IF($D$1129=B3289,BN3289,IF($D$1129=B3290,BN3290,IF($D$1129=B3291,BN3291,IF($D$1129=B3292,BN3292,IF($D$1129=B3293,BN3293,IF($D$1129=B3294,BN3294,IF($D$1129=B3295,BN3295,IF($D$1129=B3296,BN3296,IF($D$1129=B3297,BN3297,IF($D$1129=B3298,BN3298,IF($D$1129=B3299,BN3299,IF($D$1129=B3300,BN3300,IF($D$1129=B3301,BN3301,IF($D$1129=B3302,BN3302,IF($D$1129=B3303,BN3303,IF($D$1129=B3304,BN3304,IF($D$1129=B3305,BN3305,IF($D$1129=B3306,BN3306,IF($D$1129=B3307,BN3307,IF($D$1129=B3308,BN3308,IF($D$1129=B3309,BN3309,IF($D$1129=B3310,BN3310,IF($D$1129=B3311,BN3311,IF($D$1129=B3312,BN3312,IF($D$1129=B3313,BN3313,IF($D$1129=B3314,BN3314,IF($D$1129=B3315,BN3315,IF($D$1129=B3316,BN3316,IF($D$1129=B3317,BN3317,IF($D$1129=B3318,BN3318,IF($D$1129=B3319,BN3319,IF($D$1129=B3320,BN3320,IF($D$1129=B3321,BN3321,IF($D$1129=B3322,BN3322,IF($D$1129=B3323,BN3323,IF($D$1129=B3324,BN3324,IF($D$1129=B3325,BN3325,IF($D$1129=B3326,BN3326,IF($D$1129=B3327,BN3327,IF($D$1129=B3328,BN3328,IF($D$1129=B3329,BN3329,IF($D$1129=B3330,BN3330,IF($D$1129=B3331,BN3331,IF($D$1129=B3332,BN3332,BN3279))))))))))))))))))))))))))))))))))))))))))))))))))))</f>
        <v>600000</v>
      </c>
      <c r="AE3208" s="48" t="s">
        <v>1011</v>
      </c>
      <c r="AM3208" s="48">
        <f ca="1">ROUND(D3210,0)</f>
        <v>31</v>
      </c>
      <c r="AN3208" s="48" t="s">
        <v>1012</v>
      </c>
      <c r="CF3208" s="48" t="s">
        <v>4315</v>
      </c>
    </row>
    <row r="3209" spans="1:184" hidden="1" x14ac:dyDescent="0.3">
      <c r="AE3209" s="48" t="s">
        <v>1013</v>
      </c>
      <c r="AM3209" s="1108">
        <f>B1165</f>
        <v>8200</v>
      </c>
      <c r="AN3209" s="1108"/>
      <c r="AO3209" s="48" t="s">
        <v>1014</v>
      </c>
      <c r="CF3209" s="48" t="s">
        <v>4316</v>
      </c>
    </row>
    <row r="3210" spans="1:184" hidden="1" x14ac:dyDescent="0.3">
      <c r="B3210" s="333">
        <f ca="1">TODAY()</f>
        <v>45774</v>
      </c>
      <c r="C3210" s="333">
        <f>D259</f>
        <v>34316</v>
      </c>
      <c r="D3210" s="48">
        <f ca="1">(B3210-C3210)/365.25</f>
        <v>31.370294318959616</v>
      </c>
      <c r="AE3210" s="48" t="s">
        <v>1015</v>
      </c>
      <c r="CO3210" s="48" t="s">
        <v>4321</v>
      </c>
    </row>
    <row r="3211" spans="1:184" ht="14.5" hidden="1" x14ac:dyDescent="0.35">
      <c r="AE3211" s="48" t="s">
        <v>1016</v>
      </c>
      <c r="AV3211" s="48" t="s">
        <v>1017</v>
      </c>
      <c r="CK3211"/>
      <c r="CO3211" s="48" t="s">
        <v>4320</v>
      </c>
    </row>
    <row r="3212" spans="1:184" hidden="1" x14ac:dyDescent="0.3">
      <c r="B3212" s="403" t="str">
        <f>AI104</f>
        <v>yes</v>
      </c>
      <c r="AE3212" s="48" t="s">
        <v>1018</v>
      </c>
      <c r="AV3212" s="48" t="s">
        <v>1019</v>
      </c>
      <c r="CH3212" s="48" t="s">
        <v>4335</v>
      </c>
      <c r="CJ3212" s="48" t="str">
        <f>TEXT((CK3214*100),"#.###")</f>
        <v>.5</v>
      </c>
      <c r="CK3212" s="48" t="s">
        <v>4334</v>
      </c>
      <c r="CL3212" s="48" t="str">
        <f>TEXT((CL3214*100),"#.###")</f>
        <v>15.4</v>
      </c>
      <c r="CM3212" s="245" t="s">
        <v>4339</v>
      </c>
      <c r="CN3212" s="48" t="str">
        <f>BG202</f>
        <v>Steph Turner</v>
      </c>
      <c r="CO3212" s="48" t="s">
        <v>4340</v>
      </c>
      <c r="CP3212" s="48" t="str">
        <f>CO3214</f>
        <v>190 to 5,860 in a prison population of 38,053</v>
      </c>
      <c r="CQ3212" s="48" t="s">
        <v>4068</v>
      </c>
      <c r="CR3212" s="48" t="str">
        <f>B265</f>
        <v>Michigan</v>
      </c>
      <c r="CS3212" s="48" t="s">
        <v>4341</v>
      </c>
    </row>
    <row r="3213" spans="1:184" ht="14.5" hidden="1" x14ac:dyDescent="0.35">
      <c r="AE3213" s="48" t="s">
        <v>1020</v>
      </c>
      <c r="BV3213" s="235" t="s">
        <v>4337</v>
      </c>
      <c r="BZ3213" s="636" t="str">
        <f>CONCATENATE(BY3214,BZ3214,CA3214,CB3214)</f>
        <v>the prosecuting attorney of Kent County</v>
      </c>
      <c r="CF3213" s="52" t="str">
        <f>CONCATENATE(CH3212,CJ3212,CK3212,CL3212,CM3212,CN3212,CO3212,CP3212,CQ3212,CR3212,CS3212)</f>
        <v xml:space="preserve">Researchers estimate between .5% and 15.4% of prisoners are wrongly convicted. That suggests Steph Turner is one of the 190 to 5,860 in a prison population of 38,053 in Michigan (using 2021 data) who are wrongly convicted. </v>
      </c>
    </row>
    <row r="3214" spans="1:184" ht="24" hidden="1" thickBot="1" x14ac:dyDescent="0.35">
      <c r="B3214" s="550" t="s">
        <v>3691</v>
      </c>
      <c r="AE3214" s="91" t="s">
        <v>1021</v>
      </c>
      <c r="BU3214" s="654" t="s">
        <v>4342</v>
      </c>
      <c r="BV3214" s="654" t="s">
        <v>4343</v>
      </c>
      <c r="BW3214" s="654" t="s">
        <v>4336</v>
      </c>
      <c r="BX3214" s="636">
        <f>IF($B$265=$B$3216,BX3216,IF($B$265=$B$3217,BX3217,IF($B$265=$B$3218,BX3218,IF($B$265=$B$3219,BX3219,IF($B$265=$B$3220,BX3220,IF($B$265=$B$3221,BX3221,IF($B$265=$B$3222,BX3222,IF($B$265=$B$3223,BX3223,IF($B$265=$B$3224,BX3224,IF($B$265=$B$3225,BX3225,IF($B$265=$B$3226,BX3226,IF($B$265=$B$3227,BX3227,IF($B$265=$B$3228,BX3228,IF($B$265=$B$3229,BX3229,IF($B$265=$B$3230,BX3230,IF($B$265=$B$3231,BX3231,IF($B$265=$B$3232,BX3232,IF($B$265=$B$3233,BX3233,IF($B$265=$B$3234,BX3234,IF($B$265=$B$3235,BX3235,IF($B$265=$B$3236,BX3236,IF($B$265=$B$3237,BX3237,IF($B$265=$B$3238,BX3238,IF($B$265=$B$3239,BX3239,IF($B$265=$B$3240,BX3240,IF($B$265=$B$3241,BX3241,IF($B$265=$B$3242,BX3242,IF($B$265=$B$3243,BX3243,IF($B$265=$B$3244,BX3244,IF($B$265=$B$3245,BX3245,IF($B$265=$B$3246,BX3246,IF($B$265=$B$3247,BX3247,IF($B$265=$B$3248,BX3248,IF($B$265=$B$3249,BX3249,IF($B$265=$B$3250,BX3250,IF($B$265=$B$3251,BX3251,IF($B$265=$B$3252,BX3252,IF($B$265=$B$3253,BX3253,IF($B$265=$B$3254,BX3254,IF($B$265=$B$3255,BX3255,IF($B$265=$B$3256,BX3256,IF($B$265=$B$3257=BX3257,IF($B$265=$B$3258,BX3258,IF($B$265=$B$3259,BX3259,IF($B$265=$B$3260,BX3260,IF($B$265=$B$3261,BX3261,IF($B$265=$B$3262,BX3262,IF($B$265=$B$3263,BX3263,IF($B$265=$B$3264,BX3264,IF($B$265=$B$3265,BX3265,IF($B$265=$B$3266,BX3266,IF($B$265=$B$3267,BX3267,"district attorney"))))))))))))))))))))))))))))))))))))))))))))))))))))</f>
        <v>2</v>
      </c>
      <c r="BY3214" s="48" t="s">
        <v>4148</v>
      </c>
      <c r="BZ3214" s="52" t="str">
        <f>IF($B$265=$B$3216,BZ3216,IF($B$265=$B$3217,BZ3217,IF($B$265=$B$3218,BZ3218,IF($B$265=$B$3219,BZ3219,IF($B$265=$B$3220,BZ3220,IF($B$265=$B$3221,BZ3221,IF($B$265=$B$3222,BZ3222,IF($B$265=$B$3223,BZ3223,IF($B$265=$B$3224,BZ3224,IF($B$265=$B$3225,BZ3225,IF($B$265=$B$3226,BZ3226,IF($B$265=$B$3227,BZ3227,IF($B$265=$B$3228,BZ3228,IF($B$265=$B$3229,BZ3229,IF($B$265=$B$3230,BZ3230,IF($B$265=$B$3231,BZ3231,IF($B$265=$B$3232,BZ3232,IF($B$265=$B$3233,BZ3233,IF($B$265=$B$3234,BZ3234,IF($B$265=$B$3235,BZ3235,IF($B$265=$B$3236,BZ3236,IF($B$265=$B$3237,BZ3237,IF($B$265=$B$3238,BZ3238,IF($B$265=$B$3239,BZ3239,IF($B$265=$B$3240,BZ3240,IF($B$265=$B$3241,BZ3241,IF($B$265=$B$3242,BZ3242,IF($B$265=$B$3243,BZ3243,IF($B$265=$B$3244,BZ3244,IF($B$265=$B$3245,BZ3245,IF($B$265=$B$3246,BZ3246,IF($B$265=$B$3247,BZ3247,IF($B$265=$B$3248,BZ3248,IF($B$265=$B$3249,BZ3249,IF($B$265=$B$3250,BZ3250,IF($B$265=$B$3251,BZ3251,IF($B$265=$B$3252,BZ3252,IF($B$265=$B$3253,BZ3253,IF($B$265=$B$3254,BZ3254,IF($B$265=$B$3255,BZ3255,IF($B$265=$B$3256,BZ3256,IF($B$265=$B$3257=BZ3257,IF($B$265=$B$3258,BZ3258,IF($B$265=$B$3259,BZ3259,IF($B$265=$B$3260,BZ3260,IF($B$265=$B$3261,BZ3261,IF($B$265=$B$3262,BZ3262,IF($B$265=$B$3263,BZ3263,IF($B$265=$B$3264,BZ3264,IF($B$265=$B$3265,BZ3265,IF($B$265=$B$3266,BZ3266,IF($B$265=$B$3267,BZ3267,"district attorney"))))))))))))))))))))))))))))))))))))))))))))))))))))</f>
        <v>prosecuting attorney</v>
      </c>
      <c r="CA3214" s="48" t="s">
        <v>4147</v>
      </c>
      <c r="CB3214" s="48" t="str">
        <f>C265</f>
        <v>Kent County</v>
      </c>
      <c r="CC3214" s="48" t="s">
        <v>4068</v>
      </c>
      <c r="CD3214" s="48" t="str">
        <f>B265</f>
        <v>Michigan</v>
      </c>
      <c r="CE3214" s="48" t="s">
        <v>4318</v>
      </c>
      <c r="CG3214" s="649" t="s">
        <v>4311</v>
      </c>
      <c r="CH3214" s="649" t="s">
        <v>4309</v>
      </c>
      <c r="CI3214" s="649" t="s">
        <v>4310</v>
      </c>
      <c r="CK3214" s="652">
        <v>5.0000000000000001E-3</v>
      </c>
      <c r="CL3214" s="652">
        <v>0.154</v>
      </c>
      <c r="CO3214" s="636" t="str">
        <f>IF(B265=B3216,CO3216,IF(B265=B3217,CO3217,IF(B265=B3218,CO3218,IF(B265=B3219,CO3219,IF(B265=B3220,CO3220,IF(B265=B3221,CO3221,IF(B265=B3222,CO3222,IF(B265=B3223,CO3223,IF(B265=B3224,CO3224,IF(B265=B3225,CO3225,IF(B265=B3226,CO3226,IF(B265=B3227,CO3227,IF(B265=B3228,CO3228,IF(B265=B3229,CO3229,IF(B265=B3230,CO3230,IF(B265=B3231,CO3231,IF(B265=B3232,CO3232,IF(B265=B3233,CO3233,IF(B265=B3234,CO3234,IF(B265=B3235,CO3235,IF(B265=B3236,CO3236,IF(B265=B3237,CO3237,IF(B265=B3238,CO3238,IF(B265=B3239,CO3239,IF(B265=B3240,CO3240,IF(B265=B3241,CO3241,IF(B265=B3242,CO3242,IF(B265=B3243,CO3243,IF(B265=B3244,CO3244,IF(B265=B3245,CO3245,IF(B265=B3246,CO3246,IF(B265=B3247,CO3247,IF(B265=B3248,CO3248,IF(B265=B3249,CO3249,IF(B265=B3250,CO3250,IF(B265=B3251,CO3251,IF(B265=B3252,CO3252,IF(B265=B3253,CO3253,IF(B265=B3254,CO3254,IF(B265=B3255,CO3255,IF(B265=B3256,CO3256,IF(B265=B3257,CO3257,IF(B265=B3258,CO3258,IF(B265=B3259,CO3259,IF(B265=B3260,CO3260,IF(B265=B3261,CO3261,IF(B265=B3262,CO3262,IF(B265=B3263,CO3263,IF(B265=B3264,CO3264,IF(B265=B3265,CO3265,IF(B265=B3266,CO3266,IF(B265=B3267,CO3267,0))))))))))))))))))))))))))))))))))))))))))))))))))))</f>
        <v>190 to 5,860 in a prison population of 38,053</v>
      </c>
      <c r="EB3214" s="4" t="s">
        <v>3695</v>
      </c>
    </row>
    <row r="3215" spans="1:184" ht="14.5" hidden="1" thickTop="1" x14ac:dyDescent="0.3">
      <c r="BZ3215" s="636" t="str">
        <f>CONCATENATE(PROPER(BZ3214),CA3214,CB3214,CC3214,CD3214)</f>
        <v>Prosecuting Attorney of Kent County in Michigan</v>
      </c>
      <c r="CP3215" s="48" t="s">
        <v>4319</v>
      </c>
    </row>
    <row r="3216" spans="1:184" ht="14.5" hidden="1" x14ac:dyDescent="0.35">
      <c r="A3216" s="322">
        <v>1</v>
      </c>
      <c r="B3216" s="404" t="str">
        <f t="shared" ref="B3216:B3223" si="134">B3281</f>
        <v>Alabama</v>
      </c>
      <c r="AC3216" s="48" t="str">
        <f>CONCATENATE(AV$3212,B3216,AE$3212,AE$3213)</f>
        <v xml:space="preserve">Unfortunately, Alabama does not limit how far back and employer can run a background check. Background screeners must rely on indiscriminate records that fail to distinguish between "reliable evidence-based convictions" and "non-exonerated wrongful convictions"--permitting illicit discrimination. </v>
      </c>
      <c r="BR3216" s="245" t="s">
        <v>885</v>
      </c>
      <c r="BT3216" s="245" t="s">
        <v>885</v>
      </c>
      <c r="BV3216" s="48">
        <v>2</v>
      </c>
      <c r="BX3216" s="52">
        <f>SUM(BU3216:BW3216)</f>
        <v>2</v>
      </c>
      <c r="BZ3216" s="48" t="s">
        <v>3721</v>
      </c>
      <c r="CF3216" t="s">
        <v>1043</v>
      </c>
      <c r="CG3216" s="650">
        <v>417</v>
      </c>
      <c r="CH3216" s="471">
        <v>20595</v>
      </c>
      <c r="CI3216" s="471">
        <v>4934193</v>
      </c>
      <c r="CJ3216" s="653">
        <f>CH3216/CI3216</f>
        <v>4.1739348258165009E-3</v>
      </c>
      <c r="CK3216" s="48">
        <f t="shared" ref="CK3216:CK3223" si="135">ROUND(CH3216*CK$3214,0)</f>
        <v>103</v>
      </c>
      <c r="CL3216" s="48">
        <f t="shared" ref="CL3216:CL3223" si="136">ROUND(CH3216*CL$3214,0)</f>
        <v>3172</v>
      </c>
      <c r="CM3216" s="48" t="str">
        <f t="shared" ref="CM3216:CM3223" si="137">TEXT(CL3216,"##,###")</f>
        <v>3,172</v>
      </c>
      <c r="CN3216" s="48" t="str">
        <f>TEXT(CH3216,"##,###")</f>
        <v>20,595</v>
      </c>
      <c r="CO3216" s="48" t="str">
        <f t="shared" ref="CO3216:CO3266" si="138">CONCATENATE(CK3216," to ",CM3216,CP$3215,CN3216)</f>
        <v>103 to 3,172 in a prison population of 20,595</v>
      </c>
      <c r="DZ3216" s="4" t="s">
        <v>3665</v>
      </c>
      <c r="EA3216" s="4"/>
      <c r="EB3216" s="4"/>
      <c r="EC3216" s="551" t="str">
        <f>B3216</f>
        <v>Alabama</v>
      </c>
      <c r="ED3216" s="551" t="str">
        <f>B3217</f>
        <v>Alaska</v>
      </c>
      <c r="EE3216" s="551" t="str">
        <f>B3218</f>
        <v>Arizona</v>
      </c>
      <c r="EF3216" s="551" t="str">
        <f>B3219</f>
        <v>Arkansas</v>
      </c>
      <c r="EG3216" s="551" t="str">
        <f>B3220</f>
        <v>California</v>
      </c>
      <c r="EH3216" s="551" t="str">
        <f>B3221</f>
        <v>Colorado</v>
      </c>
      <c r="EI3216" s="551" t="str">
        <f>B3222</f>
        <v>Connecticut</v>
      </c>
      <c r="EJ3216" s="551" t="str">
        <f>B3223</f>
        <v>Delaware</v>
      </c>
      <c r="EK3216" s="551" t="str">
        <f>B3224</f>
        <v>DC</v>
      </c>
      <c r="EL3216" s="551" t="str">
        <f>B3225</f>
        <v>Florida</v>
      </c>
      <c r="EM3216" s="551" t="str">
        <f>B3226</f>
        <v>Georgia</v>
      </c>
      <c r="EN3216" s="551" t="str">
        <f>B3227</f>
        <v>Hawaii</v>
      </c>
      <c r="EO3216" s="551" t="str">
        <f>B3228</f>
        <v>Idaho</v>
      </c>
      <c r="EP3216" s="551" t="str">
        <f>B3229</f>
        <v>Illinois</v>
      </c>
      <c r="EQ3216" s="551" t="str">
        <f>B3230</f>
        <v>Indiana</v>
      </c>
      <c r="ER3216" s="551" t="str">
        <f>B3231</f>
        <v>Iowa</v>
      </c>
      <c r="ES3216" s="551" t="str">
        <f>B3232</f>
        <v>Kansas</v>
      </c>
      <c r="ET3216" s="551" t="str">
        <f>B3233</f>
        <v>Kentucky</v>
      </c>
      <c r="EU3216" s="551" t="str">
        <f>B3234</f>
        <v>Louisiana</v>
      </c>
      <c r="EV3216" s="551" t="str">
        <f>B3235</f>
        <v>Maine</v>
      </c>
      <c r="EW3216" s="551" t="str">
        <f>B3236</f>
        <v>Maryland</v>
      </c>
      <c r="EX3216" s="551" t="str">
        <f>B3237</f>
        <v>Massachusetts</v>
      </c>
      <c r="EY3216" s="551" t="str">
        <f>B3238</f>
        <v>Michigan</v>
      </c>
      <c r="EZ3216" s="551" t="str">
        <f>B3239</f>
        <v>Minnesota</v>
      </c>
      <c r="FA3216" s="551" t="str">
        <f>B3240</f>
        <v>Mississippi</v>
      </c>
      <c r="FB3216" s="551" t="str">
        <f>B3241</f>
        <v>Missouri</v>
      </c>
      <c r="FC3216" s="551" t="str">
        <f>B3242</f>
        <v>Montana</v>
      </c>
      <c r="FD3216" s="551" t="str">
        <f>B3243</f>
        <v>Nebraska</v>
      </c>
      <c r="FE3216" s="551" t="str">
        <f>B3244</f>
        <v>Nevada</v>
      </c>
      <c r="FF3216" s="551" t="str">
        <f>B3245</f>
        <v>New Hampshire</v>
      </c>
      <c r="FG3216" s="551" t="str">
        <f>B3246</f>
        <v>New Jersey</v>
      </c>
      <c r="FH3216" s="551" t="str">
        <f>B3247</f>
        <v>New Mexico</v>
      </c>
      <c r="FI3216" s="551" t="str">
        <f>B3248</f>
        <v>New York</v>
      </c>
      <c r="FJ3216" s="551" t="str">
        <f>B3249</f>
        <v>North Carolina</v>
      </c>
      <c r="FK3216" s="551" t="str">
        <f>B3250</f>
        <v>North Dakota</v>
      </c>
      <c r="FL3216" s="551" t="str">
        <f>B3251</f>
        <v>Ohio</v>
      </c>
      <c r="FM3216" s="551" t="str">
        <f>B3252</f>
        <v>Oklahoma</v>
      </c>
      <c r="FN3216" s="551" t="str">
        <f>B3253</f>
        <v>Oregon</v>
      </c>
      <c r="FO3216" s="551" t="str">
        <f>B3254</f>
        <v>Pennsylvania</v>
      </c>
      <c r="FP3216" s="551" t="str">
        <f>B3255</f>
        <v>Rhode Island</v>
      </c>
      <c r="FQ3216" s="551" t="str">
        <f>B3256</f>
        <v>South Carolina</v>
      </c>
      <c r="FR3216" s="551" t="str">
        <f>B3257</f>
        <v>South Dakota</v>
      </c>
      <c r="FS3216" s="551" t="str">
        <f>B3258</f>
        <v>Tennessee</v>
      </c>
      <c r="FT3216" s="551" t="str">
        <f>B3259</f>
        <v>Texas</v>
      </c>
      <c r="FU3216" s="551" t="str">
        <f>B3260</f>
        <v>Utah</v>
      </c>
      <c r="FV3216" s="551" t="str">
        <f>B3261</f>
        <v>Vermont</v>
      </c>
      <c r="FW3216" s="551" t="str">
        <f>B3262</f>
        <v>Virginia</v>
      </c>
      <c r="FX3216" s="551" t="str">
        <f>B3263</f>
        <v>Washington</v>
      </c>
      <c r="FY3216" s="551" t="str">
        <f>B3264</f>
        <v>West Virginia</v>
      </c>
      <c r="FZ3216" s="551" t="str">
        <f>B3265</f>
        <v>Wisconsin</v>
      </c>
      <c r="GA3216" s="551" t="str">
        <f>B3266</f>
        <v>Wyoming</v>
      </c>
      <c r="GB3216" s="551" t="str">
        <f>B3267</f>
        <v>United States</v>
      </c>
    </row>
    <row r="3217" spans="1:184" ht="14.5" hidden="1" x14ac:dyDescent="0.35">
      <c r="A3217" s="322">
        <v>2</v>
      </c>
      <c r="B3217" s="404" t="str">
        <f t="shared" si="134"/>
        <v>Alaska</v>
      </c>
      <c r="AC3217" s="48" t="str">
        <f>CONCATENATE(AV$3212,B3217,AE$3212,AE$3213)</f>
        <v xml:space="preserve">Unfortunately, Alaska does not limit how far back and employer can run a background check. Background screeners must rely on indiscriminate records that fail to distinguish between "reliable evidence-based convictions" and "non-exonerated wrongful convictions"--permitting illicit discrimination. </v>
      </c>
      <c r="BR3217" s="245" t="s">
        <v>885</v>
      </c>
      <c r="BT3217" s="245" t="s">
        <v>885</v>
      </c>
      <c r="BX3217" s="52">
        <f t="shared" ref="BX3217:BX3266" si="139">SUM(BU3217:BW3217)</f>
        <v>0</v>
      </c>
      <c r="BZ3217" s="48" t="s">
        <v>3721</v>
      </c>
      <c r="CB3217" s="48" t="s">
        <v>4144</v>
      </c>
      <c r="CF3217" t="s">
        <v>1051</v>
      </c>
      <c r="CG3217" s="650">
        <v>246</v>
      </c>
      <c r="CH3217" s="471">
        <v>1782</v>
      </c>
      <c r="CI3217" s="471">
        <v>724357</v>
      </c>
      <c r="CJ3217" s="653">
        <f t="shared" ref="CJ3217:CJ3266" si="140">CH3217/CI3217</f>
        <v>2.4601129001307369E-3</v>
      </c>
      <c r="CK3217" s="48">
        <f t="shared" si="135"/>
        <v>9</v>
      </c>
      <c r="CL3217" s="48">
        <f t="shared" si="136"/>
        <v>274</v>
      </c>
      <c r="CM3217" s="48" t="str">
        <f t="shared" si="137"/>
        <v>274</v>
      </c>
      <c r="CN3217" s="48" t="str">
        <f t="shared" ref="CN3217:CN3267" si="141">TEXT(CH3217,"##,###")</f>
        <v>1,782</v>
      </c>
      <c r="CO3217" s="48" t="str">
        <f t="shared" si="138"/>
        <v>9 to 274 in a prison population of 1,782</v>
      </c>
      <c r="DZ3217" s="557" t="str">
        <f t="shared" ref="DZ3217:DZ3222" si="142">IF($B$265=$EC$3216,$EC3217,IF($B$265=$ED$3216,$ED3217,IF($B$265=$EE$3216,$EE3217,IF($B$265=$EF$3216,$EF3217,IF($B$265=$EG$3216,$EG3217,IF($B$265=$EH$3216,$EH3217,IF($B$265=$EI$3216,$EI3217,IF($B$265=$EJ$3216,$EJ3217,IF($B$265=$EK$3216,$EK3217,IF($B$265=$EL$3216,$EL3217,IF($B$265=$EC$3216,$EC3217,IF($B$265=$ED$3216,$ED3217,IF($B$265=$EE$3216,$EE3217,IF($B$265=$EF$3216,$EF3217,IF($B$265=$EG$3216,$EG3217,IF($B$265=$EH$3216,$EH3217,IF($B$265=$EI$3216,$EI3217,IF($B$265=$EJ$3216,$EJ3217,IF($B$265=$EK$3216,$EK3217,IF($B$265=$EL$3216,$EL3217,IF($B$265=$EM$3216,$EM3217,IF($B$265=$EN$3216,$EN3217,IF($B$265=$EO$3216,$EO3217,IF($B$265=$EP$3216,$EP3217,IF($B$265=$EQ$3216,$EQ3217,IF($B$265=$ER$3216,$ER3217,IF($B$265=$ES$3216,$ES3217,IF($B$265=$ET$3216,$ET3217,IF($B$265=$EU$3216,$EU3217,IF($B$265=$EV$3216,$EV3217,IF($B$265=$EW$3216,$EW3217,IF($B$265=$EX$3216,$EX3217,IF($B$265=$EY$3216,$EY3217,IF($B$265=$EZ$3216,$EZ3217,IF($B$265=$FA$3216,$FA3217,IF($B$265=$FB$3216,$FB3217,IF($B$265=$FC$3216,$FC3217,IF($B$265=$FD$3216,$FD3217,IF($B$265=$FE$3216,$FE3217,IF($B$265=$FF$3216,$FF3217,IF($B$265=$FG$3216,$FG3217,IF($B$265=$FH$3216,$FH3217,IF($B$265=$FI$3216,$FI3217,IF($B$265=$FJ$3216,$FJ3217,IF($B$265=$FK$3216,$FK3217,IF($B$265=$FL$3216,$FL3217,IF($B$265=$FM$3216,$FM3217,IF($B$265=$FN$3216,$FN3217,IF($B$265=$FO$3216,$FO3217,IF($B$265=$FP$3216,$FP3217,$DZ$3216))))))))))))))))))))))))))))))))))))))))))))))))))</f>
        <v>Michigan Innocence Clinic</v>
      </c>
      <c r="EA3217" s="4"/>
      <c r="EB3217" s="4"/>
      <c r="EC3217" s="534" t="str">
        <f>$EB$3214</f>
        <v>Innocence Project (US national)</v>
      </c>
      <c r="ED3217" s="534" t="str">
        <f t="shared" ref="ED3217:GB3217" si="143">$EB$3214</f>
        <v>Innocence Project (US national)</v>
      </c>
      <c r="EE3217" s="347" t="s">
        <v>3693</v>
      </c>
      <c r="EF3217" s="534" t="str">
        <f t="shared" si="143"/>
        <v>Innocence Project (US national)</v>
      </c>
      <c r="EG3217" s="4" t="s">
        <v>3658</v>
      </c>
      <c r="EH3217" s="534" t="str">
        <f t="shared" si="143"/>
        <v>Innocence Project (US national)</v>
      </c>
      <c r="EI3217" s="534" t="str">
        <f t="shared" si="143"/>
        <v>Innocence Project (US national)</v>
      </c>
      <c r="EJ3217" s="534" t="str">
        <f t="shared" si="143"/>
        <v>Innocence Project (US national)</v>
      </c>
      <c r="EK3217" s="534" t="str">
        <f t="shared" si="143"/>
        <v>Innocence Project (US national)</v>
      </c>
      <c r="EL3217" s="534" t="str">
        <f t="shared" si="143"/>
        <v>Innocence Project (US national)</v>
      </c>
      <c r="EM3217" s="534" t="str">
        <f t="shared" si="143"/>
        <v>Innocence Project (US national)</v>
      </c>
      <c r="EN3217" s="534" t="str">
        <f t="shared" si="143"/>
        <v>Innocence Project (US national)</v>
      </c>
      <c r="EO3217" s="534" t="str">
        <f t="shared" si="143"/>
        <v>Innocence Project (US national)</v>
      </c>
      <c r="EP3217" s="503" t="s">
        <v>3659</v>
      </c>
      <c r="EQ3217" s="534" t="str">
        <f t="shared" si="143"/>
        <v>Innocence Project (US national)</v>
      </c>
      <c r="ER3217" s="534" t="str">
        <f t="shared" si="143"/>
        <v>Innocence Project (US national)</v>
      </c>
      <c r="ES3217" s="534" t="str">
        <f t="shared" si="143"/>
        <v>Innocence Project (US national)</v>
      </c>
      <c r="ET3217" s="534" t="str">
        <f t="shared" si="143"/>
        <v>Innocence Project (US national)</v>
      </c>
      <c r="EU3217" s="534" t="str">
        <f t="shared" si="143"/>
        <v>Innocence Project (US national)</v>
      </c>
      <c r="EV3217" s="534" t="str">
        <f t="shared" si="143"/>
        <v>Innocence Project (US national)</v>
      </c>
      <c r="EW3217" s="534" t="str">
        <f t="shared" si="143"/>
        <v>Innocence Project (US national)</v>
      </c>
      <c r="EX3217" s="534" t="str">
        <f t="shared" si="143"/>
        <v>Innocence Project (US national)</v>
      </c>
      <c r="EY3217" s="503" t="s">
        <v>3674</v>
      </c>
      <c r="EZ3217" s="534" t="str">
        <f t="shared" si="143"/>
        <v>Innocence Project (US national)</v>
      </c>
      <c r="FA3217" s="534" t="str">
        <f t="shared" si="143"/>
        <v>Innocence Project (US national)</v>
      </c>
      <c r="FB3217" s="534" t="str">
        <f t="shared" si="143"/>
        <v>Innocence Project (US national)</v>
      </c>
      <c r="FC3217" s="534" t="str">
        <f t="shared" si="143"/>
        <v>Innocence Project (US national)</v>
      </c>
      <c r="FD3217" s="534" t="str">
        <f t="shared" si="143"/>
        <v>Innocence Project (US national)</v>
      </c>
      <c r="FE3217" s="534" t="str">
        <f t="shared" si="143"/>
        <v>Innocence Project (US national)</v>
      </c>
      <c r="FF3217" s="534" t="str">
        <f t="shared" si="143"/>
        <v>Innocence Project (US national)</v>
      </c>
      <c r="FG3217" s="534" t="str">
        <f t="shared" si="143"/>
        <v>Innocence Project (US national)</v>
      </c>
      <c r="FH3217" s="534" t="str">
        <f t="shared" si="143"/>
        <v>Innocence Project (US national)</v>
      </c>
      <c r="FI3217" s="534" t="str">
        <f t="shared" si="143"/>
        <v>Innocence Project (US national)</v>
      </c>
      <c r="FJ3217" s="534" t="str">
        <f t="shared" si="143"/>
        <v>Innocence Project (US national)</v>
      </c>
      <c r="FK3217" s="534" t="str">
        <f t="shared" si="143"/>
        <v>Innocence Project (US national)</v>
      </c>
      <c r="FL3217" s="553" t="s">
        <v>3682</v>
      </c>
      <c r="FM3217" s="534" t="str">
        <f t="shared" si="143"/>
        <v>Innocence Project (US national)</v>
      </c>
      <c r="FN3217" s="534" t="str">
        <f t="shared" si="143"/>
        <v>Innocence Project (US national)</v>
      </c>
      <c r="FO3217" s="534" t="str">
        <f t="shared" si="143"/>
        <v>Innocence Project (US national)</v>
      </c>
      <c r="FP3217" s="534" t="str">
        <f t="shared" si="143"/>
        <v>Innocence Project (US national)</v>
      </c>
      <c r="FQ3217" s="534" t="str">
        <f t="shared" si="143"/>
        <v>Innocence Project (US national)</v>
      </c>
      <c r="FR3217" s="534" t="str">
        <f t="shared" si="143"/>
        <v>Innocence Project (US national)</v>
      </c>
      <c r="FS3217" s="534" t="str">
        <f t="shared" si="143"/>
        <v>Innocence Project (US national)</v>
      </c>
      <c r="FT3217" s="534" t="str">
        <f t="shared" si="143"/>
        <v>Innocence Project (US national)</v>
      </c>
      <c r="FU3217" s="534" t="str">
        <f t="shared" si="143"/>
        <v>Innocence Project (US national)</v>
      </c>
      <c r="FV3217" s="534" t="str">
        <f t="shared" si="143"/>
        <v>Innocence Project (US national)</v>
      </c>
      <c r="FW3217" s="534" t="str">
        <f t="shared" si="143"/>
        <v>Innocence Project (US national)</v>
      </c>
      <c r="FX3217" s="503" t="s">
        <v>3719</v>
      </c>
      <c r="FY3217" s="534" t="str">
        <f t="shared" si="143"/>
        <v>Innocence Project (US national)</v>
      </c>
      <c r="FZ3217" s="503" t="s">
        <v>3690</v>
      </c>
      <c r="GA3217" s="534" t="str">
        <f t="shared" si="143"/>
        <v>Innocence Project (US national)</v>
      </c>
      <c r="GB3217" s="534" t="str">
        <f t="shared" si="143"/>
        <v>Innocence Project (US national)</v>
      </c>
    </row>
    <row r="3218" spans="1:184" ht="14.5" hidden="1" x14ac:dyDescent="0.35">
      <c r="A3218" s="322">
        <v>3</v>
      </c>
      <c r="B3218" s="404" t="str">
        <f t="shared" si="134"/>
        <v>Arizona</v>
      </c>
      <c r="AC3218" s="48" t="str">
        <f>CONCATENATE(AV$3212,B3218,AE$3212,AE$3213)</f>
        <v xml:space="preserve">Unfortunately, Arizona does not limit how far back and employer can run a background check. Background screeners must rely on indiscriminate records that fail to distinguish between "reliable evidence-based convictions" and "non-exonerated wrongful convictions"--permitting illicit discrimination. </v>
      </c>
      <c r="BR3218" s="245" t="s">
        <v>885</v>
      </c>
      <c r="BT3218" s="245" t="s">
        <v>885</v>
      </c>
      <c r="BV3218" s="48">
        <v>2</v>
      </c>
      <c r="BX3218" s="52">
        <f t="shared" si="139"/>
        <v>2</v>
      </c>
      <c r="BZ3218" s="48" t="s">
        <v>4140</v>
      </c>
      <c r="CF3218" t="s">
        <v>1053</v>
      </c>
      <c r="CG3218" s="650">
        <v>545</v>
      </c>
      <c r="CH3218" s="471">
        <v>40951</v>
      </c>
      <c r="CI3218" s="471">
        <v>7520103</v>
      </c>
      <c r="CJ3218" s="653">
        <f t="shared" si="140"/>
        <v>5.4455371156485492E-3</v>
      </c>
      <c r="CK3218" s="48">
        <f t="shared" si="135"/>
        <v>205</v>
      </c>
      <c r="CL3218" s="48">
        <f t="shared" si="136"/>
        <v>6306</v>
      </c>
      <c r="CM3218" s="48" t="str">
        <f t="shared" si="137"/>
        <v>6,306</v>
      </c>
      <c r="CN3218" s="48" t="str">
        <f t="shared" si="141"/>
        <v>40,951</v>
      </c>
      <c r="CO3218" s="48" t="str">
        <f t="shared" si="138"/>
        <v>205 to 6,306 in a prison population of 40,951</v>
      </c>
      <c r="DZ3218" s="557" t="str">
        <f t="shared" si="142"/>
        <v>Thomas M. Cooley Innocence Project</v>
      </c>
      <c r="EA3218" s="4"/>
      <c r="EB3218" s="4"/>
      <c r="EC3218" s="552" t="s">
        <v>912</v>
      </c>
      <c r="ED3218" s="347" t="s">
        <v>3655</v>
      </c>
      <c r="EE3218" s="4" t="s">
        <v>3656</v>
      </c>
      <c r="EF3218" s="552" t="str">
        <f>EE3219</f>
        <v>other</v>
      </c>
      <c r="EG3218" s="4" t="s">
        <v>3673</v>
      </c>
      <c r="EH3218" s="4" t="s">
        <v>3661</v>
      </c>
      <c r="EI3218" s="4" t="s">
        <v>3692</v>
      </c>
      <c r="EJ3218" s="4" t="s">
        <v>3680</v>
      </c>
      <c r="EK3218" s="4" t="s">
        <v>3675</v>
      </c>
      <c r="EL3218" s="4" t="s">
        <v>3669</v>
      </c>
      <c r="EM3218" s="48" t="s">
        <v>3662</v>
      </c>
      <c r="EN3218" s="48" t="s">
        <v>3698</v>
      </c>
      <c r="EO3218" s="48" t="s">
        <v>3663</v>
      </c>
      <c r="EP3218" s="48" t="s">
        <v>3664</v>
      </c>
      <c r="EQ3218" s="48" t="s">
        <v>3701</v>
      </c>
      <c r="ER3218" s="48" t="s">
        <v>3702</v>
      </c>
      <c r="ES3218" s="48" t="s">
        <v>3676</v>
      </c>
      <c r="ET3218" s="48" t="s">
        <v>3671</v>
      </c>
      <c r="EU3218" s="48" t="s">
        <v>3668</v>
      </c>
      <c r="EV3218" s="48" t="s">
        <v>3678</v>
      </c>
      <c r="EW3218" s="48" t="s">
        <v>3675</v>
      </c>
      <c r="EX3218" s="48" t="s">
        <v>3657</v>
      </c>
      <c r="EY3218" s="48" t="s">
        <v>3704</v>
      </c>
      <c r="EZ3218" s="48" t="s">
        <v>3667</v>
      </c>
      <c r="FA3218" s="48" t="s">
        <v>3668</v>
      </c>
      <c r="FB3218" s="48" t="s">
        <v>3676</v>
      </c>
      <c r="FC3218" s="48" t="s">
        <v>3677</v>
      </c>
      <c r="FD3218" s="48" t="s">
        <v>3676</v>
      </c>
      <c r="FE3218" s="48" t="s">
        <v>3686</v>
      </c>
      <c r="FF3218" s="48" t="s">
        <v>3678</v>
      </c>
      <c r="FG3218" s="48" t="s">
        <v>3707</v>
      </c>
      <c r="FH3218" s="48" t="s">
        <v>3708</v>
      </c>
      <c r="FI3218" s="48" t="s">
        <v>3709</v>
      </c>
      <c r="FJ3218" s="48" t="s">
        <v>3713</v>
      </c>
      <c r="FK3218" s="48" t="s">
        <v>3715</v>
      </c>
      <c r="FL3218" s="48" t="s">
        <v>3681</v>
      </c>
      <c r="FM3218" s="48" t="s">
        <v>3683</v>
      </c>
      <c r="FN3218" s="48" t="s">
        <v>3684</v>
      </c>
      <c r="FO3218" s="48" t="s">
        <v>3685</v>
      </c>
      <c r="FP3218" s="48" t="s">
        <v>3657</v>
      </c>
      <c r="FQ3218" s="48" t="s">
        <v>3679</v>
      </c>
      <c r="FR3218" s="48" t="s">
        <v>3667</v>
      </c>
      <c r="FS3218" s="48" t="s">
        <v>3716</v>
      </c>
      <c r="FT3218" s="48" t="s">
        <v>3717</v>
      </c>
      <c r="FU3218" s="48" t="s">
        <v>3686</v>
      </c>
      <c r="FV3218" s="48" t="s">
        <v>3678</v>
      </c>
      <c r="FW3218" s="48" t="s">
        <v>3666</v>
      </c>
      <c r="FX3218" s="552" t="str">
        <f>FW3220</f>
        <v>other</v>
      </c>
      <c r="FY3218" s="48" t="s">
        <v>3689</v>
      </c>
      <c r="FZ3218" s="552" t="str">
        <f>FY3219</f>
        <v>other</v>
      </c>
      <c r="GA3218" s="48" t="s">
        <v>3686</v>
      </c>
      <c r="GB3218" s="552" t="str">
        <f>GA3219</f>
        <v>other</v>
      </c>
    </row>
    <row r="3219" spans="1:184" ht="14.5" hidden="1" x14ac:dyDescent="0.35">
      <c r="A3219" s="322">
        <v>4</v>
      </c>
      <c r="B3219" s="404" t="str">
        <f t="shared" si="134"/>
        <v>Arkansas</v>
      </c>
      <c r="AC3219" s="48" t="str">
        <f>CONCATENATE(AV$3212,B3219,AE$3212,AE$3213)</f>
        <v xml:space="preserve">Unfortunately, Arkansas does not limit how far back and employer can run a background check. Background screeners must rely on indiscriminate records that fail to distinguish between "reliable evidence-based convictions" and "non-exonerated wrongful convictions"--permitting illicit discrimination. </v>
      </c>
      <c r="BR3219" s="245" t="s">
        <v>885</v>
      </c>
      <c r="BT3219" s="245" t="s">
        <v>885</v>
      </c>
      <c r="BX3219" s="52">
        <f t="shared" si="139"/>
        <v>0</v>
      </c>
      <c r="BZ3219" s="48" t="s">
        <v>3722</v>
      </c>
      <c r="CF3219" t="s">
        <v>1055</v>
      </c>
      <c r="CG3219" s="650">
        <v>584</v>
      </c>
      <c r="CH3219" s="471">
        <v>17713</v>
      </c>
      <c r="CI3219" s="471">
        <v>3033946</v>
      </c>
      <c r="CJ3219" s="653">
        <f t="shared" si="140"/>
        <v>5.8382713469521215E-3</v>
      </c>
      <c r="CK3219" s="48">
        <f t="shared" si="135"/>
        <v>89</v>
      </c>
      <c r="CL3219" s="48">
        <f t="shared" si="136"/>
        <v>2728</v>
      </c>
      <c r="CM3219" s="48" t="str">
        <f t="shared" si="137"/>
        <v>2,728</v>
      </c>
      <c r="CN3219" s="48" t="str">
        <f t="shared" si="141"/>
        <v>17,713</v>
      </c>
      <c r="CO3219" s="48" t="str">
        <f t="shared" si="138"/>
        <v>89 to 2,728 in a prison population of 17,713</v>
      </c>
      <c r="DZ3219" s="557" t="str">
        <f t="shared" si="142"/>
        <v>other</v>
      </c>
      <c r="EA3219" s="231"/>
      <c r="EB3219" s="4"/>
      <c r="EC3219" s="503" t="s">
        <v>885</v>
      </c>
      <c r="ED3219" s="552" t="str">
        <f>EC3218</f>
        <v>other</v>
      </c>
      <c r="EE3219" s="552" t="str">
        <f>ED3219</f>
        <v>other</v>
      </c>
      <c r="EF3219" s="503" t="s">
        <v>885</v>
      </c>
      <c r="EG3219" s="4" t="s">
        <v>3696</v>
      </c>
      <c r="EH3219" s="4" t="s">
        <v>3672</v>
      </c>
      <c r="EI3219" s="48" t="s">
        <v>3678</v>
      </c>
      <c r="EJ3219" s="552" t="str">
        <f>EI3220</f>
        <v>other</v>
      </c>
      <c r="EK3219" s="552" t="str">
        <f>EJ3219</f>
        <v>other</v>
      </c>
      <c r="EL3219" s="4" t="s">
        <v>3697</v>
      </c>
      <c r="EM3219" s="552" t="str">
        <f>EL3220</f>
        <v>other</v>
      </c>
      <c r="EN3219" s="552" t="str">
        <f>EM3219</f>
        <v>other</v>
      </c>
      <c r="EO3219" s="552" t="str">
        <f>EN3219</f>
        <v>other</v>
      </c>
      <c r="EP3219" s="48" t="s">
        <v>3699</v>
      </c>
      <c r="EQ3219" s="552" t="str">
        <f>EP3221</f>
        <v>other</v>
      </c>
      <c r="ER3219" s="48" t="s">
        <v>3676</v>
      </c>
      <c r="ES3219" s="552" t="str">
        <f>ER3220</f>
        <v>other</v>
      </c>
      <c r="ET3219" s="552" t="str">
        <f>ES3219</f>
        <v>other</v>
      </c>
      <c r="EU3219" s="552" t="str">
        <f>ET3219</f>
        <v>other</v>
      </c>
      <c r="EV3219" s="552" t="str">
        <f>EU3219</f>
        <v>other</v>
      </c>
      <c r="EW3219" s="48" t="s">
        <v>3688</v>
      </c>
      <c r="EX3219" s="48" t="s">
        <v>3660</v>
      </c>
      <c r="EY3219" s="552" t="str">
        <f>EX3222</f>
        <v>other</v>
      </c>
      <c r="EZ3219" s="552" t="str">
        <f>EY3219</f>
        <v>other</v>
      </c>
      <c r="FA3219" s="48" t="s">
        <v>3705</v>
      </c>
      <c r="FB3219" s="552" t="str">
        <f>FA3220</f>
        <v>other</v>
      </c>
      <c r="FC3219" s="552" t="str">
        <f>FB3219</f>
        <v>other</v>
      </c>
      <c r="FD3219" s="48" t="s">
        <v>3706</v>
      </c>
      <c r="FE3219" s="552" t="str">
        <f>FD3220</f>
        <v>other</v>
      </c>
      <c r="FF3219" s="552" t="str">
        <f>FE3219</f>
        <v>other</v>
      </c>
      <c r="FG3219" s="552" t="str">
        <f>FF3219</f>
        <v>other</v>
      </c>
      <c r="FH3219" s="552" t="str">
        <f>FG3219</f>
        <v>other</v>
      </c>
      <c r="FI3219" s="48" t="s">
        <v>3710</v>
      </c>
      <c r="FJ3219" s="48" t="s">
        <v>3679</v>
      </c>
      <c r="FK3219" s="48" t="s">
        <v>3667</v>
      </c>
      <c r="FL3219" s="552" t="str">
        <f>FK3220</f>
        <v>other</v>
      </c>
      <c r="FM3219" s="552" t="str">
        <f>FL3219</f>
        <v>other</v>
      </c>
      <c r="FN3219" s="552" t="str">
        <f>FM3219</f>
        <v>other</v>
      </c>
      <c r="FO3219" s="552" t="str">
        <f>FN3219</f>
        <v>other</v>
      </c>
      <c r="FP3219" s="48" t="s">
        <v>3678</v>
      </c>
      <c r="FQ3219" s="552" t="str">
        <f>FP3220</f>
        <v>other</v>
      </c>
      <c r="FR3219" s="48" t="s">
        <v>3715</v>
      </c>
      <c r="FS3219" s="552" t="str">
        <f>FR3220</f>
        <v>other</v>
      </c>
      <c r="FT3219" s="48" t="s">
        <v>3670</v>
      </c>
      <c r="FU3219" s="552" t="str">
        <f>FT3222</f>
        <v>other</v>
      </c>
      <c r="FV3219" s="552" t="str">
        <f>FU3219</f>
        <v>other</v>
      </c>
      <c r="FW3219" s="48" t="s">
        <v>3675</v>
      </c>
      <c r="FX3219" s="245" t="s">
        <v>885</v>
      </c>
      <c r="FY3219" s="552" t="str">
        <f>FX3218</f>
        <v>other</v>
      </c>
      <c r="FZ3219" s="245" t="s">
        <v>885</v>
      </c>
      <c r="GA3219" s="552" t="str">
        <f>FZ3218</f>
        <v>other</v>
      </c>
      <c r="GB3219" s="245" t="s">
        <v>885</v>
      </c>
    </row>
    <row r="3220" spans="1:184" ht="14.5" hidden="1" x14ac:dyDescent="0.35">
      <c r="A3220" s="322">
        <v>5</v>
      </c>
      <c r="B3220" s="404" t="str">
        <f t="shared" si="134"/>
        <v>California</v>
      </c>
      <c r="C3220" s="405">
        <v>0</v>
      </c>
      <c r="D3220" s="406" t="s">
        <v>1022</v>
      </c>
      <c r="AC3220" s="48" t="str">
        <f ca="1">IF($D$3210&gt;7,AE3200,BS3221)</f>
        <v>Since your conviction occurred 31 years ago, California prevents employers and others from running a criminal background check that far back.</v>
      </c>
      <c r="BO3220" s="48" t="str">
        <f ca="1">CONCATENATE($AE$3204,B3220,$AE$3210)</f>
        <v>Since your conviction occurred 31 years ago, and you earn only about $8200 per year, California prevents employers and others from running a criminal background check that far back.</v>
      </c>
      <c r="BR3220" s="245" t="s">
        <v>885</v>
      </c>
      <c r="BT3220" s="245" t="s">
        <v>885</v>
      </c>
      <c r="BU3220" s="48">
        <v>7</v>
      </c>
      <c r="BV3220" s="48">
        <v>9</v>
      </c>
      <c r="BX3220" s="52">
        <f t="shared" si="139"/>
        <v>16</v>
      </c>
      <c r="BZ3220" s="48" t="s">
        <v>3721</v>
      </c>
      <c r="CF3220" t="s">
        <v>1057</v>
      </c>
      <c r="CG3220" s="650">
        <v>309</v>
      </c>
      <c r="CH3220" s="471">
        <v>122417</v>
      </c>
      <c r="CI3220" s="471">
        <v>39613493</v>
      </c>
      <c r="CJ3220" s="653">
        <f t="shared" si="140"/>
        <v>3.0902854237065134E-3</v>
      </c>
      <c r="CK3220" s="48">
        <f t="shared" si="135"/>
        <v>612</v>
      </c>
      <c r="CL3220" s="48">
        <f t="shared" si="136"/>
        <v>18852</v>
      </c>
      <c r="CM3220" s="48" t="str">
        <f t="shared" si="137"/>
        <v>18,852</v>
      </c>
      <c r="CN3220" s="48" t="str">
        <f t="shared" si="141"/>
        <v>122,417</v>
      </c>
      <c r="CO3220" s="48" t="str">
        <f t="shared" si="138"/>
        <v>612 to 18,852 in a prison population of 122,417</v>
      </c>
      <c r="DZ3220" s="557" t="str">
        <f t="shared" si="142"/>
        <v/>
      </c>
      <c r="EA3220" s="231"/>
      <c r="EB3220" s="4"/>
      <c r="EC3220" s="503" t="s">
        <v>885</v>
      </c>
      <c r="ED3220" s="503" t="s">
        <v>885</v>
      </c>
      <c r="EE3220" s="503" t="s">
        <v>885</v>
      </c>
      <c r="EF3220" s="503" t="s">
        <v>885</v>
      </c>
      <c r="EG3220" s="4" t="s">
        <v>3694</v>
      </c>
      <c r="EH3220" s="552" t="str">
        <f>EG3221</f>
        <v>other</v>
      </c>
      <c r="EI3220" s="552" t="str">
        <f>EH3220</f>
        <v>other</v>
      </c>
      <c r="EJ3220" s="503" t="s">
        <v>885</v>
      </c>
      <c r="EK3220" s="503" t="s">
        <v>885</v>
      </c>
      <c r="EL3220" s="552" t="str">
        <f>EK3219</f>
        <v>other</v>
      </c>
      <c r="EM3220" s="245" t="s">
        <v>885</v>
      </c>
      <c r="EN3220" s="245" t="s">
        <v>885</v>
      </c>
      <c r="EO3220" s="245" t="s">
        <v>885</v>
      </c>
      <c r="EP3220" s="48" t="s">
        <v>3700</v>
      </c>
      <c r="ER3220" s="552" t="str">
        <f>EQ3219</f>
        <v>other</v>
      </c>
      <c r="ES3220" s="245" t="s">
        <v>885</v>
      </c>
      <c r="ET3220" s="245" t="s">
        <v>885</v>
      </c>
      <c r="EU3220" s="245" t="s">
        <v>885</v>
      </c>
      <c r="EV3220" s="245" t="s">
        <v>885</v>
      </c>
      <c r="EW3220" s="552" t="str">
        <f>EV3219</f>
        <v>other</v>
      </c>
      <c r="EX3220" s="48" t="s">
        <v>3703</v>
      </c>
      <c r="EY3220" s="245" t="s">
        <v>885</v>
      </c>
      <c r="EZ3220" s="245" t="s">
        <v>885</v>
      </c>
      <c r="FA3220" s="552" t="str">
        <f>EZ3219</f>
        <v>other</v>
      </c>
      <c r="FB3220" s="245" t="s">
        <v>885</v>
      </c>
      <c r="FC3220" s="245" t="s">
        <v>885</v>
      </c>
      <c r="FD3220" s="552" t="str">
        <f>FC3219</f>
        <v>other</v>
      </c>
      <c r="FE3220" s="245" t="s">
        <v>885</v>
      </c>
      <c r="FF3220" s="245" t="s">
        <v>885</v>
      </c>
      <c r="FG3220" s="245" t="s">
        <v>885</v>
      </c>
      <c r="FH3220" s="245" t="s">
        <v>885</v>
      </c>
      <c r="FI3220" s="48" t="s">
        <v>3711</v>
      </c>
      <c r="FJ3220" s="48" t="s">
        <v>3714</v>
      </c>
      <c r="FK3220" s="552" t="str">
        <f>FJ3221</f>
        <v>other</v>
      </c>
      <c r="FL3220" s="245" t="s">
        <v>885</v>
      </c>
      <c r="FM3220" s="245" t="s">
        <v>885</v>
      </c>
      <c r="FN3220" s="245" t="s">
        <v>885</v>
      </c>
      <c r="FO3220" s="245" t="s">
        <v>885</v>
      </c>
      <c r="FP3220" s="552" t="str">
        <f>FO3219</f>
        <v>other</v>
      </c>
      <c r="FQ3220" s="245" t="s">
        <v>885</v>
      </c>
      <c r="FR3220" s="552" t="str">
        <f>FQ3219</f>
        <v>other</v>
      </c>
      <c r="FS3220" s="245" t="s">
        <v>885</v>
      </c>
      <c r="FT3220" s="48" t="s">
        <v>3687</v>
      </c>
      <c r="FU3220" s="245" t="s">
        <v>885</v>
      </c>
      <c r="FV3220" s="245" t="s">
        <v>885</v>
      </c>
      <c r="FW3220" s="552" t="str">
        <f>FV3219</f>
        <v>other</v>
      </c>
      <c r="FX3220" s="245" t="s">
        <v>885</v>
      </c>
      <c r="FY3220" s="245" t="s">
        <v>885</v>
      </c>
      <c r="FZ3220" s="245" t="s">
        <v>885</v>
      </c>
      <c r="GA3220" s="245" t="s">
        <v>885</v>
      </c>
      <c r="GB3220" s="245" t="s">
        <v>885</v>
      </c>
    </row>
    <row r="3221" spans="1:184" ht="14.5" hidden="1" x14ac:dyDescent="0.35">
      <c r="A3221" s="322">
        <v>6</v>
      </c>
      <c r="B3221" s="404" t="str">
        <f t="shared" si="134"/>
        <v>Colorado</v>
      </c>
      <c r="C3221" s="407">
        <v>75000</v>
      </c>
      <c r="D3221" s="406" t="s">
        <v>1023</v>
      </c>
      <c r="AC3221" s="48" t="str">
        <f ca="1">IF($D$3210&gt;7,BO3221,BS3222)</f>
        <v>Since your conviction occurred 31 years ago, and you earn only about $8200 per year, Colorado prevents employers and others from running a criminal background check that far back.</v>
      </c>
      <c r="BO3221" s="48" t="str">
        <f ca="1">CONCATENATE($AE$3204,B3221,$AE$3210)</f>
        <v>Since your conviction occurred 31 years ago, and you earn only about $8200 per year, Colorado prevents employers and others from running a criminal background check that far back.</v>
      </c>
      <c r="BR3221" s="245" t="s">
        <v>885</v>
      </c>
      <c r="BS3221" s="48" t="str">
        <f>CONCATENATE(B3220,AE3211)</f>
        <v>California cannnot limit how far back and employer can run a background check.</v>
      </c>
      <c r="BT3221" s="245" t="s">
        <v>885</v>
      </c>
      <c r="BV3221" s="48">
        <v>3</v>
      </c>
      <c r="BX3221" s="52">
        <f t="shared" si="139"/>
        <v>3</v>
      </c>
      <c r="BZ3221" s="48" t="s">
        <v>3721</v>
      </c>
      <c r="CF3221" t="s">
        <v>1062</v>
      </c>
      <c r="CG3221" s="650">
        <v>336</v>
      </c>
      <c r="CH3221" s="471">
        <v>19785</v>
      </c>
      <c r="CI3221" s="471">
        <v>5893634</v>
      </c>
      <c r="CJ3221" s="653">
        <f t="shared" si="140"/>
        <v>3.3570119895466872E-3</v>
      </c>
      <c r="CK3221" s="48">
        <f t="shared" si="135"/>
        <v>99</v>
      </c>
      <c r="CL3221" s="48">
        <f t="shared" si="136"/>
        <v>3047</v>
      </c>
      <c r="CM3221" s="48" t="str">
        <f t="shared" si="137"/>
        <v>3,047</v>
      </c>
      <c r="CN3221" s="48" t="str">
        <f t="shared" si="141"/>
        <v>19,785</v>
      </c>
      <c r="CO3221" s="48" t="str">
        <f t="shared" si="138"/>
        <v>99 to 3,047 in a prison population of 19,785</v>
      </c>
      <c r="DZ3221" s="557" t="str">
        <f t="shared" si="142"/>
        <v/>
      </c>
      <c r="EA3221" s="231"/>
      <c r="EB3221" s="4"/>
      <c r="EC3221" s="503" t="s">
        <v>885</v>
      </c>
      <c r="ED3221" s="503" t="s">
        <v>885</v>
      </c>
      <c r="EE3221" s="503" t="s">
        <v>885</v>
      </c>
      <c r="EF3221" s="503" t="s">
        <v>885</v>
      </c>
      <c r="EG3221" s="552" t="str">
        <f>EF3218</f>
        <v>other</v>
      </c>
      <c r="EH3221" s="503" t="s">
        <v>885</v>
      </c>
      <c r="EI3221" s="503" t="s">
        <v>885</v>
      </c>
      <c r="EJ3221" s="503" t="s">
        <v>885</v>
      </c>
      <c r="EK3221" s="503" t="s">
        <v>885</v>
      </c>
      <c r="EL3221" s="503" t="s">
        <v>885</v>
      </c>
      <c r="EM3221" s="245" t="s">
        <v>885</v>
      </c>
      <c r="EN3221" s="245" t="s">
        <v>885</v>
      </c>
      <c r="EO3221" s="245" t="s">
        <v>885</v>
      </c>
      <c r="EP3221" s="552" t="str">
        <f>EO3219</f>
        <v>other</v>
      </c>
      <c r="EQ3221" s="245" t="s">
        <v>885</v>
      </c>
      <c r="ER3221" s="245" t="s">
        <v>885</v>
      </c>
      <c r="ES3221" s="245" t="s">
        <v>885</v>
      </c>
      <c r="ET3221" s="245" t="s">
        <v>885</v>
      </c>
      <c r="EU3221" s="245" t="s">
        <v>885</v>
      </c>
      <c r="EV3221" s="245" t="s">
        <v>885</v>
      </c>
      <c r="EW3221" s="245" t="s">
        <v>885</v>
      </c>
      <c r="EX3221" s="48" t="s">
        <v>3678</v>
      </c>
      <c r="EY3221" s="245" t="s">
        <v>885</v>
      </c>
      <c r="EZ3221" s="245" t="s">
        <v>885</v>
      </c>
      <c r="FA3221" s="245" t="s">
        <v>885</v>
      </c>
      <c r="FB3221" s="245" t="s">
        <v>885</v>
      </c>
      <c r="FC3221" s="245" t="s">
        <v>885</v>
      </c>
      <c r="FD3221" s="245" t="s">
        <v>885</v>
      </c>
      <c r="FE3221" s="245" t="s">
        <v>885</v>
      </c>
      <c r="FF3221" s="245" t="s">
        <v>885</v>
      </c>
      <c r="FG3221" s="245" t="s">
        <v>885</v>
      </c>
      <c r="FH3221" s="245" t="s">
        <v>885</v>
      </c>
      <c r="FI3221" s="48" t="s">
        <v>3712</v>
      </c>
      <c r="FJ3221" s="552" t="str">
        <f>FI3222</f>
        <v>other</v>
      </c>
      <c r="FK3221" s="245" t="s">
        <v>885</v>
      </c>
      <c r="FL3221" s="245" t="s">
        <v>885</v>
      </c>
      <c r="FM3221" s="245" t="s">
        <v>885</v>
      </c>
      <c r="FN3221" s="245" t="s">
        <v>885</v>
      </c>
      <c r="FO3221" s="245" t="s">
        <v>885</v>
      </c>
      <c r="FP3221" s="245" t="s">
        <v>885</v>
      </c>
      <c r="FQ3221" s="245" t="s">
        <v>885</v>
      </c>
      <c r="FR3221" s="245" t="s">
        <v>885</v>
      </c>
      <c r="FT3221" s="48" t="s">
        <v>3718</v>
      </c>
      <c r="FU3221" s="245" t="s">
        <v>885</v>
      </c>
      <c r="FV3221" s="245" t="s">
        <v>885</v>
      </c>
      <c r="FW3221" s="245" t="s">
        <v>885</v>
      </c>
      <c r="FX3221" s="245" t="s">
        <v>885</v>
      </c>
      <c r="FY3221" s="245" t="s">
        <v>885</v>
      </c>
      <c r="FZ3221" s="245" t="s">
        <v>885</v>
      </c>
      <c r="GA3221" s="245" t="s">
        <v>885</v>
      </c>
      <c r="GB3221" s="245" t="s">
        <v>885</v>
      </c>
    </row>
    <row r="3222" spans="1:184" ht="14.5" hidden="1" x14ac:dyDescent="0.35">
      <c r="A3222" s="322">
        <v>7</v>
      </c>
      <c r="B3222" s="404" t="str">
        <f t="shared" si="134"/>
        <v>Connecticut</v>
      </c>
      <c r="C3222" s="407"/>
      <c r="D3222" s="406"/>
      <c r="AC3222" s="48" t="str">
        <f t="shared" ref="AC3222:AC3231" si="144">CONCATENATE(AV$3212,B3222,AE$3212,AE$3213)</f>
        <v xml:space="preserve">Unfortunately, Connecticut does not limit how far back and employer can run a background check. Background screeners must rely on indiscriminate records that fail to distinguish between "reliable evidence-based convictions" and "non-exonerated wrongful convictions"--permitting illicit discrimination. </v>
      </c>
      <c r="BR3222" s="245" t="s">
        <v>885</v>
      </c>
      <c r="BS3222" s="48" t="str">
        <f>CONCATENATE(B3221,AE$3211)</f>
        <v>Colorado cannnot limit how far back and employer can run a background check.</v>
      </c>
      <c r="BT3222" s="245" t="s">
        <v>885</v>
      </c>
      <c r="BX3222" s="52">
        <f t="shared" si="139"/>
        <v>0</v>
      </c>
      <c r="BZ3222" s="48" t="s">
        <v>3723</v>
      </c>
      <c r="CF3222" t="s">
        <v>1068</v>
      </c>
      <c r="CG3222" s="650">
        <v>246</v>
      </c>
      <c r="CH3222" s="471">
        <v>8751</v>
      </c>
      <c r="CI3222" s="471">
        <v>3552821</v>
      </c>
      <c r="CJ3222" s="653">
        <f t="shared" si="140"/>
        <v>2.4631131149022143E-3</v>
      </c>
      <c r="CK3222" s="48">
        <f t="shared" si="135"/>
        <v>44</v>
      </c>
      <c r="CL3222" s="48">
        <f t="shared" si="136"/>
        <v>1348</v>
      </c>
      <c r="CM3222" s="48" t="str">
        <f t="shared" si="137"/>
        <v>1,348</v>
      </c>
      <c r="CN3222" s="48" t="str">
        <f t="shared" si="141"/>
        <v>8,751</v>
      </c>
      <c r="CO3222" s="48" t="str">
        <f t="shared" si="138"/>
        <v>44 to 1,348 in a prison population of 8,751</v>
      </c>
      <c r="DZ3222" s="557" t="str">
        <f t="shared" si="142"/>
        <v/>
      </c>
      <c r="EA3222" s="231"/>
      <c r="EB3222" s="4"/>
      <c r="EC3222" s="503" t="s">
        <v>885</v>
      </c>
      <c r="ED3222" s="503" t="s">
        <v>885</v>
      </c>
      <c r="EE3222" s="245" t="s">
        <v>885</v>
      </c>
      <c r="EF3222" s="503" t="s">
        <v>885</v>
      </c>
      <c r="EG3222" s="245" t="s">
        <v>885</v>
      </c>
      <c r="EH3222" s="245" t="s">
        <v>885</v>
      </c>
      <c r="EI3222" s="245" t="s">
        <v>885</v>
      </c>
      <c r="EJ3222" s="245" t="s">
        <v>885</v>
      </c>
      <c r="EK3222" s="245" t="s">
        <v>885</v>
      </c>
      <c r="EL3222" s="245" t="s">
        <v>885</v>
      </c>
      <c r="EM3222" s="245" t="s">
        <v>885</v>
      </c>
      <c r="EN3222" s="245" t="s">
        <v>885</v>
      </c>
      <c r="EO3222" s="245" t="s">
        <v>885</v>
      </c>
      <c r="EP3222" s="245" t="s">
        <v>885</v>
      </c>
      <c r="EQ3222" s="245" t="s">
        <v>885</v>
      </c>
      <c r="ER3222" s="245" t="s">
        <v>885</v>
      </c>
      <c r="ES3222" s="245" t="s">
        <v>885</v>
      </c>
      <c r="ET3222" s="245" t="s">
        <v>885</v>
      </c>
      <c r="EU3222" s="245" t="s">
        <v>885</v>
      </c>
      <c r="EV3222" s="245" t="s">
        <v>885</v>
      </c>
      <c r="EW3222" s="245" t="s">
        <v>885</v>
      </c>
      <c r="EX3222" s="552" t="str">
        <f>EW3220</f>
        <v>other</v>
      </c>
      <c r="EY3222" s="245" t="s">
        <v>885</v>
      </c>
      <c r="EZ3222" s="245" t="s">
        <v>885</v>
      </c>
      <c r="FA3222" s="245" t="s">
        <v>885</v>
      </c>
      <c r="FB3222" s="245" t="s">
        <v>885</v>
      </c>
      <c r="FC3222" s="245" t="s">
        <v>885</v>
      </c>
      <c r="FD3222" s="245" t="s">
        <v>885</v>
      </c>
      <c r="FE3222" s="245" t="s">
        <v>885</v>
      </c>
      <c r="FF3222" s="245" t="s">
        <v>885</v>
      </c>
      <c r="FG3222" s="245" t="s">
        <v>885</v>
      </c>
      <c r="FH3222" s="245" t="s">
        <v>885</v>
      </c>
      <c r="FI3222" s="552" t="str">
        <f>FH3219</f>
        <v>other</v>
      </c>
      <c r="FJ3222" s="245" t="s">
        <v>885</v>
      </c>
      <c r="FK3222" s="245" t="s">
        <v>885</v>
      </c>
      <c r="FL3222" s="245" t="s">
        <v>885</v>
      </c>
      <c r="FM3222" s="245" t="s">
        <v>885</v>
      </c>
      <c r="FN3222" s="245" t="s">
        <v>885</v>
      </c>
      <c r="FO3222" s="245" t="s">
        <v>885</v>
      </c>
      <c r="FP3222" s="245" t="s">
        <v>885</v>
      </c>
      <c r="FQ3222" s="245" t="s">
        <v>885</v>
      </c>
      <c r="FR3222" s="245" t="s">
        <v>885</v>
      </c>
      <c r="FS3222" s="245" t="s">
        <v>885</v>
      </c>
      <c r="FT3222" s="552" t="str">
        <f>FS3219</f>
        <v>other</v>
      </c>
      <c r="FU3222" s="245" t="s">
        <v>885</v>
      </c>
      <c r="FV3222" s="245" t="s">
        <v>885</v>
      </c>
      <c r="FW3222" s="245" t="s">
        <v>885</v>
      </c>
      <c r="FX3222" s="245" t="s">
        <v>885</v>
      </c>
      <c r="FY3222" s="245" t="s">
        <v>885</v>
      </c>
      <c r="FZ3222" s="245" t="s">
        <v>885</v>
      </c>
      <c r="GA3222" s="245" t="s">
        <v>885</v>
      </c>
      <c r="GB3222" s="245" t="s">
        <v>885</v>
      </c>
    </row>
    <row r="3223" spans="1:184" ht="15" hidden="1" thickBot="1" x14ac:dyDescent="0.4">
      <c r="A3223" s="322">
        <v>8</v>
      </c>
      <c r="B3223" s="404" t="str">
        <f t="shared" si="134"/>
        <v>Delaware</v>
      </c>
      <c r="C3223" s="407"/>
      <c r="D3223" s="406"/>
      <c r="AC3223" s="48" t="str">
        <f t="shared" si="144"/>
        <v xml:space="preserve">Unfortunately, Delaware does not limit how far back and employer can run a background check. Background screeners must rely on indiscriminate records that fail to distinguish between "reliable evidence-based convictions" and "non-exonerated wrongful convictions"--permitting illicit discrimination. </v>
      </c>
      <c r="BR3223" s="245" t="s">
        <v>885</v>
      </c>
      <c r="BT3223" s="245" t="s">
        <v>885</v>
      </c>
      <c r="BW3223" s="48">
        <v>1</v>
      </c>
      <c r="BX3223" s="52">
        <f t="shared" si="139"/>
        <v>1</v>
      </c>
      <c r="BZ3223" s="48" t="s">
        <v>4141</v>
      </c>
      <c r="CF3223" t="s">
        <v>1075</v>
      </c>
      <c r="CG3223" s="650">
        <v>418</v>
      </c>
      <c r="CH3223" s="471">
        <v>4141</v>
      </c>
      <c r="CI3223" s="471">
        <v>990334</v>
      </c>
      <c r="CJ3223" s="653">
        <f t="shared" si="140"/>
        <v>4.1814175823510049E-3</v>
      </c>
      <c r="CK3223" s="48">
        <f t="shared" si="135"/>
        <v>21</v>
      </c>
      <c r="CL3223" s="48">
        <f t="shared" si="136"/>
        <v>638</v>
      </c>
      <c r="CM3223" s="48" t="str">
        <f t="shared" si="137"/>
        <v>638</v>
      </c>
      <c r="CN3223" s="48" t="str">
        <f t="shared" si="141"/>
        <v>4,141</v>
      </c>
      <c r="CO3223" s="48" t="str">
        <f t="shared" si="138"/>
        <v>21 to 638 in a prison population of 4,141</v>
      </c>
      <c r="DZ3223" s="554"/>
      <c r="EA3223" s="555"/>
      <c r="EB3223" s="554"/>
      <c r="EC3223" s="554"/>
      <c r="ED3223" s="554"/>
      <c r="EE3223" s="554"/>
      <c r="EF3223" s="554"/>
      <c r="EG3223" s="554"/>
      <c r="EH3223" s="554"/>
      <c r="EI3223" s="554"/>
      <c r="EJ3223" s="554"/>
      <c r="EK3223" s="554"/>
      <c r="EL3223" s="554"/>
      <c r="EM3223" s="556"/>
      <c r="EN3223" s="556"/>
      <c r="EO3223" s="556"/>
      <c r="EP3223" s="556"/>
      <c r="EQ3223" s="556"/>
      <c r="ER3223" s="556"/>
      <c r="ES3223" s="556"/>
      <c r="ET3223" s="556"/>
      <c r="EU3223" s="556"/>
      <c r="EV3223" s="556"/>
      <c r="EW3223" s="556"/>
      <c r="EX3223" s="556"/>
      <c r="EY3223" s="556"/>
      <c r="EZ3223" s="556"/>
      <c r="FA3223" s="556"/>
      <c r="FB3223" s="556"/>
      <c r="FC3223" s="556"/>
      <c r="FD3223" s="556"/>
      <c r="FE3223" s="556"/>
      <c r="FF3223" s="556"/>
      <c r="FG3223" s="556"/>
      <c r="FH3223" s="556"/>
      <c r="FI3223" s="556"/>
      <c r="FJ3223" s="556"/>
      <c r="FK3223" s="556"/>
      <c r="FL3223" s="556"/>
      <c r="FM3223" s="556"/>
      <c r="FN3223" s="556"/>
      <c r="FO3223" s="556"/>
      <c r="FP3223" s="556"/>
      <c r="FQ3223" s="556"/>
      <c r="FR3223" s="556"/>
      <c r="FS3223" s="556"/>
      <c r="FT3223" s="556"/>
      <c r="FU3223" s="556"/>
      <c r="FV3223" s="556"/>
      <c r="FW3223" s="556"/>
      <c r="FX3223" s="556"/>
      <c r="FY3223" s="556"/>
      <c r="FZ3223" s="556"/>
      <c r="GA3223" s="556"/>
      <c r="GB3223" s="556"/>
    </row>
    <row r="3224" spans="1:184" ht="14.5" hidden="1" x14ac:dyDescent="0.35">
      <c r="A3224" s="322">
        <v>9</v>
      </c>
      <c r="B3224" s="404" t="s">
        <v>1024</v>
      </c>
      <c r="C3224" s="407"/>
      <c r="D3224" s="406"/>
      <c r="AC3224" s="48" t="str">
        <f t="shared" si="144"/>
        <v xml:space="preserve">Unfortunately, DC does not limit how far back and employer can run a background check. Background screeners must rely on indiscriminate records that fail to distinguish between "reliable evidence-based convictions" and "non-exonerated wrongful convictions"--permitting illicit discrimination. </v>
      </c>
      <c r="BR3224" s="245" t="s">
        <v>885</v>
      </c>
      <c r="BT3224" s="245" t="s">
        <v>885</v>
      </c>
      <c r="BV3224" s="48">
        <v>1</v>
      </c>
      <c r="BX3224" s="52">
        <f t="shared" si="139"/>
        <v>1</v>
      </c>
      <c r="BZ3224" s="82" t="s">
        <v>4146</v>
      </c>
      <c r="CN3224" s="48" t="str">
        <f t="shared" si="141"/>
        <v/>
      </c>
      <c r="CO3224" s="48" t="str">
        <f t="shared" si="138"/>
        <v xml:space="preserve"> to  in a prison population of </v>
      </c>
      <c r="DZ3224" s="4"/>
      <c r="EA3224" s="231"/>
      <c r="EB3224" s="4"/>
      <c r="EC3224" s="4"/>
      <c r="ED3224" s="4"/>
      <c r="EE3224" s="4"/>
      <c r="EF3224" s="4"/>
      <c r="EH3224" s="4"/>
      <c r="EI3224" s="4"/>
      <c r="EJ3224" s="4"/>
      <c r="EK3224" s="4"/>
      <c r="EL3224" s="4"/>
    </row>
    <row r="3225" spans="1:184" ht="14.5" hidden="1" x14ac:dyDescent="0.35">
      <c r="A3225" s="322">
        <v>10</v>
      </c>
      <c r="B3225" s="404" t="str">
        <f t="shared" ref="B3225:B3266" si="145">B3290</f>
        <v>Florida</v>
      </c>
      <c r="C3225" s="407"/>
      <c r="D3225" s="406"/>
      <c r="AC3225" s="48" t="str">
        <f t="shared" si="144"/>
        <v xml:space="preserve">Unfortunately, Florida does not limit how far back and employer can run a background check. Background screeners must rely on indiscriminate records that fail to distinguish between "reliable evidence-based convictions" and "non-exonerated wrongful convictions"--permitting illicit discrimination. </v>
      </c>
      <c r="BR3225" s="245" t="s">
        <v>885</v>
      </c>
      <c r="BT3225" s="245" t="s">
        <v>885</v>
      </c>
      <c r="BU3225" s="48">
        <v>3</v>
      </c>
      <c r="BV3225" s="48">
        <v>2</v>
      </c>
      <c r="BX3225" s="52">
        <f t="shared" si="139"/>
        <v>5</v>
      </c>
      <c r="BZ3225" s="48" t="s">
        <v>3725</v>
      </c>
      <c r="CF3225" t="s">
        <v>1083</v>
      </c>
      <c r="CG3225" s="650">
        <v>438</v>
      </c>
      <c r="CH3225" s="471">
        <v>96009</v>
      </c>
      <c r="CI3225" s="471">
        <v>21944577</v>
      </c>
      <c r="CJ3225" s="653">
        <f t="shared" si="140"/>
        <v>4.3750672432647025E-3</v>
      </c>
      <c r="CK3225" s="48">
        <f t="shared" ref="CK3225:CK3266" si="146">ROUND(CH3225*CK$3214,0)</f>
        <v>480</v>
      </c>
      <c r="CL3225" s="48">
        <f t="shared" ref="CL3225:CL3266" si="147">ROUND(CH3225*CL$3214,0)</f>
        <v>14785</v>
      </c>
      <c r="CM3225" s="48" t="str">
        <f t="shared" ref="CM3225:CM3266" si="148">TEXT(CL3225,"##,###")</f>
        <v>14,785</v>
      </c>
      <c r="CN3225" s="48" t="str">
        <f t="shared" si="141"/>
        <v>96,009</v>
      </c>
      <c r="CO3225" s="48" t="str">
        <f t="shared" si="138"/>
        <v>480 to 14,785 in a prison population of 96,009</v>
      </c>
      <c r="DZ3225" s="4"/>
      <c r="EA3225" s="231"/>
      <c r="EB3225" s="4"/>
      <c r="EC3225" s="4"/>
      <c r="ED3225" s="4"/>
      <c r="EE3225" s="4"/>
      <c r="EF3225" s="4"/>
      <c r="EG3225" s="4"/>
      <c r="EH3225" s="4"/>
      <c r="EI3225" s="4"/>
      <c r="EJ3225" s="4"/>
      <c r="EK3225" s="4"/>
      <c r="EL3225" s="4"/>
    </row>
    <row r="3226" spans="1:184" ht="14.5" hidden="1" x14ac:dyDescent="0.35">
      <c r="A3226" s="322">
        <v>11</v>
      </c>
      <c r="B3226" s="404" t="str">
        <f t="shared" si="145"/>
        <v>Georgia</v>
      </c>
      <c r="C3226" s="407"/>
      <c r="D3226" s="406"/>
      <c r="AC3226" s="48" t="str">
        <f t="shared" si="144"/>
        <v xml:space="preserve">Unfortunately, Georgia does not limit how far back and employer can run a background check. Background screeners must rely on indiscriminate records that fail to distinguish between "reliable evidence-based convictions" and "non-exonerated wrongful convictions"--permitting illicit discrimination. </v>
      </c>
      <c r="BR3226" s="245" t="s">
        <v>885</v>
      </c>
      <c r="BT3226" s="245" t="s">
        <v>885</v>
      </c>
      <c r="BV3226" s="48">
        <v>2</v>
      </c>
      <c r="BX3226" s="52">
        <f t="shared" si="139"/>
        <v>2</v>
      </c>
      <c r="BZ3226" s="48" t="s">
        <v>3721</v>
      </c>
      <c r="CF3226" t="s">
        <v>1091</v>
      </c>
      <c r="CG3226" s="650">
        <v>500</v>
      </c>
      <c r="CH3226" s="471">
        <v>54113</v>
      </c>
      <c r="CI3226" s="471">
        <v>10830007</v>
      </c>
      <c r="CJ3226" s="653">
        <f t="shared" si="140"/>
        <v>4.9965803346202825E-3</v>
      </c>
      <c r="CK3226" s="48">
        <f t="shared" si="146"/>
        <v>271</v>
      </c>
      <c r="CL3226" s="48">
        <f t="shared" si="147"/>
        <v>8333</v>
      </c>
      <c r="CM3226" s="48" t="str">
        <f t="shared" si="148"/>
        <v>8,333</v>
      </c>
      <c r="CN3226" s="48" t="str">
        <f t="shared" si="141"/>
        <v>54,113</v>
      </c>
      <c r="CO3226" s="48" t="str">
        <f t="shared" si="138"/>
        <v>271 to 8,333 in a prison population of 54,113</v>
      </c>
      <c r="DZ3226" s="4" t="s">
        <v>1414</v>
      </c>
      <c r="EA3226" s="231"/>
      <c r="EB3226" s="4"/>
      <c r="EC3226" s="4"/>
      <c r="ED3226" s="4"/>
      <c r="EE3226" s="4"/>
      <c r="EF3226" s="4"/>
      <c r="EG3226" s="4"/>
      <c r="EH3226" s="4"/>
      <c r="EI3226" s="4"/>
      <c r="EJ3226" s="4"/>
      <c r="EK3226" s="4"/>
      <c r="EL3226" s="4"/>
    </row>
    <row r="3227" spans="1:184" ht="14.5" hidden="1" x14ac:dyDescent="0.35">
      <c r="A3227" s="322">
        <v>12</v>
      </c>
      <c r="B3227" s="404" t="str">
        <f t="shared" si="145"/>
        <v>Hawaii</v>
      </c>
      <c r="C3227" s="407"/>
      <c r="D3227" s="406"/>
      <c r="AC3227" s="48" t="str">
        <f t="shared" si="144"/>
        <v xml:space="preserve">Unfortunately, Hawaii does not limit how far back and employer can run a background check. Background screeners must rely on indiscriminate records that fail to distinguish between "reliable evidence-based convictions" and "non-exonerated wrongful convictions"--permitting illicit discrimination. </v>
      </c>
      <c r="BR3227" s="245" t="s">
        <v>885</v>
      </c>
      <c r="BT3227" s="245" t="s">
        <v>885</v>
      </c>
      <c r="BX3227" s="52">
        <f t="shared" si="139"/>
        <v>0</v>
      </c>
      <c r="BZ3227" s="48" t="s">
        <v>3722</v>
      </c>
      <c r="CF3227" t="s">
        <v>1093</v>
      </c>
      <c r="CG3227" s="650">
        <v>216</v>
      </c>
      <c r="CH3227" s="471">
        <v>3037</v>
      </c>
      <c r="CI3227" s="471">
        <v>1406430</v>
      </c>
      <c r="CJ3227" s="653">
        <f t="shared" si="140"/>
        <v>2.1593680453346415E-3</v>
      </c>
      <c r="CK3227" s="48">
        <f t="shared" si="146"/>
        <v>15</v>
      </c>
      <c r="CL3227" s="48">
        <f t="shared" si="147"/>
        <v>468</v>
      </c>
      <c r="CM3227" s="48" t="str">
        <f t="shared" si="148"/>
        <v>468</v>
      </c>
      <c r="CN3227" s="48" t="str">
        <f t="shared" si="141"/>
        <v>3,037</v>
      </c>
      <c r="CO3227" s="48" t="str">
        <f t="shared" si="138"/>
        <v>15 to 468 in a prison population of 3,037</v>
      </c>
      <c r="DX3227" s="48" t="str">
        <f>BZ3215</f>
        <v>Prosecuting Attorney of Kent County in Michigan</v>
      </c>
      <c r="DZ3227" s="557" t="str">
        <f>IF($B$265=$EC$3216,$EC3227,IF($B$265=$ED$3216,$ED3227,IF($B$265=$EE$3216,$EE3227,IF($B$265=$EF$3216,$EF3227,IF($B$265=$EG$3216,$EG3227,IF($B$265=$EH$3216,$EH3227,IF($B$265=$EI$3216,$EI3227,IF($B$265=$EJ$3216,$EJ3227,IF($B$265=$EK$3216,$EK3227,IF($B$265=$EL$3216,$EL3227,IF($B$265=$EC$3216,$EC3227,IF($B$265=$ED$3216,$ED3227,IF($B$265=$EE$3216,$EE3227,IF($B$265=$EF$3216,$EF3227,IF($B$265=$EG$3216,$EG3227,IF($B$265=$EH$3216,$EH3227,IF($B$265=$EI$3216,$EI3227,IF($B$265=$EJ$3216,$EJ3227,IF($B$265=$EK$3216,$EK3227,IF($B$265=$EL$3216,$EL3227,IF($B$265=$EM$3216,$EM3227,IF($B$265=$EN$3216,$EN3227,IF($B$265=$EO$3216,$EO3227,IF($B$265=$EP$3216,$EP3227,IF($B$265=$EQ$3216,$EQ3227,IF($B$265=$ER$3216,$ER3227,IF($B$265=$ES$3216,$ES3227,IF($B$265=$ET$3216,$ET3227,IF($B$265=$EU$3216,$EU3227,IF($B$265=$EV$3216,$EV3227,IF($B$265=$EW$3216,$EW3227,IF($B$265=$EX$3216,#REF!,IF($B$265=$EY$3216,$EY3227,IF($B$265=$EZ$3216,$EZ3227,IF($B$265=$FA$3216,$FA3227,IF($B$265=$FB$3216,$FB3227,IF($B$265=$FC$3216,$FC3227,IF($B$265=$FD$3216,$FD3227,IF($B$265=$FE$3216,$FE3227,IF($B$265=$FF$3216,$FF3227,IF($B$265=$FG$3216,$FG3227,IF($B$265=$FH$3216,$FH3227,IF($B$265=$FI$3216,$FI3227,IF($B$265=$FJ$3216,$FJ3227,IF($B$265=$FK$3216,$FK3227,IF($B$265=$FL$3216,$FL3227,IF($B$265=$FM$3216,$FM3227,IF($B$265=$FN$3216,$FN3227,IF($B$265=$FO$3216,$FO3227,IF($B$265=$FP$3216,$FP3227,$DZ$3226))))))))))))))))))))))))))))))))))))))))))))))))))</f>
        <v>prosecuting attorney</v>
      </c>
      <c r="EA3227" s="231"/>
      <c r="EB3227" s="4"/>
      <c r="EC3227" s="4" t="s">
        <v>3721</v>
      </c>
      <c r="ED3227" s="4" t="s">
        <v>3721</v>
      </c>
      <c r="EE3227" s="4" t="s">
        <v>3720</v>
      </c>
      <c r="EF3227" s="4" t="s">
        <v>3722</v>
      </c>
      <c r="EG3227" s="4" t="s">
        <v>3721</v>
      </c>
      <c r="EH3227" s="4" t="s">
        <v>3721</v>
      </c>
      <c r="EI3227" s="4" t="s">
        <v>3723</v>
      </c>
      <c r="EJ3227" s="4" t="s">
        <v>3724</v>
      </c>
      <c r="EK3227" s="4"/>
      <c r="EL3227" s="4" t="s">
        <v>3725</v>
      </c>
      <c r="EM3227" s="4" t="s">
        <v>3721</v>
      </c>
      <c r="EN3227" s="48" t="s">
        <v>3722</v>
      </c>
      <c r="EO3227" s="48" t="s">
        <v>3722</v>
      </c>
      <c r="EP3227" s="4" t="s">
        <v>3723</v>
      </c>
      <c r="EQ3227" s="48" t="s">
        <v>3722</v>
      </c>
      <c r="ER3227" s="48" t="s">
        <v>3720</v>
      </c>
      <c r="ES3227" s="48" t="s">
        <v>3720</v>
      </c>
      <c r="ET3227" s="48" t="s">
        <v>3726</v>
      </c>
      <c r="EU3227" s="48" t="s">
        <v>3721</v>
      </c>
      <c r="EV3227" s="48" t="s">
        <v>3721</v>
      </c>
      <c r="EW3227" s="4" t="s">
        <v>3723</v>
      </c>
      <c r="EX3227" s="48" t="s">
        <v>3721</v>
      </c>
      <c r="EY3227" s="48" t="s">
        <v>3722</v>
      </c>
      <c r="EZ3227" s="48" t="s">
        <v>3720</v>
      </c>
      <c r="FA3227" s="48" t="s">
        <v>3721</v>
      </c>
      <c r="FB3227" s="48" t="s">
        <v>3722</v>
      </c>
      <c r="FC3227" s="48" t="s">
        <v>3720</v>
      </c>
      <c r="FD3227" s="48" t="s">
        <v>3720</v>
      </c>
      <c r="FE3227" s="48" t="s">
        <v>3721</v>
      </c>
      <c r="FF3227" s="48" t="s">
        <v>3720</v>
      </c>
      <c r="FG3227" s="48" t="s">
        <v>3727</v>
      </c>
      <c r="FH3227" s="48" t="s">
        <v>3721</v>
      </c>
      <c r="FI3227" s="48" t="s">
        <v>3721</v>
      </c>
      <c r="FJ3227" s="48" t="s">
        <v>3721</v>
      </c>
      <c r="FK3227" s="4" t="s">
        <v>3723</v>
      </c>
      <c r="FL3227" s="48" t="s">
        <v>3722</v>
      </c>
      <c r="FM3227" s="48" t="s">
        <v>3721</v>
      </c>
      <c r="FN3227" s="48" t="s">
        <v>3721</v>
      </c>
      <c r="FO3227" s="48" t="s">
        <v>3721</v>
      </c>
      <c r="FP3227" s="48" t="s">
        <v>3724</v>
      </c>
      <c r="FQ3227" s="48" t="s">
        <v>3728</v>
      </c>
      <c r="FR3227" s="4" t="s">
        <v>3723</v>
      </c>
      <c r="FS3227" s="48" t="s">
        <v>3721</v>
      </c>
      <c r="FT3227" s="558" t="s">
        <v>3721</v>
      </c>
      <c r="FU3227" s="558" t="s">
        <v>3721</v>
      </c>
      <c r="FV3227" s="558" t="s">
        <v>3721</v>
      </c>
      <c r="FW3227" s="558" t="s">
        <v>3721</v>
      </c>
      <c r="FX3227" s="558" t="s">
        <v>3721</v>
      </c>
      <c r="FY3227" s="558" t="s">
        <v>3721</v>
      </c>
      <c r="FZ3227" s="48" t="s">
        <v>3721</v>
      </c>
      <c r="GA3227" s="558" t="s">
        <v>3721</v>
      </c>
    </row>
    <row r="3228" spans="1:184" ht="14.5" hidden="1" x14ac:dyDescent="0.35">
      <c r="A3228" s="322">
        <v>13</v>
      </c>
      <c r="B3228" s="404" t="str">
        <f t="shared" si="145"/>
        <v>Idaho</v>
      </c>
      <c r="C3228" s="407"/>
      <c r="D3228" s="406"/>
      <c r="AC3228" s="48" t="str">
        <f t="shared" si="144"/>
        <v xml:space="preserve">Unfortunately, Idaho does not limit how far back and employer can run a background check. Background screeners must rely on indiscriminate records that fail to distinguish between "reliable evidence-based convictions" and "non-exonerated wrongful convictions"--permitting illicit discrimination. </v>
      </c>
      <c r="BR3228" s="245" t="s">
        <v>885</v>
      </c>
      <c r="BT3228" s="245" t="s">
        <v>885</v>
      </c>
      <c r="BX3228" s="52">
        <f t="shared" si="139"/>
        <v>0</v>
      </c>
      <c r="BZ3228" s="48" t="s">
        <v>3722</v>
      </c>
      <c r="CF3228" t="s">
        <v>1098</v>
      </c>
      <c r="CG3228" s="650">
        <v>461</v>
      </c>
      <c r="CH3228" s="471">
        <v>8571</v>
      </c>
      <c r="CI3228" s="471">
        <v>1860123</v>
      </c>
      <c r="CJ3228" s="653">
        <f t="shared" si="140"/>
        <v>4.6077598094319567E-3</v>
      </c>
      <c r="CK3228" s="48">
        <f t="shared" si="146"/>
        <v>43</v>
      </c>
      <c r="CL3228" s="48">
        <f t="shared" si="147"/>
        <v>1320</v>
      </c>
      <c r="CM3228" s="48" t="str">
        <f t="shared" si="148"/>
        <v>1,320</v>
      </c>
      <c r="CN3228" s="48" t="str">
        <f t="shared" si="141"/>
        <v>8,571</v>
      </c>
      <c r="CO3228" s="48" t="str">
        <f t="shared" si="138"/>
        <v>43 to 1,320 in a prison population of 8,571</v>
      </c>
      <c r="DX3228" s="48">
        <f>DZ3228</f>
        <v>0</v>
      </c>
      <c r="DZ3228" s="557">
        <f>IF($B$265=$EC$3216,$EC3228,IF($B$265=$ED$3216,$ED3228,IF($B$265=$EE$3216,$EE3228,IF($B$265=$EF$3216,$EF3228,IF($B$265=$EG$3216,$EG3228,IF($B$265=$EH$3216,$EH3228,IF($B$265=$EI$3216,$EI3228,IF($B$265=$EJ$3216,$EJ3228,IF($B$265=$EK$3216,$EK3228,IF($B$265=$EL$3216,$EL3228,IF($B$265=$EC$3216,$EC3228,IF($B$265=$ED$3216,$ED3228,IF($B$265=$EE$3216,$EE3228,IF($B$265=$EF$3216,$EF3228,IF($B$265=$EG$3216,$EG3228,IF($B$265=$EH$3216,$EH3228,IF($B$265=$EI$3216,$EI3228,IF($B$265=$EJ$3216,$EJ3228,IF($B$265=$EK$3216,$EK3228,IF($B$265=$EL$3216,$EL3228,IF($B$265=$EM$3216,$EM3228,IF($B$265=$EN$3216,$EN3228,IF($B$265=$EO$3216,$EO3228,IF($B$265=$EP$3216,$EP3228,IF($B$265=$EQ$3216,$EQ3228,IF($B$265=$ER$3216,$ER3228,IF($B$265=$ES$3216,$ES3228,IF($B$265=$ET$3216,$ET3228,IF($B$265=$EU$3216,$EU3228,IF($B$265=$EV$3216,$EV3228,IF($B$265=$EW$3216,$EW3228,IF($B$265=$EX$3216,#REF!,IF($B$265=$EY$3216,$EY3228,IF($B$265=$EZ$3216,$EZ3228,IF($B$265=$FA$3216,$FA3228,IF($B$265=$FB$3216,$FB3228,IF($B$265=$FC$3216,$FC3228,IF($B$265=$FD$3216,$FD3228,IF($B$265=$FE$3216,$FE3228,IF($B$265=$FF$3216,$FF3228,IF($B$265=$FG$3216,$FG3228,IF($B$265=$FH$3216,$FH3228,IF($B$265=$FI$3216,$FI3228,IF($B$265=$FJ$3216,$FJ3228,IF($B$265=$FK$3216,$FK3228,IF($B$265=$FL$3216,$FL3228,IF($B$265=$FM$3216,$FM3228,IF($B$265=$FN$3216,$FN3228,IF($B$265=$FO$3216,$FO3228,IF($B$265=$FP$3216,$FP3228,$DZ$3226))))))))))))))))))))))))))))))))))))))))))))))))))</f>
        <v>0</v>
      </c>
      <c r="EA3228" s="231"/>
      <c r="EB3228" s="4"/>
      <c r="EC3228" s="4" t="s">
        <v>3729</v>
      </c>
      <c r="ED3228" s="4"/>
      <c r="EE3228" s="4"/>
      <c r="EF3228" s="4"/>
      <c r="EG3228" s="48" t="s">
        <v>3730</v>
      </c>
      <c r="EH3228" s="4"/>
      <c r="EI3228" s="4"/>
      <c r="EJ3228" s="4"/>
      <c r="EK3228" s="4"/>
      <c r="EL3228" s="4"/>
      <c r="FI3228" s="48">
        <v>1</v>
      </c>
    </row>
    <row r="3229" spans="1:184" ht="14.5" hidden="1" x14ac:dyDescent="0.35">
      <c r="A3229" s="322">
        <v>14</v>
      </c>
      <c r="B3229" s="404" t="str">
        <f t="shared" si="145"/>
        <v>Illinois</v>
      </c>
      <c r="C3229" s="407"/>
      <c r="D3229" s="406"/>
      <c r="AC3229" s="48" t="str">
        <f t="shared" si="144"/>
        <v xml:space="preserve">Unfortunately, Illinois does not limit how far back and employer can run a background check. Background screeners must rely on indiscriminate records that fail to distinguish between "reliable evidence-based convictions" and "non-exonerated wrongful convictions"--permitting illicit discrimination. </v>
      </c>
      <c r="BR3229" s="245" t="s">
        <v>885</v>
      </c>
      <c r="BT3229" s="245" t="s">
        <v>885</v>
      </c>
      <c r="BU3229" s="48">
        <v>2</v>
      </c>
      <c r="BV3229" s="48">
        <v>2</v>
      </c>
      <c r="BX3229" s="52">
        <f t="shared" si="139"/>
        <v>4</v>
      </c>
      <c r="BZ3229" s="48" t="s">
        <v>3723</v>
      </c>
      <c r="CF3229" t="s">
        <v>1100</v>
      </c>
      <c r="CG3229" s="650">
        <v>304</v>
      </c>
      <c r="CH3229" s="471">
        <v>38259</v>
      </c>
      <c r="CI3229" s="471">
        <v>12569321</v>
      </c>
      <c r="CJ3229" s="653">
        <f t="shared" si="140"/>
        <v>3.0438398382856163E-3</v>
      </c>
      <c r="CK3229" s="48">
        <f t="shared" si="146"/>
        <v>191</v>
      </c>
      <c r="CL3229" s="48">
        <f t="shared" si="147"/>
        <v>5892</v>
      </c>
      <c r="CM3229" s="48" t="str">
        <f t="shared" si="148"/>
        <v>5,892</v>
      </c>
      <c r="CN3229" s="48" t="str">
        <f t="shared" si="141"/>
        <v>38,259</v>
      </c>
      <c r="CO3229" s="48" t="str">
        <f t="shared" si="138"/>
        <v>191 to 5,892 in a prison population of 38,259</v>
      </c>
      <c r="DX3229" s="48">
        <f t="shared" ref="DX3229:DX3243" si="149">DZ3229</f>
        <v>0</v>
      </c>
      <c r="DZ3229" s="557">
        <f>IF($B$265=$EC$3216,$EC3229,IF($B$265=$ED$3216,$ED3229,IF($B$265=$EE$3216,$EE3229,IF($B$265=$EF$3216,$EF3229,IF($B$265=$EG$3216,$EG3229,IF($B$265=$EH$3216,$EH3229,IF($B$265=$EI$3216,$EI3229,IF($B$265=$EJ$3216,$EJ3229,IF($B$265=$EK$3216,$EK3229,IF($B$265=$EL$3216,$EL3229,IF($B$265=$EC$3216,$EC3229,IF($B$265=$ED$3216,$ED3229,IF($B$265=$EE$3216,$EE3229,IF($B$265=$EF$3216,$EF3229,IF($B$265=$EG$3216,$EG3229,IF($B$265=$EH$3216,$EH3229,IF($B$265=$EI$3216,$EI3229,IF($B$265=$EJ$3216,$EJ3229,IF($B$265=$EK$3216,$EK3229,IF($B$265=$EL$3216,$EL3229,IF($B$265=$EM$3216,$EM3229,IF($B$265=$EN$3216,$EN3229,IF($B$265=$EO$3216,$EO3229,IF($B$265=$EP$3216,$EP3229,IF($B$265=$EQ$3216,$EQ3229,IF($B$265=$ER$3216,$ER3229,IF($B$265=$ES$3216,$ES3229,IF($B$265=$ET$3216,$ET3229,IF($B$265=$EU$3216,$EU3229,IF($B$265=$EV$3216,$EV3229,IF($B$265=$EW$3216,$EW3229,IF($B$265=$EX$3216,#REF!,IF($B$265=$EY$3216,$EY3229,IF($B$265=$EZ$3216,$EZ3229,IF($B$265=$FA$3216,$FA3229,IF($B$265=$FB$3216,$FB3229,IF($B$265=$FC$3216,$FC3229,IF($B$265=$FD$3216,$FD3229,IF($B$265=$FE$3216,$FE3229,IF($B$265=$FF$3216,$FF3229,IF($B$265=$FG$3216,$FG3229,IF($B$265=$FH$3216,$FH3229,IF($B$265=$FI$3216,$FI3229,IF($B$265=$FJ$3216,$FJ3229,IF($B$265=$FK$3216,$FK3229,IF($B$265=$FL$3216,$FL3229,IF($B$265=$FM$3216,$FM3229,IF($B$265=$FN$3216,$FN3229,IF($B$265=$FO$3216,$FO3229,IF($B$265=$FP$3216,$FP3229,$DZ$3226))))))))))))))))))))))))))))))))))))))))))))))))))</f>
        <v>0</v>
      </c>
      <c r="EA3229" s="231"/>
      <c r="EB3229" s="4"/>
      <c r="EC3229" s="4"/>
      <c r="ED3229" s="4"/>
      <c r="EE3229" s="4"/>
      <c r="EF3229" s="4"/>
      <c r="EG3229" s="4" t="s">
        <v>3731</v>
      </c>
      <c r="EH3229" s="4"/>
      <c r="EI3229" s="4"/>
      <c r="EJ3229" s="4"/>
      <c r="EK3229" s="4"/>
      <c r="EL3229" s="4"/>
      <c r="FI3229" s="48">
        <v>2</v>
      </c>
    </row>
    <row r="3230" spans="1:184" ht="14.5" hidden="1" x14ac:dyDescent="0.35">
      <c r="A3230" s="322">
        <v>15</v>
      </c>
      <c r="B3230" s="404" t="str">
        <f t="shared" si="145"/>
        <v>Indiana</v>
      </c>
      <c r="C3230" s="407"/>
      <c r="D3230" s="406"/>
      <c r="AC3230" s="48" t="str">
        <f t="shared" si="144"/>
        <v xml:space="preserve">Unfortunately, Indiana does not limit how far back and employer can run a background check. Background screeners must rely on indiscriminate records that fail to distinguish between "reliable evidence-based convictions" and "non-exonerated wrongful convictions"--permitting illicit discrimination. </v>
      </c>
      <c r="BR3230" s="245" t="s">
        <v>885</v>
      </c>
      <c r="BT3230" s="245" t="s">
        <v>885</v>
      </c>
      <c r="BV3230" s="48">
        <v>1</v>
      </c>
      <c r="BX3230" s="52">
        <f t="shared" si="139"/>
        <v>1</v>
      </c>
      <c r="BZ3230" s="48" t="s">
        <v>3722</v>
      </c>
      <c r="CF3230" t="s">
        <v>1105</v>
      </c>
      <c r="CG3230" s="650">
        <v>396</v>
      </c>
      <c r="CH3230" s="471">
        <v>26969</v>
      </c>
      <c r="CI3230" s="471">
        <v>6805663</v>
      </c>
      <c r="CJ3230" s="653">
        <f t="shared" si="140"/>
        <v>3.9627292741353784E-3</v>
      </c>
      <c r="CK3230" s="48">
        <f t="shared" si="146"/>
        <v>135</v>
      </c>
      <c r="CL3230" s="48">
        <f t="shared" si="147"/>
        <v>4153</v>
      </c>
      <c r="CM3230" s="48" t="str">
        <f t="shared" si="148"/>
        <v>4,153</v>
      </c>
      <c r="CN3230" s="48" t="str">
        <f t="shared" si="141"/>
        <v>26,969</v>
      </c>
      <c r="CO3230" s="48" t="str">
        <f t="shared" si="138"/>
        <v>135 to 4,153 in a prison population of 26,969</v>
      </c>
      <c r="DX3230" s="48">
        <f t="shared" si="149"/>
        <v>0</v>
      </c>
      <c r="DZ3230" s="557">
        <f>IF($B$265=$EC$3216,$EC3230,IF($B$265=$ED$3216,$ED3230,IF($B$265=$EE$3216,$EE3230,IF($B$265=$EF$3216,$EF3230,IF($B$265=$EG$3216,$EG3230,IF($B$265=$EH$3216,$EH3230,IF($B$265=$EI$3216,$EI3230,IF($B$265=$EJ$3216,$EJ3230,IF($B$265=$EK$3216,$EK3230,IF($B$265=$EL$3216,$EL3230,IF($B$265=$EC$3216,$EC3230,IF($B$265=$ED$3216,$ED3230,IF($B$265=$EE$3216,$EE3230,IF($B$265=$EF$3216,$EF3230,IF($B$265=$EG$3216,$EG3230,IF($B$265=$EH$3216,$EH3230,IF($B$265=$EI$3216,$EI3230,IF($B$265=$EJ$3216,$EJ3230,IF($B$265=$EK$3216,$EK3230,IF($B$265=$EL$3216,$EL3230,IF($B$265=$EM$3216,$EM3230,IF($B$265=$EN$3216,$EN3230,IF($B$265=$EO$3216,$EO3230,IF($B$265=$EP$3216,$EP3230,IF($B$265=$EQ$3216,$EQ3230,IF($B$265=$ER$3216,$ER3230,IF($B$265=$ES$3216,$ES3230,IF($B$265=$ET$3216,$ET3230,IF($B$265=$EU$3216,$EU3230,IF($B$265=$EV$3216,$EV3230,IF($B$265=$EW$3216,$EW3230,IF($B$265=$EX$3216,#REF!,IF($B$265=$EY$3216,$EY3230,IF($B$265=$EZ$3216,$EZ3230,IF($B$265=$FA$3216,$FA3230,IF($B$265=$FB$3216,$FB3230,IF($B$265=$FC$3216,$FC3230,IF($B$265=$FD$3216,$FD3230,IF($B$265=$FE$3216,$FE3230,IF($B$265=$FF$3216,$FF3230,IF($B$265=$FG$3216,$FG3230,IF($B$265=$FH$3216,$FH3230,IF($B$265=$FI$3216,$FI3230,IF($B$265=$FJ$3216,$FJ3230,IF($B$265=$FK$3216,$FK3230,IF($B$265=$FL$3216,$FL3230,IF($B$265=$FM$3216,$FM3230,IF($B$265=$FN$3216,$FN3230,IF($B$265=$FO$3216,$FO3230,IF($B$265=$FP$3216,$FP3230,$DZ$3226))))))))))))))))))))))))))))))))))))))))))))))))))</f>
        <v>0</v>
      </c>
      <c r="EA3230" s="231"/>
      <c r="EB3230" s="4"/>
      <c r="EC3230" s="4"/>
      <c r="ED3230" s="4"/>
      <c r="EE3230" s="4"/>
      <c r="EF3230" s="4"/>
      <c r="EG3230" s="4" t="s">
        <v>3732</v>
      </c>
      <c r="EH3230" s="4"/>
      <c r="EI3230" s="4"/>
      <c r="EJ3230" s="4"/>
      <c r="EK3230" s="4"/>
      <c r="EL3230" s="4"/>
      <c r="FI3230" s="48">
        <v>3</v>
      </c>
    </row>
    <row r="3231" spans="1:184" ht="14.5" hidden="1" x14ac:dyDescent="0.35">
      <c r="A3231" s="322">
        <v>16</v>
      </c>
      <c r="B3231" s="404" t="str">
        <f t="shared" si="145"/>
        <v>Iowa</v>
      </c>
      <c r="C3231" s="407"/>
      <c r="D3231" s="406"/>
      <c r="AC3231" s="48" t="str">
        <f t="shared" si="144"/>
        <v xml:space="preserve">Unfortunately, Iowa does not limit how far back and employer can run a background check. Background screeners must rely on indiscriminate records that fail to distinguish between "reliable evidence-based convictions" and "non-exonerated wrongful convictions"--permitting illicit discrimination. </v>
      </c>
      <c r="BR3231" s="245" t="s">
        <v>885</v>
      </c>
      <c r="BT3231" s="245" t="s">
        <v>885</v>
      </c>
      <c r="BX3231" s="52">
        <f t="shared" si="139"/>
        <v>0</v>
      </c>
      <c r="BZ3231" s="48" t="s">
        <v>3720</v>
      </c>
      <c r="CF3231" t="s">
        <v>1109</v>
      </c>
      <c r="CG3231" s="650">
        <v>292</v>
      </c>
      <c r="CH3231" s="471">
        <v>9260</v>
      </c>
      <c r="CI3231" s="471">
        <v>3167974</v>
      </c>
      <c r="CJ3231" s="653">
        <f t="shared" si="140"/>
        <v>2.9230037872785574E-3</v>
      </c>
      <c r="CK3231" s="48">
        <f t="shared" si="146"/>
        <v>46</v>
      </c>
      <c r="CL3231" s="48">
        <f t="shared" si="147"/>
        <v>1426</v>
      </c>
      <c r="CM3231" s="48" t="str">
        <f t="shared" si="148"/>
        <v>1,426</v>
      </c>
      <c r="CN3231" s="48" t="str">
        <f t="shared" si="141"/>
        <v>9,260</v>
      </c>
      <c r="CO3231" s="48" t="str">
        <f t="shared" si="138"/>
        <v>46 to 1,426 in a prison population of 9,260</v>
      </c>
      <c r="DX3231" s="48">
        <f t="shared" si="149"/>
        <v>0</v>
      </c>
      <c r="DZ3231" s="557">
        <f>IF($B$265=$EC$3216,$EC3231,IF($B$265=$ED$3216,$ED3231,IF($B$265=$EE$3216,$EE3231,IF($B$265=$EF$3216,$EF3231,IF($B$265=$EG$3216,$EG3231,IF($B$265=$EH$3216,$EH3231,IF($B$265=$EI$3216,$EI3231,IF($B$265=$EJ$3216,$EJ3231,IF($B$265=$EK$3216,$EK3231,IF($B$265=$EL$3216,$EL3231,IF($B$265=$EC$3216,$EC3231,IF($B$265=$ED$3216,$ED3231,IF($B$265=$EE$3216,$EE3231,IF($B$265=$EF$3216,$EF3231,IF($B$265=$EG$3216,$EG3231,IF($B$265=$EH$3216,$EH3231,IF($B$265=$EI$3216,$EI3231,IF($B$265=$EJ$3216,$EJ3231,IF($B$265=$EK$3216,$EK3231,IF($B$265=$EL$3216,$EL3231,IF($B$265=$EM$3216,$EM3231,IF($B$265=$EN$3216,$EN3231,IF($B$265=$EO$3216,$EO3231,IF($B$265=$EP$3216,$EP3231,IF($B$265=$EQ$3216,$EQ3231,IF($B$265=$ER$3216,$ER3231,IF($B$265=$ES$3216,$ES3231,IF($B$265=$ET$3216,$ET3231,IF($B$265=$EU$3216,$EU3231,IF($B$265=$EV$3216,$EV3231,IF($B$265=$EW$3216,$EW3231,IF($B$265=$EX$3216,#REF!,IF($B$265=$EY$3216,$EY3231,IF($B$265=$EZ$3216,$EZ3231,IF($B$265=$FA$3216,$FA3231,IF($B$265=$FB$3216,$FB3231,IF($B$265=$FC$3216,$FC3231,IF($B$265=$FD$3216,$FD3231,IF($B$265=$FE$3216,$FE3231,IF($B$265=$FF$3216,$FF3231,IF($B$265=$FG$3216,$FG3231,IF($B$265=$FH$3216,$FH3231,IF($B$265=$FI$3216,$FI3231,IF($B$265=$FJ$3216,$FJ3231,IF($B$265=$FK$3216,$FK3231,IF($B$265=$FL$3216,$FL3231,IF($B$265=$FM$3216,$FM3231,IF($B$265=$FN$3216,$FN3231,IF($B$265=$FO$3216,$FO3231,IF($B$265=$FP$3216,$FP3231,$DZ$3226))))))))))))))))))))))))))))))))))))))))))))))))))</f>
        <v>0</v>
      </c>
      <c r="EA3231" s="231"/>
      <c r="EB3231" s="4"/>
      <c r="EC3231" s="4"/>
      <c r="ED3231" s="4"/>
      <c r="EE3231" s="4"/>
      <c r="EF3231" s="4"/>
      <c r="EG3231" s="4" t="s">
        <v>3733</v>
      </c>
      <c r="EH3231" s="4"/>
      <c r="EI3231" s="4"/>
      <c r="EJ3231" s="4"/>
      <c r="EK3231" s="4"/>
      <c r="EL3231" s="4"/>
      <c r="FI3231" s="48">
        <v>4</v>
      </c>
    </row>
    <row r="3232" spans="1:184" ht="14.5" hidden="1" x14ac:dyDescent="0.35">
      <c r="A3232" s="322">
        <v>17</v>
      </c>
      <c r="B3232" s="404" t="str">
        <f t="shared" si="145"/>
        <v>Kansas</v>
      </c>
      <c r="C3232" s="407">
        <v>20000</v>
      </c>
      <c r="D3232" s="406" t="s">
        <v>1023</v>
      </c>
      <c r="AC3232" s="48" t="str">
        <f ca="1">IF($D$3210&gt;7,BO3232,BS3233)</f>
        <v>Since your conviction occurred 31 years ago, and you earn only about $8200 per year, Kansas prevents employers and others from running a criminal background check that far back.</v>
      </c>
      <c r="BO3232" s="48" t="str">
        <f ca="1">CONCATENATE($AE$3204,B3232,$AE$3210)</f>
        <v>Since your conviction occurred 31 years ago, and you earn only about $8200 per year, Kansas prevents employers and others from running a criminal background check that far back.</v>
      </c>
      <c r="BR3232" s="245" t="s">
        <v>885</v>
      </c>
      <c r="BT3232" s="245" t="s">
        <v>885</v>
      </c>
      <c r="BU3232" s="48">
        <v>1</v>
      </c>
      <c r="BX3232" s="52">
        <f t="shared" si="139"/>
        <v>1</v>
      </c>
      <c r="BZ3232" s="48" t="s">
        <v>3721</v>
      </c>
      <c r="CF3232" t="s">
        <v>1115</v>
      </c>
      <c r="CG3232" s="650">
        <v>342</v>
      </c>
      <c r="CH3232" s="471">
        <v>9965</v>
      </c>
      <c r="CI3232" s="471">
        <v>2917224</v>
      </c>
      <c r="CJ3232" s="653">
        <f t="shared" si="140"/>
        <v>3.4159186953075936E-3</v>
      </c>
      <c r="CK3232" s="48">
        <f t="shared" si="146"/>
        <v>50</v>
      </c>
      <c r="CL3232" s="48">
        <f t="shared" si="147"/>
        <v>1535</v>
      </c>
      <c r="CM3232" s="48" t="str">
        <f t="shared" si="148"/>
        <v>1,535</v>
      </c>
      <c r="CN3232" s="48" t="str">
        <f t="shared" si="141"/>
        <v>9,965</v>
      </c>
      <c r="CO3232" s="48" t="str">
        <f t="shared" si="138"/>
        <v>50 to 1,535 in a prison population of 9,965</v>
      </c>
      <c r="DX3232" s="48">
        <f t="shared" si="149"/>
        <v>0</v>
      </c>
      <c r="DZ3232" s="557">
        <f>IF($B$265=$EC$3216,$EC3232,IF($B$265=$ED$3216,$ED3232,IF($B$265=$EE$3216,$EE3232,IF($B$265=$EF$3216,$EF3232,IF($B$265=$EG$3216,$EG3232,IF($B$265=$EH$3216,$EH3232,IF($B$265=$EI$3216,$EI3232,IF($B$265=$EJ$3216,$EJ3232,IF($B$265=$EK$3216,$EK3232,IF($B$265=$EL$3216,$EL3232,IF($B$265=$EC$3216,$EC3232,IF($B$265=$ED$3216,$ED3232,IF($B$265=$EE$3216,$EE3232,IF($B$265=$EF$3216,$EF3232,IF($B$265=$EG$3216,$EG3232,IF($B$265=$EH$3216,$EH3232,IF($B$265=$EI$3216,$EI3232,IF($B$265=$EJ$3216,$EJ3232,IF($B$265=$EK$3216,$EK3232,IF($B$265=$EL$3216,$EL3232,IF($B$265=$EM$3216,$EM3232,IF($B$265=$EN$3216,$EN3232,IF($B$265=$EO$3216,$EO3232,IF($B$265=$EP$3216,$EP3232,IF($B$265=$EQ$3216,$EQ3232,IF($B$265=$ER$3216,$ER3232,IF($B$265=$ES$3216,$ES3232,IF($B$265=$ET$3216,$ET3232,IF($B$265=$EU$3216,$EU3232,IF($B$265=$EV$3216,$EV3232,IF($B$265=$EW$3216,$EW3232,IF($B$265=$EX$3216,#REF!,IF($B$265=$EY$3216,$EY3232,IF($B$265=$EZ$3216,$EZ3232,IF($B$265=$FA$3216,$FA3232,IF($B$265=$FB$3216,$FB3232,IF($B$265=$FC$3216,$FC3232,IF($B$265=$FD$3216,$FD3232,IF($B$265=$FE$3216,$FE3232,IF($B$265=$FF$3216,$FF3232,IF($B$265=$FG$3216,$FG3232,IF($B$265=$FH$3216,$FH3232,IF($B$265=$FI$3216,$FI3232,IF($B$265=$FJ$3216,$FJ3232,IF($B$265=$FK$3216,$FK3232,IF($B$265=$FL$3216,$FL3232,IF($B$265=$FM$3216,$FM3232,IF($B$265=$FN$3216,$FN3232,IF($B$265=$FO$3216,$FO3232,IF($B$265=$FP$3216,$FP3232,$DZ$3226))))))))))))))))))))))))))))))))))))))))))))))))))</f>
        <v>0</v>
      </c>
      <c r="EA3232" s="231"/>
      <c r="EB3232" s="4"/>
      <c r="EC3232" s="4"/>
      <c r="ED3232" s="4"/>
      <c r="EE3232" s="4"/>
      <c r="EF3232" s="4"/>
      <c r="EG3232" s="4" t="s">
        <v>3734</v>
      </c>
      <c r="EH3232" s="4"/>
      <c r="EI3232" s="4"/>
      <c r="EJ3232" s="4"/>
      <c r="EK3232" s="4"/>
      <c r="EL3232" s="4"/>
      <c r="FI3232" s="48">
        <v>5</v>
      </c>
    </row>
    <row r="3233" spans="1:184" ht="14.5" hidden="1" x14ac:dyDescent="0.35">
      <c r="A3233" s="322">
        <v>18</v>
      </c>
      <c r="B3233" s="404" t="str">
        <f t="shared" si="145"/>
        <v>Kentucky</v>
      </c>
      <c r="C3233" s="407"/>
      <c r="D3233" s="406"/>
      <c r="AC3233" s="48" t="str">
        <f>CONCATENATE(AV$3212,B3233,AE$3212,AE$3213)</f>
        <v xml:space="preserve">Unfortunately, Kentucky does not limit how far back and employer can run a background check. Background screeners must rely on indiscriminate records that fail to distinguish between "reliable evidence-based convictions" and "non-exonerated wrongful convictions"--permitting illicit discrimination. </v>
      </c>
      <c r="BR3233" s="245" t="s">
        <v>885</v>
      </c>
      <c r="BS3233" s="48" t="str">
        <f>CONCATENATE(B3232,AE$3211)</f>
        <v>Kansas cannnot limit how far back and employer can run a background check.</v>
      </c>
      <c r="BT3233" s="245" t="s">
        <v>885</v>
      </c>
      <c r="BX3233" s="52">
        <f t="shared" si="139"/>
        <v>0</v>
      </c>
      <c r="BZ3233" s="48" t="s">
        <v>4142</v>
      </c>
      <c r="CF3233" t="s">
        <v>1119</v>
      </c>
      <c r="CG3233" s="650">
        <v>515</v>
      </c>
      <c r="CH3233" s="471">
        <v>23082</v>
      </c>
      <c r="CI3233" s="471">
        <v>4480713</v>
      </c>
      <c r="CJ3233" s="653">
        <f t="shared" si="140"/>
        <v>5.1514122863928133E-3</v>
      </c>
      <c r="CK3233" s="48">
        <f t="shared" si="146"/>
        <v>115</v>
      </c>
      <c r="CL3233" s="48">
        <f t="shared" si="147"/>
        <v>3555</v>
      </c>
      <c r="CM3233" s="48" t="str">
        <f t="shared" si="148"/>
        <v>3,555</v>
      </c>
      <c r="CN3233" s="48" t="str">
        <f t="shared" si="141"/>
        <v>23,082</v>
      </c>
      <c r="CO3233" s="48" t="str">
        <f t="shared" si="138"/>
        <v>115 to 3,555 in a prison population of 23,082</v>
      </c>
      <c r="DX3233" s="48">
        <f t="shared" si="149"/>
        <v>0</v>
      </c>
      <c r="DZ3233" s="557">
        <f>IF($B$265=$EC$3216,$EC3233,IF($B$265=$ED$3216,$ED3233,IF($B$265=$EE$3216,$EE3233,IF($B$265=$EF$3216,$EF3233,IF($B$265=$EG$3216,$EG3233,IF($B$265=$EH$3216,$EH3233,IF($B$265=$EI$3216,$EI3233,IF($B$265=$EJ$3216,$EJ3233,IF($B$265=$EK$3216,$EK3233,IF($B$265=$EL$3216,$EL3233,IF($B$265=$EC$3216,$EC3233,IF($B$265=$ED$3216,$ED3233,IF($B$265=$EE$3216,$EE3233,IF($B$265=$EF$3216,$EF3233,IF($B$265=$EG$3216,$EG3233,IF($B$265=$EH$3216,$EH3233,IF($B$265=$EI$3216,$EI3233,IF($B$265=$EJ$3216,$EJ3233,IF($B$265=$EK$3216,$EK3233,IF($B$265=$EL$3216,$EL3233,IF($B$265=$EM$3216,$EM3233,IF($B$265=$EN$3216,$EN3233,IF($B$265=$EO$3216,$EO3233,IF($B$265=$EP$3216,$EP3233,IF($B$265=$EQ$3216,$EQ3233,IF($B$265=$ER$3216,$ER3233,IF($B$265=$ES$3216,$ES3233,IF($B$265=$ET$3216,$ET3233,IF($B$265=$EU$3216,$EU3233,IF($B$265=$EV$3216,$EV3233,IF($B$265=$EW$3216,$EW3233,IF($B$265=$EX$3216,#REF!,IF($B$265=$EY$3216,$EY3233,IF($B$265=$EZ$3216,$EZ3233,IF($B$265=$FA$3216,$FA3233,IF($B$265=$FB$3216,$FB3233,IF($B$265=$FC$3216,$FC3233,IF($B$265=$FD$3216,$FD3233,IF($B$265=$FE$3216,$FE3233,IF($B$265=$FF$3216,$FF3233,IF($B$265=$FG$3216,$FG3233,IF($B$265=$FH$3216,$FH3233,IF($B$265=$FI$3216,$FI3233,IF($B$265=$FJ$3216,$FJ3233,IF($B$265=$FK$3216,$FK3233,IF($B$265=$FL$3216,$FL3233,IF($B$265=$FM$3216,$FM3233,IF($B$265=$FN$3216,$FN3233,IF($B$265=$FO$3216,$FO3233,IF($B$265=$FP$3216,$FP3233,$DZ$3226))))))))))))))))))))))))))))))))))))))))))))))))))</f>
        <v>0</v>
      </c>
      <c r="EA3233" s="231"/>
      <c r="EB3233" s="4"/>
      <c r="EC3233" s="4"/>
      <c r="ED3233" s="4"/>
      <c r="EE3233" s="4"/>
      <c r="EF3233" s="4"/>
      <c r="EG3233" s="4" t="s">
        <v>3735</v>
      </c>
      <c r="EH3233" s="4"/>
      <c r="EI3233" s="4"/>
      <c r="EJ3233" s="4"/>
      <c r="EK3233" s="4"/>
      <c r="EL3233" s="4"/>
      <c r="FI3233" s="48">
        <v>6</v>
      </c>
    </row>
    <row r="3234" spans="1:184" ht="14.5" hidden="1" x14ac:dyDescent="0.35">
      <c r="A3234" s="322">
        <v>19</v>
      </c>
      <c r="B3234" s="404" t="str">
        <f t="shared" si="145"/>
        <v>Louisiana</v>
      </c>
      <c r="C3234" s="407"/>
      <c r="D3234" s="406"/>
      <c r="AC3234" s="48" t="str">
        <f>CONCATENATE(AV$3212,B3234,AE$3212,AE$3213)</f>
        <v xml:space="preserve">Unfortunately, Louisiana does not limit how far back and employer can run a background check. Background screeners must rely on indiscriminate records that fail to distinguish between "reliable evidence-based convictions" and "non-exonerated wrongful convictions"--permitting illicit discrimination. </v>
      </c>
      <c r="BR3234" s="245" t="s">
        <v>885</v>
      </c>
      <c r="BT3234" s="245" t="s">
        <v>885</v>
      </c>
      <c r="BX3234" s="52">
        <f t="shared" si="139"/>
        <v>0</v>
      </c>
      <c r="BZ3234" s="48" t="s">
        <v>3721</v>
      </c>
      <c r="CB3234" s="48" t="s">
        <v>4143</v>
      </c>
      <c r="CF3234" t="s">
        <v>1121</v>
      </c>
      <c r="CG3234" s="650">
        <v>683</v>
      </c>
      <c r="CH3234" s="471">
        <v>31584</v>
      </c>
      <c r="CI3234" s="471">
        <v>4627002</v>
      </c>
      <c r="CJ3234" s="653">
        <f t="shared" si="140"/>
        <v>6.8260182295144887E-3</v>
      </c>
      <c r="CK3234" s="48">
        <f t="shared" si="146"/>
        <v>158</v>
      </c>
      <c r="CL3234" s="48">
        <f t="shared" si="147"/>
        <v>4864</v>
      </c>
      <c r="CM3234" s="48" t="str">
        <f t="shared" si="148"/>
        <v>4,864</v>
      </c>
      <c r="CN3234" s="48" t="str">
        <f t="shared" si="141"/>
        <v>31,584</v>
      </c>
      <c r="CO3234" s="48" t="str">
        <f t="shared" si="138"/>
        <v>158 to 4,864 in a prison population of 31,584</v>
      </c>
      <c r="DX3234" s="48">
        <f t="shared" si="149"/>
        <v>0</v>
      </c>
      <c r="DZ3234" s="557">
        <f>IF($B$265=$EC$3216,$EC3234,IF($B$265=$ED$3216,$ED3234,IF($B$265=$EE$3216,$EE3234,IF($B$265=$EF$3216,$EF3234,IF($B$265=$EG$3216,$EG3234,IF($B$265=$EH$3216,$EH3234,IF($B$265=$EI$3216,$EI3234,IF($B$265=$EJ$3216,$EJ3234,IF($B$265=$EK$3216,$EK3234,IF($B$265=$EL$3216,$EL3234,IF($B$265=$EC$3216,$EC3234,IF($B$265=$ED$3216,$ED3234,IF($B$265=$EE$3216,$EE3234,IF($B$265=$EF$3216,$EF3234,IF($B$265=$EG$3216,$EG3234,IF($B$265=$EH$3216,$EH3234,IF($B$265=$EI$3216,$EI3234,IF($B$265=$EJ$3216,$EJ3234,IF($B$265=$EK$3216,$EK3234,IF($B$265=$EL$3216,$EL3234,IF($B$265=$EM$3216,$EM3234,IF($B$265=$EN$3216,$EN3234,IF($B$265=$EO$3216,$EO3234,IF($B$265=$EP$3216,$EP3234,IF($B$265=$EQ$3216,$EQ3234,IF($B$265=$ER$3216,$ER3234,IF($B$265=$ES$3216,$ES3234,IF($B$265=$ET$3216,$ET3234,IF($B$265=$EU$3216,$EU3234,IF($B$265=$EV$3216,$EV3234,IF($B$265=$EW$3216,$EW3234,IF($B$265=$EX$3216,#REF!,IF($B$265=$EY$3216,$EY3234,IF($B$265=$EZ$3216,$EZ3234,IF($B$265=$FA$3216,$FA3234,IF($B$265=$FB$3216,$FB3234,IF($B$265=$FC$3216,$FC3234,IF($B$265=$FD$3216,$FD3234,IF($B$265=$FE$3216,$FE3234,IF($B$265=$FF$3216,$FF3234,IF($B$265=$FG$3216,$FG3234,IF($B$265=$FH$3216,$FH3234,IF($B$265=$FI$3216,$FI3234,IF($B$265=$FJ$3216,$FJ3234,IF($B$265=$FK$3216,$FK3234,IF($B$265=$FL$3216,$FL3234,IF($B$265=$FM$3216,$FM3234,IF($B$265=$FN$3216,$FN3234,IF($B$265=$FO$3216,$FO3234,IF($B$265=$FP$3216,$FP3234,$DZ$3226))))))))))))))))))))))))))))))))))))))))))))))))))</f>
        <v>0</v>
      </c>
      <c r="EA3234" s="231"/>
      <c r="EB3234" s="4"/>
      <c r="EC3234" s="4"/>
      <c r="ED3234" s="4"/>
      <c r="EE3234" s="4"/>
      <c r="EF3234" s="4"/>
      <c r="EG3234" s="4" t="s">
        <v>3736</v>
      </c>
      <c r="EH3234" s="4"/>
      <c r="EI3234" s="4"/>
      <c r="EJ3234" s="4"/>
      <c r="EK3234" s="4"/>
      <c r="EL3234" s="4"/>
      <c r="FI3234" s="48">
        <v>1</v>
      </c>
    </row>
    <row r="3235" spans="1:184" ht="14.5" hidden="1" x14ac:dyDescent="0.35">
      <c r="A3235" s="322">
        <v>20</v>
      </c>
      <c r="B3235" s="404" t="str">
        <f t="shared" si="145"/>
        <v>Maine</v>
      </c>
      <c r="C3235" s="407"/>
      <c r="D3235" s="406"/>
      <c r="AC3235" s="48" t="str">
        <f>CONCATENATE(AV$3212,B3235,AE$3212,AE$3213)</f>
        <v xml:space="preserve">Unfortunately, Maine does not limit how far back and employer can run a background check. Background screeners must rely on indiscriminate records that fail to distinguish between "reliable evidence-based convictions" and "non-exonerated wrongful convictions"--permitting illicit discrimination. </v>
      </c>
      <c r="BR3235" s="245" t="s">
        <v>885</v>
      </c>
      <c r="BT3235" s="245" t="s">
        <v>885</v>
      </c>
      <c r="BX3235" s="52">
        <f t="shared" si="139"/>
        <v>0</v>
      </c>
      <c r="BZ3235" s="48" t="s">
        <v>3721</v>
      </c>
      <c r="CF3235" t="s">
        <v>1126</v>
      </c>
      <c r="CG3235" s="650">
        <v>145</v>
      </c>
      <c r="CH3235" s="471">
        <v>1967</v>
      </c>
      <c r="CI3235" s="471">
        <v>1354522</v>
      </c>
      <c r="CJ3235" s="653">
        <f t="shared" si="140"/>
        <v>1.4521727960121725E-3</v>
      </c>
      <c r="CK3235" s="48">
        <f t="shared" si="146"/>
        <v>10</v>
      </c>
      <c r="CL3235" s="48">
        <f t="shared" si="147"/>
        <v>303</v>
      </c>
      <c r="CM3235" s="48" t="str">
        <f t="shared" si="148"/>
        <v>303</v>
      </c>
      <c r="CN3235" s="48" t="str">
        <f t="shared" si="141"/>
        <v>1,967</v>
      </c>
      <c r="CO3235" s="48" t="str">
        <f t="shared" si="138"/>
        <v>10 to 303 in a prison population of 1,967</v>
      </c>
      <c r="DX3235" s="48">
        <f t="shared" si="149"/>
        <v>0</v>
      </c>
      <c r="DZ3235" s="557">
        <f>IF($B$265=$EC$3216,$EC3235,IF($B$265=$ED$3216,$ED3235,IF($B$265=$EE$3216,$EE3235,IF($B$265=$EF$3216,$EF3235,IF($B$265=$EG$3216,$EG3235,IF($B$265=$EH$3216,$EH3235,IF($B$265=$EI$3216,$EI3235,IF($B$265=$EJ$3216,$EJ3235,IF($B$265=$EK$3216,$EK3235,IF($B$265=$EL$3216,$EL3235,IF($B$265=$EC$3216,$EC3235,IF($B$265=$ED$3216,$ED3235,IF($B$265=$EE$3216,$EE3235,IF($B$265=$EF$3216,$EF3235,IF($B$265=$EG$3216,$EG3235,IF($B$265=$EH$3216,$EH3235,IF($B$265=$EI$3216,$EI3235,IF($B$265=$EJ$3216,$EJ3235,IF($B$265=$EK$3216,$EK3235,IF($B$265=$EL$3216,$EL3235,IF($B$265=$EM$3216,$EM3235,IF($B$265=$EN$3216,$EN3235,IF($B$265=$EO$3216,$EO3235,IF($B$265=$EP$3216,$EP3235,IF($B$265=$EQ$3216,$EQ3235,IF($B$265=$ER$3216,$ER3235,IF($B$265=$ES$3216,$ES3235,IF($B$265=$ET$3216,$ET3235,IF($B$265=$EU$3216,$EU3235,IF($B$265=$EV$3216,$EV3235,IF($B$265=$EW$3216,$EW3235,IF($B$265=$EX$3216,#REF!,IF($B$265=$EY$3216,$EY3235,IF($B$265=$EZ$3216,$EZ3235,IF($B$265=$FA$3216,$FA3235,IF($B$265=$FB$3216,$FB3235,IF($B$265=$FC$3216,$FC3235,IF($B$265=$FD$3216,$FD3235,IF($B$265=$FE$3216,$FE3235,IF($B$265=$FF$3216,$FF3235,IF($B$265=$FG$3216,$FG3235,IF($B$265=$FH$3216,$FH3235,IF($B$265=$FI$3216,$FI3235,IF($B$265=$FJ$3216,$FJ3235,IF($B$265=$FK$3216,$FK3235,IF($B$265=$FL$3216,$FL3235,IF($B$265=$FM$3216,$FM3235,IF($B$265=$FN$3216,$FN3235,IF($B$265=$FO$3216,$FO3235,IF($B$265=$FP$3216,$FP3235,$DZ$3226))))))))))))))))))))))))))))))))))))))))))))))))))</f>
        <v>0</v>
      </c>
      <c r="EA3235" s="231"/>
      <c r="EB3235" s="4"/>
      <c r="EC3235" s="4"/>
      <c r="ED3235" s="4"/>
      <c r="EE3235" s="4"/>
      <c r="EF3235" s="4"/>
      <c r="EG3235" s="4" t="s">
        <v>3739</v>
      </c>
      <c r="EH3235" s="4"/>
      <c r="EI3235" s="4"/>
      <c r="EJ3235" s="4"/>
      <c r="EK3235" s="4"/>
      <c r="EL3235" s="4"/>
      <c r="FI3235" s="48">
        <v>2</v>
      </c>
    </row>
    <row r="3236" spans="1:184" ht="14.5" hidden="1" x14ac:dyDescent="0.35">
      <c r="A3236" s="322">
        <v>21</v>
      </c>
      <c r="B3236" s="404" t="str">
        <f t="shared" si="145"/>
        <v>Maryland</v>
      </c>
      <c r="C3236" s="407">
        <v>20000</v>
      </c>
      <c r="D3236" s="406" t="s">
        <v>1023</v>
      </c>
      <c r="AC3236" s="48" t="str">
        <f ca="1">IF($D$3210&gt;7,BO3236,BS3237)</f>
        <v>Since your conviction occurred 31 years ago, and you earn only about $8200 per year, Maryland prevents employers and others from running a criminal background check that far back.</v>
      </c>
      <c r="BO3236" s="48" t="str">
        <f ca="1">CONCATENATE($AE$3204,B3236,$AE$3210)</f>
        <v>Since your conviction occurred 31 years ago, and you earn only about $8200 per year, Maryland prevents employers and others from running a criminal background check that far back.</v>
      </c>
      <c r="BR3236" s="245" t="s">
        <v>885</v>
      </c>
      <c r="BT3236" s="245" t="s">
        <v>885</v>
      </c>
      <c r="BU3236" s="48">
        <v>1</v>
      </c>
      <c r="BV3236" s="48">
        <v>4</v>
      </c>
      <c r="BX3236" s="52">
        <f t="shared" si="139"/>
        <v>5</v>
      </c>
      <c r="BZ3236" s="48" t="s">
        <v>3723</v>
      </c>
      <c r="CF3236" t="s">
        <v>1131</v>
      </c>
      <c r="CG3236" s="650">
        <v>305</v>
      </c>
      <c r="CH3236" s="471">
        <v>18476</v>
      </c>
      <c r="CI3236" s="471">
        <v>6065436</v>
      </c>
      <c r="CJ3236" s="653">
        <f t="shared" si="140"/>
        <v>3.046112431159112E-3</v>
      </c>
      <c r="CK3236" s="48">
        <f t="shared" si="146"/>
        <v>92</v>
      </c>
      <c r="CL3236" s="48">
        <f t="shared" si="147"/>
        <v>2845</v>
      </c>
      <c r="CM3236" s="48" t="str">
        <f t="shared" si="148"/>
        <v>2,845</v>
      </c>
      <c r="CN3236" s="48" t="str">
        <f t="shared" si="141"/>
        <v>18,476</v>
      </c>
      <c r="CO3236" s="48" t="str">
        <f t="shared" si="138"/>
        <v>92 to 2,845 in a prison population of 18,476</v>
      </c>
      <c r="DX3236" s="48">
        <f t="shared" si="149"/>
        <v>0</v>
      </c>
      <c r="DZ3236" s="557">
        <f>IF($B$265=$EC$3216,$EC3236,IF($B$265=$ED$3216,$ED3236,IF($B$265=$EE$3216,$EE3236,IF($B$265=$EF$3216,$EF3236,IF($B$265=$EG$3216,$EG3236,IF($B$265=$EH$3216,$EH3236,IF($B$265=$EI$3216,$EI3236,IF($B$265=$EJ$3216,$EJ3236,IF($B$265=$EK$3216,$EK3236,IF($B$265=$EL$3216,$EL3236,IF($B$265=$EC$3216,$EC3236,IF($B$265=$ED$3216,$ED3236,IF($B$265=$EE$3216,$EE3236,IF($B$265=$EF$3216,$EF3236,IF($B$265=$EG$3216,$EG3236,IF($B$265=$EH$3216,$EH3236,IF($B$265=$EI$3216,$EI3236,IF($B$265=$EJ$3216,$EJ3236,IF($B$265=$EK$3216,$EK3236,IF($B$265=$EL$3216,$EL3236,IF($B$265=$EM$3216,$EM3236,IF($B$265=$EN$3216,$EN3236,IF($B$265=$EO$3216,$EO3236,IF($B$265=$EP$3216,$EP3236,IF($B$265=$EQ$3216,$EQ3236,IF($B$265=$ER$3216,$ER3236,IF($B$265=$ES$3216,$ES3236,IF($B$265=$ET$3216,$ET3236,IF($B$265=$EU$3216,$EU3236,IF($B$265=$EV$3216,$EV3236,IF($B$265=$EW$3216,$EW3236,IF($B$265=$EX$3216,#REF!,IF($B$265=$EY$3216,$EY3236,IF($B$265=$EZ$3216,$EZ3236,IF($B$265=$FA$3216,$FA3236,IF($B$265=$FB$3216,$FB3236,IF($B$265=$FC$3216,$FC3236,IF($B$265=$FD$3216,$FD3236,IF($B$265=$FE$3216,$FE3236,IF($B$265=$FF$3216,$FF3236,IF($B$265=$FG$3216,$FG3236,IF($B$265=$FH$3216,$FH3236,IF($B$265=$FI$3216,$FI3236,IF($B$265=$FJ$3216,$FJ3236,IF($B$265=$FK$3216,$FK3236,IF($B$265=$FL$3216,$FL3236,IF($B$265=$FM$3216,$FM3236,IF($B$265=$FN$3216,$FN3236,IF($B$265=$FO$3216,$FO3236,IF($B$265=$FP$3216,$FP3236,$DZ$3226))))))))))))))))))))))))))))))))))))))))))))))))))</f>
        <v>0</v>
      </c>
      <c r="EA3236" s="231"/>
      <c r="EB3236" s="4"/>
      <c r="EC3236" s="4"/>
      <c r="ED3236" s="4"/>
      <c r="EE3236" s="4"/>
      <c r="EF3236" s="4"/>
      <c r="EG3236" s="4" t="s">
        <v>3737</v>
      </c>
      <c r="EH3236" s="4"/>
      <c r="EI3236" s="4"/>
      <c r="EJ3236" s="4"/>
      <c r="EK3236" s="4"/>
      <c r="EL3236" s="4"/>
      <c r="FI3236" s="48">
        <v>3</v>
      </c>
    </row>
    <row r="3237" spans="1:184" ht="14.5" hidden="1" x14ac:dyDescent="0.35">
      <c r="A3237" s="322">
        <v>22</v>
      </c>
      <c r="B3237" s="404" t="str">
        <f t="shared" si="145"/>
        <v>Massachusetts</v>
      </c>
      <c r="C3237" s="407">
        <v>20000</v>
      </c>
      <c r="D3237" s="406" t="s">
        <v>1023</v>
      </c>
      <c r="AC3237" s="48" t="str">
        <f ca="1">IF($D$3210&gt;7,BO3237,BS3238)</f>
        <v>Since your conviction occurred 31 years ago, and you earn only about $8200 per year, Massachusetts prevents employers and others from running a criminal background check that far back.</v>
      </c>
      <c r="BO3237" s="48" t="str">
        <f ca="1">CONCATENATE($AE$3204,B3237,$AE$3210)</f>
        <v>Since your conviction occurred 31 years ago, and you earn only about $8200 per year, Massachusetts prevents employers and others from running a criminal background check that far back.</v>
      </c>
      <c r="BR3237" s="245" t="s">
        <v>885</v>
      </c>
      <c r="BS3237" s="48" t="str">
        <f>CONCATENATE(B3236,AE$3211)</f>
        <v>Maryland cannnot limit how far back and employer can run a background check.</v>
      </c>
      <c r="BT3237" s="245" t="s">
        <v>885</v>
      </c>
      <c r="BU3237" s="48">
        <v>2</v>
      </c>
      <c r="BV3237" s="48">
        <v>1</v>
      </c>
      <c r="BX3237" s="52">
        <f t="shared" si="139"/>
        <v>3</v>
      </c>
      <c r="BZ3237" s="48" t="s">
        <v>3721</v>
      </c>
      <c r="CF3237" t="s">
        <v>1136</v>
      </c>
      <c r="CG3237" s="650">
        <v>109</v>
      </c>
      <c r="CH3237" s="471">
        <v>7503</v>
      </c>
      <c r="CI3237" s="471">
        <v>6912239</v>
      </c>
      <c r="CJ3237" s="653">
        <f t="shared" si="140"/>
        <v>1.085465939473447E-3</v>
      </c>
      <c r="CK3237" s="48">
        <f t="shared" si="146"/>
        <v>38</v>
      </c>
      <c r="CL3237" s="48">
        <f t="shared" si="147"/>
        <v>1155</v>
      </c>
      <c r="CM3237" s="48" t="str">
        <f t="shared" si="148"/>
        <v>1,155</v>
      </c>
      <c r="CN3237" s="48" t="str">
        <f t="shared" si="141"/>
        <v>7,503</v>
      </c>
      <c r="CO3237" s="48" t="str">
        <f t="shared" si="138"/>
        <v>38 to 1,155 in a prison population of 7,503</v>
      </c>
      <c r="DX3237" s="48">
        <f t="shared" si="149"/>
        <v>0</v>
      </c>
      <c r="DZ3237" s="557">
        <f>IF($B$265=$EC$3216,$EC3237,IF($B$265=$ED$3216,$ED3237,IF($B$265=$EE$3216,$EE3237,IF($B$265=$EF$3216,$EF3237,IF($B$265=$EG$3216,$EG3237,IF($B$265=$EH$3216,$EH3237,IF($B$265=$EI$3216,$EI3237,IF($B$265=$EJ$3216,$EJ3237,IF($B$265=$EK$3216,$EK3237,IF($B$265=$EL$3216,$EL3237,IF($B$265=$EC$3216,$EC3237,IF($B$265=$ED$3216,$ED3237,IF($B$265=$EE$3216,$EE3237,IF($B$265=$EF$3216,$EF3237,IF($B$265=$EG$3216,$EG3237,IF($B$265=$EH$3216,$EH3237,IF($B$265=$EI$3216,$EI3237,IF($B$265=$EJ$3216,$EJ3237,IF($B$265=$EK$3216,$EK3237,IF($B$265=$EL$3216,$EL3237,IF($B$265=$EM$3216,$EM3237,IF($B$265=$EN$3216,$EN3237,IF($B$265=$EO$3216,$EO3237,IF($B$265=$EP$3216,$EP3237,IF($B$265=$EQ$3216,$EQ3237,IF($B$265=$ER$3216,$ER3237,IF($B$265=$ES$3216,$ES3237,IF($B$265=$ET$3216,$ET3237,IF($B$265=$EU$3216,$EU3237,IF($B$265=$EV$3216,$EV3237,IF($B$265=$EW$3216,$EW3237,IF($B$265=$EX$3216,#REF!,IF($B$265=$EY$3216,$EY3237,IF($B$265=$EZ$3216,$EZ3237,IF($B$265=$FA$3216,$FA3237,IF($B$265=$FB$3216,$FB3237,IF($B$265=$FC$3216,$FC3237,IF($B$265=$FD$3216,$FD3237,IF($B$265=$FE$3216,$FE3237,IF($B$265=$FF$3216,$FF3237,IF($B$265=$FG$3216,$FG3237,IF($B$265=$FH$3216,$FH3237,IF($B$265=$FI$3216,$FI3237,IF($B$265=$FJ$3216,$FJ3237,IF($B$265=$FK$3216,$FK3237,IF($B$265=$FL$3216,$FL3237,IF($B$265=$FM$3216,$FM3237,IF($B$265=$FN$3216,$FN3237,IF($B$265=$FO$3216,$FO3237,IF($B$265=$FP$3216,$FP3237,$DZ$3226))))))))))))))))))))))))))))))))))))))))))))))))))</f>
        <v>0</v>
      </c>
      <c r="EA3237" s="231"/>
      <c r="EB3237" s="4"/>
      <c r="EC3237" s="4"/>
      <c r="ED3237" s="4"/>
      <c r="EE3237" s="4"/>
      <c r="EF3237" s="4"/>
      <c r="EG3237" s="4" t="s">
        <v>3740</v>
      </c>
      <c r="EH3237" s="4"/>
      <c r="EI3237" s="4"/>
      <c r="EJ3237" s="4"/>
      <c r="EK3237" s="4"/>
      <c r="EL3237" s="4"/>
      <c r="FI3237" s="48">
        <v>4</v>
      </c>
    </row>
    <row r="3238" spans="1:184" ht="14.5" hidden="1" x14ac:dyDescent="0.35">
      <c r="A3238" s="322">
        <v>23</v>
      </c>
      <c r="B3238" s="404" t="str">
        <f t="shared" si="145"/>
        <v>Michigan</v>
      </c>
      <c r="AC3238" s="48" t="str">
        <f>CONCATENATE(AV$3212,B3238,AE$3212,AE$3213)</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BB3238" s="48"/>
      <c r="BR3238" s="245" t="s">
        <v>885</v>
      </c>
      <c r="BS3238" s="48" t="str">
        <f>CONCATENATE(B3237,AE$3211)</f>
        <v>Massachusetts cannnot limit how far back and employer can run a background check.</v>
      </c>
      <c r="BT3238" s="245" t="s">
        <v>885</v>
      </c>
      <c r="BU3238" s="48">
        <v>1</v>
      </c>
      <c r="BW3238" s="48">
        <v>1</v>
      </c>
      <c r="BX3238" s="52">
        <f t="shared" si="139"/>
        <v>2</v>
      </c>
      <c r="BZ3238" s="48" t="s">
        <v>3722</v>
      </c>
      <c r="CE3238" s="48" t="s">
        <v>4317</v>
      </c>
      <c r="CF3238" t="s">
        <v>147</v>
      </c>
      <c r="CG3238" s="650">
        <v>381</v>
      </c>
      <c r="CH3238" s="471">
        <v>38053</v>
      </c>
      <c r="CI3238" s="471">
        <v>9992427</v>
      </c>
      <c r="CJ3238" s="653">
        <f t="shared" si="140"/>
        <v>3.8081839376960173E-3</v>
      </c>
      <c r="CK3238" s="48">
        <f t="shared" si="146"/>
        <v>190</v>
      </c>
      <c r="CL3238" s="48">
        <f t="shared" si="147"/>
        <v>5860</v>
      </c>
      <c r="CM3238" s="48" t="str">
        <f t="shared" si="148"/>
        <v>5,860</v>
      </c>
      <c r="CN3238" s="48" t="str">
        <f t="shared" si="141"/>
        <v>38,053</v>
      </c>
      <c r="CO3238" s="48" t="str">
        <f t="shared" si="138"/>
        <v>190 to 5,860 in a prison population of 38,053</v>
      </c>
      <c r="DX3238" s="48">
        <f t="shared" si="149"/>
        <v>0</v>
      </c>
      <c r="DZ3238" s="557">
        <f>IF($B$265=$EC$3216,$EC3238,IF($B$265=$ED$3216,$ED3238,IF($B$265=$EE$3216,$EE3238,IF($B$265=$EF$3216,$EF3238,IF($B$265=$EG$3216,$EG3238,IF($B$265=$EH$3216,$EH3238,IF($B$265=$EI$3216,$EI3238,IF($B$265=$EJ$3216,$EJ3238,IF($B$265=$EK$3216,$EK3238,IF($B$265=$EL$3216,$EL3238,IF($B$265=$EC$3216,$EC3238,IF($B$265=$ED$3216,$ED3238,IF($B$265=$EE$3216,$EE3238,IF($B$265=$EF$3216,$EF3238,IF($B$265=$EG$3216,$EG3238,IF($B$265=$EH$3216,$EH3238,IF($B$265=$EI$3216,$EI3238,IF($B$265=$EJ$3216,$EJ3238,IF($B$265=$EK$3216,$EK3238,IF($B$265=$EL$3216,$EL3238,IF($B$265=$EM$3216,$EM3238,IF($B$265=$EN$3216,$EN3238,IF($B$265=$EO$3216,$EO3238,IF($B$265=$EP$3216,$EP3238,IF($B$265=$EQ$3216,$EQ3238,IF($B$265=$ER$3216,$ER3238,IF($B$265=$ES$3216,$ES3238,IF($B$265=$ET$3216,$ET3238,IF($B$265=$EU$3216,$EU3238,IF($B$265=$EV$3216,$EV3238,IF($B$265=$EW$3216,$EW3238,IF($B$265=$EX$3216,#REF!,IF($B$265=$EY$3216,$EY3238,IF($B$265=$EZ$3216,$EZ3238,IF($B$265=$FA$3216,$FA3238,IF($B$265=$FB$3216,$FB3238,IF($B$265=$FC$3216,$FC3238,IF($B$265=$FD$3216,$FD3238,IF($B$265=$FE$3216,$FE3238,IF($B$265=$FF$3216,$FF3238,IF($B$265=$FG$3216,$FG3238,IF($B$265=$FH$3216,$FH3238,IF($B$265=$FI$3216,$FI3238,IF($B$265=$FJ$3216,$FJ3238,IF($B$265=$FK$3216,$FK3238,IF($B$265=$FL$3216,$FL3238,IF($B$265=$FM$3216,$FM3238,IF($B$265=$FN$3216,$FN3238,IF($B$265=$FO$3216,$FO3238,IF($B$265=$FP$3216,$FP3238,$DZ$3226))))))))))))))))))))))))))))))))))))))))))))))))))</f>
        <v>0</v>
      </c>
      <c r="EA3238" s="231"/>
      <c r="EB3238" s="4"/>
      <c r="EC3238" s="4"/>
      <c r="ED3238" s="4"/>
      <c r="EE3238" s="4"/>
      <c r="EF3238" s="4"/>
      <c r="EG3238" s="4" t="s">
        <v>3741</v>
      </c>
      <c r="EH3238" s="4"/>
      <c r="EI3238" s="4"/>
      <c r="EJ3238" s="4"/>
      <c r="EK3238" s="4"/>
      <c r="EL3238" s="4"/>
      <c r="FI3238" s="48">
        <v>5</v>
      </c>
    </row>
    <row r="3239" spans="1:184" ht="14.5" hidden="1" x14ac:dyDescent="0.35">
      <c r="A3239" s="322">
        <v>24</v>
      </c>
      <c r="B3239" s="404" t="str">
        <f t="shared" si="145"/>
        <v>Minnesota</v>
      </c>
      <c r="C3239" s="405"/>
      <c r="D3239" s="406"/>
      <c r="AC3239" s="48" t="str">
        <f>CONCATENATE(AV$3212,B3239,AE$3212,AE$3213)</f>
        <v xml:space="preserve">Unfortunately, Minnesota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39" s="245" t="s">
        <v>885</v>
      </c>
      <c r="BT3239" s="245" t="s">
        <v>885</v>
      </c>
      <c r="BX3239" s="52">
        <f t="shared" si="139"/>
        <v>0</v>
      </c>
      <c r="BZ3239" s="48" t="s">
        <v>3720</v>
      </c>
      <c r="CF3239" t="s">
        <v>1144</v>
      </c>
      <c r="CG3239" s="650">
        <v>175</v>
      </c>
      <c r="CH3239" s="471">
        <v>9982</v>
      </c>
      <c r="CI3239" s="471">
        <v>5706398</v>
      </c>
      <c r="CJ3239" s="653">
        <f t="shared" si="140"/>
        <v>1.7492645973870031E-3</v>
      </c>
      <c r="CK3239" s="48">
        <f t="shared" si="146"/>
        <v>50</v>
      </c>
      <c r="CL3239" s="48">
        <f t="shared" si="147"/>
        <v>1537</v>
      </c>
      <c r="CM3239" s="48" t="str">
        <f t="shared" si="148"/>
        <v>1,537</v>
      </c>
      <c r="CN3239" s="48" t="str">
        <f t="shared" si="141"/>
        <v>9,982</v>
      </c>
      <c r="CO3239" s="48" t="str">
        <f t="shared" si="138"/>
        <v>50 to 1,537 in a prison population of 9,982</v>
      </c>
      <c r="DX3239" s="48">
        <f t="shared" si="149"/>
        <v>0</v>
      </c>
      <c r="DZ3239" s="557">
        <f>IF($B$265=$EC$3216,$EC3239,IF($B$265=$ED$3216,$ED3239,IF($B$265=$EE$3216,$EE3239,IF($B$265=$EF$3216,$EF3239,IF($B$265=$EG$3216,$EG3239,IF($B$265=$EH$3216,$EH3239,IF($B$265=$EI$3216,$EI3239,IF($B$265=$EJ$3216,$EJ3239,IF($B$265=$EK$3216,$EK3239,IF($B$265=$EL$3216,$EL3239,IF($B$265=$EC$3216,$EC3239,IF($B$265=$ED$3216,$ED3239,IF($B$265=$EE$3216,$EE3239,IF($B$265=$EF$3216,$EF3239,IF($B$265=$EG$3216,$EG3239,IF($B$265=$EH$3216,$EH3239,IF($B$265=$EI$3216,$EI3239,IF($B$265=$EJ$3216,$EJ3239,IF($B$265=$EK$3216,$EK3239,IF($B$265=$EL$3216,$EL3239,IF($B$265=$EM$3216,$EM3239,IF($B$265=$EN$3216,$EN3239,IF($B$265=$EO$3216,$EO3239,IF($B$265=$EP$3216,$EP3239,IF($B$265=$EQ$3216,$EQ3239,IF($B$265=$ER$3216,$ER3239,IF($B$265=$ES$3216,$ES3239,IF($B$265=$ET$3216,$ET3239,IF($B$265=$EU$3216,$EU3239,IF($B$265=$EV$3216,$EV3239,IF($B$265=$EW$3216,$EW3239,IF($B$265=$EX$3216,#REF!,IF($B$265=$EY$3216,$EY3239,IF($B$265=$EZ$3216,$EZ3239,IF($B$265=$FA$3216,$FA3239,IF($B$265=$FB$3216,$FB3239,IF($B$265=$FC$3216,$FC3239,IF($B$265=$FD$3216,$FD3239,IF($B$265=$FE$3216,$FE3239,IF($B$265=$FF$3216,$FF3239,IF($B$265=$FG$3216,$FG3239,IF($B$265=$FH$3216,$FH3239,IF($B$265=$FI$3216,$FI3239,IF($B$265=$FJ$3216,$FJ3239,IF($B$265=$FK$3216,$FK3239,IF($B$265=$FL$3216,$FL3239,IF($B$265=$FM$3216,$FM3239,IF($B$265=$FN$3216,$FN3239,IF($B$265=$FO$3216,$FO3239,IF($B$265=$FP$3216,$FP3239,$DZ$3226))))))))))))))))))))))))))))))))))))))))))))))))))</f>
        <v>0</v>
      </c>
      <c r="EA3239" s="231"/>
      <c r="EB3239" s="4"/>
      <c r="EC3239" s="4"/>
      <c r="ED3239" s="4"/>
      <c r="EE3239" s="4"/>
      <c r="EF3239" s="4"/>
      <c r="EG3239" s="4" t="s">
        <v>3738</v>
      </c>
      <c r="EH3239" s="4"/>
      <c r="EI3239" s="4"/>
      <c r="EJ3239" s="4"/>
      <c r="EK3239" s="4"/>
      <c r="EL3239" s="4"/>
      <c r="FI3239" s="48">
        <v>6</v>
      </c>
    </row>
    <row r="3240" spans="1:184" ht="14.5" hidden="1" x14ac:dyDescent="0.35">
      <c r="A3240" s="322">
        <v>25</v>
      </c>
      <c r="B3240" s="404" t="str">
        <f t="shared" si="145"/>
        <v>Mississippi</v>
      </c>
      <c r="C3240" s="405"/>
      <c r="D3240" s="406"/>
      <c r="AC3240" s="48" t="str">
        <f>CONCATENATE(AV$3212,B3240,AE$3212,AE$3213)</f>
        <v xml:space="preserve">Unfortunately, Mississippi does not limit how far back and employer can run a background check. Background screeners must rely on indiscriminate records that fail to distinguish between "reliable evidence-based convictions" and "non-exonerated wrongful convictions"--permitting illicit discrimination. </v>
      </c>
      <c r="BR3240" s="245" t="s">
        <v>885</v>
      </c>
      <c r="BT3240" s="245" t="s">
        <v>885</v>
      </c>
      <c r="BX3240" s="52">
        <f t="shared" si="139"/>
        <v>0</v>
      </c>
      <c r="BZ3240" s="48" t="s">
        <v>3721</v>
      </c>
      <c r="CF3240" t="s">
        <v>1149</v>
      </c>
      <c r="CG3240" s="650">
        <v>638</v>
      </c>
      <c r="CH3240" s="471">
        <v>18915</v>
      </c>
      <c r="CI3240" s="471">
        <v>2966407</v>
      </c>
      <c r="CJ3240" s="653">
        <f t="shared" si="140"/>
        <v>6.3764008108125421E-3</v>
      </c>
      <c r="CK3240" s="48">
        <f t="shared" si="146"/>
        <v>95</v>
      </c>
      <c r="CL3240" s="48">
        <f t="shared" si="147"/>
        <v>2913</v>
      </c>
      <c r="CM3240" s="48" t="str">
        <f t="shared" si="148"/>
        <v>2,913</v>
      </c>
      <c r="CN3240" s="48" t="str">
        <f t="shared" si="141"/>
        <v>18,915</v>
      </c>
      <c r="CO3240" s="48" t="str">
        <f t="shared" si="138"/>
        <v>95 to 2,913 in a prison population of 18,915</v>
      </c>
      <c r="DX3240" s="48">
        <f t="shared" si="149"/>
        <v>0</v>
      </c>
      <c r="DZ3240" s="557">
        <f>IF($B$265=$EC$3216,$EC3240,IF($B$265=$ED$3216,$ED3240,IF($B$265=$EE$3216,$EE3240,IF($B$265=$EF$3216,$EF3240,IF($B$265=$EG$3216,$EG3240,IF($B$265=$EH$3216,$EH3240,IF($B$265=$EI$3216,$EI3240,IF($B$265=$EJ$3216,$EJ3240,IF($B$265=$EK$3216,$EK3240,IF($B$265=$EL$3216,$EL3240,IF($B$265=$EC$3216,$EC3240,IF($B$265=$ED$3216,$ED3240,IF($B$265=$EE$3216,$EE3240,IF($B$265=$EF$3216,$EF3240,IF($B$265=$EG$3216,$EG3240,IF($B$265=$EH$3216,$EH3240,IF($B$265=$EI$3216,$EI3240,IF($B$265=$EJ$3216,$EJ3240,IF($B$265=$EK$3216,$EK3240,IF($B$265=$EL$3216,$EL3240,IF($B$265=$EM$3216,$EM3240,IF($B$265=$EN$3216,$EN3240,IF($B$265=$EO$3216,$EO3240,IF($B$265=$EP$3216,$EP3240,IF($B$265=$EQ$3216,$EQ3240,IF($B$265=$ER$3216,$ER3240,IF($B$265=$ES$3216,$ES3240,IF($B$265=$ET$3216,$ET3240,IF($B$265=$EU$3216,$EU3240,IF($B$265=$EV$3216,$EV3240,IF($B$265=$EW$3216,$EW3240,IF($B$265=$EX$3216,#REF!,IF($B$265=$EY$3216,$EY3240,IF($B$265=$EZ$3216,$EZ3240,IF($B$265=$FA$3216,$FA3240,IF($B$265=$FB$3216,$FB3240,IF($B$265=$FC$3216,$FC3240,IF($B$265=$FD$3216,$FD3240,IF($B$265=$FE$3216,$FE3240,IF($B$265=$FF$3216,$FF3240,IF($B$265=$FG$3216,$FG3240,IF($B$265=$FH$3216,$FH3240,IF($B$265=$FI$3216,$FI3240,IF($B$265=$FJ$3216,$FJ3240,IF($B$265=$FK$3216,$FK3240,IF($B$265=$FL$3216,$FL3240,IF($B$265=$FM$3216,$FM3240,IF($B$265=$FN$3216,$FN3240,IF($B$265=$FO$3216,$FO3240,IF($B$265=$FP$3216,$FP3240,$DZ$3226))))))))))))))))))))))))))))))))))))))))))))))))))</f>
        <v>0</v>
      </c>
      <c r="EA3240" s="231"/>
      <c r="EB3240" s="4"/>
      <c r="EC3240" s="4"/>
      <c r="ED3240" s="4"/>
      <c r="EE3240" s="4"/>
      <c r="EF3240" s="4"/>
      <c r="EG3240" s="4" t="s">
        <v>3742</v>
      </c>
      <c r="EH3240" s="4"/>
      <c r="EI3240" s="4"/>
      <c r="EJ3240" s="4"/>
      <c r="EK3240" s="4"/>
      <c r="EL3240" s="4"/>
      <c r="FI3240" s="48">
        <v>7</v>
      </c>
    </row>
    <row r="3241" spans="1:184" ht="14.5" hidden="1" x14ac:dyDescent="0.35">
      <c r="A3241" s="322">
        <v>26</v>
      </c>
      <c r="B3241" s="404" t="str">
        <f t="shared" si="145"/>
        <v>Missouri</v>
      </c>
      <c r="C3241" s="405"/>
      <c r="D3241" s="406"/>
      <c r="AC3241" s="48" t="str">
        <f>CONCATENATE(AV$3212,B3241,AE$3212,AE$3213)</f>
        <v xml:space="preserve">Unfortunately, Missouri does not limit how far back and employer can run a background check. Background screeners must rely on indiscriminate records that fail to distinguish between "reliable evidence-based convictions" and "non-exonerated wrongful convictions"--permitting illicit discrimination. </v>
      </c>
      <c r="BR3241" s="245" t="s">
        <v>885</v>
      </c>
      <c r="BT3241" s="245" t="s">
        <v>885</v>
      </c>
      <c r="BU3241" s="48">
        <v>1</v>
      </c>
      <c r="BV3241" s="48">
        <v>2</v>
      </c>
      <c r="BX3241" s="52">
        <f t="shared" si="139"/>
        <v>3</v>
      </c>
      <c r="BZ3241" s="48" t="s">
        <v>3722</v>
      </c>
      <c r="CF3241" t="s">
        <v>1154</v>
      </c>
      <c r="CG3241" s="650">
        <v>422</v>
      </c>
      <c r="CH3241" s="471">
        <v>26038</v>
      </c>
      <c r="CI3241" s="471">
        <v>6169038</v>
      </c>
      <c r="CJ3241" s="653">
        <f t="shared" si="140"/>
        <v>4.220755326843505E-3</v>
      </c>
      <c r="CK3241" s="48">
        <f t="shared" si="146"/>
        <v>130</v>
      </c>
      <c r="CL3241" s="48">
        <f t="shared" si="147"/>
        <v>4010</v>
      </c>
      <c r="CM3241" s="48" t="str">
        <f t="shared" si="148"/>
        <v>4,010</v>
      </c>
      <c r="CN3241" s="48" t="str">
        <f t="shared" si="141"/>
        <v>26,038</v>
      </c>
      <c r="CO3241" s="48" t="str">
        <f t="shared" si="138"/>
        <v>130 to 4,010 in a prison population of 26,038</v>
      </c>
      <c r="DX3241" s="48">
        <f t="shared" si="149"/>
        <v>0</v>
      </c>
      <c r="DZ3241" s="557">
        <f>IF($B$265=$EC$3216,$EC3241,IF($B$265=$ED$3216,$ED3241,IF($B$265=$EE$3216,$EE3241,IF($B$265=$EF$3216,$EF3241,IF($B$265=$EG$3216,$EG3241,IF($B$265=$EH$3216,$EH3241,IF($B$265=$EI$3216,$EI3241,IF($B$265=$EJ$3216,$EJ3241,IF($B$265=$EK$3216,$EK3241,IF($B$265=$EL$3216,$EL3241,IF($B$265=$EC$3216,$EC3241,IF($B$265=$ED$3216,$ED3241,IF($B$265=$EE$3216,$EE3241,IF($B$265=$EF$3216,$EF3241,IF($B$265=$EG$3216,$EG3241,IF($B$265=$EH$3216,$EH3241,IF($B$265=$EI$3216,$EI3241,IF($B$265=$EJ$3216,$EJ3241,IF($B$265=$EK$3216,$EK3241,IF($B$265=$EL$3216,$EL3241,IF($B$265=$EM$3216,$EM3241,IF($B$265=$EN$3216,$EN3241,IF($B$265=$EO$3216,$EO3241,IF($B$265=$EP$3216,$EP3241,IF($B$265=$EQ$3216,$EQ3241,IF($B$265=$ER$3216,$ER3241,IF($B$265=$ES$3216,$ES3241,IF($B$265=$ET$3216,$ET3241,IF($B$265=$EU$3216,$EU3241,IF($B$265=$EV$3216,$EV3241,IF($B$265=$EW$3216,$EW3241,IF($B$265=$EX$3216,#REF!,IF($B$265=$EY$3216,$EY3241,IF($B$265=$EZ$3216,$EZ3241,IF($B$265=$FA$3216,$FA3241,IF($B$265=$FB$3216,$FB3241,IF($B$265=$FC$3216,$FC3241,IF($B$265=$FD$3216,$FD3241,IF($B$265=$FE$3216,$FE3241,IF($B$265=$FF$3216,$FF3241,IF($B$265=$FG$3216,$FG3241,IF($B$265=$FH$3216,$FH3241,IF($B$265=$FI$3216,$FI3241,IF($B$265=$FJ$3216,$FJ3241,IF($B$265=$FK$3216,$FK3241,IF($B$265=$FL$3216,$FL3241,IF($B$265=$FM$3216,$FM3241,IF($B$265=$FN$3216,$FN3241,IF($B$265=$FO$3216,$FO3241,IF($B$265=$FP$3216,$FP3241,$DZ$3226))))))))))))))))))))))))))))))))))))))))))))))))))</f>
        <v>0</v>
      </c>
      <c r="EA3241" s="231"/>
      <c r="EB3241" s="4"/>
      <c r="EC3241" s="4"/>
      <c r="ED3241" s="4"/>
      <c r="EE3241" s="4"/>
      <c r="EF3241" s="4"/>
      <c r="EG3241" s="4" t="s">
        <v>3743</v>
      </c>
      <c r="EH3241" s="4"/>
      <c r="EI3241" s="4"/>
      <c r="EJ3241" s="4"/>
      <c r="EK3241" s="4"/>
      <c r="EL3241" s="4"/>
      <c r="FI3241" s="48">
        <v>8</v>
      </c>
    </row>
    <row r="3242" spans="1:184" ht="14.5" hidden="1" x14ac:dyDescent="0.35">
      <c r="A3242" s="322">
        <v>27</v>
      </c>
      <c r="B3242" s="404" t="str">
        <f t="shared" si="145"/>
        <v>Montana</v>
      </c>
      <c r="C3242" s="405">
        <v>0</v>
      </c>
      <c r="D3242" s="406" t="s">
        <v>1022</v>
      </c>
      <c r="AC3242" s="48" t="str">
        <f ca="1">IF($D$3210&gt;7,AE3201,BS3243)</f>
        <v>Since your conviction occurred 31 years ago, Montana prevents employers and others from running a criminal background check that far back.</v>
      </c>
      <c r="BO3242" s="48" t="str">
        <f ca="1">CONCATENATE($AE$3204,B3238,$AE$3210)</f>
        <v>Since your conviction occurred 31 years ago, and you earn only about $8200 per year, Michigan prevents employers and others from running a criminal background check that far back.</v>
      </c>
      <c r="BR3242" s="245" t="s">
        <v>885</v>
      </c>
      <c r="BT3242" s="245" t="s">
        <v>885</v>
      </c>
      <c r="BX3242" s="52">
        <f t="shared" si="139"/>
        <v>0</v>
      </c>
      <c r="BZ3242" s="48" t="s">
        <v>3720</v>
      </c>
      <c r="CF3242" t="s">
        <v>1160</v>
      </c>
      <c r="CG3242" s="650">
        <v>435</v>
      </c>
      <c r="CH3242" s="471">
        <v>4723</v>
      </c>
      <c r="CI3242" s="471">
        <v>1085004</v>
      </c>
      <c r="CJ3242" s="653">
        <f t="shared" si="140"/>
        <v>4.3529793438549539E-3</v>
      </c>
      <c r="CK3242" s="48">
        <f t="shared" si="146"/>
        <v>24</v>
      </c>
      <c r="CL3242" s="48">
        <f t="shared" si="147"/>
        <v>727</v>
      </c>
      <c r="CM3242" s="48" t="str">
        <f t="shared" si="148"/>
        <v>727</v>
      </c>
      <c r="CN3242" s="48" t="str">
        <f t="shared" si="141"/>
        <v>4,723</v>
      </c>
      <c r="CO3242" s="48" t="str">
        <f t="shared" si="138"/>
        <v>24 to 727 in a prison population of 4,723</v>
      </c>
      <c r="DX3242" s="48">
        <f t="shared" si="149"/>
        <v>0</v>
      </c>
      <c r="DZ3242" s="557">
        <f>IF($B$265=$EC$3216,$EC3242,IF($B$265=$ED$3216,$ED3242,IF($B$265=$EE$3216,$EE3242,IF($B$265=$EF$3216,$EF3242,IF($B$265=$EG$3216,$EG3242,IF($B$265=$EH$3216,$EH3242,IF($B$265=$EI$3216,$EI3242,IF($B$265=$EJ$3216,$EJ3242,IF($B$265=$EK$3216,$EK3242,IF($B$265=$EL$3216,$EL3242,IF($B$265=$EC$3216,$EC3242,IF($B$265=$ED$3216,$ED3242,IF($B$265=$EE$3216,$EE3242,IF($B$265=$EF$3216,$EF3242,IF($B$265=$EG$3216,$EG3242,IF($B$265=$EH$3216,$EH3242,IF($B$265=$EI$3216,$EI3242,IF($B$265=$EJ$3216,$EJ3242,IF($B$265=$EK$3216,$EK3242,IF($B$265=$EL$3216,$EL3242,IF($B$265=$EM$3216,$EM3242,IF($B$265=$EN$3216,$EN3242,IF($B$265=$EO$3216,$EO3242,IF($B$265=$EP$3216,$EP3242,IF($B$265=$EQ$3216,$EQ3242,IF($B$265=$ER$3216,$ER3242,IF($B$265=$ES$3216,$ES3242,IF($B$265=$ET$3216,$ET3242,IF($B$265=$EU$3216,$EU3242,IF($B$265=$EV$3216,$EV3242,IF($B$265=$EW$3216,$EW3242,IF($B$265=$EX$3216,#REF!,IF($B$265=$EY$3216,$EY3242,IF($B$265=$EZ$3216,$EZ3242,IF($B$265=$FA$3216,$FA3242,IF($B$265=$FB$3216,$FB3242,IF($B$265=$FC$3216,$FC3242,IF($B$265=$FD$3216,$FD3242,IF($B$265=$FE$3216,$FE3242,IF($B$265=$FF$3216,$FF3242,IF($B$265=$FG$3216,$FG3242,IF($B$265=$FH$3216,$FH3242,IF($B$265=$FI$3216,$FI3242,IF($B$265=$FJ$3216,$FJ3242,IF($B$265=$FK$3216,$FK3242,IF($B$265=$FL$3216,$FL3242,IF($B$265=$FM$3216,$FM3242,IF($B$265=$FN$3216,$FN3242,IF($B$265=$FO$3216,$FO3242,IF($B$265=$FP$3216,$FP3242,$DZ$3226))))))))))))))))))))))))))))))))))))))))))))))))))</f>
        <v>0</v>
      </c>
      <c r="EA3242" s="231"/>
      <c r="EB3242" s="4"/>
      <c r="EC3242" s="4"/>
      <c r="ED3242" s="4"/>
      <c r="EE3242" s="4"/>
      <c r="EF3242" s="4"/>
      <c r="EG3242" s="48" t="s">
        <v>3744</v>
      </c>
      <c r="EH3242" s="4"/>
      <c r="EI3242" s="4"/>
      <c r="EJ3242" s="4"/>
      <c r="EK3242" s="4"/>
      <c r="EL3242" s="4"/>
    </row>
    <row r="3243" spans="1:184" ht="14.5" hidden="1" x14ac:dyDescent="0.35">
      <c r="A3243" s="322">
        <v>28</v>
      </c>
      <c r="B3243" s="404" t="str">
        <f t="shared" si="145"/>
        <v>Nebraska</v>
      </c>
      <c r="C3243" s="405"/>
      <c r="D3243" s="406"/>
      <c r="AC3243" s="48" t="str">
        <f>CONCATENATE(AV$3212,B3243,AE$3212,AE$3213)</f>
        <v xml:space="preserve">Unfortunately, Nebraska does not limit how far back and employer can run a background check. Background screeners must rely on indiscriminate records that fail to distinguish between "reliable evidence-based convictions" and "non-exonerated wrongful convictions"--permitting illicit discrimination. </v>
      </c>
      <c r="BR3243" s="245" t="s">
        <v>885</v>
      </c>
      <c r="BS3243" s="48" t="str">
        <f>CONCATENATE(B3238,AE$3211)</f>
        <v>Michigan cannnot limit how far back and employer can run a background check.</v>
      </c>
      <c r="BT3243" s="245" t="s">
        <v>885</v>
      </c>
      <c r="BX3243" s="52">
        <f t="shared" si="139"/>
        <v>0</v>
      </c>
      <c r="BZ3243" s="48" t="s">
        <v>3720</v>
      </c>
      <c r="CF3243" t="s">
        <v>1166</v>
      </c>
      <c r="CG3243" s="650">
        <v>287</v>
      </c>
      <c r="CH3243" s="471">
        <v>5596</v>
      </c>
      <c r="CI3243" s="471">
        <v>1951996</v>
      </c>
      <c r="CJ3243" s="653">
        <f t="shared" si="140"/>
        <v>2.8668091532974452E-3</v>
      </c>
      <c r="CK3243" s="48">
        <f t="shared" si="146"/>
        <v>28</v>
      </c>
      <c r="CL3243" s="48">
        <f t="shared" si="147"/>
        <v>862</v>
      </c>
      <c r="CM3243" s="48" t="str">
        <f t="shared" si="148"/>
        <v>862</v>
      </c>
      <c r="CN3243" s="48" t="str">
        <f t="shared" si="141"/>
        <v>5,596</v>
      </c>
      <c r="CO3243" s="48" t="str">
        <f t="shared" si="138"/>
        <v>28 to 862 in a prison population of 5,596</v>
      </c>
      <c r="DX3243" s="48">
        <f t="shared" si="149"/>
        <v>0</v>
      </c>
      <c r="DZ3243" s="557">
        <f>IF($B$265=$EC$3216,$EC3243,IF($B$265=$ED$3216,$ED3243,IF($B$265=$EE$3216,$EE3243,IF($B$265=$EF$3216,$EF3243,IF($B$265=$EG$3216,$EG3243,IF($B$265=$EH$3216,$EH3243,IF($B$265=$EI$3216,$EI3243,IF($B$265=$EJ$3216,$EJ3243,IF($B$265=$EK$3216,$EK3243,IF($B$265=$EL$3216,$EL3243,IF($B$265=$EC$3216,$EC3243,IF($B$265=$ED$3216,$ED3243,IF($B$265=$EE$3216,$EE3243,IF($B$265=$EF$3216,$EF3243,IF($B$265=$EG$3216,$EG3243,IF($B$265=$EH$3216,$EH3243,IF($B$265=$EI$3216,$EI3243,IF($B$265=$EJ$3216,$EJ3243,IF($B$265=$EK$3216,$EK3243,IF($B$265=$EL$3216,$EL3243,IF($B$265=$EM$3216,$EM3243,IF($B$265=$EN$3216,$EN3243,IF($B$265=$EO$3216,$EO3243,IF($B$265=$EP$3216,$EP3243,IF($B$265=$EQ$3216,$EQ3243,IF($B$265=$ER$3216,$ER3243,IF($B$265=$ES$3216,$ES3243,IF($B$265=$ET$3216,$ET3243,IF($B$265=$EU$3216,$EU3243,IF($B$265=$EV$3216,$EV3243,IF($B$265=$EW$3216,$EW3243,IF($B$265=$EX$3216,#REF!,IF($B$265=$EY$3216,$EY3243,IF($B$265=$EZ$3216,$EZ3243,IF($B$265=$FA$3216,$FA3243,IF($B$265=$FB$3216,$FB3243,IF($B$265=$FC$3216,$FC3243,IF($B$265=$FD$3216,$FD3243,IF($B$265=$FE$3216,$FE3243,IF($B$265=$FF$3216,$FF3243,IF($B$265=$FG$3216,$FG3243,IF($B$265=$FH$3216,$FH3243,IF($B$265=$FI$3216,$FI3243,IF($B$265=$FJ$3216,$FJ3243,IF($B$265=$FK$3216,$FK3243,IF($B$265=$FL$3216,$FL3243,IF($B$265=$FM$3216,$FM3243,IF($B$265=$FN$3216,$FN3243,IF($B$265=$FO$3216,$FO3243,IF($B$265=$FP$3216,$FP3243,$DZ$3226))))))))))))))))))))))))))))))))))))))))))))))))))</f>
        <v>0</v>
      </c>
      <c r="EA3243" s="231"/>
      <c r="EB3243" s="4"/>
      <c r="EC3243" s="4"/>
      <c r="ED3243" s="4"/>
      <c r="EE3243" s="4"/>
      <c r="EF3243" s="4"/>
      <c r="EG3243" s="4" t="s">
        <v>3745</v>
      </c>
      <c r="EH3243" s="4"/>
      <c r="EI3243" s="4"/>
      <c r="EJ3243" s="4"/>
      <c r="EK3243" s="4"/>
      <c r="EL3243" s="4"/>
    </row>
    <row r="3244" spans="1:184" ht="15" hidden="1" thickBot="1" x14ac:dyDescent="0.4">
      <c r="A3244" s="322">
        <v>29</v>
      </c>
      <c r="B3244" s="404" t="str">
        <f t="shared" si="145"/>
        <v>Nevada</v>
      </c>
      <c r="C3244" s="407">
        <v>20000</v>
      </c>
      <c r="D3244" s="406" t="s">
        <v>1023</v>
      </c>
      <c r="AC3244" s="48" t="str">
        <f ca="1">IF($D$3210&gt;7,BO3244,BS3245)</f>
        <v>Since your conviction occurred 31 years ago, and you earn only about $8200 per year, Nevada prevents employers and others from running a criminal background check that far back.</v>
      </c>
      <c r="BO3244" s="48" t="str">
        <f ca="1">CONCATENATE($AE$3204,B3244,$AE$3210)</f>
        <v>Since your conviction occurred 31 years ago, and you earn only about $8200 per year, Nevada prevents employers and others from running a criminal background check that far back.</v>
      </c>
      <c r="BR3244" s="245" t="s">
        <v>885</v>
      </c>
      <c r="BT3244" s="245" t="s">
        <v>885</v>
      </c>
      <c r="BU3244" s="48">
        <v>1</v>
      </c>
      <c r="BX3244" s="52">
        <f t="shared" si="139"/>
        <v>1</v>
      </c>
      <c r="BZ3244" s="48" t="s">
        <v>3721</v>
      </c>
      <c r="CF3244" t="s">
        <v>1170</v>
      </c>
      <c r="CG3244" s="650">
        <v>403</v>
      </c>
      <c r="CH3244" s="471">
        <v>12840</v>
      </c>
      <c r="CI3244" s="471">
        <v>3185786</v>
      </c>
      <c r="CJ3244" s="653">
        <f t="shared" si="140"/>
        <v>4.0304025443014691E-3</v>
      </c>
      <c r="CK3244" s="48">
        <f t="shared" si="146"/>
        <v>64</v>
      </c>
      <c r="CL3244" s="48">
        <f t="shared" si="147"/>
        <v>1977</v>
      </c>
      <c r="CM3244" s="48" t="str">
        <f t="shared" si="148"/>
        <v>1,977</v>
      </c>
      <c r="CN3244" s="48" t="str">
        <f t="shared" si="141"/>
        <v>12,840</v>
      </c>
      <c r="CO3244" s="48" t="str">
        <f t="shared" si="138"/>
        <v>64 to 1,977 in a prison population of 12,840</v>
      </c>
      <c r="DZ3244" s="554"/>
      <c r="EA3244" s="555"/>
      <c r="EB3244" s="554"/>
      <c r="EC3244" s="554"/>
      <c r="ED3244" s="554"/>
      <c r="EE3244" s="554"/>
      <c r="EF3244" s="554"/>
      <c r="EG3244" s="554"/>
      <c r="EH3244" s="554"/>
      <c r="EI3244" s="554"/>
      <c r="EJ3244" s="554"/>
      <c r="EK3244" s="554"/>
      <c r="EL3244" s="554"/>
      <c r="EM3244" s="556"/>
      <c r="EN3244" s="556"/>
      <c r="EO3244" s="556"/>
      <c r="EP3244" s="556"/>
      <c r="EQ3244" s="556"/>
      <c r="ER3244" s="556"/>
      <c r="ES3244" s="556"/>
      <c r="ET3244" s="556"/>
      <c r="EU3244" s="556"/>
      <c r="EV3244" s="556"/>
      <c r="EW3244" s="556"/>
      <c r="EX3244" s="556"/>
      <c r="EY3244" s="556"/>
      <c r="EZ3244" s="556"/>
      <c r="FA3244" s="556"/>
      <c r="FB3244" s="556"/>
      <c r="FC3244" s="556"/>
      <c r="FD3244" s="556"/>
      <c r="FE3244" s="556"/>
      <c r="FF3244" s="556"/>
      <c r="FG3244" s="556"/>
      <c r="FH3244" s="556"/>
      <c r="FI3244" s="556"/>
      <c r="FJ3244" s="556"/>
      <c r="FK3244" s="556"/>
      <c r="FL3244" s="556"/>
      <c r="FM3244" s="556"/>
      <c r="FN3244" s="556"/>
      <c r="FO3244" s="556"/>
      <c r="FP3244" s="556"/>
      <c r="FQ3244" s="556"/>
      <c r="FR3244" s="556"/>
      <c r="FS3244" s="556"/>
      <c r="FT3244" s="556"/>
      <c r="FU3244" s="556"/>
      <c r="FV3244" s="556"/>
      <c r="FW3244" s="556"/>
      <c r="FX3244" s="556"/>
      <c r="FY3244" s="556"/>
      <c r="FZ3244" s="556"/>
      <c r="GA3244" s="556"/>
      <c r="GB3244" s="556"/>
    </row>
    <row r="3245" spans="1:184" ht="14.5" hidden="1" x14ac:dyDescent="0.35">
      <c r="A3245" s="322">
        <v>30</v>
      </c>
      <c r="B3245" s="404" t="str">
        <f t="shared" si="145"/>
        <v>New Hampshire</v>
      </c>
      <c r="C3245" s="407">
        <v>20000</v>
      </c>
      <c r="D3245" s="406" t="s">
        <v>1023</v>
      </c>
      <c r="AC3245" s="48" t="str">
        <f ca="1">IF($D$3210&gt;7,BO3245,BS3246)</f>
        <v>Since your conviction occurred 31 years ago, and you earn only about $8200 per year, New Hampshire prevents employers and others from running a criminal background check that far back.</v>
      </c>
      <c r="BO3245" s="48" t="str">
        <f ca="1">CONCATENATE($AE$3204,B3245,$AE$3210)</f>
        <v>Since your conviction occurred 31 years ago, and you earn only about $8200 per year, New Hampshire prevents employers and others from running a criminal background check that far back.</v>
      </c>
      <c r="BR3245" s="245" t="s">
        <v>885</v>
      </c>
      <c r="BS3245" s="48" t="str">
        <f>CONCATENATE(B3244,AE$3211)</f>
        <v>Nevada cannnot limit how far back and employer can run a background check.</v>
      </c>
      <c r="BT3245" s="245" t="s">
        <v>885</v>
      </c>
      <c r="BX3245" s="52">
        <f t="shared" si="139"/>
        <v>0</v>
      </c>
      <c r="BZ3245" s="48" t="s">
        <v>3720</v>
      </c>
      <c r="CF3245" t="s">
        <v>1172</v>
      </c>
      <c r="CG3245" s="650">
        <v>196</v>
      </c>
      <c r="CH3245" s="471">
        <v>2691</v>
      </c>
      <c r="CI3245" s="471">
        <v>1372203</v>
      </c>
      <c r="CJ3245" s="653">
        <f t="shared" si="140"/>
        <v>1.9610801025795746E-3</v>
      </c>
      <c r="CK3245" s="48">
        <f t="shared" si="146"/>
        <v>13</v>
      </c>
      <c r="CL3245" s="48">
        <f t="shared" si="147"/>
        <v>414</v>
      </c>
      <c r="CM3245" s="48" t="str">
        <f t="shared" si="148"/>
        <v>414</v>
      </c>
      <c r="CN3245" s="48" t="str">
        <f t="shared" si="141"/>
        <v>2,691</v>
      </c>
      <c r="CO3245" s="48" t="str">
        <f t="shared" si="138"/>
        <v>13 to 414 in a prison population of 2,691</v>
      </c>
      <c r="DZ3245" s="4"/>
      <c r="EA3245" s="231"/>
      <c r="EB3245" s="4"/>
      <c r="EC3245" s="4"/>
      <c r="ED3245" s="4"/>
      <c r="EE3245" s="4"/>
      <c r="EF3245" s="4"/>
      <c r="EG3245" s="4"/>
      <c r="EH3245" s="4"/>
      <c r="EI3245" s="4"/>
      <c r="EJ3245" s="4"/>
      <c r="EK3245" s="4"/>
      <c r="EL3245" s="4"/>
    </row>
    <row r="3246" spans="1:184" ht="14.5" hidden="1" x14ac:dyDescent="0.35">
      <c r="A3246" s="322">
        <v>31</v>
      </c>
      <c r="B3246" s="404" t="str">
        <f t="shared" si="145"/>
        <v>New Jersey</v>
      </c>
      <c r="C3246" s="407"/>
      <c r="D3246" s="406"/>
      <c r="AC3246" s="48" t="str">
        <f>CONCATENATE(AV$3212,B3246,AE$3212,AE$3213)</f>
        <v xml:space="preserve">Unfortunately, New Jersey does not limit how far back and employer can run a background check. Background screeners must rely on indiscriminate records that fail to distinguish between "reliable evidence-based convictions" and "non-exonerated wrongful convictions"--permitting illicit discrimination. </v>
      </c>
      <c r="BR3246" s="245" t="s">
        <v>885</v>
      </c>
      <c r="BS3246" s="48" t="str">
        <f>CONCATENATE(B3245,AE$3211)</f>
        <v>New Hampshire cannnot limit how far back and employer can run a background check.</v>
      </c>
      <c r="BT3246" s="245" t="s">
        <v>885</v>
      </c>
      <c r="BW3246" s="48">
        <v>1</v>
      </c>
      <c r="BX3246" s="52">
        <f t="shared" si="139"/>
        <v>1</v>
      </c>
      <c r="BZ3246" s="48" t="s">
        <v>3727</v>
      </c>
      <c r="CF3246" t="s">
        <v>1178</v>
      </c>
      <c r="CG3246" s="650">
        <v>210</v>
      </c>
      <c r="CH3246" s="471">
        <v>18613</v>
      </c>
      <c r="CI3246" s="471">
        <v>8874520</v>
      </c>
      <c r="CJ3246" s="653">
        <f t="shared" si="140"/>
        <v>2.0973528709158354E-3</v>
      </c>
      <c r="CK3246" s="48">
        <f t="shared" si="146"/>
        <v>93</v>
      </c>
      <c r="CL3246" s="48">
        <f t="shared" si="147"/>
        <v>2866</v>
      </c>
      <c r="CM3246" s="48" t="str">
        <f t="shared" si="148"/>
        <v>2,866</v>
      </c>
      <c r="CN3246" s="48" t="str">
        <f t="shared" si="141"/>
        <v>18,613</v>
      </c>
      <c r="CO3246" s="48" t="str">
        <f t="shared" si="138"/>
        <v>93 to 2,866 in a prison population of 18,613</v>
      </c>
      <c r="DZ3246" s="4"/>
      <c r="EA3246" s="231"/>
      <c r="EB3246" s="4"/>
      <c r="EC3246" s="4"/>
      <c r="ED3246" s="4"/>
      <c r="EE3246" s="4"/>
      <c r="EF3246" s="4"/>
      <c r="EG3246" s="4"/>
      <c r="EH3246" s="4"/>
      <c r="EI3246" s="4"/>
      <c r="EJ3246" s="4"/>
      <c r="EK3246" s="4"/>
      <c r="EL3246" s="4"/>
    </row>
    <row r="3247" spans="1:184" ht="14.5" hidden="1" x14ac:dyDescent="0.35">
      <c r="A3247" s="322">
        <v>32</v>
      </c>
      <c r="B3247" s="404" t="str">
        <f t="shared" si="145"/>
        <v>New Mexico</v>
      </c>
      <c r="C3247" s="407">
        <v>20000</v>
      </c>
      <c r="D3247" s="406" t="s">
        <v>1023</v>
      </c>
      <c r="AC3247" s="48" t="str">
        <f ca="1">IF($D$3210&gt;7,BO3247,BS3248)</f>
        <v>Since your conviction occurred 31 years ago, and you earn only about $8200 per year, New Mexico prevents employers and others from running a criminal background check that far back.</v>
      </c>
      <c r="BO3247" s="48" t="str">
        <f ca="1">CONCATENATE($AE$3204,B3247,$AE$3210)</f>
        <v>Since your conviction occurred 31 years ago, and you earn only about $8200 per year, New Mexico prevents employers and others from running a criminal background check that far back.</v>
      </c>
      <c r="BR3247" s="245" t="s">
        <v>885</v>
      </c>
      <c r="BT3247" s="245" t="s">
        <v>885</v>
      </c>
      <c r="BX3247" s="52">
        <f t="shared" si="139"/>
        <v>0</v>
      </c>
      <c r="BZ3247" s="48" t="s">
        <v>3721</v>
      </c>
      <c r="CF3247" t="s">
        <v>1183</v>
      </c>
      <c r="CG3247" s="650">
        <v>315</v>
      </c>
      <c r="CH3247" s="471">
        <v>6634</v>
      </c>
      <c r="CI3247" s="471">
        <v>2105005</v>
      </c>
      <c r="CJ3247" s="653">
        <f t="shared" si="140"/>
        <v>3.1515364571580592E-3</v>
      </c>
      <c r="CK3247" s="48">
        <f t="shared" si="146"/>
        <v>33</v>
      </c>
      <c r="CL3247" s="48">
        <f t="shared" si="147"/>
        <v>1022</v>
      </c>
      <c r="CM3247" s="48" t="str">
        <f t="shared" si="148"/>
        <v>1,022</v>
      </c>
      <c r="CN3247" s="48" t="str">
        <f t="shared" si="141"/>
        <v>6,634</v>
      </c>
      <c r="CO3247" s="48" t="str">
        <f t="shared" si="138"/>
        <v>33 to 1,022 in a prison population of 6,634</v>
      </c>
      <c r="DZ3247" s="4"/>
      <c r="EA3247" s="231"/>
      <c r="EB3247" s="4"/>
      <c r="EC3247" s="4"/>
      <c r="ED3247" s="4"/>
      <c r="EE3247" s="4"/>
      <c r="EF3247" s="4"/>
      <c r="EG3247" s="4"/>
      <c r="EH3247" s="4"/>
      <c r="EI3247" s="4"/>
      <c r="EJ3247" s="4"/>
      <c r="EK3247" s="4"/>
      <c r="EL3247" s="4"/>
    </row>
    <row r="3248" spans="1:184" ht="14.5" hidden="1" x14ac:dyDescent="0.35">
      <c r="A3248" s="322">
        <v>33</v>
      </c>
      <c r="B3248" s="404" t="str">
        <f t="shared" si="145"/>
        <v>New York</v>
      </c>
      <c r="C3248" s="407">
        <v>25000</v>
      </c>
      <c r="D3248" s="406" t="s">
        <v>1023</v>
      </c>
      <c r="AC3248" s="48" t="str">
        <f ca="1">IF($D$3210&gt;7,BO3248,BS3249)</f>
        <v>Since your conviction occurred 31 years ago, and you earn only about $8200 per year, New York prevents employers and others from running a criminal background check that far back.</v>
      </c>
      <c r="BO3248" s="48" t="str">
        <f ca="1">CONCATENATE($AE$3204,B3248,$AE$3210)</f>
        <v>Since your conviction occurred 31 years ago, and you earn only about $8200 per year, New York prevents employers and others from running a criminal background check that far back.</v>
      </c>
      <c r="BR3248" s="245" t="s">
        <v>885</v>
      </c>
      <c r="BS3248" s="48" t="str">
        <f>CONCATENATE(B3247,AE$3211)</f>
        <v>New Mexico cannnot limit how far back and employer can run a background check.</v>
      </c>
      <c r="BT3248" s="245" t="s">
        <v>885</v>
      </c>
      <c r="BU3248" s="48">
        <v>8</v>
      </c>
      <c r="BV3248" s="48">
        <v>5</v>
      </c>
      <c r="BW3248" s="48">
        <v>1</v>
      </c>
      <c r="BX3248" s="52">
        <f t="shared" si="139"/>
        <v>14</v>
      </c>
      <c r="BZ3248" s="48" t="s">
        <v>3721</v>
      </c>
      <c r="CF3248" t="s">
        <v>1185</v>
      </c>
      <c r="CG3248" s="650">
        <v>225</v>
      </c>
      <c r="CH3248" s="471">
        <v>43439</v>
      </c>
      <c r="CI3248" s="471">
        <v>19299981</v>
      </c>
      <c r="CJ3248" s="653">
        <f t="shared" si="140"/>
        <v>2.2507276043432375E-3</v>
      </c>
      <c r="CK3248" s="48">
        <f t="shared" si="146"/>
        <v>217</v>
      </c>
      <c r="CL3248" s="48">
        <f t="shared" si="147"/>
        <v>6690</v>
      </c>
      <c r="CM3248" s="48" t="str">
        <f t="shared" si="148"/>
        <v>6,690</v>
      </c>
      <c r="CN3248" s="48" t="str">
        <f t="shared" si="141"/>
        <v>43,439</v>
      </c>
      <c r="CO3248" s="48" t="str">
        <f t="shared" si="138"/>
        <v>217 to 6,690 in a prison population of 43,439</v>
      </c>
      <c r="DZ3248" s="4"/>
      <c r="EA3248" s="231"/>
      <c r="EB3248" s="4"/>
      <c r="EC3248" s="4"/>
      <c r="ED3248" s="4"/>
      <c r="EE3248" s="4"/>
      <c r="EF3248" s="4"/>
      <c r="EG3248" s="4"/>
      <c r="EH3248" s="4"/>
      <c r="EI3248" s="4"/>
      <c r="EJ3248" s="4"/>
      <c r="EK3248" s="4"/>
      <c r="EL3248" s="4"/>
    </row>
    <row r="3249" spans="1:142" ht="14.5" hidden="1" x14ac:dyDescent="0.35">
      <c r="A3249" s="322">
        <v>34</v>
      </c>
      <c r="B3249" s="404" t="str">
        <f t="shared" si="145"/>
        <v>North Carolina</v>
      </c>
      <c r="C3249" s="407"/>
      <c r="D3249" s="406"/>
      <c r="AC3249" s="48" t="str">
        <f t="shared" ref="AC3249:AC3258" si="150">CONCATENATE(AV$3212,B3249,AE$3212,AE$3213)</f>
        <v xml:space="preserve">Unfortunately, North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c r="BR3249" s="245" t="s">
        <v>885</v>
      </c>
      <c r="BS3249" s="48" t="str">
        <f>CONCATENATE(B3248,AE$3211)</f>
        <v>New York cannnot limit how far back and employer can run a background check.</v>
      </c>
      <c r="BT3249" s="245" t="s">
        <v>885</v>
      </c>
      <c r="BX3249" s="52">
        <f t="shared" si="139"/>
        <v>0</v>
      </c>
      <c r="BZ3249" s="48" t="s">
        <v>3721</v>
      </c>
      <c r="CF3249" t="s">
        <v>1188</v>
      </c>
      <c r="CG3249" s="650">
        <v>309</v>
      </c>
      <c r="CH3249" s="471">
        <v>33042</v>
      </c>
      <c r="CI3249" s="471">
        <v>10701022</v>
      </c>
      <c r="CJ3249" s="653">
        <f t="shared" si="140"/>
        <v>3.0877424604864845E-3</v>
      </c>
      <c r="CK3249" s="48">
        <f t="shared" si="146"/>
        <v>165</v>
      </c>
      <c r="CL3249" s="48">
        <f t="shared" si="147"/>
        <v>5088</v>
      </c>
      <c r="CM3249" s="48" t="str">
        <f t="shared" si="148"/>
        <v>5,088</v>
      </c>
      <c r="CN3249" s="48" t="str">
        <f t="shared" si="141"/>
        <v>33,042</v>
      </c>
      <c r="CO3249" s="48" t="str">
        <f t="shared" si="138"/>
        <v>165 to 5,088 in a prison population of 33,042</v>
      </c>
      <c r="DZ3249" s="4"/>
      <c r="EA3249" s="231"/>
      <c r="EB3249" s="4"/>
      <c r="EC3249" s="4"/>
      <c r="ED3249" s="4"/>
      <c r="EE3249" s="4"/>
      <c r="EF3249" s="4"/>
      <c r="EG3249" s="4"/>
      <c r="EH3249" s="4"/>
      <c r="EI3249" s="4"/>
      <c r="EJ3249" s="4"/>
      <c r="EK3249" s="4"/>
      <c r="EL3249" s="4"/>
    </row>
    <row r="3250" spans="1:142" ht="14.5" hidden="1" x14ac:dyDescent="0.35">
      <c r="A3250" s="322">
        <v>35</v>
      </c>
      <c r="B3250" s="404" t="str">
        <f t="shared" si="145"/>
        <v>North Dakota</v>
      </c>
      <c r="C3250" s="407"/>
      <c r="D3250" s="406"/>
      <c r="AC3250" s="48" t="str">
        <f t="shared" si="150"/>
        <v xml:space="preserve">Unfortunately, North Dakota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50" s="245" t="s">
        <v>885</v>
      </c>
      <c r="BT3250" s="245" t="s">
        <v>885</v>
      </c>
      <c r="BX3250" s="52">
        <f t="shared" si="139"/>
        <v>0</v>
      </c>
      <c r="BZ3250" s="48" t="s">
        <v>3723</v>
      </c>
      <c r="CF3250" t="s">
        <v>1193</v>
      </c>
      <c r="CG3250" s="650">
        <v>229</v>
      </c>
      <c r="CH3250" s="471">
        <v>1767</v>
      </c>
      <c r="CI3250" s="471">
        <v>770026</v>
      </c>
      <c r="CJ3250" s="653">
        <f t="shared" si="140"/>
        <v>2.2947277104928923E-3</v>
      </c>
      <c r="CK3250" s="48">
        <f t="shared" si="146"/>
        <v>9</v>
      </c>
      <c r="CL3250" s="48">
        <f t="shared" si="147"/>
        <v>272</v>
      </c>
      <c r="CM3250" s="48" t="str">
        <f t="shared" si="148"/>
        <v>272</v>
      </c>
      <c r="CN3250" s="48" t="str">
        <f t="shared" si="141"/>
        <v>1,767</v>
      </c>
      <c r="CO3250" s="48" t="str">
        <f t="shared" si="138"/>
        <v>9 to 272 in a prison population of 1,767</v>
      </c>
      <c r="DZ3250" s="4"/>
      <c r="EA3250" s="231"/>
      <c r="EB3250" s="4"/>
      <c r="EC3250" s="4"/>
      <c r="ED3250" s="4"/>
      <c r="EE3250" s="4"/>
      <c r="EF3250" s="4"/>
      <c r="EG3250" s="4"/>
      <c r="EH3250" s="4"/>
      <c r="EI3250" s="4"/>
      <c r="EJ3250" s="4"/>
      <c r="EK3250" s="4"/>
      <c r="EL3250" s="4"/>
    </row>
    <row r="3251" spans="1:142" ht="14.5" hidden="1" x14ac:dyDescent="0.35">
      <c r="A3251" s="322">
        <v>36</v>
      </c>
      <c r="B3251" s="404" t="str">
        <f t="shared" si="145"/>
        <v>Ohio</v>
      </c>
      <c r="C3251" s="407"/>
      <c r="D3251" s="406"/>
      <c r="AC3251" s="48" t="str">
        <f t="shared" si="150"/>
        <v xml:space="preserve">Unfortunately, Ohio does not limit how far back and employer can run a background check. Background screeners must rely on indiscriminate records that fail to distinguish between "reliable evidence-based convictions" and "non-exonerated wrongful convictions"--permitting illicit discrimination. </v>
      </c>
      <c r="BR3251" s="245" t="s">
        <v>885</v>
      </c>
      <c r="BT3251" s="245" t="s">
        <v>885</v>
      </c>
      <c r="BU3251" s="48">
        <v>1</v>
      </c>
      <c r="BV3251" s="48">
        <v>1</v>
      </c>
      <c r="BX3251" s="52">
        <f t="shared" si="139"/>
        <v>2</v>
      </c>
      <c r="BZ3251" s="48" t="s">
        <v>3722</v>
      </c>
      <c r="CF3251" t="s">
        <v>1195</v>
      </c>
      <c r="CG3251" s="650">
        <v>430</v>
      </c>
      <c r="CH3251" s="471">
        <v>50338</v>
      </c>
      <c r="CI3251" s="471">
        <v>11714618</v>
      </c>
      <c r="CJ3251" s="653">
        <f t="shared" si="140"/>
        <v>4.2970244526966224E-3</v>
      </c>
      <c r="CK3251" s="48">
        <f t="shared" si="146"/>
        <v>252</v>
      </c>
      <c r="CL3251" s="48">
        <f t="shared" si="147"/>
        <v>7752</v>
      </c>
      <c r="CM3251" s="48" t="str">
        <f t="shared" si="148"/>
        <v>7,752</v>
      </c>
      <c r="CN3251" s="48" t="str">
        <f t="shared" si="141"/>
        <v>50,338</v>
      </c>
      <c r="CO3251" s="48" t="str">
        <f t="shared" si="138"/>
        <v>252 to 7,752 in a prison population of 50,338</v>
      </c>
      <c r="DZ3251" s="4"/>
      <c r="EA3251" s="231"/>
      <c r="EB3251" s="4"/>
      <c r="EC3251" s="4"/>
      <c r="ED3251" s="4"/>
      <c r="EE3251" s="4"/>
      <c r="EF3251" s="4"/>
      <c r="EG3251" s="4"/>
      <c r="EH3251" s="4"/>
      <c r="EI3251" s="4"/>
      <c r="EJ3251" s="4"/>
      <c r="EK3251" s="4"/>
      <c r="EL3251" s="4"/>
    </row>
    <row r="3252" spans="1:142" ht="14.5" hidden="1" x14ac:dyDescent="0.35">
      <c r="A3252" s="322">
        <v>37</v>
      </c>
      <c r="B3252" s="404" t="str">
        <f t="shared" si="145"/>
        <v>Oklahoma</v>
      </c>
      <c r="C3252" s="407"/>
      <c r="D3252" s="406"/>
      <c r="AC3252" s="48" t="str">
        <f t="shared" si="150"/>
        <v xml:space="preserve">Unfortunately, Oklahoma does not limit how far back and employer can run a background check. Background screeners must rely on indiscriminate records that fail to distinguish between "reliable evidence-based convictions" and "non-exonerated wrongful convictions"--permitting illicit discrimination. </v>
      </c>
      <c r="BR3252" s="245" t="s">
        <v>885</v>
      </c>
      <c r="BT3252" s="245" t="s">
        <v>885</v>
      </c>
      <c r="BX3252" s="52">
        <f t="shared" si="139"/>
        <v>0</v>
      </c>
      <c r="BZ3252" s="48" t="s">
        <v>3721</v>
      </c>
      <c r="CF3252" t="s">
        <v>1200</v>
      </c>
      <c r="CG3252" s="650">
        <v>635</v>
      </c>
      <c r="CH3252" s="471">
        <v>25338</v>
      </c>
      <c r="CI3252" s="471">
        <v>3990443</v>
      </c>
      <c r="CJ3252" s="653">
        <f t="shared" si="140"/>
        <v>6.3496709513204425E-3</v>
      </c>
      <c r="CK3252" s="48">
        <f t="shared" si="146"/>
        <v>127</v>
      </c>
      <c r="CL3252" s="48">
        <f t="shared" si="147"/>
        <v>3902</v>
      </c>
      <c r="CM3252" s="48" t="str">
        <f t="shared" si="148"/>
        <v>3,902</v>
      </c>
      <c r="CN3252" s="48" t="str">
        <f t="shared" si="141"/>
        <v>25,338</v>
      </c>
      <c r="CO3252" s="48" t="str">
        <f t="shared" si="138"/>
        <v>127 to 3,902 in a prison population of 25,338</v>
      </c>
      <c r="DZ3252" s="4"/>
      <c r="EA3252" s="231"/>
      <c r="EB3252" s="4"/>
      <c r="EC3252" s="4"/>
      <c r="ED3252" s="4"/>
      <c r="EE3252" s="4"/>
      <c r="EF3252" s="4"/>
      <c r="EG3252" s="4"/>
      <c r="EH3252" s="4"/>
      <c r="EI3252" s="4"/>
      <c r="EJ3252" s="4"/>
      <c r="EK3252" s="4"/>
      <c r="EL3252" s="4"/>
    </row>
    <row r="3253" spans="1:142" ht="14.5" hidden="1" x14ac:dyDescent="0.35">
      <c r="A3253" s="322">
        <v>38</v>
      </c>
      <c r="B3253" s="404" t="str">
        <f t="shared" si="145"/>
        <v>Oregon</v>
      </c>
      <c r="C3253" s="407"/>
      <c r="D3253" s="406"/>
      <c r="AC3253" s="48" t="str">
        <f t="shared" si="150"/>
        <v xml:space="preserve">Unfortunately, Oregon does not limit how far back and employer can run a background check. Background screeners must rely on indiscriminate records that fail to distinguish between "reliable evidence-based convictions" and "non-exonerated wrongful convictions"--permitting illicit discrimination. </v>
      </c>
      <c r="BR3253" s="245" t="s">
        <v>885</v>
      </c>
      <c r="BT3253" s="245" t="s">
        <v>885</v>
      </c>
      <c r="BU3253" s="48">
        <v>1</v>
      </c>
      <c r="BX3253" s="52">
        <f t="shared" si="139"/>
        <v>1</v>
      </c>
      <c r="BZ3253" s="48" t="s">
        <v>3721</v>
      </c>
      <c r="CF3253" t="s">
        <v>1205</v>
      </c>
      <c r="CG3253" s="650">
        <v>348</v>
      </c>
      <c r="CH3253" s="471">
        <v>14943</v>
      </c>
      <c r="CI3253" s="471">
        <v>4289439</v>
      </c>
      <c r="CJ3253" s="653">
        <f t="shared" si="140"/>
        <v>3.4836723403689853E-3</v>
      </c>
      <c r="CK3253" s="48">
        <f t="shared" si="146"/>
        <v>75</v>
      </c>
      <c r="CL3253" s="48">
        <f t="shared" si="147"/>
        <v>2301</v>
      </c>
      <c r="CM3253" s="48" t="str">
        <f t="shared" si="148"/>
        <v>2,301</v>
      </c>
      <c r="CN3253" s="48" t="str">
        <f t="shared" si="141"/>
        <v>14,943</v>
      </c>
      <c r="CO3253" s="48" t="str">
        <f t="shared" si="138"/>
        <v>75 to 2,301 in a prison population of 14,943</v>
      </c>
      <c r="DZ3253" s="4"/>
      <c r="EA3253" s="231"/>
      <c r="EB3253" s="4"/>
      <c r="EC3253" s="4"/>
      <c r="ED3253" s="4"/>
      <c r="EE3253" s="4"/>
      <c r="EF3253" s="4"/>
      <c r="EG3253" s="4"/>
      <c r="EH3253" s="4"/>
      <c r="EI3253" s="4"/>
      <c r="EJ3253" s="4"/>
      <c r="EK3253" s="4"/>
      <c r="EL3253" s="4"/>
    </row>
    <row r="3254" spans="1:142" ht="14.5" hidden="1" x14ac:dyDescent="0.35">
      <c r="A3254" s="322">
        <v>39</v>
      </c>
      <c r="B3254" s="404" t="str">
        <f t="shared" si="145"/>
        <v>Pennsylvania</v>
      </c>
      <c r="C3254" s="407"/>
      <c r="D3254" s="406"/>
      <c r="AC3254" s="48" t="str">
        <f t="shared" si="150"/>
        <v xml:space="preserve">Unfortunately, Pennsylvania does not limit how far back and employer can run a background check. Background screeners must rely on indiscriminate records that fail to distinguish between "reliable evidence-based convictions" and "non-exonerated wrongful convictions"--permitting illicit discrimination. </v>
      </c>
      <c r="BR3254" s="245" t="s">
        <v>885</v>
      </c>
      <c r="BT3254" s="245" t="s">
        <v>885</v>
      </c>
      <c r="BU3254" s="48">
        <v>1</v>
      </c>
      <c r="BV3254" s="48">
        <v>2</v>
      </c>
      <c r="BW3254" s="48">
        <v>1</v>
      </c>
      <c r="BX3254" s="52">
        <f t="shared" si="139"/>
        <v>4</v>
      </c>
      <c r="BZ3254" s="48" t="s">
        <v>3721</v>
      </c>
      <c r="CF3254" t="s">
        <v>1207</v>
      </c>
      <c r="CG3254" s="650">
        <v>355</v>
      </c>
      <c r="CH3254" s="471">
        <v>45485</v>
      </c>
      <c r="CI3254" s="471">
        <v>12804123</v>
      </c>
      <c r="CJ3254" s="653">
        <f t="shared" si="140"/>
        <v>3.5523713728773144E-3</v>
      </c>
      <c r="CK3254" s="48">
        <f t="shared" si="146"/>
        <v>227</v>
      </c>
      <c r="CL3254" s="48">
        <f t="shared" si="147"/>
        <v>7005</v>
      </c>
      <c r="CM3254" s="48" t="str">
        <f t="shared" si="148"/>
        <v>7,005</v>
      </c>
      <c r="CN3254" s="48" t="str">
        <f t="shared" si="141"/>
        <v>45,485</v>
      </c>
      <c r="CO3254" s="48" t="str">
        <f t="shared" si="138"/>
        <v>227 to 7,005 in a prison population of 45,485</v>
      </c>
      <c r="DZ3254" s="4"/>
      <c r="EA3254" s="231"/>
      <c r="EB3254" s="4"/>
      <c r="EC3254" s="4"/>
      <c r="ED3254" s="4"/>
      <c r="EE3254" s="4"/>
      <c r="EF3254" s="4"/>
      <c r="EG3254" s="4"/>
      <c r="EH3254" s="4"/>
      <c r="EI3254" s="4"/>
      <c r="EJ3254" s="4"/>
      <c r="EK3254" s="4"/>
      <c r="EL3254" s="4"/>
    </row>
    <row r="3255" spans="1:142" ht="14.5" hidden="1" x14ac:dyDescent="0.35">
      <c r="A3255" s="322">
        <v>40</v>
      </c>
      <c r="B3255" s="404" t="str">
        <f t="shared" si="145"/>
        <v>Rhode Island</v>
      </c>
      <c r="C3255" s="407"/>
      <c r="D3255" s="406"/>
      <c r="AC3255" s="48" t="str">
        <f t="shared" si="150"/>
        <v xml:space="preserve">Unfortunately, Rhode Island does not limit how far back and employer can run a background check. Background screeners must rely on indiscriminate records that fail to distinguish between "reliable evidence-based convictions" and "non-exonerated wrongful convictions"--permitting illicit discrimination. </v>
      </c>
      <c r="BR3255" s="245" t="s">
        <v>885</v>
      </c>
      <c r="BT3255" s="245" t="s">
        <v>885</v>
      </c>
      <c r="BX3255" s="52">
        <f t="shared" si="139"/>
        <v>0</v>
      </c>
      <c r="BZ3255" s="48" t="s">
        <v>4145</v>
      </c>
      <c r="CF3255" t="s">
        <v>1209</v>
      </c>
      <c r="CG3255" s="650">
        <v>156</v>
      </c>
      <c r="CH3255" s="471">
        <v>1656</v>
      </c>
      <c r="CI3255" s="471">
        <v>1061509</v>
      </c>
      <c r="CJ3255" s="653">
        <f t="shared" si="140"/>
        <v>1.5600432968538185E-3</v>
      </c>
      <c r="CK3255" s="48">
        <f t="shared" si="146"/>
        <v>8</v>
      </c>
      <c r="CL3255" s="48">
        <f t="shared" si="147"/>
        <v>255</v>
      </c>
      <c r="CM3255" s="48" t="str">
        <f t="shared" si="148"/>
        <v>255</v>
      </c>
      <c r="CN3255" s="48" t="str">
        <f t="shared" si="141"/>
        <v>1,656</v>
      </c>
      <c r="CO3255" s="48" t="str">
        <f t="shared" si="138"/>
        <v>8 to 255 in a prison population of 1,656</v>
      </c>
      <c r="DZ3255" s="4"/>
      <c r="EA3255" s="231"/>
      <c r="EB3255" s="4"/>
      <c r="EC3255" s="4"/>
      <c r="ED3255" s="4"/>
      <c r="EE3255" s="4"/>
      <c r="EF3255" s="4"/>
      <c r="EG3255" s="4"/>
      <c r="EH3255" s="4"/>
      <c r="EI3255" s="4"/>
      <c r="EJ3255" s="4"/>
      <c r="EK3255" s="4"/>
      <c r="EL3255" s="4"/>
    </row>
    <row r="3256" spans="1:142" ht="14.5" hidden="1" x14ac:dyDescent="0.35">
      <c r="A3256" s="322">
        <v>41</v>
      </c>
      <c r="B3256" s="404" t="str">
        <f t="shared" si="145"/>
        <v>South Carolina</v>
      </c>
      <c r="C3256" s="407"/>
      <c r="D3256" s="406"/>
      <c r="AC3256" s="48" t="str">
        <f t="shared" si="150"/>
        <v xml:space="preserve">Unfortunately, South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c r="BR3256" s="245" t="s">
        <v>885</v>
      </c>
      <c r="BT3256" s="245" t="s">
        <v>885</v>
      </c>
      <c r="BX3256" s="52">
        <f t="shared" si="139"/>
        <v>0</v>
      </c>
      <c r="BZ3256" s="48" t="s">
        <v>3728</v>
      </c>
      <c r="CF3256" t="s">
        <v>1211</v>
      </c>
      <c r="CG3256" s="650">
        <v>347</v>
      </c>
      <c r="CH3256" s="471">
        <v>18295</v>
      </c>
      <c r="CI3256" s="471">
        <v>5277830</v>
      </c>
      <c r="CJ3256" s="653">
        <f t="shared" si="140"/>
        <v>3.4663867536468586E-3</v>
      </c>
      <c r="CK3256" s="48">
        <f t="shared" si="146"/>
        <v>91</v>
      </c>
      <c r="CL3256" s="48">
        <f t="shared" si="147"/>
        <v>2817</v>
      </c>
      <c r="CM3256" s="48" t="str">
        <f t="shared" si="148"/>
        <v>2,817</v>
      </c>
      <c r="CN3256" s="48" t="str">
        <f t="shared" si="141"/>
        <v>18,295</v>
      </c>
      <c r="CO3256" s="48" t="str">
        <f t="shared" si="138"/>
        <v>91 to 2,817 in a prison population of 18,295</v>
      </c>
      <c r="DZ3256" s="4"/>
      <c r="EA3256" s="231"/>
      <c r="EB3256" s="4"/>
      <c r="EC3256" s="4"/>
      <c r="ED3256" s="4"/>
      <c r="EE3256" s="4"/>
      <c r="EF3256" s="4"/>
      <c r="EG3256" s="4"/>
      <c r="EH3256" s="4"/>
      <c r="EI3256" s="4"/>
      <c r="EJ3256" s="4"/>
      <c r="EK3256" s="4"/>
      <c r="EL3256" s="4"/>
    </row>
    <row r="3257" spans="1:142" ht="14.5" hidden="1" x14ac:dyDescent="0.35">
      <c r="A3257" s="322">
        <v>42</v>
      </c>
      <c r="B3257" s="404" t="str">
        <f t="shared" si="145"/>
        <v>South Dakota</v>
      </c>
      <c r="C3257" s="407"/>
      <c r="D3257" s="406"/>
      <c r="AC3257" s="48" t="str">
        <f t="shared" si="150"/>
        <v xml:space="preserve">Unfortunately, South Dakota does not limit how far back and employer can run a background check. Background screeners must rely on indiscriminate records that fail to distinguish between "reliable evidence-based convictions" and "non-exonerated wrongful convictions"--permitting illicit discrimination. </v>
      </c>
      <c r="BR3257" s="245" t="s">
        <v>885</v>
      </c>
      <c r="BT3257" s="245" t="s">
        <v>885</v>
      </c>
      <c r="BX3257" s="52">
        <f t="shared" si="139"/>
        <v>0</v>
      </c>
      <c r="BZ3257" s="48" t="s">
        <v>3723</v>
      </c>
      <c r="CF3257" t="s">
        <v>1213</v>
      </c>
      <c r="CG3257" s="650">
        <v>423</v>
      </c>
      <c r="CH3257" s="471">
        <v>3797</v>
      </c>
      <c r="CI3257" s="471">
        <v>896581</v>
      </c>
      <c r="CJ3257" s="653">
        <f t="shared" si="140"/>
        <v>4.2349770963248162E-3</v>
      </c>
      <c r="CK3257" s="48">
        <f t="shared" si="146"/>
        <v>19</v>
      </c>
      <c r="CL3257" s="48">
        <f t="shared" si="147"/>
        <v>585</v>
      </c>
      <c r="CM3257" s="48" t="str">
        <f t="shared" si="148"/>
        <v>585</v>
      </c>
      <c r="CN3257" s="48" t="str">
        <f t="shared" si="141"/>
        <v>3,797</v>
      </c>
      <c r="CO3257" s="48" t="str">
        <f t="shared" si="138"/>
        <v>19 to 585 in a prison population of 3,797</v>
      </c>
      <c r="DZ3257" s="4"/>
      <c r="EA3257" s="231"/>
      <c r="EB3257" s="4"/>
      <c r="EC3257" s="4"/>
      <c r="ED3257" s="4"/>
      <c r="EE3257" s="4"/>
      <c r="EF3257" s="4"/>
      <c r="EG3257" s="4"/>
      <c r="EH3257" s="4"/>
      <c r="EI3257" s="4"/>
      <c r="EJ3257" s="4"/>
      <c r="EK3257" s="4"/>
      <c r="EL3257" s="4"/>
    </row>
    <row r="3258" spans="1:142" ht="14.5" hidden="1" x14ac:dyDescent="0.35">
      <c r="A3258" s="322">
        <v>43</v>
      </c>
      <c r="B3258" s="404" t="str">
        <f t="shared" si="145"/>
        <v>Tennessee</v>
      </c>
      <c r="C3258" s="407"/>
      <c r="D3258" s="406"/>
      <c r="AC3258" s="48" t="str">
        <f t="shared" si="150"/>
        <v xml:space="preserve">Unfortunately, Tennessee does not limit how far back and employer can run a background check. Background screeners must rely on indiscriminate records that fail to distinguish between "reliable evidence-based convictions" and "non-exonerated wrongful convictions"--permitting illicit discrimination. </v>
      </c>
      <c r="BR3258" s="245" t="s">
        <v>885</v>
      </c>
      <c r="BT3258" s="245" t="s">
        <v>885</v>
      </c>
      <c r="BU3258" s="48">
        <v>1</v>
      </c>
      <c r="BX3258" s="52">
        <f t="shared" si="139"/>
        <v>1</v>
      </c>
      <c r="BZ3258" s="48" t="s">
        <v>3721</v>
      </c>
      <c r="CF3258" t="s">
        <v>1215</v>
      </c>
      <c r="CG3258" s="650">
        <v>379</v>
      </c>
      <c r="CH3258" s="471">
        <v>26349</v>
      </c>
      <c r="CI3258" s="471">
        <v>6944260</v>
      </c>
      <c r="CJ3258" s="653">
        <f t="shared" si="140"/>
        <v>3.7943567781160269E-3</v>
      </c>
      <c r="CK3258" s="48">
        <f t="shared" si="146"/>
        <v>132</v>
      </c>
      <c r="CL3258" s="48">
        <f t="shared" si="147"/>
        <v>4058</v>
      </c>
      <c r="CM3258" s="48" t="str">
        <f t="shared" si="148"/>
        <v>4,058</v>
      </c>
      <c r="CN3258" s="48" t="str">
        <f t="shared" si="141"/>
        <v>26,349</v>
      </c>
      <c r="CO3258" s="48" t="str">
        <f t="shared" si="138"/>
        <v>132 to 4,058 in a prison population of 26,349</v>
      </c>
      <c r="DZ3258" s="4"/>
      <c r="EA3258" s="231"/>
      <c r="EB3258" s="4"/>
      <c r="EC3258" s="4"/>
      <c r="ED3258" s="4"/>
      <c r="EE3258" s="4"/>
      <c r="EF3258" s="4"/>
      <c r="EG3258" s="4"/>
      <c r="EH3258" s="4"/>
      <c r="EI3258" s="4"/>
      <c r="EJ3258" s="4"/>
      <c r="EK3258" s="4"/>
      <c r="EL3258" s="4"/>
    </row>
    <row r="3259" spans="1:142" ht="14.5" hidden="1" x14ac:dyDescent="0.35">
      <c r="A3259" s="322">
        <v>44</v>
      </c>
      <c r="B3259" s="404" t="str">
        <f t="shared" si="145"/>
        <v>Texas</v>
      </c>
      <c r="C3259" s="407">
        <v>75000</v>
      </c>
      <c r="D3259" s="406" t="s">
        <v>1023</v>
      </c>
      <c r="AC3259" s="48" t="str">
        <f ca="1">IF($D$3210&gt;7,BO3259,BS3260)</f>
        <v>Since your conviction occurred 31 years ago, and you earn only about $8200 per year, Texas prevents employers and others from running a criminal background check that far back.</v>
      </c>
      <c r="BO3259" s="48" t="str">
        <f ca="1">CONCATENATE($AE$3204,B3259,$AE$3210)</f>
        <v>Since your conviction occurred 31 years ago, and you earn only about $8200 per year, Texas prevents employers and others from running a criminal background check that far back.</v>
      </c>
      <c r="BR3259" s="245" t="s">
        <v>885</v>
      </c>
      <c r="BT3259" s="245" t="s">
        <v>885</v>
      </c>
      <c r="BU3259" s="48">
        <v>5</v>
      </c>
      <c r="BX3259" s="52">
        <f t="shared" si="139"/>
        <v>5</v>
      </c>
      <c r="BZ3259" s="82" t="s">
        <v>3721</v>
      </c>
      <c r="CF3259" t="s">
        <v>1220</v>
      </c>
      <c r="CG3259" s="650">
        <v>520</v>
      </c>
      <c r="CH3259" s="471">
        <v>154479</v>
      </c>
      <c r="CI3259" s="471">
        <v>29730311</v>
      </c>
      <c r="CJ3259" s="653">
        <f t="shared" si="140"/>
        <v>5.1960102267345938E-3</v>
      </c>
      <c r="CK3259" s="48">
        <f t="shared" si="146"/>
        <v>772</v>
      </c>
      <c r="CL3259" s="48">
        <f t="shared" si="147"/>
        <v>23790</v>
      </c>
      <c r="CM3259" s="48" t="str">
        <f t="shared" si="148"/>
        <v>23,790</v>
      </c>
      <c r="CN3259" s="48" t="str">
        <f t="shared" si="141"/>
        <v>154,479</v>
      </c>
      <c r="CO3259" s="48" t="str">
        <f t="shared" si="138"/>
        <v>772 to 23,790 in a prison population of 154,479</v>
      </c>
      <c r="DZ3259" s="4"/>
      <c r="EA3259" s="231"/>
      <c r="EB3259" s="4"/>
      <c r="EC3259" s="4"/>
      <c r="ED3259" s="4"/>
      <c r="EE3259" s="4"/>
      <c r="EF3259" s="4"/>
      <c r="EG3259" s="4"/>
      <c r="EH3259" s="4"/>
      <c r="EI3259" s="4"/>
      <c r="EJ3259" s="4"/>
      <c r="EK3259" s="4"/>
      <c r="EL3259" s="4"/>
    </row>
    <row r="3260" spans="1:142" ht="14.5" hidden="1" x14ac:dyDescent="0.35">
      <c r="A3260" s="322">
        <v>45</v>
      </c>
      <c r="B3260" s="404" t="str">
        <f t="shared" si="145"/>
        <v>Utah</v>
      </c>
      <c r="C3260" s="407"/>
      <c r="D3260" s="406"/>
      <c r="AC3260" s="48" t="str">
        <f>CONCATENATE(AV$3212,B3260,AE$3212,AE$3213)</f>
        <v xml:space="preserve">Unfortunately, Utah does not limit how far back and employer can run a background check. Background screeners must rely on indiscriminate records that fail to distinguish between "reliable evidence-based convictions" and "non-exonerated wrongful convictions"--permitting illicit discrimination. </v>
      </c>
      <c r="BR3260" s="245" t="s">
        <v>885</v>
      </c>
      <c r="BS3260" s="48" t="str">
        <f>CONCATENATE(B3259,AE$3211)</f>
        <v>Texas cannnot limit how far back and employer can run a background check.</v>
      </c>
      <c r="BT3260" s="245" t="s">
        <v>885</v>
      </c>
      <c r="BV3260" s="48">
        <v>3</v>
      </c>
      <c r="BX3260" s="52">
        <f t="shared" si="139"/>
        <v>3</v>
      </c>
      <c r="BZ3260" s="82" t="s">
        <v>3721</v>
      </c>
      <c r="CF3260" t="s">
        <v>1226</v>
      </c>
      <c r="CG3260" s="650">
        <v>201</v>
      </c>
      <c r="CH3260" s="471">
        <v>6662</v>
      </c>
      <c r="CI3260" s="471">
        <v>3310774</v>
      </c>
      <c r="CJ3260" s="653">
        <f t="shared" si="140"/>
        <v>2.0122182909494881E-3</v>
      </c>
      <c r="CK3260" s="48">
        <f t="shared" si="146"/>
        <v>33</v>
      </c>
      <c r="CL3260" s="48">
        <f t="shared" si="147"/>
        <v>1026</v>
      </c>
      <c r="CM3260" s="48" t="str">
        <f t="shared" si="148"/>
        <v>1,026</v>
      </c>
      <c r="CN3260" s="48" t="str">
        <f t="shared" si="141"/>
        <v>6,662</v>
      </c>
      <c r="CO3260" s="48" t="str">
        <f t="shared" si="138"/>
        <v>33 to 1,026 in a prison population of 6,662</v>
      </c>
      <c r="DZ3260" s="4"/>
      <c r="EA3260" s="231"/>
      <c r="EB3260" s="4"/>
      <c r="EC3260" s="4"/>
      <c r="ED3260" s="4"/>
      <c r="EE3260" s="4"/>
      <c r="EF3260" s="4"/>
      <c r="EG3260" s="4"/>
      <c r="EH3260" s="4"/>
      <c r="EI3260" s="4"/>
      <c r="EJ3260" s="4"/>
      <c r="EK3260" s="4"/>
      <c r="EL3260" s="4"/>
    </row>
    <row r="3261" spans="1:142" ht="14.5" hidden="1" x14ac:dyDescent="0.35">
      <c r="A3261" s="322">
        <v>46</v>
      </c>
      <c r="B3261" s="404" t="str">
        <f t="shared" si="145"/>
        <v>Vermont</v>
      </c>
      <c r="C3261" s="407"/>
      <c r="D3261" s="406"/>
      <c r="I3261" s="231"/>
      <c r="AC3261" s="48" t="str">
        <f>CONCATENATE(AV$3212,B3261,AE$3212,AE$3213)</f>
        <v xml:space="preserve">Unfortunately, Vermont does not limit how far back and employer can run a background check. Background screeners must rely on indiscriminate records that fail to distinguish between "reliable evidence-based convictions" and "non-exonerated wrongful convictions"--permitting illicit discrimination. </v>
      </c>
      <c r="BR3261" s="245" t="s">
        <v>885</v>
      </c>
      <c r="BT3261" s="245" t="s">
        <v>885</v>
      </c>
      <c r="BX3261" s="52">
        <f t="shared" si="139"/>
        <v>0</v>
      </c>
      <c r="BZ3261" s="82" t="s">
        <v>3721</v>
      </c>
      <c r="CF3261" t="s">
        <v>1231</v>
      </c>
      <c r="CG3261" s="650">
        <v>182</v>
      </c>
      <c r="CH3261" s="471">
        <v>1137</v>
      </c>
      <c r="CI3261" s="471">
        <v>623251</v>
      </c>
      <c r="CJ3261" s="653">
        <f t="shared" si="140"/>
        <v>1.8243051354911585E-3</v>
      </c>
      <c r="CK3261" s="48">
        <f t="shared" si="146"/>
        <v>6</v>
      </c>
      <c r="CL3261" s="48">
        <f t="shared" si="147"/>
        <v>175</v>
      </c>
      <c r="CM3261" s="48" t="str">
        <f t="shared" si="148"/>
        <v>175</v>
      </c>
      <c r="CN3261" s="48" t="str">
        <f t="shared" si="141"/>
        <v>1,137</v>
      </c>
      <c r="CO3261" s="48" t="str">
        <f t="shared" si="138"/>
        <v>6 to 175 in a prison population of 1,137</v>
      </c>
    </row>
    <row r="3262" spans="1:142" ht="14.5" hidden="1" x14ac:dyDescent="0.35">
      <c r="A3262" s="322">
        <v>47</v>
      </c>
      <c r="B3262" s="404" t="str">
        <f t="shared" si="145"/>
        <v>Virginia</v>
      </c>
      <c r="C3262" s="407"/>
      <c r="D3262" s="406"/>
      <c r="I3262" s="231"/>
      <c r="AC3262" s="48" t="str">
        <f>CONCATENATE(AV$3212,B3262,AE$3212,AE$3213)</f>
        <v xml:space="preserve">Unfortunately, Virginia does not limit how far back and employer can run a background check. Background screeners must rely on indiscriminate records that fail to distinguish between "reliable evidence-based convictions" and "non-exonerated wrongful convictions"--permitting illicit discrimination. </v>
      </c>
      <c r="BR3262" s="245" t="s">
        <v>885</v>
      </c>
      <c r="BT3262" s="245" t="s">
        <v>885</v>
      </c>
      <c r="BV3262" s="48">
        <v>1</v>
      </c>
      <c r="BW3262" s="48">
        <v>1</v>
      </c>
      <c r="BX3262" s="52">
        <f t="shared" si="139"/>
        <v>2</v>
      </c>
      <c r="BZ3262" s="82" t="s">
        <v>3721</v>
      </c>
      <c r="CF3262" t="s">
        <v>1237</v>
      </c>
      <c r="CG3262" s="650">
        <v>419</v>
      </c>
      <c r="CH3262" s="471">
        <v>36091</v>
      </c>
      <c r="CI3262" s="471">
        <v>8603985</v>
      </c>
      <c r="CJ3262" s="653">
        <f t="shared" si="140"/>
        <v>4.1946842073760007E-3</v>
      </c>
      <c r="CK3262" s="48">
        <f t="shared" si="146"/>
        <v>180</v>
      </c>
      <c r="CL3262" s="48">
        <f t="shared" si="147"/>
        <v>5558</v>
      </c>
      <c r="CM3262" s="48" t="str">
        <f t="shared" si="148"/>
        <v>5,558</v>
      </c>
      <c r="CN3262" s="48" t="str">
        <f t="shared" si="141"/>
        <v>36,091</v>
      </c>
      <c r="CO3262" s="48" t="str">
        <f t="shared" si="138"/>
        <v>180 to 5,558 in a prison population of 36,091</v>
      </c>
    </row>
    <row r="3263" spans="1:142" ht="14.5" hidden="1" x14ac:dyDescent="0.35">
      <c r="A3263" s="322">
        <v>48</v>
      </c>
      <c r="B3263" s="404" t="str">
        <f t="shared" si="145"/>
        <v>Washington</v>
      </c>
      <c r="C3263" s="407">
        <v>20000</v>
      </c>
      <c r="D3263" s="406" t="s">
        <v>1023</v>
      </c>
      <c r="I3263" s="231"/>
      <c r="AC3263" s="48" t="str">
        <f ca="1">IF($D$3210&gt;7,BO3263,BS3264)</f>
        <v>Since your conviction occurred 31 years ago, and you earn only about $8200 per year, Washington prevents employers and others from running a criminal background check that far back.</v>
      </c>
      <c r="BO3263" s="48" t="str">
        <f ca="1">CONCATENATE($AE$3204,B3263,$AE$3210)</f>
        <v>Since your conviction occurred 31 years ago, and you earn only about $8200 per year, Washington prevents employers and others from running a criminal background check that far back.</v>
      </c>
      <c r="BR3263" s="245" t="s">
        <v>885</v>
      </c>
      <c r="BT3263" s="245" t="s">
        <v>885</v>
      </c>
      <c r="BX3263" s="52">
        <f t="shared" si="139"/>
        <v>0</v>
      </c>
      <c r="BZ3263" s="82" t="s">
        <v>3721</v>
      </c>
      <c r="CF3263" t="s">
        <v>1242</v>
      </c>
      <c r="CG3263" s="650">
        <v>246</v>
      </c>
      <c r="CH3263" s="471">
        <v>19184</v>
      </c>
      <c r="CI3263" s="471">
        <v>7796941</v>
      </c>
      <c r="CJ3263" s="653">
        <f t="shared" si="140"/>
        <v>2.4604521183371787E-3</v>
      </c>
      <c r="CK3263" s="48">
        <f t="shared" si="146"/>
        <v>96</v>
      </c>
      <c r="CL3263" s="48">
        <f t="shared" si="147"/>
        <v>2954</v>
      </c>
      <c r="CM3263" s="48" t="str">
        <f t="shared" si="148"/>
        <v>2,954</v>
      </c>
      <c r="CN3263" s="48" t="str">
        <f t="shared" si="141"/>
        <v>19,184</v>
      </c>
      <c r="CO3263" s="48" t="str">
        <f t="shared" si="138"/>
        <v>96 to 2,954 in a prison population of 19,184</v>
      </c>
    </row>
    <row r="3264" spans="1:142" ht="14.5" hidden="1" x14ac:dyDescent="0.35">
      <c r="A3264" s="322">
        <v>49</v>
      </c>
      <c r="B3264" s="404" t="str">
        <f t="shared" si="145"/>
        <v>West Virginia</v>
      </c>
      <c r="I3264" s="231"/>
      <c r="AC3264" s="48" t="str">
        <f>CONCATENATE(AV$3212,B3264,AE$3212,AE$3213)</f>
        <v xml:space="preserve">Unfortunately, West Virginia does not limit how far back and employer can run a background check. Background screeners must rely on indiscriminate records that fail to distinguish between "reliable evidence-based convictions" and "non-exonerated wrongful convictions"--permitting illicit discrimination. </v>
      </c>
      <c r="BO3264" s="48" t="str">
        <f ca="1">CONCATENATE($AE$3204,B3264,$AE$3210)</f>
        <v>Since your conviction occurred 31 years ago, and you earn only about $8200 per year, West Virginia prevents employers and others from running a criminal background check that far back.</v>
      </c>
      <c r="BR3264" s="245" t="s">
        <v>885</v>
      </c>
      <c r="BS3264" s="48" t="str">
        <f>CONCATENATE(B3263,AE$3211)</f>
        <v>Washington cannnot limit how far back and employer can run a background check.</v>
      </c>
      <c r="BT3264" s="245" t="s">
        <v>885</v>
      </c>
      <c r="BX3264" s="52">
        <f t="shared" si="139"/>
        <v>0</v>
      </c>
      <c r="BZ3264" s="82" t="s">
        <v>3721</v>
      </c>
      <c r="CF3264" t="s">
        <v>1246</v>
      </c>
      <c r="CG3264" s="650">
        <v>385</v>
      </c>
      <c r="CH3264" s="471">
        <v>6800</v>
      </c>
      <c r="CI3264" s="471">
        <v>1767859</v>
      </c>
      <c r="CJ3264" s="653">
        <f t="shared" si="140"/>
        <v>3.8464606057383535E-3</v>
      </c>
      <c r="CK3264" s="48">
        <f t="shared" si="146"/>
        <v>34</v>
      </c>
      <c r="CL3264" s="48">
        <f t="shared" si="147"/>
        <v>1047</v>
      </c>
      <c r="CM3264" s="48" t="str">
        <f t="shared" si="148"/>
        <v>1,047</v>
      </c>
      <c r="CN3264" s="48" t="str">
        <f t="shared" si="141"/>
        <v>6,800</v>
      </c>
      <c r="CO3264" s="48" t="str">
        <f t="shared" si="138"/>
        <v>34 to 1,047 in a prison population of 6,800</v>
      </c>
    </row>
    <row r="3265" spans="1:334" ht="14.5" hidden="1" x14ac:dyDescent="0.35">
      <c r="A3265" s="322">
        <v>50</v>
      </c>
      <c r="B3265" s="404" t="str">
        <f t="shared" si="145"/>
        <v>Wisconsin</v>
      </c>
      <c r="I3265" s="231"/>
      <c r="AC3265" s="48" t="str">
        <f>CONCATENATE(AV$3212,B3265,AE$3212,AE$3213)</f>
        <v xml:space="preserve">Unfortunately, Wisconsin does not limit how far back and employer can run a background check. Background screeners must rely on indiscriminate records that fail to distinguish between "reliable evidence-based convictions" and "non-exonerated wrongful convictions"--permitting illicit discrimination. </v>
      </c>
      <c r="BR3265" s="245" t="s">
        <v>885</v>
      </c>
      <c r="BS3265" s="48" t="str">
        <f>CONCATENATE(B3264,AE$3211)</f>
        <v>West Virginia cannnot limit how far back and employer can run a background check.</v>
      </c>
      <c r="BT3265" s="245" t="s">
        <v>885</v>
      </c>
      <c r="BX3265" s="52">
        <f t="shared" si="139"/>
        <v>0</v>
      </c>
      <c r="BZ3265" s="48" t="s">
        <v>3721</v>
      </c>
      <c r="CF3265" t="s">
        <v>1250</v>
      </c>
      <c r="CG3265" s="650">
        <v>377</v>
      </c>
      <c r="CH3265" s="471">
        <v>22039</v>
      </c>
      <c r="CI3265" s="471">
        <v>5852490</v>
      </c>
      <c r="CJ3265" s="653">
        <f t="shared" si="140"/>
        <v>3.7657475706921327E-3</v>
      </c>
      <c r="CK3265" s="48">
        <f t="shared" si="146"/>
        <v>110</v>
      </c>
      <c r="CL3265" s="48">
        <f t="shared" si="147"/>
        <v>3394</v>
      </c>
      <c r="CM3265" s="48" t="str">
        <f t="shared" si="148"/>
        <v>3,394</v>
      </c>
      <c r="CN3265" s="48" t="str">
        <f t="shared" si="141"/>
        <v>22,039</v>
      </c>
      <c r="CO3265" s="48" t="str">
        <f t="shared" si="138"/>
        <v>110 to 3,394 in a prison population of 22,039</v>
      </c>
    </row>
    <row r="3266" spans="1:334" ht="14.5" hidden="1" x14ac:dyDescent="0.35">
      <c r="A3266" s="322">
        <v>51</v>
      </c>
      <c r="B3266" s="404" t="str">
        <f t="shared" si="145"/>
        <v>Wyoming</v>
      </c>
      <c r="I3266" s="231"/>
      <c r="AC3266" s="48" t="str">
        <f>CONCATENATE(AV$3212,B3266,AE$3212,AE$3213)</f>
        <v xml:space="preserve">Unfortunately, Wyoming does not limit how far back and employer can run a background check. Background screeners must rely on indiscriminate records that fail to distinguish between "reliable evidence-based convictions" and "non-exonerated wrongful convictions"--permitting illicit discrimination. </v>
      </c>
      <c r="BR3266" s="245" t="s">
        <v>885</v>
      </c>
      <c r="BT3266" s="245" t="s">
        <v>885</v>
      </c>
      <c r="BX3266" s="52">
        <f t="shared" si="139"/>
        <v>0</v>
      </c>
      <c r="BZ3266" s="82" t="s">
        <v>3721</v>
      </c>
      <c r="CF3266" t="s">
        <v>1255</v>
      </c>
      <c r="CG3266" s="650">
        <v>427</v>
      </c>
      <c r="CH3266" s="471">
        <v>2479</v>
      </c>
      <c r="CI3266" s="471">
        <v>581075</v>
      </c>
      <c r="CJ3266" s="653">
        <f t="shared" si="140"/>
        <v>4.2662306931119049E-3</v>
      </c>
      <c r="CK3266" s="48">
        <f t="shared" si="146"/>
        <v>12</v>
      </c>
      <c r="CL3266" s="48">
        <f t="shared" si="147"/>
        <v>382</v>
      </c>
      <c r="CM3266" s="48" t="str">
        <f t="shared" si="148"/>
        <v>382</v>
      </c>
      <c r="CN3266" s="48" t="str">
        <f t="shared" si="141"/>
        <v>2,479</v>
      </c>
      <c r="CO3266" s="48" t="str">
        <f t="shared" si="138"/>
        <v>12 to 382 in a prison population of 2,479</v>
      </c>
    </row>
    <row r="3267" spans="1:334" ht="14.5" hidden="1" x14ac:dyDescent="0.35">
      <c r="A3267" s="322">
        <v>52</v>
      </c>
      <c r="B3267" s="408" t="s">
        <v>1025</v>
      </c>
      <c r="I3267" s="231"/>
      <c r="AC3267" s="82"/>
      <c r="AD3267" s="82"/>
      <c r="AE3267" s="82"/>
      <c r="AF3267" s="82"/>
      <c r="AG3267" s="82"/>
      <c r="AH3267" s="82"/>
      <c r="AI3267" s="82"/>
      <c r="AJ3267" s="82"/>
      <c r="AK3267" s="82"/>
      <c r="AL3267" s="82"/>
      <c r="AM3267" s="82"/>
      <c r="AN3267" s="82"/>
      <c r="AO3267" s="82"/>
      <c r="AP3267" s="82"/>
      <c r="AQ3267" s="82"/>
      <c r="AR3267" s="82"/>
      <c r="AS3267" s="82"/>
      <c r="AT3267" s="82"/>
      <c r="AU3267" s="82"/>
      <c r="AV3267" s="82"/>
      <c r="AW3267" s="82"/>
      <c r="BR3267" s="245" t="s">
        <v>885</v>
      </c>
      <c r="BT3267" s="245" t="s">
        <v>885</v>
      </c>
      <c r="BZ3267" s="48" t="s">
        <v>4146</v>
      </c>
      <c r="CG3267" s="651">
        <f>SUM(CG3216:CG3266)</f>
        <v>17862</v>
      </c>
      <c r="CH3267" s="651">
        <f>SUM(CH3216:CH3266)</f>
        <v>1222335</v>
      </c>
      <c r="CI3267" s="651">
        <f>SUM(CI3216:CI3266)</f>
        <v>330629414</v>
      </c>
      <c r="CN3267" s="48" t="str">
        <f t="shared" si="141"/>
        <v>1,222,335</v>
      </c>
    </row>
    <row r="3268" spans="1:334" hidden="1" x14ac:dyDescent="0.3">
      <c r="A3268" s="322">
        <v>53</v>
      </c>
      <c r="AC3268" s="82"/>
      <c r="AD3268" s="82"/>
      <c r="AE3268" s="82"/>
      <c r="AF3268" s="82"/>
      <c r="AG3268" s="82"/>
      <c r="AH3268" s="82"/>
      <c r="AI3268" s="82"/>
      <c r="AJ3268" s="82"/>
      <c r="AK3268" s="82"/>
      <c r="AL3268" s="82"/>
      <c r="AM3268" s="82"/>
      <c r="AN3268" s="82"/>
      <c r="AO3268" s="82"/>
      <c r="AP3268" s="82"/>
      <c r="AQ3268" s="82"/>
      <c r="AR3268" s="82"/>
      <c r="AS3268" s="82"/>
      <c r="AT3268" s="82"/>
      <c r="AU3268" s="82"/>
      <c r="AV3268" s="82"/>
      <c r="AW3268" s="82"/>
    </row>
    <row r="3269" spans="1:334" hidden="1" x14ac:dyDescent="0.3">
      <c r="A3269" s="322">
        <v>54</v>
      </c>
      <c r="EA3269" s="48" t="s">
        <v>3471</v>
      </c>
      <c r="EC3269" s="48" t="s">
        <v>3471</v>
      </c>
      <c r="ED3269" s="48" t="s">
        <v>3474</v>
      </c>
      <c r="EF3269" s="245" t="str">
        <f>IF(EC3269="","",EC3269)</f>
        <v>name</v>
      </c>
      <c r="EH3269" s="245" t="s">
        <v>3475</v>
      </c>
    </row>
    <row r="3270" spans="1:334" hidden="1" x14ac:dyDescent="0.3">
      <c r="A3270" s="322">
        <v>55</v>
      </c>
    </row>
    <row r="3271" spans="1:334" ht="14.5" hidden="1" x14ac:dyDescent="0.35">
      <c r="A3271" s="322">
        <v>56</v>
      </c>
      <c r="CK3271"/>
      <c r="DZ3271" s="474" t="s">
        <v>3472</v>
      </c>
    </row>
    <row r="3272" spans="1:334" hidden="1" x14ac:dyDescent="0.3">
      <c r="A3272" s="322">
        <v>57</v>
      </c>
      <c r="DZ3272" s="245" t="s">
        <v>3472</v>
      </c>
    </row>
    <row r="3273" spans="1:334" hidden="1" x14ac:dyDescent="0.3">
      <c r="A3273" s="322">
        <v>58</v>
      </c>
      <c r="DZ3273" s="245" t="s">
        <v>3473</v>
      </c>
    </row>
    <row r="3274" spans="1:334" hidden="1" x14ac:dyDescent="0.3">
      <c r="A3274" s="322">
        <v>59</v>
      </c>
      <c r="DZ3274" s="245" t="s">
        <v>3451</v>
      </c>
      <c r="EA3274" s="245" t="s">
        <v>885</v>
      </c>
    </row>
    <row r="3275" spans="1:334" hidden="1" x14ac:dyDescent="0.3">
      <c r="A3275" s="322">
        <v>60</v>
      </c>
      <c r="ED3275" s="48" t="b">
        <f>ISBLANK(EG3275)</f>
        <v>0</v>
      </c>
      <c r="EG3275" s="48" t="s">
        <v>3471</v>
      </c>
      <c r="EH3275" s="48" t="s">
        <v>3474</v>
      </c>
    </row>
    <row r="3276" spans="1:334" hidden="1" x14ac:dyDescent="0.3">
      <c r="DZ3276" s="245" t="s">
        <v>3453</v>
      </c>
    </row>
    <row r="3277" spans="1:334" hidden="1" x14ac:dyDescent="0.3">
      <c r="B3277" s="550" t="s">
        <v>3908</v>
      </c>
      <c r="BU3277" s="474" t="s">
        <v>3454</v>
      </c>
      <c r="DZ3277" s="245" t="s">
        <v>3452</v>
      </c>
      <c r="EA3277" s="245" t="str">
        <f>IF($C$265=BS3282,EA3281,IF($C$265=BS3558,EA3557,""))</f>
        <v/>
      </c>
    </row>
    <row r="3278" spans="1:334" hidden="1" x14ac:dyDescent="0.3"/>
    <row r="3279" spans="1:334" hidden="1" x14ac:dyDescent="0.3">
      <c r="B3279" s="410"/>
      <c r="C3279" s="48" t="s">
        <v>460</v>
      </c>
      <c r="D3279" s="48" t="s">
        <v>1026</v>
      </c>
      <c r="AB3279" s="411" t="s">
        <v>1027</v>
      </c>
      <c r="AD3279" s="48" t="s">
        <v>1028</v>
      </c>
      <c r="AI3279" s="48" t="s">
        <v>1029</v>
      </c>
      <c r="AO3279" s="48" t="s">
        <v>1029</v>
      </c>
      <c r="AS3279" s="48" t="s">
        <v>1029</v>
      </c>
      <c r="DZ3279" s="474" t="str">
        <f>IF($C265=$BS3282,DZ3281,IF($C265=$BS3283,DZ3282,IF($C265=$BS3284,DZ3283,IF($C265=$BS3285,DZ3284,IF($C265=$BS3286,DZ3285,IF($C265=$BS3287,DZ3286,IF($C265=$BS3288,DZ3287,IF($C265=$BS3289,DZ3288,IF($C265=$BS3290,DZ3289,IF($C265=$BS3291,DZ3290,IF($C265=$BS3292,DZ3291,IF($C265=$BS3293,DZ3292,IF($C265=$BS3294,DZ3293,IF($C265=$BS3295,DZ3294,IF($C265=$BS3296,DZ3295,IF($C265=$BS3297,DZ3296,IF($C265=$BS3298,DZ3297,IF($C265=$BS3299,DZ3298,IF($C265=$BS3300,DZ3299,IF($C265=$BS3301,DZ3300,IF($C265=$BS3302,DZ3301,IF($C265=$BS3303,DZ3302,IF($C265=$BS3304,DZ3303,IF($C265=$BS3305,DZ3304,IF($C265=$BS3306,DZ3305,IF($C265=$BS3307,DZ3306,IF($C265=$BS3308,DZ3307,IF($C265=$BS3309,DZ3308,IF($C265=$BS3310,DZ3309,IF($C265=$BS3311,DZ3310,IF($C265=$BS3312,DZ3311,IF($C265=$BS3313,DZ3312,IF($C265=$BS3314,DZ3313,IF($C265=$BS3315,DZ3314,IF($C265=$BS3316,DZ3315,IF($C265=$BS3317,DZ3316,IF($C265=$BS3318,DZ3317,IF($C265=$BS3319,DZ3318,IF($C265=$BS3320,DZ3319,IF($C265=$BS3321,DZ3320,IF($C265=$BS3322,DZ3321,IF($C265=$BS3323,DZ3322,IF($C265=$BS3324,DZ3323,IF($C265=$BS3325,DZ3324,IF($C265=$BS3326,DZ3325,IF($C265=$BS3327,DZ3326,IF($C265=$BS3328,DZ3327,IF($C265=$BS3329,DZ3328,IF($C265=$BS3330,DZ3329,IF($C265=$BS3331,DZ3330,IF($C265=$BS3332,DZ3331,IF($C265=$BS3333,DZ3332,IF($C265=$BS3334,DZ3333,IF($C265=$BS3335,DZ3334,IF($C265=$BS3336,DZ3335,IF($C265=$BS3337,DZ3336,IF($C265=$BS3338,DZ3337,IF($C265=$BS3339,DZ3338,IF($C265=$BS3290,DZ3289,IF($C265=$BS3291,DZ3290,IF($C265=$BS3282,DZ3281,IF($C265=$BS3283,DZ3282,IF($C265=$BS3284,DZ3283,IF($C265=$BS3285,DZ3284,""))))))))))))))))))))))))))))))))))))))))))))))))))))))))))))))))</f>
        <v/>
      </c>
    </row>
    <row r="3280" spans="1:334" ht="15" hidden="1" x14ac:dyDescent="0.3">
      <c r="A3280" s="412" t="s">
        <v>1030</v>
      </c>
      <c r="B3280" s="413" t="s">
        <v>1031</v>
      </c>
      <c r="C3280" s="412" t="s">
        <v>1032</v>
      </c>
      <c r="D3280" s="412" t="s">
        <v>1033</v>
      </c>
      <c r="E3280" s="52" t="s">
        <v>1034</v>
      </c>
      <c r="F3280" s="412"/>
      <c r="G3280" s="4" t="s">
        <v>1035</v>
      </c>
      <c r="AB3280" s="412" t="s">
        <v>726</v>
      </c>
      <c r="AC3280" s="412"/>
      <c r="AD3280" s="412" t="s">
        <v>1036</v>
      </c>
      <c r="AF3280" s="414" t="s">
        <v>1037</v>
      </c>
      <c r="AG3280" s="52" t="s">
        <v>1038</v>
      </c>
      <c r="AK3280" s="52" t="s">
        <v>1039</v>
      </c>
      <c r="AO3280" s="52" t="s">
        <v>1040</v>
      </c>
      <c r="AS3280" s="52" t="s">
        <v>1041</v>
      </c>
      <c r="BG3280" s="415">
        <f>MAX(BG3281:BG3331)</f>
        <v>8200</v>
      </c>
      <c r="BH3280" s="402">
        <f>MAX(BH3281:BH3331)</f>
        <v>18413</v>
      </c>
      <c r="BI3280" s="302">
        <f>MAX(BI3281:BI3331)</f>
        <v>1534.4166666666667</v>
      </c>
      <c r="BJ3280" s="402">
        <f>MAX(BJ3281:BJ3331)</f>
        <v>354.09615384615387</v>
      </c>
      <c r="BK3280" s="416">
        <f>MAX(BK3281:BK3331)</f>
        <v>0.69187990831548496</v>
      </c>
      <c r="BN3280" s="48">
        <v>0</v>
      </c>
      <c r="BT3280" s="52"/>
      <c r="BU3280" s="52" t="s">
        <v>1414</v>
      </c>
      <c r="BV3280" s="52"/>
      <c r="BW3280" s="52" t="s">
        <v>1415</v>
      </c>
      <c r="BX3280" s="52"/>
      <c r="BY3280" s="52"/>
      <c r="BZ3280" s="455" t="s">
        <v>1042</v>
      </c>
      <c r="CA3280" s="455" t="s">
        <v>1050</v>
      </c>
      <c r="CB3280" s="455" t="s">
        <v>1052</v>
      </c>
      <c r="CC3280" s="455" t="s">
        <v>1054</v>
      </c>
      <c r="CD3280" s="455" t="s">
        <v>1056</v>
      </c>
      <c r="CE3280" s="455" t="s">
        <v>1061</v>
      </c>
      <c r="CF3280" s="455" t="s">
        <v>1067</v>
      </c>
      <c r="CG3280" s="455" t="s">
        <v>1074</v>
      </c>
      <c r="CH3280" s="456" t="s">
        <v>1076</v>
      </c>
      <c r="CI3280" s="455" t="s">
        <v>1082</v>
      </c>
      <c r="CJ3280" s="455" t="s">
        <v>1090</v>
      </c>
      <c r="CK3280" s="455" t="s">
        <v>1092</v>
      </c>
      <c r="CL3280" s="455" t="s">
        <v>1097</v>
      </c>
      <c r="CM3280" s="455" t="s">
        <v>1099</v>
      </c>
      <c r="CN3280" s="455" t="s">
        <v>1104</v>
      </c>
      <c r="CO3280" s="455" t="s">
        <v>1108</v>
      </c>
      <c r="CP3280" s="455" t="s">
        <v>1114</v>
      </c>
      <c r="CQ3280" s="455" t="s">
        <v>1118</v>
      </c>
      <c r="CR3280" s="455" t="s">
        <v>1120</v>
      </c>
      <c r="CS3280" s="455" t="s">
        <v>1125</v>
      </c>
      <c r="CT3280" s="455" t="s">
        <v>1130</v>
      </c>
      <c r="CU3280" s="455" t="s">
        <v>1139</v>
      </c>
      <c r="CV3280" s="455" t="s">
        <v>1143</v>
      </c>
      <c r="CW3280" s="455" t="s">
        <v>1148</v>
      </c>
      <c r="CX3280" s="455" t="s">
        <v>1153</v>
      </c>
      <c r="CY3280" s="455" t="s">
        <v>1159</v>
      </c>
      <c r="CZ3280" s="455" t="s">
        <v>1165</v>
      </c>
      <c r="DA3280" s="455" t="s">
        <v>1169</v>
      </c>
      <c r="DB3280" s="455" t="s">
        <v>1171</v>
      </c>
      <c r="DC3280" s="455" t="s">
        <v>1177</v>
      </c>
      <c r="DD3280" s="455" t="s">
        <v>1182</v>
      </c>
      <c r="DE3280" s="455" t="s">
        <v>1184</v>
      </c>
      <c r="DF3280" s="455" t="s">
        <v>1187</v>
      </c>
      <c r="DG3280" s="455" t="s">
        <v>1192</v>
      </c>
      <c r="DH3280" s="455" t="s">
        <v>1194</v>
      </c>
      <c r="DI3280" s="455" t="s">
        <v>1199</v>
      </c>
      <c r="DJ3280" s="455" t="s">
        <v>1204</v>
      </c>
      <c r="DK3280" s="455" t="s">
        <v>1206</v>
      </c>
      <c r="DL3280" s="455" t="s">
        <v>1208</v>
      </c>
      <c r="DM3280" s="455" t="s">
        <v>1210</v>
      </c>
      <c r="DN3280" s="455" t="s">
        <v>1212</v>
      </c>
      <c r="DO3280" s="455" t="s">
        <v>1214</v>
      </c>
      <c r="DP3280" s="455" t="s">
        <v>1219</v>
      </c>
      <c r="DQ3280" s="455" t="s">
        <v>1225</v>
      </c>
      <c r="DR3280" s="455" t="s">
        <v>1230</v>
      </c>
      <c r="DS3280" s="455" t="s">
        <v>1236</v>
      </c>
      <c r="DT3280" s="455" t="s">
        <v>1241</v>
      </c>
      <c r="DU3280" s="455" t="s">
        <v>1245</v>
      </c>
      <c r="DV3280" s="455" t="s">
        <v>1249</v>
      </c>
      <c r="DW3280" s="455" t="s">
        <v>1254</v>
      </c>
      <c r="DX3280" s="455" t="s">
        <v>1256</v>
      </c>
      <c r="DY3280" s="455"/>
      <c r="DZ3280" s="455"/>
      <c r="EA3280" s="52"/>
      <c r="EB3280" s="455" t="s">
        <v>1042</v>
      </c>
      <c r="ED3280" s="455" t="s">
        <v>1050</v>
      </c>
      <c r="EF3280" s="455" t="s">
        <v>1052</v>
      </c>
      <c r="EH3280" s="455" t="s">
        <v>1054</v>
      </c>
      <c r="EJ3280" s="455" t="s">
        <v>1056</v>
      </c>
      <c r="EL3280" s="455" t="s">
        <v>1061</v>
      </c>
      <c r="EN3280" s="455" t="s">
        <v>1067</v>
      </c>
      <c r="EP3280" s="455" t="s">
        <v>1074</v>
      </c>
      <c r="ER3280" s="456" t="s">
        <v>1076</v>
      </c>
      <c r="ET3280" s="455" t="s">
        <v>1082</v>
      </c>
      <c r="EV3280" s="455" t="s">
        <v>1090</v>
      </c>
      <c r="EX3280" s="455" t="s">
        <v>1092</v>
      </c>
      <c r="EZ3280" s="455" t="s">
        <v>1097</v>
      </c>
      <c r="FB3280" s="455" t="s">
        <v>1099</v>
      </c>
      <c r="FD3280" s="455" t="s">
        <v>1104</v>
      </c>
      <c r="FF3280" s="455" t="s">
        <v>1108</v>
      </c>
      <c r="FH3280" s="455" t="s">
        <v>1114</v>
      </c>
      <c r="FJ3280" s="455" t="s">
        <v>1118</v>
      </c>
      <c r="FL3280" s="455" t="s">
        <v>1120</v>
      </c>
      <c r="FN3280" s="455" t="s">
        <v>1125</v>
      </c>
      <c r="FP3280" s="455" t="s">
        <v>1130</v>
      </c>
      <c r="FR3280" s="455" t="s">
        <v>1139</v>
      </c>
      <c r="FT3280" s="455" t="s">
        <v>1143</v>
      </c>
      <c r="FV3280" s="455" t="s">
        <v>1148</v>
      </c>
      <c r="FX3280" s="455" t="s">
        <v>1153</v>
      </c>
      <c r="FZ3280" s="455" t="s">
        <v>1159</v>
      </c>
      <c r="GB3280" s="455" t="s">
        <v>1165</v>
      </c>
      <c r="GD3280" s="455" t="s">
        <v>1169</v>
      </c>
      <c r="GF3280" s="455" t="s">
        <v>1171</v>
      </c>
      <c r="GH3280" s="455" t="s">
        <v>1177</v>
      </c>
      <c r="GI3280" s="455"/>
      <c r="GJ3280" s="455" t="s">
        <v>1182</v>
      </c>
      <c r="GK3280" s="455"/>
      <c r="GL3280" s="455" t="s">
        <v>1184</v>
      </c>
      <c r="GM3280" s="455"/>
      <c r="GN3280" s="455" t="s">
        <v>1187</v>
      </c>
      <c r="GO3280" s="455"/>
      <c r="GP3280" s="455" t="s">
        <v>1192</v>
      </c>
      <c r="GQ3280" s="455"/>
      <c r="GR3280" s="455" t="s">
        <v>1194</v>
      </c>
      <c r="GS3280" s="455"/>
      <c r="GT3280" s="455" t="s">
        <v>1199</v>
      </c>
      <c r="GU3280" s="455"/>
      <c r="GV3280" s="455" t="s">
        <v>1204</v>
      </c>
      <c r="GW3280" s="455"/>
      <c r="GX3280" s="455" t="s">
        <v>1206</v>
      </c>
      <c r="GY3280" s="455"/>
      <c r="GZ3280" s="455" t="s">
        <v>1208</v>
      </c>
      <c r="HA3280" s="455"/>
      <c r="HB3280" s="455" t="s">
        <v>1210</v>
      </c>
      <c r="HC3280" s="455"/>
      <c r="HD3280" s="455" t="s">
        <v>1212</v>
      </c>
      <c r="HE3280" s="455"/>
      <c r="HF3280" s="455" t="s">
        <v>1214</v>
      </c>
      <c r="HG3280" s="455"/>
      <c r="HH3280" s="455" t="s">
        <v>1219</v>
      </c>
      <c r="HI3280" s="455"/>
      <c r="HJ3280" s="455" t="s">
        <v>1225</v>
      </c>
      <c r="HK3280" s="455"/>
      <c r="HL3280" s="455" t="s">
        <v>1230</v>
      </c>
      <c r="HM3280" s="455"/>
      <c r="HN3280" s="455" t="s">
        <v>1236</v>
      </c>
      <c r="HO3280" s="455"/>
      <c r="HP3280" s="455" t="s">
        <v>1241</v>
      </c>
      <c r="HQ3280" s="455"/>
      <c r="HR3280" s="455" t="s">
        <v>1245</v>
      </c>
      <c r="HS3280" s="455"/>
      <c r="HT3280" s="455" t="s">
        <v>1249</v>
      </c>
      <c r="HU3280" s="455"/>
      <c r="HV3280" s="455" t="s">
        <v>1254</v>
      </c>
      <c r="HW3280" s="455"/>
      <c r="HX3280" s="455" t="s">
        <v>1256</v>
      </c>
      <c r="IA3280" s="466" t="s">
        <v>3285</v>
      </c>
      <c r="IB3280" s="467"/>
      <c r="IC3280" s="468" t="s">
        <v>1052</v>
      </c>
      <c r="ID3280" s="467"/>
      <c r="IE3280" s="468" t="s">
        <v>1054</v>
      </c>
      <c r="IF3280" s="467"/>
      <c r="IG3280" s="468" t="s">
        <v>1056</v>
      </c>
      <c r="IH3280" s="467"/>
      <c r="II3280" s="468" t="s">
        <v>1061</v>
      </c>
      <c r="IJ3280" s="467"/>
      <c r="IK3280" s="468" t="s">
        <v>1067</v>
      </c>
      <c r="IL3280" s="467"/>
      <c r="IM3280" s="468" t="s">
        <v>1074</v>
      </c>
      <c r="IN3280" s="467"/>
      <c r="IO3280" s="469" t="s">
        <v>1076</v>
      </c>
      <c r="IP3280" s="469"/>
      <c r="IQ3280" s="468" t="s">
        <v>1082</v>
      </c>
      <c r="IR3280" s="468"/>
      <c r="IS3280" s="468" t="s">
        <v>1090</v>
      </c>
      <c r="IT3280" s="468"/>
      <c r="IU3280" s="468" t="s">
        <v>1092</v>
      </c>
      <c r="IV3280" s="468"/>
      <c r="IW3280" s="468" t="s">
        <v>1097</v>
      </c>
      <c r="IX3280" s="468"/>
      <c r="IY3280" s="468" t="s">
        <v>1099</v>
      </c>
      <c r="IZ3280" s="468"/>
      <c r="JA3280" s="468" t="s">
        <v>1104</v>
      </c>
      <c r="JB3280" s="468"/>
      <c r="JC3280" s="468" t="s">
        <v>1108</v>
      </c>
      <c r="JD3280" s="468"/>
      <c r="JE3280" s="468" t="s">
        <v>1114</v>
      </c>
      <c r="JF3280" s="468"/>
      <c r="JG3280" s="468" t="s">
        <v>1118</v>
      </c>
      <c r="JH3280" s="468"/>
      <c r="JI3280" s="468" t="s">
        <v>1120</v>
      </c>
      <c r="JJ3280" s="468"/>
      <c r="JK3280" s="468" t="s">
        <v>1125</v>
      </c>
      <c r="JL3280" s="468"/>
      <c r="JM3280" s="468" t="s">
        <v>1130</v>
      </c>
      <c r="JN3280" s="468"/>
      <c r="JO3280" s="468" t="s">
        <v>1139</v>
      </c>
      <c r="JP3280" s="468"/>
      <c r="JQ3280" s="468" t="s">
        <v>1143</v>
      </c>
      <c r="JR3280" s="468"/>
      <c r="JS3280" s="468" t="s">
        <v>1148</v>
      </c>
      <c r="JT3280" s="468"/>
      <c r="JU3280" s="468" t="s">
        <v>1153</v>
      </c>
      <c r="JV3280" s="468"/>
      <c r="JW3280" s="468" t="s">
        <v>1159</v>
      </c>
      <c r="JX3280" s="468"/>
      <c r="JY3280" s="468" t="s">
        <v>1165</v>
      </c>
      <c r="JZ3280" s="468"/>
      <c r="KA3280" s="468" t="s">
        <v>1169</v>
      </c>
      <c r="KB3280" s="468"/>
      <c r="KC3280" s="468" t="s">
        <v>1171</v>
      </c>
      <c r="KD3280" s="468"/>
      <c r="KE3280" s="468" t="s">
        <v>1177</v>
      </c>
      <c r="KF3280" s="468"/>
      <c r="KG3280" s="468" t="s">
        <v>1182</v>
      </c>
      <c r="KH3280" s="468"/>
      <c r="KI3280" s="468" t="s">
        <v>1184</v>
      </c>
      <c r="KJ3280" s="468"/>
      <c r="KK3280" s="468" t="s">
        <v>1187</v>
      </c>
      <c r="KL3280" s="468"/>
      <c r="KM3280" s="468" t="s">
        <v>1192</v>
      </c>
      <c r="KN3280" s="468"/>
      <c r="KO3280" s="468" t="s">
        <v>1194</v>
      </c>
      <c r="KP3280" s="468"/>
      <c r="KQ3280" s="468" t="s">
        <v>1199</v>
      </c>
      <c r="KR3280" s="468"/>
      <c r="KS3280" s="468" t="s">
        <v>1204</v>
      </c>
      <c r="KT3280" s="468"/>
      <c r="KU3280" s="468" t="s">
        <v>1206</v>
      </c>
      <c r="KV3280" s="468"/>
      <c r="KW3280" s="468" t="s">
        <v>1208</v>
      </c>
      <c r="KX3280" s="468"/>
      <c r="KY3280" s="468" t="s">
        <v>1210</v>
      </c>
      <c r="KZ3280" s="468"/>
      <c r="LA3280" s="468" t="s">
        <v>1212</v>
      </c>
      <c r="LB3280" s="468"/>
      <c r="LC3280" s="468" t="s">
        <v>1214</v>
      </c>
      <c r="LD3280" s="468"/>
      <c r="LE3280" s="468" t="s">
        <v>1219</v>
      </c>
      <c r="LF3280" s="468"/>
      <c r="LG3280" s="468" t="s">
        <v>1225</v>
      </c>
      <c r="LH3280" s="468"/>
      <c r="LI3280" s="468" t="s">
        <v>1230</v>
      </c>
      <c r="LJ3280" s="468"/>
      <c r="LK3280" s="468" t="s">
        <v>1236</v>
      </c>
      <c r="LL3280" s="468"/>
      <c r="LM3280" s="468" t="s">
        <v>1241</v>
      </c>
      <c r="LN3280" s="468"/>
      <c r="LO3280" s="468" t="s">
        <v>1245</v>
      </c>
      <c r="LP3280" s="468"/>
      <c r="LQ3280" s="468" t="s">
        <v>1249</v>
      </c>
      <c r="LR3280" s="468"/>
      <c r="LS3280" s="468" t="s">
        <v>1254</v>
      </c>
      <c r="LT3280" s="468"/>
      <c r="LU3280" s="468" t="s">
        <v>1256</v>
      </c>
      <c r="LV3280" s="467"/>
    </row>
    <row r="3281" spans="1:143" ht="15.5" hidden="1" x14ac:dyDescent="0.35">
      <c r="A3281" s="417" t="s">
        <v>1042</v>
      </c>
      <c r="B3281" s="418" t="s">
        <v>1043</v>
      </c>
      <c r="C3281" s="419">
        <v>50000</v>
      </c>
      <c r="D3281" s="427" t="s">
        <v>885</v>
      </c>
      <c r="E3281" s="48">
        <v>50000</v>
      </c>
      <c r="G3281" s="420"/>
      <c r="H3281" s="420"/>
      <c r="I3281" s="420"/>
      <c r="J3281" s="420"/>
      <c r="K3281" s="420"/>
      <c r="L3281" s="420"/>
      <c r="M3281" s="420"/>
      <c r="N3281" s="420"/>
      <c r="O3281" s="420"/>
      <c r="P3281" s="420"/>
      <c r="Q3281" s="420"/>
      <c r="R3281" s="420"/>
      <c r="S3281" s="420"/>
      <c r="T3281" s="420"/>
      <c r="U3281" s="420"/>
      <c r="V3281" s="420"/>
      <c r="W3281" s="420"/>
      <c r="X3281" s="420"/>
      <c r="Y3281" s="420"/>
      <c r="Z3281" s="420"/>
      <c r="AB3281" s="48" t="s">
        <v>1044</v>
      </c>
      <c r="AC3281" s="245" t="s">
        <v>885</v>
      </c>
      <c r="AD3281" s="48" t="s">
        <v>1045</v>
      </c>
      <c r="AF3281" s="421">
        <v>2</v>
      </c>
      <c r="AG3281" s="48">
        <v>2</v>
      </c>
      <c r="AH3281" s="48" t="s">
        <v>1046</v>
      </c>
      <c r="AI3281" s="48" t="str">
        <f>CONCATENATE(AG3281,AH3281)</f>
        <v>2 years</v>
      </c>
      <c r="AK3281" s="48" t="s">
        <v>1047</v>
      </c>
      <c r="AL3281" s="422"/>
      <c r="AO3281" s="48" t="s">
        <v>1048</v>
      </c>
      <c r="AR3281" s="245" t="s">
        <v>885</v>
      </c>
      <c r="AS3281" s="48" t="s">
        <v>1049</v>
      </c>
      <c r="AW3281" s="245" t="s">
        <v>885</v>
      </c>
      <c r="AX3281" s="48">
        <v>1</v>
      </c>
      <c r="BB3281" s="402">
        <f t="shared" ref="BB3281:BB3312" ca="1" si="151">MIN(((C3281*$AE$321)+($AE$330*G3281)),D3281)</f>
        <v>600000</v>
      </c>
      <c r="BF3281" s="423">
        <v>23606</v>
      </c>
      <c r="BG3281" s="415">
        <f t="shared" ref="BG3281:BG3332" si="152">IF($B$265=$B3281,$B$1165,0)</f>
        <v>0</v>
      </c>
      <c r="BH3281" s="415">
        <f>IF(BG3281=0,0,BF3281-BG3281)</f>
        <v>0</v>
      </c>
      <c r="BI3281" s="365">
        <f>BH3281/12</f>
        <v>0</v>
      </c>
      <c r="BJ3281" s="157">
        <f t="shared" ref="BJ3281:BJ3332" si="153">BH3281/52</f>
        <v>0</v>
      </c>
      <c r="BK3281" s="416">
        <f>IF(BH3281=0,0,BH3281/BF3281)</f>
        <v>0</v>
      </c>
      <c r="BN3281" s="1107">
        <f>IF(OR($AC$1127=0,$C$1153="",C$1129=AG$1129),0,$C$1153*$C$1129)</f>
        <v>600000</v>
      </c>
      <c r="BO3281" s="927"/>
      <c r="BP3281" s="927"/>
      <c r="BQ3281" s="927"/>
      <c r="BS3281" s="52" t="s">
        <v>1413</v>
      </c>
      <c r="BU3281" s="474" t="s">
        <v>3454</v>
      </c>
      <c r="BZ3281" s="48" t="s">
        <v>1431</v>
      </c>
      <c r="CA3281" t="s">
        <v>1498</v>
      </c>
      <c r="CB3281" s="48" t="s">
        <v>1416</v>
      </c>
      <c r="CC3281" t="s">
        <v>1527</v>
      </c>
      <c r="CD3281" t="s">
        <v>1584</v>
      </c>
      <c r="CE3281" t="s">
        <v>1640</v>
      </c>
      <c r="CF3281" t="s">
        <v>1695</v>
      </c>
      <c r="CG3281" t="s">
        <v>148</v>
      </c>
      <c r="CH3281" s="48" t="s">
        <v>1077</v>
      </c>
      <c r="CI3281" t="s">
        <v>1705</v>
      </c>
      <c r="CJ3281" t="s">
        <v>1754</v>
      </c>
      <c r="CK3281" t="s">
        <v>1862</v>
      </c>
      <c r="CL3281" t="s">
        <v>1867</v>
      </c>
      <c r="CM3281" t="s">
        <v>1640</v>
      </c>
      <c r="CN3281" t="s">
        <v>1640</v>
      </c>
      <c r="CO3281" t="s">
        <v>1995</v>
      </c>
      <c r="CP3281" t="s">
        <v>1954</v>
      </c>
      <c r="CQ3281" t="s">
        <v>1995</v>
      </c>
      <c r="CR3281" t="s">
        <v>2162</v>
      </c>
      <c r="CS3281" t="s">
        <v>2226</v>
      </c>
      <c r="CT3281" t="s">
        <v>2244</v>
      </c>
      <c r="CU3281" t="s">
        <v>2254</v>
      </c>
      <c r="CV3281" t="s">
        <v>2316</v>
      </c>
      <c r="CW3281" t="s">
        <v>1640</v>
      </c>
      <c r="CX3281" t="s">
        <v>1995</v>
      </c>
      <c r="CY3281" t="s">
        <v>2455</v>
      </c>
      <c r="CZ3281" t="s">
        <v>1640</v>
      </c>
      <c r="DA3281" t="s">
        <v>2532</v>
      </c>
      <c r="DB3281" t="s">
        <v>2543</v>
      </c>
      <c r="DC3281" t="s">
        <v>2550</v>
      </c>
      <c r="DD3281" t="s">
        <v>2561</v>
      </c>
      <c r="DE3281" t="s">
        <v>2585</v>
      </c>
      <c r="DF3281" t="s">
        <v>2616</v>
      </c>
      <c r="DG3281" t="s">
        <v>1640</v>
      </c>
      <c r="DH3281" t="s">
        <v>1640</v>
      </c>
      <c r="DI3281" t="s">
        <v>1995</v>
      </c>
      <c r="DJ3281" t="s">
        <v>1706</v>
      </c>
      <c r="DK3281" t="s">
        <v>1640</v>
      </c>
      <c r="DL3281" t="s">
        <v>2246</v>
      </c>
      <c r="DM3281" t="s">
        <v>2839</v>
      </c>
      <c r="DN3281" t="s">
        <v>2866</v>
      </c>
      <c r="DO3281" t="s">
        <v>2040</v>
      </c>
      <c r="DP3281" t="s">
        <v>2040</v>
      </c>
      <c r="DQ3281" t="s">
        <v>2748</v>
      </c>
      <c r="DR3281" t="s">
        <v>3107</v>
      </c>
      <c r="DS3281" t="s">
        <v>3115</v>
      </c>
      <c r="DT3281" t="s">
        <v>1640</v>
      </c>
      <c r="DU3281" t="s">
        <v>1433</v>
      </c>
      <c r="DV3281" t="s">
        <v>1640</v>
      </c>
      <c r="DW3281" t="s">
        <v>2585</v>
      </c>
      <c r="DX3281" s="48" t="s">
        <v>1028</v>
      </c>
      <c r="DZ3281" s="470" t="str">
        <f t="shared" ref="DZ3281:DZ3312" si="154">IF($B$265=$B$3281,EB3281,IF($B$265=$B$3282,ED3281,IF($B$265=$B$3283,EF3281,IF($B$265=$B$3284,EH3281,IF($B$265=$B$3285,EJ3281,IF($B$265=$B$3286,EL3281,IF($B$265=$B$3287,EN3281,IF($B$265=$B$3288,EP3281,IF($B$265=$B$3289,ER3281,IF($B$265=$B$3290,ET3281,IF($B$265=$B$3291,EV3281,IF($B$265=$B$3292,EX3281,IF($B$265=$B$3293,EZ3281,IF($B$265=$B$3294,FB3281,IF($B$265=$B$3295,FD3281,IF($B$265=$B$3296,BU3281,IF($B$265=$B$3297,FF3281,IF($B$265=$B$3298,FH3281,IF($B$265=$B$3299,FJ3281,IF($B$265=$B$3300,FL3281,IF($B$265=$B$3301,FN3281,IF($B$265=$B$3302,FP3281,IF(BI$265=$B$3303,FR3281,IF($B$265=$B$3304,FT3281,IF($B$265=$B$3305,FV3281,IF($B$265=$B$3306,FX3281,IF($B$265=$B$3307,FZ3281,IF($B$265=$B$3308,GB3281,IF($B$265=$B$3309,GD3281,IF($B$265=$B$3310,GF3281,IF($B$265=$B$3311,GH3281,IF($B$265=$B$3312,GJ3281,IF($B$265=$B$3313,GL3281,IF($B$265=$B$3314,GN3281,IF($B$265=$B$3315,GP3281,IF($B$265=$B$3316,GR3281,IF($B$265=$B$3317,GT3281,IF($B$265=$B$3318,GV3281,IF($B$265=$B$3319,GX3281,IF($B$265=$B$3320,GZ3281,IF($B$265=$B$3321,HB3281,IF($B$265=$B$3322,HD3281,IF($B$265=$B$3323,HF3281,IF($B$265=$B$3324,HH3281,IF($B$265=$B$3325,HJ3281,IF($B$265=$B$3326,HL3281,IF($B$265=$B$3327,HN3281,IF($B$265=$B$3328,HP3281,IF($B$265=$B$3329,HR3281,IF($B$265=$B$3330,HT3281,IF($B$265=$B$3331,HV3281,IF($B$265=$B$3332,HX3281,""))))))))))))))))))))))))))))))))))))))))))))))))))))</f>
        <v/>
      </c>
      <c r="EA3281" s="470" t="str">
        <f t="shared" ref="EA3281:EA3312" si="155">IF($B$265=$B$3281,EC3281,IF($B$265=$B$3282,EE3281,IF($B$265=$B$3283,EG3281,IF($B$265=$B$3284,EI3281,IF($B$265=$B$3285,EK3281,IF($B$265=$B$3286,EM3281,IF($B$265=$B$3287,EO3281,IF($B$265=$B$3288,EQ3281,IF($B$265=$B$3289,ES3281,IF($B$265=$B$3290,EU3281,IF($B$265=$B$3291,EW3281,IF($B$265=$B$3292,EY3281,IF($B$265=$B$3293,FA3281,IF($B$265=$B$3294,FC3281,IF($B$265=$B$3295,FE3281,IF($B$265=$B$3296,BK3281,IF($B$265=$B$3297,FG3281,IF($B$265=$B$3298,FI3281,IF($B$265=$B$3299,FK3281,IF($B$265=$B$3300,FM3281,IF($B$265=$B$3301,FO3281,IF($B$265=$B$3302,FQ3281,IF(BJ$265=$B$3303,FS3281,IF($B$265=$B$3304,FU3281,IF($B$265=$B$3305,FW3281,IF($B$265=$B$3306,FY3281,IF($B$265=$B$3307,GA3281,IF($B$265=$B$3308,GC3281,IF($B$265=$B$3309,GE3281,IF($B$265=$B$3310,GG3281,IF($B$265=$B$3311,GI3281,IF($B$265=$B$3312,GK3281,IF($B$265=$B$3313,GM3281,IF($B$265=$B$3314,GO3281,IF($B$265=$B$3315,GQ3281,IF($B$265=$B$3316,GS3281,IF($B$265=$B$3317,GU3281,IF($B$265=$B$3318,GW3281,IF($B$265=$B$3319,GY3281,IF($B$265=$B$3320,HA3281,IF($B$265=$B$3321,HC3281,IF($B$265=$B$3322,HE3281,IF($B$265=$B$3323,HG3281,IF($B$265=$B$3324,HI3281,IF($B$265=$B$3325,HK3281,IF($B$265=$B$3326,HM3281,IF($B$265=$B$3327,HO3281,IF($B$265=$B$3328,HQ3281,IF($B$265=$B$3329,HS3281,IF($B$265=$B$3330,HU3281,IF($B$265=$B$3331,HW3281,IF($B$265=$B$3332,HY3281,""))))))))))))))))))))))))))))))))))))))))))))))))))))</f>
        <v/>
      </c>
      <c r="EB3281" t="s">
        <v>3284</v>
      </c>
      <c r="EC3281" s="471" t="s">
        <v>3283</v>
      </c>
      <c r="EF3281" t="s">
        <v>3328</v>
      </c>
      <c r="EG3281" s="473" t="s">
        <v>3288</v>
      </c>
      <c r="EH3281" t="s">
        <v>3344</v>
      </c>
      <c r="EI3281" s="473" t="s">
        <v>3294</v>
      </c>
      <c r="EJ3281" t="s">
        <v>3371</v>
      </c>
      <c r="EK3281" s="473" t="s">
        <v>3294</v>
      </c>
      <c r="EL3281" t="s">
        <v>3429</v>
      </c>
      <c r="EM3281" s="473" t="s">
        <v>3288</v>
      </c>
    </row>
    <row r="3282" spans="1:143" ht="15.5" hidden="1" x14ac:dyDescent="0.35">
      <c r="A3282" s="417" t="s">
        <v>1050</v>
      </c>
      <c r="B3282" s="418" t="s">
        <v>1051</v>
      </c>
      <c r="C3282" s="427">
        <v>0</v>
      </c>
      <c r="D3282" s="427" t="s">
        <v>885</v>
      </c>
      <c r="E3282" s="427" t="s">
        <v>885</v>
      </c>
      <c r="G3282" s="420"/>
      <c r="H3282" s="420"/>
      <c r="I3282" s="420"/>
      <c r="J3282" s="420"/>
      <c r="K3282" s="420"/>
      <c r="L3282" s="420"/>
      <c r="M3282" s="420"/>
      <c r="N3282" s="420"/>
      <c r="O3282" s="420"/>
      <c r="P3282" s="420"/>
      <c r="Q3282" s="420"/>
      <c r="R3282" s="420"/>
      <c r="S3282" s="420"/>
      <c r="T3282" s="420"/>
      <c r="U3282" s="420"/>
      <c r="V3282" s="420"/>
      <c r="W3282" s="420"/>
      <c r="X3282" s="420"/>
      <c r="Y3282" s="420"/>
      <c r="Z3282" s="420"/>
      <c r="AA3282" s="411"/>
      <c r="AB3282" s="411" t="s">
        <v>1027</v>
      </c>
      <c r="AC3282" s="245" t="s">
        <v>885</v>
      </c>
      <c r="AD3282" s="245" t="s">
        <v>885</v>
      </c>
      <c r="AE3282" s="245" t="s">
        <v>885</v>
      </c>
      <c r="AF3282" s="245" t="s">
        <v>885</v>
      </c>
      <c r="AG3282" s="245" t="s">
        <v>885</v>
      </c>
      <c r="AH3282" s="245" t="s">
        <v>885</v>
      </c>
      <c r="AI3282" s="245" t="s">
        <v>885</v>
      </c>
      <c r="AJ3282" s="245" t="s">
        <v>885</v>
      </c>
      <c r="AK3282" s="245" t="s">
        <v>885</v>
      </c>
      <c r="AL3282" s="245" t="s">
        <v>885</v>
      </c>
      <c r="AM3282" s="245" t="s">
        <v>885</v>
      </c>
      <c r="AN3282" s="245" t="s">
        <v>885</v>
      </c>
      <c r="AO3282" s="245" t="s">
        <v>885</v>
      </c>
      <c r="AP3282" s="245" t="s">
        <v>885</v>
      </c>
      <c r="AQ3282" s="245" t="s">
        <v>885</v>
      </c>
      <c r="AR3282" s="245" t="s">
        <v>885</v>
      </c>
      <c r="AS3282" s="245" t="s">
        <v>885</v>
      </c>
      <c r="AT3282" s="245" t="s">
        <v>885</v>
      </c>
      <c r="AU3282" s="245" t="s">
        <v>885</v>
      </c>
      <c r="AV3282" s="245" t="s">
        <v>885</v>
      </c>
      <c r="AW3282" s="245" t="s">
        <v>885</v>
      </c>
      <c r="AX3282" s="48">
        <v>2</v>
      </c>
      <c r="BB3282" s="402">
        <f t="shared" ca="1" si="151"/>
        <v>0</v>
      </c>
      <c r="BF3282" s="423">
        <v>33062</v>
      </c>
      <c r="BG3282" s="415">
        <f t="shared" si="152"/>
        <v>0</v>
      </c>
      <c r="BH3282" s="415">
        <f t="shared" ref="BH3282:BH3331" si="156">IF(BG3282=0,0,BF3282-BG3282)</f>
        <v>0</v>
      </c>
      <c r="BI3282" s="365">
        <f t="shared" ref="BI3282:BI3332" si="157">BH3282/12</f>
        <v>0</v>
      </c>
      <c r="BJ3282" s="157">
        <f t="shared" si="153"/>
        <v>0</v>
      </c>
      <c r="BK3282" s="416">
        <f t="shared" ref="BK3282:BK3332" si="158">IF(BH3282=0,0,BH3282/BF3282)</f>
        <v>0</v>
      </c>
      <c r="BN3282" s="1107"/>
      <c r="BO3282" s="927"/>
      <c r="BP3282" s="927"/>
      <c r="BQ3282" s="927"/>
      <c r="BS3282" s="464" t="str">
        <f>IF($B$265=$B$3281,BZ3281,IF($B$265=$B$3282,CA3281,IF($B$265=$B$3283,CB3281,IF($B$265=$B$3284,CC3281,IF($B$265=$B$3285,CD3281,IF($B$265=$B$3286,CE3281,IF($B$265=$B$3287,CF3281,IF($B$265=$B$3288,CG3281,IF($B$265=$B$3289,CH3281,IF($B$265=$B$3290,CI3281,IF($B$265=$B$3291,CJ3281,IF($B$265=$B$3292,CK3281,IF($B$265=$B$3293,CL3281,IF($B$265=$B$3294,CM3281,IF($B$265=$B$3295,CN3281,IF($B$265=$B$3296,C3281,IF($B$265=$B$3297,CO3281,IF($B$265=$B$3298,CP3281,IF($B$265=$B$3299,CQ3281,IF($B$265=$B$3300,CR3281,IF($B$265=$B$3301,CS3281,IF($B$265=$B$3302,CT3281,IF(B$265=$B$3303,CU3281,IF($B$265=$B$3304,CV3281,IF($B$265=$B$3305,CW3281,IF($B$265=$B$3306,CX3281,IF($B$265=$B$3307,CY3281,IF($B$265=$B$3308,CZ3281,IF($B$265=$B$3309,DA3281,IF($B$265=$B$3310,DB3281,IF($B$265=$B$3311,DC3281,IF($B$265=$B$3312,DD3281,IF($B$265=$B$3313,DE3281,IF($B$265=$B$3314,DF3281,IF($B$265=$B$3315,DG3281,IF($B$265=$B$3316,DH3281,IF($B$265=$B$3317,DI3281,IF($B$265=$B$3318,DJ3281,IF($B$265=$B$3319,DK3281,IF($B$265=$B$3320,DL3281,IF($B$265=$B$3321,DM3281,IF($B$265=$B$3322,DN3281,IF($B$265=$B$3323,DO3281,IF($B$265=$B$3324,DP3281,IF($B$265=$B$3325,DQ3281,IF($B$265=$B$3326,DR3281,IF($B$265=$B$3327,DS3281,IF($B$265=$B$3328,DT3281,IF($B$265=$B$3329,DU3281,IF($B$265=$B$3330,DV3281,IF($B$265=$B$3331,DW3281,IF($B$265=$B$3332,DX3281,""))))))))))))))))))))))))))))))))))))))))))))))))))))</f>
        <v>Alcona County</v>
      </c>
      <c r="BZ3282" s="48" t="s">
        <v>1432</v>
      </c>
      <c r="CA3282" t="s">
        <v>1499</v>
      </c>
      <c r="CB3282" s="48" t="s">
        <v>1417</v>
      </c>
      <c r="CC3282" t="s">
        <v>1528</v>
      </c>
      <c r="CD3282" t="s">
        <v>1585</v>
      </c>
      <c r="CE3282" t="s">
        <v>1641</v>
      </c>
      <c r="CF3282" t="s">
        <v>1696</v>
      </c>
      <c r="CG3282" t="s">
        <v>1703</v>
      </c>
      <c r="CH3282" s="245" t="s">
        <v>885</v>
      </c>
      <c r="CI3282" t="s">
        <v>1706</v>
      </c>
      <c r="CJ3282" t="s">
        <v>1755</v>
      </c>
      <c r="CK3282" t="s">
        <v>1863</v>
      </c>
      <c r="CL3282" t="s">
        <v>1640</v>
      </c>
      <c r="CM3282" t="s">
        <v>1900</v>
      </c>
      <c r="CN3282" t="s">
        <v>1954</v>
      </c>
      <c r="CO3282" t="s">
        <v>1640</v>
      </c>
      <c r="CP3282" t="s">
        <v>2040</v>
      </c>
      <c r="CQ3282" t="s">
        <v>1954</v>
      </c>
      <c r="CR3282" t="s">
        <v>2163</v>
      </c>
      <c r="CS3282" t="s">
        <v>2227</v>
      </c>
      <c r="CT3282" t="s">
        <v>2245</v>
      </c>
      <c r="CU3282" t="s">
        <v>2255</v>
      </c>
      <c r="CV3282" t="s">
        <v>2317</v>
      </c>
      <c r="CW3282" t="s">
        <v>2377</v>
      </c>
      <c r="CX3282" t="s">
        <v>2413</v>
      </c>
      <c r="CY3282" t="s">
        <v>2456</v>
      </c>
      <c r="CZ3282" t="s">
        <v>2491</v>
      </c>
      <c r="DA3282" t="s">
        <v>2533</v>
      </c>
      <c r="DB3282" t="s">
        <v>1533</v>
      </c>
      <c r="DC3282" t="s">
        <v>2551</v>
      </c>
      <c r="DD3282" t="s">
        <v>2562</v>
      </c>
      <c r="DE3282" t="s">
        <v>2226</v>
      </c>
      <c r="DF3282" t="s">
        <v>1900</v>
      </c>
      <c r="DG3282" t="s">
        <v>2680</v>
      </c>
      <c r="DH3282" t="s">
        <v>1954</v>
      </c>
      <c r="DI3282" t="s">
        <v>2746</v>
      </c>
      <c r="DJ3282" t="s">
        <v>1530</v>
      </c>
      <c r="DK3282" t="s">
        <v>2804</v>
      </c>
      <c r="DL3282" t="s">
        <v>148</v>
      </c>
      <c r="DM3282" t="s">
        <v>2840</v>
      </c>
      <c r="DN3282" t="s">
        <v>2867</v>
      </c>
      <c r="DO3282" t="s">
        <v>2806</v>
      </c>
      <c r="DP3282" t="s">
        <v>2930</v>
      </c>
      <c r="DQ3282" t="s">
        <v>3091</v>
      </c>
      <c r="DR3282" t="s">
        <v>3108</v>
      </c>
      <c r="DS3282" t="s">
        <v>3116</v>
      </c>
      <c r="DT3282" t="s">
        <v>3198</v>
      </c>
      <c r="DU3282" t="s">
        <v>2844</v>
      </c>
      <c r="DV3282" t="s">
        <v>2711</v>
      </c>
      <c r="DW3282" t="s">
        <v>2456</v>
      </c>
      <c r="DX3282" s="245" t="s">
        <v>885</v>
      </c>
      <c r="DY3282" s="245"/>
      <c r="DZ3282" s="470" t="str">
        <f t="shared" si="154"/>
        <v/>
      </c>
      <c r="EA3282" s="470" t="str">
        <f t="shared" si="155"/>
        <v/>
      </c>
      <c r="EB3282" t="s">
        <v>3286</v>
      </c>
      <c r="EC3282" s="471" t="s">
        <v>3283</v>
      </c>
      <c r="EF3282" t="s">
        <v>3329</v>
      </c>
      <c r="EG3282" s="473" t="s">
        <v>3283</v>
      </c>
      <c r="EH3282" t="s">
        <v>3345</v>
      </c>
      <c r="EI3282" s="473" t="s">
        <v>3294</v>
      </c>
      <c r="EJ3282" t="s">
        <v>3372</v>
      </c>
      <c r="EK3282" s="473" t="s">
        <v>3294</v>
      </c>
      <c r="EL3282" t="s">
        <v>3430</v>
      </c>
      <c r="EM3282" s="473" t="s">
        <v>3288</v>
      </c>
    </row>
    <row r="3283" spans="1:143" ht="15.5" hidden="1" x14ac:dyDescent="0.35">
      <c r="A3283" s="417" t="s">
        <v>1052</v>
      </c>
      <c r="B3283" s="418" t="s">
        <v>1053</v>
      </c>
      <c r="C3283" s="427">
        <f>C3282</f>
        <v>0</v>
      </c>
      <c r="D3283" s="427" t="s">
        <v>885</v>
      </c>
      <c r="E3283" s="427" t="s">
        <v>885</v>
      </c>
      <c r="G3283" s="420"/>
      <c r="H3283" s="420"/>
      <c r="I3283" s="420"/>
      <c r="J3283" s="420"/>
      <c r="K3283" s="420"/>
      <c r="L3283" s="420"/>
      <c r="M3283" s="420"/>
      <c r="N3283" s="420"/>
      <c r="O3283" s="420"/>
      <c r="P3283" s="420"/>
      <c r="Q3283" s="420"/>
      <c r="R3283" s="420"/>
      <c r="S3283" s="420"/>
      <c r="T3283" s="420"/>
      <c r="U3283" s="420"/>
      <c r="V3283" s="420"/>
      <c r="W3283" s="420"/>
      <c r="X3283" s="420"/>
      <c r="Y3283" s="420"/>
      <c r="Z3283" s="420"/>
      <c r="AA3283" s="411"/>
      <c r="AB3283" s="411" t="s">
        <v>1027</v>
      </c>
      <c r="AC3283" s="245" t="s">
        <v>885</v>
      </c>
      <c r="AD3283" s="245" t="s">
        <v>885</v>
      </c>
      <c r="AE3283" s="245" t="s">
        <v>885</v>
      </c>
      <c r="AF3283" s="245" t="s">
        <v>885</v>
      </c>
      <c r="AG3283" s="245" t="s">
        <v>885</v>
      </c>
      <c r="AH3283" s="245" t="s">
        <v>885</v>
      </c>
      <c r="AI3283" s="245" t="s">
        <v>885</v>
      </c>
      <c r="AJ3283" s="245" t="s">
        <v>885</v>
      </c>
      <c r="AK3283" s="245" t="s">
        <v>885</v>
      </c>
      <c r="AL3283" s="245" t="s">
        <v>885</v>
      </c>
      <c r="AM3283" s="245" t="s">
        <v>885</v>
      </c>
      <c r="AN3283" s="245" t="s">
        <v>885</v>
      </c>
      <c r="AO3283" s="245" t="s">
        <v>885</v>
      </c>
      <c r="AP3283" s="245" t="s">
        <v>885</v>
      </c>
      <c r="AQ3283" s="245" t="s">
        <v>885</v>
      </c>
      <c r="AR3283" s="245" t="s">
        <v>885</v>
      </c>
      <c r="AS3283" s="245" t="s">
        <v>885</v>
      </c>
      <c r="AT3283" s="245" t="s">
        <v>885</v>
      </c>
      <c r="AU3283" s="245" t="s">
        <v>885</v>
      </c>
      <c r="AV3283" s="245" t="s">
        <v>885</v>
      </c>
      <c r="AW3283" s="245" t="s">
        <v>885</v>
      </c>
      <c r="AX3283" s="48">
        <v>3</v>
      </c>
      <c r="BB3283" s="402">
        <f t="shared" ca="1" si="151"/>
        <v>0</v>
      </c>
      <c r="BF3283" s="423">
        <v>25715</v>
      </c>
      <c r="BG3283" s="415">
        <f t="shared" si="152"/>
        <v>0</v>
      </c>
      <c r="BH3283" s="415">
        <f t="shared" si="156"/>
        <v>0</v>
      </c>
      <c r="BI3283" s="365">
        <f t="shared" si="157"/>
        <v>0</v>
      </c>
      <c r="BJ3283" s="157">
        <f t="shared" si="153"/>
        <v>0</v>
      </c>
      <c r="BK3283" s="416">
        <f t="shared" si="158"/>
        <v>0</v>
      </c>
      <c r="BN3283" s="1107"/>
      <c r="BO3283" s="927"/>
      <c r="BP3283" s="927"/>
      <c r="BQ3283" s="927"/>
      <c r="BS3283" s="464" t="str">
        <f t="shared" ref="BS3283:BS3314" si="159">IF($B$265=B$3281,BZ3282,IF($B$265=B$3282,CA3282,IF($B$265=B$3283,CB3282,IF($B$265=B$3284,CC3282,IF($B$265=B$3285,CD3282,IF($B$265=B$3286,CE3282,IF($B$265=B$3287,CF3282,IF($B$265=B$3288,CG3282,IF($B$265=B$3289,CH3282,IF($B$265=B$3290,CI3282,IF($B$265=B$3291,CJ3282,IF($B$265=B$3292,CK3282,IF($B$265=B$3293,CL3282,IF($B$265=B$3294,CM3282,IF($B$265=B$3295,CN3282,IF($B$265=B$3296,C3282,IF($B$265=B$3297,CO3282,IF($B$265=B$3298,CP3282,IF($B$265=B$3299,CQ3282,IF($B$265=B$3300,CR3282,IF($B$265=B$3301,CS3282,IF($B$265=B$3302,CT3282,IF(B$265=B$3303,CU3282,IF($B$265=B$3304,CV3282,IF($B$265=B$3305,CW3282,IF($B$265=B$3306,CX3282,IF($B$265=B$3307,CY3282,IF($B$265=B$3308,CZ3282,IF($B$265=B$3309,DA3282,IF($B$265=B$3310,DB3282,IF($B$265=B$3311,DC3282,IF($B$265=B$3312,DD3282,IF($B$265=B$3313,DE3282,IF($B$265=B$3314,DF3282,IF($B$265=B$3315,DG3282,IF($B$265=B$3316,DH3282,IF($B$265=B$3317,DI3282,IF($B$265=B$3318,DJ3282,IF($B$265=B$3319,DK3282,IF($B$265=B$3320,DL3282,IF($B$265=B$3321,DM3282,IF($B$265=B$3322,DN3282,IF($B$265=B$3323,DO3282,IF($B$265=B$3324,DP3282,IF($B$265=B$3325,DQ3282,IF($B$265=B$3326,DR3282,IF($B$265=B$3327,DS3282,IF($B$265=B$3328,DT3282,IF($B$265=B$3329,DU3282,IF($B$265=B$3330,DV3282,IF($B$265=B$3331,DW3282,IF($B$265=B$3332,DX3282,""))))))))))))))))))))))))))))))))))))))))))))))))))))</f>
        <v>Alger County</v>
      </c>
      <c r="BZ3283" s="48" t="s">
        <v>1433</v>
      </c>
      <c r="CA3283" t="s">
        <v>1500</v>
      </c>
      <c r="CB3283" s="48" t="s">
        <v>1418</v>
      </c>
      <c r="CC3283" t="s">
        <v>1529</v>
      </c>
      <c r="CD3283" t="s">
        <v>1586</v>
      </c>
      <c r="CE3283" t="s">
        <v>1642</v>
      </c>
      <c r="CF3283" t="s">
        <v>1697</v>
      </c>
      <c r="CG3283" t="s">
        <v>1704</v>
      </c>
      <c r="CH3283" s="245" t="s">
        <v>885</v>
      </c>
      <c r="CI3283" t="s">
        <v>1707</v>
      </c>
      <c r="CJ3283" t="s">
        <v>1756</v>
      </c>
      <c r="CK3283" t="s">
        <v>1864</v>
      </c>
      <c r="CL3283" t="s">
        <v>1868</v>
      </c>
      <c r="CM3283" t="s">
        <v>1901</v>
      </c>
      <c r="CN3283" t="s">
        <v>1955</v>
      </c>
      <c r="CO3283" t="s">
        <v>1996</v>
      </c>
      <c r="CP3283" t="s">
        <v>2041</v>
      </c>
      <c r="CQ3283" t="s">
        <v>2040</v>
      </c>
      <c r="CR3283" t="s">
        <v>2164</v>
      </c>
      <c r="CS3283" t="s">
        <v>2228</v>
      </c>
      <c r="CT3283" t="s">
        <v>2246</v>
      </c>
      <c r="CU3283" t="s">
        <v>2256</v>
      </c>
      <c r="CV3283" t="s">
        <v>2318</v>
      </c>
      <c r="CW3283" t="s">
        <v>2378</v>
      </c>
      <c r="CX3283" t="s">
        <v>2041</v>
      </c>
      <c r="CY3283" t="s">
        <v>1872</v>
      </c>
      <c r="CZ3283" t="s">
        <v>2492</v>
      </c>
      <c r="DA3283" t="s">
        <v>1535</v>
      </c>
      <c r="DB3283" t="s">
        <v>2544</v>
      </c>
      <c r="DC3283" t="s">
        <v>2552</v>
      </c>
      <c r="DD3283" t="s">
        <v>2563</v>
      </c>
      <c r="DE3283" t="s">
        <v>2586</v>
      </c>
      <c r="DF3283" t="s">
        <v>2617</v>
      </c>
      <c r="DG3283" t="s">
        <v>2681</v>
      </c>
      <c r="DH3283" t="s">
        <v>2711</v>
      </c>
      <c r="DI3283" t="s">
        <v>2747</v>
      </c>
      <c r="DJ3283" t="s">
        <v>2788</v>
      </c>
      <c r="DK3283" t="s">
        <v>2805</v>
      </c>
      <c r="DL3283" t="s">
        <v>2837</v>
      </c>
      <c r="DM3283" t="s">
        <v>2841</v>
      </c>
      <c r="DN3283" t="s">
        <v>2868</v>
      </c>
      <c r="DO3283" t="s">
        <v>1530</v>
      </c>
      <c r="DP3283" t="s">
        <v>2931</v>
      </c>
      <c r="DQ3283" t="s">
        <v>3092</v>
      </c>
      <c r="DR3283" t="s">
        <v>3109</v>
      </c>
      <c r="DS3283" t="s">
        <v>3117</v>
      </c>
      <c r="DT3283" t="s">
        <v>1530</v>
      </c>
      <c r="DU3283" t="s">
        <v>1531</v>
      </c>
      <c r="DV3283" t="s">
        <v>3237</v>
      </c>
      <c r="DW3283" t="s">
        <v>2119</v>
      </c>
      <c r="DX3283" s="245" t="s">
        <v>885</v>
      </c>
      <c r="DY3283" s="245"/>
      <c r="DZ3283" s="470" t="str">
        <f t="shared" si="154"/>
        <v/>
      </c>
      <c r="EA3283" s="470" t="str">
        <f t="shared" si="155"/>
        <v/>
      </c>
      <c r="EB3283" t="s">
        <v>3287</v>
      </c>
      <c r="EC3283" s="471" t="s">
        <v>3288</v>
      </c>
      <c r="EF3283" t="s">
        <v>3330</v>
      </c>
      <c r="EG3283" s="473" t="s">
        <v>3288</v>
      </c>
      <c r="EH3283" t="s">
        <v>3346</v>
      </c>
      <c r="EI3283" s="473" t="s">
        <v>3294</v>
      </c>
      <c r="EJ3283" t="s">
        <v>3373</v>
      </c>
      <c r="EK3283" s="473" t="s">
        <v>3294</v>
      </c>
      <c r="EL3283" t="s">
        <v>3431</v>
      </c>
      <c r="EM3283" s="473" t="s">
        <v>3283</v>
      </c>
    </row>
    <row r="3284" spans="1:143" ht="15.5" hidden="1" x14ac:dyDescent="0.35">
      <c r="A3284" s="417" t="s">
        <v>1054</v>
      </c>
      <c r="B3284" s="418" t="s">
        <v>1055</v>
      </c>
      <c r="C3284" s="427">
        <f>C3283</f>
        <v>0</v>
      </c>
      <c r="D3284" s="427" t="s">
        <v>885</v>
      </c>
      <c r="E3284" s="427" t="s">
        <v>885</v>
      </c>
      <c r="G3284" s="420"/>
      <c r="H3284" s="420"/>
      <c r="I3284" s="420"/>
      <c r="J3284" s="420"/>
      <c r="K3284" s="420"/>
      <c r="L3284" s="420"/>
      <c r="M3284" s="420"/>
      <c r="N3284" s="420"/>
      <c r="O3284" s="420"/>
      <c r="P3284" s="420"/>
      <c r="Q3284" s="420"/>
      <c r="R3284" s="420"/>
      <c r="S3284" s="420"/>
      <c r="T3284" s="420"/>
      <c r="U3284" s="420"/>
      <c r="V3284" s="420"/>
      <c r="W3284" s="420"/>
      <c r="X3284" s="420"/>
      <c r="Y3284" s="420"/>
      <c r="Z3284" s="420"/>
      <c r="AA3284" s="411"/>
      <c r="AB3284" s="411" t="s">
        <v>1027</v>
      </c>
      <c r="AC3284" s="245" t="s">
        <v>885</v>
      </c>
      <c r="AD3284" s="245" t="s">
        <v>885</v>
      </c>
      <c r="AE3284" s="245" t="s">
        <v>885</v>
      </c>
      <c r="AF3284" s="245" t="s">
        <v>885</v>
      </c>
      <c r="AG3284" s="245" t="s">
        <v>885</v>
      </c>
      <c r="AH3284" s="245" t="s">
        <v>885</v>
      </c>
      <c r="AI3284" s="245" t="s">
        <v>885</v>
      </c>
      <c r="AJ3284" s="245" t="s">
        <v>885</v>
      </c>
      <c r="AK3284" s="245" t="s">
        <v>885</v>
      </c>
      <c r="AL3284" s="245" t="s">
        <v>885</v>
      </c>
      <c r="AM3284" s="245" t="s">
        <v>885</v>
      </c>
      <c r="AN3284" s="245" t="s">
        <v>885</v>
      </c>
      <c r="AO3284" s="245" t="s">
        <v>885</v>
      </c>
      <c r="AP3284" s="245" t="s">
        <v>885</v>
      </c>
      <c r="AQ3284" s="245" t="s">
        <v>885</v>
      </c>
      <c r="AR3284" s="245" t="s">
        <v>885</v>
      </c>
      <c r="AS3284" s="245" t="s">
        <v>885</v>
      </c>
      <c r="AT3284" s="245" t="s">
        <v>885</v>
      </c>
      <c r="AU3284" s="245" t="s">
        <v>885</v>
      </c>
      <c r="AV3284" s="245" t="s">
        <v>885</v>
      </c>
      <c r="AW3284" s="245" t="s">
        <v>885</v>
      </c>
      <c r="AX3284" s="48">
        <v>4</v>
      </c>
      <c r="BB3284" s="402">
        <f t="shared" ca="1" si="151"/>
        <v>0</v>
      </c>
      <c r="BF3284" s="423">
        <v>22883</v>
      </c>
      <c r="BG3284" s="415">
        <f t="shared" si="152"/>
        <v>0</v>
      </c>
      <c r="BH3284" s="415">
        <f t="shared" si="156"/>
        <v>0</v>
      </c>
      <c r="BI3284" s="365">
        <f t="shared" si="157"/>
        <v>0</v>
      </c>
      <c r="BJ3284" s="157">
        <f t="shared" si="153"/>
        <v>0</v>
      </c>
      <c r="BK3284" s="416">
        <f t="shared" si="158"/>
        <v>0</v>
      </c>
      <c r="BN3284" s="1107"/>
      <c r="BO3284" s="927"/>
      <c r="BP3284" s="927"/>
      <c r="BQ3284" s="927"/>
      <c r="BS3284" s="464" t="str">
        <f t="shared" si="159"/>
        <v>Allegan County</v>
      </c>
      <c r="BZ3284" s="48" t="s">
        <v>1434</v>
      </c>
      <c r="CA3284" t="s">
        <v>1501</v>
      </c>
      <c r="CB3284" s="48" t="s">
        <v>1419</v>
      </c>
      <c r="CC3284" t="s">
        <v>1530</v>
      </c>
      <c r="CD3284" t="s">
        <v>1587</v>
      </c>
      <c r="CE3284" t="s">
        <v>1643</v>
      </c>
      <c r="CF3284" t="s">
        <v>1698</v>
      </c>
      <c r="CG3284" s="245" t="s">
        <v>885</v>
      </c>
      <c r="CH3284" s="245" t="s">
        <v>885</v>
      </c>
      <c r="CI3284" t="s">
        <v>1708</v>
      </c>
      <c r="CJ3284" t="s">
        <v>1706</v>
      </c>
      <c r="CK3284" t="s">
        <v>1865</v>
      </c>
      <c r="CL3284" t="s">
        <v>1869</v>
      </c>
      <c r="CM3284" t="s">
        <v>1531</v>
      </c>
      <c r="CN3284" t="s">
        <v>1530</v>
      </c>
      <c r="CO3284" t="s">
        <v>1997</v>
      </c>
      <c r="CP3284" t="s">
        <v>2042</v>
      </c>
      <c r="CQ3284" t="s">
        <v>2107</v>
      </c>
      <c r="CR3284" t="s">
        <v>2165</v>
      </c>
      <c r="CS3284" t="s">
        <v>2229</v>
      </c>
      <c r="CT3284" t="s">
        <v>2247</v>
      </c>
      <c r="CU3284" t="s">
        <v>2257</v>
      </c>
      <c r="CV3284" t="s">
        <v>2319</v>
      </c>
      <c r="CW3284" t="s">
        <v>2379</v>
      </c>
      <c r="CX3284" t="s">
        <v>2414</v>
      </c>
      <c r="CY3284" t="s">
        <v>2457</v>
      </c>
      <c r="CZ3284" t="s">
        <v>2493</v>
      </c>
      <c r="DA3284" t="s">
        <v>1658</v>
      </c>
      <c r="DB3284" t="s">
        <v>2545</v>
      </c>
      <c r="DC3284" t="s">
        <v>1769</v>
      </c>
      <c r="DD3284" t="s">
        <v>2564</v>
      </c>
      <c r="DE3284" t="s">
        <v>2587</v>
      </c>
      <c r="DF3284" t="s">
        <v>2618</v>
      </c>
      <c r="DG3284" t="s">
        <v>2682</v>
      </c>
      <c r="DH3284" t="s">
        <v>2712</v>
      </c>
      <c r="DI3284" t="s">
        <v>2748</v>
      </c>
      <c r="DJ3284" t="s">
        <v>2789</v>
      </c>
      <c r="DK3284" t="s">
        <v>2748</v>
      </c>
      <c r="DL3284" t="s">
        <v>2838</v>
      </c>
      <c r="DM3284" t="s">
        <v>2040</v>
      </c>
      <c r="DN3284" t="s">
        <v>2869</v>
      </c>
      <c r="DO3284" t="s">
        <v>2904</v>
      </c>
      <c r="DP3284" t="s">
        <v>2932</v>
      </c>
      <c r="DQ3284" t="s">
        <v>2458</v>
      </c>
      <c r="DR3284" t="s">
        <v>3110</v>
      </c>
      <c r="DS3284" t="s">
        <v>2617</v>
      </c>
      <c r="DT3284" t="s">
        <v>3199</v>
      </c>
      <c r="DU3284" t="s">
        <v>3220</v>
      </c>
      <c r="DV3284" t="s">
        <v>3238</v>
      </c>
      <c r="DW3284" t="s">
        <v>2458</v>
      </c>
      <c r="DX3284" s="245" t="s">
        <v>885</v>
      </c>
      <c r="DY3284" s="245"/>
      <c r="DZ3284" s="470" t="str">
        <f t="shared" si="154"/>
        <v/>
      </c>
      <c r="EA3284" s="470" t="str">
        <f t="shared" si="155"/>
        <v/>
      </c>
      <c r="EB3284" t="s">
        <v>3289</v>
      </c>
      <c r="EC3284" s="471" t="s">
        <v>3288</v>
      </c>
      <c r="EF3284" t="s">
        <v>3331</v>
      </c>
      <c r="EG3284" s="473" t="s">
        <v>3283</v>
      </c>
      <c r="EH3284" t="s">
        <v>3347</v>
      </c>
      <c r="EI3284" s="473" t="s">
        <v>3294</v>
      </c>
      <c r="EJ3284" t="s">
        <v>3374</v>
      </c>
      <c r="EK3284" s="473" t="s">
        <v>3294</v>
      </c>
      <c r="EL3284" t="s">
        <v>3432</v>
      </c>
      <c r="EM3284" s="473" t="s">
        <v>3288</v>
      </c>
    </row>
    <row r="3285" spans="1:143" ht="15.5" hidden="1" x14ac:dyDescent="0.35">
      <c r="A3285" s="417" t="s">
        <v>1056</v>
      </c>
      <c r="B3285" s="418" t="s">
        <v>1057</v>
      </c>
      <c r="C3285" s="419">
        <f>140*365.25</f>
        <v>51135</v>
      </c>
      <c r="D3285" s="427" t="s">
        <v>885</v>
      </c>
      <c r="G3285" s="420"/>
      <c r="H3285" s="420"/>
      <c r="I3285" s="420"/>
      <c r="J3285" s="420"/>
      <c r="K3285" s="420"/>
      <c r="L3285" s="420"/>
      <c r="M3285" s="420"/>
      <c r="N3285" s="420"/>
      <c r="O3285" s="420"/>
      <c r="P3285" s="420"/>
      <c r="Q3285" s="420"/>
      <c r="R3285" s="420"/>
      <c r="S3285" s="420"/>
      <c r="T3285" s="420"/>
      <c r="U3285" s="420"/>
      <c r="V3285" s="420"/>
      <c r="W3285" s="420"/>
      <c r="X3285" s="420"/>
      <c r="Y3285" s="420"/>
      <c r="Z3285" s="420"/>
      <c r="AB3285" s="48" t="s">
        <v>1058</v>
      </c>
      <c r="AC3285" s="245" t="s">
        <v>885</v>
      </c>
      <c r="AD3285" s="48" t="s">
        <v>1059</v>
      </c>
      <c r="AF3285" s="421">
        <v>2</v>
      </c>
      <c r="AG3285" s="48">
        <v>2</v>
      </c>
      <c r="AH3285" s="48" t="s">
        <v>1046</v>
      </c>
      <c r="AI3285" s="48" t="str">
        <f>CONCATENATE(AG3285,AH3285)</f>
        <v>2 years</v>
      </c>
      <c r="AK3285" s="48" t="s">
        <v>1047</v>
      </c>
      <c r="AO3285" s="48" t="s">
        <v>1060</v>
      </c>
      <c r="AR3285" s="245" t="s">
        <v>885</v>
      </c>
      <c r="AS3285" s="48" t="s">
        <v>1049</v>
      </c>
      <c r="AW3285" s="245" t="s">
        <v>885</v>
      </c>
      <c r="AX3285" s="48">
        <v>5</v>
      </c>
      <c r="BB3285" s="402">
        <f t="shared" ca="1" si="151"/>
        <v>613620</v>
      </c>
      <c r="BF3285" s="423">
        <v>30441</v>
      </c>
      <c r="BG3285" s="415">
        <f t="shared" si="152"/>
        <v>0</v>
      </c>
      <c r="BH3285" s="415">
        <f t="shared" si="156"/>
        <v>0</v>
      </c>
      <c r="BI3285" s="365">
        <f t="shared" si="157"/>
        <v>0</v>
      </c>
      <c r="BJ3285" s="157">
        <f t="shared" si="153"/>
        <v>0</v>
      </c>
      <c r="BK3285" s="416">
        <f t="shared" si="158"/>
        <v>0</v>
      </c>
      <c r="BN3285" s="1107">
        <f>IF(OR($AC$1127=0,$C$1153="",C$1129=AG$1129),0,$C$1153*$C$1129)</f>
        <v>600000</v>
      </c>
      <c r="BO3285" s="927"/>
      <c r="BP3285" s="927"/>
      <c r="BQ3285" s="927"/>
      <c r="BS3285" s="464" t="str">
        <f t="shared" si="159"/>
        <v>Alpena County</v>
      </c>
      <c r="BZ3285" s="48" t="s">
        <v>1435</v>
      </c>
      <c r="CA3285" t="s">
        <v>1502</v>
      </c>
      <c r="CB3285" s="48" t="s">
        <v>1420</v>
      </c>
      <c r="CC3285" t="s">
        <v>1531</v>
      </c>
      <c r="CD3285" t="s">
        <v>1588</v>
      </c>
      <c r="CE3285" t="s">
        <v>1644</v>
      </c>
      <c r="CF3285" t="s">
        <v>1699</v>
      </c>
      <c r="CG3285" s="245" t="s">
        <v>885</v>
      </c>
      <c r="CH3285" s="245" t="s">
        <v>885</v>
      </c>
      <c r="CI3285" t="s">
        <v>1709</v>
      </c>
      <c r="CJ3285" t="s">
        <v>1432</v>
      </c>
      <c r="CK3285" t="s">
        <v>1866</v>
      </c>
      <c r="CL3285" t="s">
        <v>1870</v>
      </c>
      <c r="CM3285" t="s">
        <v>1902</v>
      </c>
      <c r="CN3285" t="s">
        <v>1956</v>
      </c>
      <c r="CO3285" t="s">
        <v>1998</v>
      </c>
      <c r="CP3285" t="s">
        <v>2043</v>
      </c>
      <c r="CQ3285" t="s">
        <v>2108</v>
      </c>
      <c r="CR3285" t="s">
        <v>2166</v>
      </c>
      <c r="CS3285" t="s">
        <v>2230</v>
      </c>
      <c r="CT3285" t="s">
        <v>2248</v>
      </c>
      <c r="CU3285" t="s">
        <v>2258</v>
      </c>
      <c r="CV3285" t="s">
        <v>1530</v>
      </c>
      <c r="CW3285" t="s">
        <v>1530</v>
      </c>
      <c r="CX3285" t="s">
        <v>2261</v>
      </c>
      <c r="CY3285" t="s">
        <v>2458</v>
      </c>
      <c r="CZ3285" t="s">
        <v>1872</v>
      </c>
      <c r="DA3285" t="s">
        <v>2534</v>
      </c>
      <c r="DB3285" t="s">
        <v>2546</v>
      </c>
      <c r="DC3285" t="s">
        <v>2553</v>
      </c>
      <c r="DD3285" t="s">
        <v>2498</v>
      </c>
      <c r="DE3285" t="s">
        <v>2588</v>
      </c>
      <c r="DF3285" t="s">
        <v>2619</v>
      </c>
      <c r="DG3285" t="s">
        <v>2683</v>
      </c>
      <c r="DH3285" t="s">
        <v>2713</v>
      </c>
      <c r="DI3285" t="s">
        <v>2749</v>
      </c>
      <c r="DJ3285" t="s">
        <v>1537</v>
      </c>
      <c r="DK3285" t="s">
        <v>2806</v>
      </c>
      <c r="DL3285" t="s">
        <v>1495</v>
      </c>
      <c r="DM3285" t="s">
        <v>2842</v>
      </c>
      <c r="DN3285" t="s">
        <v>2870</v>
      </c>
      <c r="DO3285" t="s">
        <v>1435</v>
      </c>
      <c r="DP3285" t="s">
        <v>2933</v>
      </c>
      <c r="DQ3285" t="s">
        <v>3093</v>
      </c>
      <c r="DR3285" t="s">
        <v>2248</v>
      </c>
      <c r="DS3285" t="s">
        <v>3118</v>
      </c>
      <c r="DT3285" t="s">
        <v>3200</v>
      </c>
      <c r="DU3285" t="s">
        <v>3221</v>
      </c>
      <c r="DV3285" t="s">
        <v>1902</v>
      </c>
      <c r="DW3285" t="s">
        <v>3272</v>
      </c>
      <c r="DX3285" s="245" t="s">
        <v>885</v>
      </c>
      <c r="DY3285" s="245"/>
      <c r="DZ3285" s="470" t="str">
        <f t="shared" si="154"/>
        <v/>
      </c>
      <c r="EA3285" s="470" t="str">
        <f t="shared" si="155"/>
        <v/>
      </c>
      <c r="EB3285" t="s">
        <v>3290</v>
      </c>
      <c r="EC3285" s="471" t="s">
        <v>3283</v>
      </c>
      <c r="EF3285" t="s">
        <v>3332</v>
      </c>
      <c r="EG3285" s="473" t="s">
        <v>3283</v>
      </c>
      <c r="EH3285" t="str">
        <f>EH3283</f>
        <v>David Ethredge</v>
      </c>
      <c r="EI3285" s="473" t="s">
        <v>3294</v>
      </c>
      <c r="EJ3285" t="s">
        <v>3375</v>
      </c>
      <c r="EK3285" s="473" t="s">
        <v>3294</v>
      </c>
      <c r="EL3285" t="s">
        <v>3433</v>
      </c>
      <c r="EM3285" s="473" t="s">
        <v>3283</v>
      </c>
    </row>
    <row r="3286" spans="1:143" ht="15.5" hidden="1" x14ac:dyDescent="0.35">
      <c r="A3286" s="417" t="s">
        <v>1061</v>
      </c>
      <c r="B3286" s="418" t="s">
        <v>1062</v>
      </c>
      <c r="C3286" s="419">
        <v>70000</v>
      </c>
      <c r="D3286" s="427" t="s">
        <v>885</v>
      </c>
      <c r="G3286" s="420">
        <v>25000</v>
      </c>
      <c r="H3286" s="420"/>
      <c r="I3286" s="420"/>
      <c r="J3286" s="420"/>
      <c r="K3286" s="420"/>
      <c r="L3286" s="420"/>
      <c r="M3286" s="420"/>
      <c r="N3286" s="420"/>
      <c r="O3286" s="420"/>
      <c r="P3286" s="420"/>
      <c r="Q3286" s="420"/>
      <c r="R3286" s="420"/>
      <c r="S3286" s="420"/>
      <c r="T3286" s="420"/>
      <c r="U3286" s="420"/>
      <c r="V3286" s="420"/>
      <c r="W3286" s="420"/>
      <c r="X3286" s="420"/>
      <c r="Y3286" s="420"/>
      <c r="Z3286" s="420"/>
      <c r="AB3286" s="48" t="s">
        <v>1063</v>
      </c>
      <c r="AC3286" s="245" t="s">
        <v>885</v>
      </c>
      <c r="AD3286" s="48" t="s">
        <v>1064</v>
      </c>
      <c r="AF3286" s="421">
        <v>2</v>
      </c>
      <c r="AG3286" s="48">
        <v>2</v>
      </c>
      <c r="AH3286" s="48" t="s">
        <v>1046</v>
      </c>
      <c r="AI3286" s="48" t="str">
        <f>CONCATENATE(AG3286,AH3286)</f>
        <v>2 years</v>
      </c>
      <c r="AK3286" s="48" t="s">
        <v>1047</v>
      </c>
      <c r="AO3286" s="411" t="s">
        <v>1065</v>
      </c>
      <c r="AR3286" s="245" t="s">
        <v>885</v>
      </c>
      <c r="AS3286" s="48" t="s">
        <v>1066</v>
      </c>
      <c r="AW3286" s="245" t="s">
        <v>885</v>
      </c>
      <c r="AX3286" s="48">
        <v>6</v>
      </c>
      <c r="BB3286" s="402">
        <f t="shared" ca="1" si="151"/>
        <v>1340000</v>
      </c>
      <c r="BF3286" s="423">
        <v>32357</v>
      </c>
      <c r="BG3286" s="415">
        <f t="shared" si="152"/>
        <v>0</v>
      </c>
      <c r="BH3286" s="415">
        <f t="shared" si="156"/>
        <v>0</v>
      </c>
      <c r="BI3286" s="365">
        <f t="shared" si="157"/>
        <v>0</v>
      </c>
      <c r="BJ3286" s="157">
        <f t="shared" si="153"/>
        <v>0</v>
      </c>
      <c r="BK3286" s="416">
        <f t="shared" si="158"/>
        <v>0</v>
      </c>
      <c r="BN3286" s="1107">
        <f>IF(OR($AC$1127=0,$C$1153="",C$1129=AG$1129),0,$C$1153*$C$1129)</f>
        <v>600000</v>
      </c>
      <c r="BO3286" s="927"/>
      <c r="BP3286" s="927"/>
      <c r="BQ3286" s="927"/>
      <c r="BS3286" s="464" t="str">
        <f t="shared" si="159"/>
        <v>Antrim County</v>
      </c>
      <c r="BZ3286" s="48" t="s">
        <v>1436</v>
      </c>
      <c r="CA3286" t="s">
        <v>1503</v>
      </c>
      <c r="CB3286" s="48" t="s">
        <v>1421</v>
      </c>
      <c r="CC3286" t="s">
        <v>1532</v>
      </c>
      <c r="CD3286" t="s">
        <v>1589</v>
      </c>
      <c r="CE3286" t="s">
        <v>1645</v>
      </c>
      <c r="CF3286" t="s">
        <v>1700</v>
      </c>
      <c r="CG3286" s="245" t="s">
        <v>885</v>
      </c>
      <c r="CH3286" s="245" t="s">
        <v>885</v>
      </c>
      <c r="CI3286" t="s">
        <v>1710</v>
      </c>
      <c r="CJ3286" t="s">
        <v>1757</v>
      </c>
      <c r="CK3286" s="459" t="s">
        <v>885</v>
      </c>
      <c r="CL3286" t="s">
        <v>1871</v>
      </c>
      <c r="CM3286" t="s">
        <v>1903</v>
      </c>
      <c r="CN3286" t="s">
        <v>1531</v>
      </c>
      <c r="CO3286" t="s">
        <v>1530</v>
      </c>
      <c r="CP3286" t="s">
        <v>2044</v>
      </c>
      <c r="CQ3286" t="s">
        <v>2109</v>
      </c>
      <c r="CR3286" t="s">
        <v>2167</v>
      </c>
      <c r="CS3286" t="s">
        <v>2231</v>
      </c>
      <c r="CT3286" t="s">
        <v>1460</v>
      </c>
      <c r="CU3286" t="s">
        <v>2259</v>
      </c>
      <c r="CV3286" t="s">
        <v>2320</v>
      </c>
      <c r="CW3286" t="s">
        <v>2380</v>
      </c>
      <c r="CX3286" t="s">
        <v>2043</v>
      </c>
      <c r="CY3286" t="s">
        <v>2121</v>
      </c>
      <c r="CZ3286" t="s">
        <v>1531</v>
      </c>
      <c r="DA3286" t="s">
        <v>2535</v>
      </c>
      <c r="DB3286" t="s">
        <v>1727</v>
      </c>
      <c r="DC3286" t="s">
        <v>1909</v>
      </c>
      <c r="DD3286" t="s">
        <v>2565</v>
      </c>
      <c r="DE3286" t="s">
        <v>2589</v>
      </c>
      <c r="DF3286" t="s">
        <v>2620</v>
      </c>
      <c r="DG3286" t="s">
        <v>2684</v>
      </c>
      <c r="DH3286" t="s">
        <v>2714</v>
      </c>
      <c r="DI3286" t="s">
        <v>1872</v>
      </c>
      <c r="DJ3286" t="s">
        <v>2545</v>
      </c>
      <c r="DK3286" t="s">
        <v>2807</v>
      </c>
      <c r="DL3286" s="459" t="s">
        <v>885</v>
      </c>
      <c r="DM3286" t="s">
        <v>2843</v>
      </c>
      <c r="DN3286" t="s">
        <v>1902</v>
      </c>
      <c r="DO3286" t="s">
        <v>1532</v>
      </c>
      <c r="DP3286" t="s">
        <v>2805</v>
      </c>
      <c r="DQ3286" t="s">
        <v>2006</v>
      </c>
      <c r="DR3286" t="s">
        <v>1460</v>
      </c>
      <c r="DS3286" t="s">
        <v>3119</v>
      </c>
      <c r="DT3286" t="s">
        <v>1535</v>
      </c>
      <c r="DU3286" t="s">
        <v>3222</v>
      </c>
      <c r="DV3286" t="s">
        <v>2495</v>
      </c>
      <c r="DW3286" t="s">
        <v>2790</v>
      </c>
      <c r="DX3286" s="245" t="s">
        <v>885</v>
      </c>
      <c r="DY3286" s="245"/>
      <c r="DZ3286" s="470" t="str">
        <f t="shared" si="154"/>
        <v/>
      </c>
      <c r="EA3286" s="470" t="str">
        <f t="shared" si="155"/>
        <v/>
      </c>
      <c r="EB3286" t="str">
        <f>EB3283</f>
        <v>Ben C. Reeves, Jr.</v>
      </c>
      <c r="EC3286" t="str">
        <f>EC3283</f>
        <v>D</v>
      </c>
      <c r="EF3286" t="s">
        <v>3333</v>
      </c>
      <c r="EG3286" s="473" t="s">
        <v>3334</v>
      </c>
      <c r="EH3286" t="str">
        <f>EH3282</f>
        <v>Thomas Deen</v>
      </c>
      <c r="EI3286" s="473" t="s">
        <v>3294</v>
      </c>
      <c r="EJ3286" t="s">
        <v>3376</v>
      </c>
      <c r="EK3286" s="473" t="s">
        <v>3294</v>
      </c>
      <c r="EL3286" t="s">
        <v>3434</v>
      </c>
      <c r="EM3286" s="473" t="s">
        <v>3283</v>
      </c>
    </row>
    <row r="3287" spans="1:143" ht="15.5" hidden="1" x14ac:dyDescent="0.35">
      <c r="A3287" s="417" t="s">
        <v>1067</v>
      </c>
      <c r="B3287" s="418" t="s">
        <v>1068</v>
      </c>
      <c r="C3287" s="419">
        <f>ROUND((94449*2),-3)</f>
        <v>189000</v>
      </c>
      <c r="D3287" s="427" t="s">
        <v>885</v>
      </c>
      <c r="G3287" s="420"/>
      <c r="H3287" s="420"/>
      <c r="I3287" s="420"/>
      <c r="J3287" s="420"/>
      <c r="K3287" s="420"/>
      <c r="L3287" s="420"/>
      <c r="M3287" s="420"/>
      <c r="N3287" s="420"/>
      <c r="O3287" s="420"/>
      <c r="P3287" s="420"/>
      <c r="Q3287" s="420"/>
      <c r="R3287" s="420"/>
      <c r="S3287" s="420"/>
      <c r="T3287" s="420"/>
      <c r="U3287" s="420"/>
      <c r="V3287" s="420"/>
      <c r="W3287" s="420"/>
      <c r="X3287" s="420"/>
      <c r="Y3287" s="420"/>
      <c r="Z3287" s="420"/>
      <c r="AB3287" s="48" t="s">
        <v>1069</v>
      </c>
      <c r="AC3287" s="245" t="s">
        <v>885</v>
      </c>
      <c r="AD3287" s="48" t="s">
        <v>1070</v>
      </c>
      <c r="AF3287" s="421">
        <v>2</v>
      </c>
      <c r="AG3287" s="48">
        <v>2</v>
      </c>
      <c r="AH3287" s="48" t="s">
        <v>1046</v>
      </c>
      <c r="AI3287" s="48" t="str">
        <f>CONCATENATE(AG3287,AH3287)</f>
        <v>2 years</v>
      </c>
      <c r="AK3287" s="48" t="s">
        <v>1071</v>
      </c>
      <c r="AO3287" s="48" t="s">
        <v>1072</v>
      </c>
      <c r="AR3287" s="245" t="s">
        <v>885</v>
      </c>
      <c r="AS3287" s="48" t="s">
        <v>1073</v>
      </c>
      <c r="AW3287" s="245" t="s">
        <v>885</v>
      </c>
      <c r="AX3287" s="48">
        <v>7</v>
      </c>
      <c r="BB3287" s="402">
        <f t="shared" ca="1" si="151"/>
        <v>2268000</v>
      </c>
      <c r="BF3287" s="423">
        <v>39373</v>
      </c>
      <c r="BG3287" s="415">
        <f t="shared" si="152"/>
        <v>0</v>
      </c>
      <c r="BH3287" s="415">
        <f t="shared" si="156"/>
        <v>0</v>
      </c>
      <c r="BI3287" s="365">
        <f t="shared" si="157"/>
        <v>0</v>
      </c>
      <c r="BJ3287" s="157">
        <f t="shared" si="153"/>
        <v>0</v>
      </c>
      <c r="BK3287" s="416">
        <f t="shared" si="158"/>
        <v>0</v>
      </c>
      <c r="BN3287" s="1107">
        <f>IF(OR($AC$1127=0,$C$1153="",C$1129=AG$1129),0,$C$1153*$C$1129)</f>
        <v>600000</v>
      </c>
      <c r="BO3287" s="927"/>
      <c r="BP3287" s="927"/>
      <c r="BQ3287" s="927"/>
      <c r="BS3287" s="464" t="str">
        <f t="shared" si="159"/>
        <v>Arenac County</v>
      </c>
      <c r="BZ3287" s="48" t="s">
        <v>1437</v>
      </c>
      <c r="CA3287" t="s">
        <v>1504</v>
      </c>
      <c r="CB3287" s="48" t="s">
        <v>1422</v>
      </c>
      <c r="CC3287" t="s">
        <v>1438</v>
      </c>
      <c r="CD3287" t="s">
        <v>1590</v>
      </c>
      <c r="CE3287" t="s">
        <v>1646</v>
      </c>
      <c r="CF3287" t="s">
        <v>1701</v>
      </c>
      <c r="CG3287" s="245" t="s">
        <v>885</v>
      </c>
      <c r="CH3287" s="245" t="s">
        <v>885</v>
      </c>
      <c r="CI3287" t="s">
        <v>1438</v>
      </c>
      <c r="CJ3287" t="s">
        <v>1758</v>
      </c>
      <c r="CK3287" s="459" t="s">
        <v>885</v>
      </c>
      <c r="CL3287" t="s">
        <v>1872</v>
      </c>
      <c r="CM3287" t="s">
        <v>1438</v>
      </c>
      <c r="CN3287" t="s">
        <v>1902</v>
      </c>
      <c r="CO3287" t="s">
        <v>1999</v>
      </c>
      <c r="CP3287" t="s">
        <v>1902</v>
      </c>
      <c r="CQ3287" t="s">
        <v>2110</v>
      </c>
      <c r="CR3287" t="s">
        <v>2168</v>
      </c>
      <c r="CS3287" t="s">
        <v>1533</v>
      </c>
      <c r="CT3287" t="s">
        <v>2249</v>
      </c>
      <c r="CU3287" t="s">
        <v>2260</v>
      </c>
      <c r="CV3287" t="s">
        <v>2321</v>
      </c>
      <c r="CW3287" t="s">
        <v>1438</v>
      </c>
      <c r="CX3287" t="s">
        <v>2415</v>
      </c>
      <c r="CY3287" t="s">
        <v>2459</v>
      </c>
      <c r="CZ3287" t="s">
        <v>2494</v>
      </c>
      <c r="DA3287" t="s">
        <v>2536</v>
      </c>
      <c r="DB3287" t="s">
        <v>2547</v>
      </c>
      <c r="DC3287" t="s">
        <v>2248</v>
      </c>
      <c r="DD3287" t="s">
        <v>2566</v>
      </c>
      <c r="DE3287" t="s">
        <v>2046</v>
      </c>
      <c r="DF3287" t="s">
        <v>2621</v>
      </c>
      <c r="DG3287" t="s">
        <v>1767</v>
      </c>
      <c r="DH3287" t="s">
        <v>2715</v>
      </c>
      <c r="DI3287" t="s">
        <v>1765</v>
      </c>
      <c r="DJ3287" t="s">
        <v>2790</v>
      </c>
      <c r="DK3287" t="s">
        <v>2808</v>
      </c>
      <c r="DL3287" s="459" t="s">
        <v>885</v>
      </c>
      <c r="DM3287" t="s">
        <v>2621</v>
      </c>
      <c r="DN3287" t="s">
        <v>2871</v>
      </c>
      <c r="DO3287" t="s">
        <v>2119</v>
      </c>
      <c r="DP3287" t="s">
        <v>2934</v>
      </c>
      <c r="DQ3287" t="s">
        <v>3094</v>
      </c>
      <c r="DR3287" t="s">
        <v>3111</v>
      </c>
      <c r="DS3287" t="s">
        <v>3120</v>
      </c>
      <c r="DT3287" t="s">
        <v>1537</v>
      </c>
      <c r="DU3287" t="s">
        <v>1438</v>
      </c>
      <c r="DV3287" t="s">
        <v>3239</v>
      </c>
      <c r="DW3287" t="s">
        <v>1662</v>
      </c>
      <c r="DX3287" s="245" t="s">
        <v>885</v>
      </c>
      <c r="DY3287" s="245"/>
      <c r="DZ3287" s="470" t="str">
        <f t="shared" si="154"/>
        <v/>
      </c>
      <c r="EA3287" s="470" t="str">
        <f t="shared" si="155"/>
        <v/>
      </c>
      <c r="EB3287" t="s">
        <v>3291</v>
      </c>
      <c r="EC3287" s="471" t="s">
        <v>3288</v>
      </c>
      <c r="EF3287" t="s">
        <v>3335</v>
      </c>
      <c r="EG3287" s="473" t="s">
        <v>3288</v>
      </c>
      <c r="EH3287" t="s">
        <v>3348</v>
      </c>
      <c r="EI3287" s="473" t="s">
        <v>3294</v>
      </c>
      <c r="EJ3287" t="s">
        <v>3377</v>
      </c>
      <c r="EK3287" s="473" t="s">
        <v>3294</v>
      </c>
      <c r="EL3287" t="s">
        <v>3435</v>
      </c>
      <c r="EM3287" s="473" t="s">
        <v>3288</v>
      </c>
    </row>
    <row r="3288" spans="1:143" ht="15.5" hidden="1" x14ac:dyDescent="0.35">
      <c r="A3288" s="417" t="s">
        <v>1074</v>
      </c>
      <c r="B3288" s="418" t="s">
        <v>1075</v>
      </c>
      <c r="C3288" s="427">
        <f>C3284</f>
        <v>0</v>
      </c>
      <c r="D3288" s="427" t="s">
        <v>885</v>
      </c>
      <c r="E3288" s="427" t="s">
        <v>885</v>
      </c>
      <c r="G3288" s="420"/>
      <c r="H3288" s="420"/>
      <c r="I3288" s="420"/>
      <c r="J3288" s="420"/>
      <c r="K3288" s="420"/>
      <c r="L3288" s="420"/>
      <c r="M3288" s="420"/>
      <c r="N3288" s="420"/>
      <c r="O3288" s="420"/>
      <c r="P3288" s="420"/>
      <c r="Q3288" s="420"/>
      <c r="R3288" s="420"/>
      <c r="S3288" s="420"/>
      <c r="T3288" s="420"/>
      <c r="U3288" s="420"/>
      <c r="V3288" s="420"/>
      <c r="W3288" s="420"/>
      <c r="X3288" s="420"/>
      <c r="Y3288" s="420"/>
      <c r="Z3288" s="420"/>
      <c r="AA3288" s="411"/>
      <c r="AB3288" s="411" t="s">
        <v>1027</v>
      </c>
      <c r="AC3288" s="245" t="s">
        <v>885</v>
      </c>
      <c r="AD3288" s="245" t="s">
        <v>885</v>
      </c>
      <c r="AE3288" s="245" t="s">
        <v>885</v>
      </c>
      <c r="AF3288" s="245" t="s">
        <v>885</v>
      </c>
      <c r="AG3288" s="245" t="s">
        <v>885</v>
      </c>
      <c r="AH3288" s="245" t="s">
        <v>885</v>
      </c>
      <c r="AI3288" s="245" t="s">
        <v>885</v>
      </c>
      <c r="AJ3288" s="245" t="s">
        <v>885</v>
      </c>
      <c r="AK3288" s="245" t="s">
        <v>885</v>
      </c>
      <c r="AL3288" s="245" t="s">
        <v>885</v>
      </c>
      <c r="AM3288" s="245" t="s">
        <v>885</v>
      </c>
      <c r="AN3288" s="245" t="s">
        <v>885</v>
      </c>
      <c r="AO3288" s="245" t="s">
        <v>885</v>
      </c>
      <c r="AP3288" s="245" t="s">
        <v>885</v>
      </c>
      <c r="AQ3288" s="245" t="s">
        <v>885</v>
      </c>
      <c r="AR3288" s="245" t="s">
        <v>885</v>
      </c>
      <c r="AS3288" s="245" t="s">
        <v>885</v>
      </c>
      <c r="AT3288" s="245" t="s">
        <v>885</v>
      </c>
      <c r="AU3288" s="245" t="s">
        <v>885</v>
      </c>
      <c r="AV3288" s="245" t="s">
        <v>885</v>
      </c>
      <c r="AW3288" s="245" t="s">
        <v>885</v>
      </c>
      <c r="AX3288" s="48">
        <v>8</v>
      </c>
      <c r="BB3288" s="402">
        <f t="shared" ca="1" si="151"/>
        <v>0</v>
      </c>
      <c r="BF3288" s="423">
        <v>30488</v>
      </c>
      <c r="BG3288" s="415">
        <f t="shared" si="152"/>
        <v>0</v>
      </c>
      <c r="BH3288" s="415">
        <f t="shared" si="156"/>
        <v>0</v>
      </c>
      <c r="BI3288" s="365">
        <f t="shared" si="157"/>
        <v>0</v>
      </c>
      <c r="BJ3288" s="157">
        <f t="shared" si="153"/>
        <v>0</v>
      </c>
      <c r="BK3288" s="416">
        <f t="shared" si="158"/>
        <v>0</v>
      </c>
      <c r="BN3288" s="1107"/>
      <c r="BO3288" s="927"/>
      <c r="BP3288" s="927"/>
      <c r="BQ3288" s="927"/>
      <c r="BS3288" s="464" t="str">
        <f t="shared" si="159"/>
        <v>Baraga County</v>
      </c>
      <c r="BZ3288" s="48" t="s">
        <v>1438</v>
      </c>
      <c r="CA3288" t="s">
        <v>1505</v>
      </c>
      <c r="CB3288" s="48" t="s">
        <v>1423</v>
      </c>
      <c r="CC3288" t="s">
        <v>1533</v>
      </c>
      <c r="CD3288" t="s">
        <v>1591</v>
      </c>
      <c r="CE3288" t="s">
        <v>1647</v>
      </c>
      <c r="CF3288" t="s">
        <v>1702</v>
      </c>
      <c r="CG3288" s="245" t="s">
        <v>885</v>
      </c>
      <c r="CH3288" s="245" t="s">
        <v>885</v>
      </c>
      <c r="CI3288" t="s">
        <v>1711</v>
      </c>
      <c r="CJ3288" t="s">
        <v>1759</v>
      </c>
      <c r="CK3288" s="459" t="s">
        <v>885</v>
      </c>
      <c r="CL3288" t="s">
        <v>1873</v>
      </c>
      <c r="CM3288" t="s">
        <v>1533</v>
      </c>
      <c r="CN3288" t="s">
        <v>1533</v>
      </c>
      <c r="CO3288" t="s">
        <v>1531</v>
      </c>
      <c r="CP3288" t="s">
        <v>1437</v>
      </c>
      <c r="CQ3288" t="s">
        <v>1531</v>
      </c>
      <c r="CR3288" t="s">
        <v>2169</v>
      </c>
      <c r="CS3288" t="s">
        <v>2232</v>
      </c>
      <c r="CT3288" t="s">
        <v>2250</v>
      </c>
      <c r="CU3288" t="s">
        <v>2261</v>
      </c>
      <c r="CV3288" t="s">
        <v>1902</v>
      </c>
      <c r="CW3288" t="s">
        <v>1533</v>
      </c>
      <c r="CX3288" t="s">
        <v>1530</v>
      </c>
      <c r="CY3288" t="s">
        <v>2460</v>
      </c>
      <c r="CZ3288" t="s">
        <v>2111</v>
      </c>
      <c r="DA3288" t="s">
        <v>1595</v>
      </c>
      <c r="DB3288" t="s">
        <v>2548</v>
      </c>
      <c r="DC3288" t="s">
        <v>2554</v>
      </c>
      <c r="DD3288" t="s">
        <v>2567</v>
      </c>
      <c r="DE3288" t="s">
        <v>2590</v>
      </c>
      <c r="DF3288" t="s">
        <v>2622</v>
      </c>
      <c r="DG3288" t="s">
        <v>2685</v>
      </c>
      <c r="DH3288" t="s">
        <v>1902</v>
      </c>
      <c r="DI3288" t="s">
        <v>2750</v>
      </c>
      <c r="DJ3288" t="s">
        <v>2565</v>
      </c>
      <c r="DK3288" t="s">
        <v>1708</v>
      </c>
      <c r="DL3288" s="459" t="s">
        <v>885</v>
      </c>
      <c r="DM3288" t="s">
        <v>2844</v>
      </c>
      <c r="DN3288" t="s">
        <v>2495</v>
      </c>
      <c r="DO3288" t="s">
        <v>2905</v>
      </c>
      <c r="DP3288" t="s">
        <v>2935</v>
      </c>
      <c r="DQ3288" t="s">
        <v>3095</v>
      </c>
      <c r="DR3288" t="s">
        <v>3112</v>
      </c>
      <c r="DS3288" t="s">
        <v>3121</v>
      </c>
      <c r="DT3288" t="s">
        <v>3201</v>
      </c>
      <c r="DU3288" t="s">
        <v>1444</v>
      </c>
      <c r="DV3288" t="s">
        <v>3240</v>
      </c>
      <c r="DW3288" t="s">
        <v>3273</v>
      </c>
      <c r="DX3288" s="245" t="s">
        <v>885</v>
      </c>
      <c r="DY3288" s="245"/>
      <c r="DZ3288" s="470" t="str">
        <f t="shared" si="154"/>
        <v/>
      </c>
      <c r="EA3288" s="470" t="str">
        <f t="shared" si="155"/>
        <v/>
      </c>
      <c r="EB3288" t="s">
        <v>3292</v>
      </c>
      <c r="EC3288" s="471" t="s">
        <v>3283</v>
      </c>
      <c r="EF3288" t="s">
        <v>3336</v>
      </c>
      <c r="EG3288" s="473" t="s">
        <v>3283</v>
      </c>
      <c r="EH3288" t="s">
        <v>3335</v>
      </c>
      <c r="EI3288" s="473" t="s">
        <v>3294</v>
      </c>
      <c r="EJ3288" t="s">
        <v>3378</v>
      </c>
      <c r="EK3288" s="473" t="s">
        <v>3294</v>
      </c>
      <c r="EL3288" t="str">
        <f>EL3281</f>
        <v>Brian Mason</v>
      </c>
      <c r="EM3288" s="473" t="str">
        <f>EM3281</f>
        <v>D</v>
      </c>
    </row>
    <row r="3289" spans="1:143" ht="15.5" hidden="1" x14ac:dyDescent="0.35">
      <c r="A3289" s="424" t="s">
        <v>1076</v>
      </c>
      <c r="B3289" s="425" t="s">
        <v>1077</v>
      </c>
      <c r="C3289" s="426">
        <v>200000</v>
      </c>
      <c r="D3289" s="449" t="s">
        <v>885</v>
      </c>
      <c r="G3289" s="420">
        <v>40000</v>
      </c>
      <c r="H3289" s="420"/>
      <c r="I3289" s="420"/>
      <c r="J3289" s="420"/>
      <c r="K3289" s="420"/>
      <c r="L3289" s="420"/>
      <c r="M3289" s="420"/>
      <c r="N3289" s="420"/>
      <c r="O3289" s="420"/>
      <c r="P3289" s="420"/>
      <c r="Q3289" s="420"/>
      <c r="R3289" s="420"/>
      <c r="S3289" s="420"/>
      <c r="T3289" s="420"/>
      <c r="U3289" s="420"/>
      <c r="V3289" s="420"/>
      <c r="W3289" s="420"/>
      <c r="X3289" s="420"/>
      <c r="Y3289" s="420"/>
      <c r="Z3289" s="420"/>
      <c r="AB3289" s="48" t="s">
        <v>1078</v>
      </c>
      <c r="AC3289" s="245" t="s">
        <v>885</v>
      </c>
      <c r="AD3289" s="48" t="s">
        <v>1079</v>
      </c>
      <c r="AF3289" s="421"/>
      <c r="AG3289" s="337"/>
      <c r="AI3289" s="348" t="s">
        <v>1080</v>
      </c>
      <c r="AK3289" s="48" t="s">
        <v>1047</v>
      </c>
      <c r="AO3289" s="48" t="s">
        <v>1081</v>
      </c>
      <c r="AR3289" s="245" t="s">
        <v>885</v>
      </c>
      <c r="AS3289" s="48" t="s">
        <v>1066</v>
      </c>
      <c r="AW3289" s="245" t="s">
        <v>885</v>
      </c>
      <c r="AX3289" s="48">
        <v>9</v>
      </c>
      <c r="BB3289" s="402">
        <f t="shared" ca="1" si="151"/>
        <v>3200000</v>
      </c>
      <c r="BF3289" s="423">
        <v>45877</v>
      </c>
      <c r="BG3289" s="415">
        <f t="shared" si="152"/>
        <v>0</v>
      </c>
      <c r="BH3289" s="415">
        <f t="shared" si="156"/>
        <v>0</v>
      </c>
      <c r="BI3289" s="365">
        <f t="shared" si="157"/>
        <v>0</v>
      </c>
      <c r="BJ3289" s="157">
        <f t="shared" si="153"/>
        <v>0</v>
      </c>
      <c r="BK3289" s="416">
        <f t="shared" si="158"/>
        <v>0</v>
      </c>
      <c r="BN3289" s="1107">
        <f>IF(OR($AC$1127=0,$C$1153="",C$1129=AG$1129),0,$C$1153*$C$1129)</f>
        <v>600000</v>
      </c>
      <c r="BO3289" s="927"/>
      <c r="BP3289" s="927"/>
      <c r="BQ3289" s="927"/>
      <c r="BS3289" s="464" t="str">
        <f t="shared" si="159"/>
        <v>Barry County</v>
      </c>
      <c r="BZ3289" s="48" t="s">
        <v>1439</v>
      </c>
      <c r="CA3289" t="s">
        <v>1506</v>
      </c>
      <c r="CB3289" s="48" t="s">
        <v>1424</v>
      </c>
      <c r="CC3289" t="s">
        <v>1534</v>
      </c>
      <c r="CD3289" t="s">
        <v>1592</v>
      </c>
      <c r="CE3289" t="s">
        <v>1648</v>
      </c>
      <c r="CF3289" s="245" t="s">
        <v>885</v>
      </c>
      <c r="CG3289" s="245" t="s">
        <v>885</v>
      </c>
      <c r="CH3289" s="245" t="s">
        <v>885</v>
      </c>
      <c r="CI3289" t="s">
        <v>1712</v>
      </c>
      <c r="CJ3289" t="s">
        <v>1760</v>
      </c>
      <c r="CK3289" s="459" t="s">
        <v>885</v>
      </c>
      <c r="CL3289" t="s">
        <v>1874</v>
      </c>
      <c r="CM3289" t="s">
        <v>1904</v>
      </c>
      <c r="CN3289" t="s">
        <v>1904</v>
      </c>
      <c r="CO3289" t="s">
        <v>2000</v>
      </c>
      <c r="CP3289" t="s">
        <v>2045</v>
      </c>
      <c r="CQ3289" t="s">
        <v>2044</v>
      </c>
      <c r="CR3289" t="s">
        <v>2170</v>
      </c>
      <c r="CS3289" t="s">
        <v>2233</v>
      </c>
      <c r="CT3289" t="s">
        <v>1698</v>
      </c>
      <c r="CU3289" t="s">
        <v>1707</v>
      </c>
      <c r="CV3289" t="s">
        <v>2322</v>
      </c>
      <c r="CW3289" t="s">
        <v>2005</v>
      </c>
      <c r="CX3289" t="s">
        <v>2416</v>
      </c>
      <c r="CY3289" t="s">
        <v>1654</v>
      </c>
      <c r="CZ3289" t="s">
        <v>1902</v>
      </c>
      <c r="DA3289" t="s">
        <v>2537</v>
      </c>
      <c r="DB3289" t="s">
        <v>2549</v>
      </c>
      <c r="DC3289" t="s">
        <v>2555</v>
      </c>
      <c r="DD3289" t="s">
        <v>2568</v>
      </c>
      <c r="DE3289" t="s">
        <v>2591</v>
      </c>
      <c r="DF3289" t="s">
        <v>2623</v>
      </c>
      <c r="DG3289" t="s">
        <v>1904</v>
      </c>
      <c r="DH3289" t="s">
        <v>1437</v>
      </c>
      <c r="DI3289" t="s">
        <v>2751</v>
      </c>
      <c r="DJ3289" t="s">
        <v>2791</v>
      </c>
      <c r="DK3289" t="s">
        <v>2809</v>
      </c>
      <c r="DL3289" s="459" t="s">
        <v>885</v>
      </c>
      <c r="DM3289" t="s">
        <v>1438</v>
      </c>
      <c r="DN3289" t="s">
        <v>1587</v>
      </c>
      <c r="DO3289" t="s">
        <v>1533</v>
      </c>
      <c r="DP3289" t="s">
        <v>2936</v>
      </c>
      <c r="DQ3289" t="s">
        <v>1663</v>
      </c>
      <c r="DR3289" t="s">
        <v>1612</v>
      </c>
      <c r="DS3289" t="s">
        <v>3122</v>
      </c>
      <c r="DT3289" t="s">
        <v>1658</v>
      </c>
      <c r="DU3289" t="s">
        <v>3223</v>
      </c>
      <c r="DV3289" t="s">
        <v>2266</v>
      </c>
      <c r="DW3289" t="s">
        <v>3274</v>
      </c>
      <c r="DX3289" s="245" t="s">
        <v>885</v>
      </c>
      <c r="DY3289" s="245"/>
      <c r="DZ3289" s="470" t="str">
        <f t="shared" si="154"/>
        <v/>
      </c>
      <c r="EA3289" s="470" t="str">
        <f t="shared" si="155"/>
        <v/>
      </c>
      <c r="EB3289" t="s">
        <v>3293</v>
      </c>
      <c r="EC3289" s="471" t="s">
        <v>3294</v>
      </c>
      <c r="EF3289" t="s">
        <v>3337</v>
      </c>
      <c r="EG3289" s="473" t="s">
        <v>3283</v>
      </c>
      <c r="EH3289" t="str">
        <f>EH3286</f>
        <v>Thomas Deen</v>
      </c>
      <c r="EI3289" s="473" t="s">
        <v>3294</v>
      </c>
      <c r="EJ3289" t="s">
        <v>3379</v>
      </c>
      <c r="EK3289" s="473" t="s">
        <v>3294</v>
      </c>
      <c r="EL3289" t="s">
        <v>3436</v>
      </c>
      <c r="EM3289" s="473" t="s">
        <v>3283</v>
      </c>
    </row>
    <row r="3290" spans="1:143" ht="15.5" hidden="1" x14ac:dyDescent="0.35">
      <c r="A3290" s="417" t="s">
        <v>1082</v>
      </c>
      <c r="B3290" s="418" t="s">
        <v>1083</v>
      </c>
      <c r="C3290" s="419">
        <v>50000</v>
      </c>
      <c r="D3290" s="419">
        <v>2000000</v>
      </c>
      <c r="G3290" s="420"/>
      <c r="H3290" s="420"/>
      <c r="I3290" s="420"/>
      <c r="J3290" s="420"/>
      <c r="K3290" s="420"/>
      <c r="L3290" s="420"/>
      <c r="M3290" s="420"/>
      <c r="N3290" s="420"/>
      <c r="O3290" s="420"/>
      <c r="P3290" s="420"/>
      <c r="Q3290" s="420"/>
      <c r="R3290" s="420"/>
      <c r="S3290" s="420"/>
      <c r="T3290" s="420"/>
      <c r="U3290" s="420"/>
      <c r="V3290" s="420"/>
      <c r="W3290" s="420"/>
      <c r="X3290" s="420"/>
      <c r="Y3290" s="420"/>
      <c r="Z3290" s="420"/>
      <c r="AB3290" s="48" t="s">
        <v>1084</v>
      </c>
      <c r="AC3290" s="245" t="s">
        <v>885</v>
      </c>
      <c r="AD3290" s="411" t="s">
        <v>1085</v>
      </c>
      <c r="AF3290" s="421">
        <v>2</v>
      </c>
      <c r="AG3290" s="48">
        <v>90</v>
      </c>
      <c r="AH3290" s="48" t="s">
        <v>1086</v>
      </c>
      <c r="AI3290" s="48" t="str">
        <f>CONCATENATE(AG3290,AH3290)</f>
        <v>90 days</v>
      </c>
      <c r="AK3290" s="48" t="s">
        <v>1087</v>
      </c>
      <c r="AO3290" s="48" t="s">
        <v>1088</v>
      </c>
      <c r="AR3290" s="245" t="s">
        <v>885</v>
      </c>
      <c r="AS3290" s="48" t="s">
        <v>1089</v>
      </c>
      <c r="AW3290" s="245" t="s">
        <v>885</v>
      </c>
      <c r="AX3290" s="48">
        <v>10</v>
      </c>
      <c r="BB3290" s="402">
        <f t="shared" ca="1" si="151"/>
        <v>600000</v>
      </c>
      <c r="BF3290" s="423">
        <v>26582</v>
      </c>
      <c r="BG3290" s="415">
        <f t="shared" si="152"/>
        <v>0</v>
      </c>
      <c r="BH3290" s="415">
        <f t="shared" si="156"/>
        <v>0</v>
      </c>
      <c r="BI3290" s="365">
        <f t="shared" si="157"/>
        <v>0</v>
      </c>
      <c r="BJ3290" s="157">
        <f t="shared" si="153"/>
        <v>0</v>
      </c>
      <c r="BK3290" s="416">
        <f t="shared" si="158"/>
        <v>0</v>
      </c>
      <c r="BN3290" s="1107">
        <f>IF(OR($AC$1127=0,$C$1153="",C$1129=AG$1129),0,$C$1153*$C$1129)</f>
        <v>600000</v>
      </c>
      <c r="BO3290" s="927"/>
      <c r="BP3290" s="927"/>
      <c r="BQ3290" s="927"/>
      <c r="BS3290" s="464" t="str">
        <f t="shared" si="159"/>
        <v>Bay County</v>
      </c>
      <c r="BZ3290" s="48" t="s">
        <v>1440</v>
      </c>
      <c r="CA3290" t="s">
        <v>1507</v>
      </c>
      <c r="CB3290" s="48" t="s">
        <v>1425</v>
      </c>
      <c r="CC3290" t="s">
        <v>1535</v>
      </c>
      <c r="CD3290" t="s">
        <v>1593</v>
      </c>
      <c r="CE3290" t="s">
        <v>1649</v>
      </c>
      <c r="CF3290" s="245" t="s">
        <v>885</v>
      </c>
      <c r="CG3290" s="245" t="s">
        <v>885</v>
      </c>
      <c r="CH3290" s="245" t="s">
        <v>885</v>
      </c>
      <c r="CI3290" t="s">
        <v>1444</v>
      </c>
      <c r="CJ3290" t="s">
        <v>1761</v>
      </c>
      <c r="CK3290" s="459" t="s">
        <v>885</v>
      </c>
      <c r="CL3290" t="s">
        <v>1875</v>
      </c>
      <c r="CM3290" t="s">
        <v>1905</v>
      </c>
      <c r="CN3290" t="s">
        <v>1535</v>
      </c>
      <c r="CO3290" t="s">
        <v>2001</v>
      </c>
      <c r="CP3290" t="s">
        <v>2046</v>
      </c>
      <c r="CQ3290" t="s">
        <v>2111</v>
      </c>
      <c r="CR3290" t="s">
        <v>2171</v>
      </c>
      <c r="CS3290" t="s">
        <v>2234</v>
      </c>
      <c r="CT3290" t="s">
        <v>2251</v>
      </c>
      <c r="CU3290" t="s">
        <v>2262</v>
      </c>
      <c r="CV3290" t="s">
        <v>2323</v>
      </c>
      <c r="CW3290" t="s">
        <v>1442</v>
      </c>
      <c r="CX3290" t="s">
        <v>1531</v>
      </c>
      <c r="CY3290" t="s">
        <v>2461</v>
      </c>
      <c r="CZ3290" t="s">
        <v>2495</v>
      </c>
      <c r="DA3290" t="s">
        <v>1556</v>
      </c>
      <c r="DB3290" t="s">
        <v>1985</v>
      </c>
      <c r="DC3290" t="s">
        <v>2556</v>
      </c>
      <c r="DD3290" t="s">
        <v>1548</v>
      </c>
      <c r="DE3290" t="s">
        <v>1907</v>
      </c>
      <c r="DF3290" t="s">
        <v>2624</v>
      </c>
      <c r="DG3290" t="s">
        <v>2686</v>
      </c>
      <c r="DH3290" t="s">
        <v>1533</v>
      </c>
      <c r="DI3290" t="s">
        <v>2121</v>
      </c>
      <c r="DJ3290" t="s">
        <v>1658</v>
      </c>
      <c r="DK3290" t="s">
        <v>1437</v>
      </c>
      <c r="DL3290" s="459" t="s">
        <v>885</v>
      </c>
      <c r="DM3290" t="s">
        <v>2845</v>
      </c>
      <c r="DN3290" t="s">
        <v>2119</v>
      </c>
      <c r="DO3290" t="s">
        <v>2121</v>
      </c>
      <c r="DP3290" t="s">
        <v>2937</v>
      </c>
      <c r="DQ3290" t="s">
        <v>1665</v>
      </c>
      <c r="DR3290" t="s">
        <v>2600</v>
      </c>
      <c r="DS3290" t="s">
        <v>2109</v>
      </c>
      <c r="DT3290" t="s">
        <v>3202</v>
      </c>
      <c r="DU3290" t="s">
        <v>1459</v>
      </c>
      <c r="DV3290" t="s">
        <v>1535</v>
      </c>
      <c r="DW3290" t="s">
        <v>1554</v>
      </c>
      <c r="DX3290" s="245" t="s">
        <v>885</v>
      </c>
      <c r="DY3290" s="245"/>
      <c r="DZ3290" s="470" t="str">
        <f t="shared" si="154"/>
        <v/>
      </c>
      <c r="EA3290" s="470" t="str">
        <f t="shared" si="155"/>
        <v/>
      </c>
      <c r="EB3290" t="s">
        <v>3295</v>
      </c>
      <c r="EC3290" s="471" t="s">
        <v>3283</v>
      </c>
      <c r="EF3290" t="s">
        <v>3338</v>
      </c>
      <c r="EG3290" s="473" t="s">
        <v>3288</v>
      </c>
      <c r="EH3290" t="s">
        <v>3349</v>
      </c>
      <c r="EI3290" s="473" t="s">
        <v>3294</v>
      </c>
      <c r="EJ3290" t="s">
        <v>3380</v>
      </c>
      <c r="EK3290" s="473" t="s">
        <v>3294</v>
      </c>
      <c r="EL3290" t="str">
        <f>EL3285</f>
        <v>Joshua Vogel</v>
      </c>
      <c r="EM3290" s="473" t="str">
        <f>EM3285</f>
        <v>R</v>
      </c>
    </row>
    <row r="3291" spans="1:143" ht="15.5" hidden="1" x14ac:dyDescent="0.35">
      <c r="A3291" s="417" t="s">
        <v>1090</v>
      </c>
      <c r="B3291" s="418" t="s">
        <v>1091</v>
      </c>
      <c r="C3291" s="427">
        <f>C3288</f>
        <v>0</v>
      </c>
      <c r="D3291" s="427" t="s">
        <v>885</v>
      </c>
      <c r="E3291" s="427" t="s">
        <v>885</v>
      </c>
      <c r="G3291" s="420"/>
      <c r="H3291" s="420"/>
      <c r="I3291" s="420"/>
      <c r="J3291" s="420"/>
      <c r="K3291" s="420"/>
      <c r="L3291" s="420"/>
      <c r="M3291" s="420"/>
      <c r="N3291" s="420"/>
      <c r="O3291" s="420"/>
      <c r="P3291" s="420"/>
      <c r="Q3291" s="420"/>
      <c r="R3291" s="420"/>
      <c r="S3291" s="420"/>
      <c r="T3291" s="420"/>
      <c r="U3291" s="420"/>
      <c r="V3291" s="420"/>
      <c r="W3291" s="420"/>
      <c r="X3291" s="420"/>
      <c r="Y3291" s="420"/>
      <c r="Z3291" s="420"/>
      <c r="AA3291" s="411"/>
      <c r="AB3291" s="411" t="s">
        <v>1027</v>
      </c>
      <c r="AC3291" s="245" t="s">
        <v>885</v>
      </c>
      <c r="AD3291" s="245" t="s">
        <v>885</v>
      </c>
      <c r="AE3291" s="245" t="s">
        <v>885</v>
      </c>
      <c r="AF3291" s="245" t="s">
        <v>885</v>
      </c>
      <c r="AG3291" s="245" t="s">
        <v>885</v>
      </c>
      <c r="AH3291" s="245" t="s">
        <v>885</v>
      </c>
      <c r="AI3291" s="245" t="s">
        <v>885</v>
      </c>
      <c r="AJ3291" s="245" t="s">
        <v>885</v>
      </c>
      <c r="AK3291" s="245" t="s">
        <v>885</v>
      </c>
      <c r="AL3291" s="245" t="s">
        <v>885</v>
      </c>
      <c r="AM3291" s="245" t="s">
        <v>885</v>
      </c>
      <c r="AN3291" s="245" t="s">
        <v>885</v>
      </c>
      <c r="AO3291" s="245" t="s">
        <v>885</v>
      </c>
      <c r="AP3291" s="245" t="s">
        <v>885</v>
      </c>
      <c r="AQ3291" s="245" t="s">
        <v>885</v>
      </c>
      <c r="AR3291" s="245" t="s">
        <v>885</v>
      </c>
      <c r="AS3291" s="245" t="s">
        <v>885</v>
      </c>
      <c r="AT3291" s="245" t="s">
        <v>885</v>
      </c>
      <c r="AU3291" s="245" t="s">
        <v>885</v>
      </c>
      <c r="AV3291" s="245" t="s">
        <v>885</v>
      </c>
      <c r="AW3291" s="245" t="s">
        <v>885</v>
      </c>
      <c r="AX3291" s="48">
        <v>11</v>
      </c>
      <c r="BB3291" s="402">
        <f t="shared" ca="1" si="151"/>
        <v>0</v>
      </c>
      <c r="BF3291" s="423">
        <v>25615</v>
      </c>
      <c r="BG3291" s="415">
        <f t="shared" si="152"/>
        <v>0</v>
      </c>
      <c r="BH3291" s="415">
        <f t="shared" si="156"/>
        <v>0</v>
      </c>
      <c r="BI3291" s="365">
        <f t="shared" si="157"/>
        <v>0</v>
      </c>
      <c r="BJ3291" s="157">
        <f t="shared" si="153"/>
        <v>0</v>
      </c>
      <c r="BK3291" s="416">
        <f t="shared" si="158"/>
        <v>0</v>
      </c>
      <c r="BN3291" s="1107"/>
      <c r="BO3291" s="927"/>
      <c r="BP3291" s="927"/>
      <c r="BQ3291" s="927"/>
      <c r="BS3291" s="464" t="str">
        <f t="shared" si="159"/>
        <v>Benzie County</v>
      </c>
      <c r="BZ3291" s="48" t="s">
        <v>1441</v>
      </c>
      <c r="CA3291" t="s">
        <v>1508</v>
      </c>
      <c r="CB3291" s="48" t="s">
        <v>1426</v>
      </c>
      <c r="CC3291" t="s">
        <v>1444</v>
      </c>
      <c r="CD3291" t="s">
        <v>1594</v>
      </c>
      <c r="CE3291" t="s">
        <v>1650</v>
      </c>
      <c r="CF3291" s="245" t="s">
        <v>885</v>
      </c>
      <c r="CG3291" s="245" t="s">
        <v>885</v>
      </c>
      <c r="CH3291" s="245" t="s">
        <v>885</v>
      </c>
      <c r="CI3291" t="s">
        <v>1713</v>
      </c>
      <c r="CJ3291" t="s">
        <v>1434</v>
      </c>
      <c r="CK3291" s="459" t="s">
        <v>885</v>
      </c>
      <c r="CL3291" t="s">
        <v>1876</v>
      </c>
      <c r="CM3291" t="s">
        <v>1906</v>
      </c>
      <c r="CN3291" t="s">
        <v>1444</v>
      </c>
      <c r="CO3291" t="s">
        <v>2002</v>
      </c>
      <c r="CP3291" t="s">
        <v>1440</v>
      </c>
      <c r="CQ3291" t="s">
        <v>2112</v>
      </c>
      <c r="CR3291" t="s">
        <v>2172</v>
      </c>
      <c r="CS3291" t="s">
        <v>2235</v>
      </c>
      <c r="CT3291" t="s">
        <v>2252</v>
      </c>
      <c r="CU3291" t="s">
        <v>1761</v>
      </c>
      <c r="CV3291" t="s">
        <v>1904</v>
      </c>
      <c r="CW3291" t="s">
        <v>2381</v>
      </c>
      <c r="CX3291" t="s">
        <v>2001</v>
      </c>
      <c r="CY3291" t="s">
        <v>1784</v>
      </c>
      <c r="CZ3291" t="s">
        <v>2496</v>
      </c>
      <c r="DA3291" t="s">
        <v>2019</v>
      </c>
      <c r="DB3291" s="459" t="s">
        <v>885</v>
      </c>
      <c r="DC3291" t="s">
        <v>1935</v>
      </c>
      <c r="DD3291" t="s">
        <v>2569</v>
      </c>
      <c r="DE3291" t="s">
        <v>1537</v>
      </c>
      <c r="DF3291" t="s">
        <v>2625</v>
      </c>
      <c r="DG3291" t="s">
        <v>2687</v>
      </c>
      <c r="DH3291" t="s">
        <v>1905</v>
      </c>
      <c r="DI3291" t="s">
        <v>1440</v>
      </c>
      <c r="DJ3291" t="s">
        <v>2792</v>
      </c>
      <c r="DK3291" t="s">
        <v>2810</v>
      </c>
      <c r="DL3291" s="459" t="s">
        <v>885</v>
      </c>
      <c r="DM3291" t="s">
        <v>1440</v>
      </c>
      <c r="DN3291" t="s">
        <v>2872</v>
      </c>
      <c r="DO3291" t="s">
        <v>2906</v>
      </c>
      <c r="DP3291" t="s">
        <v>2938</v>
      </c>
      <c r="DQ3291" t="s">
        <v>2280</v>
      </c>
      <c r="DR3291" t="s">
        <v>3113</v>
      </c>
      <c r="DS3291" t="s">
        <v>2806</v>
      </c>
      <c r="DT3291" t="s">
        <v>1460</v>
      </c>
      <c r="DU3291" t="s">
        <v>1797</v>
      </c>
      <c r="DV3291" t="s">
        <v>1537</v>
      </c>
      <c r="DW3291" t="s">
        <v>3275</v>
      </c>
      <c r="DX3291" s="245" t="s">
        <v>885</v>
      </c>
      <c r="DY3291" s="245"/>
      <c r="DZ3291" s="470" t="str">
        <f t="shared" si="154"/>
        <v/>
      </c>
      <c r="EA3291" s="470" t="str">
        <f t="shared" si="155"/>
        <v/>
      </c>
      <c r="EB3291" t="str">
        <f>EB3281</f>
        <v>Randall V. Houston</v>
      </c>
      <c r="EC3291" t="str">
        <f>EC3281</f>
        <v>R</v>
      </c>
      <c r="EF3291" t="s">
        <v>3339</v>
      </c>
      <c r="EG3291" s="473" t="s">
        <v>3288</v>
      </c>
      <c r="EH3291" t="s">
        <v>3350</v>
      </c>
      <c r="EI3291" s="473" t="s">
        <v>3294</v>
      </c>
      <c r="EJ3291" t="s">
        <v>3381</v>
      </c>
      <c r="EK3291" s="473" t="s">
        <v>3294</v>
      </c>
      <c r="EL3291" t="s">
        <v>3437</v>
      </c>
      <c r="EM3291" s="473" t="s">
        <v>3288</v>
      </c>
    </row>
    <row r="3292" spans="1:143" ht="15.5" hidden="1" x14ac:dyDescent="0.35">
      <c r="A3292" s="417" t="s">
        <v>1092</v>
      </c>
      <c r="B3292" s="418" t="s">
        <v>1093</v>
      </c>
      <c r="C3292" s="427">
        <f>C3291</f>
        <v>0</v>
      </c>
      <c r="D3292" s="419">
        <f>IF(AE321&lt;=5,85350,IF(AND(AE321&gt;5,AE321&lt;=14),170000,IF(AE321&gt;14,199150,"$85,350 or $170,000 or $199,150")))</f>
        <v>170000</v>
      </c>
      <c r="G3292" s="420"/>
      <c r="H3292" s="420"/>
      <c r="I3292" s="420"/>
      <c r="J3292" s="420"/>
      <c r="K3292" s="420"/>
      <c r="L3292" s="420"/>
      <c r="M3292" s="420"/>
      <c r="N3292" s="420"/>
      <c r="O3292" s="420"/>
      <c r="P3292" s="420"/>
      <c r="Q3292" s="420"/>
      <c r="R3292" s="420"/>
      <c r="S3292" s="420"/>
      <c r="T3292" s="420"/>
      <c r="U3292" s="420"/>
      <c r="V3292" s="420"/>
      <c r="W3292" s="420"/>
      <c r="X3292" s="420"/>
      <c r="Y3292" s="420"/>
      <c r="Z3292" s="420"/>
      <c r="AA3292" s="411"/>
      <c r="AB3292" s="48" t="s">
        <v>1094</v>
      </c>
      <c r="AC3292" s="245" t="s">
        <v>885</v>
      </c>
      <c r="AD3292" s="48" t="s">
        <v>1095</v>
      </c>
      <c r="AF3292" s="421"/>
      <c r="AG3292" s="48">
        <v>2</v>
      </c>
      <c r="AH3292" s="48" t="s">
        <v>1046</v>
      </c>
      <c r="AI3292" s="48" t="str">
        <f>CONCATENATE(AG3292,AH3292)</f>
        <v>2 years</v>
      </c>
      <c r="AK3292" s="48" t="s">
        <v>1087</v>
      </c>
      <c r="AO3292" s="48" t="s">
        <v>1096</v>
      </c>
      <c r="AR3292" s="245" t="s">
        <v>885</v>
      </c>
      <c r="AS3292" s="48" t="s">
        <v>1073</v>
      </c>
      <c r="AW3292" s="245" t="s">
        <v>885</v>
      </c>
      <c r="AX3292" s="48">
        <v>12</v>
      </c>
      <c r="BB3292" s="402">
        <f t="shared" ca="1" si="151"/>
        <v>0</v>
      </c>
      <c r="BF3292" s="423">
        <v>29736</v>
      </c>
      <c r="BG3292" s="415">
        <f t="shared" si="152"/>
        <v>0</v>
      </c>
      <c r="BH3292" s="415">
        <f t="shared" si="156"/>
        <v>0</v>
      </c>
      <c r="BI3292" s="365">
        <f t="shared" si="157"/>
        <v>0</v>
      </c>
      <c r="BJ3292" s="157">
        <f t="shared" si="153"/>
        <v>0</v>
      </c>
      <c r="BK3292" s="416">
        <f t="shared" si="158"/>
        <v>0</v>
      </c>
      <c r="BN3292" s="1107">
        <f>IF(OR($AC$1127=0,$C$1153="",C$1129=AG$1129),0,$C$1153*$C$1129)</f>
        <v>600000</v>
      </c>
      <c r="BO3292" s="927"/>
      <c r="BP3292" s="927"/>
      <c r="BQ3292" s="927"/>
      <c r="BS3292" s="464" t="str">
        <f t="shared" si="159"/>
        <v>Berrien County</v>
      </c>
      <c r="BZ3292" s="48" t="s">
        <v>1442</v>
      </c>
      <c r="CA3292" t="s">
        <v>1509</v>
      </c>
      <c r="CB3292" s="48" t="s">
        <v>1427</v>
      </c>
      <c r="CC3292" t="s">
        <v>1445</v>
      </c>
      <c r="CD3292" t="s">
        <v>1595</v>
      </c>
      <c r="CE3292" t="s">
        <v>1651</v>
      </c>
      <c r="CF3292" s="245" t="s">
        <v>885</v>
      </c>
      <c r="CG3292" s="245" t="s">
        <v>885</v>
      </c>
      <c r="CH3292" s="245" t="s">
        <v>885</v>
      </c>
      <c r="CI3292" t="s">
        <v>1537</v>
      </c>
      <c r="CJ3292" t="s">
        <v>1762</v>
      </c>
      <c r="CK3292" s="459" t="s">
        <v>885</v>
      </c>
      <c r="CL3292" t="s">
        <v>1587</v>
      </c>
      <c r="CM3292" t="s">
        <v>1535</v>
      </c>
      <c r="CN3292" t="s">
        <v>1907</v>
      </c>
      <c r="CO3292" t="s">
        <v>1437</v>
      </c>
      <c r="CP3292" t="s">
        <v>1649</v>
      </c>
      <c r="CQ3292" t="s">
        <v>2113</v>
      </c>
      <c r="CR3292" t="s">
        <v>2173</v>
      </c>
      <c r="CS3292" t="s">
        <v>2236</v>
      </c>
      <c r="CT3292" t="s">
        <v>2027</v>
      </c>
      <c r="CU3292" t="s">
        <v>2263</v>
      </c>
      <c r="CV3292" t="s">
        <v>2266</v>
      </c>
      <c r="CW3292" t="s">
        <v>1443</v>
      </c>
      <c r="CX3292" t="s">
        <v>1437</v>
      </c>
      <c r="CY3292" t="s">
        <v>2462</v>
      </c>
      <c r="CZ3292" t="s">
        <v>1437</v>
      </c>
      <c r="DA3292" t="s">
        <v>1675</v>
      </c>
      <c r="DB3292" s="459" t="s">
        <v>885</v>
      </c>
      <c r="DC3292" t="s">
        <v>1698</v>
      </c>
      <c r="DD3292" t="s">
        <v>2570</v>
      </c>
      <c r="DE3292" t="s">
        <v>2592</v>
      </c>
      <c r="DF3292" t="s">
        <v>1767</v>
      </c>
      <c r="DG3292" t="s">
        <v>2688</v>
      </c>
      <c r="DH3292" t="s">
        <v>1535</v>
      </c>
      <c r="DI3292" t="s">
        <v>1442</v>
      </c>
      <c r="DJ3292" t="s">
        <v>1548</v>
      </c>
      <c r="DK3292" t="s">
        <v>2811</v>
      </c>
      <c r="DL3292" s="459" t="s">
        <v>885</v>
      </c>
      <c r="DM3292" t="s">
        <v>2813</v>
      </c>
      <c r="DN3292" t="s">
        <v>1535</v>
      </c>
      <c r="DO3292" t="s">
        <v>2813</v>
      </c>
      <c r="DP3292" t="s">
        <v>2939</v>
      </c>
      <c r="DQ3292" t="s">
        <v>3096</v>
      </c>
      <c r="DR3292" t="s">
        <v>1495</v>
      </c>
      <c r="DS3292" t="s">
        <v>3123</v>
      </c>
      <c r="DT3292" t="s">
        <v>1663</v>
      </c>
      <c r="DU3292" t="s">
        <v>1548</v>
      </c>
      <c r="DV3292" t="s">
        <v>1540</v>
      </c>
      <c r="DW3292" t="s">
        <v>1556</v>
      </c>
      <c r="DX3292" s="245" t="s">
        <v>885</v>
      </c>
      <c r="DY3292" s="245"/>
      <c r="DZ3292" s="470" t="str">
        <f t="shared" si="154"/>
        <v/>
      </c>
      <c r="EA3292" s="470" t="str">
        <f t="shared" si="155"/>
        <v/>
      </c>
      <c r="EB3292" t="s">
        <v>3296</v>
      </c>
      <c r="EC3292" s="471" t="s">
        <v>3288</v>
      </c>
      <c r="EF3292" t="s">
        <v>3340</v>
      </c>
      <c r="EG3292" s="473" t="s">
        <v>3283</v>
      </c>
      <c r="EH3292" t="s">
        <v>3351</v>
      </c>
      <c r="EI3292" s="473" t="s">
        <v>3294</v>
      </c>
      <c r="EJ3292" t="s">
        <v>3382</v>
      </c>
      <c r="EK3292" s="473" t="s">
        <v>3294</v>
      </c>
      <c r="EL3292" t="str">
        <f>EL3282</f>
        <v>Alonzo C. Payne</v>
      </c>
      <c r="EM3292" s="473" t="str">
        <f>EM3282</f>
        <v>D</v>
      </c>
    </row>
    <row r="3293" spans="1:143" ht="15.5" hidden="1" x14ac:dyDescent="0.35">
      <c r="A3293" s="417" t="s">
        <v>1097</v>
      </c>
      <c r="B3293" s="418" t="s">
        <v>1098</v>
      </c>
      <c r="C3293" s="427">
        <f>C3292</f>
        <v>0</v>
      </c>
      <c r="D3293" s="427" t="s">
        <v>885</v>
      </c>
      <c r="E3293" s="427" t="s">
        <v>885</v>
      </c>
      <c r="G3293" s="420"/>
      <c r="H3293" s="420"/>
      <c r="I3293" s="420"/>
      <c r="J3293" s="420"/>
      <c r="K3293" s="420"/>
      <c r="L3293" s="420"/>
      <c r="M3293" s="420"/>
      <c r="N3293" s="420"/>
      <c r="O3293" s="420"/>
      <c r="P3293" s="420"/>
      <c r="Q3293" s="420"/>
      <c r="R3293" s="420"/>
      <c r="S3293" s="420"/>
      <c r="T3293" s="420"/>
      <c r="U3293" s="420"/>
      <c r="V3293" s="420"/>
      <c r="W3293" s="420"/>
      <c r="X3293" s="420"/>
      <c r="Y3293" s="420"/>
      <c r="Z3293" s="420"/>
      <c r="AA3293" s="411"/>
      <c r="AB3293" s="411" t="s">
        <v>1027</v>
      </c>
      <c r="AC3293" s="245" t="s">
        <v>885</v>
      </c>
      <c r="AD3293" s="245" t="s">
        <v>885</v>
      </c>
      <c r="AE3293" s="245" t="s">
        <v>885</v>
      </c>
      <c r="AF3293" s="245" t="s">
        <v>885</v>
      </c>
      <c r="AG3293" s="245" t="s">
        <v>885</v>
      </c>
      <c r="AH3293" s="245" t="s">
        <v>885</v>
      </c>
      <c r="AI3293" s="245" t="s">
        <v>885</v>
      </c>
      <c r="AJ3293" s="245" t="s">
        <v>885</v>
      </c>
      <c r="AK3293" s="245" t="s">
        <v>885</v>
      </c>
      <c r="AL3293" s="245" t="s">
        <v>885</v>
      </c>
      <c r="AM3293" s="245" t="s">
        <v>885</v>
      </c>
      <c r="AN3293" s="245" t="s">
        <v>885</v>
      </c>
      <c r="AO3293" s="245" t="s">
        <v>885</v>
      </c>
      <c r="AP3293" s="245" t="s">
        <v>885</v>
      </c>
      <c r="AQ3293" s="245" t="s">
        <v>885</v>
      </c>
      <c r="AR3293" s="245" t="s">
        <v>885</v>
      </c>
      <c r="AS3293" s="245" t="s">
        <v>885</v>
      </c>
      <c r="AT3293" s="245" t="s">
        <v>885</v>
      </c>
      <c r="AU3293" s="245" t="s">
        <v>885</v>
      </c>
      <c r="AV3293" s="245" t="s">
        <v>885</v>
      </c>
      <c r="AW3293" s="245" t="s">
        <v>885</v>
      </c>
      <c r="AX3293" s="48">
        <v>13</v>
      </c>
      <c r="BB3293" s="402">
        <f t="shared" ca="1" si="151"/>
        <v>0</v>
      </c>
      <c r="BF3293" s="423">
        <v>23938</v>
      </c>
      <c r="BG3293" s="415">
        <f t="shared" si="152"/>
        <v>0</v>
      </c>
      <c r="BH3293" s="415">
        <f t="shared" si="156"/>
        <v>0</v>
      </c>
      <c r="BI3293" s="365">
        <f t="shared" si="157"/>
        <v>0</v>
      </c>
      <c r="BJ3293" s="157">
        <f t="shared" si="153"/>
        <v>0</v>
      </c>
      <c r="BK3293" s="416">
        <f t="shared" si="158"/>
        <v>0</v>
      </c>
      <c r="BN3293" s="1107">
        <f>IF(C1129&lt;=5,85350,IF(AND(AE321&gt;5,C1129&lt;=14),170000,IF(C1129&gt;14,199150)))</f>
        <v>170000</v>
      </c>
      <c r="BO3293" s="927"/>
      <c r="BP3293" s="927"/>
      <c r="BQ3293" s="927"/>
      <c r="BS3293" s="464" t="str">
        <f t="shared" si="159"/>
        <v>Branch County</v>
      </c>
      <c r="BZ3293" s="48" t="s">
        <v>1443</v>
      </c>
      <c r="CA3293" t="s">
        <v>1510</v>
      </c>
      <c r="CB3293" s="48" t="s">
        <v>1428</v>
      </c>
      <c r="CC3293" t="s">
        <v>1536</v>
      </c>
      <c r="CD3293" t="s">
        <v>1596</v>
      </c>
      <c r="CE3293" t="s">
        <v>1652</v>
      </c>
      <c r="CF3293" s="245" t="s">
        <v>885</v>
      </c>
      <c r="CG3293" s="245" t="s">
        <v>885</v>
      </c>
      <c r="CH3293" s="245" t="s">
        <v>885</v>
      </c>
      <c r="CI3293" t="s">
        <v>1714</v>
      </c>
      <c r="CJ3293" t="s">
        <v>1763</v>
      </c>
      <c r="CK3293" s="459" t="s">
        <v>885</v>
      </c>
      <c r="CL3293" t="s">
        <v>1877</v>
      </c>
      <c r="CM3293" t="s">
        <v>1444</v>
      </c>
      <c r="CN3293" t="s">
        <v>1540</v>
      </c>
      <c r="CO3293" t="s">
        <v>1438</v>
      </c>
      <c r="CP3293" t="s">
        <v>1535</v>
      </c>
      <c r="CQ3293" t="s">
        <v>2114</v>
      </c>
      <c r="CR3293" t="s">
        <v>2174</v>
      </c>
      <c r="CS3293" t="s">
        <v>2237</v>
      </c>
      <c r="CT3293" t="s">
        <v>2253</v>
      </c>
      <c r="CU3293" t="s">
        <v>1438</v>
      </c>
      <c r="CV3293" t="s">
        <v>2324</v>
      </c>
      <c r="CW3293" t="s">
        <v>1444</v>
      </c>
      <c r="CX3293" t="s">
        <v>2117</v>
      </c>
      <c r="CY3293" t="s">
        <v>2463</v>
      </c>
      <c r="CZ3293" t="s">
        <v>1904</v>
      </c>
      <c r="DA3293" t="s">
        <v>2538</v>
      </c>
      <c r="DB3293" s="459" t="s">
        <v>885</v>
      </c>
      <c r="DC3293" t="s">
        <v>2557</v>
      </c>
      <c r="DD3293" t="s">
        <v>2571</v>
      </c>
      <c r="DE3293" t="s">
        <v>1959</v>
      </c>
      <c r="DF3293" t="s">
        <v>2626</v>
      </c>
      <c r="DG3293" t="s">
        <v>2689</v>
      </c>
      <c r="DH3293" t="s">
        <v>2716</v>
      </c>
      <c r="DI3293" t="s">
        <v>2752</v>
      </c>
      <c r="DJ3293" t="s">
        <v>2793</v>
      </c>
      <c r="DK3293" t="s">
        <v>2458</v>
      </c>
      <c r="DL3293" s="459" t="s">
        <v>885</v>
      </c>
      <c r="DM3293" t="s">
        <v>2846</v>
      </c>
      <c r="DN3293" t="s">
        <v>1444</v>
      </c>
      <c r="DO3293" t="s">
        <v>2381</v>
      </c>
      <c r="DP3293" t="s">
        <v>2940</v>
      </c>
      <c r="DQ3293" t="s">
        <v>1922</v>
      </c>
      <c r="DR3293" t="s">
        <v>1702</v>
      </c>
      <c r="DS3293" t="s">
        <v>3124</v>
      </c>
      <c r="DT3293" t="s">
        <v>1548</v>
      </c>
      <c r="DU3293" t="s">
        <v>3224</v>
      </c>
      <c r="DV3293" t="s">
        <v>3241</v>
      </c>
      <c r="DW3293" t="s">
        <v>3276</v>
      </c>
      <c r="DX3293" s="245" t="s">
        <v>885</v>
      </c>
      <c r="DY3293" s="245"/>
      <c r="DZ3293" s="470" t="str">
        <f t="shared" si="154"/>
        <v/>
      </c>
      <c r="EA3293" s="470" t="str">
        <f t="shared" si="155"/>
        <v/>
      </c>
      <c r="EB3293" t="str">
        <f>EB3292</f>
        <v>Spencer B. Walker</v>
      </c>
      <c r="EC3293" s="471" t="str">
        <f>EC3292</f>
        <v>D</v>
      </c>
      <c r="EF3293" t="s">
        <v>3341</v>
      </c>
      <c r="EG3293" s="473" t="s">
        <v>3288</v>
      </c>
      <c r="EH3293" t="str">
        <f>EH3287</f>
        <v>Jeff Rogers</v>
      </c>
      <c r="EI3293" s="473" t="s">
        <v>3294</v>
      </c>
      <c r="EJ3293" t="s">
        <v>3383</v>
      </c>
      <c r="EK3293" s="473" t="s">
        <v>3294</v>
      </c>
      <c r="EL3293" t="str">
        <f>EL3292</f>
        <v>Alonzo C. Payne</v>
      </c>
      <c r="EM3293" s="473" t="str">
        <f>EM3292</f>
        <v>D</v>
      </c>
    </row>
    <row r="3294" spans="1:143" ht="15.5" hidden="1" x14ac:dyDescent="0.35">
      <c r="A3294" s="417" t="s">
        <v>1099</v>
      </c>
      <c r="B3294" s="418" t="s">
        <v>1100</v>
      </c>
      <c r="C3294" s="427">
        <f>C3293</f>
        <v>0</v>
      </c>
      <c r="D3294" s="448" t="s">
        <v>885</v>
      </c>
      <c r="E3294" s="245" t="s">
        <v>885</v>
      </c>
      <c r="G3294" s="420"/>
      <c r="H3294" s="420"/>
      <c r="I3294" s="420"/>
      <c r="J3294" s="420"/>
      <c r="K3294" s="420"/>
      <c r="L3294" s="420"/>
      <c r="M3294" s="420"/>
      <c r="N3294" s="420"/>
      <c r="O3294" s="420"/>
      <c r="P3294" s="420"/>
      <c r="Q3294" s="420"/>
      <c r="R3294" s="420"/>
      <c r="S3294" s="420"/>
      <c r="T3294" s="420"/>
      <c r="U3294" s="420"/>
      <c r="V3294" s="420"/>
      <c r="W3294" s="420"/>
      <c r="X3294" s="420"/>
      <c r="Y3294" s="420"/>
      <c r="Z3294" s="420"/>
      <c r="AB3294" s="48" t="s">
        <v>1101</v>
      </c>
      <c r="AC3294" s="245" t="s">
        <v>885</v>
      </c>
      <c r="AD3294" s="48" t="s">
        <v>1102</v>
      </c>
      <c r="AF3294" s="421">
        <v>2</v>
      </c>
      <c r="AG3294" s="48">
        <v>2</v>
      </c>
      <c r="AH3294" s="48" t="s">
        <v>1046</v>
      </c>
      <c r="AI3294" s="48" t="str">
        <f>CONCATENATE(AG3294,AH3294)</f>
        <v>2 years</v>
      </c>
      <c r="AK3294" s="48" t="s">
        <v>1047</v>
      </c>
      <c r="AO3294" s="48" t="s">
        <v>1103</v>
      </c>
      <c r="AR3294" s="245" t="s">
        <v>885</v>
      </c>
      <c r="AS3294" s="48" t="s">
        <v>1073</v>
      </c>
      <c r="AW3294" s="245" t="s">
        <v>885</v>
      </c>
      <c r="AX3294" s="48">
        <v>14</v>
      </c>
      <c r="BB3294" s="402">
        <f t="shared" ca="1" si="151"/>
        <v>0</v>
      </c>
      <c r="BD3294" s="48">
        <f>IF(D3294=1,"varies",C3294)</f>
        <v>0</v>
      </c>
      <c r="BF3294" s="423">
        <v>30417</v>
      </c>
      <c r="BG3294" s="415">
        <f t="shared" si="152"/>
        <v>0</v>
      </c>
      <c r="BH3294" s="415">
        <f t="shared" si="156"/>
        <v>0</v>
      </c>
      <c r="BI3294" s="365">
        <f t="shared" si="157"/>
        <v>0</v>
      </c>
      <c r="BJ3294" s="157">
        <f t="shared" si="153"/>
        <v>0</v>
      </c>
      <c r="BK3294" s="416">
        <f t="shared" si="158"/>
        <v>0</v>
      </c>
      <c r="BN3294" s="1107">
        <f>IF(OR($AC$1127=0,$C$1153="",C$1129=AG$1129),0,$C$1153*$C$1129)</f>
        <v>600000</v>
      </c>
      <c r="BO3294" s="927"/>
      <c r="BP3294" s="927"/>
      <c r="BQ3294" s="927"/>
      <c r="BS3294" s="464" t="str">
        <f t="shared" si="159"/>
        <v>Calhoun County</v>
      </c>
      <c r="BZ3294" s="48" t="s">
        <v>1444</v>
      </c>
      <c r="CA3294" t="s">
        <v>1511</v>
      </c>
      <c r="CB3294" s="48" t="s">
        <v>1429</v>
      </c>
      <c r="CC3294" t="s">
        <v>1537</v>
      </c>
      <c r="CD3294" t="s">
        <v>1597</v>
      </c>
      <c r="CE3294" t="s">
        <v>1653</v>
      </c>
      <c r="CF3294" s="245" t="s">
        <v>885</v>
      </c>
      <c r="CG3294" s="245" t="s">
        <v>885</v>
      </c>
      <c r="CH3294" s="245" t="s">
        <v>885</v>
      </c>
      <c r="CI3294" t="s">
        <v>1715</v>
      </c>
      <c r="CJ3294" t="s">
        <v>1764</v>
      </c>
      <c r="CK3294" s="459" t="s">
        <v>885</v>
      </c>
      <c r="CL3294" t="s">
        <v>1878</v>
      </c>
      <c r="CM3294" t="s">
        <v>1907</v>
      </c>
      <c r="CN3294" t="s">
        <v>1957</v>
      </c>
      <c r="CO3294" t="s">
        <v>1533</v>
      </c>
      <c r="CP3294" t="s">
        <v>1444</v>
      </c>
      <c r="CQ3294" t="s">
        <v>2115</v>
      </c>
      <c r="CR3294" t="s">
        <v>2175</v>
      </c>
      <c r="CS3294" t="s">
        <v>1551</v>
      </c>
      <c r="CT3294" t="s">
        <v>2243</v>
      </c>
      <c r="CU3294" t="s">
        <v>1904</v>
      </c>
      <c r="CV3294" t="s">
        <v>1444</v>
      </c>
      <c r="CW3294" t="s">
        <v>2382</v>
      </c>
      <c r="CX3294" t="s">
        <v>2417</v>
      </c>
      <c r="CY3294" t="s">
        <v>2464</v>
      </c>
      <c r="CZ3294" t="s">
        <v>2003</v>
      </c>
      <c r="DA3294" t="s">
        <v>2539</v>
      </c>
      <c r="DB3294" s="459" t="s">
        <v>885</v>
      </c>
      <c r="DC3294" t="s">
        <v>2073</v>
      </c>
      <c r="DD3294" t="s">
        <v>2572</v>
      </c>
      <c r="DE3294" t="s">
        <v>2593</v>
      </c>
      <c r="DF3294" t="s">
        <v>2117</v>
      </c>
      <c r="DG3294" t="s">
        <v>2568</v>
      </c>
      <c r="DH3294" t="s">
        <v>1907</v>
      </c>
      <c r="DI3294" t="s">
        <v>1536</v>
      </c>
      <c r="DJ3294" t="s">
        <v>2794</v>
      </c>
      <c r="DK3294" t="s">
        <v>2812</v>
      </c>
      <c r="DL3294" s="459" t="s">
        <v>885</v>
      </c>
      <c r="DM3294" t="s">
        <v>2847</v>
      </c>
      <c r="DN3294" t="s">
        <v>2873</v>
      </c>
      <c r="DO3294" t="s">
        <v>1444</v>
      </c>
      <c r="DP3294" t="s">
        <v>2110</v>
      </c>
      <c r="DQ3294" t="s">
        <v>3097</v>
      </c>
      <c r="DR3294" t="s">
        <v>3114</v>
      </c>
      <c r="DS3294" t="s">
        <v>3125</v>
      </c>
      <c r="DT3294" t="s">
        <v>3203</v>
      </c>
      <c r="DU3294" t="s">
        <v>2250</v>
      </c>
      <c r="DV3294" t="s">
        <v>1786</v>
      </c>
      <c r="DW3294" t="s">
        <v>3277</v>
      </c>
      <c r="DX3294" s="245" t="s">
        <v>885</v>
      </c>
      <c r="DY3294" s="245"/>
      <c r="DZ3294" s="470" t="str">
        <f t="shared" si="154"/>
        <v/>
      </c>
      <c r="EA3294" s="470" t="str">
        <f t="shared" si="155"/>
        <v/>
      </c>
      <c r="EB3294" t="s">
        <v>3297</v>
      </c>
      <c r="EC3294" s="471" t="s">
        <v>3283</v>
      </c>
      <c r="EF3294" t="s">
        <v>3342</v>
      </c>
      <c r="EG3294" s="473" t="s">
        <v>3283</v>
      </c>
      <c r="EH3294" t="str">
        <f>EH3293</f>
        <v>Jeff Rogers</v>
      </c>
      <c r="EI3294" s="473" t="s">
        <v>3294</v>
      </c>
      <c r="EJ3294" t="s">
        <v>3384</v>
      </c>
      <c r="EK3294" s="473" t="s">
        <v>3294</v>
      </c>
      <c r="EL3294" t="s">
        <v>3434</v>
      </c>
      <c r="EM3294" s="473" t="str">
        <f>EM3286</f>
        <v>R</v>
      </c>
    </row>
    <row r="3295" spans="1:143" ht="15.5" hidden="1" x14ac:dyDescent="0.35">
      <c r="A3295" s="417" t="s">
        <v>1104</v>
      </c>
      <c r="B3295" s="418" t="s">
        <v>1105</v>
      </c>
      <c r="C3295" s="419">
        <v>50000</v>
      </c>
      <c r="D3295" s="427" t="s">
        <v>885</v>
      </c>
      <c r="G3295" s="420"/>
      <c r="H3295" s="420"/>
      <c r="I3295" s="420"/>
      <c r="J3295" s="420"/>
      <c r="K3295" s="420"/>
      <c r="L3295" s="420"/>
      <c r="M3295" s="420"/>
      <c r="N3295" s="420"/>
      <c r="O3295" s="420"/>
      <c r="P3295" s="420"/>
      <c r="Q3295" s="420"/>
      <c r="R3295" s="420"/>
      <c r="S3295" s="420"/>
      <c r="T3295" s="420"/>
      <c r="U3295" s="420"/>
      <c r="V3295" s="420"/>
      <c r="W3295" s="420"/>
      <c r="X3295" s="420"/>
      <c r="Y3295" s="420"/>
      <c r="Z3295" s="420"/>
      <c r="AB3295" s="429" t="s">
        <v>1106</v>
      </c>
      <c r="AC3295" s="245" t="s">
        <v>885</v>
      </c>
      <c r="AD3295" s="421" t="s">
        <v>1107</v>
      </c>
      <c r="AF3295" s="421">
        <v>2</v>
      </c>
      <c r="AI3295" s="421" t="str">
        <f>AI3289</f>
        <v>unspecfied</v>
      </c>
      <c r="AK3295" s="430" t="s">
        <v>1107</v>
      </c>
      <c r="AO3295" s="421" t="s">
        <v>1107</v>
      </c>
      <c r="AR3295" s="245" t="s">
        <v>885</v>
      </c>
      <c r="AS3295" s="245" t="s">
        <v>885</v>
      </c>
      <c r="AT3295" s="245" t="s">
        <v>885</v>
      </c>
      <c r="AU3295" s="245" t="s">
        <v>885</v>
      </c>
      <c r="AV3295" s="245" t="s">
        <v>885</v>
      </c>
      <c r="AW3295" s="245" t="s">
        <v>885</v>
      </c>
      <c r="AX3295" s="48">
        <v>15</v>
      </c>
      <c r="BB3295" s="402">
        <f t="shared" ca="1" si="151"/>
        <v>600000</v>
      </c>
      <c r="BF3295" s="423">
        <v>25140</v>
      </c>
      <c r="BG3295" s="415">
        <f t="shared" si="152"/>
        <v>0</v>
      </c>
      <c r="BH3295" s="415">
        <f t="shared" si="156"/>
        <v>0</v>
      </c>
      <c r="BI3295" s="365">
        <f t="shared" si="157"/>
        <v>0</v>
      </c>
      <c r="BJ3295" s="157">
        <f t="shared" si="153"/>
        <v>0</v>
      </c>
      <c r="BK3295" s="416">
        <f t="shared" si="158"/>
        <v>0</v>
      </c>
      <c r="BS3295" s="464" t="str">
        <f t="shared" si="159"/>
        <v>Cass County</v>
      </c>
      <c r="BZ3295" s="48" t="s">
        <v>1445</v>
      </c>
      <c r="CA3295" t="s">
        <v>1512</v>
      </c>
      <c r="CB3295" s="48" t="s">
        <v>1430</v>
      </c>
      <c r="CC3295" t="s">
        <v>1538</v>
      </c>
      <c r="CD3295" t="s">
        <v>1598</v>
      </c>
      <c r="CE3295" t="s">
        <v>1654</v>
      </c>
      <c r="CF3295" s="245" t="s">
        <v>885</v>
      </c>
      <c r="CG3295" s="245" t="s">
        <v>885</v>
      </c>
      <c r="CH3295" s="245" t="s">
        <v>885</v>
      </c>
      <c r="CI3295" t="s">
        <v>1716</v>
      </c>
      <c r="CJ3295" t="s">
        <v>1765</v>
      </c>
      <c r="CK3295" s="459" t="s">
        <v>885</v>
      </c>
      <c r="CL3295" t="s">
        <v>1879</v>
      </c>
      <c r="CM3295" t="s">
        <v>1908</v>
      </c>
      <c r="CN3295" t="s">
        <v>1958</v>
      </c>
      <c r="CO3295" t="s">
        <v>1904</v>
      </c>
      <c r="CP3295" t="s">
        <v>2047</v>
      </c>
      <c r="CQ3295" t="s">
        <v>2116</v>
      </c>
      <c r="CR3295" t="s">
        <v>2176</v>
      </c>
      <c r="CS3295" t="s">
        <v>148</v>
      </c>
      <c r="CT3295" s="245" t="s">
        <v>885</v>
      </c>
      <c r="CU3295" t="s">
        <v>2264</v>
      </c>
      <c r="CV3295" t="s">
        <v>1881</v>
      </c>
      <c r="CW3295" t="s">
        <v>2383</v>
      </c>
      <c r="CX3295" t="s">
        <v>1769</v>
      </c>
      <c r="CY3295" t="s">
        <v>2465</v>
      </c>
      <c r="CZ3295" t="s">
        <v>2045</v>
      </c>
      <c r="DA3295" t="s">
        <v>2540</v>
      </c>
      <c r="DB3295" s="459" t="s">
        <v>885</v>
      </c>
      <c r="DC3295" t="s">
        <v>2558</v>
      </c>
      <c r="DD3295" t="s">
        <v>1556</v>
      </c>
      <c r="DE3295" t="s">
        <v>2594</v>
      </c>
      <c r="DF3295" t="s">
        <v>1769</v>
      </c>
      <c r="DG3295" t="s">
        <v>2690</v>
      </c>
      <c r="DH3295" t="s">
        <v>2717</v>
      </c>
      <c r="DI3295" t="s">
        <v>2753</v>
      </c>
      <c r="DJ3295" t="s">
        <v>1466</v>
      </c>
      <c r="DK3295" t="s">
        <v>2813</v>
      </c>
      <c r="DL3295" s="459" t="s">
        <v>885</v>
      </c>
      <c r="DM3295" t="s">
        <v>2848</v>
      </c>
      <c r="DN3295" t="s">
        <v>2874</v>
      </c>
      <c r="DO3295" t="s">
        <v>2907</v>
      </c>
      <c r="DP3295" t="s">
        <v>2941</v>
      </c>
      <c r="DQ3295" t="s">
        <v>1482</v>
      </c>
      <c r="DR3295" s="459" t="s">
        <v>885</v>
      </c>
      <c r="DS3295" t="s">
        <v>2624</v>
      </c>
      <c r="DT3295" t="s">
        <v>3204</v>
      </c>
      <c r="DU3295" t="s">
        <v>1805</v>
      </c>
      <c r="DV3295" t="s">
        <v>3242</v>
      </c>
      <c r="DW3295" t="s">
        <v>1681</v>
      </c>
      <c r="DX3295" s="245" t="s">
        <v>885</v>
      </c>
      <c r="DY3295" s="245"/>
      <c r="DZ3295" s="470" t="str">
        <f t="shared" si="154"/>
        <v/>
      </c>
      <c r="EA3295" s="470" t="str">
        <f t="shared" si="155"/>
        <v/>
      </c>
      <c r="EB3295" t="str">
        <f>EB3288</f>
        <v>Brian A. McVeigh</v>
      </c>
      <c r="EC3295" t="str">
        <f>EC3288</f>
        <v>R</v>
      </c>
      <c r="EF3295" t="s">
        <v>3343</v>
      </c>
      <c r="EG3295" s="473" t="s">
        <v>3288</v>
      </c>
      <c r="EH3295" t="s">
        <v>3352</v>
      </c>
      <c r="EI3295" s="473" t="s">
        <v>3294</v>
      </c>
      <c r="EJ3295" t="s">
        <v>3385</v>
      </c>
      <c r="EK3295" s="473" t="s">
        <v>3294</v>
      </c>
      <c r="EL3295" t="str">
        <f>EL3289</f>
        <v>Linda Stanley</v>
      </c>
      <c r="EM3295" s="473" t="str">
        <f>EM3289</f>
        <v>R</v>
      </c>
    </row>
    <row r="3296" spans="1:143" ht="15.5" hidden="1" x14ac:dyDescent="0.35">
      <c r="A3296" s="417" t="s">
        <v>1108</v>
      </c>
      <c r="B3296" s="418" t="s">
        <v>1109</v>
      </c>
      <c r="C3296" s="419">
        <f>365.25*50</f>
        <v>18262.5</v>
      </c>
      <c r="D3296" s="427" t="s">
        <v>885</v>
      </c>
      <c r="G3296" s="420"/>
      <c r="H3296" s="420"/>
      <c r="I3296" s="420"/>
      <c r="J3296" s="420"/>
      <c r="K3296" s="420"/>
      <c r="L3296" s="420"/>
      <c r="M3296" s="420"/>
      <c r="N3296" s="420"/>
      <c r="O3296" s="420"/>
      <c r="P3296" s="420"/>
      <c r="Q3296" s="420"/>
      <c r="R3296" s="420"/>
      <c r="S3296" s="420"/>
      <c r="T3296" s="420"/>
      <c r="U3296" s="420"/>
      <c r="V3296" s="420"/>
      <c r="W3296" s="420"/>
      <c r="X3296" s="420"/>
      <c r="Y3296" s="420"/>
      <c r="Z3296" s="420"/>
      <c r="AA3296" s="431"/>
      <c r="AB3296" s="431" t="s">
        <v>1110</v>
      </c>
      <c r="AC3296" s="245" t="s">
        <v>885</v>
      </c>
      <c r="AD3296" s="48" t="s">
        <v>1111</v>
      </c>
      <c r="AF3296" s="421">
        <v>2</v>
      </c>
      <c r="AG3296" s="48">
        <v>2</v>
      </c>
      <c r="AH3296" s="48" t="s">
        <v>1046</v>
      </c>
      <c r="AI3296" s="48" t="str">
        <f>CONCATENATE(AG3296,AH3296)</f>
        <v>2 years</v>
      </c>
      <c r="AK3296" s="48" t="s">
        <v>1112</v>
      </c>
      <c r="AO3296" s="48" t="s">
        <v>1113</v>
      </c>
      <c r="AR3296" s="245" t="s">
        <v>885</v>
      </c>
      <c r="AS3296" s="48" t="s">
        <v>1066</v>
      </c>
      <c r="AW3296" s="245" t="s">
        <v>885</v>
      </c>
      <c r="AX3296" s="48">
        <v>16</v>
      </c>
      <c r="BB3296" s="402">
        <f t="shared" ca="1" si="151"/>
        <v>219150</v>
      </c>
      <c r="BF3296" s="423">
        <v>28361</v>
      </c>
      <c r="BG3296" s="415">
        <f t="shared" si="152"/>
        <v>0</v>
      </c>
      <c r="BH3296" s="415">
        <f t="shared" si="156"/>
        <v>0</v>
      </c>
      <c r="BI3296" s="365">
        <f t="shared" si="157"/>
        <v>0</v>
      </c>
      <c r="BJ3296" s="157">
        <f t="shared" si="153"/>
        <v>0</v>
      </c>
      <c r="BK3296" s="416">
        <f t="shared" si="158"/>
        <v>0</v>
      </c>
      <c r="BN3296" s="1107">
        <f>IF(OR($AC$1127=0,$C$1153="",C$1129=AG$1129),0,$C$1153*$C$1129)</f>
        <v>600000</v>
      </c>
      <c r="BO3296" s="927"/>
      <c r="BP3296" s="927"/>
      <c r="BQ3296" s="927"/>
      <c r="BS3296" s="464" t="str">
        <f t="shared" si="159"/>
        <v>Charlevoix County</v>
      </c>
      <c r="BZ3296" s="48" t="s">
        <v>1446</v>
      </c>
      <c r="CA3296" t="s">
        <v>1513</v>
      </c>
      <c r="CB3296" s="245" t="s">
        <v>885</v>
      </c>
      <c r="CC3296" t="s">
        <v>1539</v>
      </c>
      <c r="CD3296" t="s">
        <v>1599</v>
      </c>
      <c r="CE3296" t="s">
        <v>1655</v>
      </c>
      <c r="CF3296" s="245" t="s">
        <v>885</v>
      </c>
      <c r="CG3296" s="245" t="s">
        <v>885</v>
      </c>
      <c r="CH3296" s="245" t="s">
        <v>885</v>
      </c>
      <c r="CI3296" t="s">
        <v>1457</v>
      </c>
      <c r="CJ3296" t="s">
        <v>1766</v>
      </c>
      <c r="CK3296" s="459" t="s">
        <v>885</v>
      </c>
      <c r="CL3296" t="s">
        <v>1880</v>
      </c>
      <c r="CM3296" t="s">
        <v>1780</v>
      </c>
      <c r="CN3296" t="s">
        <v>1785</v>
      </c>
      <c r="CO3296" t="s">
        <v>2003</v>
      </c>
      <c r="CP3296" t="s">
        <v>2048</v>
      </c>
      <c r="CQ3296" t="s">
        <v>1437</v>
      </c>
      <c r="CR3296" t="s">
        <v>2177</v>
      </c>
      <c r="CS3296" t="s">
        <v>1481</v>
      </c>
      <c r="CT3296" s="245" t="s">
        <v>885</v>
      </c>
      <c r="CU3296" t="s">
        <v>2265</v>
      </c>
      <c r="CV3296" t="s">
        <v>1780</v>
      </c>
      <c r="CW3296" t="s">
        <v>1450</v>
      </c>
      <c r="CX3296" t="s">
        <v>2418</v>
      </c>
      <c r="CY3296" t="s">
        <v>1915</v>
      </c>
      <c r="CZ3296" t="s">
        <v>2497</v>
      </c>
      <c r="DA3296" t="s">
        <v>2541</v>
      </c>
      <c r="DB3296" s="459" t="s">
        <v>885</v>
      </c>
      <c r="DC3296" t="s">
        <v>2559</v>
      </c>
      <c r="DD3296" t="s">
        <v>2573</v>
      </c>
      <c r="DE3296" t="s">
        <v>2248</v>
      </c>
      <c r="DF3296" t="s">
        <v>2627</v>
      </c>
      <c r="DG3296" t="s">
        <v>2691</v>
      </c>
      <c r="DH3296" t="s">
        <v>2718</v>
      </c>
      <c r="DI3296" t="s">
        <v>2049</v>
      </c>
      <c r="DJ3296" t="s">
        <v>1467</v>
      </c>
      <c r="DK3296" t="s">
        <v>2814</v>
      </c>
      <c r="DL3296" s="459" t="s">
        <v>885</v>
      </c>
      <c r="DM3296" t="s">
        <v>2849</v>
      </c>
      <c r="DN3296" t="s">
        <v>1654</v>
      </c>
      <c r="DO3296" t="s">
        <v>1446</v>
      </c>
      <c r="DP3296" t="s">
        <v>2942</v>
      </c>
      <c r="DQ3296" t="s">
        <v>3098</v>
      </c>
      <c r="DR3296" s="459" t="s">
        <v>885</v>
      </c>
      <c r="DS3296" t="s">
        <v>2001</v>
      </c>
      <c r="DT3296" t="s">
        <v>1467</v>
      </c>
      <c r="DU3296" t="s">
        <v>3225</v>
      </c>
      <c r="DV3296" t="s">
        <v>1658</v>
      </c>
      <c r="DW3296" t="s">
        <v>2440</v>
      </c>
      <c r="DX3296" s="245" t="s">
        <v>885</v>
      </c>
      <c r="DY3296" s="245"/>
      <c r="DZ3296" s="470" t="str">
        <f t="shared" si="154"/>
        <v/>
      </c>
      <c r="EA3296" s="470" t="str">
        <f t="shared" si="155"/>
        <v/>
      </c>
      <c r="EB3296" t="s">
        <v>3298</v>
      </c>
      <c r="EC3296" s="471" t="s">
        <v>3283</v>
      </c>
      <c r="EH3296" t="str">
        <f>EH3291</f>
        <v>Scott Ellington</v>
      </c>
      <c r="EI3296" s="473" t="s">
        <v>3294</v>
      </c>
      <c r="EJ3296" t="s">
        <v>3386</v>
      </c>
      <c r="EK3296" s="473" t="s">
        <v>3294</v>
      </c>
      <c r="EL3296" t="s">
        <v>3438</v>
      </c>
      <c r="EM3296" s="473" t="s">
        <v>3283</v>
      </c>
    </row>
    <row r="3297" spans="1:143" ht="15.5" hidden="1" x14ac:dyDescent="0.35">
      <c r="A3297" s="417" t="s">
        <v>1114</v>
      </c>
      <c r="B3297" s="418" t="s">
        <v>1115</v>
      </c>
      <c r="C3297" s="419">
        <v>65000</v>
      </c>
      <c r="D3297" s="427" t="s">
        <v>885</v>
      </c>
      <c r="G3297" s="432">
        <v>25000</v>
      </c>
      <c r="H3297" s="432"/>
      <c r="I3297" s="432"/>
      <c r="J3297" s="432"/>
      <c r="K3297" s="432"/>
      <c r="L3297" s="432"/>
      <c r="M3297" s="432"/>
      <c r="N3297" s="432"/>
      <c r="O3297" s="432"/>
      <c r="P3297" s="432"/>
      <c r="Q3297" s="432"/>
      <c r="R3297" s="432"/>
      <c r="S3297" s="432"/>
      <c r="T3297" s="432"/>
      <c r="U3297" s="432"/>
      <c r="V3297" s="432"/>
      <c r="W3297" s="432"/>
      <c r="X3297" s="432"/>
      <c r="Y3297" s="432"/>
      <c r="Z3297" s="432"/>
      <c r="AB3297" s="429" t="s">
        <v>1116</v>
      </c>
      <c r="AC3297" s="245" t="s">
        <v>885</v>
      </c>
      <c r="AD3297" s="48" t="s">
        <v>150</v>
      </c>
      <c r="AF3297" s="421"/>
      <c r="AG3297" s="48">
        <v>2</v>
      </c>
      <c r="AH3297" s="48" t="s">
        <v>1046</v>
      </c>
      <c r="AI3297" s="48" t="str">
        <f>CONCATENATE(AG3297,AH3297)</f>
        <v>2 years</v>
      </c>
      <c r="AK3297" s="48" t="s">
        <v>1071</v>
      </c>
      <c r="AO3297" s="48" t="s">
        <v>1117</v>
      </c>
      <c r="AR3297" s="245" t="s">
        <v>885</v>
      </c>
      <c r="AS3297" s="245" t="s">
        <v>885</v>
      </c>
      <c r="AW3297" s="245" t="s">
        <v>885</v>
      </c>
      <c r="AX3297" s="48">
        <v>17</v>
      </c>
      <c r="BB3297" s="402">
        <f t="shared" ca="1" si="151"/>
        <v>1280000</v>
      </c>
      <c r="BF3297" s="423">
        <v>27870</v>
      </c>
      <c r="BG3297" s="415">
        <f t="shared" si="152"/>
        <v>0</v>
      </c>
      <c r="BH3297" s="415">
        <f t="shared" si="156"/>
        <v>0</v>
      </c>
      <c r="BI3297" s="365">
        <f t="shared" si="157"/>
        <v>0</v>
      </c>
      <c r="BJ3297" s="157">
        <f t="shared" si="153"/>
        <v>0</v>
      </c>
      <c r="BK3297" s="416">
        <f t="shared" si="158"/>
        <v>0</v>
      </c>
      <c r="BN3297" s="1107">
        <f>IF(OR($AC$1127=0,$C$1153="",C$1129=AG$1129),0,$C$1153*$C$1129)</f>
        <v>600000</v>
      </c>
      <c r="BO3297" s="927"/>
      <c r="BP3297" s="927"/>
      <c r="BQ3297" s="927"/>
      <c r="BS3297" s="464" t="str">
        <f t="shared" si="159"/>
        <v>Cheboygan County</v>
      </c>
      <c r="BZ3297" s="48" t="s">
        <v>1447</v>
      </c>
      <c r="CA3297" t="s">
        <v>1514</v>
      </c>
      <c r="CB3297" s="245" t="s">
        <v>885</v>
      </c>
      <c r="CC3297" t="s">
        <v>1540</v>
      </c>
      <c r="CD3297" t="s">
        <v>1600</v>
      </c>
      <c r="CE3297" t="s">
        <v>1656</v>
      </c>
      <c r="CF3297" s="245" t="s">
        <v>885</v>
      </c>
      <c r="CG3297" s="245" t="s">
        <v>885</v>
      </c>
      <c r="CH3297" s="245" t="s">
        <v>885</v>
      </c>
      <c r="CI3297" t="s">
        <v>1717</v>
      </c>
      <c r="CJ3297" t="s">
        <v>1767</v>
      </c>
      <c r="CK3297" s="459" t="s">
        <v>885</v>
      </c>
      <c r="CL3297" t="s">
        <v>1535</v>
      </c>
      <c r="CM3297" t="s">
        <v>1540</v>
      </c>
      <c r="CN3297" t="s">
        <v>1455</v>
      </c>
      <c r="CO3297" t="s">
        <v>2004</v>
      </c>
      <c r="CP3297" t="s">
        <v>2049</v>
      </c>
      <c r="CQ3297" t="s">
        <v>2117</v>
      </c>
      <c r="CR3297" t="s">
        <v>2178</v>
      </c>
      <c r="CS3297" t="s">
        <v>2238</v>
      </c>
      <c r="CT3297" s="245" t="s">
        <v>885</v>
      </c>
      <c r="CU3297" t="s">
        <v>2266</v>
      </c>
      <c r="CV3297" t="s">
        <v>2325</v>
      </c>
      <c r="CW3297" t="s">
        <v>1714</v>
      </c>
      <c r="CX3297" t="s">
        <v>1533</v>
      </c>
      <c r="CY3297" t="s">
        <v>1663</v>
      </c>
      <c r="CZ3297" t="s">
        <v>1649</v>
      </c>
      <c r="DA3297" t="s">
        <v>2542</v>
      </c>
      <c r="DB3297" s="459" t="s">
        <v>885</v>
      </c>
      <c r="DC3297" t="s">
        <v>2560</v>
      </c>
      <c r="DD3297" t="s">
        <v>2574</v>
      </c>
      <c r="DE3297" t="s">
        <v>1460</v>
      </c>
      <c r="DF3297" t="s">
        <v>2628</v>
      </c>
      <c r="DG3297" t="s">
        <v>2467</v>
      </c>
      <c r="DH3297" t="s">
        <v>1540</v>
      </c>
      <c r="DI3297" t="s">
        <v>2754</v>
      </c>
      <c r="DJ3297" t="s">
        <v>2795</v>
      </c>
      <c r="DK3297" t="s">
        <v>2815</v>
      </c>
      <c r="DL3297" s="459" t="s">
        <v>885</v>
      </c>
      <c r="DM3297" t="s">
        <v>2850</v>
      </c>
      <c r="DN3297" t="s">
        <v>2875</v>
      </c>
      <c r="DO3297" t="s">
        <v>2908</v>
      </c>
      <c r="DP3297" t="s">
        <v>2943</v>
      </c>
      <c r="DQ3297" t="s">
        <v>3099</v>
      </c>
      <c r="DR3297" s="459" t="s">
        <v>885</v>
      </c>
      <c r="DS3297" t="s">
        <v>3126</v>
      </c>
      <c r="DT3297" t="s">
        <v>3012</v>
      </c>
      <c r="DU3297" t="s">
        <v>1964</v>
      </c>
      <c r="DV3297" t="s">
        <v>2689</v>
      </c>
      <c r="DW3297" t="s">
        <v>2093</v>
      </c>
      <c r="DX3297" s="245" t="s">
        <v>885</v>
      </c>
      <c r="DY3297" s="245"/>
      <c r="DZ3297" s="470" t="str">
        <f t="shared" si="154"/>
        <v/>
      </c>
      <c r="EA3297" s="470" t="str">
        <f t="shared" si="155"/>
        <v/>
      </c>
      <c r="EB3297" t="s">
        <v>3299</v>
      </c>
      <c r="EC3297" s="471" t="s">
        <v>3288</v>
      </c>
      <c r="EH3297" t="s">
        <v>3353</v>
      </c>
      <c r="EI3297" s="473" t="s">
        <v>3294</v>
      </c>
      <c r="EJ3297" t="s">
        <v>3387</v>
      </c>
      <c r="EK3297" s="473" t="s">
        <v>3294</v>
      </c>
      <c r="EL3297" t="s">
        <v>3439</v>
      </c>
      <c r="EM3297" s="473" t="s">
        <v>3288</v>
      </c>
    </row>
    <row r="3298" spans="1:143" ht="15.5" hidden="1" x14ac:dyDescent="0.35">
      <c r="A3298" s="417" t="s">
        <v>1118</v>
      </c>
      <c r="B3298" s="418" t="s">
        <v>1119</v>
      </c>
      <c r="C3298" s="427">
        <f>C3294</f>
        <v>0</v>
      </c>
      <c r="D3298" s="427" t="s">
        <v>885</v>
      </c>
      <c r="E3298" s="427" t="s">
        <v>885</v>
      </c>
      <c r="G3298" s="420"/>
      <c r="H3298" s="420"/>
      <c r="I3298" s="420"/>
      <c r="J3298" s="420"/>
      <c r="K3298" s="420"/>
      <c r="L3298" s="420"/>
      <c r="M3298" s="420"/>
      <c r="N3298" s="420"/>
      <c r="O3298" s="420"/>
      <c r="P3298" s="420"/>
      <c r="Q3298" s="420"/>
      <c r="R3298" s="420"/>
      <c r="S3298" s="420"/>
      <c r="T3298" s="420"/>
      <c r="U3298" s="420"/>
      <c r="V3298" s="420"/>
      <c r="W3298" s="420"/>
      <c r="X3298" s="420"/>
      <c r="Y3298" s="420"/>
      <c r="Z3298" s="420"/>
      <c r="AA3298" s="411"/>
      <c r="AB3298" s="411" t="s">
        <v>1027</v>
      </c>
      <c r="AC3298" s="245" t="s">
        <v>885</v>
      </c>
      <c r="AD3298" s="245" t="s">
        <v>885</v>
      </c>
      <c r="AE3298" s="245" t="s">
        <v>885</v>
      </c>
      <c r="AF3298" s="245" t="s">
        <v>885</v>
      </c>
      <c r="AG3298" s="245" t="s">
        <v>885</v>
      </c>
      <c r="AH3298" s="245" t="s">
        <v>885</v>
      </c>
      <c r="AI3298" s="245" t="s">
        <v>885</v>
      </c>
      <c r="AJ3298" s="245" t="s">
        <v>885</v>
      </c>
      <c r="AK3298" s="245" t="s">
        <v>885</v>
      </c>
      <c r="AL3298" s="245" t="s">
        <v>885</v>
      </c>
      <c r="AM3298" s="245" t="s">
        <v>885</v>
      </c>
      <c r="AN3298" s="245" t="s">
        <v>885</v>
      </c>
      <c r="AO3298" s="245" t="s">
        <v>885</v>
      </c>
      <c r="AP3298" s="245" t="s">
        <v>885</v>
      </c>
      <c r="AQ3298" s="245" t="s">
        <v>885</v>
      </c>
      <c r="AR3298" s="245" t="s">
        <v>885</v>
      </c>
      <c r="AS3298" s="245" t="s">
        <v>885</v>
      </c>
      <c r="AT3298" s="245" t="s">
        <v>885</v>
      </c>
      <c r="AU3298" s="245" t="s">
        <v>885</v>
      </c>
      <c r="AV3298" s="245" t="s">
        <v>885</v>
      </c>
      <c r="AW3298" s="245" t="s">
        <v>885</v>
      </c>
      <c r="AX3298" s="48">
        <v>18</v>
      </c>
      <c r="BB3298" s="402">
        <f t="shared" ca="1" si="151"/>
        <v>0</v>
      </c>
      <c r="BF3298" s="423">
        <v>23684</v>
      </c>
      <c r="BG3298" s="415">
        <f t="shared" si="152"/>
        <v>0</v>
      </c>
      <c r="BH3298" s="415">
        <f t="shared" si="156"/>
        <v>0</v>
      </c>
      <c r="BI3298" s="365">
        <f t="shared" si="157"/>
        <v>0</v>
      </c>
      <c r="BJ3298" s="157">
        <f t="shared" si="153"/>
        <v>0</v>
      </c>
      <c r="BK3298" s="416">
        <f t="shared" si="158"/>
        <v>0</v>
      </c>
      <c r="BS3298" s="464" t="str">
        <f t="shared" si="159"/>
        <v>Chippewa County</v>
      </c>
      <c r="BZ3298" s="48" t="s">
        <v>1448</v>
      </c>
      <c r="CA3298" t="s">
        <v>1515</v>
      </c>
      <c r="CB3298" s="245" t="s">
        <v>885</v>
      </c>
      <c r="CC3298" t="s">
        <v>1541</v>
      </c>
      <c r="CD3298" t="s">
        <v>1601</v>
      </c>
      <c r="CE3298" t="s">
        <v>1657</v>
      </c>
      <c r="CF3298" s="245" t="s">
        <v>885</v>
      </c>
      <c r="CG3298" s="245" t="s">
        <v>885</v>
      </c>
      <c r="CH3298" s="245" t="s">
        <v>885</v>
      </c>
      <c r="CI3298" t="s">
        <v>1460</v>
      </c>
      <c r="CJ3298" t="s">
        <v>1768</v>
      </c>
      <c r="CK3298" s="459" t="s">
        <v>885</v>
      </c>
      <c r="CL3298" t="s">
        <v>1881</v>
      </c>
      <c r="CM3298" t="s">
        <v>1909</v>
      </c>
      <c r="CN3298" t="s">
        <v>1959</v>
      </c>
      <c r="CO3298" t="s">
        <v>1440</v>
      </c>
      <c r="CP3298" t="s">
        <v>2050</v>
      </c>
      <c r="CQ3298" t="s">
        <v>2118</v>
      </c>
      <c r="CR3298" t="s">
        <v>2179</v>
      </c>
      <c r="CS3298" t="s">
        <v>2239</v>
      </c>
      <c r="CT3298" s="245" t="s">
        <v>885</v>
      </c>
      <c r="CU3298" t="s">
        <v>2267</v>
      </c>
      <c r="CV3298" t="s">
        <v>2326</v>
      </c>
      <c r="CW3298" t="s">
        <v>2384</v>
      </c>
      <c r="CX3298" t="s">
        <v>2121</v>
      </c>
      <c r="CY3298" t="s">
        <v>2466</v>
      </c>
      <c r="CZ3298" t="s">
        <v>1444</v>
      </c>
      <c r="DA3298" s="459" t="s">
        <v>885</v>
      </c>
      <c r="DB3298" s="459" t="s">
        <v>885</v>
      </c>
      <c r="DC3298" t="s">
        <v>2241</v>
      </c>
      <c r="DD3298" t="s">
        <v>2575</v>
      </c>
      <c r="DE3298" t="s">
        <v>1546</v>
      </c>
      <c r="DF3298" t="s">
        <v>2629</v>
      </c>
      <c r="DG3298" t="s">
        <v>2692</v>
      </c>
      <c r="DH3298" t="s">
        <v>2719</v>
      </c>
      <c r="DI3298" t="s">
        <v>2755</v>
      </c>
      <c r="DJ3298" t="s">
        <v>2796</v>
      </c>
      <c r="DK3298" t="s">
        <v>1907</v>
      </c>
      <c r="DL3298" s="459" t="s">
        <v>885</v>
      </c>
      <c r="DM3298" t="s">
        <v>2234</v>
      </c>
      <c r="DN3298" t="s">
        <v>2876</v>
      </c>
      <c r="DO3298" t="s">
        <v>1909</v>
      </c>
      <c r="DP3298" t="s">
        <v>2944</v>
      </c>
      <c r="DQ3298" t="s">
        <v>3100</v>
      </c>
      <c r="DR3298" s="459" t="s">
        <v>885</v>
      </c>
      <c r="DS3298" t="s">
        <v>3127</v>
      </c>
      <c r="DT3298" t="s">
        <v>3205</v>
      </c>
      <c r="DU3298" t="s">
        <v>1466</v>
      </c>
      <c r="DV3298" t="s">
        <v>3243</v>
      </c>
      <c r="DW3298" t="s">
        <v>3278</v>
      </c>
      <c r="DX3298" s="245" t="s">
        <v>885</v>
      </c>
      <c r="DY3298" s="245"/>
      <c r="DZ3298" s="470" t="str">
        <f t="shared" si="154"/>
        <v/>
      </c>
      <c r="EA3298" s="470" t="str">
        <f t="shared" si="155"/>
        <v/>
      </c>
      <c r="EB3298" t="s">
        <v>3300</v>
      </c>
      <c r="EC3298" s="471" t="s">
        <v>3288</v>
      </c>
      <c r="EH3298" t="str">
        <f>EH3296</f>
        <v>Scott Ellington</v>
      </c>
      <c r="EI3298" s="473" t="s">
        <v>3294</v>
      </c>
      <c r="EJ3298" t="s">
        <v>3388</v>
      </c>
      <c r="EK3298" s="473" t="s">
        <v>3294</v>
      </c>
      <c r="EL3298" t="s">
        <v>3440</v>
      </c>
      <c r="EM3298" s="473" t="s">
        <v>3283</v>
      </c>
    </row>
    <row r="3299" spans="1:143" ht="15.5" hidden="1" x14ac:dyDescent="0.35">
      <c r="A3299" s="417" t="s">
        <v>1120</v>
      </c>
      <c r="B3299" s="418" t="s">
        <v>1121</v>
      </c>
      <c r="C3299" s="419">
        <v>25000</v>
      </c>
      <c r="D3299" s="419">
        <f>C3299*10</f>
        <v>250000</v>
      </c>
      <c r="G3299" s="420"/>
      <c r="H3299" s="420"/>
      <c r="I3299" s="420"/>
      <c r="J3299" s="420"/>
      <c r="K3299" s="420"/>
      <c r="L3299" s="420"/>
      <c r="M3299" s="420"/>
      <c r="N3299" s="420"/>
      <c r="O3299" s="420"/>
      <c r="P3299" s="420"/>
      <c r="Q3299" s="420"/>
      <c r="R3299" s="420"/>
      <c r="S3299" s="420"/>
      <c r="T3299" s="420"/>
      <c r="U3299" s="420"/>
      <c r="V3299" s="420"/>
      <c r="W3299" s="420"/>
      <c r="X3299" s="420"/>
      <c r="Y3299" s="420"/>
      <c r="Z3299" s="420"/>
      <c r="AB3299" s="48" t="s">
        <v>1122</v>
      </c>
      <c r="AC3299" s="245" t="s">
        <v>885</v>
      </c>
      <c r="AD3299" s="48" t="s">
        <v>1123</v>
      </c>
      <c r="AF3299" s="421">
        <v>2</v>
      </c>
      <c r="AG3299" s="48">
        <v>2</v>
      </c>
      <c r="AH3299" s="48" t="s">
        <v>1046</v>
      </c>
      <c r="AI3299" s="48" t="str">
        <f>CONCATENATE(AG3299,AH3299)</f>
        <v>2 years</v>
      </c>
      <c r="AK3299" s="48" t="s">
        <v>1071</v>
      </c>
      <c r="AO3299" s="48" t="s">
        <v>1124</v>
      </c>
      <c r="AR3299" s="245" t="s">
        <v>885</v>
      </c>
      <c r="AS3299" s="48" t="s">
        <v>1066</v>
      </c>
      <c r="AW3299" s="245" t="s">
        <v>885</v>
      </c>
      <c r="AX3299" s="48">
        <v>19</v>
      </c>
      <c r="BB3299" s="402">
        <f t="shared" ca="1" si="151"/>
        <v>250000</v>
      </c>
      <c r="BF3299" s="423">
        <v>24800</v>
      </c>
      <c r="BG3299" s="415">
        <f t="shared" si="152"/>
        <v>0</v>
      </c>
      <c r="BH3299" s="415">
        <f t="shared" si="156"/>
        <v>0</v>
      </c>
      <c r="BI3299" s="365">
        <f t="shared" si="157"/>
        <v>0</v>
      </c>
      <c r="BJ3299" s="157">
        <f t="shared" si="153"/>
        <v>0</v>
      </c>
      <c r="BK3299" s="416">
        <f t="shared" si="158"/>
        <v>0</v>
      </c>
      <c r="BN3299" s="1107">
        <f t="shared" ref="BN3299:BN3308" si="160">IF(OR($AC$1127=0,$C$1153="",C$1129=AG$1129),0,$C$1153*$C$1129)</f>
        <v>600000</v>
      </c>
      <c r="BO3299" s="927"/>
      <c r="BP3299" s="927"/>
      <c r="BQ3299" s="927"/>
      <c r="BS3299" s="464" t="str">
        <f t="shared" si="159"/>
        <v>Clare County</v>
      </c>
      <c r="BZ3299" s="48" t="s">
        <v>1449</v>
      </c>
      <c r="CA3299" t="s">
        <v>1516</v>
      </c>
      <c r="CB3299" s="245" t="s">
        <v>885</v>
      </c>
      <c r="CC3299" t="s">
        <v>1542</v>
      </c>
      <c r="CD3299" t="s">
        <v>1602</v>
      </c>
      <c r="CE3299" t="s">
        <v>1658</v>
      </c>
      <c r="CF3299" s="245" t="s">
        <v>885</v>
      </c>
      <c r="CG3299" s="245" t="s">
        <v>885</v>
      </c>
      <c r="CH3299" s="245" t="s">
        <v>885</v>
      </c>
      <c r="CI3299" t="s">
        <v>1718</v>
      </c>
      <c r="CJ3299" t="s">
        <v>1438</v>
      </c>
      <c r="CK3299" s="459" t="s">
        <v>885</v>
      </c>
      <c r="CL3299" t="s">
        <v>1654</v>
      </c>
      <c r="CM3299" t="s">
        <v>1455</v>
      </c>
      <c r="CN3299" t="s">
        <v>1960</v>
      </c>
      <c r="CO3299" t="s">
        <v>2005</v>
      </c>
      <c r="CP3299" t="s">
        <v>1540</v>
      </c>
      <c r="CQ3299" t="s">
        <v>2119</v>
      </c>
      <c r="CR3299" t="s">
        <v>2180</v>
      </c>
      <c r="CS3299" t="s">
        <v>2240</v>
      </c>
      <c r="CT3299" s="245" t="s">
        <v>885</v>
      </c>
      <c r="CU3299" t="s">
        <v>1907</v>
      </c>
      <c r="CV3299" t="s">
        <v>2327</v>
      </c>
      <c r="CW3299" t="s">
        <v>1460</v>
      </c>
      <c r="CX3299" t="s">
        <v>1904</v>
      </c>
      <c r="CY3299" t="s">
        <v>2467</v>
      </c>
      <c r="CZ3299" t="s">
        <v>2498</v>
      </c>
      <c r="DA3299" s="459" t="s">
        <v>885</v>
      </c>
      <c r="DB3299" s="459" t="s">
        <v>885</v>
      </c>
      <c r="DC3299" t="s">
        <v>1704</v>
      </c>
      <c r="DD3299" t="s">
        <v>2576</v>
      </c>
      <c r="DE3299" t="s">
        <v>2269</v>
      </c>
      <c r="DF3299" t="s">
        <v>1773</v>
      </c>
      <c r="DG3299" t="s">
        <v>1548</v>
      </c>
      <c r="DH3299" t="s">
        <v>2720</v>
      </c>
      <c r="DI3299" t="s">
        <v>2756</v>
      </c>
      <c r="DJ3299" t="s">
        <v>1600</v>
      </c>
      <c r="DK3299" t="s">
        <v>1537</v>
      </c>
      <c r="DL3299" s="459" t="s">
        <v>885</v>
      </c>
      <c r="DM3299" t="s">
        <v>2851</v>
      </c>
      <c r="DN3299" t="s">
        <v>2501</v>
      </c>
      <c r="DO3299" t="s">
        <v>2635</v>
      </c>
      <c r="DP3299" t="s">
        <v>2945</v>
      </c>
      <c r="DQ3299" t="s">
        <v>1689</v>
      </c>
      <c r="DR3299" s="459" t="s">
        <v>885</v>
      </c>
      <c r="DS3299" t="s">
        <v>2119</v>
      </c>
      <c r="DT3299" t="s">
        <v>3206</v>
      </c>
      <c r="DU3299" t="s">
        <v>1467</v>
      </c>
      <c r="DV3299" t="s">
        <v>2852</v>
      </c>
      <c r="DW3299" t="s">
        <v>3279</v>
      </c>
      <c r="DX3299" s="245" t="s">
        <v>885</v>
      </c>
      <c r="DY3299" s="245"/>
      <c r="DZ3299" s="470" t="str">
        <f t="shared" si="154"/>
        <v/>
      </c>
      <c r="EA3299" s="470" t="str">
        <f t="shared" si="155"/>
        <v/>
      </c>
      <c r="EB3299" t="str">
        <f>EB3294</f>
        <v>Jeffrey A. Willis</v>
      </c>
      <c r="EC3299" t="str">
        <f>EC3294</f>
        <v>R</v>
      </c>
      <c r="EH3299" t="s">
        <v>3354</v>
      </c>
      <c r="EI3299" s="473" t="s">
        <v>3294</v>
      </c>
      <c r="EJ3299" t="s">
        <v>3389</v>
      </c>
      <c r="EK3299" s="473" t="s">
        <v>3294</v>
      </c>
      <c r="EL3299" t="str">
        <f>EL3283</f>
        <v>John Kellner</v>
      </c>
      <c r="EM3299" s="473" t="str">
        <f>EM3283</f>
        <v>R</v>
      </c>
    </row>
    <row r="3300" spans="1:143" ht="15.5" hidden="1" x14ac:dyDescent="0.35">
      <c r="A3300" s="417" t="s">
        <v>1125</v>
      </c>
      <c r="B3300" s="418" t="s">
        <v>1126</v>
      </c>
      <c r="C3300" s="427">
        <f>C3298</f>
        <v>0</v>
      </c>
      <c r="D3300" s="419">
        <v>300000</v>
      </c>
      <c r="G3300" s="420"/>
      <c r="H3300" s="420"/>
      <c r="I3300" s="420"/>
      <c r="J3300" s="420"/>
      <c r="K3300" s="420"/>
      <c r="L3300" s="420"/>
      <c r="M3300" s="420"/>
      <c r="N3300" s="420"/>
      <c r="O3300" s="420"/>
      <c r="P3300" s="420"/>
      <c r="Q3300" s="420"/>
      <c r="R3300" s="420"/>
      <c r="S3300" s="420"/>
      <c r="T3300" s="420"/>
      <c r="U3300" s="420"/>
      <c r="V3300" s="420"/>
      <c r="W3300" s="420"/>
      <c r="X3300" s="420"/>
      <c r="Y3300" s="420"/>
      <c r="Z3300" s="420"/>
      <c r="AB3300" s="48" t="s">
        <v>1127</v>
      </c>
      <c r="AC3300" s="245" t="s">
        <v>885</v>
      </c>
      <c r="AD3300" s="48" t="s">
        <v>1128</v>
      </c>
      <c r="AF3300" s="421">
        <v>2</v>
      </c>
      <c r="AG3300" s="48">
        <v>2</v>
      </c>
      <c r="AH3300" s="48" t="s">
        <v>1046</v>
      </c>
      <c r="AI3300" s="48" t="str">
        <f>CONCATENATE(AG3300,AH3300)</f>
        <v>2 years</v>
      </c>
      <c r="AK3300" s="48" t="s">
        <v>1047</v>
      </c>
      <c r="AO3300" s="48" t="s">
        <v>1129</v>
      </c>
      <c r="AR3300" s="245" t="s">
        <v>885</v>
      </c>
      <c r="AS3300" s="48" t="s">
        <v>1066</v>
      </c>
      <c r="AW3300" s="245" t="s">
        <v>885</v>
      </c>
      <c r="AX3300" s="48">
        <v>20</v>
      </c>
      <c r="BB3300" s="402">
        <f t="shared" ca="1" si="151"/>
        <v>0</v>
      </c>
      <c r="BF3300" s="423">
        <v>27978</v>
      </c>
      <c r="BG3300" s="415">
        <f t="shared" si="152"/>
        <v>0</v>
      </c>
      <c r="BH3300" s="415">
        <f t="shared" si="156"/>
        <v>0</v>
      </c>
      <c r="BI3300" s="365">
        <f t="shared" si="157"/>
        <v>0</v>
      </c>
      <c r="BJ3300" s="157">
        <f t="shared" si="153"/>
        <v>0</v>
      </c>
      <c r="BK3300" s="416">
        <f t="shared" si="158"/>
        <v>0</v>
      </c>
      <c r="BN3300" s="1107">
        <f t="shared" si="160"/>
        <v>600000</v>
      </c>
      <c r="BO3300" s="927"/>
      <c r="BP3300" s="927"/>
      <c r="BQ3300" s="927"/>
      <c r="BS3300" s="464" t="str">
        <f t="shared" si="159"/>
        <v>Clinton County</v>
      </c>
      <c r="BZ3300" s="48" t="s">
        <v>1450</v>
      </c>
      <c r="CA3300" t="s">
        <v>1517</v>
      </c>
      <c r="CB3300" s="245" t="s">
        <v>885</v>
      </c>
      <c r="CC3300" t="s">
        <v>1454</v>
      </c>
      <c r="CD3300" t="s">
        <v>1603</v>
      </c>
      <c r="CE3300" t="s">
        <v>1659</v>
      </c>
      <c r="CF3300" s="245" t="s">
        <v>885</v>
      </c>
      <c r="CG3300" s="245" t="s">
        <v>885</v>
      </c>
      <c r="CH3300" s="245" t="s">
        <v>885</v>
      </c>
      <c r="CI3300" t="s">
        <v>1719</v>
      </c>
      <c r="CJ3300" t="s">
        <v>1769</v>
      </c>
      <c r="CK3300" s="459" t="s">
        <v>885</v>
      </c>
      <c r="CL3300" t="s">
        <v>1456</v>
      </c>
      <c r="CM3300" t="s">
        <v>1910</v>
      </c>
      <c r="CN3300" t="s">
        <v>1961</v>
      </c>
      <c r="CO3300" t="s">
        <v>1443</v>
      </c>
      <c r="CP3300" t="s">
        <v>1785</v>
      </c>
      <c r="CQ3300" t="s">
        <v>2120</v>
      </c>
      <c r="CR3300" t="s">
        <v>2181</v>
      </c>
      <c r="CS3300" t="s">
        <v>2241</v>
      </c>
      <c r="CT3300" s="245" t="s">
        <v>885</v>
      </c>
      <c r="CU3300" t="s">
        <v>1540</v>
      </c>
      <c r="CV3300" t="s">
        <v>1786</v>
      </c>
      <c r="CW3300" t="s">
        <v>2385</v>
      </c>
      <c r="CX3300" t="s">
        <v>2003</v>
      </c>
      <c r="CY3300" t="s">
        <v>2468</v>
      </c>
      <c r="CZ3300" t="s">
        <v>2499</v>
      </c>
      <c r="DA3300" s="459" t="s">
        <v>885</v>
      </c>
      <c r="DB3300" s="459" t="s">
        <v>885</v>
      </c>
      <c r="DC3300" t="s">
        <v>1579</v>
      </c>
      <c r="DD3300" t="s">
        <v>1679</v>
      </c>
      <c r="DE3300" t="s">
        <v>1462</v>
      </c>
      <c r="DF3300" t="s">
        <v>1440</v>
      </c>
      <c r="DG3300" t="s">
        <v>2693</v>
      </c>
      <c r="DH3300" t="s">
        <v>2721</v>
      </c>
      <c r="DI3300" t="s">
        <v>1654</v>
      </c>
      <c r="DJ3300" t="s">
        <v>2069</v>
      </c>
      <c r="DK3300" t="s">
        <v>1540</v>
      </c>
      <c r="DL3300" s="459" t="s">
        <v>885</v>
      </c>
      <c r="DM3300" t="s">
        <v>1695</v>
      </c>
      <c r="DN3300" t="s">
        <v>2757</v>
      </c>
      <c r="DO3300" t="s">
        <v>1785</v>
      </c>
      <c r="DP3300" t="s">
        <v>2946</v>
      </c>
      <c r="DQ3300" t="s">
        <v>3101</v>
      </c>
      <c r="DR3300" s="459" t="s">
        <v>885</v>
      </c>
      <c r="DS3300" t="s">
        <v>2231</v>
      </c>
      <c r="DT3300" t="s">
        <v>3207</v>
      </c>
      <c r="DU3300" t="s">
        <v>3226</v>
      </c>
      <c r="DV3300" t="s">
        <v>3244</v>
      </c>
      <c r="DW3300" t="s">
        <v>1897</v>
      </c>
      <c r="DX3300" s="245" t="s">
        <v>885</v>
      </c>
      <c r="DY3300" s="245"/>
      <c r="DZ3300" s="470" t="str">
        <f t="shared" si="154"/>
        <v/>
      </c>
      <c r="EA3300" s="470" t="str">
        <f t="shared" si="155"/>
        <v/>
      </c>
      <c r="EB3300" t="s">
        <v>3301</v>
      </c>
      <c r="EC3300" s="471" t="s">
        <v>3283</v>
      </c>
      <c r="EH3300" t="str">
        <f>EH3294</f>
        <v>Jeff Rogers</v>
      </c>
      <c r="EI3300" s="473" t="s">
        <v>3294</v>
      </c>
      <c r="EJ3300" t="s">
        <v>3390</v>
      </c>
      <c r="EK3300" s="473" t="s">
        <v>3294</v>
      </c>
      <c r="EL3300" t="str">
        <f>EL3291</f>
        <v>Heidi McCollum</v>
      </c>
      <c r="EM3300" s="473" t="str">
        <f>EM3291</f>
        <v>D</v>
      </c>
    </row>
    <row r="3301" spans="1:143" ht="15.5" hidden="1" x14ac:dyDescent="0.35">
      <c r="A3301" s="417" t="s">
        <v>1130</v>
      </c>
      <c r="B3301" s="418" t="s">
        <v>1131</v>
      </c>
      <c r="C3301" s="428">
        <v>1E-8</v>
      </c>
      <c r="D3301" s="428">
        <v>999999</v>
      </c>
      <c r="G3301" s="420"/>
      <c r="H3301" s="420"/>
      <c r="I3301" s="420"/>
      <c r="J3301" s="420"/>
      <c r="K3301" s="420"/>
      <c r="L3301" s="420"/>
      <c r="M3301" s="420"/>
      <c r="N3301" s="420"/>
      <c r="O3301" s="420"/>
      <c r="P3301" s="420"/>
      <c r="Q3301" s="420"/>
      <c r="R3301" s="420"/>
      <c r="S3301" s="420"/>
      <c r="T3301" s="420"/>
      <c r="U3301" s="420"/>
      <c r="V3301" s="420"/>
      <c r="W3301" s="420"/>
      <c r="X3301" s="420"/>
      <c r="Y3301" s="420"/>
      <c r="Z3301" s="420"/>
      <c r="AB3301" s="48" t="s">
        <v>1132</v>
      </c>
      <c r="AC3301" s="245" t="s">
        <v>885</v>
      </c>
      <c r="AD3301" s="48" t="s">
        <v>1133</v>
      </c>
      <c r="AF3301" s="421"/>
      <c r="AI3301" s="48" t="str">
        <f>AI3297</f>
        <v>2 years</v>
      </c>
      <c r="AK3301" s="48" t="s">
        <v>1047</v>
      </c>
      <c r="AO3301" s="48" t="s">
        <v>1134</v>
      </c>
      <c r="AR3301" s="245" t="s">
        <v>885</v>
      </c>
      <c r="AS3301" s="48" t="s">
        <v>1049</v>
      </c>
      <c r="AW3301" s="245" t="s">
        <v>885</v>
      </c>
      <c r="AX3301" s="48">
        <v>21</v>
      </c>
      <c r="BB3301" s="402">
        <f t="shared" ca="1" si="151"/>
        <v>1.2000000000000002E-7</v>
      </c>
      <c r="BF3301" s="423">
        <v>36338</v>
      </c>
      <c r="BG3301" s="415">
        <f t="shared" si="152"/>
        <v>0</v>
      </c>
      <c r="BH3301" s="415">
        <f t="shared" si="156"/>
        <v>0</v>
      </c>
      <c r="BI3301" s="365">
        <f t="shared" si="157"/>
        <v>0</v>
      </c>
      <c r="BJ3301" s="157">
        <f t="shared" si="153"/>
        <v>0</v>
      </c>
      <c r="BK3301" s="416">
        <f t="shared" si="158"/>
        <v>0</v>
      </c>
      <c r="BN3301" s="1107">
        <f t="shared" si="160"/>
        <v>600000</v>
      </c>
      <c r="BO3301" s="927"/>
      <c r="BP3301" s="927"/>
      <c r="BQ3301" s="927"/>
      <c r="BS3301" s="464" t="str">
        <f t="shared" si="159"/>
        <v>Crawford County</v>
      </c>
      <c r="BZ3301" s="48" t="s">
        <v>1451</v>
      </c>
      <c r="CA3301" t="s">
        <v>1518</v>
      </c>
      <c r="CB3301" s="245" t="s">
        <v>885</v>
      </c>
      <c r="CC3301" t="s">
        <v>1543</v>
      </c>
      <c r="CD3301" t="s">
        <v>1604</v>
      </c>
      <c r="CE3301" t="s">
        <v>1660</v>
      </c>
      <c r="CF3301" s="245" t="s">
        <v>885</v>
      </c>
      <c r="CG3301" s="245" t="s">
        <v>885</v>
      </c>
      <c r="CH3301" s="245" t="s">
        <v>885</v>
      </c>
      <c r="CI3301" t="s">
        <v>1720</v>
      </c>
      <c r="CJ3301" t="s">
        <v>1770</v>
      </c>
      <c r="CK3301" s="459" t="s">
        <v>885</v>
      </c>
      <c r="CL3301" t="s">
        <v>1460</v>
      </c>
      <c r="CM3301" t="s">
        <v>1658</v>
      </c>
      <c r="CN3301" t="s">
        <v>1459</v>
      </c>
      <c r="CO3301" t="s">
        <v>1444</v>
      </c>
      <c r="CP3301" t="s">
        <v>2008</v>
      </c>
      <c r="CQ3301" t="s">
        <v>1533</v>
      </c>
      <c r="CR3301" t="s">
        <v>2182</v>
      </c>
      <c r="CS3301" t="s">
        <v>1839</v>
      </c>
      <c r="CT3301" s="245" t="s">
        <v>885</v>
      </c>
      <c r="CU3301" t="s">
        <v>1655</v>
      </c>
      <c r="CV3301" t="s">
        <v>1658</v>
      </c>
      <c r="CW3301" t="s">
        <v>1462</v>
      </c>
      <c r="CX3301" t="s">
        <v>2419</v>
      </c>
      <c r="CY3301" t="s">
        <v>2469</v>
      </c>
      <c r="CZ3301" t="s">
        <v>1654</v>
      </c>
      <c r="DA3301" s="459" t="s">
        <v>885</v>
      </c>
      <c r="DB3301" s="459" t="s">
        <v>885</v>
      </c>
      <c r="DC3301" t="s">
        <v>1854</v>
      </c>
      <c r="DD3301" t="s">
        <v>2577</v>
      </c>
      <c r="DE3301" t="s">
        <v>1722</v>
      </c>
      <c r="DF3301" t="s">
        <v>2630</v>
      </c>
      <c r="DG3301" t="s">
        <v>2694</v>
      </c>
      <c r="DH3301" t="s">
        <v>1959</v>
      </c>
      <c r="DI3301" t="s">
        <v>1959</v>
      </c>
      <c r="DJ3301" t="s">
        <v>1556</v>
      </c>
      <c r="DK3301" t="s">
        <v>1909</v>
      </c>
      <c r="DL3301" s="459" t="s">
        <v>885</v>
      </c>
      <c r="DM3301" t="s">
        <v>2852</v>
      </c>
      <c r="DN3301" t="s">
        <v>1658</v>
      </c>
      <c r="DO3301" t="s">
        <v>1455</v>
      </c>
      <c r="DP3301" t="s">
        <v>2947</v>
      </c>
      <c r="DQ3301" t="s">
        <v>1576</v>
      </c>
      <c r="DR3301" s="459" t="s">
        <v>885</v>
      </c>
      <c r="DS3301" t="s">
        <v>1533</v>
      </c>
      <c r="DT3301" t="s">
        <v>1889</v>
      </c>
      <c r="DU3301" t="s">
        <v>1889</v>
      </c>
      <c r="DV3301" t="s">
        <v>2817</v>
      </c>
      <c r="DW3301" t="s">
        <v>3280</v>
      </c>
      <c r="DX3301" s="245" t="s">
        <v>885</v>
      </c>
      <c r="DY3301" s="245"/>
      <c r="DZ3301" s="470" t="str">
        <f t="shared" si="154"/>
        <v/>
      </c>
      <c r="EA3301" s="470" t="str">
        <f t="shared" si="155"/>
        <v/>
      </c>
      <c r="EB3301" t="str">
        <f>EB3286</f>
        <v>Ben C. Reeves, Jr.</v>
      </c>
      <c r="EC3301" t="str">
        <f>EC3286</f>
        <v>D</v>
      </c>
      <c r="EH3301" t="str">
        <f>EH3289</f>
        <v>Thomas Deen</v>
      </c>
      <c r="EI3301" s="473" t="s">
        <v>3294</v>
      </c>
      <c r="EJ3301" t="s">
        <v>3391</v>
      </c>
      <c r="EK3301" s="473" t="s">
        <v>3294</v>
      </c>
      <c r="EL3301" t="s">
        <v>3441</v>
      </c>
      <c r="EM3301" s="473" t="s">
        <v>3283</v>
      </c>
    </row>
    <row r="3302" spans="1:143" ht="15.5" hidden="1" x14ac:dyDescent="0.35">
      <c r="A3302" s="417" t="s">
        <v>1135</v>
      </c>
      <c r="B3302" s="418" t="s">
        <v>1136</v>
      </c>
      <c r="C3302" s="427">
        <f>C3300</f>
        <v>0</v>
      </c>
      <c r="D3302" s="419">
        <v>1000000</v>
      </c>
      <c r="G3302" s="420"/>
      <c r="H3302" s="420"/>
      <c r="I3302" s="420"/>
      <c r="J3302" s="420"/>
      <c r="K3302" s="420"/>
      <c r="L3302" s="420"/>
      <c r="M3302" s="420"/>
      <c r="N3302" s="420"/>
      <c r="O3302" s="420"/>
      <c r="P3302" s="420"/>
      <c r="Q3302" s="420"/>
      <c r="R3302" s="420"/>
      <c r="S3302" s="420"/>
      <c r="T3302" s="420"/>
      <c r="U3302" s="420"/>
      <c r="V3302" s="420"/>
      <c r="W3302" s="420"/>
      <c r="X3302" s="420"/>
      <c r="Y3302" s="420"/>
      <c r="Z3302" s="420"/>
      <c r="AB3302" s="48" t="s">
        <v>1137</v>
      </c>
      <c r="AC3302" s="245" t="s">
        <v>885</v>
      </c>
      <c r="AD3302" s="48" t="s">
        <v>1128</v>
      </c>
      <c r="AF3302" s="421">
        <v>3</v>
      </c>
      <c r="AG3302" s="48">
        <v>2</v>
      </c>
      <c r="AH3302" s="48" t="s">
        <v>1046</v>
      </c>
      <c r="AI3302" s="48" t="str">
        <f t="shared" ref="AI3302:AI3308" si="161">CONCATENATE(AG3302,AH3302)</f>
        <v>2 years</v>
      </c>
      <c r="AK3302" s="48" t="s">
        <v>1071</v>
      </c>
      <c r="AO3302" s="48" t="s">
        <v>1138</v>
      </c>
      <c r="AR3302" s="245" t="s">
        <v>885</v>
      </c>
      <c r="AS3302" s="48" t="s">
        <v>1066</v>
      </c>
      <c r="AW3302" s="245" t="s">
        <v>885</v>
      </c>
      <c r="AX3302" s="48">
        <v>22</v>
      </c>
      <c r="BB3302" s="402">
        <f t="shared" ca="1" si="151"/>
        <v>0</v>
      </c>
      <c r="BF3302" s="423">
        <v>36593</v>
      </c>
      <c r="BG3302" s="415">
        <f t="shared" si="152"/>
        <v>0</v>
      </c>
      <c r="BH3302" s="415">
        <f t="shared" si="156"/>
        <v>0</v>
      </c>
      <c r="BI3302" s="365">
        <f t="shared" si="157"/>
        <v>0</v>
      </c>
      <c r="BJ3302" s="157">
        <f t="shared" si="153"/>
        <v>0</v>
      </c>
      <c r="BK3302" s="416">
        <f t="shared" si="158"/>
        <v>0</v>
      </c>
      <c r="BN3302" s="1107">
        <f t="shared" si="160"/>
        <v>600000</v>
      </c>
      <c r="BO3302" s="927"/>
      <c r="BP3302" s="927"/>
      <c r="BQ3302" s="927"/>
      <c r="BS3302" s="464" t="str">
        <f t="shared" si="159"/>
        <v>Delta County</v>
      </c>
      <c r="BZ3302" s="48" t="s">
        <v>1452</v>
      </c>
      <c r="CA3302" t="s">
        <v>1519</v>
      </c>
      <c r="CB3302" s="245" t="s">
        <v>885</v>
      </c>
      <c r="CC3302" t="s">
        <v>1544</v>
      </c>
      <c r="CD3302" t="s">
        <v>1605</v>
      </c>
      <c r="CE3302" t="s">
        <v>1661</v>
      </c>
      <c r="CF3302" s="245" t="s">
        <v>885</v>
      </c>
      <c r="CG3302" s="245" t="s">
        <v>885</v>
      </c>
      <c r="CH3302" s="245" t="s">
        <v>885</v>
      </c>
      <c r="CI3302" t="s">
        <v>1721</v>
      </c>
      <c r="CJ3302" t="s">
        <v>1533</v>
      </c>
      <c r="CK3302" s="459" t="s">
        <v>885</v>
      </c>
      <c r="CL3302" t="s">
        <v>1662</v>
      </c>
      <c r="CM3302" t="s">
        <v>1911</v>
      </c>
      <c r="CN3302" t="s">
        <v>1795</v>
      </c>
      <c r="CO3302" t="s">
        <v>1776</v>
      </c>
      <c r="CP3302" t="s">
        <v>2051</v>
      </c>
      <c r="CQ3302" t="s">
        <v>2121</v>
      </c>
      <c r="CR3302" t="s">
        <v>2183</v>
      </c>
      <c r="CS3302" t="s">
        <v>1495</v>
      </c>
      <c r="CT3302" s="245" t="s">
        <v>885</v>
      </c>
      <c r="CU3302" t="s">
        <v>2008</v>
      </c>
      <c r="CV3302" t="s">
        <v>2328</v>
      </c>
      <c r="CW3302" t="s">
        <v>2386</v>
      </c>
      <c r="CX3302" t="s">
        <v>1906</v>
      </c>
      <c r="CY3302" t="s">
        <v>1467</v>
      </c>
      <c r="CZ3302" t="s">
        <v>2327</v>
      </c>
      <c r="DA3302" s="459" t="s">
        <v>885</v>
      </c>
      <c r="DB3302" s="459" t="s">
        <v>885</v>
      </c>
      <c r="DC3302" s="459" t="s">
        <v>885</v>
      </c>
      <c r="DD3302" t="s">
        <v>2578</v>
      </c>
      <c r="DE3302" t="s">
        <v>2595</v>
      </c>
      <c r="DF3302" t="s">
        <v>1444</v>
      </c>
      <c r="DG3302" t="s">
        <v>2695</v>
      </c>
      <c r="DH3302" t="s">
        <v>2594</v>
      </c>
      <c r="DI3302" t="s">
        <v>2757</v>
      </c>
      <c r="DJ3302" t="s">
        <v>2016</v>
      </c>
      <c r="DK3302" t="s">
        <v>2816</v>
      </c>
      <c r="DL3302" s="459" t="s">
        <v>885</v>
      </c>
      <c r="DM3302" t="s">
        <v>2853</v>
      </c>
      <c r="DN3302" t="s">
        <v>2877</v>
      </c>
      <c r="DO3302" t="s">
        <v>2909</v>
      </c>
      <c r="DP3302" t="s">
        <v>2948</v>
      </c>
      <c r="DQ3302" t="s">
        <v>1692</v>
      </c>
      <c r="DR3302" s="459" t="s">
        <v>885</v>
      </c>
      <c r="DS3302" t="s">
        <v>3128</v>
      </c>
      <c r="DT3302" t="s">
        <v>1556</v>
      </c>
      <c r="DU3302" t="s">
        <v>1556</v>
      </c>
      <c r="DV3302" t="s">
        <v>1548</v>
      </c>
      <c r="DW3302" t="s">
        <v>3281</v>
      </c>
      <c r="DX3302" s="245" t="s">
        <v>885</v>
      </c>
      <c r="DY3302" s="245"/>
      <c r="DZ3302" s="470" t="str">
        <f t="shared" si="154"/>
        <v/>
      </c>
      <c r="EA3302" s="470" t="str">
        <f t="shared" si="155"/>
        <v/>
      </c>
      <c r="EB3302" t="s">
        <v>3302</v>
      </c>
      <c r="EC3302" s="471" t="s">
        <v>3283</v>
      </c>
      <c r="EH3302" t="str">
        <f>EH3301</f>
        <v>Thomas Deen</v>
      </c>
      <c r="EI3302" s="473" t="s">
        <v>3294</v>
      </c>
      <c r="EJ3302" t="s">
        <v>3392</v>
      </c>
      <c r="EK3302" s="473" t="s">
        <v>3294</v>
      </c>
      <c r="EL3302" t="str">
        <f>EL3299</f>
        <v>John Kellner</v>
      </c>
      <c r="EM3302" s="473" t="str">
        <f>EM3299</f>
        <v>R</v>
      </c>
    </row>
    <row r="3303" spans="1:143" ht="15.5" hidden="1" x14ac:dyDescent="0.35">
      <c r="A3303" s="417" t="s">
        <v>1139</v>
      </c>
      <c r="B3303" s="418" t="s">
        <v>147</v>
      </c>
      <c r="C3303" s="419">
        <v>50000</v>
      </c>
      <c r="D3303" s="419" t="s">
        <v>1140</v>
      </c>
      <c r="G3303" s="420"/>
      <c r="H3303" s="420"/>
      <c r="I3303" s="420"/>
      <c r="J3303" s="420"/>
      <c r="K3303" s="420"/>
      <c r="L3303" s="420"/>
      <c r="M3303" s="420"/>
      <c r="N3303" s="420"/>
      <c r="O3303" s="420"/>
      <c r="P3303" s="420"/>
      <c r="Q3303" s="420"/>
      <c r="R3303" s="420"/>
      <c r="S3303" s="420"/>
      <c r="T3303" s="420"/>
      <c r="U3303" s="420"/>
      <c r="V3303" s="420"/>
      <c r="W3303" s="420"/>
      <c r="X3303" s="420"/>
      <c r="Y3303" s="420"/>
      <c r="Z3303" s="420"/>
      <c r="AB3303" s="48" t="s">
        <v>1141</v>
      </c>
      <c r="AC3303" s="245" t="s">
        <v>885</v>
      </c>
      <c r="AD3303" s="48" t="s">
        <v>1102</v>
      </c>
      <c r="AF3303" s="421"/>
      <c r="AG3303" s="48">
        <v>3</v>
      </c>
      <c r="AH3303" s="48" t="s">
        <v>1046</v>
      </c>
      <c r="AI3303" s="48" t="str">
        <f t="shared" si="161"/>
        <v>3 years</v>
      </c>
      <c r="AK3303" s="48" t="s">
        <v>1112</v>
      </c>
      <c r="AO3303" s="48" t="s">
        <v>1142</v>
      </c>
      <c r="AR3303" s="245" t="s">
        <v>885</v>
      </c>
      <c r="AS3303" s="48" t="s">
        <v>1066</v>
      </c>
      <c r="AW3303" s="245" t="s">
        <v>885</v>
      </c>
      <c r="AX3303" s="48">
        <v>23</v>
      </c>
      <c r="BB3303" s="402">
        <f t="shared" ca="1" si="151"/>
        <v>600000</v>
      </c>
      <c r="BF3303" s="423">
        <v>26613</v>
      </c>
      <c r="BG3303" s="415">
        <f t="shared" si="152"/>
        <v>8200</v>
      </c>
      <c r="BH3303" s="415">
        <f t="shared" si="156"/>
        <v>18413</v>
      </c>
      <c r="BI3303" s="365">
        <f t="shared" si="157"/>
        <v>1534.4166666666667</v>
      </c>
      <c r="BJ3303" s="157">
        <f t="shared" si="153"/>
        <v>354.09615384615387</v>
      </c>
      <c r="BK3303" s="416">
        <f t="shared" si="158"/>
        <v>0.69187990831548496</v>
      </c>
      <c r="BN3303" s="1107">
        <f t="shared" si="160"/>
        <v>600000</v>
      </c>
      <c r="BO3303" s="927"/>
      <c r="BP3303" s="927"/>
      <c r="BQ3303" s="927"/>
      <c r="BS3303" s="464" t="str">
        <f t="shared" si="159"/>
        <v>Dickinson County</v>
      </c>
      <c r="BZ3303" s="48" t="s">
        <v>1453</v>
      </c>
      <c r="CA3303" t="s">
        <v>1520</v>
      </c>
      <c r="CB3303" s="245" t="s">
        <v>885</v>
      </c>
      <c r="CC3303" t="s">
        <v>1545</v>
      </c>
      <c r="CD3303" t="s">
        <v>1606</v>
      </c>
      <c r="CE3303" t="s">
        <v>1662</v>
      </c>
      <c r="CF3303" s="245" t="s">
        <v>885</v>
      </c>
      <c r="CG3303" s="245" t="s">
        <v>885</v>
      </c>
      <c r="CH3303" s="245" t="s">
        <v>885</v>
      </c>
      <c r="CI3303" t="s">
        <v>1722</v>
      </c>
      <c r="CJ3303" t="s">
        <v>1771</v>
      </c>
      <c r="CK3303" s="459" t="s">
        <v>885</v>
      </c>
      <c r="CL3303" t="s">
        <v>1882</v>
      </c>
      <c r="CM3303" t="s">
        <v>1912</v>
      </c>
      <c r="CN3303" t="s">
        <v>1962</v>
      </c>
      <c r="CO3303" t="s">
        <v>1907</v>
      </c>
      <c r="CP3303" t="s">
        <v>1658</v>
      </c>
      <c r="CQ3303" t="s">
        <v>2122</v>
      </c>
      <c r="CR3303" t="s">
        <v>2184</v>
      </c>
      <c r="CS3303" t="s">
        <v>2242</v>
      </c>
      <c r="CT3303" s="245" t="s">
        <v>885</v>
      </c>
      <c r="CU3303" t="s">
        <v>2268</v>
      </c>
      <c r="CV3303" t="s">
        <v>2329</v>
      </c>
      <c r="CW3303" t="s">
        <v>1805</v>
      </c>
      <c r="CX3303" t="s">
        <v>1535</v>
      </c>
      <c r="CY3303" t="s">
        <v>2470</v>
      </c>
      <c r="CZ3303" t="s">
        <v>2500</v>
      </c>
      <c r="DA3303" s="459" t="s">
        <v>885</v>
      </c>
      <c r="DB3303" s="459" t="s">
        <v>885</v>
      </c>
      <c r="DC3303" s="459" t="s">
        <v>885</v>
      </c>
      <c r="DD3303" t="s">
        <v>2480</v>
      </c>
      <c r="DE3303" t="s">
        <v>1467</v>
      </c>
      <c r="DF3303" t="s">
        <v>1536</v>
      </c>
      <c r="DG3303" t="s">
        <v>2696</v>
      </c>
      <c r="DH3303" t="s">
        <v>1695</v>
      </c>
      <c r="DI3303" t="s">
        <v>2053</v>
      </c>
      <c r="DJ3303" t="s">
        <v>2797</v>
      </c>
      <c r="DK3303" t="s">
        <v>1959</v>
      </c>
      <c r="DL3303" s="459" t="s">
        <v>885</v>
      </c>
      <c r="DM3303" t="s">
        <v>2854</v>
      </c>
      <c r="DN3303" t="s">
        <v>2878</v>
      </c>
      <c r="DO3303" t="s">
        <v>2910</v>
      </c>
      <c r="DP3303" t="s">
        <v>2949</v>
      </c>
      <c r="DQ3303" t="s">
        <v>3102</v>
      </c>
      <c r="DR3303" s="459" t="s">
        <v>885</v>
      </c>
      <c r="DS3303" t="s">
        <v>1711</v>
      </c>
      <c r="DT3303" t="s">
        <v>1929</v>
      </c>
      <c r="DU3303" t="s">
        <v>1558</v>
      </c>
      <c r="DV3303" t="s">
        <v>2130</v>
      </c>
      <c r="DW3303" t="s">
        <v>3282</v>
      </c>
      <c r="DX3303" s="245" t="s">
        <v>885</v>
      </c>
      <c r="DY3303" s="245"/>
      <c r="DZ3303" s="470" t="str">
        <f t="shared" si="154"/>
        <v/>
      </c>
      <c r="EA3303" s="470" t="str">
        <f t="shared" si="155"/>
        <v/>
      </c>
      <c r="EB3303" t="s">
        <v>3303</v>
      </c>
      <c r="EC3303" s="471" t="s">
        <v>3283</v>
      </c>
      <c r="EH3303" t="s">
        <v>3355</v>
      </c>
      <c r="EI3303" s="473" t="s">
        <v>3294</v>
      </c>
      <c r="EJ3303" t="s">
        <v>3393</v>
      </c>
      <c r="EK3303" s="473" t="s">
        <v>3294</v>
      </c>
      <c r="EL3303" t="str">
        <f>EL3295</f>
        <v>Linda Stanley</v>
      </c>
      <c r="EM3303" s="473" t="str">
        <f>EM3295</f>
        <v>R</v>
      </c>
    </row>
    <row r="3304" spans="1:143" ht="15.5" hidden="1" x14ac:dyDescent="0.35">
      <c r="A3304" s="417" t="s">
        <v>1143</v>
      </c>
      <c r="B3304" s="418" t="s">
        <v>1144</v>
      </c>
      <c r="C3304" s="419">
        <v>100000</v>
      </c>
      <c r="D3304" s="419">
        <v>50000</v>
      </c>
      <c r="G3304" s="420"/>
      <c r="H3304" s="420"/>
      <c r="I3304" s="420"/>
      <c r="J3304" s="420"/>
      <c r="K3304" s="420"/>
      <c r="L3304" s="420"/>
      <c r="M3304" s="420"/>
      <c r="N3304" s="420"/>
      <c r="O3304" s="420"/>
      <c r="P3304" s="420"/>
      <c r="Q3304" s="420"/>
      <c r="R3304" s="420"/>
      <c r="S3304" s="420"/>
      <c r="T3304" s="420"/>
      <c r="U3304" s="420"/>
      <c r="V3304" s="420"/>
      <c r="W3304" s="420"/>
      <c r="X3304" s="420"/>
      <c r="Y3304" s="420"/>
      <c r="Z3304" s="420"/>
      <c r="AB3304" s="48" t="s">
        <v>1145</v>
      </c>
      <c r="AC3304" s="245" t="s">
        <v>885</v>
      </c>
      <c r="AD3304" s="48" t="s">
        <v>1146</v>
      </c>
      <c r="AF3304" s="421">
        <v>2</v>
      </c>
      <c r="AG3304" s="48">
        <v>60</v>
      </c>
      <c r="AH3304" s="48" t="s">
        <v>1086</v>
      </c>
      <c r="AI3304" s="48" t="str">
        <f t="shared" si="161"/>
        <v>60 days</v>
      </c>
      <c r="AK3304" s="48" t="s">
        <v>1112</v>
      </c>
      <c r="AO3304" s="48" t="s">
        <v>1147</v>
      </c>
      <c r="AR3304" s="245" t="s">
        <v>885</v>
      </c>
      <c r="AS3304" s="48" t="s">
        <v>1073</v>
      </c>
      <c r="AW3304" s="245" t="s">
        <v>885</v>
      </c>
      <c r="AX3304" s="48">
        <v>24</v>
      </c>
      <c r="BB3304" s="402">
        <f t="shared" ca="1" si="151"/>
        <v>50000</v>
      </c>
      <c r="BF3304" s="423">
        <v>32638</v>
      </c>
      <c r="BG3304" s="415">
        <f t="shared" si="152"/>
        <v>0</v>
      </c>
      <c r="BH3304" s="415">
        <f t="shared" si="156"/>
        <v>0</v>
      </c>
      <c r="BI3304" s="365">
        <f t="shared" si="157"/>
        <v>0</v>
      </c>
      <c r="BJ3304" s="157">
        <f t="shared" si="153"/>
        <v>0</v>
      </c>
      <c r="BK3304" s="416">
        <f t="shared" si="158"/>
        <v>0</v>
      </c>
      <c r="BN3304" s="1107">
        <f t="shared" si="160"/>
        <v>600000</v>
      </c>
      <c r="BO3304" s="927"/>
      <c r="BP3304" s="927"/>
      <c r="BQ3304" s="927"/>
      <c r="BS3304" s="464" t="str">
        <f t="shared" si="159"/>
        <v>Eaton County</v>
      </c>
      <c r="BZ3304" s="48" t="s">
        <v>1454</v>
      </c>
      <c r="CA3304" t="s">
        <v>1521</v>
      </c>
      <c r="CB3304" s="245" t="s">
        <v>885</v>
      </c>
      <c r="CC3304" t="s">
        <v>1460</v>
      </c>
      <c r="CD3304" t="s">
        <v>1607</v>
      </c>
      <c r="CE3304" t="s">
        <v>1663</v>
      </c>
      <c r="CF3304" s="245" t="s">
        <v>885</v>
      </c>
      <c r="CG3304" s="245" t="s">
        <v>885</v>
      </c>
      <c r="CH3304" s="245" t="s">
        <v>885</v>
      </c>
      <c r="CI3304" t="s">
        <v>1723</v>
      </c>
      <c r="CJ3304" t="s">
        <v>1772</v>
      </c>
      <c r="CK3304" s="459" t="s">
        <v>885</v>
      </c>
      <c r="CL3304" t="s">
        <v>1883</v>
      </c>
      <c r="CM3304" t="s">
        <v>1913</v>
      </c>
      <c r="CN3304" t="s">
        <v>1460</v>
      </c>
      <c r="CO3304" t="s">
        <v>1540</v>
      </c>
      <c r="CP3304" t="s">
        <v>1913</v>
      </c>
      <c r="CQ3304" t="s">
        <v>1906</v>
      </c>
      <c r="CR3304" t="s">
        <v>2185</v>
      </c>
      <c r="CS3304" t="s">
        <v>2243</v>
      </c>
      <c r="CT3304" s="245" t="s">
        <v>885</v>
      </c>
      <c r="CU3304" t="s">
        <v>2010</v>
      </c>
      <c r="CV3304" t="s">
        <v>2330</v>
      </c>
      <c r="CW3304" t="s">
        <v>1964</v>
      </c>
      <c r="CX3304" t="s">
        <v>1444</v>
      </c>
      <c r="CY3304" t="s">
        <v>1600</v>
      </c>
      <c r="CZ3304" t="s">
        <v>1784</v>
      </c>
      <c r="DA3304" s="459" t="s">
        <v>885</v>
      </c>
      <c r="DB3304" s="459" t="s">
        <v>885</v>
      </c>
      <c r="DC3304" s="459" t="s">
        <v>885</v>
      </c>
      <c r="DD3304" t="s">
        <v>2579</v>
      </c>
      <c r="DE3304" t="s">
        <v>1599</v>
      </c>
      <c r="DF3304" t="s">
        <v>2631</v>
      </c>
      <c r="DG3304" t="s">
        <v>1558</v>
      </c>
      <c r="DH3304" t="s">
        <v>1459</v>
      </c>
      <c r="DI3304" t="s">
        <v>1663</v>
      </c>
      <c r="DJ3304" t="s">
        <v>1477</v>
      </c>
      <c r="DK3304" t="s">
        <v>2052</v>
      </c>
      <c r="DL3304" s="459" t="s">
        <v>885</v>
      </c>
      <c r="DM3304" t="s">
        <v>2060</v>
      </c>
      <c r="DN3304" t="s">
        <v>2879</v>
      </c>
      <c r="DO3304" t="s">
        <v>1459</v>
      </c>
      <c r="DP3304" t="s">
        <v>1764</v>
      </c>
      <c r="DQ3304" t="s">
        <v>3103</v>
      </c>
      <c r="DR3304" s="459" t="s">
        <v>885</v>
      </c>
      <c r="DS3304" t="s">
        <v>3129</v>
      </c>
      <c r="DT3304" t="s">
        <v>3208</v>
      </c>
      <c r="DU3304" t="s">
        <v>1477</v>
      </c>
      <c r="DV3304" t="s">
        <v>3245</v>
      </c>
      <c r="DW3304" s="457"/>
      <c r="DX3304" s="245" t="s">
        <v>885</v>
      </c>
      <c r="DY3304" s="245"/>
      <c r="DZ3304" s="470" t="str">
        <f t="shared" si="154"/>
        <v/>
      </c>
      <c r="EA3304" s="470" t="str">
        <f t="shared" si="155"/>
        <v/>
      </c>
      <c r="EB3304" t="str">
        <f>EB3284</f>
        <v>Michael W. Jackson</v>
      </c>
      <c r="EC3304" t="str">
        <f>EC3284</f>
        <v>D</v>
      </c>
      <c r="EH3304" t="s">
        <v>3356</v>
      </c>
      <c r="EI3304" s="473" t="s">
        <v>3294</v>
      </c>
      <c r="EJ3304" t="s">
        <v>3394</v>
      </c>
      <c r="EK3304" s="473" t="s">
        <v>3294</v>
      </c>
      <c r="EL3304" t="s">
        <v>3442</v>
      </c>
      <c r="EM3304" s="473" t="s">
        <v>3283</v>
      </c>
    </row>
    <row r="3305" spans="1:143" ht="15.5" hidden="1" x14ac:dyDescent="0.35">
      <c r="A3305" s="417" t="s">
        <v>1148</v>
      </c>
      <c r="B3305" s="418" t="s">
        <v>1149</v>
      </c>
      <c r="C3305" s="419">
        <v>50000</v>
      </c>
      <c r="D3305" s="419">
        <f>C3305*10</f>
        <v>500000</v>
      </c>
      <c r="G3305" s="420"/>
      <c r="H3305" s="420"/>
      <c r="I3305" s="420"/>
      <c r="J3305" s="420"/>
      <c r="K3305" s="420"/>
      <c r="L3305" s="420"/>
      <c r="M3305" s="420"/>
      <c r="N3305" s="420"/>
      <c r="O3305" s="420"/>
      <c r="P3305" s="420"/>
      <c r="Q3305" s="420"/>
      <c r="R3305" s="420"/>
      <c r="S3305" s="420"/>
      <c r="T3305" s="420"/>
      <c r="U3305" s="420"/>
      <c r="V3305" s="420"/>
      <c r="W3305" s="420"/>
      <c r="X3305" s="420"/>
      <c r="Y3305" s="420"/>
      <c r="Z3305" s="420"/>
      <c r="AB3305" s="48" t="s">
        <v>1150</v>
      </c>
      <c r="AC3305" s="245" t="s">
        <v>885</v>
      </c>
      <c r="AD3305" s="48" t="s">
        <v>1151</v>
      </c>
      <c r="AF3305" s="421"/>
      <c r="AG3305" s="48">
        <v>3</v>
      </c>
      <c r="AH3305" s="48" t="s">
        <v>1046</v>
      </c>
      <c r="AI3305" s="48" t="str">
        <f t="shared" si="161"/>
        <v>3 years</v>
      </c>
      <c r="AK3305" s="48" t="s">
        <v>1112</v>
      </c>
      <c r="AO3305" s="48" t="s">
        <v>1152</v>
      </c>
      <c r="AR3305" s="245" t="s">
        <v>885</v>
      </c>
      <c r="AS3305" s="48" t="s">
        <v>1073</v>
      </c>
      <c r="AW3305" s="245" t="s">
        <v>885</v>
      </c>
      <c r="AX3305" s="48">
        <v>25</v>
      </c>
      <c r="BB3305" s="402">
        <f t="shared" ca="1" si="151"/>
        <v>500000</v>
      </c>
      <c r="BF3305" s="423">
        <v>21036</v>
      </c>
      <c r="BG3305" s="415">
        <f t="shared" si="152"/>
        <v>0</v>
      </c>
      <c r="BH3305" s="415">
        <f t="shared" si="156"/>
        <v>0</v>
      </c>
      <c r="BI3305" s="365">
        <f t="shared" si="157"/>
        <v>0</v>
      </c>
      <c r="BJ3305" s="157">
        <f t="shared" si="153"/>
        <v>0</v>
      </c>
      <c r="BK3305" s="416">
        <f t="shared" si="158"/>
        <v>0</v>
      </c>
      <c r="BN3305" s="1107">
        <f t="shared" si="160"/>
        <v>600000</v>
      </c>
      <c r="BO3305" s="927"/>
      <c r="BP3305" s="927"/>
      <c r="BQ3305" s="927"/>
      <c r="BS3305" s="464" t="str">
        <f t="shared" si="159"/>
        <v>Emmet County</v>
      </c>
      <c r="BZ3305" s="48" t="s">
        <v>1455</v>
      </c>
      <c r="CA3305" t="s">
        <v>1522</v>
      </c>
      <c r="CB3305" s="245" t="s">
        <v>885</v>
      </c>
      <c r="CC3305" t="s">
        <v>1546</v>
      </c>
      <c r="CD3305" t="s">
        <v>1608</v>
      </c>
      <c r="CE3305" t="s">
        <v>1664</v>
      </c>
      <c r="CF3305" s="245" t="s">
        <v>885</v>
      </c>
      <c r="CG3305" s="245" t="s">
        <v>885</v>
      </c>
      <c r="CH3305" s="245" t="s">
        <v>885</v>
      </c>
      <c r="CI3305" t="s">
        <v>1724</v>
      </c>
      <c r="CJ3305" t="s">
        <v>1773</v>
      </c>
      <c r="CK3305" s="459" t="s">
        <v>885</v>
      </c>
      <c r="CL3305" t="s">
        <v>1884</v>
      </c>
      <c r="CM3305" t="s">
        <v>1791</v>
      </c>
      <c r="CN3305" t="s">
        <v>1546</v>
      </c>
      <c r="CO3305" t="s">
        <v>1454</v>
      </c>
      <c r="CP3305" t="s">
        <v>2052</v>
      </c>
      <c r="CQ3305" t="s">
        <v>1535</v>
      </c>
      <c r="CR3305" t="s">
        <v>2186</v>
      </c>
      <c r="CS3305" s="459" t="s">
        <v>885</v>
      </c>
      <c r="CT3305" s="245" t="s">
        <v>885</v>
      </c>
      <c r="CU3305" t="s">
        <v>2269</v>
      </c>
      <c r="CV3305" t="s">
        <v>2331</v>
      </c>
      <c r="CW3305" t="s">
        <v>2387</v>
      </c>
      <c r="CX3305" t="s">
        <v>1907</v>
      </c>
      <c r="CY3305" t="s">
        <v>2471</v>
      </c>
      <c r="CZ3305" t="s">
        <v>2501</v>
      </c>
      <c r="DA3305" s="459" t="s">
        <v>885</v>
      </c>
      <c r="DB3305" s="459" t="s">
        <v>885</v>
      </c>
      <c r="DC3305" s="459" t="s">
        <v>885</v>
      </c>
      <c r="DD3305" t="s">
        <v>1689</v>
      </c>
      <c r="DE3305" t="s">
        <v>1889</v>
      </c>
      <c r="DF3305" t="s">
        <v>2632</v>
      </c>
      <c r="DG3305" t="s">
        <v>1932</v>
      </c>
      <c r="DH3305" t="s">
        <v>1460</v>
      </c>
      <c r="DI3305" t="s">
        <v>2758</v>
      </c>
      <c r="DJ3305" t="s">
        <v>2732</v>
      </c>
      <c r="DK3305" t="s">
        <v>2594</v>
      </c>
      <c r="DL3305" s="459" t="s">
        <v>885</v>
      </c>
      <c r="DM3305" t="s">
        <v>2855</v>
      </c>
      <c r="DN3305" t="s">
        <v>1548</v>
      </c>
      <c r="DO3305" t="s">
        <v>2911</v>
      </c>
      <c r="DP3305" t="s">
        <v>1902</v>
      </c>
      <c r="DQ3305" t="s">
        <v>3104</v>
      </c>
      <c r="DR3305" s="459" t="s">
        <v>885</v>
      </c>
      <c r="DS3305" t="s">
        <v>3130</v>
      </c>
      <c r="DT3305" t="s">
        <v>3209</v>
      </c>
      <c r="DU3305" t="s">
        <v>1478</v>
      </c>
      <c r="DV3305" t="s">
        <v>2013</v>
      </c>
      <c r="DW3305" s="245" t="s">
        <v>885</v>
      </c>
      <c r="DX3305" s="245" t="s">
        <v>885</v>
      </c>
      <c r="DY3305" s="245"/>
      <c r="DZ3305" s="470" t="str">
        <f t="shared" si="154"/>
        <v/>
      </c>
      <c r="EA3305" s="470" t="str">
        <f t="shared" si="155"/>
        <v/>
      </c>
      <c r="EB3305" t="str">
        <f>EB3290</f>
        <v>Michael E. O'Dell</v>
      </c>
      <c r="EC3305" t="str">
        <f>EC3290</f>
        <v>R</v>
      </c>
      <c r="EH3305" t="str">
        <f>EH3292</f>
        <v>Eric Hance</v>
      </c>
      <c r="EI3305" s="473" t="s">
        <v>3294</v>
      </c>
      <c r="EJ3305" t="s">
        <v>3395</v>
      </c>
      <c r="EK3305" s="473" t="s">
        <v>3294</v>
      </c>
      <c r="EL3305" t="s">
        <v>3443</v>
      </c>
      <c r="EM3305" s="473" t="s">
        <v>3288</v>
      </c>
    </row>
    <row r="3306" spans="1:143" ht="15.5" hidden="1" x14ac:dyDescent="0.35">
      <c r="A3306" s="417" t="s">
        <v>1153</v>
      </c>
      <c r="B3306" s="418" t="s">
        <v>1154</v>
      </c>
      <c r="C3306" s="419">
        <f>50*365.25</f>
        <v>18262.5</v>
      </c>
      <c r="D3306" s="427" t="s">
        <v>885</v>
      </c>
      <c r="G3306" s="420"/>
      <c r="H3306" s="420"/>
      <c r="I3306" s="420"/>
      <c r="J3306" s="420"/>
      <c r="K3306" s="420"/>
      <c r="L3306" s="420"/>
      <c r="M3306" s="420"/>
      <c r="N3306" s="420"/>
      <c r="O3306" s="420"/>
      <c r="P3306" s="420"/>
      <c r="Q3306" s="420"/>
      <c r="R3306" s="420"/>
      <c r="S3306" s="420"/>
      <c r="T3306" s="420"/>
      <c r="U3306" s="420"/>
      <c r="V3306" s="420"/>
      <c r="W3306" s="420"/>
      <c r="X3306" s="420"/>
      <c r="Y3306" s="420"/>
      <c r="Z3306" s="420"/>
      <c r="AB3306" s="48" t="s">
        <v>1155</v>
      </c>
      <c r="AC3306" s="245" t="s">
        <v>885</v>
      </c>
      <c r="AD3306" s="48" t="s">
        <v>1156</v>
      </c>
      <c r="AF3306" s="421">
        <v>1</v>
      </c>
      <c r="AI3306" s="48" t="str">
        <f>AI3301</f>
        <v>2 years</v>
      </c>
      <c r="AK3306" s="48" t="s">
        <v>1087</v>
      </c>
      <c r="AO3306" s="48" t="s">
        <v>1157</v>
      </c>
      <c r="AR3306" s="245" t="s">
        <v>885</v>
      </c>
      <c r="AS3306" s="48" t="s">
        <v>1158</v>
      </c>
      <c r="AW3306" s="245" t="s">
        <v>885</v>
      </c>
      <c r="AX3306" s="48">
        <v>26</v>
      </c>
      <c r="BB3306" s="402">
        <f t="shared" ca="1" si="151"/>
        <v>219150</v>
      </c>
      <c r="BF3306" s="423">
        <v>26126</v>
      </c>
      <c r="BG3306" s="415">
        <f t="shared" si="152"/>
        <v>0</v>
      </c>
      <c r="BH3306" s="415">
        <f t="shared" si="156"/>
        <v>0</v>
      </c>
      <c r="BI3306" s="365">
        <f t="shared" si="157"/>
        <v>0</v>
      </c>
      <c r="BJ3306" s="157">
        <f t="shared" si="153"/>
        <v>0</v>
      </c>
      <c r="BK3306" s="416">
        <f t="shared" si="158"/>
        <v>0</v>
      </c>
      <c r="BN3306" s="1107">
        <f t="shared" si="160"/>
        <v>600000</v>
      </c>
      <c r="BO3306" s="927"/>
      <c r="BP3306" s="927"/>
      <c r="BQ3306" s="927"/>
      <c r="BS3306" s="464" t="str">
        <f t="shared" si="159"/>
        <v>Genesee County</v>
      </c>
      <c r="BZ3306" s="48" t="s">
        <v>1456</v>
      </c>
      <c r="CA3306" t="s">
        <v>1523</v>
      </c>
      <c r="CB3306" s="245" t="s">
        <v>885</v>
      </c>
      <c r="CC3306" t="s">
        <v>1547</v>
      </c>
      <c r="CD3306" t="s">
        <v>1609</v>
      </c>
      <c r="CE3306" t="s">
        <v>1665</v>
      </c>
      <c r="CF3306" s="245" t="s">
        <v>885</v>
      </c>
      <c r="CG3306" s="245" t="s">
        <v>885</v>
      </c>
      <c r="CH3306" s="245" t="s">
        <v>885</v>
      </c>
      <c r="CI3306" t="s">
        <v>1725</v>
      </c>
      <c r="CJ3306" t="s">
        <v>1774</v>
      </c>
      <c r="CK3306" s="459" t="s">
        <v>885</v>
      </c>
      <c r="CL3306" t="s">
        <v>1467</v>
      </c>
      <c r="CM3306" t="s">
        <v>1459</v>
      </c>
      <c r="CN3306" t="s">
        <v>1963</v>
      </c>
      <c r="CO3306" t="s">
        <v>2006</v>
      </c>
      <c r="CP3306" t="s">
        <v>2053</v>
      </c>
      <c r="CQ3306" t="s">
        <v>1444</v>
      </c>
      <c r="CR3306" t="s">
        <v>2187</v>
      </c>
      <c r="CS3306" s="459" t="s">
        <v>885</v>
      </c>
      <c r="CT3306" s="245" t="s">
        <v>885</v>
      </c>
      <c r="CU3306" t="s">
        <v>2270</v>
      </c>
      <c r="CV3306" t="s">
        <v>1548</v>
      </c>
      <c r="CW3306" t="s">
        <v>1728</v>
      </c>
      <c r="CX3306" t="s">
        <v>2420</v>
      </c>
      <c r="CY3306" t="s">
        <v>1732</v>
      </c>
      <c r="CZ3306" t="s">
        <v>2502</v>
      </c>
      <c r="DA3306" s="459" t="s">
        <v>885</v>
      </c>
      <c r="DB3306" s="459" t="s">
        <v>885</v>
      </c>
      <c r="DC3306" s="459" t="s">
        <v>885</v>
      </c>
      <c r="DD3306" t="s">
        <v>1690</v>
      </c>
      <c r="DE3306" t="s">
        <v>1927</v>
      </c>
      <c r="DF3306" t="s">
        <v>1909</v>
      </c>
      <c r="DG3306" t="s">
        <v>1820</v>
      </c>
      <c r="DH3306" t="s">
        <v>1546</v>
      </c>
      <c r="DI3306" t="s">
        <v>1801</v>
      </c>
      <c r="DJ3306" t="s">
        <v>2798</v>
      </c>
      <c r="DK3306" t="s">
        <v>1459</v>
      </c>
      <c r="DL3306" s="459" t="s">
        <v>885</v>
      </c>
      <c r="DM3306" t="s">
        <v>2856</v>
      </c>
      <c r="DN3306" t="s">
        <v>2880</v>
      </c>
      <c r="DO3306" t="s">
        <v>1460</v>
      </c>
      <c r="DP3306" t="s">
        <v>2950</v>
      </c>
      <c r="DQ3306" t="s">
        <v>3105</v>
      </c>
      <c r="DR3306" s="459" t="s">
        <v>885</v>
      </c>
      <c r="DS3306" t="s">
        <v>2846</v>
      </c>
      <c r="DT3306" t="s">
        <v>3210</v>
      </c>
      <c r="DU3306" t="s">
        <v>1929</v>
      </c>
      <c r="DV3306" t="s">
        <v>2280</v>
      </c>
      <c r="DW3306" s="245" t="s">
        <v>885</v>
      </c>
      <c r="DX3306" s="245" t="s">
        <v>885</v>
      </c>
      <c r="DY3306" s="245"/>
      <c r="DZ3306" s="470" t="str">
        <f t="shared" si="154"/>
        <v/>
      </c>
      <c r="EA3306" s="470" t="str">
        <f t="shared" si="155"/>
        <v/>
      </c>
      <c r="EB3306" t="str">
        <f>EB3291</f>
        <v>Randall V. Houston</v>
      </c>
      <c r="EC3306" t="str">
        <f>EC3291</f>
        <v>R</v>
      </c>
      <c r="EH3306" t="s">
        <v>3357</v>
      </c>
      <c r="EI3306" s="473" t="s">
        <v>3294</v>
      </c>
      <c r="EJ3306" t="s">
        <v>3396</v>
      </c>
      <c r="EK3306" s="473" t="s">
        <v>3294</v>
      </c>
      <c r="EL3306" t="s">
        <v>3444</v>
      </c>
      <c r="EM3306" s="473" t="s">
        <v>3334</v>
      </c>
    </row>
    <row r="3307" spans="1:143" ht="15.5" hidden="1" x14ac:dyDescent="0.35">
      <c r="A3307" s="417" t="s">
        <v>1159</v>
      </c>
      <c r="B3307" s="418" t="s">
        <v>1160</v>
      </c>
      <c r="C3307" s="428"/>
      <c r="D3307" s="419" t="s">
        <v>1401</v>
      </c>
      <c r="G3307" s="420"/>
      <c r="H3307" s="420"/>
      <c r="I3307" s="420"/>
      <c r="J3307" s="420"/>
      <c r="K3307" s="420"/>
      <c r="L3307" s="420"/>
      <c r="M3307" s="420"/>
      <c r="N3307" s="420"/>
      <c r="O3307" s="420"/>
      <c r="P3307" s="420"/>
      <c r="Q3307" s="420"/>
      <c r="R3307" s="420"/>
      <c r="S3307" s="420"/>
      <c r="T3307" s="420"/>
      <c r="U3307" s="420"/>
      <c r="V3307" s="420"/>
      <c r="W3307" s="420"/>
      <c r="X3307" s="420"/>
      <c r="Y3307" s="420"/>
      <c r="Z3307" s="420"/>
      <c r="AB3307" s="48" t="s">
        <v>1161</v>
      </c>
      <c r="AC3307" s="245" t="s">
        <v>885</v>
      </c>
      <c r="AD3307" s="48" t="s">
        <v>1162</v>
      </c>
      <c r="AF3307" s="421"/>
      <c r="AG3307" s="48">
        <v>10</v>
      </c>
      <c r="AH3307" s="48" t="s">
        <v>1046</v>
      </c>
      <c r="AI3307" s="48" t="str">
        <f t="shared" si="161"/>
        <v>10 years</v>
      </c>
      <c r="AK3307" s="48" t="s">
        <v>1047</v>
      </c>
      <c r="AO3307" s="48" t="s">
        <v>1163</v>
      </c>
      <c r="AR3307" s="245" t="s">
        <v>885</v>
      </c>
      <c r="AS3307" s="48" t="s">
        <v>1164</v>
      </c>
      <c r="AW3307" s="245" t="s">
        <v>885</v>
      </c>
      <c r="AX3307" s="48">
        <v>27</v>
      </c>
      <c r="BB3307" s="402">
        <f t="shared" ca="1" si="151"/>
        <v>0</v>
      </c>
      <c r="BF3307" s="423">
        <v>25989</v>
      </c>
      <c r="BG3307" s="415">
        <f t="shared" si="152"/>
        <v>0</v>
      </c>
      <c r="BH3307" s="415">
        <f t="shared" si="156"/>
        <v>0</v>
      </c>
      <c r="BI3307" s="365">
        <f t="shared" si="157"/>
        <v>0</v>
      </c>
      <c r="BJ3307" s="157">
        <f t="shared" si="153"/>
        <v>0</v>
      </c>
      <c r="BK3307" s="416">
        <f t="shared" si="158"/>
        <v>0</v>
      </c>
      <c r="BN3307" s="1107">
        <f t="shared" si="160"/>
        <v>600000</v>
      </c>
      <c r="BO3307" s="927"/>
      <c r="BP3307" s="927"/>
      <c r="BQ3307" s="927"/>
      <c r="BS3307" s="464" t="str">
        <f t="shared" si="159"/>
        <v>Gladwin County</v>
      </c>
      <c r="BZ3307" s="48" t="s">
        <v>1457</v>
      </c>
      <c r="CA3307" t="s">
        <v>1524</v>
      </c>
      <c r="CB3307" s="245" t="s">
        <v>885</v>
      </c>
      <c r="CC3307" t="s">
        <v>1548</v>
      </c>
      <c r="CD3307" t="s">
        <v>1610</v>
      </c>
      <c r="CE3307" t="s">
        <v>1666</v>
      </c>
      <c r="CF3307" s="245" t="s">
        <v>885</v>
      </c>
      <c r="CG3307" s="245" t="s">
        <v>885</v>
      </c>
      <c r="CH3307" s="245" t="s">
        <v>885</v>
      </c>
      <c r="CI3307" t="s">
        <v>1726</v>
      </c>
      <c r="CJ3307" t="s">
        <v>1775</v>
      </c>
      <c r="CK3307" s="459" t="s">
        <v>885</v>
      </c>
      <c r="CL3307" t="s">
        <v>1885</v>
      </c>
      <c r="CM3307" t="s">
        <v>1914</v>
      </c>
      <c r="CN3307" t="s">
        <v>1548</v>
      </c>
      <c r="CO3307" t="s">
        <v>1785</v>
      </c>
      <c r="CP3307" t="s">
        <v>2054</v>
      </c>
      <c r="CQ3307" t="s">
        <v>1907</v>
      </c>
      <c r="CR3307" t="s">
        <v>2188</v>
      </c>
      <c r="CS3307" s="459" t="s">
        <v>885</v>
      </c>
      <c r="CT3307" s="245" t="s">
        <v>885</v>
      </c>
      <c r="CU3307" t="s">
        <v>2271</v>
      </c>
      <c r="CV3307" t="s">
        <v>2332</v>
      </c>
      <c r="CW3307" t="s">
        <v>2388</v>
      </c>
      <c r="CX3307" t="s">
        <v>2421</v>
      </c>
      <c r="CY3307" t="s">
        <v>1556</v>
      </c>
      <c r="CZ3307" t="s">
        <v>1786</v>
      </c>
      <c r="DA3307" s="459" t="s">
        <v>885</v>
      </c>
      <c r="DB3307" s="459" t="s">
        <v>885</v>
      </c>
      <c r="DC3307" s="459" t="s">
        <v>885</v>
      </c>
      <c r="DD3307" t="s">
        <v>2580</v>
      </c>
      <c r="DE3307" t="s">
        <v>1475</v>
      </c>
      <c r="DF3307" t="s">
        <v>2633</v>
      </c>
      <c r="DG3307" t="s">
        <v>2697</v>
      </c>
      <c r="DH3307" t="s">
        <v>2722</v>
      </c>
      <c r="DI3307" t="s">
        <v>1548</v>
      </c>
      <c r="DJ3307" t="s">
        <v>1567</v>
      </c>
      <c r="DK3307" t="s">
        <v>2817</v>
      </c>
      <c r="DL3307" s="459" t="s">
        <v>885</v>
      </c>
      <c r="DM3307" t="s">
        <v>1811</v>
      </c>
      <c r="DN3307" t="s">
        <v>2881</v>
      </c>
      <c r="DO3307" t="s">
        <v>1963</v>
      </c>
      <c r="DP3307" t="s">
        <v>2951</v>
      </c>
      <c r="DQ3307" t="s">
        <v>1495</v>
      </c>
      <c r="DR3307" s="459" t="s">
        <v>885</v>
      </c>
      <c r="DS3307" t="s">
        <v>1443</v>
      </c>
      <c r="DT3307" t="s">
        <v>1829</v>
      </c>
      <c r="DU3307" t="s">
        <v>2653</v>
      </c>
      <c r="DV3307" t="s">
        <v>1466</v>
      </c>
      <c r="DW3307" s="245" t="s">
        <v>885</v>
      </c>
      <c r="DX3307" s="245" t="s">
        <v>885</v>
      </c>
      <c r="DY3307" s="245"/>
      <c r="DZ3307" s="470" t="str">
        <f t="shared" si="154"/>
        <v/>
      </c>
      <c r="EA3307" s="470" t="str">
        <f t="shared" si="155"/>
        <v/>
      </c>
      <c r="EB3307" t="s">
        <v>3304</v>
      </c>
      <c r="EC3307" s="471" t="s">
        <v>3288</v>
      </c>
      <c r="EH3307" t="s">
        <v>3358</v>
      </c>
      <c r="EI3307" s="473" t="s">
        <v>3294</v>
      </c>
      <c r="EJ3307" t="s">
        <v>3397</v>
      </c>
      <c r="EK3307" s="473" t="s">
        <v>3294</v>
      </c>
      <c r="EL3307" t="str">
        <f>EL3296</f>
        <v>Seth D. Ryan</v>
      </c>
      <c r="EM3307" s="473" t="str">
        <f>EM3296</f>
        <v>R</v>
      </c>
    </row>
    <row r="3308" spans="1:143" ht="15.5" hidden="1" x14ac:dyDescent="0.35">
      <c r="A3308" s="417" t="s">
        <v>1165</v>
      </c>
      <c r="B3308" s="418" t="s">
        <v>1166</v>
      </c>
      <c r="C3308" s="427">
        <f>C3302</f>
        <v>0</v>
      </c>
      <c r="D3308" s="419">
        <v>500000</v>
      </c>
      <c r="G3308" s="420"/>
      <c r="H3308" s="420"/>
      <c r="I3308" s="420"/>
      <c r="J3308" s="420"/>
      <c r="K3308" s="420"/>
      <c r="L3308" s="420"/>
      <c r="M3308" s="420"/>
      <c r="N3308" s="420"/>
      <c r="O3308" s="420"/>
      <c r="P3308" s="420"/>
      <c r="Q3308" s="420"/>
      <c r="R3308" s="420"/>
      <c r="S3308" s="420"/>
      <c r="T3308" s="420"/>
      <c r="U3308" s="420"/>
      <c r="V3308" s="420"/>
      <c r="W3308" s="420"/>
      <c r="X3308" s="420"/>
      <c r="Y3308" s="420"/>
      <c r="Z3308" s="420"/>
      <c r="AB3308" s="48" t="s">
        <v>1167</v>
      </c>
      <c r="AC3308" s="245" t="s">
        <v>885</v>
      </c>
      <c r="AD3308" s="48" t="s">
        <v>1049</v>
      </c>
      <c r="AF3308" s="421"/>
      <c r="AG3308" s="48">
        <v>2</v>
      </c>
      <c r="AH3308" s="48" t="s">
        <v>1046</v>
      </c>
      <c r="AI3308" s="48" t="str">
        <f t="shared" si="161"/>
        <v>2 years</v>
      </c>
      <c r="AK3308" s="48" t="s">
        <v>1112</v>
      </c>
      <c r="AO3308" s="48" t="s">
        <v>1168</v>
      </c>
      <c r="AR3308" s="245" t="s">
        <v>885</v>
      </c>
      <c r="AS3308" s="48" t="s">
        <v>1066</v>
      </c>
      <c r="AW3308" s="245" t="s">
        <v>885</v>
      </c>
      <c r="AX3308" s="48">
        <v>28</v>
      </c>
      <c r="BB3308" s="402">
        <f t="shared" ca="1" si="151"/>
        <v>0</v>
      </c>
      <c r="BF3308" s="423">
        <v>27446</v>
      </c>
      <c r="BG3308" s="415">
        <f t="shared" si="152"/>
        <v>0</v>
      </c>
      <c r="BH3308" s="415">
        <f t="shared" si="156"/>
        <v>0</v>
      </c>
      <c r="BI3308" s="365">
        <f t="shared" si="157"/>
        <v>0</v>
      </c>
      <c r="BJ3308" s="157">
        <f t="shared" si="153"/>
        <v>0</v>
      </c>
      <c r="BK3308" s="416">
        <f t="shared" si="158"/>
        <v>0</v>
      </c>
      <c r="BN3308" s="1107">
        <f t="shared" si="160"/>
        <v>600000</v>
      </c>
      <c r="BO3308" s="927"/>
      <c r="BP3308" s="927"/>
      <c r="BQ3308" s="927"/>
      <c r="BS3308" s="464" t="str">
        <f t="shared" si="159"/>
        <v>Gogebic County</v>
      </c>
      <c r="BZ3308" s="48" t="s">
        <v>1458</v>
      </c>
      <c r="CA3308" t="s">
        <v>1525</v>
      </c>
      <c r="CB3308" s="245" t="s">
        <v>885</v>
      </c>
      <c r="CC3308" t="s">
        <v>1462</v>
      </c>
      <c r="CD3308" t="s">
        <v>1611</v>
      </c>
      <c r="CE3308" t="s">
        <v>1667</v>
      </c>
      <c r="CF3308" s="245" t="s">
        <v>885</v>
      </c>
      <c r="CG3308" s="245" t="s">
        <v>885</v>
      </c>
      <c r="CH3308" s="245" t="s">
        <v>885</v>
      </c>
      <c r="CI3308" t="s">
        <v>1727</v>
      </c>
      <c r="CJ3308" t="s">
        <v>1440</v>
      </c>
      <c r="CK3308" s="459" t="s">
        <v>885</v>
      </c>
      <c r="CL3308" t="s">
        <v>1886</v>
      </c>
      <c r="CM3308" t="s">
        <v>1460</v>
      </c>
      <c r="CN3308" t="s">
        <v>1462</v>
      </c>
      <c r="CO3308" t="s">
        <v>1959</v>
      </c>
      <c r="CP3308" t="s">
        <v>2055</v>
      </c>
      <c r="CQ3308" t="s">
        <v>1541</v>
      </c>
      <c r="CR3308" t="s">
        <v>2189</v>
      </c>
      <c r="CS3308" s="459" t="s">
        <v>885</v>
      </c>
      <c r="CT3308" s="245" t="s">
        <v>885</v>
      </c>
      <c r="CU3308" t="s">
        <v>2272</v>
      </c>
      <c r="CV3308" t="s">
        <v>1465</v>
      </c>
      <c r="CW3308" t="s">
        <v>2389</v>
      </c>
      <c r="CX3308" t="s">
        <v>1540</v>
      </c>
      <c r="CY3308" t="s">
        <v>2472</v>
      </c>
      <c r="CZ3308" t="s">
        <v>1658</v>
      </c>
      <c r="DA3308" s="459" t="s">
        <v>885</v>
      </c>
      <c r="DB3308" s="459" t="s">
        <v>885</v>
      </c>
      <c r="DC3308" s="459" t="s">
        <v>885</v>
      </c>
      <c r="DD3308" t="s">
        <v>1627</v>
      </c>
      <c r="DE3308" t="s">
        <v>1480</v>
      </c>
      <c r="DF3308" t="s">
        <v>2634</v>
      </c>
      <c r="DG3308" t="s">
        <v>1933</v>
      </c>
      <c r="DH3308" t="s">
        <v>2723</v>
      </c>
      <c r="DI3308" t="s">
        <v>2759</v>
      </c>
      <c r="DJ3308" t="s">
        <v>2094</v>
      </c>
      <c r="DK3308" t="s">
        <v>1460</v>
      </c>
      <c r="DL3308" s="459" t="s">
        <v>885</v>
      </c>
      <c r="DM3308" t="s">
        <v>2857</v>
      </c>
      <c r="DN3308" t="s">
        <v>2882</v>
      </c>
      <c r="DO3308" t="s">
        <v>2912</v>
      </c>
      <c r="DP3308" t="s">
        <v>2117</v>
      </c>
      <c r="DQ3308" t="s">
        <v>1855</v>
      </c>
      <c r="DR3308" s="459" t="s">
        <v>885</v>
      </c>
      <c r="DS3308" t="s">
        <v>3131</v>
      </c>
      <c r="DT3308" t="s">
        <v>1689</v>
      </c>
      <c r="DU3308" t="s">
        <v>1935</v>
      </c>
      <c r="DV3308" t="s">
        <v>1467</v>
      </c>
      <c r="DW3308" s="245" t="s">
        <v>885</v>
      </c>
      <c r="DX3308" s="245" t="s">
        <v>885</v>
      </c>
      <c r="DY3308" s="245"/>
      <c r="DZ3308" s="470" t="str">
        <f t="shared" si="154"/>
        <v/>
      </c>
      <c r="EA3308" s="470" t="str">
        <f t="shared" si="155"/>
        <v/>
      </c>
      <c r="EB3308" t="s">
        <v>3305</v>
      </c>
      <c r="EC3308" s="471" t="s">
        <v>3283</v>
      </c>
      <c r="EH3308" t="str">
        <f>EH3298</f>
        <v>Scott Ellington</v>
      </c>
      <c r="EI3308" s="473" t="s">
        <v>3294</v>
      </c>
      <c r="EJ3308" t="s">
        <v>3398</v>
      </c>
      <c r="EK3308" s="473" t="s">
        <v>3294</v>
      </c>
      <c r="EL3308" t="str">
        <f>EL3307</f>
        <v>Seth D. Ryan</v>
      </c>
      <c r="EM3308" s="473" t="str">
        <f>EM3307</f>
        <v>R</v>
      </c>
    </row>
    <row r="3309" spans="1:143" ht="15.5" hidden="1" x14ac:dyDescent="0.35">
      <c r="A3309" s="417" t="s">
        <v>1169</v>
      </c>
      <c r="B3309" s="418" t="s">
        <v>1170</v>
      </c>
      <c r="C3309" s="427">
        <f>C3308</f>
        <v>0</v>
      </c>
      <c r="D3309" s="427" t="s">
        <v>885</v>
      </c>
      <c r="E3309" s="427" t="s">
        <v>885</v>
      </c>
      <c r="G3309" s="420"/>
      <c r="H3309" s="420"/>
      <c r="I3309" s="420"/>
      <c r="J3309" s="420"/>
      <c r="K3309" s="420"/>
      <c r="L3309" s="420"/>
      <c r="M3309" s="420"/>
      <c r="N3309" s="420"/>
      <c r="O3309" s="420"/>
      <c r="P3309" s="420"/>
      <c r="Q3309" s="420"/>
      <c r="R3309" s="420"/>
      <c r="S3309" s="420"/>
      <c r="T3309" s="420"/>
      <c r="U3309" s="420"/>
      <c r="V3309" s="420"/>
      <c r="W3309" s="420"/>
      <c r="X3309" s="420"/>
      <c r="Y3309" s="420"/>
      <c r="Z3309" s="420"/>
      <c r="AA3309" s="411"/>
      <c r="AB3309" s="411" t="s">
        <v>1027</v>
      </c>
      <c r="AC3309" s="245" t="s">
        <v>885</v>
      </c>
      <c r="AD3309" s="245" t="s">
        <v>885</v>
      </c>
      <c r="AE3309" s="245" t="s">
        <v>885</v>
      </c>
      <c r="AF3309" s="245" t="s">
        <v>885</v>
      </c>
      <c r="AG3309" s="245" t="s">
        <v>885</v>
      </c>
      <c r="AH3309" s="245" t="s">
        <v>885</v>
      </c>
      <c r="AI3309" s="245" t="s">
        <v>885</v>
      </c>
      <c r="AJ3309" s="245" t="s">
        <v>885</v>
      </c>
      <c r="AK3309" s="245" t="s">
        <v>885</v>
      </c>
      <c r="AL3309" s="245" t="s">
        <v>885</v>
      </c>
      <c r="AM3309" s="245" t="s">
        <v>885</v>
      </c>
      <c r="AN3309" s="245" t="s">
        <v>885</v>
      </c>
      <c r="AO3309" s="245" t="s">
        <v>885</v>
      </c>
      <c r="AP3309" s="245" t="s">
        <v>885</v>
      </c>
      <c r="AQ3309" s="245" t="s">
        <v>885</v>
      </c>
      <c r="AR3309" s="245" t="s">
        <v>885</v>
      </c>
      <c r="AS3309" s="245" t="s">
        <v>885</v>
      </c>
      <c r="AT3309" s="245" t="s">
        <v>885</v>
      </c>
      <c r="AU3309" s="245" t="s">
        <v>885</v>
      </c>
      <c r="AV3309" s="245" t="s">
        <v>885</v>
      </c>
      <c r="AW3309" s="245" t="s">
        <v>885</v>
      </c>
      <c r="AX3309" s="48">
        <v>29</v>
      </c>
      <c r="BB3309" s="402">
        <f t="shared" ca="1" si="151"/>
        <v>0</v>
      </c>
      <c r="BF3309" s="423">
        <v>25773</v>
      </c>
      <c r="BG3309" s="415">
        <f t="shared" si="152"/>
        <v>0</v>
      </c>
      <c r="BH3309" s="415">
        <f t="shared" si="156"/>
        <v>0</v>
      </c>
      <c r="BI3309" s="365">
        <f t="shared" si="157"/>
        <v>0</v>
      </c>
      <c r="BJ3309" s="157">
        <f t="shared" si="153"/>
        <v>0</v>
      </c>
      <c r="BK3309" s="416">
        <f t="shared" si="158"/>
        <v>0</v>
      </c>
      <c r="BS3309" s="464" t="str">
        <f t="shared" si="159"/>
        <v>Grand Traverse County</v>
      </c>
      <c r="BZ3309" s="48" t="s">
        <v>1459</v>
      </c>
      <c r="CA3309" t="s">
        <v>1526</v>
      </c>
      <c r="CB3309" s="245" t="s">
        <v>885</v>
      </c>
      <c r="CC3309" t="s">
        <v>1549</v>
      </c>
      <c r="CD3309" t="s">
        <v>1562</v>
      </c>
      <c r="CE3309" t="s">
        <v>1668</v>
      </c>
      <c r="CF3309" s="245" t="s">
        <v>885</v>
      </c>
      <c r="CG3309" s="245" t="s">
        <v>885</v>
      </c>
      <c r="CH3309" s="245" t="s">
        <v>885</v>
      </c>
      <c r="CI3309" t="s">
        <v>1728</v>
      </c>
      <c r="CJ3309" t="s">
        <v>1443</v>
      </c>
      <c r="CK3309" s="459" t="s">
        <v>885</v>
      </c>
      <c r="CL3309" t="s">
        <v>1887</v>
      </c>
      <c r="CM3309" t="s">
        <v>1546</v>
      </c>
      <c r="CN3309" t="s">
        <v>1722</v>
      </c>
      <c r="CO3309" t="s">
        <v>2007</v>
      </c>
      <c r="CP3309" t="s">
        <v>1914</v>
      </c>
      <c r="CQ3309" t="s">
        <v>1909</v>
      </c>
      <c r="CR3309" t="s">
        <v>2190</v>
      </c>
      <c r="CS3309" s="459" t="s">
        <v>885</v>
      </c>
      <c r="CT3309" s="245" t="s">
        <v>885</v>
      </c>
      <c r="CU3309" t="s">
        <v>2273</v>
      </c>
      <c r="CV3309" t="s">
        <v>2333</v>
      </c>
      <c r="CW3309" t="s">
        <v>2390</v>
      </c>
      <c r="CX3309" t="s">
        <v>1783</v>
      </c>
      <c r="CY3309" t="s">
        <v>1475</v>
      </c>
      <c r="CZ3309" t="s">
        <v>2503</v>
      </c>
      <c r="DA3309" s="459" t="s">
        <v>885</v>
      </c>
      <c r="DB3309" s="459" t="s">
        <v>885</v>
      </c>
      <c r="DC3309" s="459" t="s">
        <v>885</v>
      </c>
      <c r="DD3309" t="s">
        <v>2581</v>
      </c>
      <c r="DE3309" t="s">
        <v>1481</v>
      </c>
      <c r="DF3309" t="s">
        <v>2635</v>
      </c>
      <c r="DG3309" t="s">
        <v>1935</v>
      </c>
      <c r="DH3309" t="s">
        <v>1462</v>
      </c>
      <c r="DI3309" t="s">
        <v>2760</v>
      </c>
      <c r="DJ3309" t="s">
        <v>2799</v>
      </c>
      <c r="DK3309" t="s">
        <v>1546</v>
      </c>
      <c r="DL3309" s="459" t="s">
        <v>885</v>
      </c>
      <c r="DM3309" t="s">
        <v>2516</v>
      </c>
      <c r="DN3309" t="s">
        <v>2883</v>
      </c>
      <c r="DO3309" t="s">
        <v>2913</v>
      </c>
      <c r="DP3309" t="s">
        <v>1438</v>
      </c>
      <c r="DQ3309" t="s">
        <v>3106</v>
      </c>
      <c r="DR3309" s="459" t="s">
        <v>885</v>
      </c>
      <c r="DS3309" t="s">
        <v>3132</v>
      </c>
      <c r="DT3309" t="s">
        <v>3211</v>
      </c>
      <c r="DU3309" t="s">
        <v>1675</v>
      </c>
      <c r="DV3309" t="s">
        <v>3246</v>
      </c>
      <c r="DW3309" s="245" t="s">
        <v>885</v>
      </c>
      <c r="DX3309" s="245" t="s">
        <v>885</v>
      </c>
      <c r="DY3309" s="245"/>
      <c r="DZ3309" s="470" t="str">
        <f t="shared" si="154"/>
        <v/>
      </c>
      <c r="EA3309" s="470" t="str">
        <f t="shared" si="155"/>
        <v/>
      </c>
      <c r="EB3309" t="s">
        <v>3306</v>
      </c>
      <c r="EC3309" s="471" t="s">
        <v>3294</v>
      </c>
      <c r="EH3309" t="s">
        <v>3359</v>
      </c>
      <c r="EI3309" s="473" t="s">
        <v>3294</v>
      </c>
      <c r="EJ3309" t="s">
        <v>3399</v>
      </c>
      <c r="EK3309" s="473" t="s">
        <v>3294</v>
      </c>
      <c r="EL3309" t="s">
        <v>3445</v>
      </c>
      <c r="EM3309" s="473" t="s">
        <v>3288</v>
      </c>
    </row>
    <row r="3310" spans="1:143" ht="15.5" hidden="1" x14ac:dyDescent="0.35">
      <c r="A3310" s="417" t="s">
        <v>1171</v>
      </c>
      <c r="B3310" s="418" t="s">
        <v>1172</v>
      </c>
      <c r="C3310" s="427">
        <f>C3309</f>
        <v>0</v>
      </c>
      <c r="D3310" s="419">
        <v>20000</v>
      </c>
      <c r="G3310" s="420"/>
      <c r="H3310" s="420"/>
      <c r="I3310" s="420"/>
      <c r="J3310" s="420"/>
      <c r="K3310" s="420"/>
      <c r="L3310" s="420"/>
      <c r="M3310" s="420"/>
      <c r="N3310" s="420"/>
      <c r="O3310" s="420"/>
      <c r="P3310" s="420"/>
      <c r="Q3310" s="420"/>
      <c r="R3310" s="420"/>
      <c r="S3310" s="420"/>
      <c r="T3310" s="420"/>
      <c r="U3310" s="420"/>
      <c r="V3310" s="420"/>
      <c r="W3310" s="420"/>
      <c r="X3310" s="420"/>
      <c r="Y3310" s="420"/>
      <c r="Z3310" s="420"/>
      <c r="AB3310" s="48" t="s">
        <v>1173</v>
      </c>
      <c r="AC3310" s="245" t="s">
        <v>885</v>
      </c>
      <c r="AD3310" s="48" t="s">
        <v>1174</v>
      </c>
      <c r="AF3310" s="421">
        <v>3</v>
      </c>
      <c r="AG3310" s="48">
        <v>3</v>
      </c>
      <c r="AH3310" s="48" t="s">
        <v>1046</v>
      </c>
      <c r="AI3310" s="48" t="str">
        <f>CONCATENATE(AG3310,AH3310)</f>
        <v>3 years</v>
      </c>
      <c r="AK3310" s="48" t="s">
        <v>1112</v>
      </c>
      <c r="AO3310" s="48" t="s">
        <v>1175</v>
      </c>
      <c r="AR3310" s="245" t="s">
        <v>885</v>
      </c>
      <c r="AS3310" s="48" t="s">
        <v>1176</v>
      </c>
      <c r="AW3310" s="245" t="s">
        <v>885</v>
      </c>
      <c r="AX3310" s="48">
        <v>30</v>
      </c>
      <c r="BB3310" s="402">
        <f t="shared" ca="1" si="151"/>
        <v>0</v>
      </c>
      <c r="BF3310" s="423">
        <v>34691</v>
      </c>
      <c r="BG3310" s="415">
        <f t="shared" si="152"/>
        <v>0</v>
      </c>
      <c r="BH3310" s="415">
        <f t="shared" si="156"/>
        <v>0</v>
      </c>
      <c r="BI3310" s="365">
        <f t="shared" si="157"/>
        <v>0</v>
      </c>
      <c r="BJ3310" s="157">
        <f t="shared" si="153"/>
        <v>0</v>
      </c>
      <c r="BK3310" s="416">
        <f t="shared" si="158"/>
        <v>0</v>
      </c>
      <c r="BN3310" s="1107">
        <f>IF(OR($AC$1127=0,$C$1153="",C$1129=AG$1129),0,$C$1153*$C$1129)</f>
        <v>600000</v>
      </c>
      <c r="BO3310" s="927"/>
      <c r="BP3310" s="927"/>
      <c r="BQ3310" s="927"/>
      <c r="BS3310" s="464" t="str">
        <f t="shared" si="159"/>
        <v>Gratiot County</v>
      </c>
      <c r="BZ3310" s="48" t="s">
        <v>1460</v>
      </c>
      <c r="CA3310" s="245"/>
      <c r="CB3310" s="245" t="s">
        <v>885</v>
      </c>
      <c r="CC3310" t="s">
        <v>1550</v>
      </c>
      <c r="CD3310" t="s">
        <v>1612</v>
      </c>
      <c r="CE3310" t="s">
        <v>1466</v>
      </c>
      <c r="CF3310" s="245" t="s">
        <v>885</v>
      </c>
      <c r="CG3310" s="245" t="s">
        <v>885</v>
      </c>
      <c r="CH3310" s="245" t="s">
        <v>885</v>
      </c>
      <c r="CI3310" t="s">
        <v>1729</v>
      </c>
      <c r="CJ3310" t="s">
        <v>1444</v>
      </c>
      <c r="CK3310" s="459" t="s">
        <v>885</v>
      </c>
      <c r="CL3310" t="s">
        <v>1888</v>
      </c>
      <c r="CM3310" t="s">
        <v>1915</v>
      </c>
      <c r="CN3310" t="s">
        <v>1805</v>
      </c>
      <c r="CO3310" t="s">
        <v>2008</v>
      </c>
      <c r="CP3310" t="s">
        <v>1460</v>
      </c>
      <c r="CQ3310" t="s">
        <v>1957</v>
      </c>
      <c r="CR3310" t="s">
        <v>2191</v>
      </c>
      <c r="CS3310" s="459" t="s">
        <v>885</v>
      </c>
      <c r="CT3310" s="245" t="s">
        <v>885</v>
      </c>
      <c r="CU3310" t="s">
        <v>2274</v>
      </c>
      <c r="CV3310" t="s">
        <v>2334</v>
      </c>
      <c r="CW3310" t="s">
        <v>1466</v>
      </c>
      <c r="CX3310" t="s">
        <v>1454</v>
      </c>
      <c r="CY3310" t="s">
        <v>2473</v>
      </c>
      <c r="CZ3310" t="s">
        <v>2329</v>
      </c>
      <c r="DA3310" s="459" t="s">
        <v>885</v>
      </c>
      <c r="DB3310" s="459" t="s">
        <v>885</v>
      </c>
      <c r="DC3310" s="459" t="s">
        <v>885</v>
      </c>
      <c r="DD3310" t="s">
        <v>2582</v>
      </c>
      <c r="DE3310" t="s">
        <v>1736</v>
      </c>
      <c r="DF3310" t="s">
        <v>2636</v>
      </c>
      <c r="DG3310" t="s">
        <v>2074</v>
      </c>
      <c r="DH3310" t="s">
        <v>2724</v>
      </c>
      <c r="DI3310" t="s">
        <v>2061</v>
      </c>
      <c r="DJ3310" t="s">
        <v>2800</v>
      </c>
      <c r="DK3310" t="s">
        <v>1462</v>
      </c>
      <c r="DL3310" s="459" t="s">
        <v>885</v>
      </c>
      <c r="DM3310" t="s">
        <v>1816</v>
      </c>
      <c r="DN3310" t="s">
        <v>2884</v>
      </c>
      <c r="DO3310" t="s">
        <v>1462</v>
      </c>
      <c r="DP3310" t="s">
        <v>2952</v>
      </c>
      <c r="DQ3310" s="459" t="s">
        <v>885</v>
      </c>
      <c r="DR3310" s="459" t="s">
        <v>885</v>
      </c>
      <c r="DS3310" t="s">
        <v>2755</v>
      </c>
      <c r="DT3310" t="s">
        <v>3212</v>
      </c>
      <c r="DU3310" t="s">
        <v>3227</v>
      </c>
      <c r="DV3310" t="s">
        <v>3247</v>
      </c>
      <c r="DW3310" s="245" t="s">
        <v>885</v>
      </c>
      <c r="DX3310" s="245" t="s">
        <v>885</v>
      </c>
      <c r="DY3310" s="245"/>
      <c r="DZ3310" s="470" t="str">
        <f t="shared" si="154"/>
        <v/>
      </c>
      <c r="EA3310" s="470" t="str">
        <f t="shared" si="155"/>
        <v/>
      </c>
      <c r="EB3310" t="s">
        <v>3307</v>
      </c>
      <c r="EC3310" s="471" t="s">
        <v>3288</v>
      </c>
      <c r="EH3310" t="str">
        <f>EH3307</f>
        <v>Teresa Howell</v>
      </c>
      <c r="EI3310" s="473" t="s">
        <v>3294</v>
      </c>
      <c r="EJ3310" t="s">
        <v>3400</v>
      </c>
      <c r="EK3310" s="473" t="s">
        <v>3294</v>
      </c>
      <c r="EL3310" t="s">
        <v>3446</v>
      </c>
      <c r="EM3310" s="473" t="s">
        <v>3288</v>
      </c>
    </row>
    <row r="3311" spans="1:143" ht="15.5" hidden="1" x14ac:dyDescent="0.35">
      <c r="A3311" s="417" t="s">
        <v>1177</v>
      </c>
      <c r="B3311" s="418" t="s">
        <v>1178</v>
      </c>
      <c r="C3311" s="433">
        <v>50000</v>
      </c>
      <c r="D3311" s="433">
        <v>1000000</v>
      </c>
      <c r="G3311" s="420"/>
      <c r="H3311" s="420"/>
      <c r="I3311" s="420"/>
      <c r="J3311" s="420"/>
      <c r="K3311" s="420"/>
      <c r="L3311" s="420"/>
      <c r="M3311" s="420"/>
      <c r="N3311" s="420"/>
      <c r="O3311" s="420"/>
      <c r="P3311" s="420"/>
      <c r="Q3311" s="420"/>
      <c r="R3311" s="420"/>
      <c r="S3311" s="420"/>
      <c r="T3311" s="420"/>
      <c r="U3311" s="420"/>
      <c r="V3311" s="420"/>
      <c r="W3311" s="420"/>
      <c r="X3311" s="420"/>
      <c r="Y3311" s="420"/>
      <c r="Z3311" s="420"/>
      <c r="AB3311" s="48" t="s">
        <v>1179</v>
      </c>
      <c r="AC3311" s="245" t="s">
        <v>885</v>
      </c>
      <c r="AD3311" s="48" t="s">
        <v>1180</v>
      </c>
      <c r="AF3311" s="421">
        <v>2</v>
      </c>
      <c r="AG3311" s="48">
        <v>2</v>
      </c>
      <c r="AH3311" s="48" t="s">
        <v>1046</v>
      </c>
      <c r="AI3311" s="48" t="str">
        <f>CONCATENATE(AG3311,AH3311)</f>
        <v>2 years</v>
      </c>
      <c r="AK3311" s="48" t="s">
        <v>1112</v>
      </c>
      <c r="AO3311" s="48" t="s">
        <v>1181</v>
      </c>
      <c r="AR3311" s="245" t="s">
        <v>885</v>
      </c>
      <c r="AS3311" s="48" t="s">
        <v>1066</v>
      </c>
      <c r="AW3311" s="245" t="s">
        <v>885</v>
      </c>
      <c r="AX3311" s="48">
        <v>31</v>
      </c>
      <c r="BB3311" s="402">
        <f t="shared" ca="1" si="151"/>
        <v>600000</v>
      </c>
      <c r="BF3311" s="423">
        <v>37288</v>
      </c>
      <c r="BG3311" s="415">
        <f t="shared" si="152"/>
        <v>0</v>
      </c>
      <c r="BH3311" s="415">
        <f t="shared" si="156"/>
        <v>0</v>
      </c>
      <c r="BI3311" s="365">
        <f t="shared" si="157"/>
        <v>0</v>
      </c>
      <c r="BJ3311" s="157">
        <f t="shared" si="153"/>
        <v>0</v>
      </c>
      <c r="BK3311" s="416">
        <f t="shared" si="158"/>
        <v>0</v>
      </c>
      <c r="BN3311" s="1107">
        <f>IF(OR($AC$1127=0,$C$1153="",C$1129=AG$1129),0,$C$1153*$C$1129)</f>
        <v>600000</v>
      </c>
      <c r="BO3311" s="927"/>
      <c r="BP3311" s="927"/>
      <c r="BQ3311" s="927"/>
      <c r="BS3311" s="464" t="str">
        <f t="shared" si="159"/>
        <v>Hillsdale County</v>
      </c>
      <c r="BZ3311" s="48" t="s">
        <v>1461</v>
      </c>
      <c r="CA3311" s="245" t="s">
        <v>885</v>
      </c>
      <c r="CB3311" s="245" t="s">
        <v>885</v>
      </c>
      <c r="CC3311" t="s">
        <v>1551</v>
      </c>
      <c r="CD3311" t="s">
        <v>1613</v>
      </c>
      <c r="CE3311" t="s">
        <v>1467</v>
      </c>
      <c r="CF3311" s="245" t="s">
        <v>885</v>
      </c>
      <c r="CG3311" s="245" t="s">
        <v>885</v>
      </c>
      <c r="CH3311" s="245" t="s">
        <v>885</v>
      </c>
      <c r="CI3311" t="s">
        <v>1466</v>
      </c>
      <c r="CJ3311" t="s">
        <v>1776</v>
      </c>
      <c r="CK3311" s="459" t="s">
        <v>885</v>
      </c>
      <c r="CL3311" t="s">
        <v>1889</v>
      </c>
      <c r="CM3311" t="s">
        <v>1462</v>
      </c>
      <c r="CN3311" t="s">
        <v>1964</v>
      </c>
      <c r="CO3311" t="s">
        <v>2009</v>
      </c>
      <c r="CP3311" t="s">
        <v>2056</v>
      </c>
      <c r="CQ3311" t="s">
        <v>2123</v>
      </c>
      <c r="CR3311" t="s">
        <v>2192</v>
      </c>
      <c r="CS3311" s="459" t="s">
        <v>885</v>
      </c>
      <c r="CT3311" s="245" t="s">
        <v>885</v>
      </c>
      <c r="CU3311" t="s">
        <v>2275</v>
      </c>
      <c r="CV3311" t="s">
        <v>2335</v>
      </c>
      <c r="CW3311" t="s">
        <v>1811</v>
      </c>
      <c r="CX3311" t="s">
        <v>1957</v>
      </c>
      <c r="CY3311" t="s">
        <v>1675</v>
      </c>
      <c r="CZ3311" t="s">
        <v>1460</v>
      </c>
      <c r="DA3311" s="459" t="s">
        <v>885</v>
      </c>
      <c r="DB3311" s="459" t="s">
        <v>885</v>
      </c>
      <c r="DC3311" s="459" t="s">
        <v>885</v>
      </c>
      <c r="DD3311" t="s">
        <v>2583</v>
      </c>
      <c r="DE3311" t="s">
        <v>2596</v>
      </c>
      <c r="DF3311" t="s">
        <v>2637</v>
      </c>
      <c r="DG3311" t="s">
        <v>2698</v>
      </c>
      <c r="DH3311" t="s">
        <v>1722</v>
      </c>
      <c r="DI3311" t="s">
        <v>2063</v>
      </c>
      <c r="DJ3311" t="s">
        <v>1579</v>
      </c>
      <c r="DK3311" t="s">
        <v>2818</v>
      </c>
      <c r="DL3311" s="459" t="s">
        <v>885</v>
      </c>
      <c r="DM3311" t="s">
        <v>1471</v>
      </c>
      <c r="DN3311" t="s">
        <v>2570</v>
      </c>
      <c r="DO3311" t="s">
        <v>1916</v>
      </c>
      <c r="DP3311" t="s">
        <v>2811</v>
      </c>
      <c r="DQ3311" s="459" t="s">
        <v>885</v>
      </c>
      <c r="DR3311" s="459" t="s">
        <v>885</v>
      </c>
      <c r="DS3311" t="s">
        <v>3133</v>
      </c>
      <c r="DT3311" t="s">
        <v>3213</v>
      </c>
      <c r="DU3311" t="s">
        <v>3228</v>
      </c>
      <c r="DV3311" t="s">
        <v>3248</v>
      </c>
      <c r="DW3311" s="245" t="s">
        <v>885</v>
      </c>
      <c r="DX3311" s="245" t="s">
        <v>885</v>
      </c>
      <c r="DY3311" s="245"/>
      <c r="DZ3311" s="470" t="str">
        <f t="shared" si="154"/>
        <v/>
      </c>
      <c r="EA3311" s="470" t="str">
        <f t="shared" si="155"/>
        <v/>
      </c>
      <c r="EB3311" t="str">
        <f>EB3303</f>
        <v>T. Kirke Adams</v>
      </c>
      <c r="EC3311" t="str">
        <f>EC3303</f>
        <v>R</v>
      </c>
      <c r="EH3311" t="s">
        <v>3360</v>
      </c>
      <c r="EI3311" s="473" t="s">
        <v>3294</v>
      </c>
      <c r="EJ3311" t="s">
        <v>3401</v>
      </c>
      <c r="EK3311" s="473" t="s">
        <v>3294</v>
      </c>
      <c r="EL3311" t="str">
        <f>EL3305</f>
        <v>Alexis King</v>
      </c>
      <c r="EM3311" s="473" t="str">
        <f>EM3305</f>
        <v>D</v>
      </c>
    </row>
    <row r="3312" spans="1:143" ht="15.5" hidden="1" x14ac:dyDescent="0.35">
      <c r="A3312" s="417" t="s">
        <v>1182</v>
      </c>
      <c r="B3312" s="418" t="s">
        <v>1183</v>
      </c>
      <c r="C3312" s="427">
        <f>C3310</f>
        <v>0</v>
      </c>
      <c r="D3312" s="427" t="s">
        <v>885</v>
      </c>
      <c r="G3312" s="420"/>
      <c r="H3312" s="420"/>
      <c r="I3312" s="420"/>
      <c r="J3312" s="420"/>
      <c r="K3312" s="420"/>
      <c r="L3312" s="420"/>
      <c r="M3312" s="420"/>
      <c r="N3312" s="420"/>
      <c r="O3312" s="420"/>
      <c r="P3312" s="420"/>
      <c r="Q3312" s="420"/>
      <c r="R3312" s="420"/>
      <c r="S3312" s="420"/>
      <c r="T3312" s="420"/>
      <c r="U3312" s="420"/>
      <c r="V3312" s="420"/>
      <c r="W3312" s="420"/>
      <c r="X3312" s="420"/>
      <c r="Y3312" s="420"/>
      <c r="Z3312" s="420"/>
      <c r="AB3312" s="48" t="s">
        <v>1029</v>
      </c>
      <c r="AC3312" s="245" t="s">
        <v>885</v>
      </c>
      <c r="AD3312" s="245" t="s">
        <v>885</v>
      </c>
      <c r="AE3312" s="245" t="s">
        <v>885</v>
      </c>
      <c r="AF3312" s="245" t="s">
        <v>885</v>
      </c>
      <c r="AG3312" s="245" t="s">
        <v>885</v>
      </c>
      <c r="AH3312" s="245" t="s">
        <v>885</v>
      </c>
      <c r="AI3312" s="245" t="s">
        <v>885</v>
      </c>
      <c r="AJ3312" s="245" t="s">
        <v>885</v>
      </c>
      <c r="AK3312" s="245" t="s">
        <v>885</v>
      </c>
      <c r="AL3312" s="245" t="s">
        <v>885</v>
      </c>
      <c r="AM3312" s="245" t="s">
        <v>885</v>
      </c>
      <c r="AN3312" s="245" t="s">
        <v>885</v>
      </c>
      <c r="AO3312" s="245" t="s">
        <v>885</v>
      </c>
      <c r="AP3312" s="245" t="s">
        <v>885</v>
      </c>
      <c r="AQ3312" s="245" t="s">
        <v>885</v>
      </c>
      <c r="AR3312" s="245" t="s">
        <v>885</v>
      </c>
      <c r="AS3312" s="245" t="s">
        <v>885</v>
      </c>
      <c r="AT3312" s="245" t="s">
        <v>885</v>
      </c>
      <c r="AU3312" s="245" t="s">
        <v>885</v>
      </c>
      <c r="AV3312" s="245" t="s">
        <v>885</v>
      </c>
      <c r="AW3312" s="245" t="s">
        <v>885</v>
      </c>
      <c r="AX3312" s="48">
        <v>32</v>
      </c>
      <c r="BB3312" s="402">
        <f t="shared" ca="1" si="151"/>
        <v>0</v>
      </c>
      <c r="BF3312" s="423">
        <v>23683</v>
      </c>
      <c r="BG3312" s="415">
        <f t="shared" si="152"/>
        <v>0</v>
      </c>
      <c r="BH3312" s="415">
        <f t="shared" si="156"/>
        <v>0</v>
      </c>
      <c r="BI3312" s="365">
        <f t="shared" si="157"/>
        <v>0</v>
      </c>
      <c r="BJ3312" s="157">
        <f t="shared" si="153"/>
        <v>0</v>
      </c>
      <c r="BK3312" s="416">
        <f t="shared" si="158"/>
        <v>0</v>
      </c>
      <c r="BS3312" s="464" t="str">
        <f t="shared" si="159"/>
        <v>Houghton County</v>
      </c>
      <c r="BZ3312" s="48" t="s">
        <v>1462</v>
      </c>
      <c r="CA3312" s="245" t="s">
        <v>885</v>
      </c>
      <c r="CB3312" s="245" t="s">
        <v>885</v>
      </c>
      <c r="CC3312" t="s">
        <v>1552</v>
      </c>
      <c r="CD3312" t="s">
        <v>1614</v>
      </c>
      <c r="CE3312" t="s">
        <v>1669</v>
      </c>
      <c r="CF3312" s="245" t="s">
        <v>885</v>
      </c>
      <c r="CG3312" s="245" t="s">
        <v>885</v>
      </c>
      <c r="CH3312" s="245" t="s">
        <v>885</v>
      </c>
      <c r="CI3312" t="s">
        <v>1467</v>
      </c>
      <c r="CJ3312" t="s">
        <v>1777</v>
      </c>
      <c r="CK3312" s="459" t="s">
        <v>885</v>
      </c>
      <c r="CL3312" t="s">
        <v>1556</v>
      </c>
      <c r="CM3312" t="s">
        <v>1916</v>
      </c>
      <c r="CN3312" t="s">
        <v>1965</v>
      </c>
      <c r="CO3312" t="s">
        <v>2010</v>
      </c>
      <c r="CP3312" t="s">
        <v>2057</v>
      </c>
      <c r="CQ3312" t="s">
        <v>2124</v>
      </c>
      <c r="CR3312" t="s">
        <v>2193</v>
      </c>
      <c r="CS3312" s="459" t="s">
        <v>885</v>
      </c>
      <c r="CT3312" s="245" t="s">
        <v>885</v>
      </c>
      <c r="CU3312" t="s">
        <v>2276</v>
      </c>
      <c r="CV3312" t="s">
        <v>1466</v>
      </c>
      <c r="CW3312" t="s">
        <v>1467</v>
      </c>
      <c r="CX3312" t="s">
        <v>1455</v>
      </c>
      <c r="CY3312" t="s">
        <v>2474</v>
      </c>
      <c r="CZ3312" t="s">
        <v>2504</v>
      </c>
      <c r="DA3312" s="459" t="s">
        <v>885</v>
      </c>
      <c r="DB3312" s="459" t="s">
        <v>885</v>
      </c>
      <c r="DC3312" s="459" t="s">
        <v>885</v>
      </c>
      <c r="DD3312" t="s">
        <v>1579</v>
      </c>
      <c r="DE3312" t="s">
        <v>2597</v>
      </c>
      <c r="DF3312" t="s">
        <v>2638</v>
      </c>
      <c r="DG3312" t="s">
        <v>2148</v>
      </c>
      <c r="DH3312" t="s">
        <v>1805</v>
      </c>
      <c r="DI3312" t="s">
        <v>2761</v>
      </c>
      <c r="DJ3312" t="s">
        <v>2801</v>
      </c>
      <c r="DK3312" t="s">
        <v>2819</v>
      </c>
      <c r="DL3312" s="459" t="s">
        <v>885</v>
      </c>
      <c r="DM3312" t="s">
        <v>2858</v>
      </c>
      <c r="DN3312" t="s">
        <v>2761</v>
      </c>
      <c r="DO3312" t="s">
        <v>2914</v>
      </c>
      <c r="DP3312" t="s">
        <v>2953</v>
      </c>
      <c r="DQ3312" s="459" t="s">
        <v>885</v>
      </c>
      <c r="DR3312" s="459" t="s">
        <v>885</v>
      </c>
      <c r="DS3312" t="s">
        <v>1909</v>
      </c>
      <c r="DT3312" t="s">
        <v>3214</v>
      </c>
      <c r="DU3312" t="s">
        <v>1480</v>
      </c>
      <c r="DV3312" t="s">
        <v>3249</v>
      </c>
      <c r="DW3312" s="245" t="s">
        <v>885</v>
      </c>
      <c r="DX3312" s="245" t="s">
        <v>885</v>
      </c>
      <c r="DY3312" s="245"/>
      <c r="DZ3312" s="470" t="str">
        <f t="shared" si="154"/>
        <v/>
      </c>
      <c r="EA3312" s="470" t="str">
        <f t="shared" si="155"/>
        <v/>
      </c>
      <c r="EB3312" t="s">
        <v>3308</v>
      </c>
      <c r="EC3312" s="471" t="s">
        <v>3288</v>
      </c>
      <c r="EH3312" t="str">
        <f>EH3305</f>
        <v>Eric Hance</v>
      </c>
      <c r="EI3312" s="473" t="s">
        <v>3294</v>
      </c>
      <c r="EJ3312" t="s">
        <v>3402</v>
      </c>
      <c r="EK3312" s="473" t="s">
        <v>3294</v>
      </c>
      <c r="EL3312" t="str">
        <f>EL3290</f>
        <v>Joshua Vogel</v>
      </c>
      <c r="EM3312" s="473" t="str">
        <f>EM3290</f>
        <v>R</v>
      </c>
    </row>
    <row r="3313" spans="1:143" ht="15.5" hidden="1" x14ac:dyDescent="0.35">
      <c r="A3313" s="417" t="s">
        <v>1184</v>
      </c>
      <c r="B3313" s="418" t="s">
        <v>1185</v>
      </c>
      <c r="C3313" s="448" t="s">
        <v>885</v>
      </c>
      <c r="D3313" s="428" t="s">
        <v>1402</v>
      </c>
      <c r="G3313" s="420"/>
      <c r="H3313" s="420"/>
      <c r="I3313" s="420"/>
      <c r="J3313" s="420"/>
      <c r="K3313" s="420"/>
      <c r="L3313" s="420"/>
      <c r="M3313" s="420"/>
      <c r="N3313" s="420"/>
      <c r="O3313" s="420"/>
      <c r="P3313" s="420"/>
      <c r="Q3313" s="420"/>
      <c r="R3313" s="420"/>
      <c r="S3313" s="420"/>
      <c r="T3313" s="420"/>
      <c r="U3313" s="420"/>
      <c r="V3313" s="420"/>
      <c r="W3313" s="420"/>
      <c r="X3313" s="420"/>
      <c r="Y3313" s="420"/>
      <c r="Z3313" s="420"/>
      <c r="AB3313" s="48" t="s">
        <v>1186</v>
      </c>
      <c r="AC3313" s="245" t="s">
        <v>885</v>
      </c>
      <c r="AD3313" s="48" t="s">
        <v>1102</v>
      </c>
      <c r="AF3313" s="421">
        <v>2</v>
      </c>
      <c r="AG3313" s="48">
        <v>2</v>
      </c>
      <c r="AH3313" s="48" t="s">
        <v>1046</v>
      </c>
      <c r="AI3313" s="48" t="str">
        <f>CONCATENATE(AG3313,AH3313)</f>
        <v>2 years</v>
      </c>
      <c r="AK3313" s="48" t="s">
        <v>1047</v>
      </c>
      <c r="AO3313" s="48" t="s">
        <v>1138</v>
      </c>
      <c r="AR3313" s="245" t="s">
        <v>885</v>
      </c>
      <c r="AS3313" s="48" t="s">
        <v>1066</v>
      </c>
      <c r="AW3313" s="245" t="s">
        <v>885</v>
      </c>
      <c r="AX3313" s="48">
        <v>33</v>
      </c>
      <c r="BB3313" s="402" t="str">
        <f>D3313</f>
        <v>no limit</v>
      </c>
      <c r="BF3313" s="423">
        <v>33095</v>
      </c>
      <c r="BG3313" s="415">
        <f t="shared" si="152"/>
        <v>0</v>
      </c>
      <c r="BH3313" s="415">
        <f t="shared" si="156"/>
        <v>0</v>
      </c>
      <c r="BI3313" s="365">
        <f t="shared" si="157"/>
        <v>0</v>
      </c>
      <c r="BJ3313" s="157">
        <f t="shared" si="153"/>
        <v>0</v>
      </c>
      <c r="BK3313" s="416">
        <f t="shared" si="158"/>
        <v>0</v>
      </c>
      <c r="BN3313" s="1107">
        <f>IF(OR($AC$1127=0,$C$1153="",C$1129=AG$1129),0,$C$1153*$C$1129)</f>
        <v>600000</v>
      </c>
      <c r="BO3313" s="927"/>
      <c r="BP3313" s="927"/>
      <c r="BQ3313" s="927"/>
      <c r="BS3313" s="464" t="str">
        <f t="shared" si="159"/>
        <v>Huron County</v>
      </c>
      <c r="BZ3313" s="48" t="s">
        <v>1463</v>
      </c>
      <c r="CA3313" s="245" t="s">
        <v>885</v>
      </c>
      <c r="CB3313" s="245" t="s">
        <v>885</v>
      </c>
      <c r="CC3313" t="s">
        <v>1553</v>
      </c>
      <c r="CD3313" t="s">
        <v>1615</v>
      </c>
      <c r="CE3313" t="s">
        <v>1670</v>
      </c>
      <c r="CF3313" s="245" t="s">
        <v>885</v>
      </c>
      <c r="CG3313" s="245" t="s">
        <v>885</v>
      </c>
      <c r="CH3313" s="245" t="s">
        <v>885</v>
      </c>
      <c r="CI3313" t="s">
        <v>1555</v>
      </c>
      <c r="CJ3313" t="s">
        <v>1778</v>
      </c>
      <c r="CK3313" s="459" t="s">
        <v>885</v>
      </c>
      <c r="CL3313" t="s">
        <v>1475</v>
      </c>
      <c r="CM3313" t="s">
        <v>1722</v>
      </c>
      <c r="CN3313" t="s">
        <v>1464</v>
      </c>
      <c r="CO3313" t="s">
        <v>1459</v>
      </c>
      <c r="CP3313" t="s">
        <v>1420</v>
      </c>
      <c r="CQ3313" t="s">
        <v>2125</v>
      </c>
      <c r="CR3313" t="s">
        <v>2194</v>
      </c>
      <c r="CS3313" s="459" t="s">
        <v>885</v>
      </c>
      <c r="CT3313" s="245" t="s">
        <v>885</v>
      </c>
      <c r="CU3313" t="s">
        <v>2277</v>
      </c>
      <c r="CV3313" t="s">
        <v>2336</v>
      </c>
      <c r="CW3313" t="s">
        <v>2391</v>
      </c>
      <c r="CX3313" t="s">
        <v>2422</v>
      </c>
      <c r="CY3313" t="s">
        <v>2475</v>
      </c>
      <c r="CZ3313" t="s">
        <v>2505</v>
      </c>
      <c r="DA3313" s="459" t="s">
        <v>885</v>
      </c>
      <c r="DB3313" s="459" t="s">
        <v>885</v>
      </c>
      <c r="DC3313" s="459" t="s">
        <v>885</v>
      </c>
      <c r="DD3313" t="s">
        <v>2584</v>
      </c>
      <c r="DE3313" t="s">
        <v>1892</v>
      </c>
      <c r="DF3313" t="s">
        <v>2639</v>
      </c>
      <c r="DG3313" t="s">
        <v>2699</v>
      </c>
      <c r="DH3313" t="s">
        <v>1917</v>
      </c>
      <c r="DI3313" t="s">
        <v>1466</v>
      </c>
      <c r="DJ3313" t="s">
        <v>2802</v>
      </c>
      <c r="DK3313" t="s">
        <v>1467</v>
      </c>
      <c r="DL3313" s="459" t="s">
        <v>885</v>
      </c>
      <c r="DM3313" t="s">
        <v>1477</v>
      </c>
      <c r="DN3313" t="s">
        <v>2885</v>
      </c>
      <c r="DO3313" t="s">
        <v>1722</v>
      </c>
      <c r="DP3313" t="s">
        <v>2954</v>
      </c>
      <c r="DQ3313" s="459" t="s">
        <v>885</v>
      </c>
      <c r="DR3313" s="459" t="s">
        <v>885</v>
      </c>
      <c r="DS3313" t="s">
        <v>3134</v>
      </c>
      <c r="DT3313" t="s">
        <v>2098</v>
      </c>
      <c r="DU3313" t="s">
        <v>1482</v>
      </c>
      <c r="DV3313" t="s">
        <v>1555</v>
      </c>
      <c r="DW3313" s="245" t="s">
        <v>885</v>
      </c>
      <c r="DX3313" s="245" t="s">
        <v>885</v>
      </c>
      <c r="DY3313" s="245"/>
      <c r="DZ3313" s="470" t="str">
        <f t="shared" ref="DZ3313:DZ3338" si="162">IF($B$265=$B$3281,EB3313,IF($B$265=$B$3282,ED3313,IF($B$265=$B$3283,EF3313,IF($B$265=$B$3284,EH3313,IF($B$265=$B$3285,EJ3313,IF($B$265=$B$3286,EL3313,IF($B$265=$B$3287,EN3313,IF($B$265=$B$3288,EP3313,IF($B$265=$B$3289,ER3313,IF($B$265=$B$3290,ET3313,IF($B$265=$B$3291,EV3313,IF($B$265=$B$3292,EX3313,IF($B$265=$B$3293,EZ3313,IF($B$265=$B$3294,FB3313,IF($B$265=$B$3295,FD3313,IF($B$265=$B$3296,BU3313,IF($B$265=$B$3297,FF3313,IF($B$265=$B$3298,FH3313,IF($B$265=$B$3299,FJ3313,IF($B$265=$B$3300,FL3313,IF($B$265=$B$3301,FN3313,IF($B$265=$B$3302,FP3313,IF(BI$265=$B$3303,FR3313,IF($B$265=$B$3304,FT3313,IF($B$265=$B$3305,FV3313,IF($B$265=$B$3306,FX3313,IF($B$265=$B$3307,FZ3313,IF($B$265=$B$3308,GB3313,IF($B$265=$B$3309,GD3313,IF($B$265=$B$3310,GF3313,IF($B$265=$B$3311,GH3313,IF($B$265=$B$3312,GJ3313,IF($B$265=$B$3313,GL3313,IF($B$265=$B$3314,GN3313,IF($B$265=$B$3315,GP3313,IF($B$265=$B$3316,GR3313,IF($B$265=$B$3317,GT3313,IF($B$265=$B$3318,GV3313,IF($B$265=$B$3319,GX3313,IF($B$265=$B$3320,GZ3313,IF($B$265=$B$3321,HB3313,IF($B$265=$B$3322,HD3313,IF($B$265=$B$3323,HF3313,IF($B$265=$B$3324,HH3313,IF($B$265=$B$3325,HJ3313,IF($B$265=$B$3326,HL3313,IF($B$265=$B$3327,HN3313,IF($B$265=$B$3328,HP3313,IF($B$265=$B$3329,HR3313,IF($B$265=$B$3330,HT3313,IF($B$265=$B$3331,HV3313,IF($B$265=$B$3332,HX3313,""))))))))))))))))))))))))))))))))))))))))))))))))))))</f>
        <v/>
      </c>
      <c r="EA3313" s="470" t="str">
        <f t="shared" ref="EA3313:EA3338" si="163">IF($B$265=$B$3281,EC3313,IF($B$265=$B$3282,EE3313,IF($B$265=$B$3283,EG3313,IF($B$265=$B$3284,EI3313,IF($B$265=$B$3285,EK3313,IF($B$265=$B$3286,EM3313,IF($B$265=$B$3287,EO3313,IF($B$265=$B$3288,EQ3313,IF($B$265=$B$3289,ES3313,IF($B$265=$B$3290,EU3313,IF($B$265=$B$3291,EW3313,IF($B$265=$B$3292,EY3313,IF($B$265=$B$3293,FA3313,IF($B$265=$B$3294,FC3313,IF($B$265=$B$3295,FE3313,IF($B$265=$B$3296,BK3313,IF($B$265=$B$3297,FG3313,IF($B$265=$B$3298,FI3313,IF($B$265=$B$3299,FK3313,IF($B$265=$B$3300,FM3313,IF($B$265=$B$3301,FO3313,IF($B$265=$B$3302,FQ3313,IF(BJ$265=$B$3303,FS3313,IF($B$265=$B$3304,FU3313,IF($B$265=$B$3305,FW3313,IF($B$265=$B$3306,FY3313,IF($B$265=$B$3307,GA3313,IF($B$265=$B$3308,GC3313,IF($B$265=$B$3309,GE3313,IF($B$265=$B$3310,GG3313,IF($B$265=$B$3311,GI3313,IF($B$265=$B$3312,GK3313,IF($B$265=$B$3313,GM3313,IF($B$265=$B$3314,GO3313,IF($B$265=$B$3315,GQ3313,IF($B$265=$B$3316,GS3313,IF($B$265=$B$3317,GU3313,IF($B$265=$B$3318,GW3313,IF($B$265=$B$3319,GY3313,IF($B$265=$B$3320,HA3313,IF($B$265=$B$3321,HC3313,IF($B$265=$B$3322,HE3313,IF($B$265=$B$3323,HG3313,IF($B$265=$B$3324,HI3313,IF($B$265=$B$3325,HK3313,IF($B$265=$B$3326,HM3313,IF($B$265=$B$3327,HO3313,IF($B$265=$B$3328,HQ3313,IF($B$265=$B$3329,HS3313,IF($B$265=$B$3330,HU3313,IF($B$265=$B$3331,HW3313,IF($B$265=$B$3332,HY3313,""))))))))))))))))))))))))))))))))))))))))))))))))))))</f>
        <v/>
      </c>
      <c r="EB3313" t="str">
        <f>EB3304</f>
        <v>Michael W. Jackson</v>
      </c>
      <c r="EC3313" t="str">
        <f>EC3304</f>
        <v>D</v>
      </c>
      <c r="EH3313" t="str">
        <f>EH3312</f>
        <v>Eric Hance</v>
      </c>
      <c r="EI3313" s="473" t="s">
        <v>3294</v>
      </c>
      <c r="EJ3313" t="s">
        <v>3403</v>
      </c>
      <c r="EK3313" s="473" t="s">
        <v>3294</v>
      </c>
      <c r="EL3313" t="s">
        <v>3447</v>
      </c>
      <c r="EM3313" s="473" t="s">
        <v>3283</v>
      </c>
    </row>
    <row r="3314" spans="1:143" ht="15.5" hidden="1" x14ac:dyDescent="0.35">
      <c r="A3314" s="417" t="s">
        <v>1187</v>
      </c>
      <c r="B3314" s="418" t="s">
        <v>1188</v>
      </c>
      <c r="C3314" s="419">
        <v>50000</v>
      </c>
      <c r="D3314" s="419">
        <v>750000</v>
      </c>
      <c r="G3314" s="420"/>
      <c r="H3314" s="420"/>
      <c r="I3314" s="420"/>
      <c r="J3314" s="420"/>
      <c r="K3314" s="420"/>
      <c r="L3314" s="420"/>
      <c r="M3314" s="420"/>
      <c r="N3314" s="420"/>
      <c r="O3314" s="420"/>
      <c r="P3314" s="420"/>
      <c r="Q3314" s="420"/>
      <c r="R3314" s="420"/>
      <c r="S3314" s="420"/>
      <c r="T3314" s="420"/>
      <c r="U3314" s="420"/>
      <c r="V3314" s="420"/>
      <c r="W3314" s="420"/>
      <c r="X3314" s="420"/>
      <c r="Y3314" s="420"/>
      <c r="Z3314" s="420"/>
      <c r="AB3314" s="48" t="s">
        <v>1189</v>
      </c>
      <c r="AC3314" s="245" t="s">
        <v>885</v>
      </c>
      <c r="AD3314" s="48" t="s">
        <v>1190</v>
      </c>
      <c r="AF3314" s="421">
        <v>5</v>
      </c>
      <c r="AG3314" s="48">
        <v>5</v>
      </c>
      <c r="AH3314" s="48" t="s">
        <v>1046</v>
      </c>
      <c r="AI3314" s="48" t="str">
        <f>CONCATENATE(AG3314,AH3314)</f>
        <v>5 years</v>
      </c>
      <c r="AK3314" s="48" t="s">
        <v>1047</v>
      </c>
      <c r="AO3314" s="48" t="s">
        <v>1191</v>
      </c>
      <c r="AR3314" s="245" t="s">
        <v>885</v>
      </c>
      <c r="AS3314" s="48" t="s">
        <v>1049</v>
      </c>
      <c r="AW3314" s="245" t="s">
        <v>885</v>
      </c>
      <c r="AX3314" s="48">
        <v>34</v>
      </c>
      <c r="BB3314" s="402">
        <f t="shared" ref="BB3314:BB3322" ca="1" si="164">MIN(((C3314*$AE$321)+($AE$330*G3314)),D3314)</f>
        <v>600000</v>
      </c>
      <c r="BF3314" s="423">
        <v>25774</v>
      </c>
      <c r="BG3314" s="415">
        <f t="shared" si="152"/>
        <v>0</v>
      </c>
      <c r="BH3314" s="415">
        <f t="shared" si="156"/>
        <v>0</v>
      </c>
      <c r="BI3314" s="365">
        <f t="shared" si="157"/>
        <v>0</v>
      </c>
      <c r="BJ3314" s="157">
        <f t="shared" si="153"/>
        <v>0</v>
      </c>
      <c r="BK3314" s="416">
        <f t="shared" si="158"/>
        <v>0</v>
      </c>
      <c r="BN3314" s="1107">
        <f>IF(OR($AC$1127=0,$C$1153="",C$1129=AG$1129),0,$C$1153*$C$1129)</f>
        <v>600000</v>
      </c>
      <c r="BO3314" s="927"/>
      <c r="BP3314" s="927"/>
      <c r="BQ3314" s="927"/>
      <c r="BS3314" s="464" t="str">
        <f t="shared" si="159"/>
        <v>Ingham County</v>
      </c>
      <c r="BZ3314" s="48" t="s">
        <v>1464</v>
      </c>
      <c r="CA3314" s="245" t="s">
        <v>885</v>
      </c>
      <c r="CB3314" s="245" t="s">
        <v>885</v>
      </c>
      <c r="CC3314" t="s">
        <v>1466</v>
      </c>
      <c r="CD3314" t="s">
        <v>1616</v>
      </c>
      <c r="CE3314" t="s">
        <v>1671</v>
      </c>
      <c r="CF3314" s="245" t="s">
        <v>885</v>
      </c>
      <c r="CG3314" s="245" t="s">
        <v>885</v>
      </c>
      <c r="CH3314" s="245" t="s">
        <v>885</v>
      </c>
      <c r="CI3314" t="s">
        <v>1600</v>
      </c>
      <c r="CJ3314" t="s">
        <v>1446</v>
      </c>
      <c r="CK3314" s="459" t="s">
        <v>885</v>
      </c>
      <c r="CL3314" t="s">
        <v>1890</v>
      </c>
      <c r="CM3314" t="s">
        <v>1805</v>
      </c>
      <c r="CN3314" t="s">
        <v>1551</v>
      </c>
      <c r="CO3314" t="s">
        <v>1795</v>
      </c>
      <c r="CP3314" t="s">
        <v>1548</v>
      </c>
      <c r="CQ3314" t="s">
        <v>1459</v>
      </c>
      <c r="CR3314" t="s">
        <v>2195</v>
      </c>
      <c r="CS3314" s="459" t="s">
        <v>885</v>
      </c>
      <c r="CT3314" s="245" t="s">
        <v>885</v>
      </c>
      <c r="CU3314" t="s">
        <v>2278</v>
      </c>
      <c r="CV3314" t="s">
        <v>2337</v>
      </c>
      <c r="CW3314" t="s">
        <v>1814</v>
      </c>
      <c r="CX3314" t="s">
        <v>1658</v>
      </c>
      <c r="CY3314" t="s">
        <v>1681</v>
      </c>
      <c r="CZ3314" t="s">
        <v>2506</v>
      </c>
      <c r="DA3314" s="459" t="s">
        <v>885</v>
      </c>
      <c r="DB3314" s="459" t="s">
        <v>885</v>
      </c>
      <c r="DC3314" s="459" t="s">
        <v>885</v>
      </c>
      <c r="DD3314" s="459" t="s">
        <v>885</v>
      </c>
      <c r="DE3314" t="s">
        <v>2598</v>
      </c>
      <c r="DF3314" t="s">
        <v>1796</v>
      </c>
      <c r="DG3314" t="s">
        <v>2700</v>
      </c>
      <c r="DH3314" t="s">
        <v>1964</v>
      </c>
      <c r="DI3314" t="s">
        <v>1467</v>
      </c>
      <c r="DJ3314" t="s">
        <v>1495</v>
      </c>
      <c r="DK3314" t="s">
        <v>2820</v>
      </c>
      <c r="DL3314" s="459" t="s">
        <v>885</v>
      </c>
      <c r="DM3314" t="s">
        <v>2859</v>
      </c>
      <c r="DN3314" t="s">
        <v>2649</v>
      </c>
      <c r="DO3314" t="s">
        <v>1805</v>
      </c>
      <c r="DP3314" t="s">
        <v>1904</v>
      </c>
      <c r="DQ3314" s="459" t="s">
        <v>885</v>
      </c>
      <c r="DR3314" s="459" t="s">
        <v>885</v>
      </c>
      <c r="DS3314" t="s">
        <v>3135</v>
      </c>
      <c r="DT3314" t="s">
        <v>2530</v>
      </c>
      <c r="DU3314" t="s">
        <v>2149</v>
      </c>
      <c r="DV3314" t="s">
        <v>3250</v>
      </c>
      <c r="DW3314" s="245" t="s">
        <v>885</v>
      </c>
      <c r="DX3314" s="245" t="s">
        <v>885</v>
      </c>
      <c r="DY3314" s="245"/>
      <c r="DZ3314" s="470" t="str">
        <f t="shared" si="162"/>
        <v/>
      </c>
      <c r="EA3314" s="470" t="str">
        <f t="shared" si="163"/>
        <v/>
      </c>
      <c r="EB3314" t="s">
        <v>3309</v>
      </c>
      <c r="EC3314" s="471" t="s">
        <v>3283</v>
      </c>
      <c r="EH3314" t="s">
        <v>3361</v>
      </c>
      <c r="EI3314" s="473" t="s">
        <v>3294</v>
      </c>
      <c r="EJ3314" t="s">
        <v>3404</v>
      </c>
      <c r="EK3314" s="473" t="s">
        <v>3294</v>
      </c>
      <c r="EL3314" t="str">
        <f>EL3284</f>
        <v>Christian Champagne</v>
      </c>
      <c r="EM3314" s="473" t="str">
        <f>EM3284</f>
        <v>D</v>
      </c>
    </row>
    <row r="3315" spans="1:143" ht="15.5" hidden="1" x14ac:dyDescent="0.35">
      <c r="A3315" s="417" t="s">
        <v>1192</v>
      </c>
      <c r="B3315" s="418" t="s">
        <v>1193</v>
      </c>
      <c r="C3315" s="427">
        <f>C3312</f>
        <v>0</v>
      </c>
      <c r="D3315" s="427" t="s">
        <v>885</v>
      </c>
      <c r="E3315" s="427" t="s">
        <v>885</v>
      </c>
      <c r="G3315" s="420"/>
      <c r="H3315" s="420"/>
      <c r="I3315" s="420"/>
      <c r="J3315" s="420"/>
      <c r="K3315" s="420"/>
      <c r="L3315" s="420"/>
      <c r="M3315" s="420"/>
      <c r="N3315" s="420"/>
      <c r="O3315" s="420"/>
      <c r="P3315" s="420"/>
      <c r="Q3315" s="420"/>
      <c r="R3315" s="420"/>
      <c r="S3315" s="420"/>
      <c r="T3315" s="420"/>
      <c r="U3315" s="420"/>
      <c r="V3315" s="420"/>
      <c r="W3315" s="420"/>
      <c r="X3315" s="420"/>
      <c r="Y3315" s="420"/>
      <c r="Z3315" s="420"/>
      <c r="AA3315" s="411"/>
      <c r="AB3315" s="411" t="s">
        <v>1027</v>
      </c>
      <c r="AC3315" s="245" t="s">
        <v>885</v>
      </c>
      <c r="AD3315" s="245" t="s">
        <v>885</v>
      </c>
      <c r="AE3315" s="245" t="s">
        <v>885</v>
      </c>
      <c r="AF3315" s="245" t="s">
        <v>885</v>
      </c>
      <c r="AG3315" s="245" t="s">
        <v>885</v>
      </c>
      <c r="AH3315" s="245" t="s">
        <v>885</v>
      </c>
      <c r="AI3315" s="245" t="s">
        <v>885</v>
      </c>
      <c r="AJ3315" s="245" t="s">
        <v>885</v>
      </c>
      <c r="AK3315" s="245" t="s">
        <v>885</v>
      </c>
      <c r="AL3315" s="245" t="s">
        <v>885</v>
      </c>
      <c r="AM3315" s="245" t="s">
        <v>885</v>
      </c>
      <c r="AN3315" s="245" t="s">
        <v>885</v>
      </c>
      <c r="AO3315" s="245" t="s">
        <v>885</v>
      </c>
      <c r="AP3315" s="245" t="s">
        <v>885</v>
      </c>
      <c r="AQ3315" s="245" t="s">
        <v>885</v>
      </c>
      <c r="AR3315" s="245" t="s">
        <v>885</v>
      </c>
      <c r="AS3315" s="245" t="s">
        <v>885</v>
      </c>
      <c r="AT3315" s="245" t="s">
        <v>885</v>
      </c>
      <c r="AU3315" s="245" t="s">
        <v>885</v>
      </c>
      <c r="AV3315" s="245" t="s">
        <v>885</v>
      </c>
      <c r="AW3315" s="245" t="s">
        <v>885</v>
      </c>
      <c r="AX3315" s="48">
        <v>35</v>
      </c>
      <c r="BB3315" s="402">
        <f t="shared" ca="1" si="164"/>
        <v>0</v>
      </c>
      <c r="BF3315" s="423">
        <v>33071</v>
      </c>
      <c r="BG3315" s="415">
        <f t="shared" si="152"/>
        <v>0</v>
      </c>
      <c r="BH3315" s="415">
        <f t="shared" si="156"/>
        <v>0</v>
      </c>
      <c r="BI3315" s="365">
        <f t="shared" si="157"/>
        <v>0</v>
      </c>
      <c r="BJ3315" s="157">
        <f t="shared" si="153"/>
        <v>0</v>
      </c>
      <c r="BK3315" s="416">
        <f t="shared" si="158"/>
        <v>0</v>
      </c>
      <c r="BS3315" s="464" t="str">
        <f t="shared" ref="BS3315:BS3339" si="165">IF($B$265=B$3281,BZ3314,IF($B$265=B$3282,CA3314,IF($B$265=B$3283,CB3314,IF($B$265=B$3284,CC3314,IF($B$265=B$3285,CD3314,IF($B$265=B$3286,CE3314,IF($B$265=B$3287,CF3314,IF($B$265=B$3288,CG3314,IF($B$265=B$3289,CH3314,IF($B$265=B$3290,CI3314,IF($B$265=B$3291,CJ3314,IF($B$265=B$3292,CK3314,IF($B$265=B$3293,CL3314,IF($B$265=B$3294,CM3314,IF($B$265=B$3295,CN3314,IF($B$265=B$3296,C3314,IF($B$265=B$3297,CO3314,IF($B$265=B$3298,CP3314,IF($B$265=B$3299,CQ3314,IF($B$265=B$3300,CR3314,IF($B$265=B$3301,CS3314,IF($B$265=B$3302,CT3314,IF(B$265=B$3303,CU3314,IF($B$265=B$3304,CV3314,IF($B$265=B$3305,CW3314,IF($B$265=B$3306,CX3314,IF($B$265=B$3307,CY3314,IF($B$265=B$3308,CZ3314,IF($B$265=B$3309,DA3314,IF($B$265=B$3310,DB3314,IF($B$265=B$3311,DC3314,IF($B$265=B$3312,DD3314,IF($B$265=B$3313,DE3314,IF($B$265=B$3314,DF3314,IF($B$265=B$3315,DG3314,IF($B$265=B$3316,DH3314,IF($B$265=B$3317,DI3314,IF($B$265=B$3318,DJ3314,IF($B$265=B$3319,DK3314,IF($B$265=B$3320,DL3314,IF($B$265=B$3321,DM3314,IF($B$265=B$3322,DN3314,IF($B$265=B$3323,DO3314,IF($B$265=B$3324,DP3314,IF($B$265=B$3325,DQ3314,IF($B$265=B$3326,DR3314,IF($B$265=B$3327,DS3314,IF($B$265=B$3328,DT3314,IF($B$265=B$3329,DU3314,IF($B$265=B$3330,DV3314,IF($B$265=B$3331,DW3314,IF($B$265=B$3332,DX3314,""))))))))))))))))))))))))))))))))))))))))))))))))))))</f>
        <v>Ionia County</v>
      </c>
      <c r="BZ3315" s="48" t="s">
        <v>1465</v>
      </c>
      <c r="CA3315" s="245" t="s">
        <v>885</v>
      </c>
      <c r="CB3315" s="245" t="s">
        <v>885</v>
      </c>
      <c r="CC3315" t="s">
        <v>1467</v>
      </c>
      <c r="CD3315" t="s">
        <v>1617</v>
      </c>
      <c r="CE3315" t="s">
        <v>1600</v>
      </c>
      <c r="CF3315" s="245" t="s">
        <v>885</v>
      </c>
      <c r="CG3315" s="245" t="s">
        <v>885</v>
      </c>
      <c r="CH3315" s="245" t="s">
        <v>885</v>
      </c>
      <c r="CI3315" t="s">
        <v>1471</v>
      </c>
      <c r="CJ3315" t="s">
        <v>1779</v>
      </c>
      <c r="CK3315" s="459" t="s">
        <v>885</v>
      </c>
      <c r="CL3315" t="s">
        <v>1891</v>
      </c>
      <c r="CM3315" t="s">
        <v>1917</v>
      </c>
      <c r="CN3315" t="s">
        <v>1966</v>
      </c>
      <c r="CO3315" t="s">
        <v>1460</v>
      </c>
      <c r="CP3315" t="s">
        <v>2058</v>
      </c>
      <c r="CQ3315" t="s">
        <v>2126</v>
      </c>
      <c r="CR3315" t="s">
        <v>2196</v>
      </c>
      <c r="CS3315" s="459" t="s">
        <v>885</v>
      </c>
      <c r="CT3315" s="245" t="s">
        <v>885</v>
      </c>
      <c r="CU3315" t="s">
        <v>2279</v>
      </c>
      <c r="CV3315" t="s">
        <v>2338</v>
      </c>
      <c r="CW3315" t="s">
        <v>2392</v>
      </c>
      <c r="CX3315" t="s">
        <v>2423</v>
      </c>
      <c r="CY3315" t="s">
        <v>2476</v>
      </c>
      <c r="CZ3315" t="s">
        <v>2507</v>
      </c>
      <c r="DA3315" s="459" t="s">
        <v>885</v>
      </c>
      <c r="DB3315" s="459" t="s">
        <v>885</v>
      </c>
      <c r="DC3315" s="459" t="s">
        <v>885</v>
      </c>
      <c r="DD3315" s="459" t="s">
        <v>885</v>
      </c>
      <c r="DE3315" t="s">
        <v>2599</v>
      </c>
      <c r="DF3315" t="s">
        <v>1460</v>
      </c>
      <c r="DG3315" t="s">
        <v>1829</v>
      </c>
      <c r="DH3315" t="s">
        <v>1464</v>
      </c>
      <c r="DI3315" t="s">
        <v>2651</v>
      </c>
      <c r="DJ3315" t="s">
        <v>1857</v>
      </c>
      <c r="DK3315" t="s">
        <v>2821</v>
      </c>
      <c r="DL3315" s="459" t="s">
        <v>885</v>
      </c>
      <c r="DM3315" t="s">
        <v>2860</v>
      </c>
      <c r="DN3315" t="s">
        <v>1466</v>
      </c>
      <c r="DO3315" t="s">
        <v>2915</v>
      </c>
      <c r="DP3315" t="s">
        <v>2955</v>
      </c>
      <c r="DQ3315" s="459" t="s">
        <v>885</v>
      </c>
      <c r="DR3315" s="459" t="s">
        <v>885</v>
      </c>
      <c r="DS3315" t="s">
        <v>3136</v>
      </c>
      <c r="DT3315" t="s">
        <v>3215</v>
      </c>
      <c r="DU3315" t="s">
        <v>1974</v>
      </c>
      <c r="DV3315" t="s">
        <v>1556</v>
      </c>
      <c r="DW3315" s="245" t="s">
        <v>885</v>
      </c>
      <c r="DX3315" s="245" t="s">
        <v>885</v>
      </c>
      <c r="DY3315" s="245"/>
      <c r="DZ3315" s="470" t="str">
        <f t="shared" si="162"/>
        <v/>
      </c>
      <c r="EA3315" s="470" t="str">
        <f t="shared" si="163"/>
        <v/>
      </c>
      <c r="EB3315" t="str">
        <f>EB3314</f>
        <v>Patrick B. Jones III</v>
      </c>
      <c r="EC3315" t="str">
        <f>EC3314</f>
        <v>R</v>
      </c>
      <c r="EH3315" t="s">
        <v>3362</v>
      </c>
      <c r="EI3315" s="473" t="s">
        <v>3294</v>
      </c>
      <c r="EJ3315" t="s">
        <v>3405</v>
      </c>
      <c r="EK3315" s="473" t="s">
        <v>3294</v>
      </c>
      <c r="EL3315" t="str">
        <f>EL3300</f>
        <v>Heidi McCollum</v>
      </c>
      <c r="EM3315" s="473" t="str">
        <f>EM3300</f>
        <v>D</v>
      </c>
    </row>
    <row r="3316" spans="1:143" ht="15.5" hidden="1" x14ac:dyDescent="0.35">
      <c r="A3316" s="417" t="s">
        <v>1194</v>
      </c>
      <c r="B3316" s="418" t="s">
        <v>1195</v>
      </c>
      <c r="C3316" s="433">
        <v>40330</v>
      </c>
      <c r="D3316" s="427" t="s">
        <v>885</v>
      </c>
      <c r="G3316" s="420"/>
      <c r="H3316" s="420"/>
      <c r="I3316" s="420"/>
      <c r="J3316" s="420"/>
      <c r="K3316" s="420"/>
      <c r="L3316" s="420"/>
      <c r="M3316" s="420"/>
      <c r="N3316" s="420"/>
      <c r="O3316" s="420"/>
      <c r="P3316" s="420"/>
      <c r="Q3316" s="420"/>
      <c r="R3316" s="420"/>
      <c r="S3316" s="420"/>
      <c r="T3316" s="420"/>
      <c r="U3316" s="420"/>
      <c r="V3316" s="420"/>
      <c r="W3316" s="420"/>
      <c r="X3316" s="420"/>
      <c r="Y3316" s="420"/>
      <c r="Z3316" s="420"/>
      <c r="AB3316" s="48" t="s">
        <v>1196</v>
      </c>
      <c r="AC3316" s="245" t="s">
        <v>885</v>
      </c>
      <c r="AD3316" s="48" t="s">
        <v>1197</v>
      </c>
      <c r="AF3316" s="421">
        <v>2</v>
      </c>
      <c r="AG3316" s="48">
        <v>2</v>
      </c>
      <c r="AH3316" s="48" t="s">
        <v>1046</v>
      </c>
      <c r="AI3316" s="48" t="str">
        <f>CONCATENATE(AG3316,AH3316)</f>
        <v>2 years</v>
      </c>
      <c r="AK3316" s="48" t="s">
        <v>1047</v>
      </c>
      <c r="AO3316" s="48" t="s">
        <v>1113</v>
      </c>
      <c r="AR3316" s="245" t="s">
        <v>885</v>
      </c>
      <c r="AS3316" s="48" t="s">
        <v>1198</v>
      </c>
      <c r="AW3316" s="245" t="s">
        <v>885</v>
      </c>
      <c r="AX3316" s="48">
        <v>36</v>
      </c>
      <c r="BB3316" s="402">
        <f t="shared" ca="1" si="164"/>
        <v>483960</v>
      </c>
      <c r="BF3316" s="423">
        <v>26937</v>
      </c>
      <c r="BG3316" s="415">
        <f t="shared" si="152"/>
        <v>0</v>
      </c>
      <c r="BH3316" s="415">
        <f t="shared" si="156"/>
        <v>0</v>
      </c>
      <c r="BI3316" s="365">
        <f t="shared" si="157"/>
        <v>0</v>
      </c>
      <c r="BJ3316" s="157">
        <f t="shared" si="153"/>
        <v>0</v>
      </c>
      <c r="BK3316" s="416">
        <f t="shared" si="158"/>
        <v>0</v>
      </c>
      <c r="BN3316" s="1107">
        <f>IF(OR($AC$1127=0,$C$1153="",C$1129=AG$1129),0,$C$1153*$C$1129)</f>
        <v>600000</v>
      </c>
      <c r="BO3316" s="927"/>
      <c r="BP3316" s="927"/>
      <c r="BQ3316" s="927"/>
      <c r="BS3316" s="464" t="str">
        <f t="shared" si="165"/>
        <v>Iosco County</v>
      </c>
      <c r="BZ3316" s="48" t="s">
        <v>1466</v>
      </c>
      <c r="CA3316" s="245" t="s">
        <v>885</v>
      </c>
      <c r="CB3316" s="245" t="s">
        <v>885</v>
      </c>
      <c r="CC3316" t="s">
        <v>1554</v>
      </c>
      <c r="CD3316" t="s">
        <v>1618</v>
      </c>
      <c r="CE3316" t="s">
        <v>1672</v>
      </c>
      <c r="CF3316" s="245" t="s">
        <v>885</v>
      </c>
      <c r="CG3316" s="245" t="s">
        <v>885</v>
      </c>
      <c r="CH3316" s="245" t="s">
        <v>885</v>
      </c>
      <c r="CI3316" t="s">
        <v>1730</v>
      </c>
      <c r="CJ3316" t="s">
        <v>1537</v>
      </c>
      <c r="CK3316" s="459" t="s">
        <v>885</v>
      </c>
      <c r="CL3316" t="s">
        <v>1892</v>
      </c>
      <c r="CM3316" t="s">
        <v>1918</v>
      </c>
      <c r="CN3316" t="s">
        <v>1466</v>
      </c>
      <c r="CO3316" t="s">
        <v>1662</v>
      </c>
      <c r="CP3316" t="s">
        <v>2059</v>
      </c>
      <c r="CQ3316" t="s">
        <v>1795</v>
      </c>
      <c r="CR3316" t="s">
        <v>2197</v>
      </c>
      <c r="CS3316" s="459" t="s">
        <v>885</v>
      </c>
      <c r="CT3316" s="245" t="s">
        <v>885</v>
      </c>
      <c r="CU3316" t="s">
        <v>2280</v>
      </c>
      <c r="CV3316" t="s">
        <v>2339</v>
      </c>
      <c r="CW3316" t="s">
        <v>1555</v>
      </c>
      <c r="CX3316" t="s">
        <v>1460</v>
      </c>
      <c r="CY3316" t="s">
        <v>1565</v>
      </c>
      <c r="CZ3316" t="s">
        <v>1663</v>
      </c>
      <c r="DA3316" s="459" t="s">
        <v>885</v>
      </c>
      <c r="DB3316" s="459" t="s">
        <v>885</v>
      </c>
      <c r="DC3316" s="459" t="s">
        <v>885</v>
      </c>
      <c r="DD3316" s="459" t="s">
        <v>885</v>
      </c>
      <c r="DE3316" t="s">
        <v>1612</v>
      </c>
      <c r="DF3316" t="s">
        <v>2640</v>
      </c>
      <c r="DG3316" t="s">
        <v>2357</v>
      </c>
      <c r="DH3316" t="s">
        <v>2725</v>
      </c>
      <c r="DI3316" t="s">
        <v>2762</v>
      </c>
      <c r="DJ3316" t="s">
        <v>2803</v>
      </c>
      <c r="DK3316" t="s">
        <v>2516</v>
      </c>
      <c r="DL3316" s="459" t="s">
        <v>885</v>
      </c>
      <c r="DM3316" t="s">
        <v>2861</v>
      </c>
      <c r="DN3316" t="s">
        <v>2886</v>
      </c>
      <c r="DO3316" t="s">
        <v>1917</v>
      </c>
      <c r="DP3316" t="s">
        <v>1439</v>
      </c>
      <c r="DQ3316" s="459" t="s">
        <v>885</v>
      </c>
      <c r="DR3316" s="459" t="s">
        <v>885</v>
      </c>
      <c r="DS3316" t="s">
        <v>3137</v>
      </c>
      <c r="DT3316" t="s">
        <v>3216</v>
      </c>
      <c r="DU3316" t="s">
        <v>2152</v>
      </c>
      <c r="DV3316" t="s">
        <v>3251</v>
      </c>
      <c r="DW3316" s="245" t="s">
        <v>885</v>
      </c>
      <c r="DX3316" s="245" t="s">
        <v>885</v>
      </c>
      <c r="DY3316" s="245"/>
      <c r="DZ3316" s="470" t="str">
        <f t="shared" si="162"/>
        <v/>
      </c>
      <c r="EA3316" s="470" t="str">
        <f t="shared" si="163"/>
        <v/>
      </c>
      <c r="EB3316" t="s">
        <v>3310</v>
      </c>
      <c r="EC3316" s="471" t="s">
        <v>3283</v>
      </c>
      <c r="EH3316" t="str">
        <f>EH3304</f>
        <v>Jeff Phillips</v>
      </c>
      <c r="EI3316" s="473" t="s">
        <v>3294</v>
      </c>
      <c r="EJ3316" t="s">
        <v>3406</v>
      </c>
      <c r="EK3316" s="473" t="s">
        <v>3294</v>
      </c>
      <c r="EL3316" t="str">
        <f>EL3310</f>
        <v>Gordon McLaughlin</v>
      </c>
      <c r="EM3316" s="473" t="str">
        <f>EM3310</f>
        <v>D</v>
      </c>
    </row>
    <row r="3317" spans="1:143" ht="15.5" hidden="1" x14ac:dyDescent="0.35">
      <c r="A3317" s="417" t="s">
        <v>1199</v>
      </c>
      <c r="B3317" s="418" t="s">
        <v>1200</v>
      </c>
      <c r="C3317" s="427">
        <f>C3315</f>
        <v>0</v>
      </c>
      <c r="D3317" s="419">
        <v>175000</v>
      </c>
      <c r="G3317" s="420"/>
      <c r="H3317" s="420"/>
      <c r="I3317" s="420"/>
      <c r="J3317" s="420"/>
      <c r="K3317" s="420"/>
      <c r="L3317" s="420"/>
      <c r="M3317" s="420"/>
      <c r="N3317" s="420"/>
      <c r="O3317" s="420"/>
      <c r="P3317" s="420"/>
      <c r="Q3317" s="420"/>
      <c r="R3317" s="420"/>
      <c r="S3317" s="420"/>
      <c r="T3317" s="420"/>
      <c r="U3317" s="420"/>
      <c r="V3317" s="420"/>
      <c r="W3317" s="420"/>
      <c r="X3317" s="420"/>
      <c r="Y3317" s="420"/>
      <c r="Z3317" s="420"/>
      <c r="AB3317" s="48" t="s">
        <v>1201</v>
      </c>
      <c r="AC3317" s="245" t="s">
        <v>885</v>
      </c>
      <c r="AD3317" s="48" t="s">
        <v>1202</v>
      </c>
      <c r="AF3317" s="421">
        <v>0</v>
      </c>
      <c r="AG3317" s="48">
        <v>1</v>
      </c>
      <c r="AH3317" s="48" t="s">
        <v>1046</v>
      </c>
      <c r="AI3317" s="48" t="str">
        <f>CONCATENATE(AG3317,AH3317)</f>
        <v>1 years</v>
      </c>
      <c r="AK3317" s="48" t="s">
        <v>1047</v>
      </c>
      <c r="AO3317" s="48" t="s">
        <v>1203</v>
      </c>
      <c r="AR3317" s="245" t="s">
        <v>885</v>
      </c>
      <c r="AS3317" s="48" t="s">
        <v>1066</v>
      </c>
      <c r="AW3317" s="245" t="s">
        <v>885</v>
      </c>
      <c r="AX3317" s="48">
        <v>37</v>
      </c>
      <c r="BB3317" s="402">
        <f t="shared" ca="1" si="164"/>
        <v>0</v>
      </c>
      <c r="BF3317" s="423">
        <v>25229</v>
      </c>
      <c r="BG3317" s="415">
        <f t="shared" si="152"/>
        <v>0</v>
      </c>
      <c r="BH3317" s="415">
        <f t="shared" si="156"/>
        <v>0</v>
      </c>
      <c r="BI3317" s="365">
        <f t="shared" si="157"/>
        <v>0</v>
      </c>
      <c r="BJ3317" s="157">
        <f t="shared" si="153"/>
        <v>0</v>
      </c>
      <c r="BK3317" s="416">
        <f t="shared" si="158"/>
        <v>0</v>
      </c>
      <c r="BN3317" s="1107">
        <f>IF(OR($AC$1127=0,$C$1153="",C$1129=AG$1129),0,$C$1153*$C$1129)</f>
        <v>600000</v>
      </c>
      <c r="BO3317" s="927"/>
      <c r="BP3317" s="927"/>
      <c r="BQ3317" s="927"/>
      <c r="BS3317" s="464" t="str">
        <f t="shared" si="165"/>
        <v>Iron County</v>
      </c>
      <c r="BZ3317" s="48" t="s">
        <v>1467</v>
      </c>
      <c r="CA3317" s="245" t="s">
        <v>885</v>
      </c>
      <c r="CB3317" s="245" t="s">
        <v>885</v>
      </c>
      <c r="CC3317" t="s">
        <v>1555</v>
      </c>
      <c r="CD3317" t="s">
        <v>1619</v>
      </c>
      <c r="CE3317" t="s">
        <v>1673</v>
      </c>
      <c r="CF3317" s="245" t="s">
        <v>885</v>
      </c>
      <c r="CG3317" s="245" t="s">
        <v>885</v>
      </c>
      <c r="CH3317" s="245" t="s">
        <v>885</v>
      </c>
      <c r="CI3317" t="s">
        <v>1731</v>
      </c>
      <c r="CJ3317" t="s">
        <v>1780</v>
      </c>
      <c r="CK3317" s="459" t="s">
        <v>885</v>
      </c>
      <c r="CL3317" t="s">
        <v>1893</v>
      </c>
      <c r="CM3317" t="s">
        <v>1464</v>
      </c>
      <c r="CN3317" t="s">
        <v>1811</v>
      </c>
      <c r="CO3317" t="s">
        <v>1462</v>
      </c>
      <c r="CP3317" t="s">
        <v>2060</v>
      </c>
      <c r="CQ3317" t="s">
        <v>1460</v>
      </c>
      <c r="CR3317" t="s">
        <v>2198</v>
      </c>
      <c r="CS3317" s="459" t="s">
        <v>885</v>
      </c>
      <c r="CT3317" s="245" t="s">
        <v>885</v>
      </c>
      <c r="CU3317" t="s">
        <v>2281</v>
      </c>
      <c r="CV3317" t="s">
        <v>2340</v>
      </c>
      <c r="CW3317" t="s">
        <v>1468</v>
      </c>
      <c r="CX3317" t="s">
        <v>2424</v>
      </c>
      <c r="CY3317" t="s">
        <v>2477</v>
      </c>
      <c r="CZ3317" t="s">
        <v>2508</v>
      </c>
      <c r="DA3317" s="459" t="s">
        <v>885</v>
      </c>
      <c r="DB3317" s="459" t="s">
        <v>885</v>
      </c>
      <c r="DC3317" s="459" t="s">
        <v>885</v>
      </c>
      <c r="DD3317" s="459" t="s">
        <v>885</v>
      </c>
      <c r="DE3317" t="s">
        <v>2600</v>
      </c>
      <c r="DF3317" t="s">
        <v>2641</v>
      </c>
      <c r="DG3317" t="s">
        <v>2701</v>
      </c>
      <c r="DH3317" t="s">
        <v>2726</v>
      </c>
      <c r="DI3317" t="s">
        <v>2763</v>
      </c>
      <c r="DJ3317" s="459" t="s">
        <v>885</v>
      </c>
      <c r="DK3317" t="s">
        <v>1470</v>
      </c>
      <c r="DL3317" s="459" t="s">
        <v>885</v>
      </c>
      <c r="DM3317" t="s">
        <v>1825</v>
      </c>
      <c r="DN3317" t="s">
        <v>1814</v>
      </c>
      <c r="DO3317" t="s">
        <v>2916</v>
      </c>
      <c r="DP3317" t="s">
        <v>1440</v>
      </c>
      <c r="DQ3317" s="459" t="s">
        <v>885</v>
      </c>
      <c r="DR3317" s="459" t="s">
        <v>885</v>
      </c>
      <c r="DS3317" t="s">
        <v>2248</v>
      </c>
      <c r="DT3317" t="s">
        <v>3217</v>
      </c>
      <c r="DU3317" t="s">
        <v>3229</v>
      </c>
      <c r="DV3317" t="s">
        <v>3252</v>
      </c>
      <c r="DW3317" s="245" t="s">
        <v>885</v>
      </c>
      <c r="DX3317" s="245" t="s">
        <v>885</v>
      </c>
      <c r="DY3317" s="245"/>
      <c r="DZ3317" s="470" t="str">
        <f t="shared" si="162"/>
        <v/>
      </c>
      <c r="EA3317" s="470" t="str">
        <f t="shared" si="163"/>
        <v/>
      </c>
      <c r="EB3317" t="s">
        <v>3311</v>
      </c>
      <c r="EC3317" s="471" t="s">
        <v>3288</v>
      </c>
      <c r="EH3317" t="s">
        <v>3363</v>
      </c>
      <c r="EI3317" s="473" t="s">
        <v>3294</v>
      </c>
      <c r="EJ3317" t="s">
        <v>3407</v>
      </c>
      <c r="EK3317" s="473" t="s">
        <v>3294</v>
      </c>
      <c r="EL3317" t="str">
        <f>EL3309</f>
        <v>Henry Solano</v>
      </c>
      <c r="EM3317" s="473" t="str">
        <f>EM3309</f>
        <v>D</v>
      </c>
    </row>
    <row r="3318" spans="1:143" ht="15.5" hidden="1" x14ac:dyDescent="0.35">
      <c r="A3318" s="417" t="s">
        <v>1204</v>
      </c>
      <c r="B3318" s="418" t="s">
        <v>1205</v>
      </c>
      <c r="C3318" s="427">
        <f t="shared" ref="C3318:C3323" si="166">C3317</f>
        <v>0</v>
      </c>
      <c r="D3318" s="427" t="s">
        <v>885</v>
      </c>
      <c r="E3318" s="427" t="s">
        <v>885</v>
      </c>
      <c r="G3318" s="420"/>
      <c r="H3318" s="420"/>
      <c r="I3318" s="420"/>
      <c r="J3318" s="420"/>
      <c r="K3318" s="420"/>
      <c r="L3318" s="420"/>
      <c r="M3318" s="420"/>
      <c r="N3318" s="420"/>
      <c r="O3318" s="420"/>
      <c r="P3318" s="420"/>
      <c r="Q3318" s="420"/>
      <c r="R3318" s="420"/>
      <c r="S3318" s="420"/>
      <c r="T3318" s="420"/>
      <c r="U3318" s="420"/>
      <c r="V3318" s="420"/>
      <c r="W3318" s="420"/>
      <c r="X3318" s="420"/>
      <c r="Y3318" s="420"/>
      <c r="Z3318" s="420"/>
      <c r="AA3318" s="411"/>
      <c r="AB3318" s="411" t="s">
        <v>1027</v>
      </c>
      <c r="AC3318" s="245" t="s">
        <v>885</v>
      </c>
      <c r="AD3318" s="245" t="s">
        <v>885</v>
      </c>
      <c r="AE3318" s="245" t="s">
        <v>885</v>
      </c>
      <c r="AF3318" s="245" t="s">
        <v>885</v>
      </c>
      <c r="AG3318" s="245" t="s">
        <v>885</v>
      </c>
      <c r="AH3318" s="245" t="s">
        <v>885</v>
      </c>
      <c r="AI3318" s="245" t="s">
        <v>885</v>
      </c>
      <c r="AJ3318" s="245" t="s">
        <v>885</v>
      </c>
      <c r="AK3318" s="245" t="s">
        <v>885</v>
      </c>
      <c r="AL3318" s="245" t="s">
        <v>885</v>
      </c>
      <c r="AM3318" s="245" t="s">
        <v>885</v>
      </c>
      <c r="AN3318" s="245" t="s">
        <v>885</v>
      </c>
      <c r="AO3318" s="245" t="s">
        <v>885</v>
      </c>
      <c r="AP3318" s="245" t="s">
        <v>885</v>
      </c>
      <c r="AQ3318" s="245" t="s">
        <v>885</v>
      </c>
      <c r="AR3318" s="245" t="s">
        <v>885</v>
      </c>
      <c r="AS3318" s="245" t="s">
        <v>885</v>
      </c>
      <c r="AT3318" s="245" t="s">
        <v>885</v>
      </c>
      <c r="AU3318" s="245" t="s">
        <v>885</v>
      </c>
      <c r="AV3318" s="245" t="s">
        <v>885</v>
      </c>
      <c r="AW3318" s="245" t="s">
        <v>885</v>
      </c>
      <c r="AX3318" s="48">
        <v>38</v>
      </c>
      <c r="BB3318" s="402">
        <f t="shared" ca="1" si="164"/>
        <v>0</v>
      </c>
      <c r="BF3318" s="423">
        <v>27646</v>
      </c>
      <c r="BG3318" s="415">
        <f t="shared" si="152"/>
        <v>0</v>
      </c>
      <c r="BH3318" s="415">
        <f t="shared" si="156"/>
        <v>0</v>
      </c>
      <c r="BI3318" s="365">
        <f t="shared" si="157"/>
        <v>0</v>
      </c>
      <c r="BJ3318" s="157">
        <f t="shared" si="153"/>
        <v>0</v>
      </c>
      <c r="BK3318" s="416">
        <f t="shared" si="158"/>
        <v>0</v>
      </c>
      <c r="BS3318" s="464" t="str">
        <f t="shared" si="165"/>
        <v>Isabella County</v>
      </c>
      <c r="BZ3318" s="48" t="s">
        <v>1468</v>
      </c>
      <c r="CA3318" s="245" t="s">
        <v>885</v>
      </c>
      <c r="CB3318" s="245" t="s">
        <v>885</v>
      </c>
      <c r="CC3318" t="s">
        <v>1470</v>
      </c>
      <c r="CD3318" t="s">
        <v>1620</v>
      </c>
      <c r="CE3318" t="s">
        <v>1556</v>
      </c>
      <c r="CF3318" s="245" t="s">
        <v>885</v>
      </c>
      <c r="CG3318" s="245" t="s">
        <v>885</v>
      </c>
      <c r="CH3318" s="245" t="s">
        <v>885</v>
      </c>
      <c r="CI3318" t="s">
        <v>1732</v>
      </c>
      <c r="CJ3318" t="s">
        <v>1781</v>
      </c>
      <c r="CK3318" s="459" t="s">
        <v>885</v>
      </c>
      <c r="CL3318" t="s">
        <v>1894</v>
      </c>
      <c r="CM3318" t="s">
        <v>1919</v>
      </c>
      <c r="CN3318" t="s">
        <v>1967</v>
      </c>
      <c r="CO3318" t="s">
        <v>1916</v>
      </c>
      <c r="CP3318" t="s">
        <v>1722</v>
      </c>
      <c r="CQ3318" t="s">
        <v>1546</v>
      </c>
      <c r="CR3318" t="s">
        <v>2199</v>
      </c>
      <c r="CS3318" s="459" t="s">
        <v>885</v>
      </c>
      <c r="CT3318" s="245" t="s">
        <v>885</v>
      </c>
      <c r="CU3318" t="s">
        <v>1466</v>
      </c>
      <c r="CV3318" t="s">
        <v>1600</v>
      </c>
      <c r="CW3318" t="s">
        <v>1469</v>
      </c>
      <c r="CX3318" t="s">
        <v>2425</v>
      </c>
      <c r="CY3318" t="s">
        <v>2478</v>
      </c>
      <c r="CZ3318" t="s">
        <v>1548</v>
      </c>
      <c r="DA3318" s="459" t="s">
        <v>885</v>
      </c>
      <c r="DB3318" s="459" t="s">
        <v>885</v>
      </c>
      <c r="DC3318" s="459" t="s">
        <v>885</v>
      </c>
      <c r="DD3318" s="459" t="s">
        <v>885</v>
      </c>
      <c r="DE3318" t="s">
        <v>2601</v>
      </c>
      <c r="DF3318" t="s">
        <v>1420</v>
      </c>
      <c r="DG3318" t="s">
        <v>2360</v>
      </c>
      <c r="DH3318" t="s">
        <v>1728</v>
      </c>
      <c r="DI3318" t="s">
        <v>1669</v>
      </c>
      <c r="DJ3318" s="459" t="s">
        <v>885</v>
      </c>
      <c r="DK3318" t="s">
        <v>2822</v>
      </c>
      <c r="DL3318" s="459" t="s">
        <v>885</v>
      </c>
      <c r="DM3318" t="s">
        <v>2862</v>
      </c>
      <c r="DN3318" t="s">
        <v>2887</v>
      </c>
      <c r="DO3318" t="s">
        <v>2646</v>
      </c>
      <c r="DP3318" t="s">
        <v>2956</v>
      </c>
      <c r="DQ3318" s="459" t="s">
        <v>885</v>
      </c>
      <c r="DR3318" s="459" t="s">
        <v>885</v>
      </c>
      <c r="DS3318" t="s">
        <v>3138</v>
      </c>
      <c r="DT3318" t="s">
        <v>3218</v>
      </c>
      <c r="DU3318" t="s">
        <v>2028</v>
      </c>
      <c r="DV3318" t="s">
        <v>3253</v>
      </c>
      <c r="DW3318" s="245" t="s">
        <v>885</v>
      </c>
      <c r="DX3318" s="245" t="s">
        <v>885</v>
      </c>
      <c r="DY3318" s="245"/>
      <c r="DZ3318" s="470" t="str">
        <f t="shared" si="162"/>
        <v/>
      </c>
      <c r="EA3318" s="470" t="str">
        <f t="shared" si="163"/>
        <v/>
      </c>
      <c r="EB3318" t="str">
        <f>EB3309</f>
        <v>Andy Hamlin</v>
      </c>
      <c r="EC3318" t="str">
        <f>EC3309</f>
        <v>n</v>
      </c>
      <c r="EH3318" t="str">
        <f>EH3314</f>
        <v>Henry H. Boyce</v>
      </c>
      <c r="EI3318" s="473" t="s">
        <v>3294</v>
      </c>
      <c r="EJ3318" t="s">
        <v>3408</v>
      </c>
      <c r="EK3318" s="473" t="s">
        <v>3294</v>
      </c>
      <c r="EL3318" t="str">
        <f>EL3302</f>
        <v>John Kellner</v>
      </c>
      <c r="EM3318" s="473" t="str">
        <f>EM3302</f>
        <v>R</v>
      </c>
    </row>
    <row r="3319" spans="1:143" ht="15.5" hidden="1" x14ac:dyDescent="0.35">
      <c r="A3319" s="417" t="s">
        <v>1206</v>
      </c>
      <c r="B3319" s="418" t="s">
        <v>1207</v>
      </c>
      <c r="C3319" s="427">
        <f t="shared" si="166"/>
        <v>0</v>
      </c>
      <c r="D3319" s="427" t="s">
        <v>885</v>
      </c>
      <c r="E3319" s="427" t="s">
        <v>885</v>
      </c>
      <c r="G3319" s="420"/>
      <c r="H3319" s="420"/>
      <c r="I3319" s="420"/>
      <c r="J3319" s="420"/>
      <c r="K3319" s="420"/>
      <c r="L3319" s="420"/>
      <c r="M3319" s="420"/>
      <c r="N3319" s="420"/>
      <c r="O3319" s="420"/>
      <c r="P3319" s="420"/>
      <c r="Q3319" s="420"/>
      <c r="R3319" s="420"/>
      <c r="S3319" s="420"/>
      <c r="T3319" s="420"/>
      <c r="U3319" s="420"/>
      <c r="V3319" s="420"/>
      <c r="W3319" s="420"/>
      <c r="X3319" s="420"/>
      <c r="Y3319" s="420"/>
      <c r="Z3319" s="420"/>
      <c r="AA3319" s="411"/>
      <c r="AB3319" s="411" t="s">
        <v>1027</v>
      </c>
      <c r="AC3319" s="245" t="s">
        <v>885</v>
      </c>
      <c r="AD3319" s="245" t="s">
        <v>885</v>
      </c>
      <c r="AE3319" s="245" t="s">
        <v>885</v>
      </c>
      <c r="AF3319" s="245" t="s">
        <v>885</v>
      </c>
      <c r="AG3319" s="245" t="s">
        <v>885</v>
      </c>
      <c r="AH3319" s="245" t="s">
        <v>885</v>
      </c>
      <c r="AI3319" s="245" t="s">
        <v>885</v>
      </c>
      <c r="AJ3319" s="245" t="s">
        <v>885</v>
      </c>
      <c r="AK3319" s="245" t="s">
        <v>885</v>
      </c>
      <c r="AL3319" s="245" t="s">
        <v>885</v>
      </c>
      <c r="AM3319" s="245" t="s">
        <v>885</v>
      </c>
      <c r="AN3319" s="245" t="s">
        <v>885</v>
      </c>
      <c r="AO3319" s="245" t="s">
        <v>885</v>
      </c>
      <c r="AP3319" s="245" t="s">
        <v>885</v>
      </c>
      <c r="AQ3319" s="245" t="s">
        <v>885</v>
      </c>
      <c r="AR3319" s="245" t="s">
        <v>885</v>
      </c>
      <c r="AS3319" s="245" t="s">
        <v>885</v>
      </c>
      <c r="AT3319" s="245" t="s">
        <v>885</v>
      </c>
      <c r="AU3319" s="245" t="s">
        <v>885</v>
      </c>
      <c r="AV3319" s="245" t="s">
        <v>885</v>
      </c>
      <c r="AW3319" s="245" t="s">
        <v>885</v>
      </c>
      <c r="AX3319" s="48">
        <v>39</v>
      </c>
      <c r="BB3319" s="402">
        <f t="shared" ca="1" si="164"/>
        <v>0</v>
      </c>
      <c r="BF3319" s="423">
        <v>29220</v>
      </c>
      <c r="BG3319" s="415">
        <f t="shared" si="152"/>
        <v>0</v>
      </c>
      <c r="BH3319" s="415">
        <f t="shared" si="156"/>
        <v>0</v>
      </c>
      <c r="BI3319" s="365">
        <f t="shared" si="157"/>
        <v>0</v>
      </c>
      <c r="BJ3319" s="157">
        <f t="shared" si="153"/>
        <v>0</v>
      </c>
      <c r="BK3319" s="416">
        <f t="shared" si="158"/>
        <v>0</v>
      </c>
      <c r="BS3319" s="464" t="str">
        <f t="shared" si="165"/>
        <v>Jackson County</v>
      </c>
      <c r="BZ3319" s="48" t="s">
        <v>1469</v>
      </c>
      <c r="CA3319" s="245" t="s">
        <v>885</v>
      </c>
      <c r="CB3319" s="245" t="s">
        <v>885</v>
      </c>
      <c r="CC3319" t="s">
        <v>1471</v>
      </c>
      <c r="CD3319" t="s">
        <v>1621</v>
      </c>
      <c r="CE3319" t="s">
        <v>1558</v>
      </c>
      <c r="CF3319" s="245" t="s">
        <v>885</v>
      </c>
      <c r="CG3319" s="245" t="s">
        <v>885</v>
      </c>
      <c r="CH3319" s="245" t="s">
        <v>885</v>
      </c>
      <c r="CI3319" t="s">
        <v>1475</v>
      </c>
      <c r="CJ3319" t="s">
        <v>1540</v>
      </c>
      <c r="CK3319" s="459" t="s">
        <v>885</v>
      </c>
      <c r="CL3319" t="s">
        <v>1895</v>
      </c>
      <c r="CM3319" t="s">
        <v>1466</v>
      </c>
      <c r="CN3319" t="s">
        <v>1467</v>
      </c>
      <c r="CO3319" t="s">
        <v>2011</v>
      </c>
      <c r="CP3319" t="s">
        <v>2061</v>
      </c>
      <c r="CQ3319" t="s">
        <v>1915</v>
      </c>
      <c r="CR3319" t="s">
        <v>2200</v>
      </c>
      <c r="CS3319" s="459" t="s">
        <v>885</v>
      </c>
      <c r="CT3319" s="245" t="s">
        <v>885</v>
      </c>
      <c r="CU3319" t="s">
        <v>2282</v>
      </c>
      <c r="CV3319" t="s">
        <v>2341</v>
      </c>
      <c r="CW3319" t="s">
        <v>1470</v>
      </c>
      <c r="CX3319" t="s">
        <v>1462</v>
      </c>
      <c r="CY3319" t="s">
        <v>2153</v>
      </c>
      <c r="CZ3319" t="s">
        <v>2059</v>
      </c>
      <c r="DA3319" s="459" t="s">
        <v>885</v>
      </c>
      <c r="DB3319" s="459" t="s">
        <v>885</v>
      </c>
      <c r="DC3319" s="459" t="s">
        <v>885</v>
      </c>
      <c r="DD3319" s="459" t="s">
        <v>885</v>
      </c>
      <c r="DE3319" t="s">
        <v>2306</v>
      </c>
      <c r="DF3319" t="s">
        <v>2642</v>
      </c>
      <c r="DG3319" t="s">
        <v>1940</v>
      </c>
      <c r="DH3319" t="s">
        <v>2276</v>
      </c>
      <c r="DI3319" t="s">
        <v>2764</v>
      </c>
      <c r="DJ3319" s="459" t="s">
        <v>885</v>
      </c>
      <c r="DK3319" t="s">
        <v>2823</v>
      </c>
      <c r="DL3319" s="459" t="s">
        <v>885</v>
      </c>
      <c r="DM3319" t="s">
        <v>1484</v>
      </c>
      <c r="DN3319" t="s">
        <v>1600</v>
      </c>
      <c r="DO3319" t="s">
        <v>1918</v>
      </c>
      <c r="DP3319" t="s">
        <v>1444</v>
      </c>
      <c r="DQ3319" s="459" t="s">
        <v>885</v>
      </c>
      <c r="DR3319" s="459" t="s">
        <v>885</v>
      </c>
      <c r="DS3319" t="s">
        <v>3139</v>
      </c>
      <c r="DT3319" t="s">
        <v>3219</v>
      </c>
      <c r="DU3319" t="s">
        <v>3230</v>
      </c>
      <c r="DV3319" t="s">
        <v>2292</v>
      </c>
      <c r="DW3319" s="245" t="s">
        <v>885</v>
      </c>
      <c r="DX3319" s="245" t="s">
        <v>885</v>
      </c>
      <c r="DY3319" s="245"/>
      <c r="DZ3319" s="470" t="str">
        <f t="shared" si="162"/>
        <v/>
      </c>
      <c r="EA3319" s="470" t="str">
        <f t="shared" si="163"/>
        <v/>
      </c>
      <c r="EB3319" t="s">
        <v>3312</v>
      </c>
      <c r="EC3319" s="471" t="s">
        <v>3283</v>
      </c>
      <c r="EH3319" t="str">
        <f>EH3299</f>
        <v>Todd Murray</v>
      </c>
      <c r="EI3319" s="473" t="s">
        <v>3294</v>
      </c>
      <c r="EJ3319" t="s">
        <v>3409</v>
      </c>
      <c r="EK3319" s="473" t="s">
        <v>3294</v>
      </c>
      <c r="EL3319" t="str">
        <f>EL3313</f>
        <v>Travis Sides</v>
      </c>
      <c r="EM3319" s="473" t="str">
        <f>EM3313</f>
        <v>R</v>
      </c>
    </row>
    <row r="3320" spans="1:143" ht="15.5" hidden="1" x14ac:dyDescent="0.35">
      <c r="A3320" s="417" t="s">
        <v>1208</v>
      </c>
      <c r="B3320" s="418" t="s">
        <v>1209</v>
      </c>
      <c r="C3320" s="427">
        <f t="shared" si="166"/>
        <v>0</v>
      </c>
      <c r="D3320" s="427" t="s">
        <v>885</v>
      </c>
      <c r="E3320" s="427" t="s">
        <v>885</v>
      </c>
      <c r="G3320" s="420"/>
      <c r="H3320" s="420"/>
      <c r="I3320" s="420"/>
      <c r="J3320" s="420"/>
      <c r="K3320" s="420"/>
      <c r="L3320" s="420"/>
      <c r="M3320" s="420"/>
      <c r="N3320" s="420"/>
      <c r="O3320" s="420"/>
      <c r="P3320" s="420"/>
      <c r="Q3320" s="420"/>
      <c r="R3320" s="420"/>
      <c r="S3320" s="420"/>
      <c r="T3320" s="420"/>
      <c r="U3320" s="420"/>
      <c r="V3320" s="420"/>
      <c r="W3320" s="420"/>
      <c r="X3320" s="420"/>
      <c r="Y3320" s="420"/>
      <c r="Z3320" s="420"/>
      <c r="AA3320" s="411"/>
      <c r="AB3320" s="411" t="s">
        <v>1027</v>
      </c>
      <c r="AC3320" s="245" t="s">
        <v>885</v>
      </c>
      <c r="AD3320" s="245" t="s">
        <v>885</v>
      </c>
      <c r="AE3320" s="245" t="s">
        <v>885</v>
      </c>
      <c r="AF3320" s="245" t="s">
        <v>885</v>
      </c>
      <c r="AG3320" s="245" t="s">
        <v>885</v>
      </c>
      <c r="AH3320" s="245" t="s">
        <v>885</v>
      </c>
      <c r="AI3320" s="245" t="s">
        <v>885</v>
      </c>
      <c r="AJ3320" s="245" t="s">
        <v>885</v>
      </c>
      <c r="AK3320" s="245" t="s">
        <v>885</v>
      </c>
      <c r="AL3320" s="245" t="s">
        <v>885</v>
      </c>
      <c r="AM3320" s="245" t="s">
        <v>885</v>
      </c>
      <c r="AN3320" s="245" t="s">
        <v>885</v>
      </c>
      <c r="AO3320" s="245" t="s">
        <v>885</v>
      </c>
      <c r="AP3320" s="245" t="s">
        <v>885</v>
      </c>
      <c r="AQ3320" s="245" t="s">
        <v>885</v>
      </c>
      <c r="AR3320" s="245" t="s">
        <v>885</v>
      </c>
      <c r="AS3320" s="245" t="s">
        <v>885</v>
      </c>
      <c r="AT3320" s="245" t="s">
        <v>885</v>
      </c>
      <c r="AU3320" s="245" t="s">
        <v>885</v>
      </c>
      <c r="AV3320" s="245" t="s">
        <v>885</v>
      </c>
      <c r="AW3320" s="245" t="s">
        <v>885</v>
      </c>
      <c r="AX3320" s="48">
        <v>40</v>
      </c>
      <c r="BB3320" s="402">
        <f t="shared" ca="1" si="164"/>
        <v>0</v>
      </c>
      <c r="BF3320" s="423">
        <v>30830</v>
      </c>
      <c r="BG3320" s="415">
        <f t="shared" si="152"/>
        <v>0</v>
      </c>
      <c r="BH3320" s="415">
        <f t="shared" si="156"/>
        <v>0</v>
      </c>
      <c r="BI3320" s="365">
        <f t="shared" si="157"/>
        <v>0</v>
      </c>
      <c r="BJ3320" s="157">
        <f t="shared" si="153"/>
        <v>0</v>
      </c>
      <c r="BK3320" s="416">
        <f t="shared" si="158"/>
        <v>0</v>
      </c>
      <c r="BS3320" s="464" t="str">
        <f t="shared" si="165"/>
        <v>Kalamazoo County</v>
      </c>
      <c r="BZ3320" s="48" t="s">
        <v>1470</v>
      </c>
      <c r="CA3320" s="245" t="s">
        <v>885</v>
      </c>
      <c r="CB3320" s="245" t="s">
        <v>885</v>
      </c>
      <c r="CC3320" t="s">
        <v>1556</v>
      </c>
      <c r="CD3320" t="s">
        <v>1622</v>
      </c>
      <c r="CE3320" t="s">
        <v>1674</v>
      </c>
      <c r="CF3320" s="245" t="s">
        <v>885</v>
      </c>
      <c r="CG3320" s="245" t="s">
        <v>885</v>
      </c>
      <c r="CH3320" s="245" t="s">
        <v>885</v>
      </c>
      <c r="CI3320" t="s">
        <v>1733</v>
      </c>
      <c r="CJ3320" t="s">
        <v>1782</v>
      </c>
      <c r="CK3320" s="459" t="s">
        <v>885</v>
      </c>
      <c r="CL3320" t="s">
        <v>1896</v>
      </c>
      <c r="CM3320" t="s">
        <v>1811</v>
      </c>
      <c r="CN3320" t="s">
        <v>1968</v>
      </c>
      <c r="CO3320" t="s">
        <v>1722</v>
      </c>
      <c r="CP3320" t="s">
        <v>2062</v>
      </c>
      <c r="CQ3320" t="s">
        <v>2127</v>
      </c>
      <c r="CR3320" t="s">
        <v>2201</v>
      </c>
      <c r="CS3320" s="459" t="s">
        <v>885</v>
      </c>
      <c r="CT3320" s="245" t="s">
        <v>885</v>
      </c>
      <c r="CU3320" t="s">
        <v>2283</v>
      </c>
      <c r="CV3320" t="s">
        <v>2342</v>
      </c>
      <c r="CW3320" t="s">
        <v>2393</v>
      </c>
      <c r="CX3320" t="s">
        <v>1916</v>
      </c>
      <c r="CY3320" t="s">
        <v>1569</v>
      </c>
      <c r="CZ3320" t="s">
        <v>1804</v>
      </c>
      <c r="DA3320" s="459" t="s">
        <v>885</v>
      </c>
      <c r="DB3320" s="459" t="s">
        <v>885</v>
      </c>
      <c r="DC3320" s="459" t="s">
        <v>885</v>
      </c>
      <c r="DD3320" s="459" t="s">
        <v>885</v>
      </c>
      <c r="DE3320" t="s">
        <v>1743</v>
      </c>
      <c r="DF3320" t="s">
        <v>1462</v>
      </c>
      <c r="DG3320" t="s">
        <v>2702</v>
      </c>
      <c r="DH3320" t="s">
        <v>1466</v>
      </c>
      <c r="DI3320" t="s">
        <v>2765</v>
      </c>
      <c r="DJ3320" s="459" t="s">
        <v>885</v>
      </c>
      <c r="DK3320" t="s">
        <v>2824</v>
      </c>
      <c r="DL3320" s="459" t="s">
        <v>885</v>
      </c>
      <c r="DM3320" t="s">
        <v>1940</v>
      </c>
      <c r="DN3320" t="s">
        <v>1470</v>
      </c>
      <c r="DO3320" t="s">
        <v>1464</v>
      </c>
      <c r="DP3320" t="s">
        <v>2957</v>
      </c>
      <c r="DQ3320" s="459" t="s">
        <v>885</v>
      </c>
      <c r="DR3320" s="459" t="s">
        <v>885</v>
      </c>
      <c r="DS3320" t="s">
        <v>3140</v>
      </c>
      <c r="DT3320" s="459" t="s">
        <v>885</v>
      </c>
      <c r="DU3320" t="s">
        <v>1743</v>
      </c>
      <c r="DV3320" t="s">
        <v>2294</v>
      </c>
      <c r="DW3320" s="245" t="s">
        <v>885</v>
      </c>
      <c r="DX3320" s="245" t="s">
        <v>885</v>
      </c>
      <c r="DY3320" s="245"/>
      <c r="DZ3320" s="470" t="str">
        <f t="shared" si="162"/>
        <v/>
      </c>
      <c r="EA3320" s="470" t="str">
        <f t="shared" si="163"/>
        <v/>
      </c>
      <c r="EB3320" t="s">
        <v>3313</v>
      </c>
      <c r="EC3320" s="471" t="s">
        <v>3283</v>
      </c>
      <c r="EH3320" t="str">
        <f>EH3315</f>
        <v>Kyle Hunter</v>
      </c>
      <c r="EI3320" s="473" t="s">
        <v>3294</v>
      </c>
      <c r="EJ3320" t="s">
        <v>3410</v>
      </c>
      <c r="EK3320" s="473" t="s">
        <v>3294</v>
      </c>
      <c r="EL3320" t="s">
        <v>3448</v>
      </c>
      <c r="EM3320" s="473" t="s">
        <v>3283</v>
      </c>
    </row>
    <row r="3321" spans="1:143" ht="15.5" hidden="1" x14ac:dyDescent="0.35">
      <c r="A3321" s="417" t="s">
        <v>1210</v>
      </c>
      <c r="B3321" s="418" t="s">
        <v>1211</v>
      </c>
      <c r="C3321" s="427">
        <f t="shared" si="166"/>
        <v>0</v>
      </c>
      <c r="D3321" s="427" t="s">
        <v>885</v>
      </c>
      <c r="E3321" s="427" t="s">
        <v>885</v>
      </c>
      <c r="G3321" s="420"/>
      <c r="H3321" s="420"/>
      <c r="I3321" s="420"/>
      <c r="J3321" s="420"/>
      <c r="K3321" s="420"/>
      <c r="L3321" s="420"/>
      <c r="M3321" s="420"/>
      <c r="N3321" s="420"/>
      <c r="O3321" s="420"/>
      <c r="P3321" s="420"/>
      <c r="Q3321" s="420"/>
      <c r="R3321" s="420"/>
      <c r="S3321" s="420"/>
      <c r="T3321" s="420"/>
      <c r="U3321" s="420"/>
      <c r="V3321" s="420"/>
      <c r="W3321" s="420"/>
      <c r="X3321" s="420"/>
      <c r="Y3321" s="420"/>
      <c r="Z3321" s="420"/>
      <c r="AA3321" s="411"/>
      <c r="AB3321" s="411" t="s">
        <v>1027</v>
      </c>
      <c r="AC3321" s="245" t="s">
        <v>885</v>
      </c>
      <c r="AD3321" s="245" t="s">
        <v>885</v>
      </c>
      <c r="AE3321" s="245" t="s">
        <v>885</v>
      </c>
      <c r="AF3321" s="245" t="s">
        <v>885</v>
      </c>
      <c r="AG3321" s="245" t="s">
        <v>885</v>
      </c>
      <c r="AH3321" s="245" t="s">
        <v>885</v>
      </c>
      <c r="AI3321" s="245" t="s">
        <v>885</v>
      </c>
      <c r="AJ3321" s="245" t="s">
        <v>885</v>
      </c>
      <c r="AK3321" s="245" t="s">
        <v>885</v>
      </c>
      <c r="AL3321" s="245" t="s">
        <v>885</v>
      </c>
      <c r="AM3321" s="245" t="s">
        <v>885</v>
      </c>
      <c r="AN3321" s="245" t="s">
        <v>885</v>
      </c>
      <c r="AO3321" s="245" t="s">
        <v>885</v>
      </c>
      <c r="AP3321" s="245" t="s">
        <v>885</v>
      </c>
      <c r="AQ3321" s="245" t="s">
        <v>885</v>
      </c>
      <c r="AR3321" s="245" t="s">
        <v>885</v>
      </c>
      <c r="AS3321" s="245" t="s">
        <v>885</v>
      </c>
      <c r="AT3321" s="245" t="s">
        <v>885</v>
      </c>
      <c r="AU3321" s="245" t="s">
        <v>885</v>
      </c>
      <c r="AV3321" s="245" t="s">
        <v>885</v>
      </c>
      <c r="AW3321" s="245" t="s">
        <v>885</v>
      </c>
      <c r="AX3321" s="48">
        <v>41</v>
      </c>
      <c r="BB3321" s="402">
        <f t="shared" ca="1" si="164"/>
        <v>0</v>
      </c>
      <c r="BF3321" s="423">
        <v>24596</v>
      </c>
      <c r="BG3321" s="415">
        <f t="shared" si="152"/>
        <v>0</v>
      </c>
      <c r="BH3321" s="415">
        <f t="shared" si="156"/>
        <v>0</v>
      </c>
      <c r="BI3321" s="365">
        <f t="shared" si="157"/>
        <v>0</v>
      </c>
      <c r="BJ3321" s="157">
        <f t="shared" si="153"/>
        <v>0</v>
      </c>
      <c r="BK3321" s="416">
        <f t="shared" si="158"/>
        <v>0</v>
      </c>
      <c r="BS3321" s="464" t="str">
        <f t="shared" si="165"/>
        <v>Kalkaska County</v>
      </c>
      <c r="BZ3321" s="48" t="s">
        <v>1471</v>
      </c>
      <c r="CA3321" s="245" t="s">
        <v>885</v>
      </c>
      <c r="CB3321" s="245" t="s">
        <v>885</v>
      </c>
      <c r="CC3321" t="s">
        <v>1557</v>
      </c>
      <c r="CD3321" t="s">
        <v>1623</v>
      </c>
      <c r="CE3321" t="s">
        <v>1675</v>
      </c>
      <c r="CF3321" s="245" t="s">
        <v>885</v>
      </c>
      <c r="CG3321" s="245" t="s">
        <v>885</v>
      </c>
      <c r="CH3321" s="245" t="s">
        <v>885</v>
      </c>
      <c r="CI3321" t="s">
        <v>1477</v>
      </c>
      <c r="CJ3321" t="s">
        <v>1783</v>
      </c>
      <c r="CK3321" s="459" t="s">
        <v>885</v>
      </c>
      <c r="CL3321" t="s">
        <v>1897</v>
      </c>
      <c r="CM3321" t="s">
        <v>1467</v>
      </c>
      <c r="CN3321" t="s">
        <v>1554</v>
      </c>
      <c r="CO3321" t="s">
        <v>1805</v>
      </c>
      <c r="CP3321" t="s">
        <v>2063</v>
      </c>
      <c r="CQ3321" t="s">
        <v>1548</v>
      </c>
      <c r="CR3321" t="s">
        <v>2202</v>
      </c>
      <c r="CS3321" s="459" t="s">
        <v>885</v>
      </c>
      <c r="CT3321" s="245" t="s">
        <v>885</v>
      </c>
      <c r="CU3321" t="s">
        <v>148</v>
      </c>
      <c r="CV3321" t="s">
        <v>1556</v>
      </c>
      <c r="CW3321" t="s">
        <v>1471</v>
      </c>
      <c r="CX3321" t="s">
        <v>1964</v>
      </c>
      <c r="CY3321" t="s">
        <v>2479</v>
      </c>
      <c r="CZ3321" t="s">
        <v>1722</v>
      </c>
      <c r="DA3321" s="459" t="s">
        <v>885</v>
      </c>
      <c r="DB3321" s="459" t="s">
        <v>885</v>
      </c>
      <c r="DC3321" s="459" t="s">
        <v>885</v>
      </c>
      <c r="DD3321" s="459" t="s">
        <v>885</v>
      </c>
      <c r="DE3321" t="s">
        <v>2602</v>
      </c>
      <c r="DF3321" t="s">
        <v>2643</v>
      </c>
      <c r="DG3321" t="s">
        <v>2703</v>
      </c>
      <c r="DH3321" t="s">
        <v>1467</v>
      </c>
      <c r="DI3321" t="s">
        <v>1556</v>
      </c>
      <c r="DJ3321" s="459" t="s">
        <v>885</v>
      </c>
      <c r="DK3321" t="s">
        <v>2825</v>
      </c>
      <c r="DL3321" s="459" t="s">
        <v>885</v>
      </c>
      <c r="DM3321" t="s">
        <v>2863</v>
      </c>
      <c r="DN3321" t="s">
        <v>1556</v>
      </c>
      <c r="DO3321" t="s">
        <v>2133</v>
      </c>
      <c r="DP3321" t="s">
        <v>2958</v>
      </c>
      <c r="DQ3321" s="459" t="s">
        <v>885</v>
      </c>
      <c r="DR3321" s="459" t="s">
        <v>885</v>
      </c>
      <c r="DS3321" t="s">
        <v>3141</v>
      </c>
      <c r="DT3321" s="459" t="s">
        <v>885</v>
      </c>
      <c r="DU3321" t="s">
        <v>3231</v>
      </c>
      <c r="DV3321" t="s">
        <v>3254</v>
      </c>
      <c r="DW3321" s="245" t="s">
        <v>885</v>
      </c>
      <c r="DX3321" s="245" t="s">
        <v>885</v>
      </c>
      <c r="DY3321" s="245"/>
      <c r="DZ3321" s="470" t="str">
        <f t="shared" si="162"/>
        <v/>
      </c>
      <c r="EA3321" s="470" t="str">
        <f t="shared" si="163"/>
        <v/>
      </c>
      <c r="EB3321" t="s">
        <v>3314</v>
      </c>
      <c r="EC3321" s="471" t="s">
        <v>3283</v>
      </c>
      <c r="EH3321" t="str">
        <f>EH3311</f>
        <v>Bryan Chesshir</v>
      </c>
      <c r="EI3321" s="473" t="s">
        <v>3294</v>
      </c>
      <c r="EJ3321" t="s">
        <v>3411</v>
      </c>
      <c r="EK3321" s="473" t="s">
        <v>3294</v>
      </c>
      <c r="EL3321" t="str">
        <f>EL3293</f>
        <v>Alonzo C. Payne</v>
      </c>
      <c r="EM3321" s="473" t="str">
        <f>EM3293</f>
        <v>D</v>
      </c>
    </row>
    <row r="3322" spans="1:143" ht="15.5" hidden="1" x14ac:dyDescent="0.35">
      <c r="A3322" s="417" t="s">
        <v>1212</v>
      </c>
      <c r="B3322" s="418" t="s">
        <v>1213</v>
      </c>
      <c r="C3322" s="427">
        <f t="shared" si="166"/>
        <v>0</v>
      </c>
      <c r="D3322" s="427" t="s">
        <v>885</v>
      </c>
      <c r="E3322" s="427" t="s">
        <v>885</v>
      </c>
      <c r="G3322" s="420"/>
      <c r="H3322" s="420"/>
      <c r="I3322" s="420"/>
      <c r="J3322" s="420"/>
      <c r="K3322" s="420"/>
      <c r="L3322" s="420"/>
      <c r="M3322" s="420"/>
      <c r="N3322" s="420"/>
      <c r="O3322" s="420"/>
      <c r="P3322" s="420"/>
      <c r="Q3322" s="420"/>
      <c r="R3322" s="420"/>
      <c r="S3322" s="420"/>
      <c r="T3322" s="420"/>
      <c r="U3322" s="420"/>
      <c r="V3322" s="420"/>
      <c r="W3322" s="420"/>
      <c r="X3322" s="420"/>
      <c r="Y3322" s="420"/>
      <c r="Z3322" s="420"/>
      <c r="AA3322" s="411"/>
      <c r="AB3322" s="411" t="s">
        <v>1027</v>
      </c>
      <c r="AC3322" s="245" t="s">
        <v>885</v>
      </c>
      <c r="AD3322" s="245" t="s">
        <v>885</v>
      </c>
      <c r="AE3322" s="245" t="s">
        <v>885</v>
      </c>
      <c r="AF3322" s="245" t="s">
        <v>885</v>
      </c>
      <c r="AG3322" s="245" t="s">
        <v>885</v>
      </c>
      <c r="AH3322" s="245" t="s">
        <v>885</v>
      </c>
      <c r="AI3322" s="245" t="s">
        <v>885</v>
      </c>
      <c r="AJ3322" s="245" t="s">
        <v>885</v>
      </c>
      <c r="AK3322" s="245" t="s">
        <v>885</v>
      </c>
      <c r="AL3322" s="245" t="s">
        <v>885</v>
      </c>
      <c r="AM3322" s="245" t="s">
        <v>885</v>
      </c>
      <c r="AN3322" s="245" t="s">
        <v>885</v>
      </c>
      <c r="AO3322" s="245" t="s">
        <v>885</v>
      </c>
      <c r="AP3322" s="245" t="s">
        <v>885</v>
      </c>
      <c r="AQ3322" s="245" t="s">
        <v>885</v>
      </c>
      <c r="AR3322" s="245" t="s">
        <v>885</v>
      </c>
      <c r="AS3322" s="245" t="s">
        <v>885</v>
      </c>
      <c r="AT3322" s="245" t="s">
        <v>885</v>
      </c>
      <c r="AU3322" s="245" t="s">
        <v>885</v>
      </c>
      <c r="AV3322" s="245" t="s">
        <v>885</v>
      </c>
      <c r="AW3322" s="245" t="s">
        <v>885</v>
      </c>
      <c r="AX3322" s="48">
        <v>42</v>
      </c>
      <c r="BB3322" s="402">
        <f t="shared" ca="1" si="164"/>
        <v>0</v>
      </c>
      <c r="BF3322" s="423">
        <v>26959</v>
      </c>
      <c r="BG3322" s="415">
        <f t="shared" si="152"/>
        <v>0</v>
      </c>
      <c r="BH3322" s="415">
        <f t="shared" si="156"/>
        <v>0</v>
      </c>
      <c r="BI3322" s="365">
        <f t="shared" si="157"/>
        <v>0</v>
      </c>
      <c r="BJ3322" s="157">
        <f t="shared" si="153"/>
        <v>0</v>
      </c>
      <c r="BK3322" s="416">
        <f t="shared" si="158"/>
        <v>0</v>
      </c>
      <c r="BS3322" s="464" t="str">
        <f t="shared" si="165"/>
        <v>Kent County</v>
      </c>
      <c r="BZ3322" s="48" t="s">
        <v>1472</v>
      </c>
      <c r="CA3322" s="245" t="s">
        <v>885</v>
      </c>
      <c r="CB3322" s="245" t="s">
        <v>885</v>
      </c>
      <c r="CC3322" t="s">
        <v>1558</v>
      </c>
      <c r="CD3322" t="s">
        <v>1624</v>
      </c>
      <c r="CE3322" t="s">
        <v>1676</v>
      </c>
      <c r="CF3322" s="245" t="s">
        <v>885</v>
      </c>
      <c r="CG3322" s="245" t="s">
        <v>885</v>
      </c>
      <c r="CH3322" s="245" t="s">
        <v>885</v>
      </c>
      <c r="CI3322" t="s">
        <v>1734</v>
      </c>
      <c r="CJ3322" t="s">
        <v>1784</v>
      </c>
      <c r="CK3322" s="459" t="s">
        <v>885</v>
      </c>
      <c r="CL3322" t="s">
        <v>1898</v>
      </c>
      <c r="CM3322" t="s">
        <v>1920</v>
      </c>
      <c r="CN3322" t="s">
        <v>1925</v>
      </c>
      <c r="CO3322" t="s">
        <v>1917</v>
      </c>
      <c r="CP3322" t="s">
        <v>2064</v>
      </c>
      <c r="CQ3322" t="s">
        <v>2128</v>
      </c>
      <c r="CR3322" t="s">
        <v>2203</v>
      </c>
      <c r="CS3322" s="459" t="s">
        <v>885</v>
      </c>
      <c r="CT3322" s="245" t="s">
        <v>885</v>
      </c>
      <c r="CU3322" t="s">
        <v>2284</v>
      </c>
      <c r="CV3322" t="s">
        <v>2019</v>
      </c>
      <c r="CW3322" t="s">
        <v>2394</v>
      </c>
      <c r="CX3322" t="s">
        <v>1464</v>
      </c>
      <c r="CY3322" t="s">
        <v>1940</v>
      </c>
      <c r="CZ3322" t="s">
        <v>2132</v>
      </c>
      <c r="DA3322" s="459" t="s">
        <v>885</v>
      </c>
      <c r="DB3322" s="459" t="s">
        <v>885</v>
      </c>
      <c r="DC3322" s="459" t="s">
        <v>885</v>
      </c>
      <c r="DD3322" s="459" t="s">
        <v>885</v>
      </c>
      <c r="DE3322" t="s">
        <v>2603</v>
      </c>
      <c r="DF3322" t="s">
        <v>2644</v>
      </c>
      <c r="DG3322" t="s">
        <v>2093</v>
      </c>
      <c r="DH3322" t="s">
        <v>1925</v>
      </c>
      <c r="DI3322" t="s">
        <v>1558</v>
      </c>
      <c r="DJ3322" s="459" t="s">
        <v>885</v>
      </c>
      <c r="DK3322" t="s">
        <v>2826</v>
      </c>
      <c r="DL3322" s="459" t="s">
        <v>885</v>
      </c>
      <c r="DM3322" t="s">
        <v>2864</v>
      </c>
      <c r="DN3322" t="s">
        <v>2888</v>
      </c>
      <c r="DO3322" t="s">
        <v>1465</v>
      </c>
      <c r="DP3322" t="s">
        <v>2959</v>
      </c>
      <c r="DQ3322" s="459" t="s">
        <v>885</v>
      </c>
      <c r="DR3322" s="459" t="s">
        <v>885</v>
      </c>
      <c r="DS3322" t="s">
        <v>1795</v>
      </c>
      <c r="DT3322" s="459" t="s">
        <v>885</v>
      </c>
      <c r="DU3322" t="s">
        <v>1486</v>
      </c>
      <c r="DV3322" t="s">
        <v>1480</v>
      </c>
      <c r="DW3322" s="245" t="s">
        <v>885</v>
      </c>
      <c r="DX3322" s="245" t="s">
        <v>885</v>
      </c>
      <c r="DY3322" s="245"/>
      <c r="DZ3322" s="470" t="str">
        <f t="shared" si="162"/>
        <v/>
      </c>
      <c r="EA3322" s="470" t="str">
        <f t="shared" si="163"/>
        <v/>
      </c>
      <c r="EB3322" t="s">
        <v>3315</v>
      </c>
      <c r="EC3322" s="471" t="s">
        <v>3283</v>
      </c>
      <c r="EH3322" t="str">
        <f>EH3295</f>
        <v>Tom Tatum II</v>
      </c>
      <c r="EI3322" s="473" t="s">
        <v>3294</v>
      </c>
      <c r="EJ3322" t="s">
        <v>3412</v>
      </c>
      <c r="EK3322" s="473" t="s">
        <v>3294</v>
      </c>
      <c r="EL3322" t="str">
        <f>EL3306</f>
        <v>Matthew Karzen</v>
      </c>
      <c r="EM3322" s="473" t="str">
        <f>EM3306</f>
        <v>I</v>
      </c>
    </row>
    <row r="3323" spans="1:143" ht="15.5" hidden="1" x14ac:dyDescent="0.35">
      <c r="A3323" s="417" t="s">
        <v>1214</v>
      </c>
      <c r="B3323" s="418" t="s">
        <v>1215</v>
      </c>
      <c r="C3323" s="427">
        <f t="shared" si="166"/>
        <v>0</v>
      </c>
      <c r="D3323" s="419">
        <v>1000000</v>
      </c>
      <c r="G3323" s="420"/>
      <c r="H3323" s="420"/>
      <c r="I3323" s="420"/>
      <c r="J3323" s="420"/>
      <c r="K3323" s="420"/>
      <c r="L3323" s="420"/>
      <c r="M3323" s="420"/>
      <c r="N3323" s="420"/>
      <c r="O3323" s="420"/>
      <c r="P3323" s="420"/>
      <c r="Q3323" s="420"/>
      <c r="R3323" s="420"/>
      <c r="S3323" s="420"/>
      <c r="T3323" s="420"/>
      <c r="U3323" s="420"/>
      <c r="V3323" s="420"/>
      <c r="W3323" s="420"/>
      <c r="X3323" s="420"/>
      <c r="Y3323" s="420"/>
      <c r="Z3323" s="420"/>
      <c r="AB3323" s="48" t="s">
        <v>1216</v>
      </c>
      <c r="AC3323" s="245" t="s">
        <v>885</v>
      </c>
      <c r="AD3323" s="48" t="s">
        <v>1174</v>
      </c>
      <c r="AF3323" s="421">
        <v>1</v>
      </c>
      <c r="AG3323" s="48">
        <v>1</v>
      </c>
      <c r="AH3323" s="48" t="s">
        <v>1217</v>
      </c>
      <c r="AI3323" s="48" t="str">
        <f>CONCATENATE(AG3323,AH3323)</f>
        <v>1 year</v>
      </c>
      <c r="AK3323" s="48" t="s">
        <v>1047</v>
      </c>
      <c r="AO3323" s="48" t="s">
        <v>1218</v>
      </c>
      <c r="AR3323" s="245" t="s">
        <v>885</v>
      </c>
      <c r="AS3323" s="48" t="s">
        <v>1049</v>
      </c>
      <c r="AW3323" s="245" t="s">
        <v>885</v>
      </c>
      <c r="AX3323" s="48">
        <v>43</v>
      </c>
      <c r="BB3323" s="402">
        <f ca="1">MIN(((C3329*$AE$321)+($AE$330*G3323)),D3323)</f>
        <v>0</v>
      </c>
      <c r="BF3323" s="423">
        <v>24922</v>
      </c>
      <c r="BG3323" s="415">
        <f t="shared" si="152"/>
        <v>0</v>
      </c>
      <c r="BH3323" s="415">
        <f t="shared" si="156"/>
        <v>0</v>
      </c>
      <c r="BI3323" s="365">
        <f t="shared" si="157"/>
        <v>0</v>
      </c>
      <c r="BJ3323" s="157">
        <f t="shared" si="153"/>
        <v>0</v>
      </c>
      <c r="BK3323" s="416">
        <f t="shared" si="158"/>
        <v>0</v>
      </c>
      <c r="BN3323" s="1107">
        <f t="shared" ref="BN3323:BN3330" si="167">IF(OR($AC$1127=0,$C$1153="",C$1129=AG$1129),0,$C$1153*$C$1129)</f>
        <v>600000</v>
      </c>
      <c r="BO3323" s="927"/>
      <c r="BP3323" s="927"/>
      <c r="BQ3323" s="927"/>
      <c r="BS3323" s="464" t="str">
        <f t="shared" si="165"/>
        <v>Keweenaw County</v>
      </c>
      <c r="BZ3323" s="48" t="s">
        <v>1473</v>
      </c>
      <c r="CA3323" s="245" t="s">
        <v>885</v>
      </c>
      <c r="CB3323" s="245" t="s">
        <v>885</v>
      </c>
      <c r="CC3323" t="s">
        <v>1559</v>
      </c>
      <c r="CD3323" t="s">
        <v>1625</v>
      </c>
      <c r="CE3323" t="s">
        <v>1677</v>
      </c>
      <c r="CF3323" s="245" t="s">
        <v>885</v>
      </c>
      <c r="CG3323" s="245" t="s">
        <v>885</v>
      </c>
      <c r="CH3323" s="245" t="s">
        <v>885</v>
      </c>
      <c r="CI3323" t="s">
        <v>1735</v>
      </c>
      <c r="CJ3323" t="s">
        <v>1785</v>
      </c>
      <c r="CK3323" s="459" t="s">
        <v>885</v>
      </c>
      <c r="CL3323" t="s">
        <v>1899</v>
      </c>
      <c r="CM3323" t="s">
        <v>1921</v>
      </c>
      <c r="CN3323" t="s">
        <v>1969</v>
      </c>
      <c r="CO3323" t="s">
        <v>1964</v>
      </c>
      <c r="CP3323" t="s">
        <v>1466</v>
      </c>
      <c r="CQ3323" t="s">
        <v>2129</v>
      </c>
      <c r="CR3323" t="s">
        <v>2204</v>
      </c>
      <c r="CS3323" s="459" t="s">
        <v>885</v>
      </c>
      <c r="CT3323" s="245" t="s">
        <v>885</v>
      </c>
      <c r="CU3323" t="s">
        <v>1600</v>
      </c>
      <c r="CV3323" t="s">
        <v>2343</v>
      </c>
      <c r="CW3323" t="s">
        <v>1556</v>
      </c>
      <c r="CX3323" t="s">
        <v>2426</v>
      </c>
      <c r="CY3323" t="s">
        <v>2480</v>
      </c>
      <c r="CZ3323" t="s">
        <v>2509</v>
      </c>
      <c r="DA3323" s="459" t="s">
        <v>885</v>
      </c>
      <c r="DB3323" s="459" t="s">
        <v>885</v>
      </c>
      <c r="DC3323" s="459" t="s">
        <v>885</v>
      </c>
      <c r="DD3323" s="459" t="s">
        <v>885</v>
      </c>
      <c r="DE3323" t="s">
        <v>1832</v>
      </c>
      <c r="DF3323" t="s">
        <v>2645</v>
      </c>
      <c r="DG3323" t="s">
        <v>2033</v>
      </c>
      <c r="DH3323" t="s">
        <v>1600</v>
      </c>
      <c r="DI3323" t="s">
        <v>2766</v>
      </c>
      <c r="DJ3323" s="459" t="s">
        <v>885</v>
      </c>
      <c r="DK3323" t="s">
        <v>1935</v>
      </c>
      <c r="DL3323" s="459" t="s">
        <v>885</v>
      </c>
      <c r="DM3323" t="s">
        <v>1490</v>
      </c>
      <c r="DN3323" t="s">
        <v>1478</v>
      </c>
      <c r="DO3323" t="s">
        <v>2388</v>
      </c>
      <c r="DP3323" t="s">
        <v>2960</v>
      </c>
      <c r="DQ3323" s="459" t="s">
        <v>885</v>
      </c>
      <c r="DR3323" s="459" t="s">
        <v>885</v>
      </c>
      <c r="DS3323" t="s">
        <v>3142</v>
      </c>
      <c r="DT3323" s="459" t="s">
        <v>885</v>
      </c>
      <c r="DU3323" t="s">
        <v>3232</v>
      </c>
      <c r="DV3323" t="s">
        <v>3255</v>
      </c>
      <c r="DW3323" s="245" t="s">
        <v>885</v>
      </c>
      <c r="DX3323" s="245" t="s">
        <v>885</v>
      </c>
      <c r="DY3323" s="245"/>
      <c r="DZ3323" s="470" t="str">
        <f t="shared" si="162"/>
        <v/>
      </c>
      <c r="EA3323" s="470" t="str">
        <f t="shared" si="163"/>
        <v/>
      </c>
      <c r="EB3323" t="str">
        <f>EB3287</f>
        <v>Charlotte M. Tesmer</v>
      </c>
      <c r="EC3323" t="str">
        <f>EC3287</f>
        <v>D</v>
      </c>
      <c r="EH3323" t="s">
        <v>3364</v>
      </c>
      <c r="EI3323" s="473" t="s">
        <v>3294</v>
      </c>
      <c r="EJ3323" t="s">
        <v>3413</v>
      </c>
      <c r="EK3323" s="473" t="s">
        <v>3294</v>
      </c>
      <c r="EL3323" t="str">
        <f>EL3298</f>
        <v>Matthew G. Margeson</v>
      </c>
      <c r="EM3323" s="473" t="str">
        <f>EM3298</f>
        <v>R</v>
      </c>
    </row>
    <row r="3324" spans="1:143" ht="15.5" hidden="1" x14ac:dyDescent="0.35">
      <c r="A3324" s="417" t="s">
        <v>1219</v>
      </c>
      <c r="B3324" s="418" t="s">
        <v>1220</v>
      </c>
      <c r="C3324" s="419">
        <v>80000</v>
      </c>
      <c r="D3324" s="427" t="s">
        <v>885</v>
      </c>
      <c r="G3324" s="420"/>
      <c r="H3324" s="420"/>
      <c r="I3324" s="420"/>
      <c r="J3324" s="420"/>
      <c r="K3324" s="420"/>
      <c r="L3324" s="420"/>
      <c r="M3324" s="420"/>
      <c r="N3324" s="420"/>
      <c r="O3324" s="420"/>
      <c r="P3324" s="420"/>
      <c r="Q3324" s="420"/>
      <c r="R3324" s="420"/>
      <c r="S3324" s="420"/>
      <c r="T3324" s="420"/>
      <c r="U3324" s="420"/>
      <c r="V3324" s="420"/>
      <c r="W3324" s="420"/>
      <c r="X3324" s="420"/>
      <c r="Y3324" s="420"/>
      <c r="Z3324" s="420"/>
      <c r="AB3324" s="48" t="s">
        <v>1221</v>
      </c>
      <c r="AC3324" s="245" t="s">
        <v>885</v>
      </c>
      <c r="AD3324" s="48" t="s">
        <v>1222</v>
      </c>
      <c r="AF3324" s="421"/>
      <c r="AG3324" s="48">
        <v>3</v>
      </c>
      <c r="AH3324" s="48" t="s">
        <v>1046</v>
      </c>
      <c r="AI3324" s="48" t="str">
        <f>CONCATENATE(AG3324,AH3324)</f>
        <v>3 years</v>
      </c>
      <c r="AK3324" s="48" t="s">
        <v>1112</v>
      </c>
      <c r="AO3324" s="48" t="s">
        <v>1223</v>
      </c>
      <c r="AR3324" s="245" t="s">
        <v>885</v>
      </c>
      <c r="AS3324" s="48" t="s">
        <v>1224</v>
      </c>
      <c r="AW3324" s="245" t="s">
        <v>885</v>
      </c>
      <c r="AX3324" s="48">
        <v>44</v>
      </c>
      <c r="BB3324" s="402">
        <f ca="1">MIN(((C3324*$AE$321)+($AE$330*G3324)),D3324)</f>
        <v>960000</v>
      </c>
      <c r="BF3324" s="423">
        <v>27125</v>
      </c>
      <c r="BG3324" s="415">
        <f t="shared" si="152"/>
        <v>0</v>
      </c>
      <c r="BH3324" s="415">
        <f t="shared" si="156"/>
        <v>0</v>
      </c>
      <c r="BI3324" s="365">
        <f t="shared" si="157"/>
        <v>0</v>
      </c>
      <c r="BJ3324" s="157">
        <f t="shared" si="153"/>
        <v>0</v>
      </c>
      <c r="BK3324" s="416">
        <f t="shared" si="158"/>
        <v>0</v>
      </c>
      <c r="BN3324" s="1107">
        <f t="shared" si="167"/>
        <v>600000</v>
      </c>
      <c r="BO3324" s="927"/>
      <c r="BP3324" s="927"/>
      <c r="BQ3324" s="927"/>
      <c r="BS3324" s="464" t="str">
        <f t="shared" si="165"/>
        <v>Lake County</v>
      </c>
      <c r="BZ3324" s="48" t="s">
        <v>1474</v>
      </c>
      <c r="CA3324" s="245" t="s">
        <v>885</v>
      </c>
      <c r="CB3324" s="245" t="s">
        <v>885</v>
      </c>
      <c r="CC3324" t="s">
        <v>1475</v>
      </c>
      <c r="CD3324" t="s">
        <v>1428</v>
      </c>
      <c r="CE3324" t="s">
        <v>1678</v>
      </c>
      <c r="CF3324" s="245" t="s">
        <v>885</v>
      </c>
      <c r="CG3324" s="245" t="s">
        <v>885</v>
      </c>
      <c r="CH3324" s="245" t="s">
        <v>885</v>
      </c>
      <c r="CI3324" t="s">
        <v>1480</v>
      </c>
      <c r="CJ3324" t="s">
        <v>1455</v>
      </c>
      <c r="CK3324" s="459" t="s">
        <v>885</v>
      </c>
      <c r="CL3324" t="s">
        <v>1495</v>
      </c>
      <c r="CM3324" t="s">
        <v>1554</v>
      </c>
      <c r="CN3324" t="s">
        <v>1970</v>
      </c>
      <c r="CO3324" t="s">
        <v>1464</v>
      </c>
      <c r="CP3324" t="s">
        <v>1467</v>
      </c>
      <c r="CQ3324" t="s">
        <v>2130</v>
      </c>
      <c r="CR3324" t="s">
        <v>2205</v>
      </c>
      <c r="CS3324" s="459" t="s">
        <v>885</v>
      </c>
      <c r="CT3324" s="245" t="s">
        <v>885</v>
      </c>
      <c r="CU3324" t="s">
        <v>2285</v>
      </c>
      <c r="CV3324" t="s">
        <v>2344</v>
      </c>
      <c r="CW3324" t="s">
        <v>1473</v>
      </c>
      <c r="CX3324" t="s">
        <v>2427</v>
      </c>
      <c r="CY3324" t="s">
        <v>2481</v>
      </c>
      <c r="CZ3324" t="s">
        <v>2510</v>
      </c>
      <c r="DA3324" s="459" t="s">
        <v>885</v>
      </c>
      <c r="DB3324" s="459" t="s">
        <v>885</v>
      </c>
      <c r="DC3324" s="459" t="s">
        <v>885</v>
      </c>
      <c r="DD3324" s="459" t="s">
        <v>885</v>
      </c>
      <c r="DE3324" t="s">
        <v>2604</v>
      </c>
      <c r="DF3324" t="s">
        <v>2646</v>
      </c>
      <c r="DG3324" t="s">
        <v>2704</v>
      </c>
      <c r="DH3324" t="s">
        <v>1470</v>
      </c>
      <c r="DI3324" t="s">
        <v>2767</v>
      </c>
      <c r="DJ3324" s="459" t="s">
        <v>885</v>
      </c>
      <c r="DK3324" t="s">
        <v>2827</v>
      </c>
      <c r="DL3324" s="459" t="s">
        <v>885</v>
      </c>
      <c r="DM3324" t="s">
        <v>1579</v>
      </c>
      <c r="DN3324" t="s">
        <v>2889</v>
      </c>
      <c r="DO3324" t="s">
        <v>1466</v>
      </c>
      <c r="DP3324" t="s">
        <v>2961</v>
      </c>
      <c r="DQ3324" s="459" t="s">
        <v>885</v>
      </c>
      <c r="DR3324" s="459" t="s">
        <v>885</v>
      </c>
      <c r="DS3324" t="s">
        <v>3143</v>
      </c>
      <c r="DT3324" s="459" t="s">
        <v>885</v>
      </c>
      <c r="DU3324" t="s">
        <v>2925</v>
      </c>
      <c r="DV3324" t="s">
        <v>1892</v>
      </c>
      <c r="DW3324" s="245" t="s">
        <v>885</v>
      </c>
      <c r="DX3324" s="245" t="s">
        <v>885</v>
      </c>
      <c r="DY3324" s="245"/>
      <c r="DZ3324" s="470" t="str">
        <f t="shared" si="162"/>
        <v/>
      </c>
      <c r="EA3324" s="470" t="str">
        <f t="shared" si="163"/>
        <v/>
      </c>
      <c r="EB3324" t="str">
        <f>EB3289</f>
        <v>Douglas Jeremy Duerr</v>
      </c>
      <c r="EC3324" t="str">
        <f>EC3289</f>
        <v>n</v>
      </c>
      <c r="EH3324" t="s">
        <v>3365</v>
      </c>
      <c r="EI3324" s="473" t="s">
        <v>3294</v>
      </c>
      <c r="EJ3324" t="s">
        <v>3414</v>
      </c>
      <c r="EK3324" s="473" t="s">
        <v>3294</v>
      </c>
      <c r="EL3324" t="str">
        <f>EL3308</f>
        <v>Seth D. Ryan</v>
      </c>
      <c r="EM3324" s="473" t="str">
        <f>EM3308</f>
        <v>R</v>
      </c>
    </row>
    <row r="3325" spans="1:143" ht="15.5" hidden="1" x14ac:dyDescent="0.35">
      <c r="A3325" s="417" t="s">
        <v>1225</v>
      </c>
      <c r="B3325" s="418" t="s">
        <v>1226</v>
      </c>
      <c r="C3325" s="450" t="s">
        <v>885</v>
      </c>
      <c r="D3325" s="433">
        <f>65977*15</f>
        <v>989655</v>
      </c>
      <c r="G3325" s="420"/>
      <c r="H3325" s="420"/>
      <c r="I3325" s="420"/>
      <c r="J3325" s="420"/>
      <c r="K3325" s="420"/>
      <c r="L3325" s="420"/>
      <c r="M3325" s="420"/>
      <c r="N3325" s="420"/>
      <c r="O3325" s="420"/>
      <c r="P3325" s="420"/>
      <c r="Q3325" s="420"/>
      <c r="R3325" s="420"/>
      <c r="S3325" s="420"/>
      <c r="T3325" s="420"/>
      <c r="U3325" s="420"/>
      <c r="V3325" s="420"/>
      <c r="W3325" s="420"/>
      <c r="X3325" s="420"/>
      <c r="Y3325" s="420"/>
      <c r="Z3325" s="420"/>
      <c r="AB3325" s="48" t="s">
        <v>1227</v>
      </c>
      <c r="AC3325" s="245" t="s">
        <v>885</v>
      </c>
      <c r="AD3325" s="48" t="s">
        <v>1228</v>
      </c>
      <c r="AF3325" s="421">
        <v>1</v>
      </c>
      <c r="AI3325" s="48" t="str">
        <f>AI3306</f>
        <v>2 years</v>
      </c>
      <c r="AK3325" s="48" t="s">
        <v>1112</v>
      </c>
      <c r="AO3325" s="48" t="s">
        <v>1229</v>
      </c>
      <c r="AR3325" s="245" t="s">
        <v>885</v>
      </c>
      <c r="AS3325" s="48" t="s">
        <v>1164</v>
      </c>
      <c r="AW3325" s="245" t="s">
        <v>885</v>
      </c>
      <c r="AX3325" s="48">
        <v>45</v>
      </c>
      <c r="BB3325" s="402">
        <f>D3325</f>
        <v>989655</v>
      </c>
      <c r="BF3325" s="423">
        <v>24877</v>
      </c>
      <c r="BG3325" s="415">
        <f t="shared" si="152"/>
        <v>0</v>
      </c>
      <c r="BH3325" s="415">
        <f t="shared" si="156"/>
        <v>0</v>
      </c>
      <c r="BI3325" s="365">
        <f t="shared" si="157"/>
        <v>0</v>
      </c>
      <c r="BJ3325" s="157">
        <f t="shared" si="153"/>
        <v>0</v>
      </c>
      <c r="BK3325" s="416">
        <f t="shared" si="158"/>
        <v>0</v>
      </c>
      <c r="BN3325" s="1107">
        <f t="shared" si="167"/>
        <v>600000</v>
      </c>
      <c r="BO3325" s="927"/>
      <c r="BP3325" s="927"/>
      <c r="BQ3325" s="927"/>
      <c r="BS3325" s="464" t="str">
        <f t="shared" si="165"/>
        <v>Lapeer County</v>
      </c>
      <c r="BZ3325" s="48" t="s">
        <v>1475</v>
      </c>
      <c r="CA3325" s="245" t="s">
        <v>885</v>
      </c>
      <c r="CB3325" s="245" t="s">
        <v>885</v>
      </c>
      <c r="CC3325" t="s">
        <v>1477</v>
      </c>
      <c r="CD3325" t="s">
        <v>1626</v>
      </c>
      <c r="CE3325" t="s">
        <v>1482</v>
      </c>
      <c r="CF3325" s="245" t="s">
        <v>885</v>
      </c>
      <c r="CG3325" s="245" t="s">
        <v>885</v>
      </c>
      <c r="CH3325" s="245" t="s">
        <v>885</v>
      </c>
      <c r="CI3325" t="s">
        <v>1736</v>
      </c>
      <c r="CJ3325" t="s">
        <v>1786</v>
      </c>
      <c r="CK3325" s="459" t="s">
        <v>885</v>
      </c>
      <c r="CL3325" s="459" t="s">
        <v>885</v>
      </c>
      <c r="CM3325" t="s">
        <v>1922</v>
      </c>
      <c r="CN3325" t="s">
        <v>1600</v>
      </c>
      <c r="CO3325" t="s">
        <v>1551</v>
      </c>
      <c r="CP3325" t="s">
        <v>2065</v>
      </c>
      <c r="CQ3325" t="s">
        <v>2131</v>
      </c>
      <c r="CR3325" t="s">
        <v>2206</v>
      </c>
      <c r="CS3325" s="459" t="s">
        <v>885</v>
      </c>
      <c r="CT3325" s="245" t="s">
        <v>885</v>
      </c>
      <c r="CU3325" t="s">
        <v>2286</v>
      </c>
      <c r="CV3325" t="s">
        <v>1478</v>
      </c>
      <c r="CW3325" t="s">
        <v>1475</v>
      </c>
      <c r="CX3325" t="s">
        <v>1551</v>
      </c>
      <c r="CY3325" t="s">
        <v>2482</v>
      </c>
      <c r="CZ3325" t="s">
        <v>2427</v>
      </c>
      <c r="DA3325" s="459" t="s">
        <v>885</v>
      </c>
      <c r="DB3325" s="459" t="s">
        <v>885</v>
      </c>
      <c r="DC3325" s="459" t="s">
        <v>885</v>
      </c>
      <c r="DD3325" s="459" t="s">
        <v>885</v>
      </c>
      <c r="DE3325" t="s">
        <v>2605</v>
      </c>
      <c r="DF3325" t="s">
        <v>1918</v>
      </c>
      <c r="DG3325" t="s">
        <v>1944</v>
      </c>
      <c r="DH3325" t="s">
        <v>2727</v>
      </c>
      <c r="DI3325" t="s">
        <v>1478</v>
      </c>
      <c r="DJ3325" s="459" t="s">
        <v>885</v>
      </c>
      <c r="DK3325" t="s">
        <v>1480</v>
      </c>
      <c r="DL3325" s="459" t="s">
        <v>885</v>
      </c>
      <c r="DM3325" t="s">
        <v>2865</v>
      </c>
      <c r="DN3325" t="s">
        <v>2071</v>
      </c>
      <c r="DO3325" t="s">
        <v>1467</v>
      </c>
      <c r="DP3325" t="s">
        <v>2962</v>
      </c>
      <c r="DQ3325" s="459" t="s">
        <v>885</v>
      </c>
      <c r="DR3325" s="459" t="s">
        <v>885</v>
      </c>
      <c r="DS3325" t="s">
        <v>1460</v>
      </c>
      <c r="DT3325" s="459" t="s">
        <v>885</v>
      </c>
      <c r="DU3325" t="s">
        <v>3233</v>
      </c>
      <c r="DV3325" t="s">
        <v>3256</v>
      </c>
      <c r="DW3325" s="245" t="s">
        <v>885</v>
      </c>
      <c r="DX3325" s="245" t="s">
        <v>885</v>
      </c>
      <c r="DY3325" s="245"/>
      <c r="DZ3325" s="470" t="str">
        <f t="shared" si="162"/>
        <v/>
      </c>
      <c r="EA3325" s="470" t="str">
        <f t="shared" si="163"/>
        <v/>
      </c>
      <c r="EB3325" t="s">
        <v>3316</v>
      </c>
      <c r="EC3325" s="471" t="s">
        <v>3283</v>
      </c>
      <c r="EH3325" t="str">
        <f>EH3285</f>
        <v>David Ethredge</v>
      </c>
      <c r="EI3325" s="473" t="s">
        <v>3294</v>
      </c>
      <c r="EJ3325" t="s">
        <v>3415</v>
      </c>
      <c r="EK3325" s="473" t="s">
        <v>3294</v>
      </c>
      <c r="EL3325" t="str">
        <f>EL3319</f>
        <v>Travis Sides</v>
      </c>
      <c r="EM3325" s="473" t="str">
        <f>EM3319</f>
        <v>R</v>
      </c>
    </row>
    <row r="3326" spans="1:143" ht="15.5" hidden="1" x14ac:dyDescent="0.35">
      <c r="A3326" s="417" t="s">
        <v>1230</v>
      </c>
      <c r="B3326" s="418" t="s">
        <v>1231</v>
      </c>
      <c r="C3326" s="419">
        <v>60000</v>
      </c>
      <c r="D3326" s="427" t="s">
        <v>885</v>
      </c>
      <c r="G3326" s="420"/>
      <c r="H3326" s="420"/>
      <c r="I3326" s="420"/>
      <c r="J3326" s="420"/>
      <c r="K3326" s="420"/>
      <c r="L3326" s="420"/>
      <c r="M3326" s="420"/>
      <c r="N3326" s="420"/>
      <c r="O3326" s="420"/>
      <c r="P3326" s="420"/>
      <c r="Q3326" s="420"/>
      <c r="R3326" s="420"/>
      <c r="S3326" s="420"/>
      <c r="T3326" s="420"/>
      <c r="U3326" s="420"/>
      <c r="V3326" s="420"/>
      <c r="W3326" s="420"/>
      <c r="X3326" s="420"/>
      <c r="Y3326" s="420"/>
      <c r="Z3326" s="420"/>
      <c r="AB3326" s="48" t="s">
        <v>1232</v>
      </c>
      <c r="AC3326" s="245" t="s">
        <v>885</v>
      </c>
      <c r="AD3326" s="48" t="s">
        <v>1233</v>
      </c>
      <c r="AF3326" s="421">
        <v>3</v>
      </c>
      <c r="AG3326" s="48">
        <v>3</v>
      </c>
      <c r="AH3326" s="48" t="s">
        <v>1046</v>
      </c>
      <c r="AI3326" s="48" t="str">
        <f>CONCATENATE(AG3326,AH3326)</f>
        <v>3 years</v>
      </c>
      <c r="AK3326" s="48" t="s">
        <v>1087</v>
      </c>
      <c r="AO3326" s="48" t="s">
        <v>1234</v>
      </c>
      <c r="AR3326" s="245" t="s">
        <v>885</v>
      </c>
      <c r="AS3326" s="48" t="s">
        <v>1235</v>
      </c>
      <c r="AW3326" s="245" t="s">
        <v>885</v>
      </c>
      <c r="AX3326" s="48">
        <v>46</v>
      </c>
      <c r="BB3326" s="402">
        <f ca="1">MIN(((C3326*$AE$321)+($AE$330*G3326)),D3326)</f>
        <v>720000</v>
      </c>
      <c r="BF3326" s="423">
        <v>29178</v>
      </c>
      <c r="BG3326" s="415">
        <f t="shared" si="152"/>
        <v>0</v>
      </c>
      <c r="BH3326" s="415">
        <f t="shared" si="156"/>
        <v>0</v>
      </c>
      <c r="BI3326" s="365">
        <f t="shared" si="157"/>
        <v>0</v>
      </c>
      <c r="BJ3326" s="157">
        <f t="shared" si="153"/>
        <v>0</v>
      </c>
      <c r="BK3326" s="416">
        <f t="shared" si="158"/>
        <v>0</v>
      </c>
      <c r="BN3326" s="1107">
        <f t="shared" si="167"/>
        <v>600000</v>
      </c>
      <c r="BO3326" s="927"/>
      <c r="BP3326" s="927"/>
      <c r="BQ3326" s="927"/>
      <c r="BS3326" s="464" t="str">
        <f t="shared" si="165"/>
        <v>Leelanau County</v>
      </c>
      <c r="BZ3326" s="48" t="s">
        <v>1476</v>
      </c>
      <c r="CA3326" s="245" t="s">
        <v>885</v>
      </c>
      <c r="CB3326" s="245" t="s">
        <v>885</v>
      </c>
      <c r="CC3326" t="s">
        <v>1560</v>
      </c>
      <c r="CD3326" t="s">
        <v>1627</v>
      </c>
      <c r="CE3326" t="s">
        <v>1679</v>
      </c>
      <c r="CF3326" s="245" t="s">
        <v>885</v>
      </c>
      <c r="CG3326" s="245" t="s">
        <v>885</v>
      </c>
      <c r="CH3326" s="245" t="s">
        <v>885</v>
      </c>
      <c r="CI3326" t="s">
        <v>1737</v>
      </c>
      <c r="CJ3326" t="s">
        <v>1787</v>
      </c>
      <c r="CK3326" s="459" t="s">
        <v>885</v>
      </c>
      <c r="CL3326" s="459" t="s">
        <v>885</v>
      </c>
      <c r="CM3326" t="s">
        <v>1923</v>
      </c>
      <c r="CN3326" t="s">
        <v>1971</v>
      </c>
      <c r="CO3326" t="s">
        <v>1595</v>
      </c>
      <c r="CP3326" t="s">
        <v>1554</v>
      </c>
      <c r="CQ3326" t="s">
        <v>1805</v>
      </c>
      <c r="CR3326" t="s">
        <v>2207</v>
      </c>
      <c r="CS3326" s="459" t="s">
        <v>885</v>
      </c>
      <c r="CT3326" s="245" t="s">
        <v>885</v>
      </c>
      <c r="CU3326" t="s">
        <v>2287</v>
      </c>
      <c r="CV3326" t="s">
        <v>1734</v>
      </c>
      <c r="CW3326" t="s">
        <v>1477</v>
      </c>
      <c r="CX3326" t="s">
        <v>2428</v>
      </c>
      <c r="CY3326" t="s">
        <v>2093</v>
      </c>
      <c r="CZ3326" t="s">
        <v>2511</v>
      </c>
      <c r="DA3326" s="459" t="s">
        <v>885</v>
      </c>
      <c r="DB3326" s="459" t="s">
        <v>885</v>
      </c>
      <c r="DC3326" s="459" t="s">
        <v>885</v>
      </c>
      <c r="DD3326" s="459" t="s">
        <v>885</v>
      </c>
      <c r="DE3326" t="s">
        <v>2606</v>
      </c>
      <c r="DF3326" t="s">
        <v>2647</v>
      </c>
      <c r="DG3326" t="s">
        <v>2367</v>
      </c>
      <c r="DH3326" t="s">
        <v>1558</v>
      </c>
      <c r="DI3326" t="s">
        <v>2768</v>
      </c>
      <c r="DJ3326" s="459" t="s">
        <v>885</v>
      </c>
      <c r="DK3326" t="s">
        <v>1481</v>
      </c>
      <c r="DL3326" s="459" t="s">
        <v>885</v>
      </c>
      <c r="DM3326" t="s">
        <v>2531</v>
      </c>
      <c r="DN3326" t="s">
        <v>2072</v>
      </c>
      <c r="DO3326" t="s">
        <v>1554</v>
      </c>
      <c r="DP3326" t="s">
        <v>2963</v>
      </c>
      <c r="DQ3326" s="459" t="s">
        <v>885</v>
      </c>
      <c r="DR3326" s="459" t="s">
        <v>885</v>
      </c>
      <c r="DS3326" t="s">
        <v>2235</v>
      </c>
      <c r="DT3326" s="459" t="s">
        <v>885</v>
      </c>
      <c r="DU3326" t="s">
        <v>1750</v>
      </c>
      <c r="DV3326" t="s">
        <v>3257</v>
      </c>
      <c r="DW3326" s="245" t="s">
        <v>885</v>
      </c>
      <c r="DX3326" s="245" t="s">
        <v>885</v>
      </c>
      <c r="DY3326" s="245"/>
      <c r="DZ3326" s="470" t="str">
        <f t="shared" si="162"/>
        <v/>
      </c>
      <c r="EA3326" s="470" t="str">
        <f t="shared" si="163"/>
        <v/>
      </c>
      <c r="EB3326" t="str">
        <f>EB3312</f>
        <v>Gregory S. Griggers</v>
      </c>
      <c r="EC3326" t="str">
        <f>EC3312</f>
        <v>D</v>
      </c>
      <c r="EH3326" t="str">
        <f>EH3317</f>
        <v>Stephanie Potter-Barrett</v>
      </c>
      <c r="EI3326" s="473" t="s">
        <v>3294</v>
      </c>
      <c r="EJ3326" t="s">
        <v>3416</v>
      </c>
      <c r="EK3326" s="473" t="s">
        <v>3294</v>
      </c>
      <c r="EL3326" t="str">
        <f>EL3294</f>
        <v>William Culver</v>
      </c>
      <c r="EM3326" s="473" t="str">
        <f>EM3294</f>
        <v>R</v>
      </c>
    </row>
    <row r="3327" spans="1:143" ht="15.5" hidden="1" x14ac:dyDescent="0.35">
      <c r="A3327" s="417" t="s">
        <v>1236</v>
      </c>
      <c r="B3327" s="418" t="s">
        <v>1237</v>
      </c>
      <c r="C3327" s="433">
        <f>23975*0.9</f>
        <v>21577.5</v>
      </c>
      <c r="D3327" s="427" t="s">
        <v>885</v>
      </c>
      <c r="G3327" s="420"/>
      <c r="H3327" s="420"/>
      <c r="I3327" s="420"/>
      <c r="J3327" s="420"/>
      <c r="K3327" s="420"/>
      <c r="L3327" s="420"/>
      <c r="M3327" s="420"/>
      <c r="N3327" s="420"/>
      <c r="O3327" s="420"/>
      <c r="P3327" s="420"/>
      <c r="Q3327" s="420"/>
      <c r="R3327" s="420"/>
      <c r="S3327" s="420"/>
      <c r="T3327" s="420"/>
      <c r="U3327" s="420"/>
      <c r="V3327" s="420"/>
      <c r="W3327" s="420"/>
      <c r="X3327" s="420"/>
      <c r="Y3327" s="420"/>
      <c r="Z3327" s="420"/>
      <c r="AB3327" s="48" t="s">
        <v>1238</v>
      </c>
      <c r="AC3327" s="245" t="s">
        <v>885</v>
      </c>
      <c r="AD3327" s="48" t="s">
        <v>1239</v>
      </c>
      <c r="AF3327" s="421"/>
      <c r="AI3327" s="48" t="str">
        <f>AI3325</f>
        <v>2 years</v>
      </c>
      <c r="AK3327" s="48" t="s">
        <v>1112</v>
      </c>
      <c r="AO3327" s="48" t="s">
        <v>1240</v>
      </c>
      <c r="AR3327" s="245" t="s">
        <v>885</v>
      </c>
      <c r="AS3327" s="48" t="s">
        <v>1049</v>
      </c>
      <c r="AW3327" s="245" t="s">
        <v>885</v>
      </c>
      <c r="AX3327" s="48">
        <v>47</v>
      </c>
      <c r="BB3327" s="402">
        <f ca="1">MIN(((C3327*$AE$321)+($AE$330*G3327)),D3327)</f>
        <v>258930</v>
      </c>
      <c r="BF3327" s="423">
        <v>34052</v>
      </c>
      <c r="BG3327" s="415">
        <f t="shared" si="152"/>
        <v>0</v>
      </c>
      <c r="BH3327" s="415">
        <f t="shared" si="156"/>
        <v>0</v>
      </c>
      <c r="BI3327" s="365">
        <f t="shared" si="157"/>
        <v>0</v>
      </c>
      <c r="BJ3327" s="157">
        <f t="shared" si="153"/>
        <v>0</v>
      </c>
      <c r="BK3327" s="416">
        <f t="shared" si="158"/>
        <v>0</v>
      </c>
      <c r="BN3327" s="1107">
        <f t="shared" si="167"/>
        <v>600000</v>
      </c>
      <c r="BO3327" s="927"/>
      <c r="BP3327" s="927"/>
      <c r="BQ3327" s="927"/>
      <c r="BS3327" s="464" t="str">
        <f t="shared" si="165"/>
        <v>Lenawee County</v>
      </c>
      <c r="BZ3327" s="48" t="s">
        <v>1477</v>
      </c>
      <c r="CA3327" s="245" t="s">
        <v>885</v>
      </c>
      <c r="CB3327" s="245" t="s">
        <v>885</v>
      </c>
      <c r="CC3327" t="s">
        <v>1561</v>
      </c>
      <c r="CD3327" t="s">
        <v>1628</v>
      </c>
      <c r="CE3327" t="s">
        <v>1680</v>
      </c>
      <c r="CF3327" s="245" t="s">
        <v>885</v>
      </c>
      <c r="CG3327" s="245" t="s">
        <v>885</v>
      </c>
      <c r="CH3327" s="245" t="s">
        <v>885</v>
      </c>
      <c r="CI3327" t="s">
        <v>1738</v>
      </c>
      <c r="CJ3327" t="s">
        <v>1788</v>
      </c>
      <c r="CK3327" s="459" t="s">
        <v>885</v>
      </c>
      <c r="CL3327" s="459" t="s">
        <v>885</v>
      </c>
      <c r="CM3327" t="s">
        <v>1924</v>
      </c>
      <c r="CN3327" t="s">
        <v>1470</v>
      </c>
      <c r="CO3327" t="s">
        <v>2012</v>
      </c>
      <c r="CP3327" t="s">
        <v>2066</v>
      </c>
      <c r="CQ3327" t="s">
        <v>1917</v>
      </c>
      <c r="CR3327" t="s">
        <v>2208</v>
      </c>
      <c r="CS3327" s="459" t="s">
        <v>885</v>
      </c>
      <c r="CT3327" s="245" t="s">
        <v>885</v>
      </c>
      <c r="CU3327" t="s">
        <v>1927</v>
      </c>
      <c r="CV3327" t="s">
        <v>2345</v>
      </c>
      <c r="CW3327" t="s">
        <v>1478</v>
      </c>
      <c r="CX3327" t="s">
        <v>2280</v>
      </c>
      <c r="CY3327" t="s">
        <v>2483</v>
      </c>
      <c r="CZ3327" t="s">
        <v>1551</v>
      </c>
      <c r="DA3327" s="459" t="s">
        <v>885</v>
      </c>
      <c r="DB3327" s="459" t="s">
        <v>885</v>
      </c>
      <c r="DC3327" s="459" t="s">
        <v>885</v>
      </c>
      <c r="DD3327" s="459" t="s">
        <v>885</v>
      </c>
      <c r="DE3327" t="s">
        <v>2607</v>
      </c>
      <c r="DF3327" t="s">
        <v>2648</v>
      </c>
      <c r="DG3327" t="s">
        <v>2705</v>
      </c>
      <c r="DH3327" t="s">
        <v>2728</v>
      </c>
      <c r="DI3327" t="s">
        <v>2769</v>
      </c>
      <c r="DJ3327" s="459" t="s">
        <v>885</v>
      </c>
      <c r="DK3327" t="s">
        <v>2828</v>
      </c>
      <c r="DL3327" s="459" t="s">
        <v>885</v>
      </c>
      <c r="DM3327" s="459" t="s">
        <v>885</v>
      </c>
      <c r="DN3327" t="s">
        <v>2890</v>
      </c>
      <c r="DO3327" t="s">
        <v>1925</v>
      </c>
      <c r="DP3327" t="s">
        <v>2049</v>
      </c>
      <c r="DQ3327" s="459" t="s">
        <v>885</v>
      </c>
      <c r="DR3327" s="459" t="s">
        <v>885</v>
      </c>
      <c r="DS3327" t="s">
        <v>3144</v>
      </c>
      <c r="DT3327" s="459" t="s">
        <v>885</v>
      </c>
      <c r="DU3327" t="s">
        <v>3234</v>
      </c>
      <c r="DV3327" t="s">
        <v>3258</v>
      </c>
      <c r="DW3327" s="245" t="s">
        <v>885</v>
      </c>
      <c r="DX3327" s="245" t="s">
        <v>885</v>
      </c>
      <c r="DY3327" s="245"/>
      <c r="DZ3327" s="470" t="str">
        <f t="shared" si="162"/>
        <v/>
      </c>
      <c r="EA3327" s="470" t="str">
        <f t="shared" si="163"/>
        <v/>
      </c>
      <c r="EB3327" t="s">
        <v>3317</v>
      </c>
      <c r="EC3327" s="471" t="s">
        <v>3283</v>
      </c>
      <c r="EH3327" t="str">
        <f>EH3308</f>
        <v>Scott Ellington</v>
      </c>
      <c r="EI3327" s="473" t="s">
        <v>3294</v>
      </c>
      <c r="EJ3327" t="s">
        <v>3417</v>
      </c>
      <c r="EK3327" s="473" t="s">
        <v>3294</v>
      </c>
      <c r="EL3327" t="str">
        <f>EL3324</f>
        <v>Seth D. Ryan</v>
      </c>
      <c r="EM3327" s="473" t="str">
        <f>EM3324</f>
        <v>R</v>
      </c>
    </row>
    <row r="3328" spans="1:143" ht="15.5" hidden="1" x14ac:dyDescent="0.35">
      <c r="A3328" s="417" t="s">
        <v>1241</v>
      </c>
      <c r="B3328" s="418" t="s">
        <v>1242</v>
      </c>
      <c r="C3328" s="419">
        <v>50000</v>
      </c>
      <c r="D3328" s="419">
        <v>25000</v>
      </c>
      <c r="G3328" s="420"/>
      <c r="H3328" s="420"/>
      <c r="I3328" s="420"/>
      <c r="J3328" s="420"/>
      <c r="K3328" s="420"/>
      <c r="L3328" s="420"/>
      <c r="M3328" s="420"/>
      <c r="N3328" s="420"/>
      <c r="O3328" s="420"/>
      <c r="P3328" s="420"/>
      <c r="Q3328" s="420"/>
      <c r="R3328" s="420"/>
      <c r="S3328" s="420"/>
      <c r="T3328" s="420"/>
      <c r="U3328" s="420"/>
      <c r="V3328" s="420"/>
      <c r="W3328" s="420"/>
      <c r="X3328" s="420"/>
      <c r="Y3328" s="420"/>
      <c r="Z3328" s="420"/>
      <c r="AB3328" s="48" t="s">
        <v>1243</v>
      </c>
      <c r="AC3328" s="245" t="s">
        <v>885</v>
      </c>
      <c r="AD3328" s="48" t="s">
        <v>1180</v>
      </c>
      <c r="AF3328" s="421">
        <v>3</v>
      </c>
      <c r="AG3328" s="48">
        <v>3</v>
      </c>
      <c r="AH3328" s="48" t="s">
        <v>1046</v>
      </c>
      <c r="AI3328" s="48" t="str">
        <f>CONCATENATE(AG3328,AH3328)</f>
        <v>3 years</v>
      </c>
      <c r="AK3328" s="48" t="s">
        <v>1112</v>
      </c>
      <c r="AO3328" s="48" t="s">
        <v>1244</v>
      </c>
      <c r="AR3328" s="245" t="s">
        <v>885</v>
      </c>
      <c r="AS3328" s="48" t="s">
        <v>1235</v>
      </c>
      <c r="AW3328" s="245" t="s">
        <v>885</v>
      </c>
      <c r="AX3328" s="48">
        <v>48</v>
      </c>
      <c r="BB3328" s="402">
        <f ca="1">MIN(((C3328*$AE$321)+($AE$330*G3328)),D3328)</f>
        <v>25000</v>
      </c>
      <c r="BF3328" s="423">
        <v>31841</v>
      </c>
      <c r="BG3328" s="415">
        <f t="shared" si="152"/>
        <v>0</v>
      </c>
      <c r="BH3328" s="415">
        <f t="shared" si="156"/>
        <v>0</v>
      </c>
      <c r="BI3328" s="365">
        <f t="shared" si="157"/>
        <v>0</v>
      </c>
      <c r="BJ3328" s="157">
        <f t="shared" si="153"/>
        <v>0</v>
      </c>
      <c r="BK3328" s="416">
        <f t="shared" si="158"/>
        <v>0</v>
      </c>
      <c r="BN3328" s="1107">
        <f t="shared" si="167"/>
        <v>600000</v>
      </c>
      <c r="BO3328" s="927"/>
      <c r="BP3328" s="927"/>
      <c r="BQ3328" s="927"/>
      <c r="BS3328" s="464" t="str">
        <f t="shared" si="165"/>
        <v>Livingston County</v>
      </c>
      <c r="BZ3328" s="48" t="s">
        <v>1478</v>
      </c>
      <c r="CA3328" s="245" t="s">
        <v>885</v>
      </c>
      <c r="CB3328" s="245" t="s">
        <v>885</v>
      </c>
      <c r="CC3328" t="s">
        <v>1480</v>
      </c>
      <c r="CD3328" t="s">
        <v>1629</v>
      </c>
      <c r="CE3328" t="s">
        <v>1681</v>
      </c>
      <c r="CF3328" s="245" t="s">
        <v>885</v>
      </c>
      <c r="CG3328" s="245" t="s">
        <v>885</v>
      </c>
      <c r="CH3328" s="245" t="s">
        <v>885</v>
      </c>
      <c r="CI3328" t="s">
        <v>1612</v>
      </c>
      <c r="CJ3328" t="s">
        <v>1658</v>
      </c>
      <c r="CK3328" s="459" t="s">
        <v>885</v>
      </c>
      <c r="CL3328" s="459" t="s">
        <v>885</v>
      </c>
      <c r="CM3328" t="s">
        <v>1925</v>
      </c>
      <c r="CN3328" t="s">
        <v>1475</v>
      </c>
      <c r="CO3328" t="s">
        <v>2013</v>
      </c>
      <c r="CP3328" t="s">
        <v>2067</v>
      </c>
      <c r="CQ3328" t="s">
        <v>2132</v>
      </c>
      <c r="CR3328" t="s">
        <v>2209</v>
      </c>
      <c r="CS3328" s="459" t="s">
        <v>885</v>
      </c>
      <c r="CT3328" s="245" t="s">
        <v>885</v>
      </c>
      <c r="CU3328" t="s">
        <v>2288</v>
      </c>
      <c r="CV3328" t="s">
        <v>2346</v>
      </c>
      <c r="CW3328" t="s">
        <v>1480</v>
      </c>
      <c r="CX3328" t="s">
        <v>1466</v>
      </c>
      <c r="CY3328" t="s">
        <v>2484</v>
      </c>
      <c r="CZ3328" t="s">
        <v>1467</v>
      </c>
      <c r="DA3328" s="459" t="s">
        <v>885</v>
      </c>
      <c r="DB3328" s="459" t="s">
        <v>885</v>
      </c>
      <c r="DC3328" s="459" t="s">
        <v>885</v>
      </c>
      <c r="DD3328" s="459" t="s">
        <v>885</v>
      </c>
      <c r="DE3328" t="s">
        <v>2608</v>
      </c>
      <c r="DF3328" t="s">
        <v>2649</v>
      </c>
      <c r="DG3328" t="s">
        <v>2706</v>
      </c>
      <c r="DH3328" t="s">
        <v>2018</v>
      </c>
      <c r="DI3328" t="s">
        <v>2770</v>
      </c>
      <c r="DJ3328" s="459" t="s">
        <v>885</v>
      </c>
      <c r="DK3328" t="s">
        <v>2658</v>
      </c>
      <c r="DL3328" s="459" t="s">
        <v>885</v>
      </c>
      <c r="DM3328" s="459" t="s">
        <v>885</v>
      </c>
      <c r="DN3328" t="s">
        <v>2891</v>
      </c>
      <c r="DO3328" t="s">
        <v>1600</v>
      </c>
      <c r="DP3328" t="s">
        <v>2964</v>
      </c>
      <c r="DQ3328" s="459" t="s">
        <v>885</v>
      </c>
      <c r="DR3328" s="459" t="s">
        <v>885</v>
      </c>
      <c r="DS3328" t="s">
        <v>3145</v>
      </c>
      <c r="DT3328" s="459" t="s">
        <v>885</v>
      </c>
      <c r="DU3328" t="s">
        <v>3073</v>
      </c>
      <c r="DV3328" t="s">
        <v>1829</v>
      </c>
      <c r="DW3328" s="245" t="s">
        <v>885</v>
      </c>
      <c r="DX3328" s="245" t="s">
        <v>885</v>
      </c>
      <c r="DY3328" s="245"/>
      <c r="DZ3328" s="470" t="str">
        <f t="shared" si="162"/>
        <v/>
      </c>
      <c r="EA3328" s="470" t="str">
        <f t="shared" si="163"/>
        <v/>
      </c>
      <c r="EB3328" t="s">
        <v>3318</v>
      </c>
      <c r="EC3328" s="471" t="s">
        <v>3294</v>
      </c>
      <c r="EH3328" t="str">
        <f>EH3319</f>
        <v>Todd Murray</v>
      </c>
      <c r="EI3328" s="473" t="s">
        <v>3294</v>
      </c>
      <c r="EJ3328" t="s">
        <v>3418</v>
      </c>
      <c r="EK3328" s="473" t="s">
        <v>3294</v>
      </c>
      <c r="EL3328" t="str">
        <f>EL3303</f>
        <v>Linda Stanley</v>
      </c>
      <c r="EM3328" s="473" t="str">
        <f>EM3303</f>
        <v>R</v>
      </c>
    </row>
    <row r="3329" spans="1:143" ht="15.5" hidden="1" x14ac:dyDescent="0.35">
      <c r="A3329" s="417" t="s">
        <v>1245</v>
      </c>
      <c r="B3329" s="418" t="s">
        <v>1246</v>
      </c>
      <c r="C3329" s="427"/>
      <c r="D3329" s="428" t="str">
        <f>D3313</f>
        <v>no limit</v>
      </c>
      <c r="G3329" s="420"/>
      <c r="H3329" s="420"/>
      <c r="I3329" s="420"/>
      <c r="J3329" s="420"/>
      <c r="K3329" s="420"/>
      <c r="L3329" s="420"/>
      <c r="M3329" s="420"/>
      <c r="N3329" s="420"/>
      <c r="O3329" s="420"/>
      <c r="P3329" s="420"/>
      <c r="Q3329" s="420"/>
      <c r="R3329" s="420"/>
      <c r="S3329" s="420"/>
      <c r="T3329" s="420"/>
      <c r="U3329" s="420"/>
      <c r="V3329" s="420"/>
      <c r="W3329" s="420"/>
      <c r="X3329" s="420"/>
      <c r="Y3329" s="420"/>
      <c r="Z3329" s="420"/>
      <c r="AB3329" s="48" t="s">
        <v>1247</v>
      </c>
      <c r="AC3329" s="245" t="s">
        <v>885</v>
      </c>
      <c r="AD3329" s="48" t="s">
        <v>1102</v>
      </c>
      <c r="AF3329" s="421"/>
      <c r="AG3329" s="48">
        <v>2</v>
      </c>
      <c r="AH3329" s="48" t="s">
        <v>1046</v>
      </c>
      <c r="AI3329" s="48" t="str">
        <f>CONCATENATE(AG3329,AH3329)</f>
        <v>2 years</v>
      </c>
      <c r="AK3329" s="245" t="s">
        <v>885</v>
      </c>
      <c r="AO3329" s="48" t="s">
        <v>1248</v>
      </c>
      <c r="AR3329" s="245" t="s">
        <v>885</v>
      </c>
      <c r="AS3329" s="48" t="s">
        <v>1235</v>
      </c>
      <c r="AW3329" s="245" t="s">
        <v>885</v>
      </c>
      <c r="AX3329" s="48">
        <v>49</v>
      </c>
      <c r="BB3329" s="402" t="str">
        <f>D3329</f>
        <v>no limit</v>
      </c>
      <c r="BF3329" s="423">
        <v>22714</v>
      </c>
      <c r="BG3329" s="415">
        <f t="shared" si="152"/>
        <v>0</v>
      </c>
      <c r="BH3329" s="415">
        <f t="shared" si="156"/>
        <v>0</v>
      </c>
      <c r="BI3329" s="365">
        <f t="shared" si="157"/>
        <v>0</v>
      </c>
      <c r="BJ3329" s="157">
        <f t="shared" si="153"/>
        <v>0</v>
      </c>
      <c r="BK3329" s="416">
        <f t="shared" si="158"/>
        <v>0</v>
      </c>
      <c r="BN3329" s="1107">
        <f t="shared" si="167"/>
        <v>600000</v>
      </c>
      <c r="BO3329" s="927"/>
      <c r="BP3329" s="927"/>
      <c r="BQ3329" s="927"/>
      <c r="BS3329" s="464" t="str">
        <f t="shared" si="165"/>
        <v>Luce County</v>
      </c>
      <c r="BZ3329" s="48" t="s">
        <v>1479</v>
      </c>
      <c r="CA3329" s="245" t="s">
        <v>885</v>
      </c>
      <c r="CB3329" s="245" t="s">
        <v>885</v>
      </c>
      <c r="CC3329" t="s">
        <v>1481</v>
      </c>
      <c r="CD3329" t="s">
        <v>1630</v>
      </c>
      <c r="CE3329" t="s">
        <v>1565</v>
      </c>
      <c r="CF3329" s="245" t="s">
        <v>885</v>
      </c>
      <c r="CG3329" s="245" t="s">
        <v>885</v>
      </c>
      <c r="CH3329" s="245" t="s">
        <v>885</v>
      </c>
      <c r="CI3329" t="s">
        <v>1739</v>
      </c>
      <c r="CJ3329" t="s">
        <v>1789</v>
      </c>
      <c r="CK3329" s="459" t="s">
        <v>885</v>
      </c>
      <c r="CL3329" s="459" t="s">
        <v>885</v>
      </c>
      <c r="CM3329" t="s">
        <v>1600</v>
      </c>
      <c r="CN3329" t="s">
        <v>1477</v>
      </c>
      <c r="CO3329" t="s">
        <v>1466</v>
      </c>
      <c r="CP3329" t="s">
        <v>1669</v>
      </c>
      <c r="CQ3329" t="s">
        <v>1964</v>
      </c>
      <c r="CR3329" t="s">
        <v>2210</v>
      </c>
      <c r="CS3329" s="459" t="s">
        <v>885</v>
      </c>
      <c r="CT3329" s="245" t="s">
        <v>885</v>
      </c>
      <c r="CU3329" t="s">
        <v>2289</v>
      </c>
      <c r="CV3329" t="s">
        <v>2347</v>
      </c>
      <c r="CW3329" t="s">
        <v>1481</v>
      </c>
      <c r="CX3329" t="s">
        <v>1811</v>
      </c>
      <c r="CY3329" t="s">
        <v>2485</v>
      </c>
      <c r="CZ3329" t="s">
        <v>1554</v>
      </c>
      <c r="DA3329" s="459" t="s">
        <v>885</v>
      </c>
      <c r="DB3329" s="459" t="s">
        <v>885</v>
      </c>
      <c r="DC3329" s="459" t="s">
        <v>885</v>
      </c>
      <c r="DD3329" s="459" t="s">
        <v>885</v>
      </c>
      <c r="DE3329" t="s">
        <v>1943</v>
      </c>
      <c r="DF3329" t="s">
        <v>2650</v>
      </c>
      <c r="DG3329" t="s">
        <v>2707</v>
      </c>
      <c r="DH3329" t="s">
        <v>1475</v>
      </c>
      <c r="DI3329" t="s">
        <v>1820</v>
      </c>
      <c r="DJ3329" s="459" t="s">
        <v>885</v>
      </c>
      <c r="DK3329" t="s">
        <v>2829</v>
      </c>
      <c r="DL3329" s="459" t="s">
        <v>885</v>
      </c>
      <c r="DM3329" s="459" t="s">
        <v>885</v>
      </c>
      <c r="DN3329" t="s">
        <v>2892</v>
      </c>
      <c r="DO3329" t="s">
        <v>1469</v>
      </c>
      <c r="DP3329" t="s">
        <v>2965</v>
      </c>
      <c r="DQ3329" s="459" t="s">
        <v>885</v>
      </c>
      <c r="DR3329" s="459" t="s">
        <v>885</v>
      </c>
      <c r="DS3329" t="s">
        <v>2912</v>
      </c>
      <c r="DT3329" s="459" t="s">
        <v>885</v>
      </c>
      <c r="DU3329" t="s">
        <v>3074</v>
      </c>
      <c r="DV3329" t="s">
        <v>1567</v>
      </c>
      <c r="DW3329" s="245" t="s">
        <v>885</v>
      </c>
      <c r="DX3329" s="245" t="s">
        <v>885</v>
      </c>
      <c r="DY3329" s="245"/>
      <c r="DZ3329" s="470" t="str">
        <f t="shared" si="162"/>
        <v/>
      </c>
      <c r="EA3329" s="470" t="str">
        <f t="shared" si="163"/>
        <v/>
      </c>
      <c r="EB3329" t="s">
        <v>3319</v>
      </c>
      <c r="EC3329" s="471" t="s">
        <v>3283</v>
      </c>
      <c r="EH3329" t="s">
        <v>3366</v>
      </c>
      <c r="EI3329" s="473" t="s">
        <v>3294</v>
      </c>
      <c r="EJ3329" t="s">
        <v>3419</v>
      </c>
      <c r="EK3329" s="473" t="s">
        <v>3294</v>
      </c>
      <c r="EL3329" t="str">
        <f>EL3325</f>
        <v>Travis Sides</v>
      </c>
      <c r="EM3329" s="473" t="str">
        <f>EM3325</f>
        <v>R</v>
      </c>
    </row>
    <row r="3330" spans="1:143" ht="15.5" hidden="1" x14ac:dyDescent="0.35">
      <c r="A3330" s="417" t="s">
        <v>1249</v>
      </c>
      <c r="B3330" s="418" t="s">
        <v>1250</v>
      </c>
      <c r="C3330" s="419">
        <v>25000</v>
      </c>
      <c r="D3330" s="427" t="s">
        <v>885</v>
      </c>
      <c r="G3330" s="420"/>
      <c r="H3330" s="420"/>
      <c r="I3330" s="420"/>
      <c r="J3330" s="420"/>
      <c r="K3330" s="420"/>
      <c r="L3330" s="420"/>
      <c r="M3330" s="420"/>
      <c r="N3330" s="420"/>
      <c r="O3330" s="420"/>
      <c r="P3330" s="420"/>
      <c r="Q3330" s="420"/>
      <c r="R3330" s="420"/>
      <c r="S3330" s="420"/>
      <c r="T3330" s="420"/>
      <c r="U3330" s="420"/>
      <c r="V3330" s="420"/>
      <c r="W3330" s="420"/>
      <c r="X3330" s="420"/>
      <c r="Y3330" s="420"/>
      <c r="Z3330" s="420"/>
      <c r="AB3330" s="48" t="s">
        <v>1251</v>
      </c>
      <c r="AC3330" s="245" t="s">
        <v>885</v>
      </c>
      <c r="AD3330" s="48" t="s">
        <v>1252</v>
      </c>
      <c r="AF3330" s="421"/>
      <c r="AI3330" s="48" t="str">
        <f>AI3327</f>
        <v>2 years</v>
      </c>
      <c r="AK3330" s="48" t="s">
        <v>1047</v>
      </c>
      <c r="AO3330" s="48" t="s">
        <v>1253</v>
      </c>
      <c r="AR3330" s="245" t="s">
        <v>885</v>
      </c>
      <c r="AS3330" s="48" t="s">
        <v>1235</v>
      </c>
      <c r="AW3330" s="245" t="s">
        <v>885</v>
      </c>
      <c r="AX3330" s="48">
        <v>50</v>
      </c>
      <c r="BB3330" s="402">
        <f ca="1">MIN(((C3330*$AE$321)+($AE$330*G3330)),D3330)</f>
        <v>300000</v>
      </c>
      <c r="BF3330" s="423">
        <v>28213</v>
      </c>
      <c r="BG3330" s="415">
        <f t="shared" si="152"/>
        <v>0</v>
      </c>
      <c r="BH3330" s="415">
        <f t="shared" si="156"/>
        <v>0</v>
      </c>
      <c r="BI3330" s="365">
        <f t="shared" si="157"/>
        <v>0</v>
      </c>
      <c r="BJ3330" s="157">
        <f t="shared" si="153"/>
        <v>0</v>
      </c>
      <c r="BK3330" s="416">
        <f t="shared" si="158"/>
        <v>0</v>
      </c>
      <c r="BN3330" s="1107">
        <f t="shared" si="167"/>
        <v>600000</v>
      </c>
      <c r="BO3330" s="927"/>
      <c r="BP3330" s="927"/>
      <c r="BQ3330" s="927"/>
      <c r="BS3330" s="464" t="str">
        <f t="shared" si="165"/>
        <v>Mackinac County</v>
      </c>
      <c r="BZ3330" s="48" t="s">
        <v>1480</v>
      </c>
      <c r="CA3330" s="245" t="s">
        <v>885</v>
      </c>
      <c r="CB3330" s="245" t="s">
        <v>885</v>
      </c>
      <c r="CC3330" t="s">
        <v>1562</v>
      </c>
      <c r="CD3330" t="s">
        <v>1631</v>
      </c>
      <c r="CE3330" t="s">
        <v>1682</v>
      </c>
      <c r="CF3330" s="245" t="s">
        <v>885</v>
      </c>
      <c r="CG3330" s="245" t="s">
        <v>885</v>
      </c>
      <c r="CH3330" s="245" t="s">
        <v>885</v>
      </c>
      <c r="CI3330" t="s">
        <v>1740</v>
      </c>
      <c r="CJ3330" t="s">
        <v>1790</v>
      </c>
      <c r="CK3330" s="459" t="s">
        <v>885</v>
      </c>
      <c r="CL3330" s="459" t="s">
        <v>885</v>
      </c>
      <c r="CM3330" t="s">
        <v>1926</v>
      </c>
      <c r="CN3330" t="s">
        <v>1478</v>
      </c>
      <c r="CO3330" t="s">
        <v>1811</v>
      </c>
      <c r="CP3330" t="s">
        <v>2068</v>
      </c>
      <c r="CQ3330" t="s">
        <v>1808</v>
      </c>
      <c r="CR3330" t="s">
        <v>2211</v>
      </c>
      <c r="CS3330" s="459" t="s">
        <v>885</v>
      </c>
      <c r="CT3330" s="245" t="s">
        <v>885</v>
      </c>
      <c r="CU3330" t="s">
        <v>2290</v>
      </c>
      <c r="CV3330" t="s">
        <v>2348</v>
      </c>
      <c r="CW3330" t="s">
        <v>2395</v>
      </c>
      <c r="CX3330" t="s">
        <v>1467</v>
      </c>
      <c r="CY3330" t="s">
        <v>1897</v>
      </c>
      <c r="CZ3330" t="s">
        <v>2512</v>
      </c>
      <c r="DA3330" s="459" t="s">
        <v>885</v>
      </c>
      <c r="DB3330" s="459" t="s">
        <v>885</v>
      </c>
      <c r="DC3330" s="459" t="s">
        <v>885</v>
      </c>
      <c r="DD3330" s="459" t="s">
        <v>885</v>
      </c>
      <c r="DE3330" t="s">
        <v>2609</v>
      </c>
      <c r="DF3330" t="s">
        <v>1466</v>
      </c>
      <c r="DG3330" t="s">
        <v>2708</v>
      </c>
      <c r="DH3330" t="s">
        <v>2729</v>
      </c>
      <c r="DI3330" t="s">
        <v>1823</v>
      </c>
      <c r="DJ3330" s="459" t="s">
        <v>885</v>
      </c>
      <c r="DK3330" t="s">
        <v>1483</v>
      </c>
      <c r="DL3330" s="459" t="s">
        <v>885</v>
      </c>
      <c r="DM3330" s="459" t="s">
        <v>885</v>
      </c>
      <c r="DN3330" t="s">
        <v>2893</v>
      </c>
      <c r="DO3330" t="s">
        <v>1470</v>
      </c>
      <c r="DP3330" t="s">
        <v>2966</v>
      </c>
      <c r="DQ3330" s="459" t="s">
        <v>885</v>
      </c>
      <c r="DR3330" s="459" t="s">
        <v>885</v>
      </c>
      <c r="DS3330" t="s">
        <v>2554</v>
      </c>
      <c r="DT3330" s="459" t="s">
        <v>885</v>
      </c>
      <c r="DU3330" t="s">
        <v>1855</v>
      </c>
      <c r="DV3330" t="s">
        <v>2735</v>
      </c>
      <c r="DW3330" s="245" t="s">
        <v>885</v>
      </c>
      <c r="DX3330" s="245" t="s">
        <v>885</v>
      </c>
      <c r="DY3330" s="245"/>
      <c r="DZ3330" s="470" t="str">
        <f t="shared" si="162"/>
        <v/>
      </c>
      <c r="EA3330" s="470" t="str">
        <f t="shared" si="163"/>
        <v/>
      </c>
      <c r="EB3330" t="str">
        <f>EB3298</f>
        <v>Stephen A. Wadlington</v>
      </c>
      <c r="EC3330" t="str">
        <f>EC3298</f>
        <v>D</v>
      </c>
      <c r="EH3330" t="str">
        <f>EH3309</f>
        <v>Christi McQueen</v>
      </c>
      <c r="EI3330" s="473" t="s">
        <v>3294</v>
      </c>
      <c r="EJ3330" t="s">
        <v>3420</v>
      </c>
      <c r="EK3330" s="473" t="s">
        <v>3294</v>
      </c>
      <c r="EL3330" t="str">
        <f>EL3304</f>
        <v>Jeff Cheney</v>
      </c>
      <c r="EM3330" s="473" t="str">
        <f>EM3304</f>
        <v>R</v>
      </c>
    </row>
    <row r="3331" spans="1:143" ht="15.5" hidden="1" x14ac:dyDescent="0.35">
      <c r="A3331" s="417" t="s">
        <v>1254</v>
      </c>
      <c r="B3331" s="418" t="s">
        <v>1255</v>
      </c>
      <c r="C3331" s="427">
        <f>C3329</f>
        <v>0</v>
      </c>
      <c r="D3331" s="427" t="s">
        <v>885</v>
      </c>
      <c r="E3331" s="427" t="s">
        <v>885</v>
      </c>
      <c r="G3331" s="420"/>
      <c r="H3331" s="420"/>
      <c r="I3331" s="420"/>
      <c r="J3331" s="420"/>
      <c r="K3331" s="420"/>
      <c r="L3331" s="420"/>
      <c r="M3331" s="420"/>
      <c r="N3331" s="420"/>
      <c r="O3331" s="420"/>
      <c r="P3331" s="420"/>
      <c r="Q3331" s="420"/>
      <c r="R3331" s="420"/>
      <c r="S3331" s="420"/>
      <c r="T3331" s="420"/>
      <c r="U3331" s="420"/>
      <c r="V3331" s="420"/>
      <c r="W3331" s="420"/>
      <c r="X3331" s="420"/>
      <c r="Y3331" s="420"/>
      <c r="Z3331" s="420"/>
      <c r="AA3331" s="411"/>
      <c r="AB3331" s="411" t="s">
        <v>1027</v>
      </c>
      <c r="AC3331" s="245" t="s">
        <v>885</v>
      </c>
      <c r="AD3331" s="245" t="s">
        <v>885</v>
      </c>
      <c r="AE3331" s="245" t="s">
        <v>885</v>
      </c>
      <c r="AF3331" s="245" t="s">
        <v>885</v>
      </c>
      <c r="AG3331" s="245" t="s">
        <v>885</v>
      </c>
      <c r="AH3331" s="245" t="s">
        <v>885</v>
      </c>
      <c r="AI3331" s="245" t="s">
        <v>885</v>
      </c>
      <c r="AJ3331" s="245" t="s">
        <v>885</v>
      </c>
      <c r="AK3331" s="245" t="s">
        <v>885</v>
      </c>
      <c r="AO3331" s="245" t="s">
        <v>885</v>
      </c>
      <c r="AP3331" s="245" t="s">
        <v>885</v>
      </c>
      <c r="AQ3331" s="245" t="s">
        <v>885</v>
      </c>
      <c r="AR3331" s="245" t="s">
        <v>885</v>
      </c>
      <c r="AS3331" s="245" t="s">
        <v>885</v>
      </c>
      <c r="AT3331" s="245" t="s">
        <v>885</v>
      </c>
      <c r="AU3331" s="245" t="s">
        <v>885</v>
      </c>
      <c r="AV3331" s="245" t="s">
        <v>885</v>
      </c>
      <c r="AW3331" s="245" t="s">
        <v>885</v>
      </c>
      <c r="AX3331" s="48">
        <v>51</v>
      </c>
      <c r="BB3331" s="402">
        <f ca="1">MIN(((C3331*$AE$321)+($AE$330*G3331)),D3331)</f>
        <v>0</v>
      </c>
      <c r="BF3331" s="423">
        <v>29698</v>
      </c>
      <c r="BG3331" s="415">
        <f t="shared" si="152"/>
        <v>0</v>
      </c>
      <c r="BH3331" s="415">
        <f t="shared" si="156"/>
        <v>0</v>
      </c>
      <c r="BI3331" s="365">
        <f t="shared" si="157"/>
        <v>0</v>
      </c>
      <c r="BJ3331" s="157">
        <f t="shared" si="153"/>
        <v>0</v>
      </c>
      <c r="BK3331" s="416">
        <f t="shared" si="158"/>
        <v>0</v>
      </c>
      <c r="BS3331" s="464" t="str">
        <f t="shared" si="165"/>
        <v>Macomb County</v>
      </c>
      <c r="BZ3331" s="48" t="s">
        <v>1481</v>
      </c>
      <c r="CA3331" s="245" t="s">
        <v>885</v>
      </c>
      <c r="CB3331" s="245" t="s">
        <v>885</v>
      </c>
      <c r="CC3331" t="s">
        <v>1563</v>
      </c>
      <c r="CD3331" t="s">
        <v>1632</v>
      </c>
      <c r="CE3331" t="s">
        <v>1683</v>
      </c>
      <c r="CF3331" s="245" t="s">
        <v>885</v>
      </c>
      <c r="CG3331" s="245" t="s">
        <v>885</v>
      </c>
      <c r="CH3331" s="245" t="s">
        <v>885</v>
      </c>
      <c r="CI3331" t="s">
        <v>1741</v>
      </c>
      <c r="CJ3331" t="s">
        <v>1791</v>
      </c>
      <c r="CK3331" s="459" t="s">
        <v>885</v>
      </c>
      <c r="CL3331" s="459" t="s">
        <v>885</v>
      </c>
      <c r="CM3331" t="s">
        <v>1470</v>
      </c>
      <c r="CN3331" t="s">
        <v>1734</v>
      </c>
      <c r="CO3331" t="s">
        <v>1467</v>
      </c>
      <c r="CP3331" t="s">
        <v>2069</v>
      </c>
      <c r="CQ3331" t="s">
        <v>1918</v>
      </c>
      <c r="CR3331" t="s">
        <v>2212</v>
      </c>
      <c r="CS3331" s="459" t="s">
        <v>885</v>
      </c>
      <c r="CT3331" s="245" t="s">
        <v>885</v>
      </c>
      <c r="CU3331" t="s">
        <v>2291</v>
      </c>
      <c r="CV3331" t="s">
        <v>1823</v>
      </c>
      <c r="CW3331" t="s">
        <v>1563</v>
      </c>
      <c r="CX3331" t="s">
        <v>1554</v>
      </c>
      <c r="CY3331" t="s">
        <v>2486</v>
      </c>
      <c r="CZ3331" t="s">
        <v>2513</v>
      </c>
      <c r="DA3331" s="459" t="s">
        <v>885</v>
      </c>
      <c r="DB3331" s="459" t="s">
        <v>885</v>
      </c>
      <c r="DC3331" s="459" t="s">
        <v>885</v>
      </c>
      <c r="DD3331" s="459" t="s">
        <v>885</v>
      </c>
      <c r="DE3331" t="s">
        <v>1984</v>
      </c>
      <c r="DF3331" t="s">
        <v>2651</v>
      </c>
      <c r="DG3331" t="s">
        <v>2709</v>
      </c>
      <c r="DH3331" t="s">
        <v>1477</v>
      </c>
      <c r="DI3331" t="s">
        <v>2771</v>
      </c>
      <c r="DJ3331" s="459" t="s">
        <v>885</v>
      </c>
      <c r="DK3331" t="s">
        <v>2830</v>
      </c>
      <c r="DL3331" s="459" t="s">
        <v>885</v>
      </c>
      <c r="DM3331" s="459" t="s">
        <v>885</v>
      </c>
      <c r="DN3331" t="s">
        <v>2894</v>
      </c>
      <c r="DO3331" t="s">
        <v>1889</v>
      </c>
      <c r="DP3331" t="s">
        <v>2967</v>
      </c>
      <c r="DQ3331" s="459" t="s">
        <v>885</v>
      </c>
      <c r="DR3331" s="459" t="s">
        <v>885</v>
      </c>
      <c r="DS3331" t="s">
        <v>3146</v>
      </c>
      <c r="DT3331" s="459" t="s">
        <v>885</v>
      </c>
      <c r="DU3331" t="s">
        <v>1856</v>
      </c>
      <c r="DV3331" t="s">
        <v>3259</v>
      </c>
      <c r="DW3331" s="245" t="s">
        <v>885</v>
      </c>
      <c r="DX3331" s="245" t="s">
        <v>885</v>
      </c>
      <c r="DY3331" s="245"/>
      <c r="DZ3331" s="470" t="str">
        <f t="shared" si="162"/>
        <v/>
      </c>
      <c r="EA3331" s="470" t="str">
        <f t="shared" si="163"/>
        <v/>
      </c>
      <c r="EB3331" t="s">
        <v>3320</v>
      </c>
      <c r="EC3331" s="471" t="s">
        <v>3288</v>
      </c>
      <c r="EH3331" t="str">
        <f>EH3325</f>
        <v>David Ethredge</v>
      </c>
      <c r="EI3331" s="473" t="s">
        <v>3294</v>
      </c>
      <c r="EJ3331" t="s">
        <v>3421</v>
      </c>
      <c r="EK3331" s="473" t="s">
        <v>3294</v>
      </c>
      <c r="EL3331" t="str">
        <f>EL3312</f>
        <v>Joshua Vogel</v>
      </c>
      <c r="EM3331" s="473" t="str">
        <f>EM3312</f>
        <v>R</v>
      </c>
    </row>
    <row r="3332" spans="1:143" ht="15.5" hidden="1" x14ac:dyDescent="0.35">
      <c r="A3332" s="417" t="s">
        <v>1256</v>
      </c>
      <c r="B3332" s="418" t="s">
        <v>1257</v>
      </c>
      <c r="C3332" s="419">
        <v>50000</v>
      </c>
      <c r="D3332" s="427" t="s">
        <v>885</v>
      </c>
      <c r="G3332" s="420"/>
      <c r="H3332" s="420"/>
      <c r="I3332" s="420"/>
      <c r="J3332" s="420"/>
      <c r="K3332" s="420"/>
      <c r="L3332" s="420"/>
      <c r="M3332" s="420"/>
      <c r="N3332" s="420"/>
      <c r="O3332" s="420"/>
      <c r="P3332" s="420"/>
      <c r="Q3332" s="420"/>
      <c r="R3332" s="420"/>
      <c r="S3332" s="420"/>
      <c r="T3332" s="420"/>
      <c r="U3332" s="420"/>
      <c r="V3332" s="420"/>
      <c r="W3332" s="420"/>
      <c r="X3332" s="420"/>
      <c r="Y3332" s="420"/>
      <c r="Z3332" s="420"/>
      <c r="AB3332" s="429" t="s">
        <v>1258</v>
      </c>
      <c r="AC3332" s="245" t="s">
        <v>885</v>
      </c>
      <c r="AD3332" s="48" t="s">
        <v>1259</v>
      </c>
      <c r="AF3332" s="421"/>
      <c r="AG3332" s="245" t="s">
        <v>885</v>
      </c>
      <c r="AH3332" s="245" t="s">
        <v>885</v>
      </c>
      <c r="AI3332" s="245" t="s">
        <v>885</v>
      </c>
      <c r="AJ3332" s="245" t="s">
        <v>885</v>
      </c>
      <c r="AK3332" s="48" t="s">
        <v>1047</v>
      </c>
      <c r="AO3332" s="48" t="s">
        <v>1260</v>
      </c>
      <c r="AR3332" s="245" t="s">
        <v>885</v>
      </c>
      <c r="AS3332" s="48" t="s">
        <v>1049</v>
      </c>
      <c r="AW3332" s="245" t="s">
        <v>885</v>
      </c>
      <c r="AX3332" s="48">
        <v>52</v>
      </c>
      <c r="BB3332" s="402"/>
      <c r="BF3332" s="423">
        <v>28889</v>
      </c>
      <c r="BG3332" s="415">
        <f t="shared" si="152"/>
        <v>0</v>
      </c>
      <c r="BH3332" s="415">
        <f>BF3332-BG3332</f>
        <v>28889</v>
      </c>
      <c r="BI3332" s="157">
        <f t="shared" si="157"/>
        <v>2407.4166666666665</v>
      </c>
      <c r="BJ3332" s="157">
        <f t="shared" si="153"/>
        <v>555.55769230769226</v>
      </c>
      <c r="BK3332" s="416">
        <f t="shared" si="158"/>
        <v>1</v>
      </c>
      <c r="BS3332" s="464" t="str">
        <f t="shared" si="165"/>
        <v>Manistee County</v>
      </c>
      <c r="BZ3332" s="48" t="s">
        <v>1482</v>
      </c>
      <c r="CA3332" s="245" t="s">
        <v>885</v>
      </c>
      <c r="CB3332" s="245" t="s">
        <v>885</v>
      </c>
      <c r="CC3332" t="s">
        <v>1564</v>
      </c>
      <c r="CD3332" t="s">
        <v>1633</v>
      </c>
      <c r="CE3332" t="s">
        <v>1684</v>
      </c>
      <c r="CF3332" s="245" t="s">
        <v>885</v>
      </c>
      <c r="CG3332" s="245" t="s">
        <v>885</v>
      </c>
      <c r="CH3332" s="245" t="s">
        <v>885</v>
      </c>
      <c r="CI3332" t="s">
        <v>1742</v>
      </c>
      <c r="CJ3332" t="s">
        <v>1661</v>
      </c>
      <c r="CK3332" s="459" t="s">
        <v>885</v>
      </c>
      <c r="CL3332" s="459" t="s">
        <v>885</v>
      </c>
      <c r="CM3332" t="s">
        <v>1471</v>
      </c>
      <c r="CN3332" t="s">
        <v>1972</v>
      </c>
      <c r="CO3332" t="s">
        <v>1554</v>
      </c>
      <c r="CP3332" t="s">
        <v>2070</v>
      </c>
      <c r="CQ3332" t="s">
        <v>1464</v>
      </c>
      <c r="CR3332" t="s">
        <v>2213</v>
      </c>
      <c r="CS3332" s="459" t="s">
        <v>885</v>
      </c>
      <c r="CT3332" s="245" t="s">
        <v>885</v>
      </c>
      <c r="CU3332" t="s">
        <v>2292</v>
      </c>
      <c r="CV3332" t="s">
        <v>2349</v>
      </c>
      <c r="CW3332" t="s">
        <v>2396</v>
      </c>
      <c r="CX3332" t="s">
        <v>1925</v>
      </c>
      <c r="CY3332" t="s">
        <v>2487</v>
      </c>
      <c r="CZ3332" t="s">
        <v>2514</v>
      </c>
      <c r="DA3332" s="459" t="s">
        <v>885</v>
      </c>
      <c r="DB3332" s="459" t="s">
        <v>885</v>
      </c>
      <c r="DC3332" s="459" t="s">
        <v>885</v>
      </c>
      <c r="DD3332" s="459" t="s">
        <v>885</v>
      </c>
      <c r="DE3332" t="s">
        <v>2253</v>
      </c>
      <c r="DF3332" t="s">
        <v>1814</v>
      </c>
      <c r="DG3332" t="s">
        <v>1993</v>
      </c>
      <c r="DH3332" t="s">
        <v>2730</v>
      </c>
      <c r="DI3332" t="s">
        <v>1973</v>
      </c>
      <c r="DJ3332" s="459" t="s">
        <v>885</v>
      </c>
      <c r="DK3332" t="s">
        <v>1485</v>
      </c>
      <c r="DL3332" s="459" t="s">
        <v>885</v>
      </c>
      <c r="DM3332" s="459" t="s">
        <v>885</v>
      </c>
      <c r="DN3332" t="s">
        <v>2354</v>
      </c>
      <c r="DO3332" t="s">
        <v>1556</v>
      </c>
      <c r="DP3332" t="s">
        <v>2968</v>
      </c>
      <c r="DQ3332" s="459" t="s">
        <v>885</v>
      </c>
      <c r="DR3332" s="459" t="s">
        <v>885</v>
      </c>
      <c r="DS3332" t="s">
        <v>2129</v>
      </c>
      <c r="DT3332" s="459" t="s">
        <v>885</v>
      </c>
      <c r="DU3332" t="s">
        <v>3235</v>
      </c>
      <c r="DV3332" t="s">
        <v>3260</v>
      </c>
      <c r="DW3332" s="245" t="s">
        <v>885</v>
      </c>
      <c r="DX3332" s="245" t="s">
        <v>885</v>
      </c>
      <c r="DY3332" s="245"/>
      <c r="DZ3332" s="470" t="str">
        <f t="shared" si="162"/>
        <v/>
      </c>
      <c r="EA3332" s="470" t="str">
        <f t="shared" si="163"/>
        <v/>
      </c>
      <c r="EB3332" t="s">
        <v>3321</v>
      </c>
      <c r="EC3332" s="471" t="s">
        <v>3283</v>
      </c>
      <c r="EH3332" t="str">
        <f>EH3300</f>
        <v>Jeff Rogers</v>
      </c>
      <c r="EI3332" s="473" t="s">
        <v>3294</v>
      </c>
      <c r="EJ3332" t="s">
        <v>3422</v>
      </c>
      <c r="EK3332" s="473" t="s">
        <v>3294</v>
      </c>
      <c r="EL3332" t="s">
        <v>3449</v>
      </c>
      <c r="EM3332" s="473" t="s">
        <v>3288</v>
      </c>
    </row>
    <row r="3333" spans="1:143" ht="15.5" hidden="1" x14ac:dyDescent="0.35">
      <c r="A3333" s="48" t="s">
        <v>912</v>
      </c>
      <c r="B3333" s="418" t="s">
        <v>912</v>
      </c>
      <c r="G3333" s="420"/>
      <c r="H3333" s="420"/>
      <c r="I3333" s="420"/>
      <c r="J3333" s="420"/>
      <c r="K3333" s="420"/>
      <c r="L3333" s="420"/>
      <c r="M3333" s="420"/>
      <c r="N3333" s="420"/>
      <c r="O3333" s="420"/>
      <c r="P3333" s="420"/>
      <c r="Q3333" s="420"/>
      <c r="R3333" s="420"/>
      <c r="S3333" s="420"/>
      <c r="T3333" s="420"/>
      <c r="U3333" s="420"/>
      <c r="V3333" s="420"/>
      <c r="W3333" s="420"/>
      <c r="X3333" s="420"/>
      <c r="Y3333" s="420"/>
      <c r="Z3333" s="420"/>
      <c r="AF3333" s="421"/>
      <c r="AW3333" s="245" t="s">
        <v>885</v>
      </c>
      <c r="BS3333" s="464" t="str">
        <f t="shared" si="165"/>
        <v>Marquette County</v>
      </c>
      <c r="BZ3333" s="48" t="s">
        <v>1483</v>
      </c>
      <c r="CA3333" s="245" t="s">
        <v>885</v>
      </c>
      <c r="CB3333" s="245" t="s">
        <v>885</v>
      </c>
      <c r="CC3333" t="s">
        <v>1483</v>
      </c>
      <c r="CD3333" t="s">
        <v>1634</v>
      </c>
      <c r="CE3333" t="s">
        <v>1685</v>
      </c>
      <c r="CF3333" s="245" t="s">
        <v>885</v>
      </c>
      <c r="CG3333" s="245" t="s">
        <v>885</v>
      </c>
      <c r="CH3333" s="245" t="s">
        <v>885</v>
      </c>
      <c r="CI3333" t="s">
        <v>1567</v>
      </c>
      <c r="CJ3333" t="s">
        <v>1792</v>
      </c>
      <c r="CK3333" s="459" t="s">
        <v>885</v>
      </c>
      <c r="CL3333" s="459" t="s">
        <v>885</v>
      </c>
      <c r="CM3333" t="s">
        <v>1927</v>
      </c>
      <c r="CN3333" t="s">
        <v>1480</v>
      </c>
      <c r="CO3333" t="s">
        <v>1814</v>
      </c>
      <c r="CP3333" t="s">
        <v>1556</v>
      </c>
      <c r="CQ3333" t="s">
        <v>2133</v>
      </c>
      <c r="CR3333" t="s">
        <v>2214</v>
      </c>
      <c r="CS3333" s="459" t="s">
        <v>885</v>
      </c>
      <c r="CT3333" s="245" t="s">
        <v>885</v>
      </c>
      <c r="CU3333" t="s">
        <v>1929</v>
      </c>
      <c r="CV3333" t="s">
        <v>2350</v>
      </c>
      <c r="CW3333" t="s">
        <v>2397</v>
      </c>
      <c r="CX3333" t="s">
        <v>2429</v>
      </c>
      <c r="CY3333" t="s">
        <v>1899</v>
      </c>
      <c r="CZ3333" t="s">
        <v>2515</v>
      </c>
      <c r="DA3333" s="459" t="s">
        <v>885</v>
      </c>
      <c r="DB3333" s="459" t="s">
        <v>885</v>
      </c>
      <c r="DC3333" s="459" t="s">
        <v>885</v>
      </c>
      <c r="DD3333" s="459" t="s">
        <v>885</v>
      </c>
      <c r="DE3333" t="s">
        <v>1985</v>
      </c>
      <c r="DF3333" t="s">
        <v>1471</v>
      </c>
      <c r="DG3333" t="s">
        <v>2710</v>
      </c>
      <c r="DH3333" t="s">
        <v>2731</v>
      </c>
      <c r="DI3333" t="s">
        <v>2772</v>
      </c>
      <c r="DJ3333" s="459" t="s">
        <v>885</v>
      </c>
      <c r="DK3333" t="s">
        <v>2831</v>
      </c>
      <c r="DL3333" s="459" t="s">
        <v>885</v>
      </c>
      <c r="DM3333" s="459" t="s">
        <v>885</v>
      </c>
      <c r="DN3333" t="s">
        <v>2523</v>
      </c>
      <c r="DO3333" t="s">
        <v>2917</v>
      </c>
      <c r="DP3333" t="s">
        <v>2908</v>
      </c>
      <c r="DQ3333" s="459" t="s">
        <v>885</v>
      </c>
      <c r="DR3333" s="459" t="s">
        <v>885</v>
      </c>
      <c r="DS3333" t="s">
        <v>1462</v>
      </c>
      <c r="DT3333" s="459" t="s">
        <v>885</v>
      </c>
      <c r="DU3333" t="s">
        <v>3236</v>
      </c>
      <c r="DV3333" t="s">
        <v>1940</v>
      </c>
      <c r="DW3333" s="245" t="s">
        <v>885</v>
      </c>
      <c r="DX3333" s="245" t="s">
        <v>885</v>
      </c>
      <c r="DY3333" s="245"/>
      <c r="DZ3333" s="470" t="str">
        <f t="shared" si="162"/>
        <v/>
      </c>
      <c r="EA3333" s="470" t="str">
        <f t="shared" si="163"/>
        <v/>
      </c>
      <c r="EB3333" t="str">
        <f>EB3313</f>
        <v>Michael W. Jackson</v>
      </c>
      <c r="EC3333" t="str">
        <f>EC3313</f>
        <v>D</v>
      </c>
      <c r="EH3333" t="s">
        <v>3367</v>
      </c>
      <c r="EI3333" s="473" t="s">
        <v>3294</v>
      </c>
      <c r="EJ3333" t="s">
        <v>3423</v>
      </c>
      <c r="EK3333" s="473" t="s">
        <v>3294</v>
      </c>
      <c r="EL3333" t="str">
        <f>EL3330</f>
        <v>Jeff Cheney</v>
      </c>
      <c r="EM3333" s="473" t="str">
        <f>EM3330</f>
        <v>R</v>
      </c>
    </row>
    <row r="3334" spans="1:143" ht="14.5" hidden="1" x14ac:dyDescent="0.35">
      <c r="AF3334" s="421"/>
      <c r="BS3334" s="464" t="str">
        <f t="shared" si="165"/>
        <v>Mason County</v>
      </c>
      <c r="BZ3334" s="48" t="s">
        <v>1484</v>
      </c>
      <c r="CA3334" s="245" t="s">
        <v>885</v>
      </c>
      <c r="CB3334" s="245" t="s">
        <v>885</v>
      </c>
      <c r="CC3334" t="s">
        <v>1565</v>
      </c>
      <c r="CD3334" t="s">
        <v>1635</v>
      </c>
      <c r="CE3334" t="s">
        <v>1686</v>
      </c>
      <c r="CF3334" s="245" t="s">
        <v>885</v>
      </c>
      <c r="CG3334" s="245" t="s">
        <v>885</v>
      </c>
      <c r="CH3334" s="245" t="s">
        <v>885</v>
      </c>
      <c r="CI3334" t="s">
        <v>1743</v>
      </c>
      <c r="CJ3334" t="s">
        <v>1793</v>
      </c>
      <c r="CK3334" s="459" t="s">
        <v>885</v>
      </c>
      <c r="CL3334" s="459" t="s">
        <v>885</v>
      </c>
      <c r="CM3334" t="s">
        <v>1558</v>
      </c>
      <c r="CN3334" t="s">
        <v>1481</v>
      </c>
      <c r="CO3334" t="s">
        <v>2014</v>
      </c>
      <c r="CP3334" t="s">
        <v>2016</v>
      </c>
      <c r="CQ3334" t="s">
        <v>2134</v>
      </c>
      <c r="CR3334" t="s">
        <v>2215</v>
      </c>
      <c r="CS3334" s="459" t="s">
        <v>885</v>
      </c>
      <c r="CT3334" s="245" t="s">
        <v>885</v>
      </c>
      <c r="CU3334" t="s">
        <v>2293</v>
      </c>
      <c r="CV3334" t="s">
        <v>2351</v>
      </c>
      <c r="CW3334" t="s">
        <v>2398</v>
      </c>
      <c r="CX3334" t="s">
        <v>1555</v>
      </c>
      <c r="CY3334" t="s">
        <v>2488</v>
      </c>
      <c r="CZ3334" t="s">
        <v>1925</v>
      </c>
      <c r="DA3334" s="459" t="s">
        <v>885</v>
      </c>
      <c r="DB3334" s="459" t="s">
        <v>885</v>
      </c>
      <c r="DC3334" s="459" t="s">
        <v>885</v>
      </c>
      <c r="DD3334" s="459" t="s">
        <v>885</v>
      </c>
      <c r="DE3334" t="s">
        <v>2610</v>
      </c>
      <c r="DF3334" t="s">
        <v>2652</v>
      </c>
      <c r="DG3334" s="459" t="s">
        <v>885</v>
      </c>
      <c r="DH3334" t="s">
        <v>1935</v>
      </c>
      <c r="DI3334" t="s">
        <v>2773</v>
      </c>
      <c r="DJ3334" s="459" t="s">
        <v>885</v>
      </c>
      <c r="DK3334" t="s">
        <v>2832</v>
      </c>
      <c r="DL3334" s="459" t="s">
        <v>885</v>
      </c>
      <c r="DM3334" s="459" t="s">
        <v>885</v>
      </c>
      <c r="DN3334" t="s">
        <v>2831</v>
      </c>
      <c r="DO3334" t="s">
        <v>1474</v>
      </c>
      <c r="DP3334" t="s">
        <v>2969</v>
      </c>
      <c r="DQ3334" s="459" t="s">
        <v>885</v>
      </c>
      <c r="DR3334" s="459" t="s">
        <v>885</v>
      </c>
      <c r="DS3334" t="s">
        <v>3147</v>
      </c>
      <c r="DT3334" s="459" t="s">
        <v>885</v>
      </c>
      <c r="DU3334" t="s">
        <v>2744</v>
      </c>
      <c r="DV3334" t="s">
        <v>2361</v>
      </c>
      <c r="DW3334" s="245" t="s">
        <v>885</v>
      </c>
      <c r="DX3334" s="245" t="s">
        <v>885</v>
      </c>
      <c r="DY3334" s="245"/>
      <c r="DZ3334" s="470" t="str">
        <f t="shared" si="162"/>
        <v/>
      </c>
      <c r="EA3334" s="470" t="str">
        <f t="shared" si="163"/>
        <v/>
      </c>
      <c r="EB3334" t="str">
        <f>EB3318</f>
        <v>Andy Hamlin</v>
      </c>
      <c r="EC3334" t="str">
        <f>EC3318</f>
        <v>n</v>
      </c>
      <c r="EH3334" t="str">
        <f>EH3328</f>
        <v>Todd Murray</v>
      </c>
      <c r="EI3334" s="473" t="s">
        <v>3294</v>
      </c>
      <c r="EJ3334" t="s">
        <v>3424</v>
      </c>
      <c r="EK3334" s="473" t="s">
        <v>3294</v>
      </c>
      <c r="EL3334" t="str">
        <f>EL3321</f>
        <v>Alonzo C. Payne</v>
      </c>
      <c r="EM3334" s="473" t="str">
        <f>EM3321</f>
        <v>D</v>
      </c>
    </row>
    <row r="3335" spans="1:143" ht="14.5" hidden="1" x14ac:dyDescent="0.35">
      <c r="AF3335" s="421"/>
      <c r="BS3335" s="464" t="str">
        <f t="shared" si="165"/>
        <v>Mecosta County</v>
      </c>
      <c r="BZ3335" s="48" t="s">
        <v>1485</v>
      </c>
      <c r="CA3335" s="245" t="s">
        <v>885</v>
      </c>
      <c r="CB3335" s="245" t="s">
        <v>885</v>
      </c>
      <c r="CC3335" t="s">
        <v>1485</v>
      </c>
      <c r="CD3335" t="s">
        <v>1636</v>
      </c>
      <c r="CE3335" t="s">
        <v>1687</v>
      </c>
      <c r="CF3335" s="245" t="s">
        <v>885</v>
      </c>
      <c r="CG3335" s="245" t="s">
        <v>885</v>
      </c>
      <c r="CH3335" s="245" t="s">
        <v>885</v>
      </c>
      <c r="CI3335" t="s">
        <v>1744</v>
      </c>
      <c r="CJ3335" t="s">
        <v>1794</v>
      </c>
      <c r="CK3335" s="459" t="s">
        <v>885</v>
      </c>
      <c r="CL3335" s="459" t="s">
        <v>885</v>
      </c>
      <c r="CM3335" t="s">
        <v>1474</v>
      </c>
      <c r="CN3335" t="s">
        <v>1482</v>
      </c>
      <c r="CO3335" t="s">
        <v>2015</v>
      </c>
      <c r="CP3335" t="s">
        <v>1558</v>
      </c>
      <c r="CQ3335" t="s">
        <v>1466</v>
      </c>
      <c r="CR3335" t="s">
        <v>2216</v>
      </c>
      <c r="CS3335" s="459" t="s">
        <v>885</v>
      </c>
      <c r="CT3335" s="245" t="s">
        <v>885</v>
      </c>
      <c r="CU3335" t="s">
        <v>2294</v>
      </c>
      <c r="CV3335" t="s">
        <v>2352</v>
      </c>
      <c r="CW3335" t="s">
        <v>2399</v>
      </c>
      <c r="CX3335" t="s">
        <v>1470</v>
      </c>
      <c r="CY3335" t="s">
        <v>2489</v>
      </c>
      <c r="CZ3335" t="s">
        <v>2516</v>
      </c>
      <c r="DA3335" s="459" t="s">
        <v>885</v>
      </c>
      <c r="DB3335" s="459" t="s">
        <v>885</v>
      </c>
      <c r="DC3335" s="459" t="s">
        <v>885</v>
      </c>
      <c r="DD3335" s="459" t="s">
        <v>885</v>
      </c>
      <c r="DE3335" t="s">
        <v>2611</v>
      </c>
      <c r="DF3335" t="s">
        <v>1556</v>
      </c>
      <c r="DG3335" s="459" t="s">
        <v>885</v>
      </c>
      <c r="DH3335" t="s">
        <v>1972</v>
      </c>
      <c r="DI3335" t="s">
        <v>2774</v>
      </c>
      <c r="DJ3335" s="459" t="s">
        <v>885</v>
      </c>
      <c r="DK3335" t="s">
        <v>2833</v>
      </c>
      <c r="DL3335" s="459" t="s">
        <v>885</v>
      </c>
      <c r="DM3335" s="459" t="s">
        <v>885</v>
      </c>
      <c r="DN3335" t="s">
        <v>2895</v>
      </c>
      <c r="DO3335" t="s">
        <v>1475</v>
      </c>
      <c r="DP3335" t="s">
        <v>2970</v>
      </c>
      <c r="DQ3335" s="459" t="s">
        <v>885</v>
      </c>
      <c r="DR3335" s="459" t="s">
        <v>885</v>
      </c>
      <c r="DS3335" t="s">
        <v>2644</v>
      </c>
      <c r="DT3335" s="459" t="s">
        <v>885</v>
      </c>
      <c r="DU3335" t="s">
        <v>2614</v>
      </c>
      <c r="DV3335" t="s">
        <v>3052</v>
      </c>
      <c r="DW3335" s="245" t="s">
        <v>885</v>
      </c>
      <c r="DX3335" s="245" t="s">
        <v>885</v>
      </c>
      <c r="DY3335" s="245"/>
      <c r="DZ3335" s="470" t="str">
        <f t="shared" si="162"/>
        <v/>
      </c>
      <c r="EA3335" s="470" t="str">
        <f t="shared" si="163"/>
        <v/>
      </c>
      <c r="EB3335" t="s">
        <v>3298</v>
      </c>
      <c r="EC3335" s="471" t="s">
        <v>3283</v>
      </c>
      <c r="EH3335" t="str">
        <f>EH3321</f>
        <v>Bryan Chesshir</v>
      </c>
      <c r="EI3335" s="473" t="s">
        <v>3294</v>
      </c>
      <c r="EJ3335" t="s">
        <v>3425</v>
      </c>
      <c r="EK3335" s="473" t="s">
        <v>3294</v>
      </c>
      <c r="EL3335" t="str">
        <f>EL3322</f>
        <v>Matthew Karzen</v>
      </c>
      <c r="EM3335" s="473" t="str">
        <f>EM3322</f>
        <v>I</v>
      </c>
    </row>
    <row r="3336" spans="1:143" ht="14.5" hidden="1" x14ac:dyDescent="0.35">
      <c r="BS3336" s="464" t="str">
        <f t="shared" si="165"/>
        <v>Menominee County</v>
      </c>
      <c r="BZ3336" s="48" t="s">
        <v>1486</v>
      </c>
      <c r="CA3336" s="245" t="s">
        <v>885</v>
      </c>
      <c r="CB3336" s="245" t="s">
        <v>885</v>
      </c>
      <c r="CC3336" t="s">
        <v>1566</v>
      </c>
      <c r="CD3336" t="s">
        <v>1637</v>
      </c>
      <c r="CE3336" t="s">
        <v>1688</v>
      </c>
      <c r="CF3336" s="245" t="s">
        <v>885</v>
      </c>
      <c r="CG3336" s="245" t="s">
        <v>885</v>
      </c>
      <c r="CH3336" s="245" t="s">
        <v>885</v>
      </c>
      <c r="CI3336" t="s">
        <v>1745</v>
      </c>
      <c r="CJ3336" t="s">
        <v>1459</v>
      </c>
      <c r="CK3336" s="459" t="s">
        <v>885</v>
      </c>
      <c r="CL3336" s="459" t="s">
        <v>885</v>
      </c>
      <c r="CM3336" t="s">
        <v>1928</v>
      </c>
      <c r="CN3336" t="s">
        <v>1563</v>
      </c>
      <c r="CO3336" t="s">
        <v>1471</v>
      </c>
      <c r="CP3336" t="s">
        <v>2019</v>
      </c>
      <c r="CQ3336" t="s">
        <v>1467</v>
      </c>
      <c r="CR3336" t="s">
        <v>2217</v>
      </c>
      <c r="CS3336" s="459" t="s">
        <v>885</v>
      </c>
      <c r="CT3336" s="245" t="s">
        <v>885</v>
      </c>
      <c r="CU3336" t="s">
        <v>2295</v>
      </c>
      <c r="CV3336" t="s">
        <v>2353</v>
      </c>
      <c r="CW3336" t="s">
        <v>1483</v>
      </c>
      <c r="CX3336" t="s">
        <v>1889</v>
      </c>
      <c r="CY3336" t="s">
        <v>2490</v>
      </c>
      <c r="CZ3336" t="s">
        <v>1556</v>
      </c>
      <c r="DA3336" s="459" t="s">
        <v>885</v>
      </c>
      <c r="DB3336" s="459" t="s">
        <v>885</v>
      </c>
      <c r="DC3336" s="459" t="s">
        <v>885</v>
      </c>
      <c r="DD3336" s="459" t="s">
        <v>885</v>
      </c>
      <c r="DE3336" t="s">
        <v>2612</v>
      </c>
      <c r="DF3336" t="s">
        <v>2653</v>
      </c>
      <c r="DG3336" s="459" t="s">
        <v>885</v>
      </c>
      <c r="DH3336" t="s">
        <v>1480</v>
      </c>
      <c r="DI3336" t="s">
        <v>2775</v>
      </c>
      <c r="DJ3336" s="459" t="s">
        <v>885</v>
      </c>
      <c r="DK3336" t="s">
        <v>2241</v>
      </c>
      <c r="DL3336" s="459" t="s">
        <v>885</v>
      </c>
      <c r="DM3336" s="459" t="s">
        <v>885</v>
      </c>
      <c r="DN3336" t="s">
        <v>2896</v>
      </c>
      <c r="DO3336" t="s">
        <v>1477</v>
      </c>
      <c r="DP3336" t="s">
        <v>2971</v>
      </c>
      <c r="DQ3336" s="459" t="s">
        <v>885</v>
      </c>
      <c r="DR3336" s="459" t="s">
        <v>885</v>
      </c>
      <c r="DS3336" t="s">
        <v>3148</v>
      </c>
      <c r="DT3336" s="459" t="s">
        <v>885</v>
      </c>
      <c r="DU3336" s="459" t="s">
        <v>885</v>
      </c>
      <c r="DV3336" t="s">
        <v>3261</v>
      </c>
      <c r="DW3336" s="245" t="s">
        <v>885</v>
      </c>
      <c r="DX3336" s="245" t="s">
        <v>885</v>
      </c>
      <c r="DY3336" s="245"/>
      <c r="DZ3336" s="470" t="str">
        <f t="shared" si="162"/>
        <v/>
      </c>
      <c r="EA3336" s="470" t="str">
        <f t="shared" si="163"/>
        <v/>
      </c>
      <c r="EB3336" t="str">
        <f>EB3324</f>
        <v>Douglas Jeremy Duerr</v>
      </c>
      <c r="EC3336" t="str">
        <f>EC3324</f>
        <v>n</v>
      </c>
      <c r="EH3336" t="str">
        <f>EH3327</f>
        <v>Scott Ellington</v>
      </c>
      <c r="EI3336" s="473" t="s">
        <v>3294</v>
      </c>
      <c r="EJ3336" t="s">
        <v>3426</v>
      </c>
      <c r="EK3336" s="473" t="s">
        <v>3294</v>
      </c>
      <c r="EL3336" t="str">
        <f>EL3334</f>
        <v>Alonzo C. Payne</v>
      </c>
      <c r="EM3336" s="473" t="str">
        <f>EM3334</f>
        <v>D</v>
      </c>
    </row>
    <row r="3337" spans="1:143" ht="17.5" hidden="1" x14ac:dyDescent="0.35">
      <c r="A3337" s="567" t="s">
        <v>89</v>
      </c>
      <c r="B3337" s="567"/>
      <c r="C3337" s="567"/>
      <c r="D3337" s="567"/>
      <c r="E3337" s="567"/>
      <c r="F3337" s="567"/>
      <c r="BS3337" s="464" t="str">
        <f t="shared" si="165"/>
        <v>Midland County</v>
      </c>
      <c r="BZ3337" s="48" t="s">
        <v>1487</v>
      </c>
      <c r="CA3337" s="245" t="s">
        <v>885</v>
      </c>
      <c r="CB3337" s="245" t="s">
        <v>885</v>
      </c>
      <c r="CC3337" t="s">
        <v>1567</v>
      </c>
      <c r="CD3337" t="s">
        <v>1638</v>
      </c>
      <c r="CE3337" t="s">
        <v>1689</v>
      </c>
      <c r="CF3337" s="245" t="s">
        <v>885</v>
      </c>
      <c r="CG3337" s="245" t="s">
        <v>885</v>
      </c>
      <c r="CH3337" s="245" t="s">
        <v>885</v>
      </c>
      <c r="CI3337" t="s">
        <v>1746</v>
      </c>
      <c r="CJ3337" t="s">
        <v>1795</v>
      </c>
      <c r="CK3337" s="459" t="s">
        <v>885</v>
      </c>
      <c r="CL3337" s="459" t="s">
        <v>885</v>
      </c>
      <c r="CM3337" t="s">
        <v>1475</v>
      </c>
      <c r="CN3337" t="s">
        <v>1973</v>
      </c>
      <c r="CO3337" t="s">
        <v>2016</v>
      </c>
      <c r="CP3337" t="s">
        <v>1477</v>
      </c>
      <c r="CQ3337" t="s">
        <v>2135</v>
      </c>
      <c r="CR3337" t="s">
        <v>2218</v>
      </c>
      <c r="CS3337" s="459" t="s">
        <v>885</v>
      </c>
      <c r="CT3337" s="245" t="s">
        <v>885</v>
      </c>
      <c r="CU3337" t="s">
        <v>2296</v>
      </c>
      <c r="CV3337" t="s">
        <v>2354</v>
      </c>
      <c r="CW3337" t="s">
        <v>1485</v>
      </c>
      <c r="CX3337" t="s">
        <v>1556</v>
      </c>
      <c r="CY3337" s="459" t="s">
        <v>885</v>
      </c>
      <c r="CZ3337" t="s">
        <v>1558</v>
      </c>
      <c r="DA3337" s="459" t="s">
        <v>885</v>
      </c>
      <c r="DB3337" s="459" t="s">
        <v>885</v>
      </c>
      <c r="DC3337" s="459" t="s">
        <v>885</v>
      </c>
      <c r="DD3337" s="459" t="s">
        <v>885</v>
      </c>
      <c r="DE3337" t="s">
        <v>1854</v>
      </c>
      <c r="DF3337" t="s">
        <v>1474</v>
      </c>
      <c r="DG3337" s="459" t="s">
        <v>885</v>
      </c>
      <c r="DH3337" t="s">
        <v>1481</v>
      </c>
      <c r="DI3337" t="s">
        <v>2079</v>
      </c>
      <c r="DJ3337" s="459" t="s">
        <v>885</v>
      </c>
      <c r="DK3337" t="s">
        <v>1985</v>
      </c>
      <c r="DL3337" s="459" t="s">
        <v>885</v>
      </c>
      <c r="DM3337" s="459" t="s">
        <v>885</v>
      </c>
      <c r="DN3337" t="s">
        <v>2897</v>
      </c>
      <c r="DO3337" t="s">
        <v>1478</v>
      </c>
      <c r="DP3337" t="s">
        <v>1454</v>
      </c>
      <c r="DQ3337" s="459" t="s">
        <v>885</v>
      </c>
      <c r="DR3337" s="459" t="s">
        <v>885</v>
      </c>
      <c r="DS3337" t="s">
        <v>3149</v>
      </c>
      <c r="DT3337" s="459" t="s">
        <v>885</v>
      </c>
      <c r="DU3337" s="459" t="s">
        <v>885</v>
      </c>
      <c r="DV3337" t="s">
        <v>3262</v>
      </c>
      <c r="DW3337" s="245" t="s">
        <v>885</v>
      </c>
      <c r="DX3337" s="245" t="s">
        <v>885</v>
      </c>
      <c r="DY3337" s="245"/>
      <c r="DZ3337" s="470" t="str">
        <f t="shared" si="162"/>
        <v/>
      </c>
      <c r="EA3337" s="470" t="str">
        <f t="shared" si="163"/>
        <v/>
      </c>
      <c r="EB3337" t="s">
        <v>3322</v>
      </c>
      <c r="EC3337" s="471" t="s">
        <v>3288</v>
      </c>
      <c r="EH3337" t="str">
        <f>EH3329</f>
        <v>Andy Riner</v>
      </c>
      <c r="EI3337" s="473" t="s">
        <v>3294</v>
      </c>
      <c r="EJ3337" t="s">
        <v>3427</v>
      </c>
      <c r="EK3337" s="473" t="s">
        <v>3294</v>
      </c>
      <c r="EL3337" t="str">
        <f>EL3314</f>
        <v>Christian Champagne</v>
      </c>
      <c r="EM3337" s="473" t="str">
        <f>EM3314</f>
        <v>D</v>
      </c>
    </row>
    <row r="3338" spans="1:143" ht="14.5" hidden="1" x14ac:dyDescent="0.35">
      <c r="A3338" s="814"/>
      <c r="BB3338" s="48"/>
      <c r="BS3338" s="464" t="str">
        <f t="shared" si="165"/>
        <v>Missaukee County</v>
      </c>
      <c r="BZ3338" s="48" t="s">
        <v>1488</v>
      </c>
      <c r="CA3338" s="245" t="s">
        <v>885</v>
      </c>
      <c r="CB3338" s="245" t="s">
        <v>885</v>
      </c>
      <c r="CC3338" t="s">
        <v>1568</v>
      </c>
      <c r="CD3338" t="s">
        <v>1639</v>
      </c>
      <c r="CE3338" t="s">
        <v>1690</v>
      </c>
      <c r="CF3338" s="245" t="s">
        <v>885</v>
      </c>
      <c r="CG3338" s="245" t="s">
        <v>885</v>
      </c>
      <c r="CH3338" s="245" t="s">
        <v>885</v>
      </c>
      <c r="CI3338" t="s">
        <v>1747</v>
      </c>
      <c r="CJ3338" t="s">
        <v>1796</v>
      </c>
      <c r="CK3338" s="459" t="s">
        <v>885</v>
      </c>
      <c r="CL3338" s="459" t="s">
        <v>885</v>
      </c>
      <c r="CM3338" t="s">
        <v>1477</v>
      </c>
      <c r="CN3338" t="s">
        <v>1974</v>
      </c>
      <c r="CO3338" t="s">
        <v>2017</v>
      </c>
      <c r="CP3338" t="s">
        <v>1478</v>
      </c>
      <c r="CQ3338" t="s">
        <v>1554</v>
      </c>
      <c r="CR3338" t="s">
        <v>2219</v>
      </c>
      <c r="CS3338" s="459" t="s">
        <v>885</v>
      </c>
      <c r="CT3338" s="245" t="s">
        <v>885</v>
      </c>
      <c r="CU3338" t="s">
        <v>1480</v>
      </c>
      <c r="CV3338" t="s">
        <v>2355</v>
      </c>
      <c r="CW3338" t="s">
        <v>2400</v>
      </c>
      <c r="CX3338" t="s">
        <v>2016</v>
      </c>
      <c r="CY3338" s="459" t="s">
        <v>885</v>
      </c>
      <c r="CZ3338" t="s">
        <v>2517</v>
      </c>
      <c r="DA3338" s="459" t="s">
        <v>885</v>
      </c>
      <c r="DB3338" s="459" t="s">
        <v>885</v>
      </c>
      <c r="DC3338" s="459" t="s">
        <v>885</v>
      </c>
      <c r="DD3338" s="459" t="s">
        <v>885</v>
      </c>
      <c r="DE3338" t="s">
        <v>1495</v>
      </c>
      <c r="DF3338" t="s">
        <v>1475</v>
      </c>
      <c r="DG3338" s="459" t="s">
        <v>885</v>
      </c>
      <c r="DH3338" t="s">
        <v>1482</v>
      </c>
      <c r="DI3338" t="s">
        <v>2081</v>
      </c>
      <c r="DJ3338" s="459" t="s">
        <v>885</v>
      </c>
      <c r="DK3338" t="s">
        <v>2834</v>
      </c>
      <c r="DL3338" s="459" t="s">
        <v>885</v>
      </c>
      <c r="DM3338" s="459" t="s">
        <v>885</v>
      </c>
      <c r="DN3338" t="s">
        <v>2898</v>
      </c>
      <c r="DO3338" t="s">
        <v>2918</v>
      </c>
      <c r="DP3338" t="s">
        <v>1784</v>
      </c>
      <c r="DQ3338" s="459" t="s">
        <v>885</v>
      </c>
      <c r="DR3338" s="459" t="s">
        <v>885</v>
      </c>
      <c r="DS3338" t="s">
        <v>3150</v>
      </c>
      <c r="DT3338" s="459" t="s">
        <v>885</v>
      </c>
      <c r="DU3338" s="459" t="s">
        <v>885</v>
      </c>
      <c r="DV3338" t="s">
        <v>3263</v>
      </c>
      <c r="DW3338" s="245" t="s">
        <v>885</v>
      </c>
      <c r="DX3338" s="245" t="s">
        <v>885</v>
      </c>
      <c r="DY3338" s="245"/>
      <c r="DZ3338" s="470" t="str">
        <f t="shared" si="162"/>
        <v/>
      </c>
      <c r="EA3338" s="470" t="str">
        <f t="shared" si="163"/>
        <v/>
      </c>
      <c r="EB3338" t="s">
        <v>3323</v>
      </c>
      <c r="EC3338" s="471" t="s">
        <v>3283</v>
      </c>
      <c r="EH3338" t="str">
        <f>EH3316</f>
        <v>Jeff Phillips</v>
      </c>
      <c r="EI3338" s="473" t="s">
        <v>3294</v>
      </c>
      <c r="EJ3338" t="s">
        <v>3428</v>
      </c>
      <c r="EK3338" s="473" t="s">
        <v>3294</v>
      </c>
      <c r="EL3338" t="str">
        <f>EL3327</f>
        <v>Seth D. Ryan</v>
      </c>
      <c r="EM3338" s="473" t="str">
        <f>EM3327</f>
        <v>R</v>
      </c>
    </row>
    <row r="3339" spans="1:143" ht="14.5" hidden="1" x14ac:dyDescent="0.35">
      <c r="A3339" s="814"/>
      <c r="BB3339" s="48"/>
      <c r="BS3339" s="464" t="str">
        <f t="shared" si="165"/>
        <v>Monroe County</v>
      </c>
      <c r="CA3339" s="245"/>
      <c r="CB3339" s="245"/>
      <c r="CC3339"/>
      <c r="CD3339"/>
      <c r="CE3339"/>
      <c r="CF3339" s="245"/>
      <c r="CG3339" s="245"/>
      <c r="CH3339" s="245"/>
      <c r="CI3339"/>
      <c r="CJ3339"/>
      <c r="CK3339" s="459"/>
      <c r="CL3339" s="459"/>
      <c r="CM3339"/>
      <c r="CN3339"/>
      <c r="CO3339"/>
      <c r="CP3339"/>
      <c r="CQ3339"/>
      <c r="CR3339"/>
      <c r="CS3339" s="459"/>
      <c r="CT3339" s="245"/>
      <c r="CU3339"/>
      <c r="CV3339"/>
      <c r="CW3339"/>
      <c r="CX3339"/>
      <c r="CY3339" s="459"/>
      <c r="CZ3339"/>
      <c r="DA3339" s="459"/>
      <c r="DB3339" s="459"/>
      <c r="DC3339" s="459"/>
      <c r="DD3339" s="459"/>
      <c r="DE3339"/>
      <c r="DF3339"/>
      <c r="DG3339" s="459"/>
      <c r="DH3339"/>
      <c r="DI3339"/>
      <c r="DJ3339" s="459"/>
      <c r="DK3339"/>
      <c r="DL3339" s="459"/>
      <c r="DM3339" s="459"/>
      <c r="DN3339"/>
      <c r="DO3339"/>
      <c r="DP3339"/>
      <c r="DQ3339" s="459"/>
      <c r="DR3339" s="459"/>
      <c r="DS3339"/>
      <c r="DT3339" s="459"/>
      <c r="DU3339" s="459"/>
      <c r="DV3339"/>
      <c r="DW3339" s="245"/>
      <c r="DX3339" s="245"/>
      <c r="DY3339" s="245"/>
      <c r="DZ3339" s="470"/>
      <c r="EA3339" s="470"/>
      <c r="EB3339"/>
      <c r="EC3339" s="471"/>
      <c r="EH3339"/>
      <c r="EI3339" s="473"/>
      <c r="EJ3339"/>
      <c r="EK3339" s="473"/>
      <c r="EL3339"/>
      <c r="EM3339" s="473"/>
    </row>
    <row r="3340" spans="1:143" ht="14.5" hidden="1" x14ac:dyDescent="0.35">
      <c r="A3340" s="814"/>
      <c r="BB3340" s="48"/>
      <c r="BS3340" s="464"/>
      <c r="CA3340" s="245"/>
      <c r="CB3340" s="245"/>
      <c r="CC3340"/>
      <c r="CD3340"/>
      <c r="CE3340"/>
      <c r="CF3340" s="245"/>
      <c r="CG3340" s="245"/>
      <c r="CH3340" s="245"/>
      <c r="CI3340"/>
      <c r="CJ3340"/>
      <c r="CK3340" s="459"/>
      <c r="CL3340" s="459"/>
      <c r="CM3340"/>
      <c r="CN3340"/>
      <c r="CO3340"/>
      <c r="CP3340"/>
      <c r="CQ3340"/>
      <c r="CR3340"/>
      <c r="CS3340" s="459"/>
      <c r="CT3340" s="245"/>
      <c r="CU3340"/>
      <c r="CV3340"/>
      <c r="CW3340"/>
      <c r="CX3340"/>
      <c r="CY3340" s="459"/>
      <c r="CZ3340"/>
      <c r="DA3340" s="459"/>
      <c r="DB3340" s="459"/>
      <c r="DC3340" s="459"/>
      <c r="DD3340" s="459"/>
      <c r="DE3340"/>
      <c r="DF3340"/>
      <c r="DG3340" s="459"/>
      <c r="DH3340"/>
      <c r="DI3340"/>
      <c r="DJ3340" s="459"/>
      <c r="DK3340"/>
      <c r="DL3340" s="459"/>
      <c r="DM3340" s="459"/>
      <c r="DN3340"/>
      <c r="DO3340"/>
      <c r="DP3340"/>
      <c r="DQ3340" s="459"/>
      <c r="DR3340" s="459"/>
      <c r="DS3340"/>
      <c r="DT3340" s="459"/>
      <c r="DU3340" s="459"/>
      <c r="DV3340"/>
      <c r="DW3340" s="245"/>
      <c r="DX3340" s="245"/>
      <c r="DY3340" s="245"/>
      <c r="DZ3340" s="470"/>
      <c r="EA3340" s="470"/>
      <c r="EB3340"/>
      <c r="EC3340" s="471"/>
      <c r="EH3340"/>
      <c r="EI3340" s="473"/>
      <c r="EJ3340"/>
      <c r="EK3340" s="473"/>
      <c r="EL3340"/>
      <c r="EM3340" s="473"/>
    </row>
    <row r="3341" spans="1:143" ht="14.5" hidden="1" x14ac:dyDescent="0.35">
      <c r="A3341" s="814"/>
      <c r="BB3341" s="48"/>
      <c r="BS3341" s="464"/>
      <c r="CA3341" s="245"/>
      <c r="CB3341" s="245"/>
      <c r="CC3341"/>
      <c r="CD3341"/>
      <c r="CE3341"/>
      <c r="CF3341" s="245"/>
      <c r="CG3341" s="245"/>
      <c r="CH3341" s="245"/>
      <c r="CI3341"/>
      <c r="CJ3341"/>
      <c r="CK3341" s="459"/>
      <c r="CL3341" s="459"/>
      <c r="CM3341"/>
      <c r="CN3341"/>
      <c r="CO3341"/>
      <c r="CP3341"/>
      <c r="CQ3341"/>
      <c r="CR3341"/>
      <c r="CS3341" s="459"/>
      <c r="CT3341" s="245"/>
      <c r="CU3341"/>
      <c r="CV3341"/>
      <c r="CW3341"/>
      <c r="CX3341"/>
      <c r="CY3341" s="459"/>
      <c r="CZ3341"/>
      <c r="DA3341" s="459"/>
      <c r="DB3341" s="459"/>
      <c r="DC3341" s="459"/>
      <c r="DD3341" s="459"/>
      <c r="DE3341"/>
      <c r="DF3341"/>
      <c r="DG3341" s="459"/>
      <c r="DH3341"/>
      <c r="DI3341"/>
      <c r="DJ3341" s="459"/>
      <c r="DK3341"/>
      <c r="DL3341" s="459"/>
      <c r="DM3341" s="459"/>
      <c r="DN3341"/>
      <c r="DO3341"/>
      <c r="DP3341"/>
      <c r="DQ3341" s="459"/>
      <c r="DR3341" s="459"/>
      <c r="DS3341"/>
      <c r="DT3341" s="459"/>
      <c r="DU3341" s="459"/>
      <c r="DV3341"/>
      <c r="DW3341" s="245"/>
      <c r="DX3341" s="245"/>
      <c r="DY3341" s="245"/>
      <c r="DZ3341" s="470"/>
      <c r="EA3341" s="470"/>
      <c r="EB3341"/>
      <c r="EC3341" s="471"/>
      <c r="EH3341"/>
      <c r="EI3341" s="473"/>
      <c r="EJ3341"/>
      <c r="EK3341" s="473"/>
      <c r="EL3341"/>
      <c r="EM3341" s="473"/>
    </row>
    <row r="3342" spans="1:143" ht="14.5" hidden="1" x14ac:dyDescent="0.35">
      <c r="A3342" s="814"/>
      <c r="BB3342" s="48"/>
      <c r="BS3342" s="464"/>
      <c r="CA3342" s="245"/>
      <c r="CB3342" s="245"/>
      <c r="CC3342"/>
      <c r="CD3342"/>
      <c r="CE3342"/>
      <c r="CF3342" s="245"/>
      <c r="CG3342" s="245"/>
      <c r="CH3342" s="245"/>
      <c r="CI3342"/>
      <c r="CJ3342"/>
      <c r="CK3342" s="459"/>
      <c r="CL3342" s="459"/>
      <c r="CM3342"/>
      <c r="CN3342"/>
      <c r="CO3342"/>
      <c r="CP3342"/>
      <c r="CQ3342"/>
      <c r="CR3342"/>
      <c r="CS3342" s="459"/>
      <c r="CT3342" s="245"/>
      <c r="CU3342"/>
      <c r="CV3342"/>
      <c r="CW3342"/>
      <c r="CX3342"/>
      <c r="CY3342" s="459"/>
      <c r="CZ3342"/>
      <c r="DA3342" s="459"/>
      <c r="DB3342" s="459"/>
      <c r="DC3342" s="459"/>
      <c r="DD3342" s="459"/>
      <c r="DE3342"/>
      <c r="DF3342"/>
      <c r="DG3342" s="459"/>
      <c r="DH3342"/>
      <c r="DI3342"/>
      <c r="DJ3342" s="459"/>
      <c r="DK3342"/>
      <c r="DL3342" s="459"/>
      <c r="DM3342" s="459"/>
      <c r="DN3342"/>
      <c r="DO3342"/>
      <c r="DP3342"/>
      <c r="DQ3342" s="459"/>
      <c r="DR3342" s="459"/>
      <c r="DS3342"/>
      <c r="DT3342" s="459"/>
      <c r="DU3342" s="459"/>
      <c r="DV3342"/>
      <c r="DW3342" s="245"/>
      <c r="DX3342" s="245"/>
      <c r="DY3342" s="245"/>
      <c r="DZ3342" s="470"/>
      <c r="EA3342" s="470"/>
      <c r="EB3342"/>
      <c r="EC3342" s="471"/>
      <c r="EH3342"/>
      <c r="EI3342" s="473"/>
      <c r="EJ3342"/>
      <c r="EK3342" s="473"/>
      <c r="EL3342"/>
      <c r="EM3342" s="473"/>
    </row>
    <row r="3343" spans="1:143" ht="14.5" hidden="1" x14ac:dyDescent="0.35">
      <c r="A3343" s="814"/>
      <c r="BB3343" s="48"/>
      <c r="BS3343" s="464"/>
      <c r="CA3343" s="245"/>
      <c r="CB3343" s="245"/>
      <c r="CC3343"/>
      <c r="CD3343"/>
      <c r="CE3343"/>
      <c r="CF3343" s="245"/>
      <c r="CG3343" s="245"/>
      <c r="CH3343" s="245"/>
      <c r="CI3343"/>
      <c r="CJ3343"/>
      <c r="CK3343" s="459"/>
      <c r="CL3343" s="459"/>
      <c r="CM3343"/>
      <c r="CN3343"/>
      <c r="CO3343"/>
      <c r="CP3343"/>
      <c r="CQ3343"/>
      <c r="CR3343"/>
      <c r="CS3343" s="459"/>
      <c r="CT3343" s="245"/>
      <c r="CU3343"/>
      <c r="CV3343"/>
      <c r="CW3343"/>
      <c r="CX3343"/>
      <c r="CY3343" s="459"/>
      <c r="CZ3343"/>
      <c r="DA3343" s="459"/>
      <c r="DB3343" s="459"/>
      <c r="DC3343" s="459"/>
      <c r="DD3343" s="459"/>
      <c r="DE3343"/>
      <c r="DF3343"/>
      <c r="DG3343" s="459"/>
      <c r="DH3343"/>
      <c r="DI3343"/>
      <c r="DJ3343" s="459"/>
      <c r="DK3343"/>
      <c r="DL3343" s="459"/>
      <c r="DM3343" s="459"/>
      <c r="DN3343"/>
      <c r="DO3343"/>
      <c r="DP3343"/>
      <c r="DQ3343" s="459"/>
      <c r="DR3343" s="459"/>
      <c r="DS3343"/>
      <c r="DT3343" s="459"/>
      <c r="DU3343" s="459"/>
      <c r="DV3343"/>
      <c r="DW3343" s="245"/>
      <c r="DX3343" s="245"/>
      <c r="DY3343" s="245"/>
      <c r="DZ3343" s="470"/>
      <c r="EA3343" s="470"/>
      <c r="EB3343"/>
      <c r="EC3343" s="471"/>
      <c r="EH3343"/>
      <c r="EI3343" s="473"/>
      <c r="EJ3343"/>
      <c r="EK3343" s="473"/>
      <c r="EL3343"/>
      <c r="EM3343" s="473"/>
    </row>
    <row r="3344" spans="1:143" ht="14.5" hidden="1" x14ac:dyDescent="0.35">
      <c r="A3344" s="814"/>
      <c r="BB3344" s="48"/>
      <c r="BS3344" s="464"/>
      <c r="CA3344" s="245"/>
      <c r="CB3344" s="245"/>
      <c r="CC3344"/>
      <c r="CD3344"/>
      <c r="CE3344"/>
      <c r="CF3344" s="245"/>
      <c r="CG3344" s="245"/>
      <c r="CH3344" s="245"/>
      <c r="CI3344"/>
      <c r="CJ3344"/>
      <c r="CK3344" s="459"/>
      <c r="CL3344" s="459"/>
      <c r="CM3344"/>
      <c r="CN3344"/>
      <c r="CO3344"/>
      <c r="CP3344"/>
      <c r="CQ3344"/>
      <c r="CR3344"/>
      <c r="CS3344" s="459"/>
      <c r="CT3344" s="245"/>
      <c r="CU3344"/>
      <c r="CV3344"/>
      <c r="CW3344"/>
      <c r="CX3344"/>
      <c r="CY3344" s="459"/>
      <c r="CZ3344"/>
      <c r="DA3344" s="459"/>
      <c r="DB3344" s="459"/>
      <c r="DC3344" s="459"/>
      <c r="DD3344" s="459"/>
      <c r="DE3344"/>
      <c r="DF3344"/>
      <c r="DG3344" s="459"/>
      <c r="DH3344"/>
      <c r="DI3344"/>
      <c r="DJ3344" s="459"/>
      <c r="DK3344"/>
      <c r="DL3344" s="459"/>
      <c r="DM3344" s="459"/>
      <c r="DN3344"/>
      <c r="DO3344"/>
      <c r="DP3344"/>
      <c r="DQ3344" s="459"/>
      <c r="DR3344" s="459"/>
      <c r="DS3344"/>
      <c r="DT3344" s="459"/>
      <c r="DU3344" s="459"/>
      <c r="DV3344"/>
      <c r="DW3344" s="245"/>
      <c r="DX3344" s="245"/>
      <c r="DY3344" s="245"/>
      <c r="DZ3344" s="470"/>
      <c r="EA3344" s="470"/>
      <c r="EB3344"/>
      <c r="EC3344" s="471"/>
      <c r="EH3344"/>
      <c r="EI3344" s="473"/>
      <c r="EJ3344"/>
      <c r="EK3344" s="473"/>
      <c r="EL3344"/>
      <c r="EM3344" s="473"/>
    </row>
    <row r="3345" spans="1:143" ht="14.5" hidden="1" x14ac:dyDescent="0.35">
      <c r="A3345" s="814"/>
      <c r="BB3345" s="48"/>
      <c r="BS3345" s="464"/>
      <c r="CA3345" s="245"/>
      <c r="CB3345" s="245"/>
      <c r="CC3345"/>
      <c r="CD3345"/>
      <c r="CE3345"/>
      <c r="CF3345" s="245"/>
      <c r="CG3345" s="245"/>
      <c r="CH3345" s="245"/>
      <c r="CI3345"/>
      <c r="CJ3345"/>
      <c r="CK3345" s="459"/>
      <c r="CL3345" s="459"/>
      <c r="CM3345"/>
      <c r="CN3345"/>
      <c r="CO3345"/>
      <c r="CP3345"/>
      <c r="CQ3345"/>
      <c r="CR3345"/>
      <c r="CS3345" s="459"/>
      <c r="CT3345" s="245"/>
      <c r="CU3345"/>
      <c r="CV3345"/>
      <c r="CW3345"/>
      <c r="CX3345"/>
      <c r="CY3345" s="459"/>
      <c r="CZ3345"/>
      <c r="DA3345" s="459"/>
      <c r="DB3345" s="459"/>
      <c r="DC3345" s="459"/>
      <c r="DD3345" s="459"/>
      <c r="DE3345"/>
      <c r="DF3345"/>
      <c r="DG3345" s="459"/>
      <c r="DH3345"/>
      <c r="DI3345"/>
      <c r="DJ3345" s="459"/>
      <c r="DK3345"/>
      <c r="DL3345" s="459"/>
      <c r="DM3345" s="459"/>
      <c r="DN3345"/>
      <c r="DO3345"/>
      <c r="DP3345"/>
      <c r="DQ3345" s="459"/>
      <c r="DR3345" s="459"/>
      <c r="DS3345"/>
      <c r="DT3345" s="459"/>
      <c r="DU3345" s="459"/>
      <c r="DV3345"/>
      <c r="DW3345" s="245"/>
      <c r="DX3345" s="245"/>
      <c r="DY3345" s="245"/>
      <c r="DZ3345" s="470"/>
      <c r="EA3345" s="470"/>
      <c r="EB3345"/>
      <c r="EC3345" s="471"/>
      <c r="EH3345"/>
      <c r="EI3345" s="473"/>
      <c r="EJ3345"/>
      <c r="EK3345" s="473"/>
      <c r="EL3345"/>
      <c r="EM3345" s="473"/>
    </row>
    <row r="3346" spans="1:143" ht="14.5" hidden="1" x14ac:dyDescent="0.35">
      <c r="A3346" s="814"/>
      <c r="BB3346" s="48"/>
      <c r="BS3346" s="464"/>
      <c r="CA3346" s="245"/>
      <c r="CB3346" s="245"/>
      <c r="CC3346"/>
      <c r="CD3346"/>
      <c r="CE3346"/>
      <c r="CF3346" s="245"/>
      <c r="CG3346" s="245"/>
      <c r="CH3346" s="245"/>
      <c r="CI3346"/>
      <c r="CJ3346"/>
      <c r="CK3346" s="459"/>
      <c r="CL3346" s="459"/>
      <c r="CM3346"/>
      <c r="CN3346"/>
      <c r="CO3346"/>
      <c r="CP3346"/>
      <c r="CQ3346"/>
      <c r="CR3346"/>
      <c r="CS3346" s="459"/>
      <c r="CT3346" s="245"/>
      <c r="CU3346"/>
      <c r="CV3346"/>
      <c r="CW3346"/>
      <c r="CX3346"/>
      <c r="CY3346" s="459"/>
      <c r="CZ3346"/>
      <c r="DA3346" s="459"/>
      <c r="DB3346" s="459"/>
      <c r="DC3346" s="459"/>
      <c r="DD3346" s="459"/>
      <c r="DE3346"/>
      <c r="DF3346"/>
      <c r="DG3346" s="459"/>
      <c r="DH3346"/>
      <c r="DI3346"/>
      <c r="DJ3346" s="459"/>
      <c r="DK3346"/>
      <c r="DL3346" s="459"/>
      <c r="DM3346" s="459"/>
      <c r="DN3346"/>
      <c r="DO3346"/>
      <c r="DP3346"/>
      <c r="DQ3346" s="459"/>
      <c r="DR3346" s="459"/>
      <c r="DS3346"/>
      <c r="DT3346" s="459"/>
      <c r="DU3346" s="459"/>
      <c r="DV3346"/>
      <c r="DW3346" s="245"/>
      <c r="DX3346" s="245"/>
      <c r="DY3346" s="245"/>
      <c r="DZ3346" s="470"/>
      <c r="EA3346" s="470"/>
      <c r="EB3346"/>
      <c r="EC3346" s="471"/>
      <c r="EH3346"/>
      <c r="EI3346" s="473"/>
      <c r="EJ3346"/>
      <c r="EK3346" s="473"/>
      <c r="EL3346"/>
      <c r="EM3346" s="473"/>
    </row>
    <row r="3347" spans="1:143" ht="14.5" hidden="1" x14ac:dyDescent="0.35">
      <c r="A3347" s="814"/>
      <c r="BB3347" s="48"/>
      <c r="BS3347" s="464"/>
      <c r="CA3347" s="245"/>
      <c r="CB3347" s="245"/>
      <c r="CC3347"/>
      <c r="CD3347"/>
      <c r="CE3347"/>
      <c r="CF3347" s="245"/>
      <c r="CG3347" s="245"/>
      <c r="CH3347" s="245"/>
      <c r="CI3347"/>
      <c r="CJ3347"/>
      <c r="CK3347" s="459"/>
      <c r="CL3347" s="459"/>
      <c r="CM3347"/>
      <c r="CN3347"/>
      <c r="CO3347"/>
      <c r="CP3347"/>
      <c r="CQ3347"/>
      <c r="CR3347"/>
      <c r="CS3347" s="459"/>
      <c r="CT3347" s="245"/>
      <c r="CU3347"/>
      <c r="CV3347"/>
      <c r="CW3347"/>
      <c r="CX3347"/>
      <c r="CY3347" s="459"/>
      <c r="CZ3347"/>
      <c r="DA3347" s="459"/>
      <c r="DB3347" s="459"/>
      <c r="DC3347" s="459"/>
      <c r="DD3347" s="459"/>
      <c r="DE3347"/>
      <c r="DF3347"/>
      <c r="DG3347" s="459"/>
      <c r="DH3347"/>
      <c r="DI3347"/>
      <c r="DJ3347" s="459"/>
      <c r="DK3347"/>
      <c r="DL3347" s="459"/>
      <c r="DM3347" s="459"/>
      <c r="DN3347"/>
      <c r="DO3347"/>
      <c r="DP3347"/>
      <c r="DQ3347" s="459"/>
      <c r="DR3347" s="459"/>
      <c r="DS3347"/>
      <c r="DT3347" s="459"/>
      <c r="DU3347" s="459"/>
      <c r="DV3347"/>
      <c r="DW3347" s="245"/>
      <c r="DX3347" s="245"/>
      <c r="DY3347" s="245"/>
      <c r="DZ3347" s="470"/>
      <c r="EA3347" s="470"/>
      <c r="EB3347"/>
      <c r="EC3347" s="471"/>
      <c r="EH3347"/>
      <c r="EI3347" s="473"/>
      <c r="EJ3347"/>
      <c r="EK3347" s="473"/>
      <c r="EL3347"/>
      <c r="EM3347" s="473"/>
    </row>
    <row r="3348" spans="1:143" ht="14.5" hidden="1" x14ac:dyDescent="0.35">
      <c r="A3348" s="814"/>
      <c r="BB3348" s="48"/>
      <c r="BS3348" s="464"/>
      <c r="CA3348" s="245"/>
      <c r="CB3348" s="245"/>
      <c r="CC3348"/>
      <c r="CD3348"/>
      <c r="CE3348"/>
      <c r="CF3348" s="245"/>
      <c r="CG3348" s="245"/>
      <c r="CH3348" s="245"/>
      <c r="CI3348"/>
      <c r="CJ3348"/>
      <c r="CK3348" s="459"/>
      <c r="CL3348" s="459"/>
      <c r="CM3348"/>
      <c r="CN3348"/>
      <c r="CO3348"/>
      <c r="CP3348"/>
      <c r="CQ3348"/>
      <c r="CR3348"/>
      <c r="CS3348" s="459"/>
      <c r="CT3348" s="245"/>
      <c r="CU3348"/>
      <c r="CV3348"/>
      <c r="CW3348"/>
      <c r="CX3348"/>
      <c r="CY3348" s="459"/>
      <c r="CZ3348"/>
      <c r="DA3348" s="459"/>
      <c r="DB3348" s="459"/>
      <c r="DC3348" s="459"/>
      <c r="DD3348" s="459"/>
      <c r="DE3348"/>
      <c r="DF3348"/>
      <c r="DG3348" s="459"/>
      <c r="DH3348"/>
      <c r="DI3348"/>
      <c r="DJ3348" s="459"/>
      <c r="DK3348"/>
      <c r="DL3348" s="459"/>
      <c r="DM3348" s="459"/>
      <c r="DN3348"/>
      <c r="DO3348"/>
      <c r="DP3348"/>
      <c r="DQ3348" s="459"/>
      <c r="DR3348" s="459"/>
      <c r="DS3348"/>
      <c r="DT3348" s="459"/>
      <c r="DU3348" s="459"/>
      <c r="DV3348"/>
      <c r="DW3348" s="245"/>
      <c r="DX3348" s="245"/>
      <c r="DY3348" s="245"/>
      <c r="DZ3348" s="470"/>
      <c r="EA3348" s="470"/>
      <c r="EB3348"/>
      <c r="EC3348" s="471"/>
      <c r="EH3348"/>
      <c r="EI3348" s="473"/>
      <c r="EJ3348"/>
      <c r="EK3348" s="473"/>
      <c r="EL3348"/>
      <c r="EM3348" s="473"/>
    </row>
    <row r="3349" spans="1:143" ht="14.5" hidden="1" x14ac:dyDescent="0.35">
      <c r="A3349" s="814"/>
      <c r="BB3349" s="48"/>
      <c r="BS3349" s="464"/>
      <c r="CA3349" s="245"/>
      <c r="CB3349" s="245"/>
      <c r="CC3349"/>
      <c r="CD3349"/>
      <c r="CE3349"/>
      <c r="CF3349" s="245"/>
      <c r="CG3349" s="245"/>
      <c r="CH3349" s="245"/>
      <c r="CI3349"/>
      <c r="CJ3349"/>
      <c r="CK3349" s="459"/>
      <c r="CL3349" s="459"/>
      <c r="CM3349"/>
      <c r="CN3349"/>
      <c r="CO3349"/>
      <c r="CP3349"/>
      <c r="CQ3349"/>
      <c r="CR3349"/>
      <c r="CS3349" s="459"/>
      <c r="CT3349" s="245"/>
      <c r="CU3349"/>
      <c r="CV3349"/>
      <c r="CW3349"/>
      <c r="CX3349"/>
      <c r="CY3349" s="459"/>
      <c r="CZ3349"/>
      <c r="DA3349" s="459"/>
      <c r="DB3349" s="459"/>
      <c r="DC3349" s="459"/>
      <c r="DD3349" s="459"/>
      <c r="DE3349"/>
      <c r="DF3349"/>
      <c r="DG3349" s="459"/>
      <c r="DH3349"/>
      <c r="DI3349"/>
      <c r="DJ3349" s="459"/>
      <c r="DK3349"/>
      <c r="DL3349" s="459"/>
      <c r="DM3349" s="459"/>
      <c r="DN3349"/>
      <c r="DO3349"/>
      <c r="DP3349"/>
      <c r="DQ3349" s="459"/>
      <c r="DR3349" s="459"/>
      <c r="DS3349"/>
      <c r="DT3349" s="459"/>
      <c r="DU3349" s="459"/>
      <c r="DV3349"/>
      <c r="DW3349" s="245"/>
      <c r="DX3349" s="245"/>
      <c r="DY3349" s="245"/>
      <c r="DZ3349" s="470"/>
      <c r="EA3349" s="470"/>
      <c r="EB3349"/>
      <c r="EC3349" s="471"/>
      <c r="EH3349"/>
      <c r="EI3349" s="473"/>
      <c r="EJ3349"/>
      <c r="EK3349" s="473"/>
      <c r="EL3349"/>
      <c r="EM3349" s="473"/>
    </row>
    <row r="3350" spans="1:143" ht="14.5" hidden="1" x14ac:dyDescent="0.35">
      <c r="A3350" s="814"/>
      <c r="BB3350" s="48"/>
      <c r="BS3350" s="464"/>
      <c r="CA3350" s="245"/>
      <c r="CB3350" s="245"/>
      <c r="CC3350"/>
      <c r="CD3350"/>
      <c r="CE3350"/>
      <c r="CF3350" s="245"/>
      <c r="CG3350" s="245"/>
      <c r="CH3350" s="245"/>
      <c r="CI3350"/>
      <c r="CJ3350"/>
      <c r="CK3350" s="459"/>
      <c r="CL3350" s="459"/>
      <c r="CM3350"/>
      <c r="CN3350"/>
      <c r="CO3350"/>
      <c r="CP3350"/>
      <c r="CQ3350"/>
      <c r="CR3350"/>
      <c r="CS3350" s="459"/>
      <c r="CT3350" s="245"/>
      <c r="CU3350"/>
      <c r="CV3350"/>
      <c r="CW3350"/>
      <c r="CX3350"/>
      <c r="CY3350" s="459"/>
      <c r="CZ3350"/>
      <c r="DA3350" s="459"/>
      <c r="DB3350" s="459"/>
      <c r="DC3350" s="459"/>
      <c r="DD3350" s="459"/>
      <c r="DE3350"/>
      <c r="DF3350"/>
      <c r="DG3350" s="459"/>
      <c r="DH3350"/>
      <c r="DI3350"/>
      <c r="DJ3350" s="459"/>
      <c r="DK3350"/>
      <c r="DL3350" s="459"/>
      <c r="DM3350" s="459"/>
      <c r="DN3350"/>
      <c r="DO3350"/>
      <c r="DP3350"/>
      <c r="DQ3350" s="459"/>
      <c r="DR3350" s="459"/>
      <c r="DS3350"/>
      <c r="DT3350" s="459"/>
      <c r="DU3350" s="459"/>
      <c r="DV3350"/>
      <c r="DW3350" s="245"/>
      <c r="DX3350" s="245"/>
      <c r="DY3350" s="245"/>
      <c r="DZ3350" s="470"/>
      <c r="EA3350" s="470"/>
      <c r="EB3350"/>
      <c r="EC3350" s="471"/>
      <c r="EH3350"/>
      <c r="EI3350" s="473"/>
      <c r="EJ3350"/>
      <c r="EK3350" s="473"/>
      <c r="EL3350"/>
      <c r="EM3350" s="473"/>
    </row>
    <row r="3351" spans="1:143" ht="14.5" hidden="1" x14ac:dyDescent="0.35">
      <c r="A3351" s="814"/>
      <c r="BB3351" s="48"/>
      <c r="BS3351" s="464"/>
      <c r="CA3351" s="245"/>
      <c r="CB3351" s="245"/>
      <c r="CC3351"/>
      <c r="CD3351"/>
      <c r="CE3351"/>
      <c r="CF3351" s="245"/>
      <c r="CG3351" s="245"/>
      <c r="CH3351" s="245"/>
      <c r="CI3351"/>
      <c r="CJ3351"/>
      <c r="CK3351" s="459"/>
      <c r="CL3351" s="459"/>
      <c r="CM3351"/>
      <c r="CN3351"/>
      <c r="CO3351"/>
      <c r="CP3351"/>
      <c r="CQ3351"/>
      <c r="CR3351"/>
      <c r="CS3351" s="459"/>
      <c r="CT3351" s="245"/>
      <c r="CU3351"/>
      <c r="CV3351"/>
      <c r="CW3351"/>
      <c r="CX3351"/>
      <c r="CY3351" s="459"/>
      <c r="CZ3351"/>
      <c r="DA3351" s="459"/>
      <c r="DB3351" s="459"/>
      <c r="DC3351" s="459"/>
      <c r="DD3351" s="459"/>
      <c r="DE3351"/>
      <c r="DF3351"/>
      <c r="DG3351" s="459"/>
      <c r="DH3351"/>
      <c r="DI3351"/>
      <c r="DJ3351" s="459"/>
      <c r="DK3351"/>
      <c r="DL3351" s="459"/>
      <c r="DM3351" s="459"/>
      <c r="DN3351"/>
      <c r="DO3351"/>
      <c r="DP3351"/>
      <c r="DQ3351" s="459"/>
      <c r="DR3351" s="459"/>
      <c r="DS3351"/>
      <c r="DT3351" s="459"/>
      <c r="DU3351" s="459"/>
      <c r="DV3351"/>
      <c r="DW3351" s="245"/>
      <c r="DX3351" s="245"/>
      <c r="DY3351" s="245"/>
      <c r="DZ3351" s="470"/>
      <c r="EA3351" s="470"/>
      <c r="EB3351"/>
      <c r="EC3351" s="471"/>
      <c r="EH3351"/>
      <c r="EI3351" s="473"/>
      <c r="EJ3351"/>
      <c r="EK3351" s="473"/>
      <c r="EL3351"/>
      <c r="EM3351" s="473"/>
    </row>
    <row r="3352" spans="1:143" ht="14.5" hidden="1" x14ac:dyDescent="0.35">
      <c r="A3352" s="814"/>
      <c r="BB3352" s="48"/>
      <c r="BS3352" s="464"/>
      <c r="CA3352" s="245"/>
      <c r="CB3352" s="245"/>
      <c r="CC3352"/>
      <c r="CD3352"/>
      <c r="CE3352"/>
      <c r="CF3352" s="245"/>
      <c r="CG3352" s="245"/>
      <c r="CH3352" s="245"/>
      <c r="CI3352"/>
      <c r="CJ3352"/>
      <c r="CK3352" s="459"/>
      <c r="CL3352" s="459"/>
      <c r="CM3352"/>
      <c r="CN3352"/>
      <c r="CO3352"/>
      <c r="CP3352"/>
      <c r="CQ3352"/>
      <c r="CR3352"/>
      <c r="CS3352" s="459"/>
      <c r="CT3352" s="245"/>
      <c r="CU3352"/>
      <c r="CV3352"/>
      <c r="CW3352"/>
      <c r="CX3352"/>
      <c r="CY3352" s="459"/>
      <c r="CZ3352"/>
      <c r="DA3352" s="459"/>
      <c r="DB3352" s="459"/>
      <c r="DC3352" s="459"/>
      <c r="DD3352" s="459"/>
      <c r="DE3352"/>
      <c r="DF3352"/>
      <c r="DG3352" s="459"/>
      <c r="DH3352"/>
      <c r="DI3352"/>
      <c r="DJ3352" s="459"/>
      <c r="DK3352"/>
      <c r="DL3352" s="459"/>
      <c r="DM3352" s="459"/>
      <c r="DN3352"/>
      <c r="DO3352"/>
      <c r="DP3352"/>
      <c r="DQ3352" s="459"/>
      <c r="DR3352" s="459"/>
      <c r="DS3352"/>
      <c r="DT3352" s="459"/>
      <c r="DU3352" s="459"/>
      <c r="DV3352"/>
      <c r="DW3352" s="245"/>
      <c r="DX3352" s="245"/>
      <c r="DY3352" s="245"/>
      <c r="DZ3352" s="470"/>
      <c r="EA3352" s="470"/>
      <c r="EB3352"/>
      <c r="EC3352" s="471"/>
      <c r="EH3352"/>
      <c r="EI3352" s="473"/>
      <c r="EJ3352"/>
      <c r="EK3352" s="473"/>
      <c r="EL3352"/>
      <c r="EM3352" s="473"/>
    </row>
    <row r="3353" spans="1:143" ht="14.5" hidden="1" x14ac:dyDescent="0.35">
      <c r="A3353" s="814"/>
      <c r="BB3353" s="48"/>
      <c r="BS3353" s="464"/>
      <c r="CA3353" s="245"/>
      <c r="CB3353" s="245"/>
      <c r="CC3353"/>
      <c r="CD3353"/>
      <c r="CE3353"/>
      <c r="CF3353" s="245"/>
      <c r="CG3353" s="245"/>
      <c r="CH3353" s="245"/>
      <c r="CI3353"/>
      <c r="CJ3353"/>
      <c r="CK3353" s="459"/>
      <c r="CL3353" s="459"/>
      <c r="CM3353"/>
      <c r="CN3353"/>
      <c r="CO3353"/>
      <c r="CP3353"/>
      <c r="CQ3353"/>
      <c r="CR3353"/>
      <c r="CS3353" s="459"/>
      <c r="CT3353" s="245"/>
      <c r="CU3353"/>
      <c r="CV3353"/>
      <c r="CW3353"/>
      <c r="CX3353"/>
      <c r="CY3353" s="459"/>
      <c r="CZ3353"/>
      <c r="DA3353" s="459"/>
      <c r="DB3353" s="459"/>
      <c r="DC3353" s="459"/>
      <c r="DD3353" s="459"/>
      <c r="DE3353"/>
      <c r="DF3353"/>
      <c r="DG3353" s="459"/>
      <c r="DH3353"/>
      <c r="DI3353"/>
      <c r="DJ3353" s="459"/>
      <c r="DK3353"/>
      <c r="DL3353" s="459"/>
      <c r="DM3353" s="459"/>
      <c r="DN3353"/>
      <c r="DO3353"/>
      <c r="DP3353"/>
      <c r="DQ3353" s="459"/>
      <c r="DR3353" s="459"/>
      <c r="DS3353"/>
      <c r="DT3353" s="459"/>
      <c r="DU3353" s="459"/>
      <c r="DV3353"/>
      <c r="DW3353" s="245"/>
      <c r="DX3353" s="245"/>
      <c r="DY3353" s="245"/>
      <c r="DZ3353" s="470"/>
      <c r="EA3353" s="470"/>
      <c r="EB3353"/>
      <c r="EC3353" s="471"/>
      <c r="EH3353"/>
      <c r="EI3353" s="473"/>
      <c r="EJ3353"/>
      <c r="EK3353" s="473"/>
      <c r="EL3353"/>
      <c r="EM3353" s="473"/>
    </row>
    <row r="3354" spans="1:143" ht="14.5" hidden="1" x14ac:dyDescent="0.35">
      <c r="A3354" s="814"/>
      <c r="BB3354" s="48"/>
      <c r="BS3354" s="464"/>
      <c r="CA3354" s="245"/>
      <c r="CB3354" s="245"/>
      <c r="CC3354"/>
      <c r="CD3354"/>
      <c r="CE3354"/>
      <c r="CF3354" s="245"/>
      <c r="CG3354" s="245"/>
      <c r="CH3354" s="245"/>
      <c r="CI3354"/>
      <c r="CJ3354"/>
      <c r="CK3354" s="459"/>
      <c r="CL3354" s="459"/>
      <c r="CM3354"/>
      <c r="CN3354"/>
      <c r="CO3354"/>
      <c r="CP3354"/>
      <c r="CQ3354"/>
      <c r="CR3354"/>
      <c r="CS3354" s="459"/>
      <c r="CT3354" s="245"/>
      <c r="CU3354"/>
      <c r="CV3354"/>
      <c r="CW3354"/>
      <c r="CX3354"/>
      <c r="CY3354" s="459"/>
      <c r="CZ3354"/>
      <c r="DA3354" s="459"/>
      <c r="DB3354" s="459"/>
      <c r="DC3354" s="459"/>
      <c r="DD3354" s="459"/>
      <c r="DE3354"/>
      <c r="DF3354"/>
      <c r="DG3354" s="459"/>
      <c r="DH3354"/>
      <c r="DI3354"/>
      <c r="DJ3354" s="459"/>
      <c r="DK3354"/>
      <c r="DL3354" s="459"/>
      <c r="DM3354" s="459"/>
      <c r="DN3354"/>
      <c r="DO3354"/>
      <c r="DP3354"/>
      <c r="DQ3354" s="459"/>
      <c r="DR3354" s="459"/>
      <c r="DS3354"/>
      <c r="DT3354" s="459"/>
      <c r="DU3354" s="459"/>
      <c r="DV3354"/>
      <c r="DW3354" s="245"/>
      <c r="DX3354" s="245"/>
      <c r="DY3354" s="245"/>
      <c r="DZ3354" s="470"/>
      <c r="EA3354" s="470"/>
      <c r="EB3354"/>
      <c r="EC3354" s="471"/>
      <c r="EH3354"/>
      <c r="EI3354" s="473"/>
      <c r="EJ3354"/>
      <c r="EK3354" s="473"/>
      <c r="EL3354"/>
      <c r="EM3354" s="473"/>
    </row>
    <row r="3355" spans="1:143" ht="14.5" hidden="1" x14ac:dyDescent="0.35">
      <c r="A3355" s="814"/>
      <c r="BB3355" s="48"/>
      <c r="BS3355" s="464"/>
      <c r="CA3355" s="245"/>
      <c r="CB3355" s="245"/>
      <c r="CC3355"/>
      <c r="CD3355"/>
      <c r="CE3355"/>
      <c r="CF3355" s="245"/>
      <c r="CG3355" s="245"/>
      <c r="CH3355" s="245"/>
      <c r="CI3355"/>
      <c r="CJ3355"/>
      <c r="CK3355" s="459"/>
      <c r="CL3355" s="459"/>
      <c r="CM3355"/>
      <c r="CN3355"/>
      <c r="CO3355"/>
      <c r="CP3355"/>
      <c r="CQ3355"/>
      <c r="CR3355"/>
      <c r="CS3355" s="459"/>
      <c r="CT3355" s="245"/>
      <c r="CU3355"/>
      <c r="CV3355"/>
      <c r="CW3355"/>
      <c r="CX3355"/>
      <c r="CY3355" s="459"/>
      <c r="CZ3355"/>
      <c r="DA3355" s="459"/>
      <c r="DB3355" s="459"/>
      <c r="DC3355" s="459"/>
      <c r="DD3355" s="459"/>
      <c r="DE3355"/>
      <c r="DF3355"/>
      <c r="DG3355" s="459"/>
      <c r="DH3355"/>
      <c r="DI3355"/>
      <c r="DJ3355" s="459"/>
      <c r="DK3355"/>
      <c r="DL3355" s="459"/>
      <c r="DM3355" s="459"/>
      <c r="DN3355"/>
      <c r="DO3355"/>
      <c r="DP3355"/>
      <c r="DQ3355" s="459"/>
      <c r="DR3355" s="459"/>
      <c r="DS3355"/>
      <c r="DT3355" s="459"/>
      <c r="DU3355" s="459"/>
      <c r="DV3355"/>
      <c r="DW3355" s="245"/>
      <c r="DX3355" s="245"/>
      <c r="DY3355" s="245"/>
      <c r="DZ3355" s="470"/>
      <c r="EA3355" s="470"/>
      <c r="EB3355"/>
      <c r="EC3355" s="471"/>
      <c r="EH3355"/>
      <c r="EI3355" s="473"/>
      <c r="EJ3355"/>
      <c r="EK3355" s="473"/>
      <c r="EL3355"/>
      <c r="EM3355" s="473"/>
    </row>
    <row r="3356" spans="1:143" ht="14.5" hidden="1" x14ac:dyDescent="0.35">
      <c r="A3356" s="814"/>
      <c r="BB3356" s="48"/>
      <c r="BS3356" s="464"/>
      <c r="CA3356" s="245"/>
      <c r="CB3356" s="245"/>
      <c r="CC3356"/>
      <c r="CD3356"/>
      <c r="CE3356"/>
      <c r="CF3356" s="245"/>
      <c r="CG3356" s="245"/>
      <c r="CH3356" s="245"/>
      <c r="CI3356"/>
      <c r="CJ3356"/>
      <c r="CK3356" s="459"/>
      <c r="CL3356" s="459"/>
      <c r="CM3356"/>
      <c r="CN3356"/>
      <c r="CO3356"/>
      <c r="CP3356"/>
      <c r="CQ3356"/>
      <c r="CR3356"/>
      <c r="CS3356" s="459"/>
      <c r="CT3356" s="245"/>
      <c r="CU3356"/>
      <c r="CV3356"/>
      <c r="CW3356"/>
      <c r="CX3356"/>
      <c r="CY3356" s="459"/>
      <c r="CZ3356"/>
      <c r="DA3356" s="459"/>
      <c r="DB3356" s="459"/>
      <c r="DC3356" s="459"/>
      <c r="DD3356" s="459"/>
      <c r="DE3356"/>
      <c r="DF3356"/>
      <c r="DG3356" s="459"/>
      <c r="DH3356"/>
      <c r="DI3356"/>
      <c r="DJ3356" s="459"/>
      <c r="DK3356"/>
      <c r="DL3356" s="459"/>
      <c r="DM3356" s="459"/>
      <c r="DN3356"/>
      <c r="DO3356"/>
      <c r="DP3356"/>
      <c r="DQ3356" s="459"/>
      <c r="DR3356" s="459"/>
      <c r="DS3356"/>
      <c r="DT3356" s="459"/>
      <c r="DU3356" s="459"/>
      <c r="DV3356"/>
      <c r="DW3356" s="245"/>
      <c r="DX3356" s="245"/>
      <c r="DY3356" s="245"/>
      <c r="DZ3356" s="470"/>
      <c r="EA3356" s="470"/>
      <c r="EB3356"/>
      <c r="EC3356" s="471"/>
      <c r="EH3356"/>
      <c r="EI3356" s="473"/>
      <c r="EJ3356"/>
      <c r="EK3356" s="473"/>
      <c r="EL3356"/>
      <c r="EM3356" s="473"/>
    </row>
    <row r="3357" spans="1:143" ht="14.5" hidden="1" x14ac:dyDescent="0.35">
      <c r="A3357" s="814"/>
      <c r="BB3357" s="48"/>
      <c r="BS3357" s="464"/>
      <c r="CA3357" s="245"/>
      <c r="CB3357" s="245"/>
      <c r="CC3357"/>
      <c r="CD3357"/>
      <c r="CE3357"/>
      <c r="CF3357" s="245"/>
      <c r="CG3357" s="245"/>
      <c r="CH3357" s="245"/>
      <c r="CI3357"/>
      <c r="CJ3357"/>
      <c r="CK3357" s="459"/>
      <c r="CL3357" s="459"/>
      <c r="CM3357"/>
      <c r="CN3357"/>
      <c r="CO3357"/>
      <c r="CP3357"/>
      <c r="CQ3357"/>
      <c r="CR3357"/>
      <c r="CS3357" s="459"/>
      <c r="CT3357" s="245"/>
      <c r="CU3357"/>
      <c r="CV3357"/>
      <c r="CW3357"/>
      <c r="CX3357"/>
      <c r="CY3357" s="459"/>
      <c r="CZ3357"/>
      <c r="DA3357" s="459"/>
      <c r="DB3357" s="459"/>
      <c r="DC3357" s="459"/>
      <c r="DD3357" s="459"/>
      <c r="DE3357"/>
      <c r="DF3357"/>
      <c r="DG3357" s="459"/>
      <c r="DH3357"/>
      <c r="DI3357"/>
      <c r="DJ3357" s="459"/>
      <c r="DK3357"/>
      <c r="DL3357" s="459"/>
      <c r="DM3357" s="459"/>
      <c r="DN3357"/>
      <c r="DO3357"/>
      <c r="DP3357"/>
      <c r="DQ3357" s="459"/>
      <c r="DR3357" s="459"/>
      <c r="DS3357"/>
      <c r="DT3357" s="459"/>
      <c r="DU3357" s="459"/>
      <c r="DV3357"/>
      <c r="DW3357" s="245"/>
      <c r="DX3357" s="245"/>
      <c r="DY3357" s="245"/>
      <c r="DZ3357" s="470"/>
      <c r="EA3357" s="470"/>
      <c r="EB3357"/>
      <c r="EC3357" s="471"/>
      <c r="EH3357"/>
      <c r="EI3357" s="473"/>
      <c r="EJ3357"/>
      <c r="EK3357" s="473"/>
      <c r="EL3357"/>
      <c r="EM3357" s="473"/>
    </row>
    <row r="3358" spans="1:143" ht="14.5" hidden="1" x14ac:dyDescent="0.35">
      <c r="A3358" s="814"/>
      <c r="BB3358" s="48"/>
      <c r="BS3358" s="464"/>
      <c r="CA3358" s="245"/>
      <c r="CB3358" s="245"/>
      <c r="CC3358"/>
      <c r="CD3358"/>
      <c r="CE3358"/>
      <c r="CF3358" s="245"/>
      <c r="CG3358" s="245"/>
      <c r="CH3358" s="245"/>
      <c r="CI3358"/>
      <c r="CJ3358"/>
      <c r="CK3358" s="459"/>
      <c r="CL3358" s="459"/>
      <c r="CM3358"/>
      <c r="CN3358"/>
      <c r="CO3358"/>
      <c r="CP3358"/>
      <c r="CQ3358"/>
      <c r="CR3358"/>
      <c r="CS3358" s="459"/>
      <c r="CT3358" s="245"/>
      <c r="CU3358"/>
      <c r="CV3358"/>
      <c r="CW3358"/>
      <c r="CX3358"/>
      <c r="CY3358" s="459"/>
      <c r="CZ3358"/>
      <c r="DA3358" s="459"/>
      <c r="DB3358" s="459"/>
      <c r="DC3358" s="459"/>
      <c r="DD3358" s="459"/>
      <c r="DE3358"/>
      <c r="DF3358"/>
      <c r="DG3358" s="459"/>
      <c r="DH3358"/>
      <c r="DI3358"/>
      <c r="DJ3358" s="459"/>
      <c r="DK3358"/>
      <c r="DL3358" s="459"/>
      <c r="DM3358" s="459"/>
      <c r="DN3358"/>
      <c r="DO3358"/>
      <c r="DP3358"/>
      <c r="DQ3358" s="459"/>
      <c r="DR3358" s="459"/>
      <c r="DS3358"/>
      <c r="DT3358" s="459"/>
      <c r="DU3358" s="459"/>
      <c r="DV3358"/>
      <c r="DW3358" s="245"/>
      <c r="DX3358" s="245"/>
      <c r="DY3358" s="245"/>
      <c r="DZ3358" s="470"/>
      <c r="EA3358" s="470"/>
      <c r="EB3358"/>
      <c r="EC3358" s="471"/>
      <c r="EH3358"/>
      <c r="EI3358" s="473"/>
      <c r="EJ3358"/>
      <c r="EK3358" s="473"/>
      <c r="EL3358"/>
      <c r="EM3358" s="473"/>
    </row>
    <row r="3359" spans="1:143" ht="14.5" hidden="1" x14ac:dyDescent="0.35">
      <c r="A3359" s="814"/>
      <c r="BB3359" s="48"/>
      <c r="BS3359" s="464"/>
      <c r="CA3359" s="245"/>
      <c r="CB3359" s="245"/>
      <c r="CC3359"/>
      <c r="CD3359"/>
      <c r="CE3359"/>
      <c r="CF3359" s="245"/>
      <c r="CG3359" s="245"/>
      <c r="CH3359" s="245"/>
      <c r="CI3359"/>
      <c r="CJ3359"/>
      <c r="CK3359" s="459"/>
      <c r="CL3359" s="459"/>
      <c r="CM3359"/>
      <c r="CN3359"/>
      <c r="CO3359"/>
      <c r="CP3359"/>
      <c r="CQ3359"/>
      <c r="CR3359"/>
      <c r="CS3359" s="459"/>
      <c r="CT3359" s="245"/>
      <c r="CU3359"/>
      <c r="CV3359"/>
      <c r="CW3359"/>
      <c r="CX3359"/>
      <c r="CY3359" s="459"/>
      <c r="CZ3359"/>
      <c r="DA3359" s="459"/>
      <c r="DB3359" s="459"/>
      <c r="DC3359" s="459"/>
      <c r="DD3359" s="459"/>
      <c r="DE3359"/>
      <c r="DF3359"/>
      <c r="DG3359" s="459"/>
      <c r="DH3359"/>
      <c r="DI3359"/>
      <c r="DJ3359" s="459"/>
      <c r="DK3359"/>
      <c r="DL3359" s="459"/>
      <c r="DM3359" s="459"/>
      <c r="DN3359"/>
      <c r="DO3359"/>
      <c r="DP3359"/>
      <c r="DQ3359" s="459"/>
      <c r="DR3359" s="459"/>
      <c r="DS3359"/>
      <c r="DT3359" s="459"/>
      <c r="DU3359" s="459"/>
      <c r="DV3359"/>
      <c r="DW3359" s="245"/>
      <c r="DX3359" s="245"/>
      <c r="DY3359" s="245"/>
      <c r="DZ3359" s="470"/>
      <c r="EA3359" s="470"/>
      <c r="EB3359"/>
      <c r="EC3359" s="471"/>
      <c r="EH3359"/>
      <c r="EI3359" s="473"/>
      <c r="EJ3359"/>
      <c r="EK3359" s="473"/>
      <c r="EL3359"/>
      <c r="EM3359" s="473"/>
    </row>
    <row r="3360" spans="1:143" ht="179.5" hidden="1" x14ac:dyDescent="0.35">
      <c r="A3360" s="814"/>
      <c r="AB3360" s="394" t="str">
        <f>B3390</f>
        <v>no, not at this time</v>
      </c>
      <c r="AC3360" s="395" t="str">
        <f>B3391</f>
        <v>perhaps with more information</v>
      </c>
      <c r="AD3360" s="396" t="str">
        <f>B3392</f>
        <v>perhaps with some help</v>
      </c>
      <c r="AE3360" s="397" t="str">
        <f>B3393</f>
        <v xml:space="preserve">yes, with help affording or handling it </v>
      </c>
      <c r="AF3360" s="398" t="str">
        <f>B3394</f>
        <v>yes, as soon as possible</v>
      </c>
      <c r="BB3360" s="48"/>
      <c r="BS3360" s="464"/>
      <c r="BZ3360" s="48" t="s">
        <v>1489</v>
      </c>
      <c r="CA3360" s="245" t="s">
        <v>885</v>
      </c>
      <c r="CB3360" s="245" t="s">
        <v>885</v>
      </c>
      <c r="CC3360" t="s">
        <v>1569</v>
      </c>
      <c r="CD3360" s="459" t="s">
        <v>885</v>
      </c>
      <c r="CE3360" t="s">
        <v>1691</v>
      </c>
      <c r="CF3360" s="245" t="s">
        <v>885</v>
      </c>
      <c r="CG3360" s="245" t="s">
        <v>885</v>
      </c>
      <c r="CH3360" s="245" t="s">
        <v>885</v>
      </c>
      <c r="CI3360" t="s">
        <v>1748</v>
      </c>
      <c r="CJ3360" t="s">
        <v>1460</v>
      </c>
      <c r="CK3360" s="459" t="s">
        <v>885</v>
      </c>
      <c r="CL3360" s="459" t="s">
        <v>885</v>
      </c>
      <c r="CM3360" t="s">
        <v>1478</v>
      </c>
      <c r="CN3360" t="s">
        <v>1612</v>
      </c>
      <c r="CO3360" t="s">
        <v>2018</v>
      </c>
      <c r="CP3360" t="s">
        <v>2071</v>
      </c>
      <c r="CQ3360" t="s">
        <v>2136</v>
      </c>
      <c r="CR3360" t="s">
        <v>2220</v>
      </c>
      <c r="CS3360" s="459" t="s">
        <v>885</v>
      </c>
      <c r="CT3360" s="245" t="s">
        <v>885</v>
      </c>
      <c r="CU3360" t="s">
        <v>2297</v>
      </c>
      <c r="CV3360" t="s">
        <v>2356</v>
      </c>
      <c r="CW3360" t="s">
        <v>2401</v>
      </c>
      <c r="CX3360" t="s">
        <v>1927</v>
      </c>
      <c r="CY3360" s="459" t="s">
        <v>885</v>
      </c>
      <c r="CZ3360" t="s">
        <v>1475</v>
      </c>
      <c r="DA3360" s="459" t="s">
        <v>885</v>
      </c>
      <c r="DB3360" s="459" t="s">
        <v>885</v>
      </c>
      <c r="DC3360" s="459" t="s">
        <v>885</v>
      </c>
      <c r="DD3360" s="459" t="s">
        <v>885</v>
      </c>
      <c r="DE3360" t="s">
        <v>1855</v>
      </c>
      <c r="DF3360" t="s">
        <v>1734</v>
      </c>
      <c r="DG3360" s="459" t="s">
        <v>885</v>
      </c>
      <c r="DH3360" t="s">
        <v>2732</v>
      </c>
      <c r="DI3360" t="s">
        <v>2082</v>
      </c>
      <c r="DJ3360" s="459" t="s">
        <v>885</v>
      </c>
      <c r="DK3360" t="s">
        <v>2610</v>
      </c>
      <c r="DL3360" s="459" t="s">
        <v>885</v>
      </c>
      <c r="DM3360" s="459" t="s">
        <v>885</v>
      </c>
      <c r="DN3360" t="s">
        <v>2899</v>
      </c>
      <c r="DO3360" t="s">
        <v>2919</v>
      </c>
      <c r="DP3360" t="s">
        <v>2972</v>
      </c>
      <c r="DQ3360" s="459" t="s">
        <v>885</v>
      </c>
      <c r="DR3360" s="459" t="s">
        <v>885</v>
      </c>
      <c r="DS3360" t="s">
        <v>3151</v>
      </c>
      <c r="DT3360" s="459" t="s">
        <v>885</v>
      </c>
      <c r="DU3360" s="459" t="s">
        <v>885</v>
      </c>
      <c r="DV3360" t="s">
        <v>3264</v>
      </c>
      <c r="DW3360" s="245" t="s">
        <v>885</v>
      </c>
      <c r="DX3360" s="245" t="s">
        <v>885</v>
      </c>
      <c r="DY3360" s="245"/>
      <c r="DZ3360" s="470" t="str">
        <f t="shared" ref="DZ3360:DZ3391" si="168">IF($B$265=$B$3281,EB3360,IF($B$265=$B$3282,ED3360,IF($B$265=$B$3283,EF3360,IF($B$265=$B$3284,EH3360,IF($B$265=$B$3285,EJ3360,IF($B$265=$B$3286,EL3360,IF($B$265=$B$3287,EN3360,IF($B$265=$B$3288,EP3360,IF($B$265=$B$3289,ER3360,IF($B$265=$B$3290,ET3360,IF($B$265=$B$3291,EV3360,IF($B$265=$B$3292,EX3360,IF($B$265=$B$3293,EZ3360,IF($B$265=$B$3294,FB3360,IF($B$265=$B$3295,FD3360,IF($B$265=$B$3296,BU3360,IF($B$265=$B$3297,FF3360,IF($B$265=$B$3298,FH3360,IF($B$265=$B$3299,FJ3360,IF($B$265=$B$3300,FL3360,IF($B$265=$B$3301,FN3360,IF($B$265=$B$3302,FP3360,IF(BI$265=$B$3303,FR3360,IF($B$265=$B$3304,FT3360,IF($B$265=$B$3305,FV3360,IF($B$265=$B$3306,FX3360,IF($B$265=$B$3307,FZ3360,IF($B$265=$B$3308,GB3360,IF($B$265=$B$3309,GD3360,IF($B$265=$B$3310,GF3360,IF($B$265=$B$3311,GH3360,IF($B$265=$B$3312,GJ3360,IF($B$265=$B$3313,GL3360,IF($B$265=$B$3314,GN3360,IF($B$265=$B$3315,GP3360,IF($B$265=$B$3316,GR3360,IF($B$265=$B$3317,GT3360,IF($B$265=$B$3318,GV3360,IF($B$265=$B$3319,GX3360,IF($B$265=$B$3320,GZ3360,IF($B$265=$B$3321,HB3360,IF($B$265=$B$3322,HD3360,IF($B$265=$B$3323,HF3360,IF($B$265=$B$3324,HH3360,IF($B$265=$B$3325,HJ3360,IF($B$265=$B$3326,HL3360,IF($B$265=$B$3327,HN3360,IF($B$265=$B$3328,HP3360,IF($B$265=$B$3329,HR3360,IF($B$265=$B$3330,HT3360,IF($B$265=$B$3331,HV3360,IF($B$265=$B$3332,HX3360,""))))))))))))))))))))))))))))))))))))))))))))))))))))</f>
        <v/>
      </c>
      <c r="EA3360" s="470" t="str">
        <f t="shared" ref="EA3360:EA3391" si="169">IF($B$265=$B$3281,EC3360,IF($B$265=$B$3282,EE3360,IF($B$265=$B$3283,EG3360,IF($B$265=$B$3284,EI3360,IF($B$265=$B$3285,EK3360,IF($B$265=$B$3286,EM3360,IF($B$265=$B$3287,EO3360,IF($B$265=$B$3288,EQ3360,IF($B$265=$B$3289,ES3360,IF($B$265=$B$3290,EU3360,IF($B$265=$B$3291,EW3360,IF($B$265=$B$3292,EY3360,IF($B$265=$B$3293,FA3360,IF($B$265=$B$3294,FC3360,IF($B$265=$B$3295,FE3360,IF($B$265=$B$3296,BK3360,IF($B$265=$B$3297,FG3360,IF($B$265=$B$3298,FI3360,IF($B$265=$B$3299,FK3360,IF($B$265=$B$3300,FM3360,IF($B$265=$B$3301,FO3360,IF($B$265=$B$3302,FQ3360,IF(BJ$265=$B$3303,FS3360,IF($B$265=$B$3304,FU3360,IF($B$265=$B$3305,FW3360,IF($B$265=$B$3306,FY3360,IF($B$265=$B$3307,GA3360,IF($B$265=$B$3308,GC3360,IF($B$265=$B$3309,GE3360,IF($B$265=$B$3310,GG3360,IF($B$265=$B$3311,GI3360,IF($B$265=$B$3312,GK3360,IF($B$265=$B$3313,GM3360,IF($B$265=$B$3314,GO3360,IF($B$265=$B$3315,GQ3360,IF($B$265=$B$3316,GS3360,IF($B$265=$B$3317,GU3360,IF($B$265=$B$3318,GW3360,IF($B$265=$B$3319,GY3360,IF($B$265=$B$3320,HA3360,IF($B$265=$B$3321,HC3360,IF($B$265=$B$3322,HE3360,IF($B$265=$B$3323,HG3360,IF($B$265=$B$3324,HI3360,IF($B$265=$B$3325,HK3360,IF($B$265=$B$3326,HM3360,IF($B$265=$B$3327,HO3360,IF($B$265=$B$3328,HQ3360,IF($B$265=$B$3329,HS3360,IF($B$265=$B$3330,HU3360,IF($B$265=$B$3331,HW3360,IF($B$265=$B$3332,HY3360,""))))))))))))))))))))))))))))))))))))))))))))))))))))</f>
        <v/>
      </c>
      <c r="EB3360" t="s">
        <v>3324</v>
      </c>
      <c r="EC3360" s="471" t="s">
        <v>3283</v>
      </c>
      <c r="EH3360" t="s">
        <v>3368</v>
      </c>
      <c r="EI3360" s="473" t="s">
        <v>3294</v>
      </c>
      <c r="EL3360" t="str">
        <f>EL3329</f>
        <v>Travis Sides</v>
      </c>
      <c r="EM3360" s="473" t="str">
        <f>EM3329</f>
        <v>R</v>
      </c>
    </row>
    <row r="3361" spans="1:143" ht="14.5" hidden="1" x14ac:dyDescent="0.35">
      <c r="A3361" s="814"/>
      <c r="B3361" s="393" t="s">
        <v>962</v>
      </c>
      <c r="BS3361" s="464" t="str">
        <f>IF($B$265=B$3281,BZ3360,IF($B$265=B$3282,CA3360,IF($B$265=B$3283,CB3360,IF($B$265=B$3284,CC3360,IF($B$265=B$3285,CD3360,IF($B$265=B$3286,CE3360,IF($B$265=B$3287,CF3360,IF($B$265=B$3288,CG3360,IF($B$265=B$3289,CH3360,IF($B$265=B$3290,CI3360,IF($B$265=B$3291,CJ3360,IF($B$265=B$3292,CK3360,IF($B$265=B$3293,CL3360,IF($B$265=B$3294,CM3360,IF($B$265=B$3295,CN3360,IF($B$265=B$3296,C3360,IF($B$265=B$3297,CO3360,IF($B$265=B$3298,CP3360,IF($B$265=B$3299,CQ3360,IF($B$265=B$3300,CR3360,IF($B$265=B$3301,CS3360,IF($B$265=B$3302,CT3360,IF(B$265=B$3303,CU3360,IF($B$265=B$3304,CV3360,IF($B$265=B$3305,CW3360,IF($B$265=B$3306,CX3360,IF($B$265=B$3307,CY3360,IF($B$265=B$3308,CZ3360,IF($B$265=B$3309,DA3360,IF($B$265=B$3310,DB3360,IF($B$265=B$3311,DC3360,IF($B$265=B$3312,DD3360,IF($B$265=B$3313,DE3360,IF($B$265=B$3314,DF3360,IF($B$265=B$3315,DG3360,IF($B$265=B$3316,DH3360,IF($B$265=B$3317,DI3360,IF($B$265=B$3318,DJ3360,IF($B$265=B$3319,DK3360,IF($B$265=B$3320,DL3360,IF($B$265=B$3321,DM3360,IF($B$265=B$3322,DN3360,IF($B$265=B$3323,DO3360,IF($B$265=B$3324,DP3360,IF($B$265=B$3325,DQ3360,IF($B$265=B$3326,DR3360,IF($B$265=B$3327,DS3360,IF($B$265=B$3328,DT3360,IF($B$265=B$3329,DU3360,IF($B$265=B$3330,DV3360,IF($B$265=B$3331,DW3360,IF($B$265=B$3332,DX3360,""))))))))))))))))))))))))))))))))))))))))))))))))))))</f>
        <v>Montcalm County</v>
      </c>
      <c r="BZ3361" s="48" t="s">
        <v>1490</v>
      </c>
      <c r="CA3361" s="245" t="s">
        <v>885</v>
      </c>
      <c r="CB3361" s="245" t="s">
        <v>885</v>
      </c>
      <c r="CC3361" t="s">
        <v>1570</v>
      </c>
      <c r="CD3361" s="459" t="s">
        <v>885</v>
      </c>
      <c r="CE3361" t="s">
        <v>1692</v>
      </c>
      <c r="CF3361" s="245" t="s">
        <v>885</v>
      </c>
      <c r="CG3361" s="245" t="s">
        <v>885</v>
      </c>
      <c r="CH3361" s="245" t="s">
        <v>885</v>
      </c>
      <c r="CI3361" t="s">
        <v>1490</v>
      </c>
      <c r="CJ3361" t="s">
        <v>1546</v>
      </c>
      <c r="CK3361" s="459" t="s">
        <v>885</v>
      </c>
      <c r="CL3361" s="459" t="s">
        <v>885</v>
      </c>
      <c r="CM3361" t="s">
        <v>1929</v>
      </c>
      <c r="CN3361" t="s">
        <v>1975</v>
      </c>
      <c r="CO3361" t="s">
        <v>2019</v>
      </c>
      <c r="CP3361" t="s">
        <v>2072</v>
      </c>
      <c r="CQ3361" t="s">
        <v>2137</v>
      </c>
      <c r="CR3361" t="s">
        <v>2221</v>
      </c>
      <c r="CS3361" s="459" t="s">
        <v>885</v>
      </c>
      <c r="CT3361" s="245" t="s">
        <v>885</v>
      </c>
      <c r="CU3361" t="s">
        <v>2298</v>
      </c>
      <c r="CV3361" t="s">
        <v>1567</v>
      </c>
      <c r="CW3361" t="s">
        <v>1830</v>
      </c>
      <c r="CX3361" t="s">
        <v>1474</v>
      </c>
      <c r="CY3361" s="459" t="s">
        <v>885</v>
      </c>
      <c r="CZ3361" t="s">
        <v>2071</v>
      </c>
      <c r="DA3361" s="459" t="s">
        <v>885</v>
      </c>
      <c r="DB3361" s="459" t="s">
        <v>885</v>
      </c>
      <c r="DC3361" s="459" t="s">
        <v>885</v>
      </c>
      <c r="DD3361" s="459" t="s">
        <v>885</v>
      </c>
      <c r="DE3361" t="s">
        <v>2613</v>
      </c>
      <c r="DF3361" t="s">
        <v>2654</v>
      </c>
      <c r="DG3361" s="459" t="s">
        <v>885</v>
      </c>
      <c r="DH3361" t="s">
        <v>2733</v>
      </c>
      <c r="DI3361" t="s">
        <v>2776</v>
      </c>
      <c r="DJ3361" s="459" t="s">
        <v>885</v>
      </c>
      <c r="DK3361" t="s">
        <v>1579</v>
      </c>
      <c r="DL3361" s="459" t="s">
        <v>885</v>
      </c>
      <c r="DM3361" s="459" t="s">
        <v>885</v>
      </c>
      <c r="DN3361" t="s">
        <v>2158</v>
      </c>
      <c r="DO3361" t="s">
        <v>2920</v>
      </c>
      <c r="DP3361" t="s">
        <v>1655</v>
      </c>
      <c r="DQ3361" s="459" t="s">
        <v>885</v>
      </c>
      <c r="DR3361" s="459" t="s">
        <v>885</v>
      </c>
      <c r="DS3361" t="s">
        <v>1464</v>
      </c>
      <c r="DT3361" s="459" t="s">
        <v>885</v>
      </c>
      <c r="DU3361" s="459" t="s">
        <v>885</v>
      </c>
      <c r="DV3361" t="s">
        <v>3265</v>
      </c>
      <c r="DW3361" s="245" t="s">
        <v>885</v>
      </c>
      <c r="DX3361" s="245" t="s">
        <v>885</v>
      </c>
      <c r="DY3361" s="245"/>
      <c r="DZ3361" s="470" t="str">
        <f t="shared" si="168"/>
        <v/>
      </c>
      <c r="EA3361" s="470" t="str">
        <f t="shared" si="169"/>
        <v/>
      </c>
      <c r="EB3361" t="str">
        <f>EB3326</f>
        <v>Gregory S. Griggers</v>
      </c>
      <c r="EC3361" t="str">
        <f>EC3326</f>
        <v>D</v>
      </c>
      <c r="EH3361" t="str">
        <f>EH3333</f>
        <v>Larry Jegley</v>
      </c>
      <c r="EI3361" s="473" t="s">
        <v>3294</v>
      </c>
      <c r="EL3361" t="str">
        <f>EL3315</f>
        <v>Heidi McCollum</v>
      </c>
      <c r="EM3361" s="473" t="str">
        <f>EM3315</f>
        <v>D</v>
      </c>
    </row>
    <row r="3362" spans="1:143" ht="14.5" hidden="1" x14ac:dyDescent="0.35">
      <c r="A3362" s="814"/>
      <c r="B3362" s="69" t="s">
        <v>963</v>
      </c>
      <c r="D3362" s="69" t="str">
        <f>B1640</f>
        <v xml:space="preserve">Entity name: </v>
      </c>
      <c r="BS3362" s="464" t="str">
        <f>IF($B$265=B$3281,BZ3361,IF($B$265=B$3282,CA3361,IF($B$265=B$3283,CB3361,IF($B$265=B$3284,CC3361,IF($B$265=B$3285,CD3361,IF($B$265=B$3286,CE3361,IF($B$265=B$3287,CF3361,IF($B$265=B$3288,CG3361,IF($B$265=B$3289,CH3361,IF($B$265=B$3290,CI3361,IF($B$265=B$3291,CJ3361,IF($B$265=B$3292,CK3361,IF($B$265=B$3293,CL3361,IF($B$265=B$3294,CM3361,IF($B$265=B$3295,CN3361,IF($B$265=B$3296,#REF!,IF($B$265=B$3297,CO3361,IF($B$265=B$3298,CP3361,IF($B$265=B$3299,CQ3361,IF($B$265=B$3300,CR3361,IF($B$265=B$3301,CS3361,IF($B$265=B$3302,CT3361,IF(B$265=B$3303,CU3361,IF($B$265=B$3304,CV3361,IF($B$265=B$3305,CW3361,IF($B$265=B$3306,CX3361,IF($B$265=B$3307,CY3361,IF($B$265=B$3308,CZ3361,IF($B$265=B$3309,DA3361,IF($B$265=B$3310,DB3361,IF($B$265=B$3311,DC3361,IF($B$265=B$3312,DD3361,IF($B$265=B$3313,DE3361,IF($B$265=B$3314,DF3361,IF($B$265=B$3315,DG3361,IF($B$265=B$3316,DH3361,IF($B$265=B$3317,DI3361,IF($B$265=B$3318,DJ3361,IF($B$265=B$3319,DK3361,IF($B$265=B$3320,DL3361,IF($B$265=B$3321,DM3361,IF($B$265=B$3322,DN3361,IF($B$265=B$3323,DO3361,IF($B$265=B$3324,DP3361,IF($B$265=B$3325,DQ3361,IF($B$265=B$3326,DR3361,IF($B$265=B$3327,DS3361,IF($B$265=B$3328,DT3361,IF($B$265=B$3329,DU3361,IF($B$265=B$3330,DV3361,IF($B$265=B$3331,DW3361,IF($B$265=B$3332,DX3361,""))))))))))))))))))))))))))))))))))))))))))))))))))))</f>
        <v>Montmorency County</v>
      </c>
      <c r="BZ3362" s="48" t="s">
        <v>1491</v>
      </c>
      <c r="CA3362" s="245" t="s">
        <v>885</v>
      </c>
      <c r="CB3362" s="245" t="s">
        <v>885</v>
      </c>
      <c r="CC3362" t="s">
        <v>1486</v>
      </c>
      <c r="CD3362" s="459" t="s">
        <v>885</v>
      </c>
      <c r="CE3362" t="s">
        <v>1693</v>
      </c>
      <c r="CF3362" s="245" t="s">
        <v>885</v>
      </c>
      <c r="CG3362" s="245" t="s">
        <v>885</v>
      </c>
      <c r="CH3362" s="245" t="s">
        <v>885</v>
      </c>
      <c r="CI3362" t="s">
        <v>1749</v>
      </c>
      <c r="CJ3362" t="s">
        <v>1797</v>
      </c>
      <c r="CK3362" s="459" t="s">
        <v>885</v>
      </c>
      <c r="CL3362" s="459" t="s">
        <v>885</v>
      </c>
      <c r="CM3362" t="s">
        <v>1930</v>
      </c>
      <c r="CN3362" t="s">
        <v>1976</v>
      </c>
      <c r="CO3362" t="s">
        <v>1475</v>
      </c>
      <c r="CP3362" t="s">
        <v>1972</v>
      </c>
      <c r="CQ3362" t="s">
        <v>1925</v>
      </c>
      <c r="CR3362" t="s">
        <v>2222</v>
      </c>
      <c r="CS3362" s="459" t="s">
        <v>885</v>
      </c>
      <c r="CT3362" s="245" t="s">
        <v>885</v>
      </c>
      <c r="CU3362" t="s">
        <v>2299</v>
      </c>
      <c r="CV3362" t="s">
        <v>1568</v>
      </c>
      <c r="CW3362" t="s">
        <v>2402</v>
      </c>
      <c r="CX3362" t="s">
        <v>1475</v>
      </c>
      <c r="CY3362" s="459" t="s">
        <v>885</v>
      </c>
      <c r="CZ3362" t="s">
        <v>2518</v>
      </c>
      <c r="DA3362" s="459" t="s">
        <v>885</v>
      </c>
      <c r="DB3362" s="459" t="s">
        <v>885</v>
      </c>
      <c r="DC3362" s="459" t="s">
        <v>885</v>
      </c>
      <c r="DD3362" s="459" t="s">
        <v>885</v>
      </c>
      <c r="DE3362" t="s">
        <v>2614</v>
      </c>
      <c r="DF3362" t="s">
        <v>1822</v>
      </c>
      <c r="DG3362" s="459" t="s">
        <v>885</v>
      </c>
      <c r="DH3362" t="s">
        <v>1973</v>
      </c>
      <c r="DI3362" t="s">
        <v>2777</v>
      </c>
      <c r="DJ3362" s="459" t="s">
        <v>885</v>
      </c>
      <c r="DK3362" t="s">
        <v>2835</v>
      </c>
      <c r="DL3362" s="459" t="s">
        <v>885</v>
      </c>
      <c r="DM3362" s="459" t="s">
        <v>885</v>
      </c>
      <c r="DN3362" t="s">
        <v>2900</v>
      </c>
      <c r="DO3362" t="s">
        <v>2731</v>
      </c>
      <c r="DP3362" t="s">
        <v>2973</v>
      </c>
      <c r="DQ3362" s="459" t="s">
        <v>885</v>
      </c>
      <c r="DR3362" s="459" t="s">
        <v>885</v>
      </c>
      <c r="DS3362" t="s">
        <v>2725</v>
      </c>
      <c r="DT3362" s="459" t="s">
        <v>885</v>
      </c>
      <c r="DU3362" s="459" t="s">
        <v>885</v>
      </c>
      <c r="DV3362" t="s">
        <v>1750</v>
      </c>
      <c r="DW3362" s="245" t="s">
        <v>885</v>
      </c>
      <c r="DX3362" s="245" t="s">
        <v>885</v>
      </c>
      <c r="DY3362" s="245"/>
      <c r="DZ3362" s="470" t="str">
        <f t="shared" si="168"/>
        <v/>
      </c>
      <c r="EA3362" s="470" t="str">
        <f t="shared" si="169"/>
        <v/>
      </c>
      <c r="EB3362" t="s">
        <v>3325</v>
      </c>
      <c r="EC3362" s="471" t="s">
        <v>3283</v>
      </c>
      <c r="EH3362" t="str">
        <f>EH3318</f>
        <v>Henry H. Boyce</v>
      </c>
      <c r="EI3362" s="473" t="s">
        <v>3294</v>
      </c>
      <c r="EL3362" t="str">
        <f>EL3301</f>
        <v>Michael Allen</v>
      </c>
      <c r="EM3362" s="473" t="str">
        <f>EM3301</f>
        <v>R</v>
      </c>
    </row>
    <row r="3363" spans="1:143" ht="14.5" hidden="1" x14ac:dyDescent="0.35">
      <c r="A3363" s="814"/>
      <c r="B3363" s="69" t="s">
        <v>964</v>
      </c>
      <c r="D3363" s="69" t="str">
        <f>B1641</f>
        <v xml:space="preserve">Contact person: </v>
      </c>
      <c r="BS3363" s="464" t="str">
        <f>IF($B$265=B$3281,BZ3362,IF($B$265=B$3282,CA3362,IF($B$265=B$3283,CB3362,IF($B$265=B$3284,CC3362,IF($B$265=B$3285,CD3362,IF($B$265=B$3286,CE3362,IF($B$265=B$3287,CF3362,IF($B$265=B$3288,CG3362,IF($B$265=B$3289,CH3362,IF($B$265=B$3290,CI3362,IF($B$265=B$3291,CJ3362,IF($B$265=B$3292,CK3362,IF($B$265=B$3293,CL3362,IF($B$265=B$3294,CM3362,IF($B$265=B$3295,CN3362,IF($B$265=B$3296,#REF!,IF($B$265=B$3297,CO3362,IF($B$265=B$3298,CP3362,IF($B$265=B$3299,CQ3362,IF($B$265=B$3300,CR3362,IF($B$265=B$3301,CS3362,IF($B$265=B$3302,CT3362,IF(B$265=B$3303,CU3362,IF($B$265=B$3304,CV3362,IF($B$265=B$3305,CW3362,IF($B$265=B$3306,CX3362,IF($B$265=B$3307,CY3362,IF($B$265=B$3308,CZ3362,IF($B$265=B$3309,DA3362,IF($B$265=B$3310,DB3362,IF($B$265=B$3311,DC3362,IF($B$265=B$3312,DD3362,IF($B$265=B$3313,DE3362,IF($B$265=B$3314,DF3362,IF($B$265=B$3315,DG3362,IF($B$265=B$3316,DH3362,IF($B$265=B$3317,DI3362,IF($B$265=B$3318,DJ3362,IF($B$265=B$3319,DK3362,IF($B$265=B$3320,DL3362,IF($B$265=B$3321,DM3362,IF($B$265=B$3322,DN3362,IF($B$265=B$3323,DO3362,IF($B$265=B$3324,DP3362,IF($B$265=B$3325,DQ3362,IF($B$265=B$3326,DR3362,IF($B$265=B$3327,DS3362,IF($B$265=B$3328,DT3362,IF($B$265=B$3329,DU3362,IF($B$265=B$3330,DV3362,IF($B$265=B$3331,DW3362,IF($B$265=B$3332,DX3362,""))))))))))))))))))))))))))))))))))))))))))))))))))))</f>
        <v>Muskegon County</v>
      </c>
      <c r="BZ3363" s="48" t="s">
        <v>1492</v>
      </c>
      <c r="CA3363" s="245" t="s">
        <v>885</v>
      </c>
      <c r="CB3363" s="245" t="s">
        <v>885</v>
      </c>
      <c r="CC3363" t="s">
        <v>1571</v>
      </c>
      <c r="CD3363" s="459" t="s">
        <v>885</v>
      </c>
      <c r="CE3363" t="s">
        <v>1495</v>
      </c>
      <c r="CF3363" s="245" t="s">
        <v>885</v>
      </c>
      <c r="CG3363" s="245" t="s">
        <v>885</v>
      </c>
      <c r="CH3363" s="245" t="s">
        <v>885</v>
      </c>
      <c r="CI3363" t="s">
        <v>1750</v>
      </c>
      <c r="CJ3363" t="s">
        <v>1798</v>
      </c>
      <c r="CK3363" s="459" t="s">
        <v>885</v>
      </c>
      <c r="CL3363" s="459" t="s">
        <v>885</v>
      </c>
      <c r="CM3363" t="s">
        <v>1931</v>
      </c>
      <c r="CN3363" t="s">
        <v>1483</v>
      </c>
      <c r="CO3363" t="s">
        <v>2020</v>
      </c>
      <c r="CP3363" t="s">
        <v>1822</v>
      </c>
      <c r="CQ3363" t="s">
        <v>2138</v>
      </c>
      <c r="CR3363" t="s">
        <v>2223</v>
      </c>
      <c r="CS3363" s="459" t="s">
        <v>885</v>
      </c>
      <c r="CT3363" s="245" t="s">
        <v>885</v>
      </c>
      <c r="CU3363" t="s">
        <v>2300</v>
      </c>
      <c r="CV3363" t="s">
        <v>2357</v>
      </c>
      <c r="CW3363" t="s">
        <v>1573</v>
      </c>
      <c r="CX3363" t="s">
        <v>2430</v>
      </c>
      <c r="CY3363" s="459" t="s">
        <v>885</v>
      </c>
      <c r="CZ3363" t="s">
        <v>2519</v>
      </c>
      <c r="DA3363" s="459" t="s">
        <v>885</v>
      </c>
      <c r="DB3363" s="459" t="s">
        <v>885</v>
      </c>
      <c r="DC3363" s="459" t="s">
        <v>885</v>
      </c>
      <c r="DD3363" s="459" t="s">
        <v>885</v>
      </c>
      <c r="DE3363" t="s">
        <v>2615</v>
      </c>
      <c r="DF3363" t="s">
        <v>1481</v>
      </c>
      <c r="DG3363" s="459" t="s">
        <v>885</v>
      </c>
      <c r="DH3363" t="s">
        <v>2081</v>
      </c>
      <c r="DI3363" t="s">
        <v>2400</v>
      </c>
      <c r="DJ3363" s="459" t="s">
        <v>885</v>
      </c>
      <c r="DK3363" t="s">
        <v>1854</v>
      </c>
      <c r="DL3363" s="459" t="s">
        <v>885</v>
      </c>
      <c r="DM3363" s="459" t="s">
        <v>885</v>
      </c>
      <c r="DN3363" t="s">
        <v>1850</v>
      </c>
      <c r="DO3363" t="s">
        <v>1480</v>
      </c>
      <c r="DP3363" t="s">
        <v>1910</v>
      </c>
      <c r="DQ3363" s="459" t="s">
        <v>885</v>
      </c>
      <c r="DR3363" s="459" t="s">
        <v>885</v>
      </c>
      <c r="DS3363" t="s">
        <v>3152</v>
      </c>
      <c r="DT3363" s="459" t="s">
        <v>885</v>
      </c>
      <c r="DU3363" s="459" t="s">
        <v>885</v>
      </c>
      <c r="DV3363" t="s">
        <v>3266</v>
      </c>
      <c r="DW3363" s="245" t="s">
        <v>885</v>
      </c>
      <c r="DX3363" s="245" t="s">
        <v>885</v>
      </c>
      <c r="DY3363" s="245"/>
      <c r="DZ3363" s="470" t="str">
        <f t="shared" si="168"/>
        <v/>
      </c>
      <c r="EA3363" s="470" t="str">
        <f t="shared" si="169"/>
        <v/>
      </c>
      <c r="EB3363" t="str">
        <f>EB3336</f>
        <v>Douglas Jeremy Duerr</v>
      </c>
      <c r="EC3363" t="str">
        <f>EC3336</f>
        <v>n</v>
      </c>
      <c r="EH3363" t="str">
        <f>EH3334</f>
        <v>Todd Murray</v>
      </c>
      <c r="EI3363" s="473" t="s">
        <v>3294</v>
      </c>
      <c r="EL3363" t="str">
        <f>EL3360</f>
        <v>Travis Sides</v>
      </c>
      <c r="EM3363" s="473" t="str">
        <f>EM3360</f>
        <v>R</v>
      </c>
    </row>
    <row r="3364" spans="1:143" ht="14.5" hidden="1" x14ac:dyDescent="0.35">
      <c r="A3364" s="814"/>
      <c r="B3364" s="69" t="s">
        <v>965</v>
      </c>
      <c r="D3364" s="69" t="str">
        <f>B1643</f>
        <v xml:space="preserve">Email address: </v>
      </c>
      <c r="BS3364" s="464" t="str">
        <f>IF($B$265=B$3281,BZ3363,IF($B$265=B$3282,CA3363,IF($B$265=B$3283,CB3363,IF($B$265=B$3284,CC3363,IF($B$265=B$3285,CD3363,IF($B$265=B$3286,CE3363,IF($B$265=B$3287,CF3363,IF($B$265=B$3288,CG3363,IF($B$265=B$3289,CH3363,IF($B$265=B$3290,CI3363,IF($B$265=B$3291,CJ3363,IF($B$265=B$3292,CK3363,IF($B$265=B$3293,CL3363,IF($B$265=B$3294,CM3363,IF($B$265=B$3295,CN3363,IF($B$265=B$3296,#REF!,IF($B$265=B$3297,CO3363,IF($B$265=B$3298,CP3363,IF($B$265=B$3299,CQ3363,IF($B$265=B$3300,CR3363,IF($B$265=B$3301,CS3363,IF($B$265=B$3302,CT3363,IF(B$265=B$3303,CU3363,IF($B$265=B$3304,CV3363,IF($B$265=B$3305,CW3363,IF($B$265=B$3306,CX3363,IF($B$265=B$3307,CY3363,IF($B$265=B$3308,CZ3363,IF($B$265=B$3309,DA3363,IF($B$265=B$3310,DB3363,IF($B$265=B$3311,DC3363,IF($B$265=B$3312,DD3363,IF($B$265=B$3313,DE3363,IF($B$265=B$3314,DF3363,IF($B$265=B$3315,DG3363,IF($B$265=B$3316,DH3363,IF($B$265=B$3317,DI3363,IF($B$265=B$3318,DJ3363,IF($B$265=B$3319,DK3363,IF($B$265=B$3320,DL3363,IF($B$265=B$3321,DM3363,IF($B$265=B$3322,DN3363,IF($B$265=B$3323,DO3363,IF($B$265=B$3324,DP3363,IF($B$265=B$3325,DQ3363,IF($B$265=B$3326,DR3363,IF($B$265=B$3327,DS3363,IF($B$265=B$3328,DT3363,IF($B$265=B$3329,DU3363,IF($B$265=B$3330,DV3363,IF($B$265=B$3331,DW3363,IF($B$265=B$3332,DX3363,""))))))))))))))))))))))))))))))))))))))))))))))))))))</f>
        <v>Newaygo County</v>
      </c>
      <c r="BZ3364" s="48" t="s">
        <v>1493</v>
      </c>
      <c r="CA3364" s="245" t="s">
        <v>885</v>
      </c>
      <c r="CB3364" s="245" t="s">
        <v>885</v>
      </c>
      <c r="CC3364" t="s">
        <v>1572</v>
      </c>
      <c r="CD3364" s="459" t="s">
        <v>885</v>
      </c>
      <c r="CE3364" t="s">
        <v>1694</v>
      </c>
      <c r="CF3364" s="245" t="s">
        <v>885</v>
      </c>
      <c r="CG3364" s="245" t="s">
        <v>885</v>
      </c>
      <c r="CH3364" s="245" t="s">
        <v>885</v>
      </c>
      <c r="CI3364" t="s">
        <v>1579</v>
      </c>
      <c r="CJ3364" t="s">
        <v>1799</v>
      </c>
      <c r="CK3364" s="459" t="s">
        <v>885</v>
      </c>
      <c r="CL3364" s="459" t="s">
        <v>885</v>
      </c>
      <c r="CM3364" t="s">
        <v>1932</v>
      </c>
      <c r="CN3364" t="s">
        <v>1485</v>
      </c>
      <c r="CO3364" t="s">
        <v>1477</v>
      </c>
      <c r="CP3364" t="s">
        <v>1481</v>
      </c>
      <c r="CQ3364" t="s">
        <v>2139</v>
      </c>
      <c r="CR3364" t="s">
        <v>2224</v>
      </c>
      <c r="CS3364" s="459" t="s">
        <v>885</v>
      </c>
      <c r="CT3364" s="245" t="s">
        <v>885</v>
      </c>
      <c r="CU3364" t="s">
        <v>2301</v>
      </c>
      <c r="CV3364" t="s">
        <v>2358</v>
      </c>
      <c r="CW3364" t="s">
        <v>2403</v>
      </c>
      <c r="CX3364" t="s">
        <v>1477</v>
      </c>
      <c r="CY3364" s="459" t="s">
        <v>885</v>
      </c>
      <c r="CZ3364" t="s">
        <v>2520</v>
      </c>
      <c r="DA3364" s="459" t="s">
        <v>885</v>
      </c>
      <c r="DB3364" s="459" t="s">
        <v>885</v>
      </c>
      <c r="DC3364" s="459" t="s">
        <v>885</v>
      </c>
      <c r="DD3364" s="459" t="s">
        <v>885</v>
      </c>
      <c r="DE3364" s="459" t="s">
        <v>885</v>
      </c>
      <c r="DF3364" t="s">
        <v>2655</v>
      </c>
      <c r="DG3364" s="459" t="s">
        <v>885</v>
      </c>
      <c r="DH3364" t="s">
        <v>1827</v>
      </c>
      <c r="DI3364" t="s">
        <v>2083</v>
      </c>
      <c r="DJ3364" s="459" t="s">
        <v>885</v>
      </c>
      <c r="DK3364" t="s">
        <v>1495</v>
      </c>
      <c r="DL3364" s="459" t="s">
        <v>885</v>
      </c>
      <c r="DM3364" s="459" t="s">
        <v>885</v>
      </c>
      <c r="DN3364" t="s">
        <v>1579</v>
      </c>
      <c r="DO3364" t="s">
        <v>1481</v>
      </c>
      <c r="DP3364" t="s">
        <v>2974</v>
      </c>
      <c r="DQ3364" s="459" t="s">
        <v>885</v>
      </c>
      <c r="DR3364" s="459" t="s">
        <v>885</v>
      </c>
      <c r="DS3364" t="s">
        <v>3153</v>
      </c>
      <c r="DT3364" s="459" t="s">
        <v>885</v>
      </c>
      <c r="DU3364" s="459" t="s">
        <v>885</v>
      </c>
      <c r="DV3364" t="s">
        <v>2454</v>
      </c>
      <c r="DW3364" s="245" t="s">
        <v>885</v>
      </c>
      <c r="DX3364" s="245" t="s">
        <v>885</v>
      </c>
      <c r="DY3364" s="245"/>
      <c r="DZ3364" s="470" t="str">
        <f t="shared" si="168"/>
        <v/>
      </c>
      <c r="EA3364" s="470" t="str">
        <f t="shared" si="169"/>
        <v/>
      </c>
      <c r="EB3364" t="s">
        <v>3326</v>
      </c>
      <c r="EC3364" s="471" t="s">
        <v>3283</v>
      </c>
      <c r="EH3364" t="s">
        <v>3369</v>
      </c>
      <c r="EI3364" s="473" t="s">
        <v>3294</v>
      </c>
      <c r="EL3364" t="s">
        <v>3450</v>
      </c>
      <c r="EM3364" s="473" t="s">
        <v>3283</v>
      </c>
    </row>
    <row r="3365" spans="1:143" ht="14.5" hidden="1" x14ac:dyDescent="0.35">
      <c r="A3365" s="814"/>
      <c r="B3365" s="69" t="s">
        <v>966</v>
      </c>
      <c r="D3365" s="69" t="str">
        <f>B1644</f>
        <v xml:space="preserve">Mailing address: </v>
      </c>
      <c r="BS3365" s="464" t="str">
        <f>IF($B$265=B$3281,BZ3364,IF($B$265=B$3282,CA3364,IF($B$265=B$3283,CB3364,IF($B$265=B$3284,CC3364,IF($B$265=B$3285,CD3364,IF($B$265=B$3286,CE3364,IF($B$265=B$3287,CF3364,IF($B$265=B$3288,CG3364,IF($B$265=B$3289,CH3364,IF($B$265=B$3290,CI3364,IF($B$265=B$3291,CJ3364,IF($B$265=B$3292,CK3364,IF($B$265=B$3293,CL3364,IF($B$265=B$3294,CM3364,IF($B$265=B$3295,CN3364,IF($B$265=B$3296,#REF!,IF($B$265=B$3297,CO3364,IF($B$265=B$3298,CP3364,IF($B$265=B$3299,CQ3364,IF($B$265=B$3300,CR3364,IF($B$265=B$3301,CS3364,IF($B$265=B$3302,CT3364,IF(B$265=B$3303,CU3364,IF($B$265=B$3304,CV3364,IF($B$265=B$3305,CW3364,IF($B$265=B$3306,CX3364,IF($B$265=B$3307,CY3364,IF($B$265=B$3308,CZ3364,IF($B$265=B$3309,DA3364,IF($B$265=B$3310,DB3364,IF($B$265=B$3311,DC3364,IF($B$265=B$3312,DD3364,IF($B$265=B$3313,DE3364,IF($B$265=B$3314,DF3364,IF($B$265=B$3315,DG3364,IF($B$265=B$3316,DH3364,IF($B$265=B$3317,DI3364,IF($B$265=B$3318,DJ3364,IF($B$265=B$3319,DK3364,IF($B$265=B$3320,DL3364,IF($B$265=B$3321,DM3364,IF($B$265=B$3322,DN3364,IF($B$265=B$3323,DO3364,IF($B$265=B$3324,DP3364,IF($B$265=B$3325,DQ3364,IF($B$265=B$3326,DR3364,IF($B$265=B$3327,DS3364,IF($B$265=B$3328,DT3364,IF($B$265=B$3329,DU3364,IF($B$265=B$3330,DV3364,IF($B$265=B$3331,DW3364,IF($B$265=B$3332,DX3364,""))))))))))))))))))))))))))))))))))))))))))))))))))))</f>
        <v>Oakland County</v>
      </c>
      <c r="BZ3365" s="48" t="s">
        <v>1494</v>
      </c>
      <c r="CA3365" s="245" t="s">
        <v>885</v>
      </c>
      <c r="CB3365" s="245" t="s">
        <v>885</v>
      </c>
      <c r="CC3365" t="s">
        <v>1573</v>
      </c>
      <c r="CD3365" s="459" t="s">
        <v>885</v>
      </c>
      <c r="CE3365" t="s">
        <v>1430</v>
      </c>
      <c r="CF3365" s="245" t="s">
        <v>885</v>
      </c>
      <c r="CG3365" s="245" t="s">
        <v>885</v>
      </c>
      <c r="CH3365" s="245" t="s">
        <v>885</v>
      </c>
      <c r="CI3365" t="s">
        <v>1751</v>
      </c>
      <c r="CJ3365" t="s">
        <v>1800</v>
      </c>
      <c r="CK3365" s="459" t="s">
        <v>885</v>
      </c>
      <c r="CL3365" s="459" t="s">
        <v>885</v>
      </c>
      <c r="CM3365" t="s">
        <v>1933</v>
      </c>
      <c r="CN3365" t="s">
        <v>1977</v>
      </c>
      <c r="CO3365" t="s">
        <v>1478</v>
      </c>
      <c r="CP3365" t="s">
        <v>2073</v>
      </c>
      <c r="CQ3365" t="s">
        <v>1470</v>
      </c>
      <c r="CR3365" t="s">
        <v>2225</v>
      </c>
      <c r="CS3365" s="459" t="s">
        <v>885</v>
      </c>
      <c r="CT3365" s="245" t="s">
        <v>885</v>
      </c>
      <c r="CU3365" t="s">
        <v>2302</v>
      </c>
      <c r="CV3365" t="s">
        <v>2359</v>
      </c>
      <c r="CW3365" t="s">
        <v>2157</v>
      </c>
      <c r="CX3365" t="s">
        <v>2431</v>
      </c>
      <c r="CY3365" s="459" t="s">
        <v>885</v>
      </c>
      <c r="CZ3365" t="s">
        <v>2075</v>
      </c>
      <c r="DA3365" s="459" t="s">
        <v>885</v>
      </c>
      <c r="DB3365" s="459" t="s">
        <v>885</v>
      </c>
      <c r="DC3365" s="459" t="s">
        <v>885</v>
      </c>
      <c r="DD3365" s="459" t="s">
        <v>885</v>
      </c>
      <c r="DE3365" s="459" t="s">
        <v>885</v>
      </c>
      <c r="DF3365" t="s">
        <v>2656</v>
      </c>
      <c r="DG3365" s="459" t="s">
        <v>885</v>
      </c>
      <c r="DH3365" t="s">
        <v>1483</v>
      </c>
      <c r="DI3365" t="s">
        <v>2778</v>
      </c>
      <c r="DJ3365" s="459" t="s">
        <v>885</v>
      </c>
      <c r="DK3365" t="s">
        <v>1855</v>
      </c>
      <c r="DL3365" s="459" t="s">
        <v>885</v>
      </c>
      <c r="DM3365" s="459" t="s">
        <v>885</v>
      </c>
      <c r="DN3365" t="s">
        <v>2901</v>
      </c>
      <c r="DO3365" t="s">
        <v>2655</v>
      </c>
      <c r="DP3365" t="s">
        <v>2975</v>
      </c>
      <c r="DQ3365" s="459" t="s">
        <v>885</v>
      </c>
      <c r="DR3365" s="459" t="s">
        <v>885</v>
      </c>
      <c r="DS3365" t="s">
        <v>3154</v>
      </c>
      <c r="DT3365" s="459" t="s">
        <v>885</v>
      </c>
      <c r="DU3365" s="459" t="s">
        <v>885</v>
      </c>
      <c r="DV3365" t="s">
        <v>3267</v>
      </c>
      <c r="DW3365" s="245" t="s">
        <v>885</v>
      </c>
      <c r="DX3365" s="245" t="s">
        <v>885</v>
      </c>
      <c r="DY3365" s="245"/>
      <c r="DZ3365" s="470" t="str">
        <f t="shared" si="168"/>
        <v/>
      </c>
      <c r="EA3365" s="470" t="str">
        <f t="shared" si="169"/>
        <v/>
      </c>
      <c r="EB3365" t="s">
        <v>3327</v>
      </c>
      <c r="EC3365" s="471" t="s">
        <v>3283</v>
      </c>
      <c r="EH3365" t="str">
        <f>EH3322</f>
        <v>Tom Tatum II</v>
      </c>
      <c r="EI3365" s="473" t="s">
        <v>3294</v>
      </c>
      <c r="EL3365" t="str">
        <f>EL3363</f>
        <v>Travis Sides</v>
      </c>
      <c r="EM3365" s="473" t="str">
        <f>EM3363</f>
        <v>R</v>
      </c>
    </row>
    <row r="3366" spans="1:143" ht="14.5" hidden="1" x14ac:dyDescent="0.35">
      <c r="A3366" s="814"/>
      <c r="B3366" s="69"/>
      <c r="D3366" s="48" t="str">
        <f>B1644</f>
        <v xml:space="preserve">Mailing address: </v>
      </c>
      <c r="BS3366" s="464" t="str">
        <f>IF($B$265=B$3281,BZ3365,IF($B$265=B$3282,CA3365,IF($B$265=B$3283,CB3365,IF($B$265=B$3284,CC3365,IF($B$265=B$3285,CD3365,IF($B$265=B$3286,CE3365,IF($B$265=B$3287,CF3365,IF($B$265=B$3288,CG3365,IF($B$265=B$3289,CH3365,IF($B$265=B$3290,CI3365,IF($B$265=B$3291,CJ3365,IF($B$265=B$3292,CK3365,IF($B$265=B$3293,CL3365,IF($B$265=B$3294,CM3365,IF($B$265=B$3295,CN3365,IF($B$265=B$3296,#REF!,IF($B$265=B$3297,CO3365,IF($B$265=B$3298,CP3365,IF($B$265=B$3299,CQ3365,IF($B$265=B$3300,CR3365,IF($B$265=B$3301,CS3365,IF($B$265=B$3302,CT3365,IF(B$265=B$3303,CU3365,IF($B$265=B$3304,CV3365,IF($B$265=B$3305,CW3365,IF($B$265=B$3306,CX3365,IF($B$265=B$3307,CY3365,IF($B$265=B$3308,CZ3365,IF($B$265=B$3309,DA3365,IF($B$265=B$3310,DB3365,IF($B$265=B$3311,DC3365,IF($B$265=B$3312,DD3365,IF($B$265=B$3313,DE3365,IF($B$265=B$3314,DF3365,IF($B$265=B$3315,DG3365,IF($B$265=B$3316,DH3365,IF($B$265=B$3317,DI3365,IF($B$265=B$3318,DJ3365,IF($B$265=B$3319,DK3365,IF($B$265=B$3320,DL3365,IF($B$265=B$3321,DM3365,IF($B$265=B$3322,DN3365,IF($B$265=B$3323,DO3365,IF($B$265=B$3324,DP3365,IF($B$265=B$3325,DQ3365,IF($B$265=B$3326,DR3365,IF($B$265=B$3327,DS3365,IF($B$265=B$3328,DT3365,IF($B$265=B$3329,DU3365,IF($B$265=B$3330,DV3365,IF($B$265=B$3331,DW3365,IF($B$265=B$3332,DX3365,""))))))))))))))))))))))))))))))))))))))))))))))))))))</f>
        <v>Oceana County</v>
      </c>
      <c r="BZ3366" s="48" t="s">
        <v>1495</v>
      </c>
      <c r="CA3366" s="245" t="s">
        <v>885</v>
      </c>
      <c r="CB3366" s="245" t="s">
        <v>885</v>
      </c>
      <c r="CC3366" t="s">
        <v>1574</v>
      </c>
      <c r="CD3366" s="459" t="s">
        <v>885</v>
      </c>
      <c r="CE3366" s="459" t="s">
        <v>885</v>
      </c>
      <c r="CF3366" s="245" t="s">
        <v>885</v>
      </c>
      <c r="CG3366" s="245" t="s">
        <v>885</v>
      </c>
      <c r="CH3366" s="245" t="s">
        <v>885</v>
      </c>
      <c r="CI3366" t="s">
        <v>1752</v>
      </c>
      <c r="CJ3366" t="s">
        <v>1801</v>
      </c>
      <c r="CK3366" s="459" t="s">
        <v>885</v>
      </c>
      <c r="CL3366" s="459" t="s">
        <v>885</v>
      </c>
      <c r="CM3366" t="s">
        <v>1934</v>
      </c>
      <c r="CN3366" t="s">
        <v>1978</v>
      </c>
      <c r="CO3366" t="s">
        <v>2021</v>
      </c>
      <c r="CP3366" t="s">
        <v>2074</v>
      </c>
      <c r="CQ3366" t="s">
        <v>1471</v>
      </c>
      <c r="CR3366" s="459" t="s">
        <v>885</v>
      </c>
      <c r="CS3366" s="459" t="s">
        <v>885</v>
      </c>
      <c r="CT3366" s="245" t="s">
        <v>885</v>
      </c>
      <c r="CU3366" t="s">
        <v>2303</v>
      </c>
      <c r="CV3366" t="s">
        <v>2360</v>
      </c>
      <c r="CW3366" t="s">
        <v>2095</v>
      </c>
      <c r="CX3366" t="s">
        <v>1935</v>
      </c>
      <c r="CY3366" s="459" t="s">
        <v>885</v>
      </c>
      <c r="CZ3366" t="s">
        <v>2521</v>
      </c>
      <c r="DA3366" s="459" t="s">
        <v>885</v>
      </c>
      <c r="DB3366" s="459" t="s">
        <v>885</v>
      </c>
      <c r="DC3366" s="459" t="s">
        <v>885</v>
      </c>
      <c r="DD3366" s="459" t="s">
        <v>885</v>
      </c>
      <c r="DE3366" s="459" t="s">
        <v>885</v>
      </c>
      <c r="DF3366" t="s">
        <v>2657</v>
      </c>
      <c r="DG3366" s="459" t="s">
        <v>885</v>
      </c>
      <c r="DH3366" t="s">
        <v>2734</v>
      </c>
      <c r="DI3366" t="s">
        <v>2779</v>
      </c>
      <c r="DJ3366" s="459" t="s">
        <v>885</v>
      </c>
      <c r="DK3366" t="s">
        <v>2836</v>
      </c>
      <c r="DL3366" s="459" t="s">
        <v>885</v>
      </c>
      <c r="DM3366" s="459" t="s">
        <v>885</v>
      </c>
      <c r="DN3366" t="s">
        <v>2902</v>
      </c>
      <c r="DO3366" t="s">
        <v>1482</v>
      </c>
      <c r="DP3366" t="s">
        <v>2976</v>
      </c>
      <c r="DQ3366" s="459" t="s">
        <v>885</v>
      </c>
      <c r="DR3366" s="459" t="s">
        <v>885</v>
      </c>
      <c r="DS3366" t="s">
        <v>3155</v>
      </c>
      <c r="DT3366" s="459" t="s">
        <v>885</v>
      </c>
      <c r="DU3366" s="459" t="s">
        <v>885</v>
      </c>
      <c r="DV3366" t="s">
        <v>2901</v>
      </c>
      <c r="DW3366" s="245" t="s">
        <v>885</v>
      </c>
      <c r="DX3366" s="245" t="s">
        <v>885</v>
      </c>
      <c r="DY3366" s="245"/>
      <c r="DZ3366" s="470" t="str">
        <f t="shared" si="168"/>
        <v/>
      </c>
      <c r="EA3366" s="470" t="str">
        <f t="shared" si="169"/>
        <v/>
      </c>
      <c r="EB3366" t="str">
        <f>EB3293</f>
        <v>Spencer B. Walker</v>
      </c>
      <c r="EC3366" t="str">
        <f>EC3293</f>
        <v>D</v>
      </c>
      <c r="EH3366" t="str">
        <f>EH3303</f>
        <v>Carol Crews</v>
      </c>
      <c r="EI3366" s="473" t="s">
        <v>3294</v>
      </c>
    </row>
    <row r="3367" spans="1:143" ht="14.5" hidden="1" x14ac:dyDescent="0.35">
      <c r="A3367" s="814"/>
      <c r="B3367" s="69"/>
      <c r="D3367" s="48">
        <f>B1645</f>
        <v>0</v>
      </c>
      <c r="BS3367" s="464" t="str">
        <f>IF($B$265=B$3281,BZ3366,IF($B$265=B$3282,CA3366,IF($B$265=B$3283,CB3366,IF($B$265=B$3284,CC3366,IF($B$265=B$3285,CD3366,IF($B$265=B$3286,CE3366,IF($B$265=B$3287,CF3366,IF($B$265=B$3288,CG3366,IF($B$265=B$3289,CH3366,IF($B$265=B$3290,CI3366,IF($B$265=B$3291,CJ3366,IF($B$265=B$3292,CK3366,IF($B$265=B$3293,CL3366,IF($B$265=B$3294,CM3366,IF($B$265=B$3295,CN3366,IF($B$265=B$3296,#REF!,IF($B$265=B$3297,CO3366,IF($B$265=B$3298,CP3366,IF($B$265=B$3299,CQ3366,IF($B$265=B$3300,CR3366,IF($B$265=B$3301,CS3366,IF($B$265=B$3302,CT3366,IF(B$265=B$3303,CU3366,IF($B$265=B$3304,CV3366,IF($B$265=B$3305,CW3366,IF($B$265=B$3306,CX3366,IF($B$265=B$3307,CY3366,IF($B$265=B$3308,CZ3366,IF($B$265=B$3309,DA3366,IF($B$265=B$3310,DB3366,IF($B$265=B$3311,DC3366,IF($B$265=B$3312,DD3366,IF($B$265=B$3313,DE3366,IF($B$265=B$3314,DF3366,IF($B$265=B$3315,DG3366,IF($B$265=B$3316,DH3366,IF($B$265=B$3317,DI3366,IF($B$265=B$3318,DJ3366,IF($B$265=B$3319,DK3366,IF($B$265=B$3320,DL3366,IF($B$265=B$3321,DM3366,IF($B$265=B$3322,DN3366,IF($B$265=B$3323,DO3366,IF($B$265=B$3324,DP3366,IF($B$265=B$3325,DQ3366,IF($B$265=B$3326,DR3366,IF($B$265=B$3327,DS3366,IF($B$265=B$3328,DT3366,IF($B$265=B$3329,DU3366,IF($B$265=B$3330,DV3366,IF($B$265=B$3331,DW3366,IF($B$265=B$3332,DX3366,""))))))))))))))))))))))))))))))))))))))))))))))))))))</f>
        <v>Ogemaw County</v>
      </c>
      <c r="BZ3367" s="48" t="s">
        <v>1496</v>
      </c>
      <c r="CA3367" s="245" t="s">
        <v>885</v>
      </c>
      <c r="CB3367" s="245" t="s">
        <v>885</v>
      </c>
      <c r="CC3367" t="s">
        <v>1575</v>
      </c>
      <c r="CD3367" s="459" t="s">
        <v>885</v>
      </c>
      <c r="CE3367" s="459" t="s">
        <v>885</v>
      </c>
      <c r="CF3367" s="245" t="s">
        <v>885</v>
      </c>
      <c r="CG3367" s="245" t="s">
        <v>885</v>
      </c>
      <c r="CH3367" s="245" t="s">
        <v>885</v>
      </c>
      <c r="CI3367" t="s">
        <v>1753</v>
      </c>
      <c r="CJ3367" t="s">
        <v>1462</v>
      </c>
      <c r="CK3367" s="459" t="s">
        <v>885</v>
      </c>
      <c r="CL3367" s="459" t="s">
        <v>885</v>
      </c>
      <c r="CM3367" t="s">
        <v>1935</v>
      </c>
      <c r="CN3367" t="s">
        <v>1570</v>
      </c>
      <c r="CO3367" t="s">
        <v>1822</v>
      </c>
      <c r="CP3367" t="s">
        <v>2075</v>
      </c>
      <c r="CQ3367" t="s">
        <v>2140</v>
      </c>
      <c r="CR3367" s="459" t="s">
        <v>885</v>
      </c>
      <c r="CS3367" s="459" t="s">
        <v>885</v>
      </c>
      <c r="CT3367" s="245" t="s">
        <v>885</v>
      </c>
      <c r="CU3367" t="s">
        <v>2304</v>
      </c>
      <c r="CV3367" t="s">
        <v>2088</v>
      </c>
      <c r="CW3367" t="s">
        <v>1578</v>
      </c>
      <c r="CX3367" t="s">
        <v>1560</v>
      </c>
      <c r="CY3367" s="459" t="s">
        <v>885</v>
      </c>
      <c r="CZ3367" t="s">
        <v>2522</v>
      </c>
      <c r="DA3367" s="459" t="s">
        <v>885</v>
      </c>
      <c r="DB3367" s="459" t="s">
        <v>885</v>
      </c>
      <c r="DC3367" s="459" t="s">
        <v>885</v>
      </c>
      <c r="DD3367" s="459" t="s">
        <v>885</v>
      </c>
      <c r="DE3367" s="459" t="s">
        <v>885</v>
      </c>
      <c r="DF3367" t="s">
        <v>2658</v>
      </c>
      <c r="DG3367" s="459" t="s">
        <v>885</v>
      </c>
      <c r="DH3367" t="s">
        <v>1485</v>
      </c>
      <c r="DI3367" t="s">
        <v>2780</v>
      </c>
      <c r="DJ3367" s="459" t="s">
        <v>885</v>
      </c>
      <c r="DK3367" t="s">
        <v>2614</v>
      </c>
      <c r="DL3367" s="459" t="s">
        <v>885</v>
      </c>
      <c r="DM3367" s="459" t="s">
        <v>885</v>
      </c>
      <c r="DN3367" t="s">
        <v>2903</v>
      </c>
      <c r="DO3367" t="s">
        <v>2921</v>
      </c>
      <c r="DP3367" t="s">
        <v>1716</v>
      </c>
      <c r="DQ3367" s="459" t="s">
        <v>885</v>
      </c>
      <c r="DR3367" s="459" t="s">
        <v>885</v>
      </c>
      <c r="DS3367" t="s">
        <v>3156</v>
      </c>
      <c r="DT3367" s="459" t="s">
        <v>885</v>
      </c>
      <c r="DU3367" s="459" t="s">
        <v>885</v>
      </c>
      <c r="DV3367" t="s">
        <v>3268</v>
      </c>
      <c r="DW3367" s="245" t="s">
        <v>885</v>
      </c>
      <c r="DX3367" s="245" t="s">
        <v>885</v>
      </c>
      <c r="DY3367" s="245"/>
      <c r="DZ3367" s="470" t="str">
        <f t="shared" si="168"/>
        <v/>
      </c>
      <c r="EA3367" s="470" t="str">
        <f t="shared" si="169"/>
        <v/>
      </c>
      <c r="EB3367" t="str">
        <f>EB3333</f>
        <v>Michael W. Jackson</v>
      </c>
      <c r="EC3367" t="str">
        <f>EC3333</f>
        <v>D</v>
      </c>
      <c r="EH3367" t="s">
        <v>3370</v>
      </c>
      <c r="EI3367" s="473" t="s">
        <v>3294</v>
      </c>
    </row>
    <row r="3368" spans="1:143" ht="14.5" hidden="1" x14ac:dyDescent="0.35">
      <c r="A3368" s="814"/>
      <c r="B3368" s="69" t="str">
        <f>CONCATENATE(B3362,D$3362)</f>
        <v xml:space="preserve">no, I don't need to notify any Entity name: </v>
      </c>
      <c r="D3368" s="48">
        <f>B1646</f>
        <v>0</v>
      </c>
      <c r="BS3368" s="464" t="str">
        <f>IF($B$265=B$3281,BZ3367,IF($B$265=B$3282,CA3367,IF($B$265=B$3283,CB3367,IF($B$265=B$3284,CC3367,IF($B$265=B$3285,CD3367,IF($B$265=B$3286,CE3367,IF($B$265=B$3287,CF3367,IF($B$265=B$3288,CG3367,IF($B$265=B$3289,CH3367,IF($B$265=B$3290,CI3367,IF($B$265=B$3291,CJ3367,IF($B$265=B$3292,CK3367,IF($B$265=B$3293,CL3367,IF($B$265=B$3294,CM3367,IF($B$265=B$3295,CN3367,IF($B$265=B$3296,#REF!,IF($B$265=B$3297,CO3367,IF($B$265=B$3298,CP3367,IF($B$265=B$3299,CQ3367,IF($B$265=B$3300,CR3367,IF($B$265=B$3301,CS3367,IF($B$265=B$3302,CT3367,IF(B$265=B$3303,CU3367,IF($B$265=B$3304,CV3367,IF($B$265=B$3305,CW3367,IF($B$265=B$3306,CX3367,IF($B$265=B$3307,CY3367,IF($B$265=B$3308,CZ3367,IF($B$265=B$3309,DA3367,IF($B$265=B$3310,DB3367,IF($B$265=B$3311,DC3367,IF($B$265=B$3312,DD3367,IF($B$265=B$3313,DE3367,IF($B$265=B$3314,DF3367,IF($B$265=B$3315,DG3367,IF($B$265=B$3316,DH3367,IF($B$265=B$3317,DI3367,IF($B$265=B$3318,DJ3367,IF($B$265=B$3319,DK3367,IF($B$265=B$3320,DL3367,IF($B$265=B$3321,DM3367,IF($B$265=B$3322,DN3367,IF($B$265=B$3323,DO3367,IF($B$265=B$3324,DP3367,IF($B$265=B$3325,DQ3367,IF($B$265=B$3326,DR3367,IF($B$265=B$3327,DS3367,IF($B$265=B$3328,DT3367,IF($B$265=B$3329,DU3367,IF($B$265=B$3330,DV3367,IF($B$265=B$3331,DW3367,IF($B$265=B$3332,DX3367,""))))))))))))))))))))))))))))))))))))))))))))))))))))</f>
        <v>Ontonagon County</v>
      </c>
      <c r="BZ3368" s="48" t="s">
        <v>1497</v>
      </c>
      <c r="CA3368" s="245" t="s">
        <v>885</v>
      </c>
      <c r="CB3368" s="245" t="s">
        <v>885</v>
      </c>
      <c r="CC3368" t="s">
        <v>1576</v>
      </c>
      <c r="CD3368" s="459" t="s">
        <v>885</v>
      </c>
      <c r="CE3368" s="459" t="s">
        <v>885</v>
      </c>
      <c r="CF3368" s="245" t="s">
        <v>885</v>
      </c>
      <c r="CG3368" s="245" t="s">
        <v>885</v>
      </c>
      <c r="CH3368" s="245" t="s">
        <v>885</v>
      </c>
      <c r="CI3368" t="s">
        <v>1495</v>
      </c>
      <c r="CJ3368" t="s">
        <v>1802</v>
      </c>
      <c r="CK3368" s="459" t="s">
        <v>885</v>
      </c>
      <c r="CL3368" s="459" t="s">
        <v>885</v>
      </c>
      <c r="CM3368" t="s">
        <v>1480</v>
      </c>
      <c r="CN3368" t="s">
        <v>1743</v>
      </c>
      <c r="CO3368" t="s">
        <v>2022</v>
      </c>
      <c r="CP3368" t="s">
        <v>2076</v>
      </c>
      <c r="CQ3368" t="s">
        <v>2141</v>
      </c>
      <c r="CR3368" s="459" t="s">
        <v>885</v>
      </c>
      <c r="CS3368" s="459" t="s">
        <v>885</v>
      </c>
      <c r="CT3368" s="245" t="s">
        <v>885</v>
      </c>
      <c r="CU3368" t="s">
        <v>1739</v>
      </c>
      <c r="CV3368" t="s">
        <v>2361</v>
      </c>
      <c r="CW3368" t="s">
        <v>2404</v>
      </c>
      <c r="CX3368" t="s">
        <v>1561</v>
      </c>
      <c r="CY3368" s="459" t="s">
        <v>885</v>
      </c>
      <c r="CZ3368" t="s">
        <v>2082</v>
      </c>
      <c r="DA3368" s="459" t="s">
        <v>885</v>
      </c>
      <c r="DB3368" s="459" t="s">
        <v>885</v>
      </c>
      <c r="DC3368" s="459" t="s">
        <v>885</v>
      </c>
      <c r="DD3368" s="459" t="s">
        <v>885</v>
      </c>
      <c r="DE3368" s="459" t="s">
        <v>885</v>
      </c>
      <c r="DF3368" t="s">
        <v>2659</v>
      </c>
      <c r="DG3368" s="459" t="s">
        <v>885</v>
      </c>
      <c r="DH3368" t="s">
        <v>2735</v>
      </c>
      <c r="DI3368" t="s">
        <v>1748</v>
      </c>
      <c r="DJ3368" s="459" t="s">
        <v>885</v>
      </c>
      <c r="DK3368" t="s">
        <v>2531</v>
      </c>
      <c r="DL3368" s="459" t="s">
        <v>885</v>
      </c>
      <c r="DM3368" s="459" t="s">
        <v>885</v>
      </c>
      <c r="DN3368" s="459" t="s">
        <v>885</v>
      </c>
      <c r="DO3368" t="s">
        <v>2922</v>
      </c>
      <c r="DP3368" t="s">
        <v>2977</v>
      </c>
      <c r="DQ3368" s="459" t="s">
        <v>885</v>
      </c>
      <c r="DR3368" s="459" t="s">
        <v>885</v>
      </c>
      <c r="DS3368" t="s">
        <v>3157</v>
      </c>
      <c r="DT3368" s="459" t="s">
        <v>885</v>
      </c>
      <c r="DU3368" s="459" t="s">
        <v>885</v>
      </c>
      <c r="DV3368" t="s">
        <v>1495</v>
      </c>
      <c r="DW3368" s="245" t="s">
        <v>885</v>
      </c>
      <c r="DX3368" s="245" t="s">
        <v>885</v>
      </c>
      <c r="DY3368" s="245"/>
      <c r="DZ3368" s="470" t="str">
        <f t="shared" si="168"/>
        <v/>
      </c>
      <c r="EA3368" s="470" t="str">
        <f t="shared" si="169"/>
        <v/>
      </c>
      <c r="EB3368" t="str">
        <f>EB3327</f>
        <v>Scott A. Slatton</v>
      </c>
      <c r="EC3368" s="471" t="s">
        <v>3283</v>
      </c>
      <c r="EH3368" t="str">
        <f>EH3335</f>
        <v>Bryan Chesshir</v>
      </c>
      <c r="EI3368" s="473" t="s">
        <v>3294</v>
      </c>
    </row>
    <row r="3369" spans="1:143" ht="14.5" hidden="1" x14ac:dyDescent="0.35">
      <c r="A3369" s="814"/>
      <c r="B3369" s="69" t="str">
        <f>CONCATENATE(B3363,D$3362)</f>
        <v xml:space="preserve">I have not yet decided if needing to notify any Entity name: </v>
      </c>
      <c r="BS3369" s="464" t="str">
        <f>IF($B$265=B$3281,BZ3368,IF($B$265=B$3282,CA3368,IF($B$265=B$3283,CB3368,IF($B$265=B$3284,CC3368,IF($B$265=B$3285,CD3368,IF($B$265=B$3286,CE3368,IF($B$265=B$3287,CF3368,IF($B$265=B$3288,CG3368,IF($B$265=B$3289,CH3368,IF($B$265=B$3290,CI3368,IF($B$265=B$3291,CJ3368,IF($B$265=B$3292,CK3368,IF($B$265=B$3293,CL3368,IF($B$265=B$3294,CM3368,IF($B$265=B$3295,CN3368,IF($B$265=B$3296,#REF!,IF($B$265=B$3297,CO3368,IF($B$265=B$3298,CP3368,IF($B$265=B$3299,CQ3368,IF($B$265=B$3300,CR3368,IF($B$265=B$3301,CS3368,IF($B$265=B$3302,CT3368,IF(B$265=B$3303,CU3368,IF($B$265=B$3304,CV3368,IF($B$265=B$3305,CW3368,IF($B$265=B$3306,CX3368,IF($B$265=B$3307,CY3368,IF($B$265=B$3308,CZ3368,IF($B$265=B$3309,DA3368,IF($B$265=B$3310,DB3368,IF($B$265=B$3311,DC3368,IF($B$265=B$3312,DD3368,IF($B$265=B$3313,DE3368,IF($B$265=B$3314,DF3368,IF($B$265=B$3315,DG3368,IF($B$265=B$3316,DH3368,IF($B$265=B$3317,DI3368,IF($B$265=B$3318,DJ3368,IF($B$265=B$3319,DK3368,IF($B$265=B$3320,DL3368,IF($B$265=B$3321,DM3368,IF($B$265=B$3322,DN3368,IF($B$265=B$3323,DO3368,IF($B$265=B$3324,DP3368,IF($B$265=B$3325,DQ3368,IF($B$265=B$3326,DR3368,IF($B$265=B$3327,DS3368,IF($B$265=B$3328,DT3368,IF($B$265=B$3329,DU3368,IF($B$265=B$3330,DV3368,IF($B$265=B$3331,DW3368,IF($B$265=B$3332,DX3368,""))))))))))))))))))))))))))))))))))))))))))))))))))))</f>
        <v>Osceola County</v>
      </c>
      <c r="BZ3369" s="245" t="s">
        <v>885</v>
      </c>
      <c r="CA3369" s="245" t="s">
        <v>885</v>
      </c>
      <c r="CB3369" s="245" t="s">
        <v>885</v>
      </c>
      <c r="CC3369" t="s">
        <v>1577</v>
      </c>
      <c r="CD3369" s="459" t="s">
        <v>885</v>
      </c>
      <c r="CE3369" s="459" t="s">
        <v>885</v>
      </c>
      <c r="CF3369" s="245" t="s">
        <v>885</v>
      </c>
      <c r="CG3369" s="245" t="s">
        <v>885</v>
      </c>
      <c r="CH3369" s="245" t="s">
        <v>885</v>
      </c>
      <c r="CI3369" s="245" t="s">
        <v>885</v>
      </c>
      <c r="CJ3369" t="s">
        <v>1803</v>
      </c>
      <c r="CK3369" s="459" t="s">
        <v>885</v>
      </c>
      <c r="CL3369" s="459" t="s">
        <v>885</v>
      </c>
      <c r="CM3369" t="s">
        <v>1481</v>
      </c>
      <c r="CN3369" t="s">
        <v>1486</v>
      </c>
      <c r="CO3369" t="s">
        <v>1480</v>
      </c>
      <c r="CP3369" t="s">
        <v>2077</v>
      </c>
      <c r="CQ3369" t="s">
        <v>1889</v>
      </c>
      <c r="CR3369" s="459" t="s">
        <v>885</v>
      </c>
      <c r="CS3369" s="459" t="s">
        <v>885</v>
      </c>
      <c r="CT3369" s="245" t="s">
        <v>885</v>
      </c>
      <c r="CU3369" t="s">
        <v>2305</v>
      </c>
      <c r="CV3369" t="s">
        <v>2362</v>
      </c>
      <c r="CW3369" t="s">
        <v>2405</v>
      </c>
      <c r="CX3369" t="s">
        <v>2432</v>
      </c>
      <c r="CY3369" s="459" t="s">
        <v>885</v>
      </c>
      <c r="CZ3369" t="s">
        <v>2523</v>
      </c>
      <c r="DA3369" s="459" t="s">
        <v>885</v>
      </c>
      <c r="DB3369" s="459" t="s">
        <v>885</v>
      </c>
      <c r="DC3369" s="459" t="s">
        <v>885</v>
      </c>
      <c r="DD3369" s="459" t="s">
        <v>885</v>
      </c>
      <c r="DE3369" s="459" t="s">
        <v>885</v>
      </c>
      <c r="DF3369" t="s">
        <v>1612</v>
      </c>
      <c r="DG3369" s="459" t="s">
        <v>885</v>
      </c>
      <c r="DH3369" t="s">
        <v>2736</v>
      </c>
      <c r="DI3369" t="s">
        <v>2781</v>
      </c>
      <c r="DJ3369" s="459" t="s">
        <v>885</v>
      </c>
      <c r="DK3369" s="459" t="s">
        <v>885</v>
      </c>
      <c r="DL3369" s="459" t="s">
        <v>885</v>
      </c>
      <c r="DM3369" s="459" t="s">
        <v>885</v>
      </c>
      <c r="DN3369" s="459" t="s">
        <v>885</v>
      </c>
      <c r="DO3369" t="s">
        <v>1483</v>
      </c>
      <c r="DP3369" t="s">
        <v>2978</v>
      </c>
      <c r="DQ3369" s="459" t="s">
        <v>885</v>
      </c>
      <c r="DR3369" s="459" t="s">
        <v>885</v>
      </c>
      <c r="DS3369" t="s">
        <v>2516</v>
      </c>
      <c r="DT3369" s="459" t="s">
        <v>885</v>
      </c>
      <c r="DU3369" s="459" t="s">
        <v>885</v>
      </c>
      <c r="DV3369" t="s">
        <v>3269</v>
      </c>
      <c r="DW3369" s="245" t="s">
        <v>885</v>
      </c>
      <c r="DX3369" s="245" t="s">
        <v>885</v>
      </c>
      <c r="DY3369" s="245"/>
      <c r="DZ3369" s="470" t="str">
        <f t="shared" si="168"/>
        <v/>
      </c>
      <c r="EA3369" s="470" t="str">
        <f t="shared" si="169"/>
        <v/>
      </c>
      <c r="EH3369" t="str">
        <f>EH3362</f>
        <v>Henry H. Boyce</v>
      </c>
      <c r="EI3369" s="473" t="s">
        <v>3294</v>
      </c>
    </row>
    <row r="3370" spans="1:143" ht="14.5" hidden="1" x14ac:dyDescent="0.35">
      <c r="A3370" s="814"/>
      <c r="B3370" s="69" t="str">
        <f>CONCATENATE(B3364,D$3362)</f>
        <v xml:space="preserve">yes, but I'll let you know when I need to notifiy any Entity name: </v>
      </c>
      <c r="BS3370" s="464" t="str">
        <f>IF($B$265=B$3281,BZ3369,IF($B$265=B$3282,CA3369,IF($B$265=B$3283,CB3369,IF($B$265=B$3284,CC3369,IF($B$265=B$3285,CD3369,IF($B$265=B$3286,CE3369,IF($B$265=B$3287,CF3369,IF($B$265=B$3288,CG3369,IF($B$265=B$3289,CH3369,IF($B$265=B$3290,CI3369,IF($B$265=B$3291,CJ3369,IF($B$265=B$3292,CK3369,IF($B$265=B$3293,CL3369,IF($B$265=B$3294,CM3369,IF($B$265=B$3295,CN3369,IF($B$265=B$3296,#REF!,IF($B$265=B$3297,CO3369,IF($B$265=B$3298,CP3369,IF($B$265=B$3299,CQ3369,IF($B$265=B$3300,CR3369,IF($B$265=B$3301,CS3369,IF($B$265=B$3302,CT3369,IF(B$265=B$3303,CU3369,IF($B$265=B$3304,CV3369,IF($B$265=B$3305,CW3369,IF($B$265=B$3306,CX3369,IF($B$265=B$3307,CY3369,IF($B$265=B$3308,CZ3369,IF($B$265=B$3309,DA3369,IF($B$265=B$3310,DB3369,IF($B$265=B$3311,DC3369,IF($B$265=B$3312,DD3369,IF($B$265=B$3313,DE3369,IF($B$265=B$3314,DF3369,IF($B$265=B$3315,DG3369,IF($B$265=B$3316,DH3369,IF($B$265=B$3317,DI3369,IF($B$265=B$3318,DJ3369,IF($B$265=B$3319,DK3369,IF($B$265=B$3320,DL3369,IF($B$265=B$3321,DM3369,IF($B$265=B$3322,DN3369,IF($B$265=B$3323,DO3369,IF($B$265=B$3324,DP3369,IF($B$265=B$3325,DQ3369,IF($B$265=B$3326,DR3369,IF($B$265=B$3327,DS3369,IF($B$265=B$3328,DT3369,IF($B$265=B$3329,DU3369,IF($B$265=B$3330,DV3369,IF($B$265=B$3331,DW3369,IF($B$265=B$3332,DX3369,""))))))))))))))))))))))))))))))))))))))))))))))))))))</f>
        <v>Oscoda County</v>
      </c>
      <c r="BZ3370" s="245" t="s">
        <v>885</v>
      </c>
      <c r="CA3370" s="245" t="s">
        <v>885</v>
      </c>
      <c r="CC3370" t="s">
        <v>1578</v>
      </c>
      <c r="CD3370" s="459" t="s">
        <v>885</v>
      </c>
      <c r="CE3370" s="459" t="s">
        <v>885</v>
      </c>
      <c r="CF3370" s="245" t="s">
        <v>885</v>
      </c>
      <c r="CG3370" s="245" t="s">
        <v>885</v>
      </c>
      <c r="CH3370" s="245" t="s">
        <v>885</v>
      </c>
      <c r="CI3370" s="245" t="s">
        <v>885</v>
      </c>
      <c r="CJ3370" t="s">
        <v>1804</v>
      </c>
      <c r="CK3370" s="459" t="s">
        <v>885</v>
      </c>
      <c r="CL3370" s="459" t="s">
        <v>885</v>
      </c>
      <c r="CM3370" t="s">
        <v>1482</v>
      </c>
      <c r="CN3370" t="s">
        <v>1979</v>
      </c>
      <c r="CO3370" t="s">
        <v>1481</v>
      </c>
      <c r="CP3370" t="s">
        <v>2078</v>
      </c>
      <c r="CQ3370" t="s">
        <v>1556</v>
      </c>
      <c r="CR3370" s="459" t="s">
        <v>885</v>
      </c>
      <c r="CS3370" s="459" t="s">
        <v>885</v>
      </c>
      <c r="CT3370" s="245" t="s">
        <v>885</v>
      </c>
      <c r="CU3370" t="s">
        <v>2306</v>
      </c>
      <c r="CV3370" t="s">
        <v>2363</v>
      </c>
      <c r="CW3370" t="s">
        <v>2406</v>
      </c>
      <c r="CX3370" t="s">
        <v>1480</v>
      </c>
      <c r="CY3370" s="459" t="s">
        <v>885</v>
      </c>
      <c r="CZ3370" t="s">
        <v>2439</v>
      </c>
      <c r="DA3370" s="459" t="s">
        <v>885</v>
      </c>
      <c r="DB3370" s="459" t="s">
        <v>885</v>
      </c>
      <c r="DC3370" s="459" t="s">
        <v>885</v>
      </c>
      <c r="DD3370" s="459" t="s">
        <v>885</v>
      </c>
      <c r="DE3370" s="459" t="s">
        <v>885</v>
      </c>
      <c r="DF3370" t="s">
        <v>2660</v>
      </c>
      <c r="DG3370" s="459" t="s">
        <v>885</v>
      </c>
      <c r="DH3370" t="s">
        <v>1743</v>
      </c>
      <c r="DI3370" t="s">
        <v>1837</v>
      </c>
      <c r="DJ3370" s="459" t="s">
        <v>885</v>
      </c>
      <c r="DK3370" s="459" t="s">
        <v>885</v>
      </c>
      <c r="DL3370" s="459" t="s">
        <v>885</v>
      </c>
      <c r="DM3370" s="459" t="s">
        <v>885</v>
      </c>
      <c r="DN3370" s="459" t="s">
        <v>885</v>
      </c>
      <c r="DO3370" t="s">
        <v>2923</v>
      </c>
      <c r="DP3370" t="s">
        <v>1913</v>
      </c>
      <c r="DQ3370" s="459" t="s">
        <v>885</v>
      </c>
      <c r="DR3370" s="459" t="s">
        <v>885</v>
      </c>
      <c r="DS3370" t="s">
        <v>1471</v>
      </c>
      <c r="DT3370" s="459" t="s">
        <v>885</v>
      </c>
      <c r="DU3370" s="459" t="s">
        <v>885</v>
      </c>
      <c r="DV3370" t="s">
        <v>3270</v>
      </c>
      <c r="DW3370" s="245" t="s">
        <v>885</v>
      </c>
      <c r="DX3370" s="245" t="s">
        <v>885</v>
      </c>
      <c r="DY3370" s="245"/>
      <c r="DZ3370" s="470" t="str">
        <f t="shared" si="168"/>
        <v/>
      </c>
      <c r="EA3370" s="470" t="str">
        <f t="shared" si="169"/>
        <v/>
      </c>
      <c r="EH3370" t="str">
        <f>EH3313</f>
        <v>Eric Hance</v>
      </c>
      <c r="EI3370" s="473" t="s">
        <v>3294</v>
      </c>
    </row>
    <row r="3371" spans="1:143" ht="14.5" hidden="1" x14ac:dyDescent="0.35">
      <c r="A3371" s="814"/>
      <c r="B3371" s="69" t="str">
        <f>CONCATENATE(B3365,D$3362)</f>
        <v xml:space="preserve">yes, I need you to immediately notify Entity name: </v>
      </c>
      <c r="BS3371" s="464" t="str">
        <f>IF($B$265=B$3281,BZ3370,IF($B$265=B$3282,CA3370,IF($B$265=B$3283,CB3370,IF($B$265=B$3284,CC3370,IF($B$265=B$3285,CD3370,IF($B$265=B$3286,CE3370,IF($B$265=B$3287,CF3370,IF($B$265=B$3288,CG3370,IF($B$265=B$3289,CH3370,IF($B$265=B$3290,CI3370,IF($B$265=B$3291,CJ3370,IF($B$265=B$3292,CK3370,IF($B$265=B$3293,CL3370,IF($B$265=B$3294,CM3370,IF($B$265=B$3295,CN3370,IF($B$265=B$3296,#REF!,IF($B$265=B$3297,CO3370,IF($B$265=B$3298,CP3370,IF($B$265=B$3299,CQ3370,IF($B$265=B$3300,CR3370,IF($B$265=B$3301,CS3370,IF($B$265=B$3302,CT3370,IF(B$265=B$3303,CU3370,IF($B$265=B$3304,CV3370,IF($B$265=B$3305,CW3370,IF($B$265=B$3306,CX3370,IF($B$265=B$3307,CY3370,IF($B$265=B$3308,CZ3370,IF($B$265=B$3309,DA3370,IF($B$265=B$3310,DB3370,IF($B$265=B$3311,DC3370,IF($B$265=B$3312,DD3370,IF($B$265=B$3313,DE3370,IF($B$265=B$3314,DF3370,IF($B$265=B$3315,DG3370,IF($B$265=B$3316,DH3370,IF($B$265=B$3317,DI3370,IF($B$265=B$3318,DJ3370,IF($B$265=B$3319,DK3370,IF($B$265=B$3320,DL3370,IF($B$265=B$3321,DM3370,IF($B$265=B$3322,DN3370,IF($B$265=B$3323,DO3370,IF($B$265=B$3324,DP3370,IF($B$265=B$3325,DQ3370,IF($B$265=B$3326,DR3370,IF($B$265=B$3327,DS3370,IF($B$265=B$3328,DT3370,IF($B$265=B$3329,DU3370,IF($B$265=B$3330,DV3370,IF($B$265=B$3331,DW3370,IF($B$265=B$3332,DX3370,""))))))))))))))))))))))))))))))))))))))))))))))))))))</f>
        <v>Otsego County</v>
      </c>
      <c r="BZ3371" s="245" t="s">
        <v>885</v>
      </c>
      <c r="CA3371" s="245" t="s">
        <v>885</v>
      </c>
      <c r="CC3371" t="s">
        <v>1579</v>
      </c>
      <c r="CD3371" s="459" t="s">
        <v>885</v>
      </c>
      <c r="CE3371" s="459" t="s">
        <v>885</v>
      </c>
      <c r="CF3371" s="245" t="s">
        <v>885</v>
      </c>
      <c r="CG3371" s="245" t="s">
        <v>885</v>
      </c>
      <c r="CH3371" s="245" t="s">
        <v>885</v>
      </c>
      <c r="CI3371" s="245" t="s">
        <v>885</v>
      </c>
      <c r="CJ3371" t="s">
        <v>1805</v>
      </c>
      <c r="CK3371" s="459" t="s">
        <v>885</v>
      </c>
      <c r="CL3371" s="459" t="s">
        <v>885</v>
      </c>
      <c r="CM3371" t="s">
        <v>1936</v>
      </c>
      <c r="CN3371" t="s">
        <v>1980</v>
      </c>
      <c r="CO3371" t="s">
        <v>2023</v>
      </c>
      <c r="CP3371" t="s">
        <v>2079</v>
      </c>
      <c r="CQ3371" t="s">
        <v>1927</v>
      </c>
      <c r="CR3371" s="459" t="s">
        <v>885</v>
      </c>
      <c r="CS3371" s="459" t="s">
        <v>885</v>
      </c>
      <c r="CT3371" s="245" t="s">
        <v>885</v>
      </c>
      <c r="CU3371" t="s">
        <v>2081</v>
      </c>
      <c r="CV3371" t="s">
        <v>1573</v>
      </c>
      <c r="CW3371" t="s">
        <v>2407</v>
      </c>
      <c r="CX3371" t="s">
        <v>1481</v>
      </c>
      <c r="CY3371" s="459" t="s">
        <v>885</v>
      </c>
      <c r="CZ3371" t="s">
        <v>1829</v>
      </c>
      <c r="DA3371" s="459" t="s">
        <v>885</v>
      </c>
      <c r="DB3371" s="459" t="s">
        <v>885</v>
      </c>
      <c r="DC3371" s="459" t="s">
        <v>885</v>
      </c>
      <c r="DD3371" s="459" t="s">
        <v>885</v>
      </c>
      <c r="DE3371" s="459" t="s">
        <v>885</v>
      </c>
      <c r="DF3371" t="s">
        <v>2661</v>
      </c>
      <c r="DG3371" s="459" t="s">
        <v>885</v>
      </c>
      <c r="DH3371" t="s">
        <v>1940</v>
      </c>
      <c r="DI3371" t="s">
        <v>2453</v>
      </c>
      <c r="DJ3371" s="459" t="s">
        <v>885</v>
      </c>
      <c r="DK3371" s="459" t="s">
        <v>885</v>
      </c>
      <c r="DL3371" s="459" t="s">
        <v>885</v>
      </c>
      <c r="DM3371" s="459" t="s">
        <v>885</v>
      </c>
      <c r="DN3371" s="459" t="s">
        <v>885</v>
      </c>
      <c r="DO3371" t="s">
        <v>1567</v>
      </c>
      <c r="DP3371" t="s">
        <v>2053</v>
      </c>
      <c r="DQ3371" s="459" t="s">
        <v>885</v>
      </c>
      <c r="DR3371" s="459" t="s">
        <v>885</v>
      </c>
      <c r="DS3371" t="s">
        <v>3158</v>
      </c>
      <c r="DT3371" s="459" t="s">
        <v>885</v>
      </c>
      <c r="DU3371" s="459" t="s">
        <v>885</v>
      </c>
      <c r="DV3371" t="s">
        <v>3271</v>
      </c>
      <c r="DW3371" s="245" t="s">
        <v>885</v>
      </c>
      <c r="DX3371" s="245" t="s">
        <v>885</v>
      </c>
      <c r="DY3371" s="245"/>
      <c r="DZ3371" s="470" t="str">
        <f t="shared" si="168"/>
        <v/>
      </c>
      <c r="EA3371" s="470" t="str">
        <f t="shared" si="169"/>
        <v/>
      </c>
      <c r="EH3371" t="str">
        <f>EH3332</f>
        <v>Jeff Rogers</v>
      </c>
      <c r="EI3371" s="473" t="s">
        <v>3294</v>
      </c>
    </row>
    <row r="3372" spans="1:143" ht="14.5" hidden="1" x14ac:dyDescent="0.35">
      <c r="A3372" s="814"/>
      <c r="B3372" s="69"/>
      <c r="BS3372" s="464" t="str">
        <f>IF($B$265=B$3281,BZ3371,IF($B$265=B$3282,CA3371,IF($B$265=B$3283,CB3371,IF($B$265=B$3284,CC3371,IF($B$265=B$3285,CD3371,IF($B$265=B$3286,CE3371,IF($B$265=B$3287,CF3371,IF($B$265=B$3288,CG3371,IF($B$265=B$3289,CH3371,IF($B$265=B$3290,CI3371,IF($B$265=B$3291,CJ3371,IF($B$265=B$3292,CK3371,IF($B$265=B$3293,CL3371,IF($B$265=B$3294,CM3371,IF($B$265=B$3295,CN3371,IF($B$265=B$3296,#REF!,IF($B$265=B$3297,CO3371,IF($B$265=B$3298,CP3371,IF($B$265=B$3299,CQ3371,IF($B$265=B$3300,CR3371,IF($B$265=B$3301,CS3371,IF($B$265=B$3302,CT3371,IF(B$265=B$3303,CU3371,IF($B$265=B$3304,CV3371,IF($B$265=B$3305,CW3371,IF($B$265=B$3306,CX3371,IF($B$265=B$3307,CY3371,IF($B$265=B$3308,CZ3371,IF($B$265=B$3309,DA3371,IF($B$265=B$3310,DB3371,IF($B$265=B$3311,DC3371,IF($B$265=B$3312,DD3371,IF($B$265=B$3313,DE3371,IF($B$265=B$3314,DF3371,IF($B$265=B$3315,DG3371,IF($B$265=B$3316,DH3371,IF($B$265=B$3317,DI3371,IF($B$265=B$3318,DJ3371,IF($B$265=B$3319,DK3371,IF($B$265=B$3320,DL3371,IF($B$265=B$3321,DM3371,IF($B$265=B$3322,DN3371,IF($B$265=B$3323,DO3371,IF($B$265=B$3324,DP3371,IF($B$265=B$3325,DQ3371,IF($B$265=B$3326,DR3371,IF($B$265=B$3327,DS3371,IF($B$265=B$3328,DT3371,IF($B$265=B$3329,DU3371,IF($B$265=B$3330,DV3371,IF($B$265=B$3331,DW3371,IF($B$265=B$3332,DX3371,""))))))))))))))))))))))))))))))))))))))))))))))))))))</f>
        <v>Ottawa County</v>
      </c>
      <c r="BZ3372" s="245" t="s">
        <v>885</v>
      </c>
      <c r="CA3372" s="245" t="s">
        <v>885</v>
      </c>
      <c r="CC3372" t="s">
        <v>1580</v>
      </c>
      <c r="CD3372" s="459" t="s">
        <v>885</v>
      </c>
      <c r="CE3372" s="459" t="s">
        <v>885</v>
      </c>
      <c r="CF3372" s="245" t="s">
        <v>885</v>
      </c>
      <c r="CG3372" s="245" t="s">
        <v>885</v>
      </c>
      <c r="CH3372" s="245" t="s">
        <v>885</v>
      </c>
      <c r="CI3372" s="245" t="s">
        <v>885</v>
      </c>
      <c r="CJ3372" t="s">
        <v>1806</v>
      </c>
      <c r="CK3372" s="459" t="s">
        <v>885</v>
      </c>
      <c r="CL3372" s="459" t="s">
        <v>885</v>
      </c>
      <c r="CM3372" t="s">
        <v>1937</v>
      </c>
      <c r="CN3372" t="s">
        <v>1981</v>
      </c>
      <c r="CO3372" t="s">
        <v>2024</v>
      </c>
      <c r="CP3372" t="s">
        <v>2080</v>
      </c>
      <c r="CQ3372" t="s">
        <v>1558</v>
      </c>
      <c r="CR3372" s="459" t="s">
        <v>885</v>
      </c>
      <c r="CS3372" s="459" t="s">
        <v>885</v>
      </c>
      <c r="CT3372" s="245" t="s">
        <v>885</v>
      </c>
      <c r="CU3372" t="s">
        <v>2307</v>
      </c>
      <c r="CV3372" t="s">
        <v>2364</v>
      </c>
      <c r="CW3372" t="s">
        <v>2408</v>
      </c>
      <c r="CX3372" t="s">
        <v>1482</v>
      </c>
      <c r="CY3372" s="459" t="s">
        <v>885</v>
      </c>
      <c r="CZ3372" t="s">
        <v>2440</v>
      </c>
      <c r="DA3372" s="459" t="s">
        <v>885</v>
      </c>
      <c r="DB3372" s="459" t="s">
        <v>885</v>
      </c>
      <c r="DC3372" s="459" t="s">
        <v>885</v>
      </c>
      <c r="DD3372" s="459" t="s">
        <v>885</v>
      </c>
      <c r="DE3372" s="459" t="s">
        <v>885</v>
      </c>
      <c r="DF3372" t="s">
        <v>2662</v>
      </c>
      <c r="DG3372" s="459" t="s">
        <v>885</v>
      </c>
      <c r="DH3372" t="s">
        <v>2737</v>
      </c>
      <c r="DI3372" t="s">
        <v>2782</v>
      </c>
      <c r="DJ3372" s="459" t="s">
        <v>885</v>
      </c>
      <c r="DK3372" s="459" t="s">
        <v>885</v>
      </c>
      <c r="DL3372" s="459" t="s">
        <v>885</v>
      </c>
      <c r="DM3372" s="459" t="s">
        <v>885</v>
      </c>
      <c r="DN3372" s="459" t="s">
        <v>885</v>
      </c>
      <c r="DO3372" t="s">
        <v>1743</v>
      </c>
      <c r="DP3372" t="s">
        <v>1660</v>
      </c>
      <c r="DQ3372" s="459" t="s">
        <v>885</v>
      </c>
      <c r="DR3372" s="459" t="s">
        <v>885</v>
      </c>
      <c r="DS3372" t="s">
        <v>3159</v>
      </c>
      <c r="DT3372" s="459" t="s">
        <v>885</v>
      </c>
      <c r="DU3372" s="459" t="s">
        <v>885</v>
      </c>
      <c r="DV3372" t="s">
        <v>1952</v>
      </c>
      <c r="DW3372" s="245" t="s">
        <v>885</v>
      </c>
      <c r="DX3372" s="245" t="s">
        <v>885</v>
      </c>
      <c r="DY3372" s="245"/>
      <c r="DZ3372" s="470" t="str">
        <f t="shared" si="168"/>
        <v/>
      </c>
      <c r="EA3372" s="470" t="str">
        <f t="shared" si="169"/>
        <v/>
      </c>
      <c r="EH3372" t="str">
        <f>EH3366</f>
        <v>Carol Crews</v>
      </c>
      <c r="EI3372" s="473" t="s">
        <v>3294</v>
      </c>
    </row>
    <row r="3373" spans="1:143" ht="14.5" hidden="1" x14ac:dyDescent="0.35">
      <c r="A3373" s="814"/>
      <c r="B3373" s="69" t="str">
        <f>CONCATENATE(B3362,D$3363)</f>
        <v xml:space="preserve">no, I don't need to notify any Contact person: </v>
      </c>
      <c r="BS3373" s="464" t="str">
        <f>IF($B$265=B$3281,BZ3372,IF($B$265=B$3282,CA3372,IF($B$265=B$3283,CB3372,IF($B$265=B$3284,CC3372,IF($B$265=B$3285,CD3372,IF($B$265=B$3286,CE3372,IF($B$265=B$3287,CF3372,IF($B$265=B$3288,CG3372,IF($B$265=B$3289,CH3372,IF($B$265=B$3290,CI3372,IF($B$265=B$3291,CJ3372,IF($B$265=B$3292,CK3372,IF($B$265=B$3293,CL3372,IF($B$265=B$3294,CM3372,IF($B$265=B$3295,CN3372,IF($B$265=B$3296,#REF!,IF($B$265=B$3297,CO3372,IF($B$265=B$3298,CP3372,IF($B$265=B$3299,CQ3372,IF($B$265=B$3300,CR3372,IF($B$265=B$3301,CS3372,IF($B$265=B$3302,CT3372,IF(B$265=B$3303,CU3372,IF($B$265=B$3304,CV3372,IF($B$265=B$3305,CW3372,IF($B$265=B$3306,CX3372,IF($B$265=B$3307,CY3372,IF($B$265=B$3308,CZ3372,IF($B$265=B$3309,DA3372,IF($B$265=B$3310,DB3372,IF($B$265=B$3311,DC3372,IF($B$265=B$3312,DD3372,IF($B$265=B$3313,DE3372,IF($B$265=B$3314,DF3372,IF($B$265=B$3315,DG3372,IF($B$265=B$3316,DH3372,IF($B$265=B$3317,DI3372,IF($B$265=B$3318,DJ3372,IF($B$265=B$3319,DK3372,IF($B$265=B$3320,DL3372,IF($B$265=B$3321,DM3372,IF($B$265=B$3322,DN3372,IF($B$265=B$3323,DO3372,IF($B$265=B$3324,DP3372,IF($B$265=B$3325,DQ3372,IF($B$265=B$3326,DR3372,IF($B$265=B$3327,DS3372,IF($B$265=B$3328,DT3372,IF($B$265=B$3329,DU3372,IF($B$265=B$3330,DV3372,IF($B$265=B$3331,DW3372,IF($B$265=B$3332,DX3372,""))))))))))))))))))))))))))))))))))))))))))))))))))))</f>
        <v>Presque Isle County</v>
      </c>
      <c r="BZ3373" s="245" t="s">
        <v>885</v>
      </c>
      <c r="CA3373" s="245" t="s">
        <v>885</v>
      </c>
      <c r="CC3373" t="s">
        <v>1495</v>
      </c>
      <c r="CD3373" s="459" t="s">
        <v>885</v>
      </c>
      <c r="CE3373" s="459" t="s">
        <v>885</v>
      </c>
      <c r="CF3373" s="245" t="s">
        <v>885</v>
      </c>
      <c r="CG3373" s="245" t="s">
        <v>885</v>
      </c>
      <c r="CH3373" s="245" t="s">
        <v>885</v>
      </c>
      <c r="CI3373" s="245" t="s">
        <v>885</v>
      </c>
      <c r="CJ3373" t="s">
        <v>1807</v>
      </c>
      <c r="CK3373" s="459" t="s">
        <v>885</v>
      </c>
      <c r="CL3373" s="459" t="s">
        <v>885</v>
      </c>
      <c r="CM3373" t="s">
        <v>1938</v>
      </c>
      <c r="CN3373" t="s">
        <v>1573</v>
      </c>
      <c r="CO3373" t="s">
        <v>1739</v>
      </c>
      <c r="CP3373" t="s">
        <v>2081</v>
      </c>
      <c r="CQ3373" t="s">
        <v>2019</v>
      </c>
      <c r="CR3373" s="459" t="s">
        <v>885</v>
      </c>
      <c r="CS3373" s="459" t="s">
        <v>885</v>
      </c>
      <c r="CT3373" s="245" t="s">
        <v>885</v>
      </c>
      <c r="CU3373" t="s">
        <v>2308</v>
      </c>
      <c r="CV3373" t="s">
        <v>2365</v>
      </c>
      <c r="CW3373" t="s">
        <v>2409</v>
      </c>
      <c r="CX3373" t="s">
        <v>2433</v>
      </c>
      <c r="CY3373" s="459" t="s">
        <v>885</v>
      </c>
      <c r="CZ3373" t="s">
        <v>1567</v>
      </c>
      <c r="DA3373" s="459" t="s">
        <v>885</v>
      </c>
      <c r="DB3373" s="459" t="s">
        <v>885</v>
      </c>
      <c r="DC3373" s="459" t="s">
        <v>885</v>
      </c>
      <c r="DD3373" s="459" t="s">
        <v>885</v>
      </c>
      <c r="DE3373" s="459" t="s">
        <v>885</v>
      </c>
      <c r="DF3373" t="s">
        <v>2663</v>
      </c>
      <c r="DG3373" s="459" t="s">
        <v>885</v>
      </c>
      <c r="DH3373" t="s">
        <v>2738</v>
      </c>
      <c r="DI3373" t="s">
        <v>2783</v>
      </c>
      <c r="DJ3373" s="459" t="s">
        <v>885</v>
      </c>
      <c r="DK3373" s="459" t="s">
        <v>885</v>
      </c>
      <c r="DL3373" s="459" t="s">
        <v>885</v>
      </c>
      <c r="DM3373" s="459" t="s">
        <v>885</v>
      </c>
      <c r="DN3373" s="459" t="s">
        <v>885</v>
      </c>
      <c r="DO3373" t="s">
        <v>2924</v>
      </c>
      <c r="DP3373" t="s">
        <v>2979</v>
      </c>
      <c r="DQ3373" s="459" t="s">
        <v>885</v>
      </c>
      <c r="DR3373" s="459" t="s">
        <v>885</v>
      </c>
      <c r="DS3373" t="s">
        <v>2017</v>
      </c>
      <c r="DT3373" s="459" t="s">
        <v>885</v>
      </c>
      <c r="DU3373" s="459" t="s">
        <v>885</v>
      </c>
      <c r="DV3373" t="s">
        <v>2744</v>
      </c>
      <c r="DW3373" s="245" t="s">
        <v>885</v>
      </c>
      <c r="DX3373" s="245" t="s">
        <v>885</v>
      </c>
      <c r="DY3373" s="245"/>
      <c r="DZ3373" s="470" t="str">
        <f t="shared" si="168"/>
        <v/>
      </c>
      <c r="EA3373" s="470" t="str">
        <f t="shared" si="169"/>
        <v/>
      </c>
      <c r="EH3373" t="str">
        <f>EH3324</f>
        <v>Matt Durrett</v>
      </c>
      <c r="EI3373" s="473" t="s">
        <v>3294</v>
      </c>
    </row>
    <row r="3374" spans="1:143" ht="14.5" hidden="1" x14ac:dyDescent="0.35">
      <c r="A3374" s="814"/>
      <c r="B3374" s="69" t="str">
        <f>CONCATENATE(B3363,D$3363)</f>
        <v xml:space="preserve">I have not yet decided if needing to notify any Contact person: </v>
      </c>
      <c r="BS3374" s="464" t="str">
        <f>IF($B$265=B$3281,BZ3373,IF($B$265=B$3282,CA3373,IF($B$265=B$3283,CB3373,IF($B$265=B$3284,CC3373,IF($B$265=B$3285,CD3373,IF($B$265=B$3286,CE3373,IF($B$265=B$3287,CF3373,IF($B$265=B$3288,CG3373,IF($B$265=B$3289,CH3373,IF($B$265=B$3290,CI3373,IF($B$265=B$3291,CJ3373,IF($B$265=B$3292,CK3373,IF($B$265=B$3293,CL3373,IF($B$265=B$3294,CM3373,IF($B$265=B$3295,CN3373,IF($B$265=B$3296,#REF!,IF($B$265=B$3297,CO3373,IF($B$265=B$3298,CP3373,IF($B$265=B$3299,CQ3373,IF($B$265=B$3300,CR3373,IF($B$265=B$3301,CS3373,IF($B$265=B$3302,CT3373,IF(B$265=B$3303,CU3373,IF($B$265=B$3304,CV3373,IF($B$265=B$3305,CW3373,IF($B$265=B$3306,CX3373,IF($B$265=B$3307,CY3373,IF($B$265=B$3308,CZ3373,IF($B$265=B$3309,DA3373,IF($B$265=B$3310,DB3373,IF($B$265=B$3311,DC3373,IF($B$265=B$3312,DD3373,IF($B$265=B$3313,DE3373,IF($B$265=B$3314,DF3373,IF($B$265=B$3315,DG3373,IF($B$265=B$3316,DH3373,IF($B$265=B$3317,DI3373,IF($B$265=B$3318,DJ3373,IF($B$265=B$3319,DK3373,IF($B$265=B$3320,DL3373,IF($B$265=B$3321,DM3373,IF($B$265=B$3322,DN3373,IF($B$265=B$3323,DO3373,IF($B$265=B$3324,DP3373,IF($B$265=B$3325,DQ3373,IF($B$265=B$3326,DR3373,IF($B$265=B$3327,DS3373,IF($B$265=B$3328,DT3373,IF($B$265=B$3329,DU3373,IF($B$265=B$3330,DV3373,IF($B$265=B$3331,DW3373,IF($B$265=B$3332,DX3373,""))))))))))))))))))))))))))))))))))))))))))))))))))))</f>
        <v>Roscommon County</v>
      </c>
      <c r="BZ3374" s="245" t="s">
        <v>885</v>
      </c>
      <c r="CA3374" s="245" t="s">
        <v>885</v>
      </c>
      <c r="CC3374" t="s">
        <v>1581</v>
      </c>
      <c r="CD3374" s="459" t="s">
        <v>885</v>
      </c>
      <c r="CE3374" s="459" t="s">
        <v>885</v>
      </c>
      <c r="CF3374" s="245" t="s">
        <v>885</v>
      </c>
      <c r="CG3374" s="245" t="s">
        <v>885</v>
      </c>
      <c r="CH3374" s="245" t="s">
        <v>885</v>
      </c>
      <c r="CI3374" s="245" t="s">
        <v>885</v>
      </c>
      <c r="CJ3374" t="s">
        <v>1808</v>
      </c>
      <c r="CK3374" s="459" t="s">
        <v>885</v>
      </c>
      <c r="CL3374" s="459" t="s">
        <v>885</v>
      </c>
      <c r="CM3374" t="s">
        <v>1483</v>
      </c>
      <c r="CN3374" t="s">
        <v>1489</v>
      </c>
      <c r="CO3374" t="s">
        <v>2025</v>
      </c>
      <c r="CP3374" t="s">
        <v>2082</v>
      </c>
      <c r="CQ3374" t="s">
        <v>2142</v>
      </c>
      <c r="CR3374" s="459" t="s">
        <v>885</v>
      </c>
      <c r="CS3374" s="459" t="s">
        <v>885</v>
      </c>
      <c r="CT3374" s="245" t="s">
        <v>885</v>
      </c>
      <c r="CU3374" t="s">
        <v>2309</v>
      </c>
      <c r="CV3374" t="s">
        <v>2366</v>
      </c>
      <c r="CW3374" t="s">
        <v>1579</v>
      </c>
      <c r="CX3374" t="s">
        <v>1563</v>
      </c>
      <c r="CY3374" s="459" t="s">
        <v>885</v>
      </c>
      <c r="CZ3374" t="s">
        <v>2524</v>
      </c>
      <c r="DA3374" s="459" t="s">
        <v>885</v>
      </c>
      <c r="DB3374" s="459" t="s">
        <v>885</v>
      </c>
      <c r="DC3374" s="459" t="s">
        <v>885</v>
      </c>
      <c r="DD3374" s="459" t="s">
        <v>885</v>
      </c>
      <c r="DE3374" s="459" t="s">
        <v>885</v>
      </c>
      <c r="DF3374" t="s">
        <v>2664</v>
      </c>
      <c r="DG3374" s="459" t="s">
        <v>885</v>
      </c>
      <c r="DH3374" t="s">
        <v>2739</v>
      </c>
      <c r="DI3374" t="s">
        <v>2784</v>
      </c>
      <c r="DJ3374" s="459" t="s">
        <v>885</v>
      </c>
      <c r="DK3374" s="459" t="s">
        <v>885</v>
      </c>
      <c r="DL3374" s="459" t="s">
        <v>885</v>
      </c>
      <c r="DM3374" s="459" t="s">
        <v>885</v>
      </c>
      <c r="DN3374" s="459" t="s">
        <v>885</v>
      </c>
      <c r="DO3374" t="s">
        <v>2925</v>
      </c>
      <c r="DP3374" t="s">
        <v>2980</v>
      </c>
      <c r="DQ3374" s="459" t="s">
        <v>885</v>
      </c>
      <c r="DR3374" s="459" t="s">
        <v>885</v>
      </c>
      <c r="DS3374" t="s">
        <v>3160</v>
      </c>
      <c r="DT3374" s="459" t="s">
        <v>885</v>
      </c>
      <c r="DU3374" s="459" t="s">
        <v>885</v>
      </c>
      <c r="DV3374" s="459" t="s">
        <v>885</v>
      </c>
      <c r="DW3374" s="245" t="s">
        <v>885</v>
      </c>
      <c r="DX3374" s="245" t="s">
        <v>885</v>
      </c>
      <c r="DY3374" s="245"/>
      <c r="DZ3374" s="470" t="str">
        <f t="shared" si="168"/>
        <v/>
      </c>
      <c r="EA3374" s="470" t="str">
        <f t="shared" si="169"/>
        <v/>
      </c>
      <c r="EH3374" t="str">
        <f>EH3360</f>
        <v>Rebecca Reed McCoy</v>
      </c>
      <c r="EI3374" s="473" t="s">
        <v>3294</v>
      </c>
    </row>
    <row r="3375" spans="1:143" ht="14.5" hidden="1" x14ac:dyDescent="0.35">
      <c r="A3375" s="814"/>
      <c r="B3375" s="69" t="str">
        <f>CONCATENATE(B3364,D$3363)</f>
        <v xml:space="preserve">yes, but I'll let you know when I need to notifiy any Contact person: </v>
      </c>
      <c r="BS3375" s="464" t="str">
        <f>IF($B$265=B$3281,BZ3374,IF($B$265=B$3282,CA3374,IF($B$265=B$3283,CB3374,IF($B$265=B$3284,CC3374,IF($B$265=B$3285,CD3374,IF($B$265=B$3286,CE3374,IF($B$265=B$3287,CF3374,IF($B$265=B$3288,CG3374,IF($B$265=B$3289,CH3374,IF($B$265=B$3290,CI3374,IF($B$265=B$3291,CJ3374,IF($B$265=B$3292,CK3374,IF($B$265=B$3293,CL3374,IF($B$265=B$3294,CM3374,IF($B$265=B$3295,CN3374,IF($B$265=B$3296,#REF!,IF($B$265=B$3297,CO3374,IF($B$265=B$3298,CP3374,IF($B$265=B$3299,CQ3374,IF($B$265=B$3300,CR3374,IF($B$265=B$3301,CS3374,IF($B$265=B$3302,CT3374,IF(B$265=B$3303,CU3374,IF($B$265=B$3304,CV3374,IF($B$265=B$3305,CW3374,IF($B$265=B$3306,CX3374,IF($B$265=B$3307,CY3374,IF($B$265=B$3308,CZ3374,IF($B$265=B$3309,DA3374,IF($B$265=B$3310,DB3374,IF($B$265=B$3311,DC3374,IF($B$265=B$3312,DD3374,IF($B$265=B$3313,DE3374,IF($B$265=B$3314,DF3374,IF($B$265=B$3315,DG3374,IF($B$265=B$3316,DH3374,IF($B$265=B$3317,DI3374,IF($B$265=B$3318,DJ3374,IF($B$265=B$3319,DK3374,IF($B$265=B$3320,DL3374,IF($B$265=B$3321,DM3374,IF($B$265=B$3322,DN3374,IF($B$265=B$3323,DO3374,IF($B$265=B$3324,DP3374,IF($B$265=B$3325,DQ3374,IF($B$265=B$3326,DR3374,IF($B$265=B$3327,DS3374,IF($B$265=B$3328,DT3374,IF($B$265=B$3329,DU3374,IF($B$265=B$3330,DV3374,IF($B$265=B$3331,DW3374,IF($B$265=B$3332,DX3374,""))))))))))))))))))))))))))))))))))))))))))))))))))))</f>
        <v>Saginaw County</v>
      </c>
      <c r="BZ3375" s="245" t="s">
        <v>885</v>
      </c>
      <c r="CA3375" s="245" t="s">
        <v>885</v>
      </c>
      <c r="CC3375" t="s">
        <v>1582</v>
      </c>
      <c r="CD3375" s="459" t="s">
        <v>885</v>
      </c>
      <c r="CE3375" s="459" t="s">
        <v>885</v>
      </c>
      <c r="CF3375" s="245" t="s">
        <v>885</v>
      </c>
      <c r="CG3375" s="245" t="s">
        <v>885</v>
      </c>
      <c r="CH3375" s="245" t="s">
        <v>885</v>
      </c>
      <c r="CI3375" s="245" t="s">
        <v>885</v>
      </c>
      <c r="CJ3375" t="s">
        <v>1809</v>
      </c>
      <c r="CK3375" s="459" t="s">
        <v>885</v>
      </c>
      <c r="CL3375" s="459" t="s">
        <v>885</v>
      </c>
      <c r="CM3375" t="s">
        <v>1939</v>
      </c>
      <c r="CN3375" t="s">
        <v>1982</v>
      </c>
      <c r="CO3375" t="s">
        <v>2026</v>
      </c>
      <c r="CP3375" t="s">
        <v>1565</v>
      </c>
      <c r="CQ3375" t="s">
        <v>2143</v>
      </c>
      <c r="CR3375" s="459" t="s">
        <v>885</v>
      </c>
      <c r="CS3375" s="459" t="s">
        <v>885</v>
      </c>
      <c r="CT3375" s="245" t="s">
        <v>885</v>
      </c>
      <c r="CU3375" t="s">
        <v>1488</v>
      </c>
      <c r="CV3375" t="s">
        <v>2367</v>
      </c>
      <c r="CW3375" t="s">
        <v>2410</v>
      </c>
      <c r="CX3375" t="s">
        <v>2434</v>
      </c>
      <c r="CY3375" s="459" t="s">
        <v>885</v>
      </c>
      <c r="CZ3375" t="s">
        <v>2525</v>
      </c>
      <c r="DA3375" s="459" t="s">
        <v>885</v>
      </c>
      <c r="DB3375" s="459" t="s">
        <v>885</v>
      </c>
      <c r="DC3375" s="459" t="s">
        <v>885</v>
      </c>
      <c r="DD3375" s="459" t="s">
        <v>885</v>
      </c>
      <c r="DE3375" s="459" t="s">
        <v>885</v>
      </c>
      <c r="DF3375" t="s">
        <v>2665</v>
      </c>
      <c r="DG3375" s="459" t="s">
        <v>885</v>
      </c>
      <c r="DH3375" t="s">
        <v>2609</v>
      </c>
      <c r="DI3375" t="s">
        <v>1495</v>
      </c>
      <c r="DJ3375" s="459" t="s">
        <v>885</v>
      </c>
      <c r="DK3375" s="459" t="s">
        <v>885</v>
      </c>
      <c r="DL3375" s="459" t="s">
        <v>885</v>
      </c>
      <c r="DM3375" s="459" t="s">
        <v>885</v>
      </c>
      <c r="DN3375" s="459" t="s">
        <v>885</v>
      </c>
      <c r="DO3375" t="s">
        <v>2154</v>
      </c>
      <c r="DP3375" t="s">
        <v>1794</v>
      </c>
      <c r="DQ3375" s="459" t="s">
        <v>885</v>
      </c>
      <c r="DR3375" s="459" t="s">
        <v>885</v>
      </c>
      <c r="DS3375" t="s">
        <v>3161</v>
      </c>
      <c r="DT3375" s="459" t="s">
        <v>885</v>
      </c>
      <c r="DU3375" s="459" t="s">
        <v>885</v>
      </c>
      <c r="DV3375" s="459" t="s">
        <v>885</v>
      </c>
      <c r="DW3375" s="245" t="s">
        <v>885</v>
      </c>
      <c r="DX3375" s="245" t="s">
        <v>885</v>
      </c>
      <c r="DY3375" s="245"/>
      <c r="DZ3375" s="470" t="str">
        <f t="shared" si="168"/>
        <v/>
      </c>
      <c r="EA3375" s="470" t="str">
        <f t="shared" si="169"/>
        <v/>
      </c>
      <c r="EH3375" t="str">
        <f>EH3363</f>
        <v>Todd Murray</v>
      </c>
      <c r="EI3375" s="473" t="s">
        <v>3294</v>
      </c>
    </row>
    <row r="3376" spans="1:143" ht="14.5" hidden="1" x14ac:dyDescent="0.35">
      <c r="A3376" s="814"/>
      <c r="B3376" s="69" t="str">
        <f>CONCATENATE(B3365,D$3363)</f>
        <v xml:space="preserve">yes, I need you to immediately notify Contact person: </v>
      </c>
      <c r="BS3376" s="464" t="str">
        <f>IF($B$265=B$3281,BZ3375,IF($B$265=B$3282,CA3375,IF($B$265=B$3283,CB3375,IF($B$265=B$3284,CC3375,IF($B$265=B$3285,CD3375,IF($B$265=B$3286,CE3375,IF($B$265=B$3287,CF3375,IF($B$265=B$3288,CG3375,IF($B$265=B$3289,CH3375,IF($B$265=B$3290,CI3375,IF($B$265=B$3291,CJ3375,IF($B$265=B$3292,CK3375,IF($B$265=B$3293,CL3375,IF($B$265=B$3294,CM3375,IF($B$265=B$3295,CN3375,IF($B$265=B$3296,#REF!,IF($B$265=B$3297,CO3375,IF($B$265=B$3298,CP3375,IF($B$265=B$3299,CQ3375,IF($B$265=B$3300,CR3375,IF($B$265=B$3301,CS3375,IF($B$265=B$3302,CT3375,IF(B$265=B$3303,CU3375,IF($B$265=B$3304,CV3375,IF($B$265=B$3305,CW3375,IF($B$265=B$3306,CX3375,IF($B$265=B$3307,CY3375,IF($B$265=B$3308,CZ3375,IF($B$265=B$3309,DA3375,IF($B$265=B$3310,DB3375,IF($B$265=B$3311,DC3375,IF($B$265=B$3312,DD3375,IF($B$265=B$3313,DE3375,IF($B$265=B$3314,DF3375,IF($B$265=B$3315,DG3375,IF($B$265=B$3316,DH3375,IF($B$265=B$3317,DI3375,IF($B$265=B$3318,DJ3375,IF($B$265=B$3319,DK3375,IF($B$265=B$3320,DL3375,IF($B$265=B$3321,DM3375,IF($B$265=B$3322,DN3375,IF($B$265=B$3323,DO3375,IF($B$265=B$3324,DP3375,IF($B$265=B$3325,DQ3375,IF($B$265=B$3326,DR3375,IF($B$265=B$3327,DS3375,IF($B$265=B$3328,DT3375,IF($B$265=B$3329,DU3375,IF($B$265=B$3330,DV3375,IF($B$265=B$3331,DW3375,IF($B$265=B$3332,DX3375,""))))))))))))))))))))))))))))))))))))))))))))))))))))</f>
        <v>St. Clair County</v>
      </c>
      <c r="BZ3376" s="245" t="s">
        <v>885</v>
      </c>
      <c r="CA3376" s="245" t="s">
        <v>885</v>
      </c>
      <c r="CC3376" t="s">
        <v>1583</v>
      </c>
      <c r="CD3376" s="459" t="s">
        <v>885</v>
      </c>
      <c r="CE3376" s="459" t="s">
        <v>885</v>
      </c>
      <c r="CF3376" s="245" t="s">
        <v>885</v>
      </c>
      <c r="CG3376" s="245" t="s">
        <v>885</v>
      </c>
      <c r="CH3376" s="245" t="s">
        <v>885</v>
      </c>
      <c r="CI3376" s="245" t="s">
        <v>885</v>
      </c>
      <c r="CJ3376" t="s">
        <v>1464</v>
      </c>
      <c r="CK3376" s="459" t="s">
        <v>885</v>
      </c>
      <c r="CL3376" s="459" t="s">
        <v>885</v>
      </c>
      <c r="CM3376" t="s">
        <v>1485</v>
      </c>
      <c r="CN3376" t="s">
        <v>1983</v>
      </c>
      <c r="CO3376" t="s">
        <v>2027</v>
      </c>
      <c r="CP3376" t="s">
        <v>2083</v>
      </c>
      <c r="CQ3376" t="s">
        <v>1933</v>
      </c>
      <c r="CR3376" s="459" t="s">
        <v>885</v>
      </c>
      <c r="CS3376" s="459" t="s">
        <v>885</v>
      </c>
      <c r="CT3376" s="245" t="s">
        <v>885</v>
      </c>
      <c r="CU3376" t="s">
        <v>1981</v>
      </c>
      <c r="CV3376" t="s">
        <v>2098</v>
      </c>
      <c r="CW3376" t="s">
        <v>1854</v>
      </c>
      <c r="CX3376" t="s">
        <v>2435</v>
      </c>
      <c r="CY3376" s="459" t="s">
        <v>885</v>
      </c>
      <c r="CZ3376" t="s">
        <v>2361</v>
      </c>
      <c r="DA3376" s="459" t="s">
        <v>885</v>
      </c>
      <c r="DB3376" s="459" t="s">
        <v>885</v>
      </c>
      <c r="DC3376" s="459" t="s">
        <v>885</v>
      </c>
      <c r="DD3376" s="459" t="s">
        <v>885</v>
      </c>
      <c r="DE3376" s="459" t="s">
        <v>885</v>
      </c>
      <c r="DF3376" t="s">
        <v>1567</v>
      </c>
      <c r="DG3376" s="459" t="s">
        <v>885</v>
      </c>
      <c r="DH3376" t="s">
        <v>1489</v>
      </c>
      <c r="DI3376" t="s">
        <v>2785</v>
      </c>
      <c r="DJ3376" s="459" t="s">
        <v>885</v>
      </c>
      <c r="DK3376" s="459" t="s">
        <v>885</v>
      </c>
      <c r="DL3376" s="459" t="s">
        <v>885</v>
      </c>
      <c r="DM3376" s="459" t="s">
        <v>885</v>
      </c>
      <c r="DN3376" s="459" t="s">
        <v>885</v>
      </c>
      <c r="DO3376" t="s">
        <v>2667</v>
      </c>
      <c r="DP3376" t="s">
        <v>1459</v>
      </c>
      <c r="DQ3376" s="459" t="s">
        <v>885</v>
      </c>
      <c r="DR3376" s="459" t="s">
        <v>885</v>
      </c>
      <c r="DS3376" t="s">
        <v>1475</v>
      </c>
      <c r="DT3376" s="459" t="s">
        <v>885</v>
      </c>
      <c r="DU3376" s="459" t="s">
        <v>885</v>
      </c>
      <c r="DV3376" s="459" t="s">
        <v>885</v>
      </c>
      <c r="DW3376" s="245" t="s">
        <v>885</v>
      </c>
      <c r="DX3376" s="245" t="s">
        <v>885</v>
      </c>
      <c r="DY3376" s="245"/>
      <c r="DZ3376" s="470" t="str">
        <f t="shared" si="168"/>
        <v/>
      </c>
      <c r="EA3376" s="470" t="str">
        <f t="shared" si="169"/>
        <v/>
      </c>
      <c r="EH3376" t="str">
        <f>EH3365</f>
        <v>Tom Tatum II</v>
      </c>
      <c r="EI3376" s="473" t="s">
        <v>3294</v>
      </c>
    </row>
    <row r="3377" spans="1:131" ht="14.5" hidden="1" x14ac:dyDescent="0.35">
      <c r="A3377" s="814"/>
      <c r="B3377" s="69"/>
      <c r="BS3377" s="464" t="str">
        <f>IF($B$265=B$3281,BZ3376,IF($B$265=B$3282,CA3376,IF($B$265=B$3283,CB3376,IF($B$265=B$3284,CC3376,IF($B$265=B$3285,CD3376,IF($B$265=B$3286,CE3376,IF($B$265=B$3287,CF3376,IF($B$265=B$3288,CG3376,IF($B$265=B$3289,CH3376,IF($B$265=B$3290,CI3376,IF($B$265=B$3291,CJ3376,IF($B$265=B$3292,CK3376,IF($B$265=B$3293,CL3376,IF($B$265=B$3294,CM3376,IF($B$265=B$3295,CN3376,IF($B$265=B$3296,#REF!,IF($B$265=B$3297,CO3376,IF($B$265=B$3298,CP3376,IF($B$265=B$3299,CQ3376,IF($B$265=B$3300,CR3376,IF($B$265=B$3301,CS3376,IF($B$265=B$3302,CT3376,IF(B$265=B$3303,CU3376,IF($B$265=B$3304,CV3376,IF($B$265=B$3305,CW3376,IF($B$265=B$3306,CX3376,IF($B$265=B$3307,CY3376,IF($B$265=B$3308,CZ3376,IF($B$265=B$3309,DA3376,IF($B$265=B$3310,DB3376,IF($B$265=B$3311,DC3376,IF($B$265=B$3312,DD3376,IF($B$265=B$3313,DE3376,IF($B$265=B$3314,DF3376,IF($B$265=B$3315,DG3376,IF($B$265=B$3316,DH3376,IF($B$265=B$3317,DI3376,IF($B$265=B$3318,DJ3376,IF($B$265=B$3319,DK3376,IF($B$265=B$3320,DL3376,IF($B$265=B$3321,DM3376,IF($B$265=B$3322,DN3376,IF($B$265=B$3323,DO3376,IF($B$265=B$3324,DP3376,IF($B$265=B$3325,DQ3376,IF($B$265=B$3326,DR3376,IF($B$265=B$3327,DS3376,IF($B$265=B$3328,DT3376,IF($B$265=B$3329,DU3376,IF($B$265=B$3330,DV3376,IF($B$265=B$3331,DW3376,IF($B$265=B$3332,DX3376,""))))))))))))))))))))))))))))))))))))))))))))))))))))</f>
        <v>St. Joseph County</v>
      </c>
      <c r="BZ3377" s="245" t="s">
        <v>885</v>
      </c>
      <c r="CA3377" s="245" t="s">
        <v>885</v>
      </c>
      <c r="CC3377" s="245" t="s">
        <v>885</v>
      </c>
      <c r="CD3377" s="459" t="s">
        <v>885</v>
      </c>
      <c r="CE3377" s="459" t="s">
        <v>885</v>
      </c>
      <c r="CF3377" s="245" t="s">
        <v>885</v>
      </c>
      <c r="CG3377" s="245" t="s">
        <v>885</v>
      </c>
      <c r="CH3377" s="245" t="s">
        <v>885</v>
      </c>
      <c r="CI3377" s="245" t="s">
        <v>885</v>
      </c>
      <c r="CJ3377" t="s">
        <v>1465</v>
      </c>
      <c r="CK3377" s="459" t="s">
        <v>885</v>
      </c>
      <c r="CL3377" s="459" t="s">
        <v>885</v>
      </c>
      <c r="CM3377" t="s">
        <v>1568</v>
      </c>
      <c r="CN3377" t="s">
        <v>1984</v>
      </c>
      <c r="CO3377" t="s">
        <v>2028</v>
      </c>
      <c r="CP3377" t="s">
        <v>2084</v>
      </c>
      <c r="CQ3377" t="s">
        <v>1475</v>
      </c>
      <c r="CR3377" s="459" t="s">
        <v>885</v>
      </c>
      <c r="CS3377" s="459" t="s">
        <v>885</v>
      </c>
      <c r="CT3377" s="245" t="s">
        <v>885</v>
      </c>
      <c r="CU3377" t="s">
        <v>2310</v>
      </c>
      <c r="CV3377" t="s">
        <v>2368</v>
      </c>
      <c r="CW3377" t="s">
        <v>1495</v>
      </c>
      <c r="CX3377" t="s">
        <v>2079</v>
      </c>
      <c r="CY3377" s="459" t="s">
        <v>885</v>
      </c>
      <c r="CZ3377" t="s">
        <v>1572</v>
      </c>
      <c r="DA3377" s="459" t="s">
        <v>885</v>
      </c>
      <c r="DB3377" s="459" t="s">
        <v>885</v>
      </c>
      <c r="DC3377" s="459" t="s">
        <v>885</v>
      </c>
      <c r="DD3377" s="459" t="s">
        <v>885</v>
      </c>
      <c r="DE3377" s="459" t="s">
        <v>885</v>
      </c>
      <c r="DF3377" t="s">
        <v>1486</v>
      </c>
      <c r="DG3377" s="459" t="s">
        <v>885</v>
      </c>
      <c r="DH3377" t="s">
        <v>1944</v>
      </c>
      <c r="DI3377" t="s">
        <v>2786</v>
      </c>
      <c r="DJ3377" s="459" t="s">
        <v>885</v>
      </c>
      <c r="DK3377" s="459" t="s">
        <v>885</v>
      </c>
      <c r="DL3377" s="459" t="s">
        <v>885</v>
      </c>
      <c r="DM3377" s="459" t="s">
        <v>885</v>
      </c>
      <c r="DN3377" s="459" t="s">
        <v>885</v>
      </c>
      <c r="DO3377" t="s">
        <v>1573</v>
      </c>
      <c r="DP3377" t="s">
        <v>2981</v>
      </c>
      <c r="DQ3377" s="459" t="s">
        <v>885</v>
      </c>
      <c r="DR3377" s="459" t="s">
        <v>885</v>
      </c>
      <c r="DS3377" t="s">
        <v>3162</v>
      </c>
      <c r="DT3377" s="459" t="s">
        <v>885</v>
      </c>
      <c r="DU3377" s="459" t="s">
        <v>885</v>
      </c>
      <c r="DV3377" s="459" t="s">
        <v>885</v>
      </c>
      <c r="DW3377" s="245" t="s">
        <v>885</v>
      </c>
      <c r="DX3377" s="245" t="s">
        <v>885</v>
      </c>
      <c r="DY3377" s="245"/>
      <c r="DZ3377" s="470" t="str">
        <f t="shared" si="168"/>
        <v/>
      </c>
      <c r="EA3377" s="470" t="str">
        <f t="shared" si="169"/>
        <v/>
      </c>
    </row>
    <row r="3378" spans="1:131" ht="14.5" hidden="1" x14ac:dyDescent="0.35">
      <c r="A3378" s="814"/>
      <c r="B3378" s="69" t="str">
        <f>CONCATENATE(B3362,D$3364)</f>
        <v xml:space="preserve">no, I don't need to notify any Email address: </v>
      </c>
      <c r="BB3378" s="48"/>
      <c r="BS3378" s="464" t="str">
        <f>IF($B$265=B$3281,BZ3377,IF($B$265=B$3282,CA3377,IF($B$265=B$3283,CB3377,IF($B$265=B$3284,CC3377,IF($B$265=B$3285,CD3377,IF($B$265=B$3286,CE3377,IF($B$265=B$3287,CF3377,IF($B$265=B$3288,CG3377,IF($B$265=B$3289,CH3377,IF($B$265=B$3290,CI3377,IF($B$265=B$3291,CJ3377,IF($B$265=B$3292,CK3377,IF($B$265=B$3293,CL3377,IF($B$265=B$3294,CM3377,IF($B$265=B$3295,CN3377,IF($B$265=B$3296,#REF!,IF($B$265=B$3297,CO3377,IF($B$265=B$3298,CP3377,IF($B$265=B$3299,CQ3377,IF($B$265=B$3300,CR3377,IF($B$265=B$3301,CS3377,IF($B$265=B$3302,CT3377,IF(B$265=B$3303,CU3377,IF($B$265=B$3304,CV3377,IF($B$265=B$3305,CW3377,IF($B$265=B$3306,CX3377,IF($B$265=B$3307,CY3377,IF($B$265=B$3308,CZ3377,IF($B$265=B$3309,DA3377,IF($B$265=B$3310,DB3377,IF($B$265=B$3311,DC3377,IF($B$265=B$3312,DD3377,IF($B$265=B$3313,DE3377,IF($B$265=B$3314,DF3377,IF($B$265=B$3315,DG3377,IF($B$265=B$3316,DH3377,IF($B$265=B$3317,DI3377,IF($B$265=B$3318,DJ3377,IF($B$265=B$3319,DK3377,IF($B$265=B$3320,DL3377,IF($B$265=B$3321,DM3377,IF($B$265=B$3322,DN3377,IF($B$265=B$3323,DO3377,IF($B$265=B$3324,DP3377,IF($B$265=B$3325,DQ3377,IF($B$265=B$3326,DR3377,IF($B$265=B$3327,DS3377,IF($B$265=B$3328,DT3377,IF($B$265=B$3329,DU3377,IF($B$265=B$3330,DV3377,IF($B$265=B$3331,DW3377,IF($B$265=B$3332,DX3377,""))))))))))))))))))))))))))))))))))))))))))))))))))))</f>
        <v>Sanilac County</v>
      </c>
      <c r="BZ3378" s="245" t="s">
        <v>885</v>
      </c>
      <c r="CA3378" s="245" t="s">
        <v>885</v>
      </c>
      <c r="CC3378" s="245" t="s">
        <v>885</v>
      </c>
      <c r="CD3378" s="459" t="s">
        <v>885</v>
      </c>
      <c r="CE3378" s="459" t="s">
        <v>885</v>
      </c>
      <c r="CF3378" s="245" t="s">
        <v>885</v>
      </c>
      <c r="CG3378" s="245" t="s">
        <v>885</v>
      </c>
      <c r="CH3378" s="245" t="s">
        <v>885</v>
      </c>
      <c r="CI3378" s="245" t="s">
        <v>885</v>
      </c>
      <c r="CJ3378" t="s">
        <v>1810</v>
      </c>
      <c r="CK3378" s="459" t="s">
        <v>885</v>
      </c>
      <c r="CL3378" s="459" t="s">
        <v>885</v>
      </c>
      <c r="CM3378" t="s">
        <v>1570</v>
      </c>
      <c r="CN3378" t="s">
        <v>1985</v>
      </c>
      <c r="CO3378" t="s">
        <v>1567</v>
      </c>
      <c r="CP3378" t="s">
        <v>2085</v>
      </c>
      <c r="CQ3378" t="s">
        <v>2144</v>
      </c>
      <c r="CR3378" s="459" t="s">
        <v>885</v>
      </c>
      <c r="CS3378" s="459" t="s">
        <v>885</v>
      </c>
      <c r="CT3378" s="245" t="s">
        <v>885</v>
      </c>
      <c r="CU3378" t="s">
        <v>2311</v>
      </c>
      <c r="CV3378" t="s">
        <v>2158</v>
      </c>
      <c r="CW3378" t="s">
        <v>1855</v>
      </c>
      <c r="CX3378" t="s">
        <v>2436</v>
      </c>
      <c r="CY3378" s="459" t="s">
        <v>885</v>
      </c>
      <c r="CZ3378" t="s">
        <v>2526</v>
      </c>
      <c r="DA3378" s="459" t="s">
        <v>885</v>
      </c>
      <c r="DB3378" s="459" t="s">
        <v>885</v>
      </c>
      <c r="DC3378" s="459" t="s">
        <v>885</v>
      </c>
      <c r="DD3378" s="459" t="s">
        <v>885</v>
      </c>
      <c r="DE3378" s="459" t="s">
        <v>885</v>
      </c>
      <c r="DF3378" t="s">
        <v>1832</v>
      </c>
      <c r="DG3378" s="459" t="s">
        <v>885</v>
      </c>
      <c r="DH3378" t="s">
        <v>1692</v>
      </c>
      <c r="DI3378" t="s">
        <v>2787</v>
      </c>
      <c r="DJ3378" s="459" t="s">
        <v>885</v>
      </c>
      <c r="DK3378" s="459" t="s">
        <v>885</v>
      </c>
      <c r="DL3378" s="459" t="s">
        <v>885</v>
      </c>
      <c r="DM3378" s="459" t="s">
        <v>885</v>
      </c>
      <c r="DN3378" s="459" t="s">
        <v>885</v>
      </c>
      <c r="DO3378" t="s">
        <v>2926</v>
      </c>
      <c r="DP3378" t="s">
        <v>1795</v>
      </c>
      <c r="DQ3378" s="459" t="s">
        <v>885</v>
      </c>
      <c r="DR3378" s="459" t="s">
        <v>885</v>
      </c>
      <c r="DS3378" t="s">
        <v>3163</v>
      </c>
      <c r="DT3378" s="459" t="s">
        <v>885</v>
      </c>
      <c r="DU3378" s="459" t="s">
        <v>885</v>
      </c>
      <c r="DV3378" s="459" t="s">
        <v>885</v>
      </c>
      <c r="DW3378" s="245" t="s">
        <v>885</v>
      </c>
      <c r="DX3378" s="245" t="s">
        <v>885</v>
      </c>
      <c r="DY3378" s="245"/>
      <c r="DZ3378" s="470" t="str">
        <f t="shared" si="168"/>
        <v/>
      </c>
      <c r="EA3378" s="470" t="str">
        <f t="shared" si="169"/>
        <v/>
      </c>
    </row>
    <row r="3379" spans="1:131" ht="14.5" hidden="1" x14ac:dyDescent="0.35">
      <c r="A3379" s="814"/>
      <c r="B3379" s="69" t="str">
        <f>CONCATENATE(B3363,D$3364)</f>
        <v xml:space="preserve">I have not yet decided if needing to notify any Email address: </v>
      </c>
      <c r="BB3379" s="48"/>
      <c r="BS3379" s="464" t="str">
        <f>IF($B$265=B$3281,BZ3378,IF($B$265=B$3282,CA3378,IF($B$265=B$3283,CB3378,IF($B$265=B$3284,CC3378,IF($B$265=B$3285,CD3378,IF($B$265=B$3286,CE3378,IF($B$265=B$3287,CF3378,IF($B$265=B$3288,CG3378,IF($B$265=B$3289,CH3378,IF($B$265=B$3290,CI3378,IF($B$265=B$3291,CJ3378,IF($B$265=B$3292,CK3378,IF($B$265=B$3293,CL3378,IF($B$265=B$3294,CM3378,IF($B$265=B$3295,CN3378,IF($B$265=B$3296,#REF!,IF($B$265=B$3297,CO3378,IF($B$265=B$3298,CP3378,IF($B$265=B$3299,CQ3378,IF($B$265=B$3300,CR3378,IF($B$265=B$3301,CS3378,IF($B$265=B$3302,CT3378,IF(B$265=B$3303,CU3378,IF($B$265=B$3304,CV3378,IF($B$265=B$3305,CW3378,IF($B$265=B$3306,CX3378,IF($B$265=B$3307,CY3378,IF($B$265=B$3308,CZ3378,IF($B$265=B$3309,DA3378,IF($B$265=B$3310,DB3378,IF($B$265=B$3311,DC3378,IF($B$265=B$3312,DD3378,IF($B$265=B$3313,DE3378,IF($B$265=B$3314,DF3378,IF($B$265=B$3315,DG3378,IF($B$265=B$3316,DH3378,IF($B$265=B$3317,DI3378,IF($B$265=B$3318,DJ3378,IF($B$265=B$3319,DK3378,IF($B$265=B$3320,DL3378,IF($B$265=B$3321,DM3378,IF($B$265=B$3322,DN3378,IF($B$265=B$3323,DO3378,IF($B$265=B$3324,DP3378,IF($B$265=B$3325,DQ3378,IF($B$265=B$3326,DR3378,IF($B$265=B$3327,DS3378,IF($B$265=B$3328,DT3378,IF($B$265=B$3329,DU3378,IF($B$265=B$3330,DV3378,IF($B$265=B$3331,DW3378,IF($B$265=B$3332,DX3378,""))))))))))))))))))))))))))))))))))))))))))))))))))))</f>
        <v>Schoolcraft County</v>
      </c>
      <c r="BZ3379" s="245" t="s">
        <v>885</v>
      </c>
      <c r="CA3379" s="245" t="s">
        <v>885</v>
      </c>
      <c r="CC3379" s="245" t="s">
        <v>885</v>
      </c>
      <c r="CD3379" s="459" t="s">
        <v>885</v>
      </c>
      <c r="CE3379" s="459" t="s">
        <v>885</v>
      </c>
      <c r="CF3379" s="245" t="s">
        <v>885</v>
      </c>
      <c r="CG3379" s="245" t="s">
        <v>885</v>
      </c>
      <c r="CH3379" s="245" t="s">
        <v>885</v>
      </c>
      <c r="CI3379" s="245" t="s">
        <v>885</v>
      </c>
      <c r="CJ3379" t="s">
        <v>1466</v>
      </c>
      <c r="CK3379" s="459" t="s">
        <v>885</v>
      </c>
      <c r="CL3379" s="459" t="s">
        <v>885</v>
      </c>
      <c r="CM3379" t="s">
        <v>1743</v>
      </c>
      <c r="CN3379" t="s">
        <v>1986</v>
      </c>
      <c r="CO3379" t="s">
        <v>2029</v>
      </c>
      <c r="CP3379" t="s">
        <v>2086</v>
      </c>
      <c r="CQ3379" t="s">
        <v>1477</v>
      </c>
      <c r="CR3379" s="459" t="s">
        <v>885</v>
      </c>
      <c r="CS3379" s="459" t="s">
        <v>885</v>
      </c>
      <c r="CT3379" s="245" t="s">
        <v>885</v>
      </c>
      <c r="CU3379" t="s">
        <v>2312</v>
      </c>
      <c r="CV3379" t="s">
        <v>2369</v>
      </c>
      <c r="CW3379" t="s">
        <v>1856</v>
      </c>
      <c r="CX3379" t="s">
        <v>2437</v>
      </c>
      <c r="CY3379" s="459" t="s">
        <v>885</v>
      </c>
      <c r="CZ3379" t="s">
        <v>2527</v>
      </c>
      <c r="DA3379" s="459" t="s">
        <v>885</v>
      </c>
      <c r="DB3379" s="459" t="s">
        <v>885</v>
      </c>
      <c r="DC3379" s="459" t="s">
        <v>885</v>
      </c>
      <c r="DD3379" s="459" t="s">
        <v>885</v>
      </c>
      <c r="DE3379" s="459" t="s">
        <v>885</v>
      </c>
      <c r="DF3379" t="s">
        <v>2666</v>
      </c>
      <c r="DG3379" s="459" t="s">
        <v>885</v>
      </c>
      <c r="DH3379" t="s">
        <v>2740</v>
      </c>
      <c r="DI3379" s="459" t="s">
        <v>885</v>
      </c>
      <c r="DJ3379" s="459" t="s">
        <v>885</v>
      </c>
      <c r="DK3379" s="459" t="s">
        <v>885</v>
      </c>
      <c r="DL3379" s="459" t="s">
        <v>885</v>
      </c>
      <c r="DM3379" s="459" t="s">
        <v>885</v>
      </c>
      <c r="DN3379" s="459" t="s">
        <v>885</v>
      </c>
      <c r="DO3379" t="s">
        <v>1576</v>
      </c>
      <c r="DP3379" t="s">
        <v>2982</v>
      </c>
      <c r="DQ3379" s="459" t="s">
        <v>885</v>
      </c>
      <c r="DR3379" s="459" t="s">
        <v>885</v>
      </c>
      <c r="DS3379" t="s">
        <v>3164</v>
      </c>
      <c r="DT3379" s="459" t="s">
        <v>885</v>
      </c>
      <c r="DU3379" s="459" t="s">
        <v>885</v>
      </c>
      <c r="DV3379" s="459" t="s">
        <v>885</v>
      </c>
      <c r="DW3379" s="245" t="s">
        <v>885</v>
      </c>
      <c r="DX3379" s="245" t="s">
        <v>885</v>
      </c>
      <c r="DY3379" s="245"/>
      <c r="DZ3379" s="470" t="str">
        <f t="shared" si="168"/>
        <v/>
      </c>
      <c r="EA3379" s="470" t="str">
        <f t="shared" si="169"/>
        <v/>
      </c>
    </row>
    <row r="3380" spans="1:131" ht="14.5" hidden="1" x14ac:dyDescent="0.35">
      <c r="A3380" s="814"/>
      <c r="B3380" s="69" t="str">
        <f>CONCATENATE(B3364,D$3364)</f>
        <v xml:space="preserve">yes, but I'll let you know when I need to notifiy any Email address: </v>
      </c>
      <c r="BB3380" s="48"/>
      <c r="BS3380" s="464" t="str">
        <f>IF($B$265=B$3281,BZ3379,IF($B$265=B$3282,CA3379,IF($B$265=B$3283,CB3379,IF($B$265=B$3284,CC3379,IF($B$265=B$3285,CD3379,IF($B$265=B$3286,CE3379,IF($B$265=B$3287,CF3379,IF($B$265=B$3288,CG3379,IF($B$265=B$3289,CH3379,IF($B$265=B$3290,CI3379,IF($B$265=B$3291,CJ3379,IF($B$265=B$3292,CK3379,IF($B$265=B$3293,CL3379,IF($B$265=B$3294,CM3379,IF($B$265=B$3295,CN3379,IF($B$265=B$3296,#REF!,IF($B$265=B$3297,CO3379,IF($B$265=B$3298,CP3379,IF($B$265=B$3299,CQ3379,IF($B$265=B$3300,CR3379,IF($B$265=B$3301,CS3379,IF($B$265=B$3302,CT3379,IF(B$265=B$3303,CU3379,IF($B$265=B$3304,CV3379,IF($B$265=B$3305,CW3379,IF($B$265=B$3306,CX3379,IF($B$265=B$3307,CY3379,IF($B$265=B$3308,CZ3379,IF($B$265=B$3309,DA3379,IF($B$265=B$3310,DB3379,IF($B$265=B$3311,DC3379,IF($B$265=B$3312,DD3379,IF($B$265=B$3313,DE3379,IF($B$265=B$3314,DF3379,IF($B$265=B$3315,DG3379,IF($B$265=B$3316,DH3379,IF($B$265=B$3317,DI3379,IF($B$265=B$3318,DJ3379,IF($B$265=B$3319,DK3379,IF($B$265=B$3320,DL3379,IF($B$265=B$3321,DM3379,IF($B$265=B$3322,DN3379,IF($B$265=B$3323,DO3379,IF($B$265=B$3324,DP3379,IF($B$265=B$3325,DQ3379,IF($B$265=B$3326,DR3379,IF($B$265=B$3327,DS3379,IF($B$265=B$3328,DT3379,IF($B$265=B$3329,DU3379,IF($B$265=B$3330,DV3379,IF($B$265=B$3331,DW3379,IF($B$265=B$3332,DX3379,""))))))))))))))))))))))))))))))))))))))))))))))))))))</f>
        <v>Shiawassee County</v>
      </c>
      <c r="BZ3380" s="245" t="s">
        <v>885</v>
      </c>
      <c r="CA3380" s="245" t="s">
        <v>885</v>
      </c>
      <c r="CC3380" s="245" t="s">
        <v>885</v>
      </c>
      <c r="CD3380" s="459" t="s">
        <v>885</v>
      </c>
      <c r="CE3380" s="459" t="s">
        <v>885</v>
      </c>
      <c r="CF3380" s="245" t="s">
        <v>885</v>
      </c>
      <c r="CG3380" s="245" t="s">
        <v>885</v>
      </c>
      <c r="CH3380" s="245" t="s">
        <v>885</v>
      </c>
      <c r="CI3380" s="245" t="s">
        <v>885</v>
      </c>
      <c r="CJ3380" t="s">
        <v>1811</v>
      </c>
      <c r="CK3380" s="459" t="s">
        <v>885</v>
      </c>
      <c r="CL3380" s="459" t="s">
        <v>885</v>
      </c>
      <c r="CM3380" t="s">
        <v>1486</v>
      </c>
      <c r="CN3380" t="s">
        <v>1987</v>
      </c>
      <c r="CO3380" t="s">
        <v>2030</v>
      </c>
      <c r="CP3380" t="s">
        <v>2087</v>
      </c>
      <c r="CQ3380" t="s">
        <v>1478</v>
      </c>
      <c r="CR3380" s="459" t="s">
        <v>885</v>
      </c>
      <c r="CS3380" s="459" t="s">
        <v>885</v>
      </c>
      <c r="CT3380" s="245" t="s">
        <v>885</v>
      </c>
      <c r="CU3380" t="s">
        <v>2313</v>
      </c>
      <c r="CV3380" t="s">
        <v>2370</v>
      </c>
      <c r="CW3380" t="s">
        <v>1860</v>
      </c>
      <c r="CX3380" t="s">
        <v>1483</v>
      </c>
      <c r="CY3380" s="459" t="s">
        <v>885</v>
      </c>
      <c r="CZ3380" t="s">
        <v>2528</v>
      </c>
      <c r="DA3380" s="459" t="s">
        <v>885</v>
      </c>
      <c r="DB3380" s="459" t="s">
        <v>885</v>
      </c>
      <c r="DC3380" s="459" t="s">
        <v>885</v>
      </c>
      <c r="DD3380" s="459" t="s">
        <v>885</v>
      </c>
      <c r="DE3380" s="459" t="s">
        <v>885</v>
      </c>
      <c r="DF3380" t="s">
        <v>2548</v>
      </c>
      <c r="DG3380" s="459" t="s">
        <v>885</v>
      </c>
      <c r="DH3380" t="s">
        <v>2741</v>
      </c>
      <c r="DI3380" s="459" t="s">
        <v>885</v>
      </c>
      <c r="DJ3380" s="459" t="s">
        <v>885</v>
      </c>
      <c r="DK3380" s="459" t="s">
        <v>885</v>
      </c>
      <c r="DL3380" s="459" t="s">
        <v>885</v>
      </c>
      <c r="DM3380" s="459" t="s">
        <v>885</v>
      </c>
      <c r="DN3380" s="459" t="s">
        <v>885</v>
      </c>
      <c r="DO3380" t="s">
        <v>1489</v>
      </c>
      <c r="DP3380" t="s">
        <v>2983</v>
      </c>
      <c r="DQ3380" s="459" t="s">
        <v>885</v>
      </c>
      <c r="DR3380" s="459" t="s">
        <v>885</v>
      </c>
      <c r="DS3380" t="s">
        <v>3165</v>
      </c>
      <c r="DT3380" s="459" t="s">
        <v>885</v>
      </c>
      <c r="DU3380" s="459" t="s">
        <v>885</v>
      </c>
      <c r="DV3380" s="459" t="s">
        <v>885</v>
      </c>
      <c r="DW3380" s="245" t="s">
        <v>885</v>
      </c>
      <c r="DX3380" s="245" t="s">
        <v>885</v>
      </c>
      <c r="DY3380" s="245"/>
      <c r="DZ3380" s="470" t="str">
        <f t="shared" si="168"/>
        <v/>
      </c>
      <c r="EA3380" s="470" t="str">
        <f t="shared" si="169"/>
        <v/>
      </c>
    </row>
    <row r="3381" spans="1:131" ht="14.5" hidden="1" x14ac:dyDescent="0.35">
      <c r="A3381" s="814"/>
      <c r="B3381" s="69" t="str">
        <f>CONCATENATE(B3365,D$3364)</f>
        <v xml:space="preserve">yes, I need you to immediately notify Email address: </v>
      </c>
      <c r="BB3381" s="48"/>
      <c r="BS3381" s="464" t="str">
        <f>IF($B$265=B$3281,BZ3380,IF($B$265=B$3282,CA3380,IF($B$265=B$3283,CB3380,IF($B$265=B$3284,CC3380,IF($B$265=B$3285,CD3380,IF($B$265=B$3286,CE3380,IF($B$265=B$3287,CF3380,IF($B$265=B$3288,CG3380,IF($B$265=B$3289,CH3380,IF($B$265=B$3290,CI3380,IF($B$265=B$3291,CJ3380,IF($B$265=B$3292,CK3380,IF($B$265=B$3293,CL3380,IF($B$265=B$3294,CM3380,IF($B$265=B$3295,CN3380,IF($B$265=B$3296,#REF!,IF($B$265=B$3297,CO3380,IF($B$265=B$3298,CP3380,IF($B$265=B$3299,CQ3380,IF($B$265=B$3300,CR3380,IF($B$265=B$3301,CS3380,IF($B$265=B$3302,CT3380,IF(B$265=B$3303,CU3380,IF($B$265=B$3304,CV3380,IF($B$265=B$3305,CW3380,IF($B$265=B$3306,CX3380,IF($B$265=B$3307,CY3380,IF($B$265=B$3308,CZ3380,IF($B$265=B$3309,DA3380,IF($B$265=B$3310,DB3380,IF($B$265=B$3311,DC3380,IF($B$265=B$3312,DD3380,IF($B$265=B$3313,DE3380,IF($B$265=B$3314,DF3380,IF($B$265=B$3315,DG3380,IF($B$265=B$3316,DH3380,IF($B$265=B$3317,DI3380,IF($B$265=B$3318,DJ3380,IF($B$265=B$3319,DK3380,IF($B$265=B$3320,DL3380,IF($B$265=B$3321,DM3380,IF($B$265=B$3322,DN3380,IF($B$265=B$3323,DO3380,IF($B$265=B$3324,DP3380,IF($B$265=B$3325,DQ3380,IF($B$265=B$3326,DR3380,IF($B$265=B$3327,DS3380,IF($B$265=B$3328,DT3380,IF($B$265=B$3329,DU3380,IF($B$265=B$3330,DV3380,IF($B$265=B$3331,DW3380,IF($B$265=B$3332,DX3380,""))))))))))))))))))))))))))))))))))))))))))))))))))))</f>
        <v>Tuscola County</v>
      </c>
      <c r="BZ3381" s="245" t="s">
        <v>885</v>
      </c>
      <c r="CA3381" s="245" t="s">
        <v>885</v>
      </c>
      <c r="CC3381" s="245" t="s">
        <v>885</v>
      </c>
      <c r="CD3381" s="459" t="s">
        <v>885</v>
      </c>
      <c r="CE3381" s="459" t="s">
        <v>885</v>
      </c>
      <c r="CF3381" s="245" t="s">
        <v>885</v>
      </c>
      <c r="CG3381" s="245" t="s">
        <v>885</v>
      </c>
      <c r="CH3381" s="245" t="s">
        <v>885</v>
      </c>
      <c r="CI3381" s="245" t="s">
        <v>885</v>
      </c>
      <c r="CJ3381" t="s">
        <v>1812</v>
      </c>
      <c r="CK3381" s="459" t="s">
        <v>885</v>
      </c>
      <c r="CL3381" s="459" t="s">
        <v>885</v>
      </c>
      <c r="CM3381" t="s">
        <v>1940</v>
      </c>
      <c r="CN3381" t="s">
        <v>1988</v>
      </c>
      <c r="CO3381" t="s">
        <v>2031</v>
      </c>
      <c r="CP3381" t="s">
        <v>2088</v>
      </c>
      <c r="CQ3381" t="s">
        <v>1734</v>
      </c>
      <c r="CR3381" s="459" t="s">
        <v>885</v>
      </c>
      <c r="CS3381" s="459" t="s">
        <v>885</v>
      </c>
      <c r="CT3381" s="245" t="s">
        <v>885</v>
      </c>
      <c r="CU3381" t="s">
        <v>1580</v>
      </c>
      <c r="CV3381" t="s">
        <v>2371</v>
      </c>
      <c r="CW3381" t="s">
        <v>1497</v>
      </c>
      <c r="CX3381" t="s">
        <v>2438</v>
      </c>
      <c r="CY3381" s="459" t="s">
        <v>885</v>
      </c>
      <c r="CZ3381" t="s">
        <v>2091</v>
      </c>
      <c r="DA3381" s="459" t="s">
        <v>885</v>
      </c>
      <c r="DB3381" s="459" t="s">
        <v>885</v>
      </c>
      <c r="DC3381" s="459" t="s">
        <v>885</v>
      </c>
      <c r="DD3381" s="459" t="s">
        <v>885</v>
      </c>
      <c r="DE3381" s="459" t="s">
        <v>885</v>
      </c>
      <c r="DF3381" t="s">
        <v>2156</v>
      </c>
      <c r="DG3381" s="459" t="s">
        <v>885</v>
      </c>
      <c r="DH3381" t="s">
        <v>1579</v>
      </c>
      <c r="DI3381" s="459" t="s">
        <v>885</v>
      </c>
      <c r="DJ3381" s="459" t="s">
        <v>885</v>
      </c>
      <c r="DK3381" s="459" t="s">
        <v>885</v>
      </c>
      <c r="DL3381" s="459" t="s">
        <v>885</v>
      </c>
      <c r="DM3381" s="459" t="s">
        <v>885</v>
      </c>
      <c r="DN3381" s="459" t="s">
        <v>885</v>
      </c>
      <c r="DO3381" t="s">
        <v>2095</v>
      </c>
      <c r="DP3381" t="s">
        <v>1460</v>
      </c>
      <c r="DQ3381" s="459" t="s">
        <v>885</v>
      </c>
      <c r="DR3381" s="459" t="s">
        <v>885</v>
      </c>
      <c r="DS3381" t="s">
        <v>2654</v>
      </c>
      <c r="DT3381" s="459" t="s">
        <v>885</v>
      </c>
      <c r="DU3381" s="459" t="s">
        <v>885</v>
      </c>
      <c r="DV3381" s="459" t="s">
        <v>885</v>
      </c>
      <c r="DW3381" s="245" t="s">
        <v>885</v>
      </c>
      <c r="DX3381" s="245" t="s">
        <v>885</v>
      </c>
      <c r="DY3381" s="245"/>
      <c r="DZ3381" s="470" t="str">
        <f t="shared" si="168"/>
        <v/>
      </c>
      <c r="EA3381" s="470" t="str">
        <f t="shared" si="169"/>
        <v/>
      </c>
    </row>
    <row r="3382" spans="1:131" ht="14.5" hidden="1" x14ac:dyDescent="0.35">
      <c r="A3382" s="814"/>
      <c r="B3382" s="69"/>
      <c r="BB3382" s="48"/>
      <c r="BS3382" s="464" t="str">
        <f>IF($B$265=B$3281,BZ3381,IF($B$265=B$3282,CA3381,IF($B$265=B$3283,CB3381,IF($B$265=B$3284,CC3381,IF($B$265=B$3285,CD3381,IF($B$265=B$3286,CE3381,IF($B$265=B$3287,CF3381,IF($B$265=B$3288,CG3381,IF($B$265=B$3289,CH3381,IF($B$265=B$3290,CI3381,IF($B$265=B$3291,CJ3381,IF($B$265=B$3292,CK3381,IF($B$265=B$3293,CL3381,IF($B$265=B$3294,CM3381,IF($B$265=B$3295,CN3381,IF($B$265=B$3296,#REF!,IF($B$265=B$3297,CO3381,IF($B$265=B$3298,CP3381,IF($B$265=B$3299,CQ3381,IF($B$265=B$3300,CR3381,IF($B$265=B$3301,CS3381,IF($B$265=B$3302,CT3381,IF(B$265=B$3303,CU3381,IF($B$265=B$3304,CV3381,IF($B$265=B$3305,CW3381,IF($B$265=B$3306,CX3381,IF($B$265=B$3307,CY3381,IF($B$265=B$3308,CZ3381,IF($B$265=B$3309,DA3381,IF($B$265=B$3310,DB3381,IF($B$265=B$3311,DC3381,IF($B$265=B$3312,DD3381,IF($B$265=B$3313,DE3381,IF($B$265=B$3314,DF3381,IF($B$265=B$3315,DG3381,IF($B$265=B$3316,DH3381,IF($B$265=B$3317,DI3381,IF($B$265=B$3318,DJ3381,IF($B$265=B$3319,DK3381,IF($B$265=B$3320,DL3381,IF($B$265=B$3321,DM3381,IF($B$265=B$3322,DN3381,IF($B$265=B$3323,DO3381,IF($B$265=B$3324,DP3381,IF($B$265=B$3325,DQ3381,IF($B$265=B$3326,DR3381,IF($B$265=B$3327,DS3381,IF($B$265=B$3328,DT3381,IF($B$265=B$3329,DU3381,IF($B$265=B$3330,DV3381,IF($B$265=B$3331,DW3381,IF($B$265=B$3332,DX3381,""))))))))))))))))))))))))))))))))))))))))))))))))))))</f>
        <v>Van Buren County</v>
      </c>
      <c r="BZ3382" s="245" t="s">
        <v>885</v>
      </c>
      <c r="CA3382" s="245" t="s">
        <v>885</v>
      </c>
      <c r="CC3382" s="245" t="s">
        <v>885</v>
      </c>
      <c r="CD3382" s="459" t="s">
        <v>885</v>
      </c>
      <c r="CE3382" s="459" t="s">
        <v>885</v>
      </c>
      <c r="CF3382" s="245" t="s">
        <v>885</v>
      </c>
      <c r="CG3382" s="245" t="s">
        <v>885</v>
      </c>
      <c r="CH3382" s="245" t="s">
        <v>885</v>
      </c>
      <c r="CI3382" s="245" t="s">
        <v>885</v>
      </c>
      <c r="CJ3382" t="s">
        <v>1467</v>
      </c>
      <c r="CK3382" s="459" t="s">
        <v>885</v>
      </c>
      <c r="CL3382" s="459" t="s">
        <v>885</v>
      </c>
      <c r="CM3382" t="s">
        <v>1941</v>
      </c>
      <c r="CN3382" t="s">
        <v>1579</v>
      </c>
      <c r="CO3382" t="s">
        <v>2032</v>
      </c>
      <c r="CP3382" t="s">
        <v>2089</v>
      </c>
      <c r="CQ3382" t="s">
        <v>1929</v>
      </c>
      <c r="CR3382" s="459" t="s">
        <v>885</v>
      </c>
      <c r="CS3382" s="459" t="s">
        <v>885</v>
      </c>
      <c r="CT3382" s="245" t="s">
        <v>885</v>
      </c>
      <c r="CU3382" t="s">
        <v>2314</v>
      </c>
      <c r="CV3382" t="s">
        <v>2372</v>
      </c>
      <c r="CW3382" t="s">
        <v>2411</v>
      </c>
      <c r="CX3382" t="s">
        <v>2439</v>
      </c>
      <c r="CY3382" s="459" t="s">
        <v>885</v>
      </c>
      <c r="CZ3382" t="s">
        <v>2093</v>
      </c>
      <c r="DA3382" s="459" t="s">
        <v>885</v>
      </c>
      <c r="DB3382" s="459" t="s">
        <v>885</v>
      </c>
      <c r="DC3382" s="459" t="s">
        <v>885</v>
      </c>
      <c r="DD3382" s="459" t="s">
        <v>885</v>
      </c>
      <c r="DE3382" s="459" t="s">
        <v>885</v>
      </c>
      <c r="DF3382" t="s">
        <v>2667</v>
      </c>
      <c r="DG3382" s="459" t="s">
        <v>885</v>
      </c>
      <c r="DH3382" t="s">
        <v>2742</v>
      </c>
      <c r="DI3382" s="459" t="s">
        <v>885</v>
      </c>
      <c r="DJ3382" s="459" t="s">
        <v>885</v>
      </c>
      <c r="DK3382" s="459" t="s">
        <v>885</v>
      </c>
      <c r="DL3382" s="459" t="s">
        <v>885</v>
      </c>
      <c r="DM3382" s="459" t="s">
        <v>885</v>
      </c>
      <c r="DN3382" s="459" t="s">
        <v>885</v>
      </c>
      <c r="DO3382" t="s">
        <v>1838</v>
      </c>
      <c r="DP3382" t="s">
        <v>2984</v>
      </c>
      <c r="DQ3382" s="459" t="s">
        <v>885</v>
      </c>
      <c r="DR3382" s="459" t="s">
        <v>885</v>
      </c>
      <c r="DS3382" t="s">
        <v>1698</v>
      </c>
      <c r="DT3382" s="459" t="s">
        <v>885</v>
      </c>
      <c r="DU3382" s="459" t="s">
        <v>885</v>
      </c>
      <c r="DV3382" s="459" t="s">
        <v>885</v>
      </c>
      <c r="DW3382" s="245" t="s">
        <v>885</v>
      </c>
      <c r="DX3382" s="245" t="s">
        <v>885</v>
      </c>
      <c r="DY3382" s="245"/>
      <c r="DZ3382" s="470" t="str">
        <f t="shared" si="168"/>
        <v/>
      </c>
      <c r="EA3382" s="470" t="str">
        <f t="shared" si="169"/>
        <v/>
      </c>
    </row>
    <row r="3383" spans="1:131" ht="14.5" hidden="1" x14ac:dyDescent="0.35">
      <c r="A3383" s="814"/>
      <c r="B3383" s="69" t="str">
        <f>CONCATENATE(B3362,D$3365)</f>
        <v xml:space="preserve">no, I don't need to notify any Mailing address: </v>
      </c>
      <c r="BB3383" s="48"/>
      <c r="BS3383" s="464" t="str">
        <f>IF($B$265=B$3281,BZ3382,IF($B$265=B$3282,CA3382,IF($B$265=B$3283,CB3382,IF($B$265=B$3284,CC3382,IF($B$265=B$3285,CD3382,IF($B$265=B$3286,CE3382,IF($B$265=B$3287,CF3382,IF($B$265=B$3288,CG3382,IF($B$265=B$3289,CH3382,IF($B$265=B$3290,CI3382,IF($B$265=B$3291,CJ3382,IF($B$265=B$3292,CK3382,IF($B$265=B$3293,CL3382,IF($B$265=B$3294,CM3382,IF($B$265=B$3295,CN3382,IF($B$265=B$3296,#REF!,IF($B$265=B$3297,CO3382,IF($B$265=B$3298,CP3382,IF($B$265=B$3299,CQ3382,IF($B$265=B$3300,CR3382,IF($B$265=B$3301,CS3382,IF($B$265=B$3302,CT3382,IF(B$265=B$3303,CU3382,IF($B$265=B$3304,CV3382,IF($B$265=B$3305,CW3382,IF($B$265=B$3306,CX3382,IF($B$265=B$3307,CY3382,IF($B$265=B$3308,CZ3382,IF($B$265=B$3309,DA3382,IF($B$265=B$3310,DB3382,IF($B$265=B$3311,DC3382,IF($B$265=B$3312,DD3382,IF($B$265=B$3313,DE3382,IF($B$265=B$3314,DF3382,IF($B$265=B$3315,DG3382,IF($B$265=B$3316,DH3382,IF($B$265=B$3317,DI3382,IF($B$265=B$3318,DJ3382,IF($B$265=B$3319,DK3382,IF($B$265=B$3320,DL3382,IF($B$265=B$3321,DM3382,IF($B$265=B$3322,DN3382,IF($B$265=B$3323,DO3382,IF($B$265=B$3324,DP3382,IF($B$265=B$3325,DQ3382,IF($B$265=B$3326,DR3382,IF($B$265=B$3327,DS3382,IF($B$265=B$3328,DT3382,IF($B$265=B$3329,DU3382,IF($B$265=B$3330,DV3382,IF($B$265=B$3331,DW3382,IF($B$265=B$3332,DX3382,""))))))))))))))))))))))))))))))))))))))))))))))))))))</f>
        <v>Washtenaw County</v>
      </c>
      <c r="BZ3383" s="245" t="s">
        <v>885</v>
      </c>
      <c r="CA3383" s="245" t="s">
        <v>885</v>
      </c>
      <c r="CC3383" s="245" t="s">
        <v>885</v>
      </c>
      <c r="CD3383" s="459" t="s">
        <v>885</v>
      </c>
      <c r="CE3383" s="459" t="s">
        <v>885</v>
      </c>
      <c r="CF3383" s="245" t="s">
        <v>885</v>
      </c>
      <c r="CG3383" s="245" t="s">
        <v>885</v>
      </c>
      <c r="CH3383" s="245" t="s">
        <v>885</v>
      </c>
      <c r="CI3383" s="245" t="s">
        <v>885</v>
      </c>
      <c r="CJ3383" t="s">
        <v>1813</v>
      </c>
      <c r="CK3383" s="459" t="s">
        <v>885</v>
      </c>
      <c r="CL3383" s="459" t="s">
        <v>885</v>
      </c>
      <c r="CM3383" t="s">
        <v>1572</v>
      </c>
      <c r="CN3383" t="s">
        <v>1989</v>
      </c>
      <c r="CO3383" t="s">
        <v>1573</v>
      </c>
      <c r="CP3383" t="s">
        <v>2090</v>
      </c>
      <c r="CQ3383" t="s">
        <v>2072</v>
      </c>
      <c r="CR3383" s="459" t="s">
        <v>885</v>
      </c>
      <c r="CS3383" s="459" t="s">
        <v>885</v>
      </c>
      <c r="CT3383" s="245" t="s">
        <v>885</v>
      </c>
      <c r="CU3383" t="s">
        <v>1855</v>
      </c>
      <c r="CV3383" t="s">
        <v>1495</v>
      </c>
      <c r="CW3383" t="s">
        <v>2412</v>
      </c>
      <c r="CX3383" t="s">
        <v>1485</v>
      </c>
      <c r="CY3383" s="459" t="s">
        <v>885</v>
      </c>
      <c r="CZ3383" t="s">
        <v>2094</v>
      </c>
      <c r="DA3383" s="459" t="s">
        <v>885</v>
      </c>
      <c r="DB3383" s="459" t="s">
        <v>885</v>
      </c>
      <c r="DC3383" s="459" t="s">
        <v>885</v>
      </c>
      <c r="DD3383" s="459" t="s">
        <v>885</v>
      </c>
      <c r="DE3383" s="459" t="s">
        <v>885</v>
      </c>
      <c r="DF3383" t="s">
        <v>2668</v>
      </c>
      <c r="DG3383" s="459" t="s">
        <v>885</v>
      </c>
      <c r="DH3383" t="s">
        <v>2743</v>
      </c>
      <c r="DI3383" s="459" t="s">
        <v>885</v>
      </c>
      <c r="DJ3383" s="459" t="s">
        <v>885</v>
      </c>
      <c r="DK3383" s="459" t="s">
        <v>885</v>
      </c>
      <c r="DL3383" s="459" t="s">
        <v>885</v>
      </c>
      <c r="DM3383" s="459" t="s">
        <v>885</v>
      </c>
      <c r="DN3383" s="459" t="s">
        <v>885</v>
      </c>
      <c r="DO3383" t="s">
        <v>1985</v>
      </c>
      <c r="DP3383" t="s">
        <v>2985</v>
      </c>
      <c r="DQ3383" s="459" t="s">
        <v>885</v>
      </c>
      <c r="DR3383" s="459" t="s">
        <v>885</v>
      </c>
      <c r="DS3383" t="s">
        <v>1481</v>
      </c>
      <c r="DT3383" s="459" t="s">
        <v>885</v>
      </c>
      <c r="DU3383" s="459" t="s">
        <v>885</v>
      </c>
      <c r="DV3383" s="459" t="s">
        <v>885</v>
      </c>
      <c r="DW3383" s="245" t="s">
        <v>885</v>
      </c>
      <c r="DX3383" s="245" t="s">
        <v>885</v>
      </c>
      <c r="DY3383" s="245"/>
      <c r="DZ3383" s="470" t="str">
        <f t="shared" si="168"/>
        <v/>
      </c>
      <c r="EA3383" s="470" t="str">
        <f t="shared" si="169"/>
        <v/>
      </c>
    </row>
    <row r="3384" spans="1:131" ht="14.5" hidden="1" x14ac:dyDescent="0.35">
      <c r="A3384" s="814"/>
      <c r="B3384" s="69" t="str">
        <f>CONCATENATE(B3363,D$3365)</f>
        <v xml:space="preserve">I have not yet decided if needing to notify any Mailing address: </v>
      </c>
      <c r="BB3384" s="48"/>
      <c r="BS3384" s="464" t="str">
        <f>IF($B$265=B$3281,BZ3383,IF($B$265=B$3282,CA3383,IF($B$265=B$3283,CB3383,IF($B$265=B$3284,CC3383,IF($B$265=B$3285,CD3383,IF($B$265=B$3286,CE3383,IF($B$265=B$3287,CF3383,IF($B$265=B$3288,CG3383,IF($B$265=B$3289,CH3383,IF($B$265=B$3290,CI3383,IF($B$265=B$3291,CJ3383,IF($B$265=B$3292,CK3383,IF($B$265=B$3293,CL3383,IF($B$265=B$3294,CM3383,IF($B$265=B$3295,CN3383,IF($B$265=B$3296,#REF!,IF($B$265=B$3297,CO3383,IF($B$265=B$3298,CP3383,IF($B$265=B$3299,CQ3383,IF($B$265=B$3300,CR3383,IF($B$265=B$3301,CS3383,IF($B$265=B$3302,CT3383,IF(B$265=B$3303,CU3383,IF($B$265=B$3304,CV3383,IF($B$265=B$3305,CW3383,IF($B$265=B$3306,CX3383,IF($B$265=B$3307,CY3383,IF($B$265=B$3308,CZ3383,IF($B$265=B$3309,DA3383,IF($B$265=B$3310,DB3383,IF($B$265=B$3311,DC3383,IF($B$265=B$3312,DD3383,IF($B$265=B$3313,DE3383,IF($B$265=B$3314,DF3383,IF($B$265=B$3315,DG3383,IF($B$265=B$3316,DH3383,IF($B$265=B$3317,DI3383,IF($B$265=B$3318,DJ3383,IF($B$265=B$3319,DK3383,IF($B$265=B$3320,DL3383,IF($B$265=B$3321,DM3383,IF($B$265=B$3322,DN3383,IF($B$265=B$3323,DO3383,IF($B$265=B$3324,DP3383,IF($B$265=B$3325,DQ3383,IF($B$265=B$3326,DR3383,IF($B$265=B$3327,DS3383,IF($B$265=B$3328,DT3383,IF($B$265=B$3329,DU3383,IF($B$265=B$3330,DV3383,IF($B$265=B$3331,DW3383,IF($B$265=B$3332,DX3383,""))))))))))))))))))))))))))))))))))))))))))))))))))))</f>
        <v>Wayne County</v>
      </c>
      <c r="BZ3384" s="245" t="s">
        <v>885</v>
      </c>
      <c r="CA3384" s="245" t="s">
        <v>885</v>
      </c>
      <c r="CC3384" s="245" t="s">
        <v>885</v>
      </c>
      <c r="CD3384" s="459" t="s">
        <v>885</v>
      </c>
      <c r="CE3384" s="459" t="s">
        <v>885</v>
      </c>
      <c r="CF3384" s="245" t="s">
        <v>885</v>
      </c>
      <c r="CG3384" s="245" t="s">
        <v>885</v>
      </c>
      <c r="CH3384" s="245" t="s">
        <v>885</v>
      </c>
      <c r="CI3384" s="245" t="s">
        <v>885</v>
      </c>
      <c r="CJ3384" t="s">
        <v>1554</v>
      </c>
      <c r="CK3384" s="459" t="s">
        <v>885</v>
      </c>
      <c r="CL3384" s="459" t="s">
        <v>885</v>
      </c>
      <c r="CM3384" t="s">
        <v>1942</v>
      </c>
      <c r="CN3384" t="s">
        <v>1990</v>
      </c>
      <c r="CO3384" t="s">
        <v>1489</v>
      </c>
      <c r="CP3384" t="s">
        <v>1980</v>
      </c>
      <c r="CQ3384" t="s">
        <v>2145</v>
      </c>
      <c r="CR3384" s="459" t="s">
        <v>885</v>
      </c>
      <c r="CS3384" s="459" t="s">
        <v>885</v>
      </c>
      <c r="CT3384" s="245" t="s">
        <v>885</v>
      </c>
      <c r="CU3384" t="s">
        <v>2315</v>
      </c>
      <c r="CV3384" t="s">
        <v>2373</v>
      </c>
      <c r="CW3384" s="245" t="s">
        <v>885</v>
      </c>
      <c r="CX3384" t="s">
        <v>2440</v>
      </c>
      <c r="CY3384" s="459" t="s">
        <v>885</v>
      </c>
      <c r="CZ3384" t="s">
        <v>2033</v>
      </c>
      <c r="DA3384" s="459" t="s">
        <v>885</v>
      </c>
      <c r="DB3384" s="459" t="s">
        <v>885</v>
      </c>
      <c r="DC3384" s="459" t="s">
        <v>885</v>
      </c>
      <c r="DD3384" s="459" t="s">
        <v>885</v>
      </c>
      <c r="DE3384" s="459" t="s">
        <v>885</v>
      </c>
      <c r="DF3384" t="s">
        <v>2449</v>
      </c>
      <c r="DG3384" s="459" t="s">
        <v>885</v>
      </c>
      <c r="DH3384" t="s">
        <v>1854</v>
      </c>
      <c r="DI3384" s="459" t="s">
        <v>885</v>
      </c>
      <c r="DJ3384" s="459" t="s">
        <v>885</v>
      </c>
      <c r="DK3384" s="459" t="s">
        <v>885</v>
      </c>
      <c r="DL3384" s="459" t="s">
        <v>885</v>
      </c>
      <c r="DM3384" s="459" t="s">
        <v>885</v>
      </c>
      <c r="DN3384" s="459" t="s">
        <v>885</v>
      </c>
      <c r="DO3384" t="s">
        <v>2099</v>
      </c>
      <c r="DP3384" t="s">
        <v>2986</v>
      </c>
      <c r="DQ3384" s="459" t="s">
        <v>885</v>
      </c>
      <c r="DR3384" s="459" t="s">
        <v>885</v>
      </c>
      <c r="DS3384" t="s">
        <v>2148</v>
      </c>
      <c r="DT3384" s="459" t="s">
        <v>885</v>
      </c>
      <c r="DU3384" s="459" t="s">
        <v>885</v>
      </c>
      <c r="DV3384" s="459" t="s">
        <v>885</v>
      </c>
      <c r="DW3384" s="245" t="s">
        <v>885</v>
      </c>
      <c r="DX3384" s="245" t="s">
        <v>885</v>
      </c>
      <c r="DY3384" s="245"/>
      <c r="DZ3384" s="470" t="str">
        <f t="shared" si="168"/>
        <v/>
      </c>
      <c r="EA3384" s="470" t="str">
        <f t="shared" si="169"/>
        <v/>
      </c>
    </row>
    <row r="3385" spans="1:131" ht="16" hidden="1" x14ac:dyDescent="0.4">
      <c r="A3385" s="814"/>
      <c r="B3385" s="69" t="str">
        <f>CONCATENATE(B3364,D$3365)</f>
        <v xml:space="preserve">yes, but I'll let you know when I need to notifiy any Mailing address: </v>
      </c>
      <c r="BB3385" s="48"/>
      <c r="BS3385" s="464" t="str">
        <f>IF($B$265=B$3281,BZ3384,IF($B$265=B$3282,CA3384,IF($B$265=B$3283,CB3384,IF($B$265=B$3284,CC3384,IF($B$265=B$3285,CD3384,IF($B$265=B$3286,CE3384,IF($B$265=B$3287,CF3384,IF($B$265=B$3288,CG3384,IF($B$265=B$3289,CH3384,IF($B$265=B$3290,CI3384,IF($B$265=B$3291,CJ3384,IF($B$265=B$3292,CK3384,IF($B$265=B$3293,CL3384,IF($B$265=B$3294,CM3384,IF($B$265=B$3295,CN3384,IF($B$265=B$3296,#REF!,IF($B$265=B$3297,CO3384,IF($B$265=B$3298,CP3384,IF($B$265=B$3299,CQ3384,IF($B$265=B$3300,CR3384,IF($B$265=B$3301,CS3384,IF($B$265=B$3302,CT3384,IF(B$265=B$3303,CU3384,IF($B$265=B$3304,CV3384,IF($B$265=B$3305,CW3384,IF($B$265=B$3306,CX3384,IF($B$265=B$3307,CY3384,IF($B$265=B$3308,CZ3384,IF($B$265=B$3309,DA3384,IF($B$265=B$3310,DB3384,IF($B$265=B$3311,DC3384,IF($B$265=B$3312,DD3384,IF($B$265=B$3313,DE3384,IF($B$265=B$3314,DF3384,IF($B$265=B$3315,DG3384,IF($B$265=B$3316,DH3384,IF($B$265=B$3317,DI3384,IF($B$265=B$3318,DJ3384,IF($B$265=B$3319,DK3384,IF($B$265=B$3320,DL3384,IF($B$265=B$3321,DM3384,IF($B$265=B$3322,DN3384,IF($B$265=B$3323,DO3384,IF($B$265=B$3324,DP3384,IF($B$265=B$3325,DQ3384,IF($B$265=B$3326,DR3384,IF($B$265=B$3327,DS3384,IF($B$265=B$3328,DT3384,IF($B$265=B$3329,DU3384,IF($B$265=B$3330,DV3384,IF($B$265=B$3331,DW3384,IF($B$265=B$3332,DX3384,""))))))))))))))))))))))))))))))))))))))))))))))))))))</f>
        <v>Wexford County</v>
      </c>
      <c r="BZ3385" s="245" t="s">
        <v>885</v>
      </c>
      <c r="CA3385" s="245" t="s">
        <v>885</v>
      </c>
      <c r="CC3385" s="245" t="s">
        <v>885</v>
      </c>
      <c r="CD3385" s="459" t="s">
        <v>885</v>
      </c>
      <c r="CE3385" s="459" t="s">
        <v>885</v>
      </c>
      <c r="CF3385" s="245" t="s">
        <v>885</v>
      </c>
      <c r="CG3385" s="245" t="s">
        <v>885</v>
      </c>
      <c r="CH3385" s="245" t="s">
        <v>885</v>
      </c>
      <c r="CI3385" s="245" t="s">
        <v>885</v>
      </c>
      <c r="CJ3385" t="s">
        <v>1814</v>
      </c>
      <c r="CK3385" s="459" t="s">
        <v>885</v>
      </c>
      <c r="CL3385" s="459" t="s">
        <v>885</v>
      </c>
      <c r="CM3385" t="s">
        <v>1943</v>
      </c>
      <c r="CN3385" t="s">
        <v>1991</v>
      </c>
      <c r="CO3385" t="s">
        <v>2033</v>
      </c>
      <c r="CP3385" t="s">
        <v>1487</v>
      </c>
      <c r="CQ3385" t="s">
        <v>1935</v>
      </c>
      <c r="CR3385" s="459" t="s">
        <v>885</v>
      </c>
      <c r="CS3385" s="459" t="s">
        <v>885</v>
      </c>
      <c r="CT3385" s="245" t="s">
        <v>885</v>
      </c>
      <c r="CU3385" s="463" t="s">
        <v>885</v>
      </c>
      <c r="CV3385" t="s">
        <v>2374</v>
      </c>
      <c r="CW3385" s="245" t="s">
        <v>885</v>
      </c>
      <c r="CX3385" t="s">
        <v>1567</v>
      </c>
      <c r="CY3385" s="459" t="s">
        <v>885</v>
      </c>
      <c r="CZ3385" t="s">
        <v>2097</v>
      </c>
      <c r="DA3385" s="459" t="s">
        <v>885</v>
      </c>
      <c r="DB3385" s="459" t="s">
        <v>885</v>
      </c>
      <c r="DC3385" s="459" t="s">
        <v>885</v>
      </c>
      <c r="DD3385" s="459" t="s">
        <v>885</v>
      </c>
      <c r="DE3385" s="459" t="s">
        <v>885</v>
      </c>
      <c r="DF3385" t="s">
        <v>2669</v>
      </c>
      <c r="DG3385" s="459" t="s">
        <v>885</v>
      </c>
      <c r="DH3385" t="s">
        <v>1495</v>
      </c>
      <c r="DI3385" s="459" t="s">
        <v>885</v>
      </c>
      <c r="DJ3385" s="459" t="s">
        <v>885</v>
      </c>
      <c r="DK3385" s="459" t="s">
        <v>885</v>
      </c>
      <c r="DL3385" s="459" t="s">
        <v>885</v>
      </c>
      <c r="DM3385" s="459" t="s">
        <v>885</v>
      </c>
      <c r="DN3385" s="459" t="s">
        <v>885</v>
      </c>
      <c r="DO3385" t="s">
        <v>1988</v>
      </c>
      <c r="DP3385" t="s">
        <v>2987</v>
      </c>
      <c r="DQ3385" s="459" t="s">
        <v>885</v>
      </c>
      <c r="DR3385" s="459" t="s">
        <v>885</v>
      </c>
      <c r="DS3385" t="s">
        <v>3166</v>
      </c>
      <c r="DT3385" s="459" t="s">
        <v>885</v>
      </c>
      <c r="DU3385" s="459" t="s">
        <v>885</v>
      </c>
      <c r="DV3385" s="459" t="s">
        <v>885</v>
      </c>
      <c r="DW3385" s="245" t="s">
        <v>885</v>
      </c>
      <c r="DX3385" s="245" t="s">
        <v>885</v>
      </c>
      <c r="DY3385" s="245"/>
      <c r="DZ3385" s="470" t="str">
        <f t="shared" si="168"/>
        <v/>
      </c>
      <c r="EA3385" s="470" t="str">
        <f t="shared" si="169"/>
        <v/>
      </c>
    </row>
    <row r="3386" spans="1:131" ht="16" hidden="1" x14ac:dyDescent="0.4">
      <c r="A3386" s="814"/>
      <c r="B3386" s="69" t="str">
        <f>CONCATENATE(B3365,D$3365)</f>
        <v xml:space="preserve">yes, I need you to immediately notify Mailing address: </v>
      </c>
      <c r="BB3386" s="48"/>
      <c r="BS3386" s="464" t="str">
        <f>IF($B$265=B$3281,BZ3385,IF($B$265=B$3282,CA3385,IF($B$265=B$3283,CB3385,IF($B$265=B$3284,CC3385,IF($B$265=B$3285,CD3385,IF($B$265=B$3286,CE3385,IF($B$265=B$3287,CF3385,IF($B$265=B$3288,CG3385,IF($B$265=B$3289,CH3385,IF($B$265=B$3290,CI3385,IF($B$265=B$3291,CJ3385,IF($B$265=B$3292,CK3385,IF($B$265=B$3293,CL3385,IF($B$265=B$3294,CM3385,IF($B$265=B$3295,CN3385,IF($B$265=B$3296,#REF!,IF($B$265=B$3297,CO3385,IF($B$265=B$3298,CP3385,IF($B$265=B$3299,CQ3385,IF($B$265=B$3300,CR3385,IF($B$265=B$3301,CS3385,IF($B$265=B$3302,CT3385,IF(B$265=B$3303,CU3385,IF($B$265=B$3304,CV3385,IF($B$265=B$3305,CW3385,IF($B$265=B$3306,CX3385,IF($B$265=B$3307,CY3385,IF($B$265=B$3308,CZ3385,IF($B$265=B$3309,DA3385,IF($B$265=B$3310,DB3385,IF($B$265=B$3311,DC3385,IF($B$265=B$3312,DD3385,IF($B$265=B$3313,DE3385,IF($B$265=B$3314,DF3385,IF($B$265=B$3315,DG3385,IF($B$265=B$3316,DH3385,IF($B$265=B$3317,DI3385,IF($B$265=B$3318,DJ3385,IF($B$265=B$3319,DK3385,IF($B$265=B$3320,DL3385,IF($B$265=B$3321,DM3385,IF($B$265=B$3322,DN3385,IF($B$265=B$3323,DO3385,IF($B$265=B$3324,DP3385,IF($B$265=B$3325,DQ3385,IF($B$265=B$3326,DR3385,IF($B$265=B$3327,DS3385,IF($B$265=B$3328,DT3385,IF($B$265=B$3329,DU3385,IF($B$265=B$3330,DV3385,IF($B$265=B$3331,DW3385,IF($B$265=B$3332,DX3385,""))))))))))))))))))))))))))))))))))))))))))))))))))))</f>
        <v/>
      </c>
      <c r="BZ3386" s="245" t="s">
        <v>885</v>
      </c>
      <c r="CA3386" s="245" t="s">
        <v>885</v>
      </c>
      <c r="CC3386" s="245" t="s">
        <v>885</v>
      </c>
      <c r="CD3386" s="459" t="s">
        <v>885</v>
      </c>
      <c r="CE3386" s="459" t="s">
        <v>885</v>
      </c>
      <c r="CF3386" s="245" t="s">
        <v>885</v>
      </c>
      <c r="CG3386" s="245" t="s">
        <v>885</v>
      </c>
      <c r="CH3386" s="245" t="s">
        <v>885</v>
      </c>
      <c r="CI3386" s="245" t="s">
        <v>885</v>
      </c>
      <c r="CJ3386" t="s">
        <v>1468</v>
      </c>
      <c r="CK3386" s="459" t="s">
        <v>885</v>
      </c>
      <c r="CL3386" s="459" t="s">
        <v>885</v>
      </c>
      <c r="CM3386" t="s">
        <v>1573</v>
      </c>
      <c r="CN3386" t="s">
        <v>1948</v>
      </c>
      <c r="CO3386" t="s">
        <v>2034</v>
      </c>
      <c r="CP3386" t="s">
        <v>1572</v>
      </c>
      <c r="CQ3386" t="s">
        <v>2146</v>
      </c>
      <c r="CR3386" s="459" t="s">
        <v>885</v>
      </c>
      <c r="CS3386" s="459" t="s">
        <v>885</v>
      </c>
      <c r="CT3386" s="245" t="s">
        <v>885</v>
      </c>
      <c r="CU3386" s="463" t="s">
        <v>885</v>
      </c>
      <c r="CV3386" t="s">
        <v>2375</v>
      </c>
      <c r="CW3386" s="245" t="s">
        <v>885</v>
      </c>
      <c r="CX3386" t="s">
        <v>1570</v>
      </c>
      <c r="CY3386" s="459" t="s">
        <v>885</v>
      </c>
      <c r="CZ3386" t="s">
        <v>2529</v>
      </c>
      <c r="DA3386" s="459" t="s">
        <v>885</v>
      </c>
      <c r="DB3386" s="459" t="s">
        <v>885</v>
      </c>
      <c r="DC3386" s="459" t="s">
        <v>885</v>
      </c>
      <c r="DD3386" s="459" t="s">
        <v>885</v>
      </c>
      <c r="DE3386" s="459" t="s">
        <v>885</v>
      </c>
      <c r="DF3386" t="s">
        <v>2670</v>
      </c>
      <c r="DG3386" s="459" t="s">
        <v>885</v>
      </c>
      <c r="DH3386" t="s">
        <v>1855</v>
      </c>
      <c r="DI3386" s="459" t="s">
        <v>885</v>
      </c>
      <c r="DJ3386" s="459" t="s">
        <v>885</v>
      </c>
      <c r="DK3386" s="459" t="s">
        <v>885</v>
      </c>
      <c r="DL3386" s="459" t="s">
        <v>885</v>
      </c>
      <c r="DM3386" s="459" t="s">
        <v>885</v>
      </c>
      <c r="DN3386" s="459" t="s">
        <v>885</v>
      </c>
      <c r="DO3386" t="s">
        <v>2927</v>
      </c>
      <c r="DP3386" t="s">
        <v>2988</v>
      </c>
      <c r="DQ3386" s="459" t="s">
        <v>885</v>
      </c>
      <c r="DR3386" s="459" t="s">
        <v>885</v>
      </c>
      <c r="DS3386" t="s">
        <v>3167</v>
      </c>
      <c r="DT3386" s="459" t="s">
        <v>885</v>
      </c>
      <c r="DU3386" s="459" t="s">
        <v>885</v>
      </c>
      <c r="DV3386" s="459" t="s">
        <v>885</v>
      </c>
      <c r="DW3386" s="245" t="s">
        <v>885</v>
      </c>
      <c r="DX3386" s="245" t="s">
        <v>885</v>
      </c>
      <c r="DY3386" s="245"/>
      <c r="DZ3386" s="470" t="str">
        <f t="shared" si="168"/>
        <v/>
      </c>
      <c r="EA3386" s="470" t="str">
        <f t="shared" si="169"/>
        <v/>
      </c>
    </row>
    <row r="3387" spans="1:131" ht="16" hidden="1" x14ac:dyDescent="0.4">
      <c r="A3387" s="814"/>
      <c r="B3387" s="69"/>
      <c r="BB3387" s="48"/>
      <c r="BS3387" s="464" t="str">
        <f>IF($B$265=B$3281,BZ3386,IF($B$265=B$3282,CA3386,IF($B$265=B$3283,CB3386,IF($B$265=B$3284,CC3386,IF($B$265=B$3285,CD3386,IF($B$265=B$3286,CE3386,IF($B$265=B$3287,CF3386,IF($B$265=B$3288,CG3386,IF($B$265=B$3289,CH3386,IF($B$265=B$3290,CI3386,IF($B$265=B$3291,CJ3386,IF($B$265=B$3292,CK3386,IF($B$265=B$3293,CL3386,IF($B$265=B$3294,CM3386,IF($B$265=B$3295,CN3386,IF($B$265=B$3296,#REF!,IF($B$265=B$3297,CO3386,IF($B$265=B$3298,CP3386,IF($B$265=B$3299,CQ3386,IF($B$265=B$3300,CR3386,IF($B$265=B$3301,CS3386,IF($B$265=B$3302,CT3386,IF(B$265=B$3303,CU3386,IF($B$265=B$3304,CV3386,IF($B$265=B$3305,CW3386,IF($B$265=B$3306,CX3386,IF($B$265=B$3307,CY3386,IF($B$265=B$3308,CZ3386,IF($B$265=B$3309,DA3386,IF($B$265=B$3310,DB3386,IF($B$265=B$3311,DC3386,IF($B$265=B$3312,DD3386,IF($B$265=B$3313,DE3386,IF($B$265=B$3314,DF3386,IF($B$265=B$3315,DG3386,IF($B$265=B$3316,DH3386,IF($B$265=B$3317,DI3386,IF($B$265=B$3318,DJ3386,IF($B$265=B$3319,DK3386,IF($B$265=B$3320,DL3386,IF($B$265=B$3321,DM3386,IF($B$265=B$3322,DN3386,IF($B$265=B$3323,DO3386,IF($B$265=B$3324,DP3386,IF($B$265=B$3325,DQ3386,IF($B$265=B$3326,DR3386,IF($B$265=B$3327,DS3386,IF($B$265=B$3328,DT3386,IF($B$265=B$3329,DU3386,IF($B$265=B$3330,DV3386,IF($B$265=B$3331,DW3386,IF($B$265=B$3332,DX3386,""))))))))))))))))))))))))))))))))))))))))))))))))))))</f>
        <v/>
      </c>
      <c r="BZ3387" s="245" t="s">
        <v>885</v>
      </c>
      <c r="CA3387" s="245" t="s">
        <v>885</v>
      </c>
      <c r="CC3387" s="245" t="s">
        <v>885</v>
      </c>
      <c r="CD3387" s="459" t="s">
        <v>885</v>
      </c>
      <c r="CE3387" s="459" t="s">
        <v>885</v>
      </c>
      <c r="CF3387" s="245" t="s">
        <v>885</v>
      </c>
      <c r="CG3387" s="245" t="s">
        <v>885</v>
      </c>
      <c r="CH3387" s="245" t="s">
        <v>885</v>
      </c>
      <c r="CI3387" s="245" t="s">
        <v>885</v>
      </c>
      <c r="CJ3387" t="s">
        <v>1815</v>
      </c>
      <c r="CK3387" s="459" t="s">
        <v>885</v>
      </c>
      <c r="CL3387" s="459" t="s">
        <v>885</v>
      </c>
      <c r="CM3387" t="s">
        <v>1489</v>
      </c>
      <c r="CN3387" t="s">
        <v>1854</v>
      </c>
      <c r="CO3387" t="s">
        <v>2035</v>
      </c>
      <c r="CP3387" t="s">
        <v>1573</v>
      </c>
      <c r="CQ3387" t="s">
        <v>1480</v>
      </c>
      <c r="CR3387" s="459" t="s">
        <v>885</v>
      </c>
      <c r="CS3387" s="459" t="s">
        <v>885</v>
      </c>
      <c r="CT3387" s="245" t="s">
        <v>885</v>
      </c>
      <c r="CU3387" s="463" t="s">
        <v>885</v>
      </c>
      <c r="CV3387" t="s">
        <v>2039</v>
      </c>
      <c r="CW3387" s="245" t="s">
        <v>885</v>
      </c>
      <c r="CX3387" t="s">
        <v>1743</v>
      </c>
      <c r="CY3387" s="459" t="s">
        <v>885</v>
      </c>
      <c r="CZ3387" t="s">
        <v>1844</v>
      </c>
      <c r="DA3387" s="459" t="s">
        <v>885</v>
      </c>
      <c r="DB3387" s="459" t="s">
        <v>885</v>
      </c>
      <c r="DC3387" s="459" t="s">
        <v>885</v>
      </c>
      <c r="DD3387" s="459" t="s">
        <v>885</v>
      </c>
      <c r="DE3387" s="459" t="s">
        <v>885</v>
      </c>
      <c r="DF3387" t="s">
        <v>2671</v>
      </c>
      <c r="DG3387" s="459" t="s">
        <v>885</v>
      </c>
      <c r="DH3387" t="s">
        <v>2710</v>
      </c>
      <c r="DI3387" s="459" t="s">
        <v>885</v>
      </c>
      <c r="DJ3387" s="459" t="s">
        <v>885</v>
      </c>
      <c r="DK3387" s="459" t="s">
        <v>885</v>
      </c>
      <c r="DL3387" s="459" t="s">
        <v>885</v>
      </c>
      <c r="DM3387" s="459" t="s">
        <v>885</v>
      </c>
      <c r="DN3387" s="459" t="s">
        <v>885</v>
      </c>
      <c r="DO3387" t="s">
        <v>2928</v>
      </c>
      <c r="DP3387" t="s">
        <v>2989</v>
      </c>
      <c r="DQ3387" s="459" t="s">
        <v>885</v>
      </c>
      <c r="DR3387" s="459" t="s">
        <v>885</v>
      </c>
      <c r="DS3387" t="s">
        <v>3168</v>
      </c>
      <c r="DT3387" s="459" t="s">
        <v>885</v>
      </c>
      <c r="DU3387" s="459" t="s">
        <v>885</v>
      </c>
      <c r="DV3387" s="459" t="s">
        <v>885</v>
      </c>
      <c r="DW3387" s="245" t="s">
        <v>885</v>
      </c>
      <c r="DX3387" s="245" t="s">
        <v>885</v>
      </c>
      <c r="DY3387" s="245"/>
      <c r="DZ3387" s="470" t="str">
        <f t="shared" si="168"/>
        <v/>
      </c>
      <c r="EA3387" s="470" t="str">
        <f t="shared" si="169"/>
        <v/>
      </c>
    </row>
    <row r="3388" spans="1:131" ht="16" hidden="1" x14ac:dyDescent="0.4">
      <c r="A3388" s="814"/>
      <c r="B3388" s="69" t="str">
        <f>IF(D$3366=0,"",CONCATENATE(B3362,D$3366))</f>
        <v xml:space="preserve">no, I don't need to notify any Mailing address: </v>
      </c>
      <c r="BB3388" s="48"/>
      <c r="BS3388" s="464" t="str">
        <f>IF($B$265=B$3281,BZ3387,IF($B$265=B$3282,CA3387,IF($B$265=B$3283,CB3387,IF($B$265=B$3284,CC3387,IF($B$265=B$3285,CD3387,IF($B$265=B$3286,CE3387,IF($B$265=B$3287,CF3387,IF($B$265=B$3288,CG3387,IF($B$265=B$3289,CH3387,IF($B$265=B$3290,CI3387,IF($B$265=B$3291,CJ3387,IF($B$265=B$3292,CK3387,IF($B$265=B$3293,CL3387,IF($B$265=B$3294,CM3387,IF($B$265=B$3295,CN3387,IF($B$265=B$3296,#REF!,IF($B$265=B$3297,CO3387,IF($B$265=B$3298,CP3387,IF($B$265=B$3299,CQ3387,IF($B$265=B$3300,CR3387,IF($B$265=B$3301,CS3387,IF($B$265=B$3302,CT3387,IF(B$265=B$3303,CU3387,IF($B$265=B$3304,CV3387,IF($B$265=B$3305,CW3387,IF($B$265=B$3306,CX3387,IF($B$265=B$3307,CY3387,IF($B$265=B$3308,CZ3387,IF($B$265=B$3309,DA3387,IF($B$265=B$3310,DB3387,IF($B$265=B$3311,DC3387,IF($B$265=B$3312,DD3387,IF($B$265=B$3313,DE3387,IF($B$265=B$3314,DF3387,IF($B$265=B$3315,DG3387,IF($B$265=B$3316,DH3387,IF($B$265=B$3317,DI3387,IF($B$265=B$3318,DJ3387,IF($B$265=B$3319,DK3387,IF($B$265=B$3320,DL3387,IF($B$265=B$3321,DM3387,IF($B$265=B$3322,DN3387,IF($B$265=B$3323,DO3387,IF($B$265=B$3324,DP3387,IF($B$265=B$3325,DQ3387,IF($B$265=B$3326,DR3387,IF($B$265=B$3327,DS3387,IF($B$265=B$3328,DT3387,IF($B$265=B$3329,DU3387,IF($B$265=B$3330,DV3387,IF($B$265=B$3331,DW3387,IF($B$265=B$3332,DX3387,""))))))))))))))))))))))))))))))))))))))))))))))))))))</f>
        <v/>
      </c>
      <c r="BZ3388" s="245" t="s">
        <v>885</v>
      </c>
      <c r="CA3388" s="245" t="s">
        <v>885</v>
      </c>
      <c r="CC3388" s="245" t="s">
        <v>885</v>
      </c>
      <c r="CD3388" s="459" t="s">
        <v>885</v>
      </c>
      <c r="CE3388" s="459" t="s">
        <v>885</v>
      </c>
      <c r="CF3388" s="245" t="s">
        <v>885</v>
      </c>
      <c r="CG3388" s="245" t="s">
        <v>885</v>
      </c>
      <c r="CH3388" s="245" t="s">
        <v>885</v>
      </c>
      <c r="CI3388" s="245" t="s">
        <v>885</v>
      </c>
      <c r="CJ3388" t="s">
        <v>1816</v>
      </c>
      <c r="CK3388" s="459" t="s">
        <v>885</v>
      </c>
      <c r="CL3388" s="459" t="s">
        <v>885</v>
      </c>
      <c r="CM3388" t="s">
        <v>1488</v>
      </c>
      <c r="CN3388" t="s">
        <v>1992</v>
      </c>
      <c r="CO3388" t="s">
        <v>1750</v>
      </c>
      <c r="CP3388" t="s">
        <v>1691</v>
      </c>
      <c r="CQ3388" t="s">
        <v>1481</v>
      </c>
      <c r="CR3388" s="459" t="s">
        <v>885</v>
      </c>
      <c r="CS3388" s="459" t="s">
        <v>885</v>
      </c>
      <c r="CT3388" s="245" t="s">
        <v>885</v>
      </c>
      <c r="CU3388" s="463" t="s">
        <v>885</v>
      </c>
      <c r="CV3388" t="s">
        <v>2376</v>
      </c>
      <c r="CW3388" s="245" t="s">
        <v>885</v>
      </c>
      <c r="CX3388" t="s">
        <v>2441</v>
      </c>
      <c r="CY3388" s="459" t="s">
        <v>885</v>
      </c>
      <c r="CZ3388" t="s">
        <v>2530</v>
      </c>
      <c r="DA3388" s="459" t="s">
        <v>885</v>
      </c>
      <c r="DB3388" s="459" t="s">
        <v>885</v>
      </c>
      <c r="DC3388" s="459" t="s">
        <v>885</v>
      </c>
      <c r="DD3388" s="459" t="s">
        <v>885</v>
      </c>
      <c r="DE3388" s="459" t="s">
        <v>885</v>
      </c>
      <c r="DF3388" t="s">
        <v>2672</v>
      </c>
      <c r="DG3388" s="459" t="s">
        <v>885</v>
      </c>
      <c r="DH3388" t="s">
        <v>2744</v>
      </c>
      <c r="DI3388" s="459" t="s">
        <v>885</v>
      </c>
      <c r="DJ3388" s="459" t="s">
        <v>885</v>
      </c>
      <c r="DK3388" s="459" t="s">
        <v>885</v>
      </c>
      <c r="DL3388" s="459" t="s">
        <v>885</v>
      </c>
      <c r="DM3388" s="459" t="s">
        <v>885</v>
      </c>
      <c r="DN3388" s="459" t="s">
        <v>885</v>
      </c>
      <c r="DO3388" t="s">
        <v>1579</v>
      </c>
      <c r="DP3388" t="s">
        <v>2990</v>
      </c>
      <c r="DQ3388" s="459" t="s">
        <v>885</v>
      </c>
      <c r="DR3388" s="459" t="s">
        <v>885</v>
      </c>
      <c r="DS3388" t="s">
        <v>2658</v>
      </c>
      <c r="DT3388" s="459" t="s">
        <v>885</v>
      </c>
      <c r="DU3388" s="459" t="s">
        <v>885</v>
      </c>
      <c r="DV3388" s="459" t="s">
        <v>885</v>
      </c>
      <c r="DW3388" s="245" t="s">
        <v>885</v>
      </c>
      <c r="DX3388" s="245" t="s">
        <v>885</v>
      </c>
      <c r="DY3388" s="245"/>
      <c r="DZ3388" s="470" t="str">
        <f t="shared" si="168"/>
        <v/>
      </c>
      <c r="EA3388" s="470" t="str">
        <f t="shared" si="169"/>
        <v/>
      </c>
    </row>
    <row r="3389" spans="1:131" ht="16" hidden="1" x14ac:dyDescent="0.4">
      <c r="A3389" s="814"/>
      <c r="B3389" s="393" t="s">
        <v>967</v>
      </c>
      <c r="BB3389" s="48"/>
      <c r="BS3389" s="464" t="str">
        <f>IF($B$265=B$3281,BZ3388,IF($B$265=B$3282,CA3388,IF($B$265=B$3283,CB3388,IF($B$265=B$3284,CC3388,IF($B$265=B$3285,CD3388,IF($B$265=B$3286,CE3388,IF($B$265=B$3287,CF3388,IF($B$265=B$3288,CG3388,IF($B$265=B$3289,CH3388,IF($B$265=B$3290,CI3388,IF($B$265=B$3291,CJ3388,IF($B$265=B$3292,CK3388,IF($B$265=B$3293,CL3388,IF($B$265=B$3294,CM3388,IF($B$265=B$3295,CN3388,IF($B$265=B$3296,#REF!,IF($B$265=B$3297,CO3388,IF($B$265=B$3298,CP3388,IF($B$265=B$3299,CQ3388,IF($B$265=B$3300,CR3388,IF($B$265=B$3301,CS3388,IF($B$265=B$3302,CT3388,IF(B$265=B$3303,CU3388,IF($B$265=B$3304,CV3388,IF($B$265=B$3305,CW3388,IF($B$265=B$3306,CX3388,IF($B$265=B$3307,CY3388,IF($B$265=B$3308,CZ3388,IF($B$265=B$3309,DA3388,IF($B$265=B$3310,DB3388,IF($B$265=B$3311,DC3388,IF($B$265=B$3312,DD3388,IF($B$265=B$3313,DE3388,IF($B$265=B$3314,DF3388,IF($B$265=B$3315,DG3388,IF($B$265=B$3316,DH3388,IF($B$265=B$3317,DI3388,IF($B$265=B$3318,DJ3388,IF($B$265=B$3319,DK3388,IF($B$265=B$3320,DL3388,IF($B$265=B$3321,DM3388,IF($B$265=B$3322,DN3388,IF($B$265=B$3323,DO3388,IF($B$265=B$3324,DP3388,IF($B$265=B$3325,DQ3388,IF($B$265=B$3326,DR3388,IF($B$265=B$3327,DS3388,IF($B$265=B$3328,DT3388,IF($B$265=B$3329,DU3388,IF($B$265=B$3330,DV3388,IF($B$265=B$3331,DW3388,IF($B$265=B$3332,DX3388,""))))))))))))))))))))))))))))))))))))))))))))))))))))</f>
        <v/>
      </c>
      <c r="BZ3389" s="245" t="s">
        <v>885</v>
      </c>
      <c r="CA3389" s="245" t="s">
        <v>885</v>
      </c>
      <c r="CC3389" s="245" t="s">
        <v>885</v>
      </c>
      <c r="CD3389" s="459" t="s">
        <v>885</v>
      </c>
      <c r="CE3389" s="459" t="s">
        <v>885</v>
      </c>
      <c r="CF3389" s="245" t="s">
        <v>885</v>
      </c>
      <c r="CG3389" s="245" t="s">
        <v>885</v>
      </c>
      <c r="CH3389" s="245" t="s">
        <v>885</v>
      </c>
      <c r="CI3389" s="245" t="s">
        <v>885</v>
      </c>
      <c r="CJ3389" t="s">
        <v>1471</v>
      </c>
      <c r="CK3389" s="459" t="s">
        <v>885</v>
      </c>
      <c r="CL3389" s="459" t="s">
        <v>885</v>
      </c>
      <c r="CM3389" t="s">
        <v>1944</v>
      </c>
      <c r="CN3389" t="s">
        <v>1495</v>
      </c>
      <c r="CO3389" t="s">
        <v>1579</v>
      </c>
      <c r="CP3389" t="s">
        <v>2091</v>
      </c>
      <c r="CQ3389" t="s">
        <v>1482</v>
      </c>
      <c r="CR3389" s="459" t="s">
        <v>885</v>
      </c>
      <c r="CS3389" s="459" t="s">
        <v>885</v>
      </c>
      <c r="CT3389" s="245" t="s">
        <v>885</v>
      </c>
      <c r="CU3389" s="463" t="s">
        <v>885</v>
      </c>
      <c r="CV3389" s="245" t="s">
        <v>885</v>
      </c>
      <c r="CW3389" s="245" t="s">
        <v>885</v>
      </c>
      <c r="CX3389" t="s">
        <v>1486</v>
      </c>
      <c r="CY3389" s="459" t="s">
        <v>885</v>
      </c>
      <c r="CZ3389" t="s">
        <v>1899</v>
      </c>
      <c r="DA3389" s="459" t="s">
        <v>885</v>
      </c>
      <c r="DB3389" s="459" t="s">
        <v>885</v>
      </c>
      <c r="DC3389" s="459" t="s">
        <v>885</v>
      </c>
      <c r="DD3389" s="459" t="s">
        <v>885</v>
      </c>
      <c r="DE3389" s="459" t="s">
        <v>885</v>
      </c>
      <c r="DF3389" t="s">
        <v>2673</v>
      </c>
      <c r="DG3389" s="459" t="s">
        <v>885</v>
      </c>
      <c r="DH3389" t="s">
        <v>2745</v>
      </c>
      <c r="DI3389" s="459" t="s">
        <v>885</v>
      </c>
      <c r="DJ3389" s="459" t="s">
        <v>885</v>
      </c>
      <c r="DK3389" s="459" t="s">
        <v>885</v>
      </c>
      <c r="DL3389" s="459" t="s">
        <v>885</v>
      </c>
      <c r="DM3389" s="459" t="s">
        <v>885</v>
      </c>
      <c r="DN3389" s="459" t="s">
        <v>885</v>
      </c>
      <c r="DO3389" t="s">
        <v>1580</v>
      </c>
      <c r="DP3389" t="s">
        <v>2991</v>
      </c>
      <c r="DQ3389" s="459" t="s">
        <v>885</v>
      </c>
      <c r="DR3389" s="459" t="s">
        <v>885</v>
      </c>
      <c r="DS3389" t="s">
        <v>2829</v>
      </c>
      <c r="DT3389" s="459" t="s">
        <v>885</v>
      </c>
      <c r="DU3389" s="459" t="s">
        <v>885</v>
      </c>
      <c r="DV3389" s="459" t="s">
        <v>885</v>
      </c>
      <c r="DW3389" s="245" t="s">
        <v>885</v>
      </c>
      <c r="DX3389" s="245" t="s">
        <v>885</v>
      </c>
      <c r="DY3389" s="245"/>
      <c r="DZ3389" s="470" t="str">
        <f t="shared" si="168"/>
        <v/>
      </c>
      <c r="EA3389" s="470" t="str">
        <f t="shared" si="169"/>
        <v/>
      </c>
    </row>
    <row r="3390" spans="1:131" ht="16" hidden="1" x14ac:dyDescent="0.4">
      <c r="A3390" s="814"/>
      <c r="B3390" s="69" t="s">
        <v>968</v>
      </c>
      <c r="BS3390" s="464" t="str">
        <f>IF($B$265=B$3281,BZ3389,IF($B$265=B$3282,CA3389,IF($B$265=B$3283,CB3389,IF($B$265=B$3284,CC3389,IF($B$265=B$3285,CD3389,IF($B$265=B$3286,CE3389,IF($B$265=B$3287,CF3389,IF($B$265=B$3288,CG3389,IF($B$265=B$3289,CH3389,IF($B$265=B$3290,CI3389,IF($B$265=B$3291,CJ3389,IF($B$265=B$3292,CK3389,IF($B$265=B$3293,CL3389,IF($B$265=B$3294,CM3389,IF($B$265=B$3295,CN3389,IF($B$265=B$3296,#REF!,IF($B$265=B$3297,CO3389,IF($B$265=B$3298,CP3389,IF($B$265=B$3299,CQ3389,IF($B$265=B$3300,CR3389,IF($B$265=B$3301,CS3389,IF($B$265=B$3302,CT3389,IF(B$265=B$3303,CU3389,IF($B$265=B$3304,CV3389,IF($B$265=B$3305,CW3389,IF($B$265=B$3306,CX3389,IF($B$265=B$3307,CY3389,IF($B$265=B$3308,CZ3389,IF($B$265=B$3309,DA3389,IF($B$265=B$3310,DB3389,IF($B$265=B$3311,DC3389,IF($B$265=B$3312,DD3389,IF($B$265=B$3313,DE3389,IF($B$265=B$3314,DF3389,IF($B$265=B$3315,DG3389,IF($B$265=B$3316,DH3389,IF($B$265=B$3317,DI3389,IF($B$265=B$3318,DJ3389,IF($B$265=B$3319,DK3389,IF($B$265=B$3320,DL3389,IF($B$265=B$3321,DM3389,IF($B$265=B$3322,DN3389,IF($B$265=B$3323,DO3389,IF($B$265=B$3324,DP3389,IF($B$265=B$3325,DQ3389,IF($B$265=B$3326,DR3389,IF($B$265=B$3327,DS3389,IF($B$265=B$3328,DT3389,IF($B$265=B$3329,DU3389,IF($B$265=B$3330,DV3389,IF($B$265=B$3331,DW3389,IF($B$265=B$3332,DX3389,""))))))))))))))))))))))))))))))))))))))))))))))))))))</f>
        <v/>
      </c>
      <c r="BZ3390" s="245" t="s">
        <v>885</v>
      </c>
      <c r="CA3390" s="245" t="s">
        <v>885</v>
      </c>
      <c r="CC3390" s="245" t="s">
        <v>885</v>
      </c>
      <c r="CD3390" s="459" t="s">
        <v>885</v>
      </c>
      <c r="CE3390" s="459" t="s">
        <v>885</v>
      </c>
      <c r="CF3390" s="245" t="s">
        <v>885</v>
      </c>
      <c r="CG3390" s="245" t="s">
        <v>885</v>
      </c>
      <c r="CH3390" s="245" t="s">
        <v>885</v>
      </c>
      <c r="CI3390" s="245" t="s">
        <v>885</v>
      </c>
      <c r="CJ3390" t="s">
        <v>1732</v>
      </c>
      <c r="CK3390" s="459" t="s">
        <v>885</v>
      </c>
      <c r="CL3390" s="459" t="s">
        <v>885</v>
      </c>
      <c r="CM3390" t="s">
        <v>1945</v>
      </c>
      <c r="CN3390" t="s">
        <v>1855</v>
      </c>
      <c r="CO3390" t="s">
        <v>1580</v>
      </c>
      <c r="CP3390" t="s">
        <v>2092</v>
      </c>
      <c r="CQ3390" t="s">
        <v>2147</v>
      </c>
      <c r="CR3390" s="459" t="s">
        <v>885</v>
      </c>
      <c r="CS3390" s="459" t="s">
        <v>885</v>
      </c>
      <c r="CT3390" s="245" t="s">
        <v>885</v>
      </c>
      <c r="CU3390" s="463" t="s">
        <v>885</v>
      </c>
      <c r="CV3390" s="245" t="s">
        <v>885</v>
      </c>
      <c r="CW3390" s="245" t="s">
        <v>885</v>
      </c>
      <c r="CX3390" t="s">
        <v>2442</v>
      </c>
      <c r="CY3390" s="459" t="s">
        <v>885</v>
      </c>
      <c r="CZ3390" t="s">
        <v>1495</v>
      </c>
      <c r="DA3390" s="459" t="s">
        <v>885</v>
      </c>
      <c r="DB3390" s="459" t="s">
        <v>885</v>
      </c>
      <c r="DC3390" s="459" t="s">
        <v>885</v>
      </c>
      <c r="DD3390" s="459" t="s">
        <v>885</v>
      </c>
      <c r="DE3390" s="459" t="s">
        <v>885</v>
      </c>
      <c r="DF3390" t="s">
        <v>2674</v>
      </c>
      <c r="DG3390" s="459" t="s">
        <v>885</v>
      </c>
      <c r="DH3390" s="459" t="s">
        <v>885</v>
      </c>
      <c r="DI3390" s="459" t="s">
        <v>885</v>
      </c>
      <c r="DJ3390" s="459" t="s">
        <v>885</v>
      </c>
      <c r="DK3390" s="459" t="s">
        <v>885</v>
      </c>
      <c r="DL3390" s="459" t="s">
        <v>885</v>
      </c>
      <c r="DM3390" s="459" t="s">
        <v>885</v>
      </c>
      <c r="DN3390" s="459" t="s">
        <v>885</v>
      </c>
      <c r="DO3390" t="s">
        <v>1854</v>
      </c>
      <c r="DP3390" t="s">
        <v>2992</v>
      </c>
      <c r="DQ3390" s="459" t="s">
        <v>885</v>
      </c>
      <c r="DR3390" s="459" t="s">
        <v>885</v>
      </c>
      <c r="DS3390" t="s">
        <v>3169</v>
      </c>
      <c r="DT3390" s="459" t="s">
        <v>885</v>
      </c>
      <c r="DU3390" s="459" t="s">
        <v>885</v>
      </c>
      <c r="DV3390" s="459" t="s">
        <v>885</v>
      </c>
      <c r="DW3390" s="245" t="s">
        <v>885</v>
      </c>
      <c r="DX3390" s="245" t="s">
        <v>885</v>
      </c>
      <c r="DY3390" s="245"/>
      <c r="DZ3390" s="470" t="str">
        <f t="shared" si="168"/>
        <v/>
      </c>
      <c r="EA3390" s="470" t="str">
        <f t="shared" si="169"/>
        <v/>
      </c>
    </row>
    <row r="3391" spans="1:131" ht="16" hidden="1" x14ac:dyDescent="0.4">
      <c r="A3391" s="814"/>
      <c r="B3391" s="69" t="s">
        <v>969</v>
      </c>
      <c r="BS3391" s="464" t="str">
        <f>IF($B$265=B$3281,BZ3390,IF($B$265=B$3282,CA3390,IF($B$265=B$3283,CB3390,IF($B$265=B$3284,CC3390,IF($B$265=B$3285,CD3390,IF($B$265=B$3286,CE3390,IF($B$265=B$3287,CF3390,IF($B$265=B$3288,CG3390,IF($B$265=B$3289,CH3390,IF($B$265=B$3290,CI3390,IF($B$265=B$3291,CJ3390,IF($B$265=B$3292,CK3390,IF($B$265=B$3293,CL3390,IF($B$265=B$3294,CM3390,IF($B$265=B$3295,CN3390,IF($B$265=B$3296,#REF!,IF($B$265=B$3297,CO3390,IF($B$265=B$3298,CP3390,IF($B$265=B$3299,CQ3390,IF($B$265=B$3300,CR3390,IF($B$265=B$3301,CS3390,IF($B$265=B$3302,CT3390,IF(B$265=B$3303,CU3390,IF($B$265=B$3304,CV3390,IF($B$265=B$3305,CW3390,IF($B$265=B$3306,CX3390,IF($B$265=B$3307,CY3390,IF($B$265=B$3308,CZ3390,IF($B$265=B$3309,DA3390,IF($B$265=B$3310,DB3390,IF($B$265=B$3311,DC3390,IF($B$265=B$3312,DD3390,IF($B$265=B$3313,DE3390,IF($B$265=B$3314,DF3390,IF($B$265=B$3315,DG3390,IF($B$265=B$3316,DH3390,IF($B$265=B$3317,DI3390,IF($B$265=B$3318,DJ3390,IF($B$265=B$3319,DK3390,IF($B$265=B$3320,DL3390,IF($B$265=B$3321,DM3390,IF($B$265=B$3322,DN3390,IF($B$265=B$3323,DO3390,IF($B$265=B$3324,DP3390,IF($B$265=B$3325,DQ3390,IF($B$265=B$3326,DR3390,IF($B$265=B$3327,DS3390,IF($B$265=B$3328,DT3390,IF($B$265=B$3329,DU3390,IF($B$265=B$3330,DV3390,IF($B$265=B$3331,DW3390,IF($B$265=B$3332,DX3390,""))))))))))))))))))))))))))))))))))))))))))))))))))))</f>
        <v/>
      </c>
      <c r="BZ3391" s="245" t="s">
        <v>885</v>
      </c>
      <c r="CA3391" s="245" t="s">
        <v>885</v>
      </c>
      <c r="CC3391" s="245" t="s">
        <v>885</v>
      </c>
      <c r="CD3391" s="459" t="s">
        <v>885</v>
      </c>
      <c r="CE3391" s="459" t="s">
        <v>885</v>
      </c>
      <c r="CF3391" s="245" t="s">
        <v>885</v>
      </c>
      <c r="CG3391" s="245" t="s">
        <v>885</v>
      </c>
      <c r="CH3391" s="245" t="s">
        <v>885</v>
      </c>
      <c r="CI3391" s="245" t="s">
        <v>885</v>
      </c>
      <c r="CJ3391" t="s">
        <v>1556</v>
      </c>
      <c r="CK3391" s="459" t="s">
        <v>885</v>
      </c>
      <c r="CL3391" s="459" t="s">
        <v>885</v>
      </c>
      <c r="CM3391" t="s">
        <v>1946</v>
      </c>
      <c r="CN3391" t="s">
        <v>1993</v>
      </c>
      <c r="CO3391" t="s">
        <v>2036</v>
      </c>
      <c r="CP3391" t="s">
        <v>2093</v>
      </c>
      <c r="CQ3391" t="s">
        <v>2148</v>
      </c>
      <c r="CR3391" s="459" t="s">
        <v>885</v>
      </c>
      <c r="CS3391" s="459" t="s">
        <v>885</v>
      </c>
      <c r="CT3391" s="245" t="s">
        <v>885</v>
      </c>
      <c r="CU3391" s="463" t="s">
        <v>885</v>
      </c>
      <c r="CV3391" s="245" t="s">
        <v>885</v>
      </c>
      <c r="CW3391" s="245" t="s">
        <v>885</v>
      </c>
      <c r="CX3391" t="s">
        <v>2443</v>
      </c>
      <c r="CY3391" s="459" t="s">
        <v>885</v>
      </c>
      <c r="CZ3391" t="s">
        <v>1855</v>
      </c>
      <c r="DA3391" s="459" t="s">
        <v>885</v>
      </c>
      <c r="DB3391" s="459" t="s">
        <v>885</v>
      </c>
      <c r="DC3391" s="459" t="s">
        <v>885</v>
      </c>
      <c r="DD3391" s="459" t="s">
        <v>885</v>
      </c>
      <c r="DE3391" s="459" t="s">
        <v>885</v>
      </c>
      <c r="DF3391" t="s">
        <v>1579</v>
      </c>
      <c r="DG3391" s="459" t="s">
        <v>885</v>
      </c>
      <c r="DH3391" s="459" t="s">
        <v>885</v>
      </c>
      <c r="DI3391" s="459" t="s">
        <v>885</v>
      </c>
      <c r="DJ3391" s="459" t="s">
        <v>885</v>
      </c>
      <c r="DK3391" s="459" t="s">
        <v>885</v>
      </c>
      <c r="DL3391" s="459" t="s">
        <v>885</v>
      </c>
      <c r="DM3391" s="459" t="s">
        <v>885</v>
      </c>
      <c r="DN3391" s="459" t="s">
        <v>885</v>
      </c>
      <c r="DO3391" t="s">
        <v>1495</v>
      </c>
      <c r="DP3391" t="s">
        <v>2058</v>
      </c>
      <c r="DQ3391" s="459" t="s">
        <v>885</v>
      </c>
      <c r="DR3391" s="459" t="s">
        <v>885</v>
      </c>
      <c r="DS3391" t="s">
        <v>3170</v>
      </c>
      <c r="DT3391" s="459" t="s">
        <v>885</v>
      </c>
      <c r="DU3391" s="459" t="s">
        <v>885</v>
      </c>
      <c r="DV3391" s="459" t="s">
        <v>885</v>
      </c>
      <c r="DW3391" s="245" t="s">
        <v>885</v>
      </c>
      <c r="DX3391" s="245" t="s">
        <v>885</v>
      </c>
      <c r="DY3391" s="245"/>
      <c r="DZ3391" s="470" t="str">
        <f t="shared" si="168"/>
        <v/>
      </c>
      <c r="EA3391" s="470" t="str">
        <f t="shared" si="169"/>
        <v/>
      </c>
    </row>
    <row r="3392" spans="1:131" ht="16" hidden="1" x14ac:dyDescent="0.4">
      <c r="A3392" s="814"/>
      <c r="B3392" s="69" t="s">
        <v>970</v>
      </c>
      <c r="BB3392" s="48"/>
      <c r="BS3392" s="464" t="str">
        <f>IF($B$265=B$3281,BZ3391,IF($B$265=B$3282,CA3391,IF($B$265=B$3283,CB3391,IF($B$265=B$3284,CC3391,IF($B$265=B$3285,CD3391,IF($B$265=B$3286,CE3391,IF($B$265=B$3287,CF3391,IF($B$265=B$3288,CG3391,IF($B$265=B$3289,CH3391,IF($B$265=B$3290,CI3391,IF($B$265=B$3291,CJ3391,IF($B$265=B$3292,CK3391,IF($B$265=B$3293,CL3391,IF($B$265=B$3294,CM3391,IF($B$265=B$3295,CN3391,IF($B$265=B$3296,#REF!,IF($B$265=B$3297,CO3391,IF($B$265=B$3298,CP3391,IF($B$265=B$3299,CQ3391,IF($B$265=B$3300,CR3391,IF($B$265=B$3301,CS3391,IF($B$265=B$3302,CT3391,IF(B$265=B$3303,CU3391,IF($B$265=B$3304,CV3391,IF($B$265=B$3305,CW3391,IF($B$265=B$3306,CX3391,IF($B$265=B$3307,CY3391,IF($B$265=B$3308,CZ3391,IF($B$265=B$3309,DA3391,IF($B$265=B$3310,DB3391,IF($B$265=B$3311,DC3391,IF($B$265=B$3312,DD3391,IF($B$265=B$3313,DE3391,IF($B$265=B$3314,DF3391,IF($B$265=B$3315,DG3391,IF($B$265=B$3316,DH3391,IF($B$265=B$3317,DI3391,IF($B$265=B$3318,DJ3391,IF($B$265=B$3319,DK3391,IF($B$265=B$3320,DL3391,IF($B$265=B$3321,DM3391,IF($B$265=B$3322,DN3391,IF($B$265=B$3323,DO3391,IF($B$265=B$3324,DP3391,IF($B$265=B$3325,DQ3391,IF($B$265=B$3326,DR3391,IF($B$265=B$3327,DS3391,IF($B$265=B$3328,DT3391,IF($B$265=B$3329,DU3391,IF($B$265=B$3330,DV3391,IF($B$265=B$3331,DW3391,IF($B$265=B$3332,DX3391,""))))))))))))))))))))))))))))))))))))))))))))))))))))</f>
        <v/>
      </c>
      <c r="BZ3392" s="245" t="s">
        <v>885</v>
      </c>
      <c r="CA3392" s="245" t="s">
        <v>885</v>
      </c>
      <c r="CC3392" s="245" t="s">
        <v>885</v>
      </c>
      <c r="CD3392" s="459" t="s">
        <v>885</v>
      </c>
      <c r="CE3392" s="459" t="s">
        <v>885</v>
      </c>
      <c r="CF3392" s="245" t="s">
        <v>885</v>
      </c>
      <c r="CG3392" s="245" t="s">
        <v>885</v>
      </c>
      <c r="CH3392" s="245" t="s">
        <v>885</v>
      </c>
      <c r="CI3392" s="245" t="s">
        <v>885</v>
      </c>
      <c r="CJ3392" t="s">
        <v>1817</v>
      </c>
      <c r="CK3392" s="459" t="s">
        <v>885</v>
      </c>
      <c r="CL3392" s="459" t="s">
        <v>885</v>
      </c>
      <c r="CM3392" t="s">
        <v>1579</v>
      </c>
      <c r="CN3392" t="s">
        <v>1581</v>
      </c>
      <c r="CO3392" t="s">
        <v>1854</v>
      </c>
      <c r="CP3392" t="s">
        <v>2094</v>
      </c>
      <c r="CQ3392" t="s">
        <v>2149</v>
      </c>
      <c r="CR3392" s="459" t="s">
        <v>885</v>
      </c>
      <c r="CS3392" s="459" t="s">
        <v>885</v>
      </c>
      <c r="CT3392" s="245" t="s">
        <v>885</v>
      </c>
      <c r="CU3392" s="463" t="s">
        <v>885</v>
      </c>
      <c r="CV3392" s="245" t="s">
        <v>885</v>
      </c>
      <c r="CW3392" s="245" t="s">
        <v>885</v>
      </c>
      <c r="CX3392" t="s">
        <v>1979</v>
      </c>
      <c r="CY3392" s="459" t="s">
        <v>885</v>
      </c>
      <c r="CZ3392" t="s">
        <v>1856</v>
      </c>
      <c r="DA3392" s="459" t="s">
        <v>885</v>
      </c>
      <c r="DB3392" s="459" t="s">
        <v>885</v>
      </c>
      <c r="DC3392" s="459" t="s">
        <v>885</v>
      </c>
      <c r="DD3392" s="459" t="s">
        <v>885</v>
      </c>
      <c r="DE3392" s="459" t="s">
        <v>885</v>
      </c>
      <c r="DF3392" t="s">
        <v>2675</v>
      </c>
      <c r="DG3392" s="459" t="s">
        <v>885</v>
      </c>
      <c r="DH3392" s="459" t="s">
        <v>885</v>
      </c>
      <c r="DI3392" s="459" t="s">
        <v>885</v>
      </c>
      <c r="DJ3392" s="459" t="s">
        <v>885</v>
      </c>
      <c r="DK3392" s="459" t="s">
        <v>885</v>
      </c>
      <c r="DL3392" s="459" t="s">
        <v>885</v>
      </c>
      <c r="DM3392" s="459" t="s">
        <v>885</v>
      </c>
      <c r="DN3392" s="459" t="s">
        <v>885</v>
      </c>
      <c r="DO3392" t="s">
        <v>1855</v>
      </c>
      <c r="DP3392" t="s">
        <v>2129</v>
      </c>
      <c r="DQ3392" s="459" t="s">
        <v>885</v>
      </c>
      <c r="DR3392" s="459" t="s">
        <v>885</v>
      </c>
      <c r="DS3392" t="s">
        <v>1612</v>
      </c>
      <c r="DT3392" s="459" t="s">
        <v>885</v>
      </c>
      <c r="DU3392" s="459" t="s">
        <v>885</v>
      </c>
      <c r="DV3392" s="459" t="s">
        <v>885</v>
      </c>
      <c r="DW3392" s="245" t="s">
        <v>885</v>
      </c>
      <c r="DX3392" s="245" t="s">
        <v>885</v>
      </c>
      <c r="DY3392" s="245"/>
      <c r="DZ3392" s="470" t="str">
        <f t="shared" ref="DZ3392:DZ3423" si="170">IF($B$265=$B$3281,EB3392,IF($B$265=$B$3282,ED3392,IF($B$265=$B$3283,EF3392,IF($B$265=$B$3284,EH3392,IF($B$265=$B$3285,EJ3392,IF($B$265=$B$3286,EL3392,IF($B$265=$B$3287,EN3392,IF($B$265=$B$3288,EP3392,IF($B$265=$B$3289,ER3392,IF($B$265=$B$3290,ET3392,IF($B$265=$B$3291,EV3392,IF($B$265=$B$3292,EX3392,IF($B$265=$B$3293,EZ3392,IF($B$265=$B$3294,FB3392,IF($B$265=$B$3295,FD3392,IF($B$265=$B$3296,BU3392,IF($B$265=$B$3297,FF3392,IF($B$265=$B$3298,FH3392,IF($B$265=$B$3299,FJ3392,IF($B$265=$B$3300,FL3392,IF($B$265=$B$3301,FN3392,IF($B$265=$B$3302,FP3392,IF(BI$265=$B$3303,FR3392,IF($B$265=$B$3304,FT3392,IF($B$265=$B$3305,FV3392,IF($B$265=$B$3306,FX3392,IF($B$265=$B$3307,FZ3392,IF($B$265=$B$3308,GB3392,IF($B$265=$B$3309,GD3392,IF($B$265=$B$3310,GF3392,IF($B$265=$B$3311,GH3392,IF($B$265=$B$3312,GJ3392,IF($B$265=$B$3313,GL3392,IF($B$265=$B$3314,GN3392,IF($B$265=$B$3315,GP3392,IF($B$265=$B$3316,GR3392,IF($B$265=$B$3317,GT3392,IF($B$265=$B$3318,GV3392,IF($B$265=$B$3319,GX3392,IF($B$265=$B$3320,GZ3392,IF($B$265=$B$3321,HB3392,IF($B$265=$B$3322,HD3392,IF($B$265=$B$3323,HF3392,IF($B$265=$B$3324,HH3392,IF($B$265=$B$3325,HJ3392,IF($B$265=$B$3326,HL3392,IF($B$265=$B$3327,HN3392,IF($B$265=$B$3328,HP3392,IF($B$265=$B$3329,HR3392,IF($B$265=$B$3330,HT3392,IF($B$265=$B$3331,HV3392,IF($B$265=$B$3332,HX3392,""))))))))))))))))))))))))))))))))))))))))))))))))))))</f>
        <v/>
      </c>
      <c r="EA3392" s="470" t="str">
        <f t="shared" ref="EA3392:EA3423" si="171">IF($B$265=$B$3281,EC3392,IF($B$265=$B$3282,EE3392,IF($B$265=$B$3283,EG3392,IF($B$265=$B$3284,EI3392,IF($B$265=$B$3285,EK3392,IF($B$265=$B$3286,EM3392,IF($B$265=$B$3287,EO3392,IF($B$265=$B$3288,EQ3392,IF($B$265=$B$3289,ES3392,IF($B$265=$B$3290,EU3392,IF($B$265=$B$3291,EW3392,IF($B$265=$B$3292,EY3392,IF($B$265=$B$3293,FA3392,IF($B$265=$B$3294,FC3392,IF($B$265=$B$3295,FE3392,IF($B$265=$B$3296,BK3392,IF($B$265=$B$3297,FG3392,IF($B$265=$B$3298,FI3392,IF($B$265=$B$3299,FK3392,IF($B$265=$B$3300,FM3392,IF($B$265=$B$3301,FO3392,IF($B$265=$B$3302,FQ3392,IF(BJ$265=$B$3303,FS3392,IF($B$265=$B$3304,FU3392,IF($B$265=$B$3305,FW3392,IF($B$265=$B$3306,FY3392,IF($B$265=$B$3307,GA3392,IF($B$265=$B$3308,GC3392,IF($B$265=$B$3309,GE3392,IF($B$265=$B$3310,GG3392,IF($B$265=$B$3311,GI3392,IF($B$265=$B$3312,GK3392,IF($B$265=$B$3313,GM3392,IF($B$265=$B$3314,GO3392,IF($B$265=$B$3315,GQ3392,IF($B$265=$B$3316,GS3392,IF($B$265=$B$3317,GU3392,IF($B$265=$B$3318,GW3392,IF($B$265=$B$3319,GY3392,IF($B$265=$B$3320,HA3392,IF($B$265=$B$3321,HC3392,IF($B$265=$B$3322,HE3392,IF($B$265=$B$3323,HG3392,IF($B$265=$B$3324,HI3392,IF($B$265=$B$3325,HK3392,IF($B$265=$B$3326,HM3392,IF($B$265=$B$3327,HO3392,IF($B$265=$B$3328,HQ3392,IF($B$265=$B$3329,HS3392,IF($B$265=$B$3330,HU3392,IF($B$265=$B$3331,HW3392,IF($B$265=$B$3332,HY3392,""))))))))))))))))))))))))))))))))))))))))))))))))))))</f>
        <v/>
      </c>
    </row>
    <row r="3393" spans="1:131" ht="16" hidden="1" x14ac:dyDescent="0.4">
      <c r="A3393" s="814"/>
      <c r="B3393" s="69" t="s">
        <v>971</v>
      </c>
      <c r="BB3393" s="48"/>
      <c r="BS3393" s="464" t="str">
        <f>IF($B$265=B$3281,BZ3392,IF($B$265=B$3282,CA3392,IF($B$265=B$3283,CB3392,IF($B$265=B$3284,CC3392,IF($B$265=B$3285,CD3392,IF($B$265=B$3286,CE3392,IF($B$265=B$3287,CF3392,IF($B$265=B$3288,CG3392,IF($B$265=B$3289,CH3392,IF($B$265=B$3290,CI3392,IF($B$265=B$3291,CJ3392,IF($B$265=B$3292,CK3392,IF($B$265=B$3293,CL3392,IF($B$265=B$3294,CM3392,IF($B$265=B$3295,CN3392,IF($B$265=B$3296,#REF!,IF($B$265=B$3297,CO3392,IF($B$265=B$3298,CP3392,IF($B$265=B$3299,CQ3392,IF($B$265=B$3300,CR3392,IF($B$265=B$3301,CS3392,IF($B$265=B$3302,CT3392,IF(B$265=B$3303,CU3392,IF($B$265=B$3304,CV3392,IF($B$265=B$3305,CW3392,IF($B$265=B$3306,CX3392,IF($B$265=B$3307,CY3392,IF($B$265=B$3308,CZ3392,IF($B$265=B$3309,DA3392,IF($B$265=B$3310,DB3392,IF($B$265=B$3311,DC3392,IF($B$265=B$3312,DD3392,IF($B$265=B$3313,DE3392,IF($B$265=B$3314,DF3392,IF($B$265=B$3315,DG3392,IF($B$265=B$3316,DH3392,IF($B$265=B$3317,DI3392,IF($B$265=B$3318,DJ3392,IF($B$265=B$3319,DK3392,IF($B$265=B$3320,DL3392,IF($B$265=B$3321,DM3392,IF($B$265=B$3322,DN3392,IF($B$265=B$3323,DO3392,IF($B$265=B$3324,DP3392,IF($B$265=B$3325,DQ3392,IF($B$265=B$3326,DR3392,IF($B$265=B$3327,DS3392,IF($B$265=B$3328,DT3392,IF($B$265=B$3329,DU3392,IF($B$265=B$3330,DV3392,IF($B$265=B$3331,DW3392,IF($B$265=B$3332,DX3392,""))))))))))))))))))))))))))))))))))))))))))))))))))))</f>
        <v/>
      </c>
      <c r="BZ3393" s="245" t="s">
        <v>885</v>
      </c>
      <c r="CA3393" s="245" t="s">
        <v>885</v>
      </c>
      <c r="CC3393" s="245" t="s">
        <v>885</v>
      </c>
      <c r="CD3393" s="459" t="s">
        <v>885</v>
      </c>
      <c r="CE3393" s="459" t="s">
        <v>885</v>
      </c>
      <c r="CF3393" s="245" t="s">
        <v>885</v>
      </c>
      <c r="CG3393" s="245" t="s">
        <v>885</v>
      </c>
      <c r="CH3393" s="245" t="s">
        <v>885</v>
      </c>
      <c r="CI3393" s="245" t="s">
        <v>885</v>
      </c>
      <c r="CJ3393" t="s">
        <v>1473</v>
      </c>
      <c r="CK3393" s="459" t="s">
        <v>885</v>
      </c>
      <c r="CL3393" s="459" t="s">
        <v>885</v>
      </c>
      <c r="CM3393" t="s">
        <v>1947</v>
      </c>
      <c r="CN3393" t="s">
        <v>1994</v>
      </c>
      <c r="CO3393" t="s">
        <v>1495</v>
      </c>
      <c r="CP3393" t="s">
        <v>2095</v>
      </c>
      <c r="CQ3393" t="s">
        <v>1974</v>
      </c>
      <c r="CR3393" s="459" t="s">
        <v>885</v>
      </c>
      <c r="CS3393" s="459" t="s">
        <v>885</v>
      </c>
      <c r="CT3393" s="245" t="s">
        <v>885</v>
      </c>
      <c r="CU3393" s="463" t="s">
        <v>885</v>
      </c>
      <c r="CV3393" s="245" t="s">
        <v>885</v>
      </c>
      <c r="CW3393" s="245" t="s">
        <v>885</v>
      </c>
      <c r="CX3393" t="s">
        <v>2444</v>
      </c>
      <c r="CY3393" s="459" t="s">
        <v>885</v>
      </c>
      <c r="CZ3393" t="s">
        <v>1857</v>
      </c>
      <c r="DA3393" s="459" t="s">
        <v>885</v>
      </c>
      <c r="DB3393" s="459" t="s">
        <v>885</v>
      </c>
      <c r="DC3393" s="459" t="s">
        <v>885</v>
      </c>
      <c r="DD3393" s="459" t="s">
        <v>885</v>
      </c>
      <c r="DE3393" s="459" t="s">
        <v>885</v>
      </c>
      <c r="DF3393" t="s">
        <v>2676</v>
      </c>
      <c r="DG3393" s="459" t="s">
        <v>885</v>
      </c>
      <c r="DH3393" s="459" t="s">
        <v>885</v>
      </c>
      <c r="DI3393" s="459" t="s">
        <v>885</v>
      </c>
      <c r="DJ3393" s="459" t="s">
        <v>885</v>
      </c>
      <c r="DK3393" s="459" t="s">
        <v>885</v>
      </c>
      <c r="DL3393" s="459" t="s">
        <v>885</v>
      </c>
      <c r="DM3393" s="459" t="s">
        <v>885</v>
      </c>
      <c r="DN3393" s="459" t="s">
        <v>885</v>
      </c>
      <c r="DO3393" t="s">
        <v>2929</v>
      </c>
      <c r="DP3393" t="s">
        <v>2993</v>
      </c>
      <c r="DQ3393" s="459" t="s">
        <v>885</v>
      </c>
      <c r="DR3393" s="459" t="s">
        <v>885</v>
      </c>
      <c r="DS3393" t="s">
        <v>2025</v>
      </c>
      <c r="DT3393" s="459" t="s">
        <v>885</v>
      </c>
      <c r="DU3393" s="459" t="s">
        <v>885</v>
      </c>
      <c r="DV3393" s="459" t="s">
        <v>885</v>
      </c>
      <c r="DW3393" s="245" t="s">
        <v>885</v>
      </c>
      <c r="DX3393" s="245" t="s">
        <v>885</v>
      </c>
      <c r="DY3393" s="245"/>
      <c r="DZ3393" s="470" t="str">
        <f t="shared" si="170"/>
        <v/>
      </c>
      <c r="EA3393" s="470" t="str">
        <f t="shared" si="171"/>
        <v/>
      </c>
    </row>
    <row r="3394" spans="1:131" ht="16" hidden="1" x14ac:dyDescent="0.4">
      <c r="A3394" s="814"/>
      <c r="B3394" s="69" t="s">
        <v>972</v>
      </c>
      <c r="BB3394" s="48"/>
      <c r="BS3394" s="464" t="str">
        <f>IF($B$265=B$3281,BZ3393,IF($B$265=B$3282,CA3393,IF($B$265=B$3283,CB3393,IF($B$265=B$3284,CC3393,IF($B$265=B$3285,CD3393,IF($B$265=B$3286,CE3393,IF($B$265=B$3287,CF3393,IF($B$265=B$3288,CG3393,IF($B$265=B$3289,CH3393,IF($B$265=B$3290,CI3393,IF($B$265=B$3291,CJ3393,IF($B$265=B$3292,CK3393,IF($B$265=B$3293,CL3393,IF($B$265=B$3294,CM3393,IF($B$265=B$3295,CN3393,IF($B$265=B$3296,#REF!,IF($B$265=B$3297,CO3393,IF($B$265=B$3298,CP3393,IF($B$265=B$3299,CQ3393,IF($B$265=B$3300,CR3393,IF($B$265=B$3301,CS3393,IF($B$265=B$3302,CT3393,IF(B$265=B$3303,CU3393,IF($B$265=B$3304,CV3393,IF($B$265=B$3305,CW3393,IF($B$265=B$3306,CX3393,IF($B$265=B$3307,CY3393,IF($B$265=B$3308,CZ3393,IF($B$265=B$3309,DA3393,IF($B$265=B$3310,DB3393,IF($B$265=B$3311,DC3393,IF($B$265=B$3312,DD3393,IF($B$265=B$3313,DE3393,IF($B$265=B$3314,DF3393,IF($B$265=B$3315,DG3393,IF($B$265=B$3316,DH3393,IF($B$265=B$3317,DI3393,IF($B$265=B$3318,DJ3393,IF($B$265=B$3319,DK3393,IF($B$265=B$3320,DL3393,IF($B$265=B$3321,DM3393,IF($B$265=B$3322,DN3393,IF($B$265=B$3323,DO3393,IF($B$265=B$3324,DP3393,IF($B$265=B$3325,DQ3393,IF($B$265=B$3326,DR3393,IF($B$265=B$3327,DS3393,IF($B$265=B$3328,DT3393,IF($B$265=B$3329,DU3393,IF($B$265=B$3330,DV3393,IF($B$265=B$3331,DW3393,IF($B$265=B$3332,DX3393,""))))))))))))))))))))))))))))))))))))))))))))))))))))</f>
        <v/>
      </c>
      <c r="BZ3394" s="245" t="s">
        <v>885</v>
      </c>
      <c r="CA3394" s="245" t="s">
        <v>885</v>
      </c>
      <c r="CC3394" s="245" t="s">
        <v>885</v>
      </c>
      <c r="CD3394" s="459" t="s">
        <v>885</v>
      </c>
      <c r="CE3394" s="459" t="s">
        <v>885</v>
      </c>
      <c r="CF3394" s="245" t="s">
        <v>885</v>
      </c>
      <c r="CG3394" s="245" t="s">
        <v>885</v>
      </c>
      <c r="CH3394" s="245" t="s">
        <v>885</v>
      </c>
      <c r="CI3394" s="245" t="s">
        <v>885</v>
      </c>
      <c r="CJ3394" t="s">
        <v>1818</v>
      </c>
      <c r="CK3394" s="459" t="s">
        <v>885</v>
      </c>
      <c r="CL3394" s="459" t="s">
        <v>885</v>
      </c>
      <c r="CM3394" t="s">
        <v>1948</v>
      </c>
      <c r="CN3394" s="459" t="s">
        <v>885</v>
      </c>
      <c r="CO3394" t="s">
        <v>1855</v>
      </c>
      <c r="CP3394" t="s">
        <v>2096</v>
      </c>
      <c r="CQ3394" t="s">
        <v>2150</v>
      </c>
      <c r="CR3394" s="459" t="s">
        <v>885</v>
      </c>
      <c r="CS3394" s="459" t="s">
        <v>885</v>
      </c>
      <c r="CT3394" s="245" t="s">
        <v>885</v>
      </c>
      <c r="CU3394" s="463" t="s">
        <v>885</v>
      </c>
      <c r="CV3394" s="245" t="s">
        <v>885</v>
      </c>
      <c r="CW3394" s="245" t="s">
        <v>885</v>
      </c>
      <c r="CX3394" t="s">
        <v>2445</v>
      </c>
      <c r="CY3394" s="459" t="s">
        <v>885</v>
      </c>
      <c r="CZ3394" t="s">
        <v>2531</v>
      </c>
      <c r="DA3394" s="459" t="s">
        <v>885</v>
      </c>
      <c r="DB3394" s="459" t="s">
        <v>885</v>
      </c>
      <c r="DC3394" s="459" t="s">
        <v>885</v>
      </c>
      <c r="DD3394" s="459" t="s">
        <v>885</v>
      </c>
      <c r="DE3394" s="459" t="s">
        <v>885</v>
      </c>
      <c r="DF3394" t="s">
        <v>1854</v>
      </c>
      <c r="DG3394" s="459" t="s">
        <v>885</v>
      </c>
      <c r="DH3394" s="459" t="s">
        <v>885</v>
      </c>
      <c r="DI3394" s="459" t="s">
        <v>885</v>
      </c>
      <c r="DJ3394" s="459" t="s">
        <v>885</v>
      </c>
      <c r="DK3394" s="459" t="s">
        <v>885</v>
      </c>
      <c r="DL3394" s="459" t="s">
        <v>885</v>
      </c>
      <c r="DM3394" s="459" t="s">
        <v>885</v>
      </c>
      <c r="DN3394" s="459" t="s">
        <v>885</v>
      </c>
      <c r="DO3394" t="s">
        <v>1581</v>
      </c>
      <c r="DP3394" t="s">
        <v>2994</v>
      </c>
      <c r="DQ3394" s="459" t="s">
        <v>885</v>
      </c>
      <c r="DR3394" s="459" t="s">
        <v>885</v>
      </c>
      <c r="DS3394" t="s">
        <v>3171</v>
      </c>
      <c r="DT3394" s="459" t="s">
        <v>885</v>
      </c>
      <c r="DU3394" s="459" t="s">
        <v>885</v>
      </c>
      <c r="DV3394" s="459" t="s">
        <v>885</v>
      </c>
      <c r="DW3394" s="245" t="s">
        <v>885</v>
      </c>
      <c r="DX3394" s="245" t="s">
        <v>885</v>
      </c>
      <c r="DY3394" s="245"/>
      <c r="DZ3394" s="470" t="str">
        <f t="shared" si="170"/>
        <v/>
      </c>
      <c r="EA3394" s="470" t="str">
        <f t="shared" si="171"/>
        <v/>
      </c>
    </row>
    <row r="3395" spans="1:131" ht="16" hidden="1" x14ac:dyDescent="0.4">
      <c r="A3395" s="814"/>
      <c r="B3395" s="69" t="str">
        <f>IF(D$3367=0,"",CONCATENATE(B3364,D$3367))</f>
        <v/>
      </c>
      <c r="BB3395" s="48"/>
      <c r="BS3395" s="464" t="str">
        <f>IF($B$265=B$3281,BZ3394,IF($B$265=B$3282,CA3394,IF($B$265=B$3283,CB3394,IF($B$265=B$3284,CC3394,IF($B$265=B$3285,CD3394,IF($B$265=B$3286,CE3394,IF($B$265=B$3287,CF3394,IF($B$265=B$3288,CG3394,IF($B$265=B$3289,CH3394,IF($B$265=B$3290,CI3394,IF($B$265=B$3291,CJ3394,IF($B$265=B$3292,CK3394,IF($B$265=B$3293,CL3394,IF($B$265=B$3294,CM3394,IF($B$265=B$3295,CN3394,IF($B$265=B$3296,#REF!,IF($B$265=B$3297,CO3394,IF($B$265=B$3298,CP3394,IF($B$265=B$3299,CQ3394,IF($B$265=B$3300,CR3394,IF($B$265=B$3301,CS3394,IF($B$265=B$3302,CT3394,IF(B$265=B$3303,CU3394,IF($B$265=B$3304,CV3394,IF($B$265=B$3305,CW3394,IF($B$265=B$3306,CX3394,IF($B$265=B$3307,CY3394,IF($B$265=B$3308,CZ3394,IF($B$265=B$3309,DA3394,IF($B$265=B$3310,DB3394,IF($B$265=B$3311,DC3394,IF($B$265=B$3312,DD3394,IF($B$265=B$3313,DE3394,IF($B$265=B$3314,DF3394,IF($B$265=B$3315,DG3394,IF($B$265=B$3316,DH3394,IF($B$265=B$3317,DI3394,IF($B$265=B$3318,DJ3394,IF($B$265=B$3319,DK3394,IF($B$265=B$3320,DL3394,IF($B$265=B$3321,DM3394,IF($B$265=B$3322,DN3394,IF($B$265=B$3323,DO3394,IF($B$265=B$3324,DP3394,IF($B$265=B$3325,DQ3394,IF($B$265=B$3326,DR3394,IF($B$265=B$3327,DS3394,IF($B$265=B$3328,DT3394,IF($B$265=B$3329,DU3394,IF($B$265=B$3330,DV3394,IF($B$265=B$3331,DW3394,IF($B$265=B$3332,DX3394,""))))))))))))))))))))))))))))))))))))))))))))))))))))</f>
        <v/>
      </c>
      <c r="BZ3395" s="245" t="s">
        <v>885</v>
      </c>
      <c r="CA3395" s="245" t="s">
        <v>885</v>
      </c>
      <c r="CC3395" s="245" t="s">
        <v>885</v>
      </c>
      <c r="CD3395" s="459" t="s">
        <v>885</v>
      </c>
      <c r="CE3395" s="459" t="s">
        <v>885</v>
      </c>
      <c r="CF3395" s="245" t="s">
        <v>885</v>
      </c>
      <c r="CG3395" s="245" t="s">
        <v>885</v>
      </c>
      <c r="CH3395" s="245" t="s">
        <v>885</v>
      </c>
      <c r="CI3395" s="245" t="s">
        <v>885</v>
      </c>
      <c r="CJ3395" t="s">
        <v>1474</v>
      </c>
      <c r="CK3395" s="459" t="s">
        <v>885</v>
      </c>
      <c r="CL3395" s="459" t="s">
        <v>885</v>
      </c>
      <c r="CM3395" t="s">
        <v>1854</v>
      </c>
      <c r="CN3395" s="459" t="s">
        <v>885</v>
      </c>
      <c r="CO3395" t="s">
        <v>1856</v>
      </c>
      <c r="CP3395" t="s">
        <v>2097</v>
      </c>
      <c r="CQ3395" t="s">
        <v>1975</v>
      </c>
      <c r="CR3395" s="459" t="s">
        <v>885</v>
      </c>
      <c r="CS3395" s="459" t="s">
        <v>885</v>
      </c>
      <c r="CT3395" s="245" t="s">
        <v>885</v>
      </c>
      <c r="CU3395" s="463" t="s">
        <v>885</v>
      </c>
      <c r="CV3395" s="245" t="s">
        <v>885</v>
      </c>
      <c r="CW3395" s="245" t="s">
        <v>885</v>
      </c>
      <c r="CX3395" t="s">
        <v>2446</v>
      </c>
      <c r="CY3395" s="459" t="s">
        <v>885</v>
      </c>
      <c r="CZ3395" s="459" t="s">
        <v>885</v>
      </c>
      <c r="DA3395" s="459" t="s">
        <v>885</v>
      </c>
      <c r="DB3395" s="459" t="s">
        <v>885</v>
      </c>
      <c r="DC3395" s="459" t="s">
        <v>885</v>
      </c>
      <c r="DD3395" s="459" t="s">
        <v>885</v>
      </c>
      <c r="DE3395" s="459" t="s">
        <v>885</v>
      </c>
      <c r="DF3395" t="s">
        <v>1495</v>
      </c>
      <c r="DG3395" s="459" t="s">
        <v>885</v>
      </c>
      <c r="DH3395" s="459" t="s">
        <v>885</v>
      </c>
      <c r="DI3395" s="459" t="s">
        <v>885</v>
      </c>
      <c r="DJ3395" s="459" t="s">
        <v>885</v>
      </c>
      <c r="DK3395" s="459" t="s">
        <v>885</v>
      </c>
      <c r="DL3395" s="459" t="s">
        <v>885</v>
      </c>
      <c r="DM3395" s="459" t="s">
        <v>885</v>
      </c>
      <c r="DN3395" s="459" t="s">
        <v>885</v>
      </c>
      <c r="DO3395" t="s">
        <v>1951</v>
      </c>
      <c r="DP3395" t="s">
        <v>2569</v>
      </c>
      <c r="DQ3395" s="459" t="s">
        <v>885</v>
      </c>
      <c r="DR3395" s="459" t="s">
        <v>885</v>
      </c>
      <c r="DS3395" t="s">
        <v>3172</v>
      </c>
      <c r="DT3395" s="459" t="s">
        <v>885</v>
      </c>
      <c r="DU3395" s="459" t="s">
        <v>885</v>
      </c>
      <c r="DV3395" s="459" t="s">
        <v>885</v>
      </c>
      <c r="DW3395" s="245" t="s">
        <v>885</v>
      </c>
      <c r="DX3395" s="245" t="s">
        <v>885</v>
      </c>
      <c r="DY3395" s="245"/>
      <c r="DZ3395" s="470" t="str">
        <f t="shared" si="170"/>
        <v/>
      </c>
      <c r="EA3395" s="470" t="str">
        <f t="shared" si="171"/>
        <v/>
      </c>
    </row>
    <row r="3396" spans="1:131" ht="16" hidden="1" x14ac:dyDescent="0.4">
      <c r="A3396" s="814"/>
      <c r="B3396" s="69" t="str">
        <f>IF(D$3367=0,"",CONCATENATE(B3365,D$3367))</f>
        <v/>
      </c>
      <c r="BB3396" s="48"/>
      <c r="BS3396" s="464" t="str">
        <f>IF($B$265=B$3281,BZ3395,IF($B$265=B$3282,CA3395,IF($B$265=B$3283,CB3395,IF($B$265=B$3284,CC3395,IF($B$265=B$3285,CD3395,IF($B$265=B$3286,CE3395,IF($B$265=B$3287,CF3395,IF($B$265=B$3288,CG3395,IF($B$265=B$3289,CH3395,IF($B$265=B$3290,CI3395,IF($B$265=B$3291,CJ3395,IF($B$265=B$3292,CK3395,IF($B$265=B$3293,CL3395,IF($B$265=B$3294,CM3395,IF($B$265=B$3295,CN3395,IF($B$265=B$3296,#REF!,IF($B$265=B$3297,CO3395,IF($B$265=B$3298,CP3395,IF($B$265=B$3299,CQ3395,IF($B$265=B$3300,CR3395,IF($B$265=B$3301,CS3395,IF($B$265=B$3302,CT3395,IF(B$265=B$3303,CU3395,IF($B$265=B$3304,CV3395,IF($B$265=B$3305,CW3395,IF($B$265=B$3306,CX3395,IF($B$265=B$3307,CY3395,IF($B$265=B$3308,CZ3395,IF($B$265=B$3309,DA3395,IF($B$265=B$3310,DB3395,IF($B$265=B$3311,DC3395,IF($B$265=B$3312,DD3395,IF($B$265=B$3313,DE3395,IF($B$265=B$3314,DF3395,IF($B$265=B$3315,DG3395,IF($B$265=B$3316,DH3395,IF($B$265=B$3317,DI3395,IF($B$265=B$3318,DJ3395,IF($B$265=B$3319,DK3395,IF($B$265=B$3320,DL3395,IF($B$265=B$3321,DM3395,IF($B$265=B$3322,DN3395,IF($B$265=B$3323,DO3395,IF($B$265=B$3324,DP3395,IF($B$265=B$3325,DQ3395,IF($B$265=B$3326,DR3395,IF($B$265=B$3327,DS3395,IF($B$265=B$3328,DT3395,IF($B$265=B$3329,DU3395,IF($B$265=B$3330,DV3395,IF($B$265=B$3331,DW3395,IF($B$265=B$3332,DX3395,""))))))))))))))))))))))))))))))))))))))))))))))))))))</f>
        <v/>
      </c>
      <c r="BZ3396" s="245" t="s">
        <v>885</v>
      </c>
      <c r="CA3396" s="245" t="s">
        <v>885</v>
      </c>
      <c r="CC3396" s="245" t="s">
        <v>885</v>
      </c>
      <c r="CD3396" s="459" t="s">
        <v>885</v>
      </c>
      <c r="CE3396" s="459" t="s">
        <v>885</v>
      </c>
      <c r="CF3396" s="245" t="s">
        <v>885</v>
      </c>
      <c r="CG3396" s="245" t="s">
        <v>885</v>
      </c>
      <c r="CH3396" s="245" t="s">
        <v>885</v>
      </c>
      <c r="CI3396" s="245" t="s">
        <v>885</v>
      </c>
      <c r="CJ3396" t="s">
        <v>1475</v>
      </c>
      <c r="CK3396" s="459" t="s">
        <v>885</v>
      </c>
      <c r="CL3396" s="459" t="s">
        <v>885</v>
      </c>
      <c r="CM3396" t="s">
        <v>1495</v>
      </c>
      <c r="CN3396" s="459" t="s">
        <v>885</v>
      </c>
      <c r="CO3396" t="s">
        <v>1952</v>
      </c>
      <c r="CP3396" t="s">
        <v>2098</v>
      </c>
      <c r="CQ3396" t="s">
        <v>2151</v>
      </c>
      <c r="CR3396" s="459" t="s">
        <v>885</v>
      </c>
      <c r="CS3396" s="459" t="s">
        <v>885</v>
      </c>
      <c r="CT3396" s="245" t="s">
        <v>885</v>
      </c>
      <c r="CU3396" s="463" t="s">
        <v>885</v>
      </c>
      <c r="CV3396" s="245" t="s">
        <v>885</v>
      </c>
      <c r="CW3396" s="245" t="s">
        <v>885</v>
      </c>
      <c r="CX3396" t="s">
        <v>2363</v>
      </c>
      <c r="CY3396" s="459" t="s">
        <v>885</v>
      </c>
      <c r="CZ3396" s="459" t="s">
        <v>885</v>
      </c>
      <c r="DA3396" s="459" t="s">
        <v>885</v>
      </c>
      <c r="DB3396" s="459" t="s">
        <v>885</v>
      </c>
      <c r="DC3396" s="459" t="s">
        <v>885</v>
      </c>
      <c r="DD3396" s="459" t="s">
        <v>885</v>
      </c>
      <c r="DE3396" s="459" t="s">
        <v>885</v>
      </c>
      <c r="DF3396" t="s">
        <v>2677</v>
      </c>
      <c r="DG3396" s="459" t="s">
        <v>885</v>
      </c>
      <c r="DH3396" s="459" t="s">
        <v>885</v>
      </c>
      <c r="DI3396" s="459" t="s">
        <v>885</v>
      </c>
      <c r="DJ3396" s="459" t="s">
        <v>885</v>
      </c>
      <c r="DK3396" s="459" t="s">
        <v>885</v>
      </c>
      <c r="DL3396" s="459" t="s">
        <v>885</v>
      </c>
      <c r="DM3396" s="459" t="s">
        <v>885</v>
      </c>
      <c r="DN3396" s="459" t="s">
        <v>885</v>
      </c>
      <c r="DO3396" t="s">
        <v>2104</v>
      </c>
      <c r="DP3396" t="s">
        <v>1463</v>
      </c>
      <c r="DQ3396" s="459" t="s">
        <v>885</v>
      </c>
      <c r="DR3396" s="459" t="s">
        <v>885</v>
      </c>
      <c r="DS3396" t="s">
        <v>3173</v>
      </c>
      <c r="DT3396" s="459" t="s">
        <v>885</v>
      </c>
      <c r="DU3396" s="459" t="s">
        <v>885</v>
      </c>
      <c r="DV3396" s="459" t="s">
        <v>885</v>
      </c>
      <c r="DW3396" s="245" t="s">
        <v>885</v>
      </c>
      <c r="DX3396" s="245" t="s">
        <v>885</v>
      </c>
      <c r="DY3396" s="245"/>
      <c r="DZ3396" s="470" t="str">
        <f t="shared" si="170"/>
        <v/>
      </c>
      <c r="EA3396" s="470" t="str">
        <f t="shared" si="171"/>
        <v/>
      </c>
    </row>
    <row r="3397" spans="1:131" ht="16" hidden="1" x14ac:dyDescent="0.4">
      <c r="A3397" s="814"/>
      <c r="B3397" s="393" t="s">
        <v>973</v>
      </c>
      <c r="BB3397" s="48"/>
      <c r="BS3397" s="464" t="str">
        <f>IF($B$265=B$3281,BZ3396,IF($B$265=B$3282,CA3396,IF($B$265=B$3283,CB3396,IF($B$265=B$3284,CC3396,IF($B$265=B$3285,CD3396,IF($B$265=B$3286,CE3396,IF($B$265=B$3287,CF3396,IF($B$265=B$3288,CG3396,IF($B$265=B$3289,CH3396,IF($B$265=B$3290,CI3396,IF($B$265=B$3291,CJ3396,IF($B$265=B$3292,CK3396,IF($B$265=B$3293,CL3396,IF($B$265=B$3294,CM3396,IF($B$265=B$3295,CN3396,IF($B$265=B$3296,#REF!,IF($B$265=B$3297,CO3396,IF($B$265=B$3298,CP3396,IF($B$265=B$3299,CQ3396,IF($B$265=B$3300,CR3396,IF($B$265=B$3301,CS3396,IF($B$265=B$3302,CT3396,IF(B$265=B$3303,CU3396,IF($B$265=B$3304,CV3396,IF($B$265=B$3305,CW3396,IF($B$265=B$3306,CX3396,IF($B$265=B$3307,CY3396,IF($B$265=B$3308,CZ3396,IF($B$265=B$3309,DA3396,IF($B$265=B$3310,DB3396,IF($B$265=B$3311,DC3396,IF($B$265=B$3312,DD3396,IF($B$265=B$3313,DE3396,IF($B$265=B$3314,DF3396,IF($B$265=B$3315,DG3396,IF($B$265=B$3316,DH3396,IF($B$265=B$3317,DI3396,IF($B$265=B$3318,DJ3396,IF($B$265=B$3319,DK3396,IF($B$265=B$3320,DL3396,IF($B$265=B$3321,DM3396,IF($B$265=B$3322,DN3396,IF($B$265=B$3323,DO3396,IF($B$265=B$3324,DP3396,IF($B$265=B$3325,DQ3396,IF($B$265=B$3326,DR3396,IF($B$265=B$3327,DS3396,IF($B$265=B$3328,DT3396,IF($B$265=B$3329,DU3396,IF($B$265=B$3330,DV3396,IF($B$265=B$3331,DW3396,IF($B$265=B$3332,DX3396,""))))))))))))))))))))))))))))))))))))))))))))))))))))</f>
        <v/>
      </c>
      <c r="BZ3397" s="245" t="s">
        <v>885</v>
      </c>
      <c r="CA3397" s="245" t="s">
        <v>885</v>
      </c>
      <c r="CC3397" s="245" t="s">
        <v>885</v>
      </c>
      <c r="CD3397" s="459" t="s">
        <v>885</v>
      </c>
      <c r="CE3397" s="459" t="s">
        <v>885</v>
      </c>
      <c r="CF3397" s="245" t="s">
        <v>885</v>
      </c>
      <c r="CG3397" s="245" t="s">
        <v>885</v>
      </c>
      <c r="CH3397" s="245" t="s">
        <v>885</v>
      </c>
      <c r="CI3397" s="245" t="s">
        <v>885</v>
      </c>
      <c r="CJ3397" t="s">
        <v>1477</v>
      </c>
      <c r="CK3397" s="459" t="s">
        <v>885</v>
      </c>
      <c r="CL3397" s="459" t="s">
        <v>885</v>
      </c>
      <c r="CM3397" t="s">
        <v>1855</v>
      </c>
      <c r="CN3397" s="459" t="s">
        <v>885</v>
      </c>
      <c r="CO3397" t="s">
        <v>2037</v>
      </c>
      <c r="CP3397" t="s">
        <v>2099</v>
      </c>
      <c r="CQ3397" t="s">
        <v>2152</v>
      </c>
      <c r="CR3397" s="459" t="s">
        <v>885</v>
      </c>
      <c r="CS3397" s="459" t="s">
        <v>885</v>
      </c>
      <c r="CT3397" s="245" t="s">
        <v>885</v>
      </c>
      <c r="CU3397" s="463" t="s">
        <v>885</v>
      </c>
      <c r="CV3397" s="245" t="s">
        <v>885</v>
      </c>
      <c r="CW3397" s="245" t="s">
        <v>885</v>
      </c>
      <c r="CX3397" t="s">
        <v>2447</v>
      </c>
      <c r="CY3397" s="459" t="s">
        <v>885</v>
      </c>
      <c r="CZ3397" s="459" t="s">
        <v>885</v>
      </c>
      <c r="DA3397" s="459" t="s">
        <v>885</v>
      </c>
      <c r="DB3397" s="459" t="s">
        <v>885</v>
      </c>
      <c r="DC3397" s="459" t="s">
        <v>885</v>
      </c>
      <c r="DD3397" s="459" t="s">
        <v>885</v>
      </c>
      <c r="DE3397" s="459" t="s">
        <v>885</v>
      </c>
      <c r="DF3397" t="s">
        <v>1855</v>
      </c>
      <c r="DG3397" s="459" t="s">
        <v>885</v>
      </c>
      <c r="DH3397" s="459" t="s">
        <v>885</v>
      </c>
      <c r="DI3397" s="459" t="s">
        <v>885</v>
      </c>
      <c r="DJ3397" s="459" t="s">
        <v>885</v>
      </c>
      <c r="DK3397" s="459" t="s">
        <v>885</v>
      </c>
      <c r="DL3397" s="459" t="s">
        <v>885</v>
      </c>
      <c r="DM3397" s="459" t="s">
        <v>885</v>
      </c>
      <c r="DN3397" s="459" t="s">
        <v>885</v>
      </c>
      <c r="DO3397" s="459" t="s">
        <v>885</v>
      </c>
      <c r="DP3397" t="s">
        <v>1804</v>
      </c>
      <c r="DQ3397" s="459" t="s">
        <v>885</v>
      </c>
      <c r="DR3397" s="459" t="s">
        <v>885</v>
      </c>
      <c r="DS3397" t="s">
        <v>3174</v>
      </c>
      <c r="DT3397" s="459" t="s">
        <v>885</v>
      </c>
      <c r="DU3397" s="459" t="s">
        <v>885</v>
      </c>
      <c r="DV3397" s="459" t="s">
        <v>885</v>
      </c>
      <c r="DW3397" s="245" t="s">
        <v>885</v>
      </c>
      <c r="DX3397" s="245" t="s">
        <v>885</v>
      </c>
      <c r="DY3397" s="245"/>
      <c r="DZ3397" s="470" t="str">
        <f t="shared" si="170"/>
        <v/>
      </c>
      <c r="EA3397" s="470" t="str">
        <f t="shared" si="171"/>
        <v/>
      </c>
    </row>
    <row r="3398" spans="1:131" ht="16" hidden="1" x14ac:dyDescent="0.4">
      <c r="A3398" s="814"/>
      <c r="B3398" s="69" t="s">
        <v>974</v>
      </c>
      <c r="BB3398" s="48"/>
      <c r="BS3398" s="464" t="str">
        <f>IF($B$265=B$3281,BZ3397,IF($B$265=B$3282,CA3397,IF($B$265=B$3283,CB3397,IF($B$265=B$3284,CC3397,IF($B$265=B$3285,CD3397,IF($B$265=B$3286,CE3397,IF($B$265=B$3287,CF3397,IF($B$265=B$3288,CG3397,IF($B$265=B$3289,CH3397,IF($B$265=B$3290,CI3397,IF($B$265=B$3291,CJ3397,IF($B$265=B$3292,CK3397,IF($B$265=B$3293,CL3397,IF($B$265=B$3294,CM3397,IF($B$265=B$3295,CN3397,IF($B$265=B$3296,#REF!,IF($B$265=B$3297,CO3397,IF($B$265=B$3298,CP3397,IF($B$265=B$3299,CQ3397,IF($B$265=B$3300,CR3397,IF($B$265=B$3301,CS3397,IF($B$265=B$3302,CT3397,IF(B$265=B$3303,CU3397,IF($B$265=B$3304,CV3397,IF($B$265=B$3305,CW3397,IF($B$265=B$3306,CX3397,IF($B$265=B$3307,CY3397,IF($B$265=B$3308,CZ3397,IF($B$265=B$3309,DA3397,IF($B$265=B$3310,DB3397,IF($B$265=B$3311,DC3397,IF($B$265=B$3312,DD3397,IF($B$265=B$3313,DE3397,IF($B$265=B$3314,DF3397,IF($B$265=B$3315,DG3397,IF($B$265=B$3316,DH3397,IF($B$265=B$3317,DI3397,IF($B$265=B$3318,DJ3397,IF($B$265=B$3319,DK3397,IF($B$265=B$3320,DL3397,IF($B$265=B$3321,DM3397,IF($B$265=B$3322,DN3397,IF($B$265=B$3323,DO3397,IF($B$265=B$3324,DP3397,IF($B$265=B$3325,DQ3397,IF($B$265=B$3326,DR3397,IF($B$265=B$3327,DS3397,IF($B$265=B$3328,DT3397,IF($B$265=B$3329,DU3397,IF($B$265=B$3330,DV3397,IF($B$265=B$3331,DW3397,IF($B$265=B$3332,DX3397,""))))))))))))))))))))))))))))))))))))))))))))))))))))</f>
        <v/>
      </c>
      <c r="BZ3398" s="245" t="s">
        <v>885</v>
      </c>
      <c r="CA3398" s="245" t="s">
        <v>885</v>
      </c>
      <c r="CC3398" s="245" t="s">
        <v>885</v>
      </c>
      <c r="CD3398" s="459" t="s">
        <v>885</v>
      </c>
      <c r="CE3398" s="459" t="s">
        <v>885</v>
      </c>
      <c r="CF3398" s="245" t="s">
        <v>885</v>
      </c>
      <c r="CG3398" s="245" t="s">
        <v>885</v>
      </c>
      <c r="CH3398" s="245" t="s">
        <v>885</v>
      </c>
      <c r="CI3398" s="245" t="s">
        <v>885</v>
      </c>
      <c r="CJ3398" t="s">
        <v>1819</v>
      </c>
      <c r="CK3398" s="459" t="s">
        <v>885</v>
      </c>
      <c r="CL3398" s="459" t="s">
        <v>885</v>
      </c>
      <c r="CM3398" t="s">
        <v>1581</v>
      </c>
      <c r="CN3398" s="459" t="s">
        <v>885</v>
      </c>
      <c r="CO3398" t="s">
        <v>2038</v>
      </c>
      <c r="CP3398" t="s">
        <v>1844</v>
      </c>
      <c r="CQ3398" t="s">
        <v>1483</v>
      </c>
      <c r="CR3398" s="459" t="s">
        <v>885</v>
      </c>
      <c r="CS3398" s="459" t="s">
        <v>885</v>
      </c>
      <c r="CT3398" s="245" t="s">
        <v>885</v>
      </c>
      <c r="CU3398" s="463" t="s">
        <v>885</v>
      </c>
      <c r="CV3398" s="245" t="s">
        <v>885</v>
      </c>
      <c r="CW3398" s="245" t="s">
        <v>885</v>
      </c>
      <c r="CX3398" t="s">
        <v>2448</v>
      </c>
      <c r="CY3398" s="459" t="s">
        <v>885</v>
      </c>
      <c r="CZ3398" s="459" t="s">
        <v>885</v>
      </c>
      <c r="DA3398" s="459" t="s">
        <v>885</v>
      </c>
      <c r="DB3398" s="459" t="s">
        <v>885</v>
      </c>
      <c r="DC3398" s="459" t="s">
        <v>885</v>
      </c>
      <c r="DD3398" s="459" t="s">
        <v>885</v>
      </c>
      <c r="DE3398" s="459" t="s">
        <v>885</v>
      </c>
      <c r="DF3398" t="s">
        <v>1859</v>
      </c>
      <c r="DG3398" s="459" t="s">
        <v>885</v>
      </c>
      <c r="DH3398" s="459" t="s">
        <v>885</v>
      </c>
      <c r="DI3398" s="459" t="s">
        <v>885</v>
      </c>
      <c r="DJ3398" s="459" t="s">
        <v>885</v>
      </c>
      <c r="DK3398" s="459" t="s">
        <v>885</v>
      </c>
      <c r="DL3398" s="459" t="s">
        <v>885</v>
      </c>
      <c r="DM3398" s="459" t="s">
        <v>885</v>
      </c>
      <c r="DN3398" s="459" t="s">
        <v>885</v>
      </c>
      <c r="DO3398" s="459" t="s">
        <v>885</v>
      </c>
      <c r="DP3398" t="s">
        <v>1722</v>
      </c>
      <c r="DQ3398" s="459" t="s">
        <v>885</v>
      </c>
      <c r="DR3398" s="459" t="s">
        <v>885</v>
      </c>
      <c r="DS3398" t="s">
        <v>3175</v>
      </c>
      <c r="DT3398" s="459" t="s">
        <v>885</v>
      </c>
      <c r="DU3398" s="459" t="s">
        <v>885</v>
      </c>
      <c r="DV3398" s="459" t="s">
        <v>885</v>
      </c>
      <c r="DW3398" s="245" t="s">
        <v>885</v>
      </c>
      <c r="DX3398" s="245" t="s">
        <v>885</v>
      </c>
      <c r="DY3398" s="245"/>
      <c r="DZ3398" s="470" t="str">
        <f t="shared" si="170"/>
        <v/>
      </c>
      <c r="EA3398" s="470" t="str">
        <f t="shared" si="171"/>
        <v/>
      </c>
    </row>
    <row r="3399" spans="1:131" ht="16" hidden="1" x14ac:dyDescent="0.4">
      <c r="A3399" s="814"/>
      <c r="B3399" s="69" t="s">
        <v>975</v>
      </c>
      <c r="D3399" s="581" t="s">
        <v>9</v>
      </c>
      <c r="BB3399" s="48"/>
      <c r="BS3399" s="464" t="str">
        <f>IF($B$265=B$3281,BZ3398,IF($B$265=B$3282,CA3398,IF($B$265=B$3283,CB3398,IF($B$265=B$3284,CC3398,IF($B$265=B$3285,CD3398,IF($B$265=B$3286,CE3398,IF($B$265=B$3287,CF3398,IF($B$265=B$3288,CG3398,IF($B$265=B$3289,CH3398,IF($B$265=B$3290,CI3398,IF($B$265=B$3291,CJ3398,IF($B$265=B$3292,CK3398,IF($B$265=B$3293,CL3398,IF($B$265=B$3294,CM3398,IF($B$265=B$3295,CN3398,IF($B$265=B$3296,#REF!,IF($B$265=B$3297,CO3398,IF($B$265=B$3298,CP3398,IF($B$265=B$3299,CQ3398,IF($B$265=B$3300,CR3398,IF($B$265=B$3301,CS3398,IF($B$265=B$3302,CT3398,IF(B$265=B$3303,CU3398,IF($B$265=B$3304,CV3398,IF($B$265=B$3305,CW3398,IF($B$265=B$3306,CX3398,IF($B$265=B$3307,CY3398,IF($B$265=B$3308,CZ3398,IF($B$265=B$3309,DA3398,IF($B$265=B$3310,DB3398,IF($B$265=B$3311,DC3398,IF($B$265=B$3312,DD3398,IF($B$265=B$3313,DE3398,IF($B$265=B$3314,DF3398,IF($B$265=B$3315,DG3398,IF($B$265=B$3316,DH3398,IF($B$265=B$3317,DI3398,IF($B$265=B$3318,DJ3398,IF($B$265=B$3319,DK3398,IF($B$265=B$3320,DL3398,IF($B$265=B$3321,DM3398,IF($B$265=B$3322,DN3398,IF($B$265=B$3323,DO3398,IF($B$265=B$3324,DP3398,IF($B$265=B$3325,DQ3398,IF($B$265=B$3326,DR3398,IF($B$265=B$3327,DS3398,IF($B$265=B$3328,DT3398,IF($B$265=B$3329,DU3398,IF($B$265=B$3330,DV3398,IF($B$265=B$3331,DW3398,IF($B$265=B$3332,DX3398,""))))))))))))))))))))))))))))))))))))))))))))))))))))</f>
        <v/>
      </c>
      <c r="BZ3399" s="245" t="s">
        <v>885</v>
      </c>
      <c r="CA3399" s="245" t="s">
        <v>885</v>
      </c>
      <c r="CC3399" s="245" t="s">
        <v>885</v>
      </c>
      <c r="CD3399" s="459" t="s">
        <v>885</v>
      </c>
      <c r="CE3399" s="459" t="s">
        <v>885</v>
      </c>
      <c r="CF3399" s="245" t="s">
        <v>885</v>
      </c>
      <c r="CG3399" s="245" t="s">
        <v>885</v>
      </c>
      <c r="CH3399" s="245" t="s">
        <v>885</v>
      </c>
      <c r="CI3399" s="245" t="s">
        <v>885</v>
      </c>
      <c r="CJ3399" t="s">
        <v>1820</v>
      </c>
      <c r="CK3399" s="459" t="s">
        <v>885</v>
      </c>
      <c r="CL3399" s="459" t="s">
        <v>885</v>
      </c>
      <c r="CM3399" t="s">
        <v>1949</v>
      </c>
      <c r="CN3399" s="459" t="s">
        <v>885</v>
      </c>
      <c r="CO3399" t="s">
        <v>1861</v>
      </c>
      <c r="CP3399" t="s">
        <v>2100</v>
      </c>
      <c r="CQ3399" t="s">
        <v>1485</v>
      </c>
      <c r="CR3399" s="459" t="s">
        <v>885</v>
      </c>
      <c r="CS3399" s="459" t="s">
        <v>885</v>
      </c>
      <c r="CT3399" s="245" t="s">
        <v>885</v>
      </c>
      <c r="CU3399" s="463" t="s">
        <v>885</v>
      </c>
      <c r="CV3399" s="245" t="s">
        <v>885</v>
      </c>
      <c r="CW3399" s="245" t="s">
        <v>885</v>
      </c>
      <c r="CX3399" t="s">
        <v>1572</v>
      </c>
      <c r="CY3399" s="459" t="s">
        <v>885</v>
      </c>
      <c r="CZ3399" s="459" t="s">
        <v>885</v>
      </c>
      <c r="DA3399" s="459" t="s">
        <v>885</v>
      </c>
      <c r="DB3399" s="459" t="s">
        <v>885</v>
      </c>
      <c r="DC3399" s="459" t="s">
        <v>885</v>
      </c>
      <c r="DD3399" s="459" t="s">
        <v>885</v>
      </c>
      <c r="DE3399" s="459" t="s">
        <v>885</v>
      </c>
      <c r="DF3399" t="s">
        <v>2104</v>
      </c>
      <c r="DG3399" s="459" t="s">
        <v>885</v>
      </c>
      <c r="DH3399" s="459" t="s">
        <v>885</v>
      </c>
      <c r="DI3399" s="459" t="s">
        <v>885</v>
      </c>
      <c r="DJ3399" s="459" t="s">
        <v>885</v>
      </c>
      <c r="DK3399" s="459" t="s">
        <v>885</v>
      </c>
      <c r="DL3399" s="459" t="s">
        <v>885</v>
      </c>
      <c r="DM3399" s="459" t="s">
        <v>885</v>
      </c>
      <c r="DN3399" s="459" t="s">
        <v>885</v>
      </c>
      <c r="DO3399" s="459" t="s">
        <v>885</v>
      </c>
      <c r="DP3399" t="s">
        <v>2995</v>
      </c>
      <c r="DQ3399" s="459" t="s">
        <v>885</v>
      </c>
      <c r="DR3399" s="459" t="s">
        <v>885</v>
      </c>
      <c r="DS3399" t="s">
        <v>3176</v>
      </c>
      <c r="DT3399" s="459" t="s">
        <v>885</v>
      </c>
      <c r="DU3399" s="459" t="s">
        <v>885</v>
      </c>
      <c r="DV3399" s="459" t="s">
        <v>885</v>
      </c>
      <c r="DW3399" s="245" t="s">
        <v>885</v>
      </c>
      <c r="DX3399" s="245" t="s">
        <v>885</v>
      </c>
      <c r="DY3399" s="245"/>
      <c r="DZ3399" s="470" t="str">
        <f t="shared" si="170"/>
        <v/>
      </c>
      <c r="EA3399" s="470" t="str">
        <f t="shared" si="171"/>
        <v/>
      </c>
    </row>
    <row r="3400" spans="1:131" ht="16" hidden="1" x14ac:dyDescent="0.4">
      <c r="A3400" s="814"/>
      <c r="B3400" s="69" t="s">
        <v>976</v>
      </c>
      <c r="D3400" s="581" t="s">
        <v>951</v>
      </c>
      <c r="BB3400" s="48"/>
      <c r="BS3400" s="464" t="str">
        <f>IF($B$265=B$3281,BZ3399,IF($B$265=B$3282,CA3399,IF($B$265=B$3283,CB3399,IF($B$265=B$3284,CC3399,IF($B$265=B$3285,CD3399,IF($B$265=B$3286,CE3399,IF($B$265=B$3287,CF3399,IF($B$265=B$3288,CG3399,IF($B$265=B$3289,CH3399,IF($B$265=B$3290,CI3399,IF($B$265=B$3291,CJ3399,IF($B$265=B$3292,CK3399,IF($B$265=B$3293,CL3399,IF($B$265=B$3294,CM3399,IF($B$265=B$3295,CN3399,IF($B$265=B$3296,#REF!,IF($B$265=B$3297,CO3399,IF($B$265=B$3298,CP3399,IF($B$265=B$3299,CQ3399,IF($B$265=B$3300,CR3399,IF($B$265=B$3301,CS3399,IF($B$265=B$3302,CT3399,IF(B$265=B$3303,CU3399,IF($B$265=B$3304,CV3399,IF($B$265=B$3305,CW3399,IF($B$265=B$3306,CX3399,IF($B$265=B$3307,CY3399,IF($B$265=B$3308,CZ3399,IF($B$265=B$3309,DA3399,IF($B$265=B$3310,DB3399,IF($B$265=B$3311,DC3399,IF($B$265=B$3312,DD3399,IF($B$265=B$3313,DE3399,IF($B$265=B$3314,DF3399,IF($B$265=B$3315,DG3399,IF($B$265=B$3316,DH3399,IF($B$265=B$3317,DI3399,IF($B$265=B$3318,DJ3399,IF($B$265=B$3319,DK3399,IF($B$265=B$3320,DL3399,IF($B$265=B$3321,DM3399,IF($B$265=B$3322,DN3399,IF($B$265=B$3323,DO3399,IF($B$265=B$3324,DP3399,IF($B$265=B$3325,DQ3399,IF($B$265=B$3326,DR3399,IF($B$265=B$3327,DS3399,IF($B$265=B$3328,DT3399,IF($B$265=B$3329,DU3399,IF($B$265=B$3330,DV3399,IF($B$265=B$3331,DW3399,IF($B$265=B$3332,DX3399,""))))))))))))))))))))))))))))))))))))))))))))))))))))</f>
        <v/>
      </c>
      <c r="BZ3400" s="245" t="s">
        <v>885</v>
      </c>
      <c r="CA3400" s="245" t="s">
        <v>885</v>
      </c>
      <c r="CC3400" s="245" t="s">
        <v>885</v>
      </c>
      <c r="CD3400" s="459" t="s">
        <v>885</v>
      </c>
      <c r="CE3400" s="459" t="s">
        <v>885</v>
      </c>
      <c r="CF3400" s="245" t="s">
        <v>885</v>
      </c>
      <c r="CG3400" s="245" t="s">
        <v>885</v>
      </c>
      <c r="CH3400" s="245" t="s">
        <v>885</v>
      </c>
      <c r="CI3400" s="245" t="s">
        <v>885</v>
      </c>
      <c r="CJ3400" t="s">
        <v>1821</v>
      </c>
      <c r="CK3400" s="459" t="s">
        <v>885</v>
      </c>
      <c r="CL3400" s="459" t="s">
        <v>885</v>
      </c>
      <c r="CM3400" t="s">
        <v>1950</v>
      </c>
      <c r="CN3400" s="459" t="s">
        <v>885</v>
      </c>
      <c r="CO3400" t="s">
        <v>2039</v>
      </c>
      <c r="CP3400" t="s">
        <v>2101</v>
      </c>
      <c r="CQ3400" t="s">
        <v>2153</v>
      </c>
      <c r="CR3400" s="459" t="s">
        <v>885</v>
      </c>
      <c r="CS3400" s="459" t="s">
        <v>885</v>
      </c>
      <c r="CT3400" s="245" t="s">
        <v>885</v>
      </c>
      <c r="CU3400" s="463" t="s">
        <v>885</v>
      </c>
      <c r="CV3400" s="245" t="s">
        <v>885</v>
      </c>
      <c r="CW3400" s="245" t="s">
        <v>885</v>
      </c>
      <c r="CX3400" t="s">
        <v>1943</v>
      </c>
      <c r="CY3400" s="459" t="s">
        <v>885</v>
      </c>
      <c r="CZ3400" s="459" t="s">
        <v>885</v>
      </c>
      <c r="DA3400" s="459" t="s">
        <v>885</v>
      </c>
      <c r="DB3400" s="459" t="s">
        <v>885</v>
      </c>
      <c r="DC3400" s="459" t="s">
        <v>885</v>
      </c>
      <c r="DD3400" s="459" t="s">
        <v>885</v>
      </c>
      <c r="DE3400" s="459" t="s">
        <v>885</v>
      </c>
      <c r="DF3400" t="s">
        <v>2678</v>
      </c>
      <c r="DG3400" s="459" t="s">
        <v>885</v>
      </c>
      <c r="DH3400" s="459" t="s">
        <v>885</v>
      </c>
      <c r="DI3400" s="459" t="s">
        <v>885</v>
      </c>
      <c r="DJ3400" s="459" t="s">
        <v>885</v>
      </c>
      <c r="DK3400" s="459" t="s">
        <v>885</v>
      </c>
      <c r="DL3400" s="459" t="s">
        <v>885</v>
      </c>
      <c r="DM3400" s="459" t="s">
        <v>885</v>
      </c>
      <c r="DN3400" s="459" t="s">
        <v>885</v>
      </c>
      <c r="DO3400" s="459" t="s">
        <v>885</v>
      </c>
      <c r="DP3400" t="s">
        <v>2915</v>
      </c>
      <c r="DQ3400" s="459" t="s">
        <v>885</v>
      </c>
      <c r="DR3400" s="459" t="s">
        <v>885</v>
      </c>
      <c r="DS3400" t="s">
        <v>3177</v>
      </c>
      <c r="DT3400" s="459" t="s">
        <v>885</v>
      </c>
      <c r="DU3400" s="459" t="s">
        <v>885</v>
      </c>
      <c r="DV3400" s="459" t="s">
        <v>885</v>
      </c>
      <c r="DW3400" s="245" t="s">
        <v>885</v>
      </c>
      <c r="DX3400" s="245" t="s">
        <v>885</v>
      </c>
      <c r="DY3400" s="245"/>
      <c r="DZ3400" s="470" t="str">
        <f t="shared" si="170"/>
        <v/>
      </c>
      <c r="EA3400" s="470" t="str">
        <f t="shared" si="171"/>
        <v/>
      </c>
    </row>
    <row r="3401" spans="1:131" ht="16" hidden="1" x14ac:dyDescent="0.4">
      <c r="A3401" s="814"/>
      <c r="B3401" s="69" t="s">
        <v>977</v>
      </c>
      <c r="D3401" s="581" t="s">
        <v>952</v>
      </c>
      <c r="BB3401" s="48"/>
      <c r="BS3401" s="464" t="str">
        <f>IF($B$265=B$3281,BZ3400,IF($B$265=B$3282,CA3400,IF($B$265=B$3283,CB3400,IF($B$265=B$3284,CC3400,IF($B$265=B$3285,CD3400,IF($B$265=B$3286,CE3400,IF($B$265=B$3287,CF3400,IF($B$265=B$3288,CG3400,IF($B$265=B$3289,CH3400,IF($B$265=B$3290,CI3400,IF($B$265=B$3291,CJ3400,IF($B$265=B$3292,CK3400,IF($B$265=B$3293,CL3400,IF($B$265=B$3294,CM3400,IF($B$265=B$3295,CN3400,IF($B$265=B$3296,#REF!,IF($B$265=B$3297,CO3400,IF($B$265=B$3298,CP3400,IF($B$265=B$3299,CQ3400,IF($B$265=B$3300,CR3400,IF($B$265=B$3301,CS3400,IF($B$265=B$3302,CT3400,IF(B$265=B$3303,CU3400,IF($B$265=B$3304,CV3400,IF($B$265=B$3305,CW3400,IF($B$265=B$3306,CX3400,IF($B$265=B$3307,CY3400,IF($B$265=B$3308,CZ3400,IF($B$265=B$3309,DA3400,IF($B$265=B$3310,DB3400,IF($B$265=B$3311,DC3400,IF($B$265=B$3312,DD3400,IF($B$265=B$3313,DE3400,IF($B$265=B$3314,DF3400,IF($B$265=B$3315,DG3400,IF($B$265=B$3316,DH3400,IF($B$265=B$3317,DI3400,IF($B$265=B$3318,DJ3400,IF($B$265=B$3319,DK3400,IF($B$265=B$3320,DL3400,IF($B$265=B$3321,DM3400,IF($B$265=B$3322,DN3400,IF($B$265=B$3323,DO3400,IF($B$265=B$3324,DP3400,IF($B$265=B$3325,DQ3400,IF($B$265=B$3326,DR3400,IF($B$265=B$3327,DS3400,IF($B$265=B$3328,DT3400,IF($B$265=B$3329,DU3400,IF($B$265=B$3330,DV3400,IF($B$265=B$3331,DW3400,IF($B$265=B$3332,DX3400,""))))))))))))))))))))))))))))))))))))))))))))))))))))</f>
        <v/>
      </c>
      <c r="BZ3401" s="245" t="s">
        <v>885</v>
      </c>
      <c r="CA3401" s="245" t="s">
        <v>885</v>
      </c>
      <c r="CC3401" s="245" t="s">
        <v>885</v>
      </c>
      <c r="CD3401" s="459" t="s">
        <v>885</v>
      </c>
      <c r="CE3401" s="459" t="s">
        <v>885</v>
      </c>
      <c r="CF3401" s="245" t="s">
        <v>885</v>
      </c>
      <c r="CG3401" s="245" t="s">
        <v>885</v>
      </c>
      <c r="CH3401" s="245" t="s">
        <v>885</v>
      </c>
      <c r="CI3401" s="245" t="s">
        <v>885</v>
      </c>
      <c r="CJ3401" t="s">
        <v>1560</v>
      </c>
      <c r="CK3401" s="459" t="s">
        <v>885</v>
      </c>
      <c r="CL3401" s="459" t="s">
        <v>885</v>
      </c>
      <c r="CM3401" t="s">
        <v>1951</v>
      </c>
      <c r="CN3401" s="459" t="s">
        <v>885</v>
      </c>
      <c r="CO3401" s="459" t="s">
        <v>885</v>
      </c>
      <c r="CP3401" t="s">
        <v>2102</v>
      </c>
      <c r="CQ3401" t="s">
        <v>1570</v>
      </c>
      <c r="CR3401" s="459" t="s">
        <v>885</v>
      </c>
      <c r="CS3401" s="459" t="s">
        <v>885</v>
      </c>
      <c r="CT3401" s="245" t="s">
        <v>885</v>
      </c>
      <c r="CU3401" s="463" t="s">
        <v>885</v>
      </c>
      <c r="CV3401" s="245" t="s">
        <v>885</v>
      </c>
      <c r="CW3401" s="245" t="s">
        <v>885</v>
      </c>
      <c r="CX3401" t="s">
        <v>2449</v>
      </c>
      <c r="CY3401" s="459" t="s">
        <v>885</v>
      </c>
      <c r="CZ3401" s="459" t="s">
        <v>885</v>
      </c>
      <c r="DA3401" s="459" t="s">
        <v>885</v>
      </c>
      <c r="DB3401" s="459" t="s">
        <v>885</v>
      </c>
      <c r="DC3401" s="459" t="s">
        <v>885</v>
      </c>
      <c r="DD3401" s="459" t="s">
        <v>885</v>
      </c>
      <c r="DE3401" s="459" t="s">
        <v>885</v>
      </c>
      <c r="DF3401" t="s">
        <v>2679</v>
      </c>
      <c r="DG3401" s="459" t="s">
        <v>885</v>
      </c>
      <c r="DH3401" s="459" t="s">
        <v>885</v>
      </c>
      <c r="DI3401" s="459" t="s">
        <v>885</v>
      </c>
      <c r="DJ3401" s="459" t="s">
        <v>885</v>
      </c>
      <c r="DK3401" s="459" t="s">
        <v>885</v>
      </c>
      <c r="DL3401" s="459" t="s">
        <v>885</v>
      </c>
      <c r="DM3401" s="459" t="s">
        <v>885</v>
      </c>
      <c r="DN3401" s="459" t="s">
        <v>885</v>
      </c>
      <c r="DO3401" s="459" t="s">
        <v>885</v>
      </c>
      <c r="DP3401" t="s">
        <v>1917</v>
      </c>
      <c r="DQ3401" s="459" t="s">
        <v>885</v>
      </c>
      <c r="DR3401" s="459" t="s">
        <v>885</v>
      </c>
      <c r="DS3401" t="s">
        <v>3178</v>
      </c>
      <c r="DT3401" s="459" t="s">
        <v>885</v>
      </c>
      <c r="DU3401" s="459" t="s">
        <v>885</v>
      </c>
      <c r="DV3401" s="459" t="s">
        <v>885</v>
      </c>
      <c r="DW3401" s="245" t="s">
        <v>885</v>
      </c>
      <c r="DX3401" s="245" t="s">
        <v>885</v>
      </c>
      <c r="DY3401" s="245"/>
      <c r="DZ3401" s="470" t="str">
        <f t="shared" si="170"/>
        <v/>
      </c>
      <c r="EA3401" s="470" t="str">
        <f t="shared" si="171"/>
        <v/>
      </c>
    </row>
    <row r="3402" spans="1:131" ht="16" hidden="1" x14ac:dyDescent="0.4">
      <c r="A3402" s="814"/>
      <c r="BB3402" s="48"/>
      <c r="BS3402" s="464" t="str">
        <f>IF($B$265=B$3281,BZ3401,IF($B$265=B$3282,CA3401,IF($B$265=B$3283,CB3401,IF($B$265=B$3284,CC3401,IF($B$265=B$3285,CD3401,IF($B$265=B$3286,CE3401,IF($B$265=B$3287,CF3401,IF($B$265=B$3288,CG3401,IF($B$265=B$3289,CH3401,IF($B$265=B$3290,CI3401,IF($B$265=B$3291,CJ3401,IF($B$265=B$3292,CK3401,IF($B$265=B$3293,CL3401,IF($B$265=B$3294,CM3401,IF($B$265=B$3295,CN3401,IF($B$265=B$3296,#REF!,IF($B$265=B$3297,CO3401,IF($B$265=B$3298,CP3401,IF($B$265=B$3299,CQ3401,IF($B$265=B$3300,CR3401,IF($B$265=B$3301,CS3401,IF($B$265=B$3302,CT3401,IF(B$265=B$3303,CU3401,IF($B$265=B$3304,CV3401,IF($B$265=B$3305,CW3401,IF($B$265=B$3306,CX3401,IF($B$265=B$3307,CY3401,IF($B$265=B$3308,CZ3401,IF($B$265=B$3309,DA3401,IF($B$265=B$3310,DB3401,IF($B$265=B$3311,DC3401,IF($B$265=B$3312,DD3401,IF($B$265=B$3313,DE3401,IF($B$265=B$3314,DF3401,IF($B$265=B$3315,DG3401,IF($B$265=B$3316,DH3401,IF($B$265=B$3317,DI3401,IF($B$265=B$3318,DJ3401,IF($B$265=B$3319,DK3401,IF($B$265=B$3320,DL3401,IF($B$265=B$3321,DM3401,IF($B$265=B$3322,DN3401,IF($B$265=B$3323,DO3401,IF($B$265=B$3324,DP3401,IF($B$265=B$3325,DQ3401,IF($B$265=B$3326,DR3401,IF($B$265=B$3327,DS3401,IF($B$265=B$3328,DT3401,IF($B$265=B$3329,DU3401,IF($B$265=B$3330,DV3401,IF($B$265=B$3331,DW3401,IF($B$265=B$3332,DX3401,""))))))))))))))))))))))))))))))))))))))))))))))))))))</f>
        <v/>
      </c>
      <c r="BZ3402" s="245" t="s">
        <v>885</v>
      </c>
      <c r="CA3402" s="245" t="s">
        <v>885</v>
      </c>
      <c r="CC3402" s="245" t="s">
        <v>885</v>
      </c>
      <c r="CD3402" s="459" t="s">
        <v>885</v>
      </c>
      <c r="CE3402" s="459" t="s">
        <v>885</v>
      </c>
      <c r="CF3402" s="245" t="s">
        <v>885</v>
      </c>
      <c r="CG3402" s="245" t="s">
        <v>885</v>
      </c>
      <c r="CH3402" s="245" t="s">
        <v>885</v>
      </c>
      <c r="CI3402" s="245" t="s">
        <v>885</v>
      </c>
      <c r="CJ3402" t="s">
        <v>1822</v>
      </c>
      <c r="CK3402" s="459" t="s">
        <v>885</v>
      </c>
      <c r="CL3402" s="459" t="s">
        <v>885</v>
      </c>
      <c r="CM3402" t="s">
        <v>1952</v>
      </c>
      <c r="CN3402" s="459" t="s">
        <v>885</v>
      </c>
      <c r="CO3402" s="459" t="s">
        <v>885</v>
      </c>
      <c r="CP3402" t="s">
        <v>1495</v>
      </c>
      <c r="CQ3402" t="s">
        <v>2154</v>
      </c>
      <c r="CR3402" s="459" t="s">
        <v>885</v>
      </c>
      <c r="CS3402" s="459" t="s">
        <v>885</v>
      </c>
      <c r="CT3402" s="245" t="s">
        <v>885</v>
      </c>
      <c r="CU3402" s="463" t="s">
        <v>885</v>
      </c>
      <c r="CV3402" s="245" t="s">
        <v>885</v>
      </c>
      <c r="CW3402" s="245" t="s">
        <v>885</v>
      </c>
      <c r="CX3402" t="s">
        <v>1573</v>
      </c>
      <c r="CY3402" s="459" t="s">
        <v>885</v>
      </c>
      <c r="CZ3402" s="459" t="s">
        <v>885</v>
      </c>
      <c r="DA3402" s="459" t="s">
        <v>885</v>
      </c>
      <c r="DB3402" s="459" t="s">
        <v>885</v>
      </c>
      <c r="DC3402" s="459" t="s">
        <v>885</v>
      </c>
      <c r="DD3402" s="459" t="s">
        <v>885</v>
      </c>
      <c r="DE3402" s="459" t="s">
        <v>885</v>
      </c>
      <c r="DF3402" s="459" t="s">
        <v>885</v>
      </c>
      <c r="DG3402" s="459" t="s">
        <v>885</v>
      </c>
      <c r="DH3402" s="459" t="s">
        <v>885</v>
      </c>
      <c r="DI3402" s="459" t="s">
        <v>885</v>
      </c>
      <c r="DJ3402" s="459" t="s">
        <v>885</v>
      </c>
      <c r="DK3402" s="459" t="s">
        <v>885</v>
      </c>
      <c r="DL3402" s="459" t="s">
        <v>885</v>
      </c>
      <c r="DM3402" s="459" t="s">
        <v>885</v>
      </c>
      <c r="DN3402" s="459" t="s">
        <v>885</v>
      </c>
      <c r="DO3402" s="459" t="s">
        <v>885</v>
      </c>
      <c r="DP3402" t="s">
        <v>1807</v>
      </c>
      <c r="DQ3402" s="459" t="s">
        <v>885</v>
      </c>
      <c r="DR3402" s="459" t="s">
        <v>885</v>
      </c>
      <c r="DS3402" t="s">
        <v>3179</v>
      </c>
      <c r="DT3402" s="459" t="s">
        <v>885</v>
      </c>
      <c r="DU3402" s="459" t="s">
        <v>885</v>
      </c>
      <c r="DV3402" s="459" t="s">
        <v>885</v>
      </c>
      <c r="DW3402" s="245" t="s">
        <v>885</v>
      </c>
      <c r="DX3402" s="245" t="s">
        <v>885</v>
      </c>
      <c r="DY3402" s="245"/>
      <c r="DZ3402" s="470" t="str">
        <f t="shared" si="170"/>
        <v/>
      </c>
      <c r="EA3402" s="470" t="str">
        <f t="shared" si="171"/>
        <v/>
      </c>
    </row>
    <row r="3403" spans="1:131" ht="16" hidden="1" x14ac:dyDescent="0.4">
      <c r="A3403" s="814"/>
      <c r="BB3403" s="48"/>
      <c r="BS3403" s="464" t="str">
        <f t="shared" ref="BS3403:BS3444" si="172">IF($B$265=B$3281,BZ3402,IF($B$265=B$3282,CA3402,IF($B$265=B$3283,CB3402,IF($B$265=B$3284,CC3402,IF($B$265=B$3285,CD3402,IF($B$265=B$3286,CE3402,IF($B$265=B$3287,CF3402,IF($B$265=B$3288,CG3402,IF($B$265=B$3289,CH3402,IF($B$265=B$3290,CI3402,IF($B$265=B$3291,CJ3402,IF($B$265=B$3292,CK3402,IF($B$265=B$3293,CL3402,IF($B$265=B$3294,CM3402,IF($B$265=B$3295,CN3402,IF($B$265=B$3296,C3402,IF($B$265=B$3297,CO3402,IF($B$265=B$3298,CP3402,IF($B$265=B$3299,CQ3402,IF($B$265=B$3300,CR3402,IF($B$265=B$3301,CS3402,IF($B$265=B$3302,CT3402,IF(B$265=B$3303,CU3402,IF($B$265=B$3304,CV3402,IF($B$265=B$3305,CW3402,IF($B$265=B$3306,CX3402,IF($B$265=B$3307,CY3402,IF($B$265=B$3308,CZ3402,IF($B$265=B$3309,DA3402,IF($B$265=B$3310,DB3402,IF($B$265=B$3311,DC3402,IF($B$265=B$3312,DD3402,IF($B$265=B$3313,DE3402,IF($B$265=B$3314,DF3402,IF($B$265=B$3315,DG3402,IF($B$265=B$3316,DH3402,IF($B$265=B$3317,DI3402,IF($B$265=B$3318,DJ3402,IF($B$265=B$3319,DK3402,IF($B$265=B$3320,DL3402,IF($B$265=B$3321,DM3402,IF($B$265=B$3322,DN3402,IF($B$265=B$3323,DO3402,IF($B$265=B$3324,DP3402,IF($B$265=B$3325,DQ3402,IF($B$265=B$3326,DR3402,IF($B$265=B$3327,DS3402,IF($B$265=B$3328,DT3402,IF($B$265=B$3329,DU3402,IF($B$265=B$3330,DV3402,IF($B$265=B$3331,DW3402,IF($B$265=B$3332,DX3402,""))))))))))))))))))))))))))))))))))))))))))))))))))))</f>
        <v/>
      </c>
      <c r="BZ3403" s="245" t="s">
        <v>885</v>
      </c>
      <c r="CA3403" s="245" t="s">
        <v>885</v>
      </c>
      <c r="CC3403" s="245" t="s">
        <v>885</v>
      </c>
      <c r="CD3403" s="459" t="s">
        <v>885</v>
      </c>
      <c r="CE3403" s="459" t="s">
        <v>885</v>
      </c>
      <c r="CF3403" s="245" t="s">
        <v>885</v>
      </c>
      <c r="CG3403" s="245" t="s">
        <v>885</v>
      </c>
      <c r="CH3403" s="245" t="s">
        <v>885</v>
      </c>
      <c r="CI3403" s="245" t="s">
        <v>885</v>
      </c>
      <c r="CJ3403" t="s">
        <v>1480</v>
      </c>
      <c r="CK3403" s="459" t="s">
        <v>885</v>
      </c>
      <c r="CL3403" s="459" t="s">
        <v>885</v>
      </c>
      <c r="CM3403" t="s">
        <v>1953</v>
      </c>
      <c r="CN3403" s="459" t="s">
        <v>885</v>
      </c>
      <c r="CO3403" s="459" t="s">
        <v>885</v>
      </c>
      <c r="CP3403" t="s">
        <v>2103</v>
      </c>
      <c r="CQ3403" t="s">
        <v>2155</v>
      </c>
      <c r="CR3403" s="459" t="s">
        <v>885</v>
      </c>
      <c r="CS3403" s="459" t="s">
        <v>885</v>
      </c>
      <c r="CT3403" s="245" t="s">
        <v>885</v>
      </c>
      <c r="CU3403" s="463" t="s">
        <v>885</v>
      </c>
      <c r="CV3403" s="245" t="s">
        <v>885</v>
      </c>
      <c r="CW3403" s="245" t="s">
        <v>885</v>
      </c>
      <c r="CX3403" t="s">
        <v>2450</v>
      </c>
      <c r="CY3403" s="459" t="s">
        <v>885</v>
      </c>
      <c r="CZ3403" s="459" t="s">
        <v>885</v>
      </c>
      <c r="DA3403" s="459" t="s">
        <v>885</v>
      </c>
      <c r="DB3403" s="459" t="s">
        <v>885</v>
      </c>
      <c r="DC3403" s="459" t="s">
        <v>885</v>
      </c>
      <c r="DD3403" s="459" t="s">
        <v>885</v>
      </c>
      <c r="DE3403" s="459" t="s">
        <v>885</v>
      </c>
      <c r="DF3403" s="459" t="s">
        <v>885</v>
      </c>
      <c r="DG3403" s="459" t="s">
        <v>885</v>
      </c>
      <c r="DH3403" s="459" t="s">
        <v>885</v>
      </c>
      <c r="DI3403" s="459" t="s">
        <v>885</v>
      </c>
      <c r="DJ3403" s="459" t="s">
        <v>885</v>
      </c>
      <c r="DK3403" s="459" t="s">
        <v>885</v>
      </c>
      <c r="DL3403" s="459" t="s">
        <v>885</v>
      </c>
      <c r="DM3403" s="459" t="s">
        <v>885</v>
      </c>
      <c r="DN3403" s="459" t="s">
        <v>885</v>
      </c>
      <c r="DO3403" s="459" t="s">
        <v>885</v>
      </c>
      <c r="DP3403" t="s">
        <v>1964</v>
      </c>
      <c r="DQ3403" s="459" t="s">
        <v>885</v>
      </c>
      <c r="DR3403" s="459" t="s">
        <v>885</v>
      </c>
      <c r="DS3403" t="s">
        <v>1570</v>
      </c>
      <c r="DT3403" s="459" t="s">
        <v>885</v>
      </c>
      <c r="DU3403" s="459" t="s">
        <v>885</v>
      </c>
      <c r="DV3403" s="459" t="s">
        <v>885</v>
      </c>
      <c r="DW3403" s="245" t="s">
        <v>885</v>
      </c>
      <c r="DX3403" s="245" t="s">
        <v>885</v>
      </c>
      <c r="DY3403" s="245"/>
      <c r="DZ3403" s="470" t="str">
        <f t="shared" si="170"/>
        <v/>
      </c>
      <c r="EA3403" s="470" t="str">
        <f t="shared" si="171"/>
        <v/>
      </c>
    </row>
    <row r="3404" spans="1:131" ht="16" hidden="1" x14ac:dyDescent="0.4">
      <c r="A3404" s="814"/>
      <c r="BB3404" s="48"/>
      <c r="BS3404" s="464" t="str">
        <f t="shared" si="172"/>
        <v/>
      </c>
      <c r="BZ3404" s="245" t="s">
        <v>885</v>
      </c>
      <c r="CA3404" s="245" t="s">
        <v>885</v>
      </c>
      <c r="CC3404" s="245" t="s">
        <v>885</v>
      </c>
      <c r="CD3404" s="459" t="s">
        <v>885</v>
      </c>
      <c r="CE3404" s="459" t="s">
        <v>885</v>
      </c>
      <c r="CF3404" s="245" t="s">
        <v>885</v>
      </c>
      <c r="CG3404" s="245" t="s">
        <v>885</v>
      </c>
      <c r="CH3404" s="245" t="s">
        <v>885</v>
      </c>
      <c r="CI3404" s="245" t="s">
        <v>885</v>
      </c>
      <c r="CJ3404" t="s">
        <v>1481</v>
      </c>
      <c r="CK3404" s="459" t="s">
        <v>885</v>
      </c>
      <c r="CL3404" s="459" t="s">
        <v>885</v>
      </c>
      <c r="CM3404" s="459" t="s">
        <v>885</v>
      </c>
      <c r="CN3404" s="459" t="s">
        <v>885</v>
      </c>
      <c r="CO3404" s="459" t="s">
        <v>885</v>
      </c>
      <c r="CP3404" t="s">
        <v>2104</v>
      </c>
      <c r="CQ3404" t="s">
        <v>2156</v>
      </c>
      <c r="CR3404" s="459" t="s">
        <v>885</v>
      </c>
      <c r="CS3404" s="459" t="s">
        <v>885</v>
      </c>
      <c r="CT3404" s="245" t="s">
        <v>885</v>
      </c>
      <c r="CU3404" s="463" t="s">
        <v>885</v>
      </c>
      <c r="CV3404" s="245" t="s">
        <v>885</v>
      </c>
      <c r="CW3404" s="245" t="s">
        <v>885</v>
      </c>
      <c r="CX3404" t="s">
        <v>1489</v>
      </c>
      <c r="CY3404" s="459" t="s">
        <v>885</v>
      </c>
      <c r="CZ3404" s="459" t="s">
        <v>885</v>
      </c>
      <c r="DA3404" s="459" t="s">
        <v>885</v>
      </c>
      <c r="DB3404" s="459" t="s">
        <v>885</v>
      </c>
      <c r="DC3404" s="459" t="s">
        <v>885</v>
      </c>
      <c r="DD3404" s="459" t="s">
        <v>885</v>
      </c>
      <c r="DE3404" s="459" t="s">
        <v>885</v>
      </c>
      <c r="DF3404" s="459" t="s">
        <v>885</v>
      </c>
      <c r="DG3404" s="459" t="s">
        <v>885</v>
      </c>
      <c r="DH3404" s="459" t="s">
        <v>885</v>
      </c>
      <c r="DI3404" s="459" t="s">
        <v>885</v>
      </c>
      <c r="DJ3404" s="459" t="s">
        <v>885</v>
      </c>
      <c r="DK3404" s="459" t="s">
        <v>885</v>
      </c>
      <c r="DL3404" s="459" t="s">
        <v>885</v>
      </c>
      <c r="DM3404" s="459" t="s">
        <v>885</v>
      </c>
      <c r="DN3404" s="459" t="s">
        <v>885</v>
      </c>
      <c r="DO3404" s="459" t="s">
        <v>885</v>
      </c>
      <c r="DP3404" t="s">
        <v>2996</v>
      </c>
      <c r="DQ3404" s="459" t="s">
        <v>885</v>
      </c>
      <c r="DR3404" s="459" t="s">
        <v>885</v>
      </c>
      <c r="DS3404" t="s">
        <v>3180</v>
      </c>
      <c r="DT3404" s="459" t="s">
        <v>885</v>
      </c>
      <c r="DU3404" s="459" t="s">
        <v>885</v>
      </c>
      <c r="DV3404" s="459" t="s">
        <v>885</v>
      </c>
      <c r="DW3404" s="245" t="s">
        <v>885</v>
      </c>
      <c r="DX3404" s="245" t="s">
        <v>885</v>
      </c>
      <c r="DY3404" s="245"/>
      <c r="DZ3404" s="470" t="str">
        <f t="shared" si="170"/>
        <v/>
      </c>
      <c r="EA3404" s="470" t="str">
        <f t="shared" si="171"/>
        <v/>
      </c>
    </row>
    <row r="3405" spans="1:131" ht="18" hidden="1" x14ac:dyDescent="0.4">
      <c r="A3405" s="567"/>
      <c r="B3405" s="567"/>
      <c r="C3405" s="567"/>
      <c r="D3405" s="567"/>
      <c r="E3405" s="567"/>
      <c r="BB3405" s="48"/>
      <c r="BS3405" s="464" t="str">
        <f t="shared" si="172"/>
        <v/>
      </c>
      <c r="BZ3405" s="245" t="s">
        <v>885</v>
      </c>
      <c r="CA3405" s="245" t="s">
        <v>885</v>
      </c>
      <c r="CC3405" s="245" t="s">
        <v>885</v>
      </c>
      <c r="CD3405" s="459" t="s">
        <v>885</v>
      </c>
      <c r="CE3405" s="459" t="s">
        <v>885</v>
      </c>
      <c r="CF3405" s="245" t="s">
        <v>885</v>
      </c>
      <c r="CG3405" s="245" t="s">
        <v>885</v>
      </c>
      <c r="CH3405" s="245" t="s">
        <v>885</v>
      </c>
      <c r="CI3405" s="245" t="s">
        <v>885</v>
      </c>
      <c r="CJ3405" t="s">
        <v>1482</v>
      </c>
      <c r="CK3405" s="459" t="s">
        <v>885</v>
      </c>
      <c r="CL3405" s="459" t="s">
        <v>885</v>
      </c>
      <c r="CM3405" s="459" t="s">
        <v>885</v>
      </c>
      <c r="CN3405" s="459" t="s">
        <v>885</v>
      </c>
      <c r="CO3405" s="459" t="s">
        <v>885</v>
      </c>
      <c r="CP3405" t="s">
        <v>2105</v>
      </c>
      <c r="CQ3405" t="s">
        <v>1487</v>
      </c>
      <c r="CR3405" s="459" t="s">
        <v>885</v>
      </c>
      <c r="CS3405" s="459" t="s">
        <v>885</v>
      </c>
      <c r="CT3405" s="245" t="s">
        <v>885</v>
      </c>
      <c r="CU3405" s="463" t="s">
        <v>885</v>
      </c>
      <c r="CV3405" s="245" t="s">
        <v>885</v>
      </c>
      <c r="CW3405" s="245" t="s">
        <v>885</v>
      </c>
      <c r="CX3405" t="s">
        <v>2451</v>
      </c>
      <c r="CY3405" s="459" t="s">
        <v>885</v>
      </c>
      <c r="CZ3405" s="459" t="s">
        <v>885</v>
      </c>
      <c r="DA3405" s="459" t="s">
        <v>885</v>
      </c>
      <c r="DB3405" s="459" t="s">
        <v>885</v>
      </c>
      <c r="DC3405" s="459" t="s">
        <v>885</v>
      </c>
      <c r="DD3405" s="459" t="s">
        <v>885</v>
      </c>
      <c r="DE3405" s="459" t="s">
        <v>885</v>
      </c>
      <c r="DF3405" s="459" t="s">
        <v>885</v>
      </c>
      <c r="DG3405" s="459" t="s">
        <v>885</v>
      </c>
      <c r="DH3405" s="459" t="s">
        <v>885</v>
      </c>
      <c r="DI3405" s="459" t="s">
        <v>885</v>
      </c>
      <c r="DJ3405" s="459" t="s">
        <v>885</v>
      </c>
      <c r="DK3405" s="459" t="s">
        <v>885</v>
      </c>
      <c r="DL3405" s="459" t="s">
        <v>885</v>
      </c>
      <c r="DM3405" s="459" t="s">
        <v>885</v>
      </c>
      <c r="DN3405" s="459" t="s">
        <v>885</v>
      </c>
      <c r="DO3405" s="459" t="s">
        <v>885</v>
      </c>
      <c r="DP3405" t="s">
        <v>2063</v>
      </c>
      <c r="DQ3405" s="459" t="s">
        <v>885</v>
      </c>
      <c r="DR3405" s="459" t="s">
        <v>885</v>
      </c>
      <c r="DS3405" t="s">
        <v>3181</v>
      </c>
      <c r="DT3405" s="459" t="s">
        <v>885</v>
      </c>
      <c r="DU3405" s="459" t="s">
        <v>885</v>
      </c>
      <c r="DV3405" s="459" t="s">
        <v>885</v>
      </c>
      <c r="DW3405" s="245" t="s">
        <v>885</v>
      </c>
      <c r="DX3405" s="245" t="s">
        <v>885</v>
      </c>
      <c r="DY3405" s="245"/>
      <c r="DZ3405" s="470" t="str">
        <f t="shared" si="170"/>
        <v/>
      </c>
      <c r="EA3405" s="470" t="str">
        <f t="shared" si="171"/>
        <v/>
      </c>
    </row>
    <row r="3406" spans="1:131" ht="16" hidden="1" x14ac:dyDescent="0.4">
      <c r="A3406" s="813"/>
      <c r="BB3406" s="48"/>
      <c r="BS3406" s="464" t="str">
        <f t="shared" si="172"/>
        <v/>
      </c>
      <c r="BZ3406" s="245" t="s">
        <v>885</v>
      </c>
      <c r="CA3406" s="245" t="s">
        <v>885</v>
      </c>
      <c r="CC3406" s="245" t="s">
        <v>885</v>
      </c>
      <c r="CD3406" s="459" t="s">
        <v>885</v>
      </c>
      <c r="CE3406" s="459" t="s">
        <v>885</v>
      </c>
      <c r="CF3406" s="245" t="s">
        <v>885</v>
      </c>
      <c r="CG3406" s="245" t="s">
        <v>885</v>
      </c>
      <c r="CH3406" s="245" t="s">
        <v>885</v>
      </c>
      <c r="CI3406" s="245" t="s">
        <v>885</v>
      </c>
      <c r="CJ3406" t="s">
        <v>1823</v>
      </c>
      <c r="CK3406" s="459" t="s">
        <v>885</v>
      </c>
      <c r="CL3406" s="459" t="s">
        <v>885</v>
      </c>
      <c r="CM3406" s="459" t="s">
        <v>885</v>
      </c>
      <c r="CN3406" s="459" t="s">
        <v>885</v>
      </c>
      <c r="CO3406" s="459" t="s">
        <v>885</v>
      </c>
      <c r="CP3406" t="s">
        <v>2106</v>
      </c>
      <c r="CQ3406" t="s">
        <v>1573</v>
      </c>
      <c r="CR3406" s="459" t="s">
        <v>885</v>
      </c>
      <c r="CS3406" s="459" t="s">
        <v>885</v>
      </c>
      <c r="CT3406" s="245" t="s">
        <v>885</v>
      </c>
      <c r="CU3406" s="463" t="s">
        <v>885</v>
      </c>
      <c r="CV3406" s="245" t="s">
        <v>885</v>
      </c>
      <c r="CW3406" s="245" t="s">
        <v>885</v>
      </c>
      <c r="CX3406" t="s">
        <v>1578</v>
      </c>
      <c r="CY3406" s="459" t="s">
        <v>885</v>
      </c>
      <c r="CZ3406" s="459" t="s">
        <v>885</v>
      </c>
      <c r="DA3406" s="459" t="s">
        <v>885</v>
      </c>
      <c r="DB3406" s="459" t="s">
        <v>885</v>
      </c>
      <c r="DC3406" s="459" t="s">
        <v>885</v>
      </c>
      <c r="DD3406" s="459" t="s">
        <v>885</v>
      </c>
      <c r="DE3406" s="459" t="s">
        <v>885</v>
      </c>
      <c r="DF3406" s="459" t="s">
        <v>885</v>
      </c>
      <c r="DG3406" s="459" t="s">
        <v>885</v>
      </c>
      <c r="DH3406" s="459" t="s">
        <v>885</v>
      </c>
      <c r="DI3406" s="459" t="s">
        <v>885</v>
      </c>
      <c r="DJ3406" s="459" t="s">
        <v>885</v>
      </c>
      <c r="DK3406" s="459" t="s">
        <v>885</v>
      </c>
      <c r="DL3406" s="459" t="s">
        <v>885</v>
      </c>
      <c r="DM3406" s="459" t="s">
        <v>885</v>
      </c>
      <c r="DN3406" s="459" t="s">
        <v>885</v>
      </c>
      <c r="DO3406" s="459" t="s">
        <v>885</v>
      </c>
      <c r="DP3406" t="s">
        <v>2997</v>
      </c>
      <c r="DQ3406" s="459" t="s">
        <v>885</v>
      </c>
      <c r="DR3406" s="459" t="s">
        <v>885</v>
      </c>
      <c r="DS3406" t="s">
        <v>3182</v>
      </c>
      <c r="DT3406" s="459" t="s">
        <v>885</v>
      </c>
      <c r="DU3406" s="459" t="s">
        <v>885</v>
      </c>
      <c r="DV3406" s="459" t="s">
        <v>885</v>
      </c>
      <c r="DW3406" s="245" t="s">
        <v>885</v>
      </c>
      <c r="DX3406" s="245" t="s">
        <v>885</v>
      </c>
      <c r="DY3406" s="245"/>
      <c r="DZ3406" s="470" t="str">
        <f t="shared" si="170"/>
        <v/>
      </c>
      <c r="EA3406" s="470" t="str">
        <f t="shared" si="171"/>
        <v/>
      </c>
    </row>
    <row r="3407" spans="1:131" ht="16" hidden="1" x14ac:dyDescent="0.4">
      <c r="A3407" s="813"/>
      <c r="BB3407" s="48"/>
      <c r="BS3407" s="464" t="str">
        <f t="shared" si="172"/>
        <v/>
      </c>
      <c r="BZ3407" s="245" t="s">
        <v>885</v>
      </c>
      <c r="CA3407" s="245" t="s">
        <v>885</v>
      </c>
      <c r="CC3407" s="245" t="s">
        <v>885</v>
      </c>
      <c r="CD3407" s="459" t="s">
        <v>885</v>
      </c>
      <c r="CE3407" s="459" t="s">
        <v>885</v>
      </c>
      <c r="CF3407" s="245" t="s">
        <v>885</v>
      </c>
      <c r="CG3407" s="245" t="s">
        <v>885</v>
      </c>
      <c r="CH3407" s="245" t="s">
        <v>885</v>
      </c>
      <c r="CI3407" s="245" t="s">
        <v>885</v>
      </c>
      <c r="CJ3407" t="s">
        <v>1824</v>
      </c>
      <c r="CK3407" s="459" t="s">
        <v>885</v>
      </c>
      <c r="CL3407" s="459" t="s">
        <v>885</v>
      </c>
      <c r="CM3407" s="459" t="s">
        <v>885</v>
      </c>
      <c r="CN3407" s="459" t="s">
        <v>885</v>
      </c>
      <c r="CO3407" s="459" t="s">
        <v>885</v>
      </c>
      <c r="CP3407" s="459" t="s">
        <v>885</v>
      </c>
      <c r="CQ3407" t="s">
        <v>1489</v>
      </c>
      <c r="CR3407" s="459" t="s">
        <v>885</v>
      </c>
      <c r="CS3407" s="459" t="s">
        <v>885</v>
      </c>
      <c r="CT3407" s="245" t="s">
        <v>885</v>
      </c>
      <c r="CU3407" s="463" t="s">
        <v>885</v>
      </c>
      <c r="CV3407" s="245" t="s">
        <v>885</v>
      </c>
      <c r="CW3407" s="245" t="s">
        <v>885</v>
      </c>
      <c r="CX3407" t="s">
        <v>1985</v>
      </c>
      <c r="CY3407" s="459" t="s">
        <v>885</v>
      </c>
      <c r="CZ3407" s="459" t="s">
        <v>885</v>
      </c>
      <c r="DA3407" s="459" t="s">
        <v>885</v>
      </c>
      <c r="DB3407" s="459" t="s">
        <v>885</v>
      </c>
      <c r="DC3407" s="459" t="s">
        <v>885</v>
      </c>
      <c r="DD3407" s="459" t="s">
        <v>885</v>
      </c>
      <c r="DE3407" s="459" t="s">
        <v>885</v>
      </c>
      <c r="DF3407" s="459" t="s">
        <v>885</v>
      </c>
      <c r="DG3407" s="459" t="s">
        <v>885</v>
      </c>
      <c r="DH3407" s="459" t="s">
        <v>885</v>
      </c>
      <c r="DI3407" s="459" t="s">
        <v>885</v>
      </c>
      <c r="DJ3407" s="459" t="s">
        <v>885</v>
      </c>
      <c r="DK3407" s="459" t="s">
        <v>885</v>
      </c>
      <c r="DL3407" s="459" t="s">
        <v>885</v>
      </c>
      <c r="DM3407" s="459" t="s">
        <v>885</v>
      </c>
      <c r="DN3407" s="459" t="s">
        <v>885</v>
      </c>
      <c r="DO3407" s="459" t="s">
        <v>885</v>
      </c>
      <c r="DP3407" t="s">
        <v>2998</v>
      </c>
      <c r="DQ3407" s="459" t="s">
        <v>885</v>
      </c>
      <c r="DR3407" s="459" t="s">
        <v>885</v>
      </c>
      <c r="DS3407" t="s">
        <v>1832</v>
      </c>
      <c r="DT3407" s="459" t="s">
        <v>885</v>
      </c>
      <c r="DU3407" s="459" t="s">
        <v>885</v>
      </c>
      <c r="DV3407" s="459" t="s">
        <v>885</v>
      </c>
      <c r="DW3407" s="245" t="s">
        <v>885</v>
      </c>
      <c r="DX3407" s="245" t="s">
        <v>885</v>
      </c>
      <c r="DY3407" s="245"/>
      <c r="DZ3407" s="470" t="str">
        <f t="shared" si="170"/>
        <v/>
      </c>
      <c r="EA3407" s="470" t="str">
        <f t="shared" si="171"/>
        <v/>
      </c>
    </row>
    <row r="3408" spans="1:131" ht="16" hidden="1" x14ac:dyDescent="0.4">
      <c r="A3408" s="813"/>
      <c r="BB3408" s="48"/>
      <c r="BS3408" s="464" t="str">
        <f t="shared" si="172"/>
        <v/>
      </c>
      <c r="BZ3408" s="245" t="s">
        <v>885</v>
      </c>
      <c r="CA3408" s="245" t="s">
        <v>885</v>
      </c>
      <c r="CC3408" s="245" t="s">
        <v>885</v>
      </c>
      <c r="CD3408" s="459" t="s">
        <v>885</v>
      </c>
      <c r="CE3408" s="459" t="s">
        <v>885</v>
      </c>
      <c r="CF3408" s="245" t="s">
        <v>885</v>
      </c>
      <c r="CG3408" s="245" t="s">
        <v>885</v>
      </c>
      <c r="CH3408" s="245" t="s">
        <v>885</v>
      </c>
      <c r="CI3408" s="245" t="s">
        <v>885</v>
      </c>
      <c r="CJ3408" t="s">
        <v>1563</v>
      </c>
      <c r="CK3408" s="459" t="s">
        <v>885</v>
      </c>
      <c r="CL3408" s="459" t="s">
        <v>885</v>
      </c>
      <c r="CM3408" s="459" t="s">
        <v>885</v>
      </c>
      <c r="CN3408" s="459" t="s">
        <v>885</v>
      </c>
      <c r="CO3408" s="459" t="s">
        <v>885</v>
      </c>
      <c r="CP3408" s="459" t="s">
        <v>885</v>
      </c>
      <c r="CQ3408" t="s">
        <v>2157</v>
      </c>
      <c r="CR3408" s="459" t="s">
        <v>885</v>
      </c>
      <c r="CS3408" s="459" t="s">
        <v>885</v>
      </c>
      <c r="CT3408" s="245" t="s">
        <v>885</v>
      </c>
      <c r="CU3408" s="463" t="s">
        <v>885</v>
      </c>
      <c r="CV3408" s="245" t="s">
        <v>885</v>
      </c>
      <c r="CW3408" s="245" t="s">
        <v>885</v>
      </c>
      <c r="CX3408" t="s">
        <v>2452</v>
      </c>
      <c r="CY3408" s="459" t="s">
        <v>885</v>
      </c>
      <c r="CZ3408" s="459" t="s">
        <v>885</v>
      </c>
      <c r="DA3408" s="459" t="s">
        <v>885</v>
      </c>
      <c r="DB3408" s="459" t="s">
        <v>885</v>
      </c>
      <c r="DC3408" s="459" t="s">
        <v>885</v>
      </c>
      <c r="DD3408" s="459" t="s">
        <v>885</v>
      </c>
      <c r="DE3408" s="459" t="s">
        <v>885</v>
      </c>
      <c r="DF3408" s="459" t="s">
        <v>885</v>
      </c>
      <c r="DG3408" s="459" t="s">
        <v>885</v>
      </c>
      <c r="DH3408" s="459" t="s">
        <v>885</v>
      </c>
      <c r="DI3408" s="459" t="s">
        <v>885</v>
      </c>
      <c r="DJ3408" s="459" t="s">
        <v>885</v>
      </c>
      <c r="DK3408" s="459" t="s">
        <v>885</v>
      </c>
      <c r="DL3408" s="459" t="s">
        <v>885</v>
      </c>
      <c r="DM3408" s="459" t="s">
        <v>885</v>
      </c>
      <c r="DN3408" s="459" t="s">
        <v>885</v>
      </c>
      <c r="DO3408" s="459" t="s">
        <v>885</v>
      </c>
      <c r="DP3408" t="s">
        <v>1918</v>
      </c>
      <c r="DQ3408" s="459" t="s">
        <v>885</v>
      </c>
      <c r="DR3408" s="459" t="s">
        <v>885</v>
      </c>
      <c r="DS3408" t="s">
        <v>3183</v>
      </c>
      <c r="DT3408" s="459" t="s">
        <v>885</v>
      </c>
      <c r="DU3408" s="459" t="s">
        <v>885</v>
      </c>
      <c r="DV3408" s="459" t="s">
        <v>885</v>
      </c>
      <c r="DW3408" s="245" t="s">
        <v>885</v>
      </c>
      <c r="DX3408" s="245" t="s">
        <v>885</v>
      </c>
      <c r="DY3408" s="245"/>
      <c r="DZ3408" s="470" t="str">
        <f t="shared" si="170"/>
        <v/>
      </c>
      <c r="EA3408" s="470" t="str">
        <f t="shared" si="171"/>
        <v/>
      </c>
    </row>
    <row r="3409" spans="1:131" ht="16" hidden="1" x14ac:dyDescent="0.4">
      <c r="A3409" s="813"/>
      <c r="BB3409" s="48"/>
      <c r="BS3409" s="464" t="str">
        <f t="shared" si="172"/>
        <v/>
      </c>
      <c r="BZ3409" s="245" t="s">
        <v>885</v>
      </c>
      <c r="CA3409" s="245" t="s">
        <v>885</v>
      </c>
      <c r="CC3409" s="245" t="s">
        <v>885</v>
      </c>
      <c r="CD3409" s="459" t="s">
        <v>885</v>
      </c>
      <c r="CE3409" s="459" t="s">
        <v>885</v>
      </c>
      <c r="CF3409" s="245" t="s">
        <v>885</v>
      </c>
      <c r="CG3409" s="245" t="s">
        <v>885</v>
      </c>
      <c r="CH3409" s="245" t="s">
        <v>885</v>
      </c>
      <c r="CI3409" s="245" t="s">
        <v>885</v>
      </c>
      <c r="CJ3409" t="s">
        <v>1825</v>
      </c>
      <c r="CK3409" s="459" t="s">
        <v>885</v>
      </c>
      <c r="CL3409" s="459" t="s">
        <v>885</v>
      </c>
      <c r="CM3409" s="459" t="s">
        <v>885</v>
      </c>
      <c r="CN3409" s="459" t="s">
        <v>885</v>
      </c>
      <c r="CO3409" s="459" t="s">
        <v>885</v>
      </c>
      <c r="CP3409" s="459" t="s">
        <v>885</v>
      </c>
      <c r="CQ3409" t="s">
        <v>1982</v>
      </c>
      <c r="CR3409" s="459" t="s">
        <v>885</v>
      </c>
      <c r="CS3409" s="459" t="s">
        <v>885</v>
      </c>
      <c r="CT3409" s="245" t="s">
        <v>885</v>
      </c>
      <c r="CU3409" s="463" t="s">
        <v>885</v>
      </c>
      <c r="CV3409" s="245" t="s">
        <v>885</v>
      </c>
      <c r="CW3409" s="245" t="s">
        <v>885</v>
      </c>
      <c r="CX3409" t="s">
        <v>2453</v>
      </c>
      <c r="CY3409" s="459" t="s">
        <v>885</v>
      </c>
      <c r="CZ3409" s="459" t="s">
        <v>885</v>
      </c>
      <c r="DA3409" s="459" t="s">
        <v>885</v>
      </c>
      <c r="DB3409" s="459" t="s">
        <v>885</v>
      </c>
      <c r="DC3409" s="459" t="s">
        <v>885</v>
      </c>
      <c r="DD3409" s="459" t="s">
        <v>885</v>
      </c>
      <c r="DE3409" s="459" t="s">
        <v>885</v>
      </c>
      <c r="DF3409" s="459" t="s">
        <v>885</v>
      </c>
      <c r="DG3409" s="459" t="s">
        <v>885</v>
      </c>
      <c r="DH3409" s="459" t="s">
        <v>885</v>
      </c>
      <c r="DI3409" s="459" t="s">
        <v>885</v>
      </c>
      <c r="DJ3409" s="459" t="s">
        <v>885</v>
      </c>
      <c r="DK3409" s="459" t="s">
        <v>885</v>
      </c>
      <c r="DL3409" s="459" t="s">
        <v>885</v>
      </c>
      <c r="DM3409" s="459" t="s">
        <v>885</v>
      </c>
      <c r="DN3409" s="459" t="s">
        <v>885</v>
      </c>
      <c r="DO3409" s="459" t="s">
        <v>885</v>
      </c>
      <c r="DP3409" t="s">
        <v>2571</v>
      </c>
      <c r="DQ3409" s="459" t="s">
        <v>885</v>
      </c>
      <c r="DR3409" s="459" t="s">
        <v>885</v>
      </c>
      <c r="DS3409" t="s">
        <v>3184</v>
      </c>
      <c r="DT3409" s="459" t="s">
        <v>885</v>
      </c>
      <c r="DU3409" s="459" t="s">
        <v>885</v>
      </c>
      <c r="DV3409" s="459" t="s">
        <v>885</v>
      </c>
      <c r="DW3409" s="245" t="s">
        <v>885</v>
      </c>
      <c r="DX3409" s="245" t="s">
        <v>885</v>
      </c>
      <c r="DY3409" s="245"/>
      <c r="DZ3409" s="470" t="str">
        <f t="shared" si="170"/>
        <v/>
      </c>
      <c r="EA3409" s="470" t="str">
        <f t="shared" si="171"/>
        <v/>
      </c>
    </row>
    <row r="3410" spans="1:131" ht="16" hidden="1" x14ac:dyDescent="0.4">
      <c r="A3410" s="813"/>
      <c r="BB3410" s="48"/>
      <c r="BS3410" s="464" t="str">
        <f t="shared" si="172"/>
        <v/>
      </c>
      <c r="BZ3410" s="245" t="s">
        <v>885</v>
      </c>
      <c r="CA3410" s="245" t="s">
        <v>885</v>
      </c>
      <c r="CC3410" s="245" t="s">
        <v>885</v>
      </c>
      <c r="CD3410" s="459" t="s">
        <v>885</v>
      </c>
      <c r="CE3410" s="459" t="s">
        <v>885</v>
      </c>
      <c r="CF3410" s="245" t="s">
        <v>885</v>
      </c>
      <c r="CG3410" s="245" t="s">
        <v>885</v>
      </c>
      <c r="CH3410" s="245" t="s">
        <v>885</v>
      </c>
      <c r="CI3410" s="245" t="s">
        <v>885</v>
      </c>
      <c r="CJ3410" t="s">
        <v>1826</v>
      </c>
      <c r="CK3410" s="459" t="s">
        <v>885</v>
      </c>
      <c r="CL3410" s="459" t="s">
        <v>885</v>
      </c>
      <c r="CM3410" s="459" t="s">
        <v>885</v>
      </c>
      <c r="CN3410" s="459" t="s">
        <v>885</v>
      </c>
      <c r="CO3410" s="459" t="s">
        <v>885</v>
      </c>
      <c r="CP3410" s="459" t="s">
        <v>885</v>
      </c>
      <c r="CQ3410" t="s">
        <v>1750</v>
      </c>
      <c r="CR3410" s="459" t="s">
        <v>885</v>
      </c>
      <c r="CS3410" s="459" t="s">
        <v>885</v>
      </c>
      <c r="CT3410" s="245" t="s">
        <v>885</v>
      </c>
      <c r="CU3410" s="463" t="s">
        <v>885</v>
      </c>
      <c r="CV3410" s="245" t="s">
        <v>885</v>
      </c>
      <c r="CW3410" s="245" t="s">
        <v>885</v>
      </c>
      <c r="CX3410" t="s">
        <v>2454</v>
      </c>
      <c r="CY3410" s="459" t="s">
        <v>885</v>
      </c>
      <c r="CZ3410" s="459" t="s">
        <v>885</v>
      </c>
      <c r="DA3410" s="459" t="s">
        <v>885</v>
      </c>
      <c r="DB3410" s="459" t="s">
        <v>885</v>
      </c>
      <c r="DC3410" s="459" t="s">
        <v>885</v>
      </c>
      <c r="DD3410" s="459" t="s">
        <v>885</v>
      </c>
      <c r="DE3410" s="459" t="s">
        <v>885</v>
      </c>
      <c r="DF3410" s="459" t="s">
        <v>885</v>
      </c>
      <c r="DG3410" s="459" t="s">
        <v>885</v>
      </c>
      <c r="DH3410" s="459" t="s">
        <v>885</v>
      </c>
      <c r="DI3410" s="459" t="s">
        <v>885</v>
      </c>
      <c r="DJ3410" s="459" t="s">
        <v>885</v>
      </c>
      <c r="DK3410" s="459" t="s">
        <v>885</v>
      </c>
      <c r="DL3410" s="459" t="s">
        <v>885</v>
      </c>
      <c r="DM3410" s="459" t="s">
        <v>885</v>
      </c>
      <c r="DN3410" s="459" t="s">
        <v>885</v>
      </c>
      <c r="DO3410" s="459" t="s">
        <v>885</v>
      </c>
      <c r="DP3410" t="s">
        <v>2469</v>
      </c>
      <c r="DQ3410" s="459" t="s">
        <v>885</v>
      </c>
      <c r="DR3410" s="459" t="s">
        <v>885</v>
      </c>
      <c r="DS3410" t="s">
        <v>3185</v>
      </c>
      <c r="DT3410" s="459" t="s">
        <v>885</v>
      </c>
      <c r="DU3410" s="459" t="s">
        <v>885</v>
      </c>
      <c r="DV3410" s="459" t="s">
        <v>885</v>
      </c>
      <c r="DW3410" s="245" t="s">
        <v>885</v>
      </c>
      <c r="DX3410" s="245" t="s">
        <v>885</v>
      </c>
      <c r="DY3410" s="245"/>
      <c r="DZ3410" s="470" t="str">
        <f t="shared" si="170"/>
        <v/>
      </c>
      <c r="EA3410" s="470" t="str">
        <f t="shared" si="171"/>
        <v/>
      </c>
    </row>
    <row r="3411" spans="1:131" ht="16" hidden="1" x14ac:dyDescent="0.4">
      <c r="A3411" s="813"/>
      <c r="BB3411" s="48"/>
      <c r="BS3411" s="464" t="str">
        <f t="shared" si="172"/>
        <v/>
      </c>
      <c r="BZ3411" s="245" t="s">
        <v>885</v>
      </c>
      <c r="CA3411" s="245" t="s">
        <v>885</v>
      </c>
      <c r="CC3411" s="245" t="s">
        <v>885</v>
      </c>
      <c r="CD3411" s="459" t="s">
        <v>885</v>
      </c>
      <c r="CE3411" s="459" t="s">
        <v>885</v>
      </c>
      <c r="CF3411" s="245" t="s">
        <v>885</v>
      </c>
      <c r="CG3411" s="245" t="s">
        <v>885</v>
      </c>
      <c r="CH3411" s="245" t="s">
        <v>885</v>
      </c>
      <c r="CI3411" s="245" t="s">
        <v>885</v>
      </c>
      <c r="CJ3411" t="s">
        <v>1827</v>
      </c>
      <c r="CK3411" s="459" t="s">
        <v>885</v>
      </c>
      <c r="CL3411" s="459" t="s">
        <v>885</v>
      </c>
      <c r="CM3411" s="459" t="s">
        <v>885</v>
      </c>
      <c r="CN3411" s="459" t="s">
        <v>885</v>
      </c>
      <c r="CO3411" s="459" t="s">
        <v>885</v>
      </c>
      <c r="CP3411" s="459" t="s">
        <v>885</v>
      </c>
      <c r="CQ3411" t="s">
        <v>2158</v>
      </c>
      <c r="CR3411" s="459" t="s">
        <v>885</v>
      </c>
      <c r="CS3411" s="459" t="s">
        <v>885</v>
      </c>
      <c r="CT3411" s="245" t="s">
        <v>885</v>
      </c>
      <c r="CU3411" s="463" t="s">
        <v>885</v>
      </c>
      <c r="CV3411" s="245" t="s">
        <v>885</v>
      </c>
      <c r="CW3411" s="245" t="s">
        <v>885</v>
      </c>
      <c r="CX3411" t="s">
        <v>1854</v>
      </c>
      <c r="CY3411" s="459" t="s">
        <v>885</v>
      </c>
      <c r="CZ3411" s="459" t="s">
        <v>885</v>
      </c>
      <c r="DA3411" s="459" t="s">
        <v>885</v>
      </c>
      <c r="DB3411" s="459" t="s">
        <v>885</v>
      </c>
      <c r="DC3411" s="459" t="s">
        <v>885</v>
      </c>
      <c r="DD3411" s="459" t="s">
        <v>885</v>
      </c>
      <c r="DE3411" s="459" t="s">
        <v>885</v>
      </c>
      <c r="DF3411" s="459" t="s">
        <v>885</v>
      </c>
      <c r="DG3411" s="459" t="s">
        <v>885</v>
      </c>
      <c r="DH3411" s="459" t="s">
        <v>885</v>
      </c>
      <c r="DI3411" s="459" t="s">
        <v>885</v>
      </c>
      <c r="DJ3411" s="459" t="s">
        <v>885</v>
      </c>
      <c r="DK3411" s="459" t="s">
        <v>885</v>
      </c>
      <c r="DL3411" s="459" t="s">
        <v>885</v>
      </c>
      <c r="DM3411" s="459" t="s">
        <v>885</v>
      </c>
      <c r="DN3411" s="459" t="s">
        <v>885</v>
      </c>
      <c r="DO3411" s="459" t="s">
        <v>885</v>
      </c>
      <c r="DP3411" t="s">
        <v>2999</v>
      </c>
      <c r="DQ3411" s="459" t="s">
        <v>885</v>
      </c>
      <c r="DR3411" s="459" t="s">
        <v>885</v>
      </c>
      <c r="DS3411" t="s">
        <v>2548</v>
      </c>
      <c r="DT3411" s="459" t="s">
        <v>885</v>
      </c>
      <c r="DU3411" s="459" t="s">
        <v>885</v>
      </c>
      <c r="DV3411" s="459" t="s">
        <v>885</v>
      </c>
      <c r="DW3411" s="245" t="s">
        <v>885</v>
      </c>
      <c r="DX3411" s="245" t="s">
        <v>885</v>
      </c>
      <c r="DY3411" s="245"/>
      <c r="DZ3411" s="470" t="str">
        <f t="shared" si="170"/>
        <v/>
      </c>
      <c r="EA3411" s="470" t="str">
        <f t="shared" si="171"/>
        <v/>
      </c>
    </row>
    <row r="3412" spans="1:131" ht="16" hidden="1" x14ac:dyDescent="0.4">
      <c r="A3412" s="813"/>
      <c r="BB3412" s="48"/>
      <c r="BS3412" s="464" t="str">
        <f t="shared" si="172"/>
        <v/>
      </c>
      <c r="BZ3412" s="245" t="s">
        <v>885</v>
      </c>
      <c r="CA3412" s="245" t="s">
        <v>885</v>
      </c>
      <c r="CC3412" s="245" t="s">
        <v>885</v>
      </c>
      <c r="CD3412" s="459" t="s">
        <v>885</v>
      </c>
      <c r="CE3412" s="459" t="s">
        <v>885</v>
      </c>
      <c r="CF3412" s="245" t="s">
        <v>885</v>
      </c>
      <c r="CG3412" s="245" t="s">
        <v>885</v>
      </c>
      <c r="CH3412" s="245" t="s">
        <v>885</v>
      </c>
      <c r="CI3412" s="245" t="s">
        <v>885</v>
      </c>
      <c r="CJ3412" t="s">
        <v>1828</v>
      </c>
      <c r="CK3412" s="459" t="s">
        <v>885</v>
      </c>
      <c r="CL3412" s="459" t="s">
        <v>885</v>
      </c>
      <c r="CM3412" s="459" t="s">
        <v>885</v>
      </c>
      <c r="CN3412" s="459" t="s">
        <v>885</v>
      </c>
      <c r="CO3412" s="459" t="s">
        <v>885</v>
      </c>
      <c r="CP3412" s="459" t="s">
        <v>885</v>
      </c>
      <c r="CQ3412" t="s">
        <v>2159</v>
      </c>
      <c r="CR3412" s="459" t="s">
        <v>885</v>
      </c>
      <c r="CS3412" s="459" t="s">
        <v>885</v>
      </c>
      <c r="CT3412" s="245" t="s">
        <v>885</v>
      </c>
      <c r="CU3412" s="463" t="s">
        <v>885</v>
      </c>
      <c r="CV3412" s="245" t="s">
        <v>885</v>
      </c>
      <c r="CW3412" s="245" t="s">
        <v>885</v>
      </c>
      <c r="CX3412" t="s">
        <v>1495</v>
      </c>
      <c r="CY3412" s="459" t="s">
        <v>885</v>
      </c>
      <c r="CZ3412" s="459" t="s">
        <v>885</v>
      </c>
      <c r="DA3412" s="459" t="s">
        <v>885</v>
      </c>
      <c r="DB3412" s="459" t="s">
        <v>885</v>
      </c>
      <c r="DC3412" s="459" t="s">
        <v>885</v>
      </c>
      <c r="DD3412" s="459" t="s">
        <v>885</v>
      </c>
      <c r="DE3412" s="459" t="s">
        <v>885</v>
      </c>
      <c r="DF3412" s="459" t="s">
        <v>885</v>
      </c>
      <c r="DG3412" s="459" t="s">
        <v>885</v>
      </c>
      <c r="DH3412" s="459" t="s">
        <v>885</v>
      </c>
      <c r="DI3412" s="459" t="s">
        <v>885</v>
      </c>
      <c r="DJ3412" s="459" t="s">
        <v>885</v>
      </c>
      <c r="DK3412" s="459" t="s">
        <v>885</v>
      </c>
      <c r="DL3412" s="459" t="s">
        <v>885</v>
      </c>
      <c r="DM3412" s="459" t="s">
        <v>885</v>
      </c>
      <c r="DN3412" s="459" t="s">
        <v>885</v>
      </c>
      <c r="DO3412" s="459" t="s">
        <v>885</v>
      </c>
      <c r="DP3412" t="s">
        <v>3000</v>
      </c>
      <c r="DQ3412" s="459" t="s">
        <v>885</v>
      </c>
      <c r="DR3412" s="459" t="s">
        <v>885</v>
      </c>
      <c r="DS3412" t="s">
        <v>1487</v>
      </c>
      <c r="DT3412" s="459" t="s">
        <v>885</v>
      </c>
      <c r="DU3412" s="459" t="s">
        <v>885</v>
      </c>
      <c r="DV3412" s="459" t="s">
        <v>885</v>
      </c>
      <c r="DW3412" s="245" t="s">
        <v>885</v>
      </c>
      <c r="DX3412" s="245" t="s">
        <v>885</v>
      </c>
      <c r="DY3412" s="245"/>
      <c r="DZ3412" s="470" t="str">
        <f t="shared" si="170"/>
        <v/>
      </c>
      <c r="EA3412" s="470" t="str">
        <f t="shared" si="171"/>
        <v/>
      </c>
    </row>
    <row r="3413" spans="1:131" ht="16" hidden="1" x14ac:dyDescent="0.4">
      <c r="A3413" s="813"/>
      <c r="BB3413" s="48"/>
      <c r="BS3413" s="464" t="str">
        <f t="shared" si="172"/>
        <v/>
      </c>
      <c r="BZ3413" s="245" t="s">
        <v>885</v>
      </c>
      <c r="CA3413" s="245" t="s">
        <v>885</v>
      </c>
      <c r="CC3413" s="245" t="s">
        <v>885</v>
      </c>
      <c r="CD3413" s="459" t="s">
        <v>885</v>
      </c>
      <c r="CE3413" s="459" t="s">
        <v>885</v>
      </c>
      <c r="CF3413" s="245" t="s">
        <v>885</v>
      </c>
      <c r="CG3413" s="245" t="s">
        <v>885</v>
      </c>
      <c r="CH3413" s="245" t="s">
        <v>885</v>
      </c>
      <c r="CI3413" s="245" t="s">
        <v>885</v>
      </c>
      <c r="CJ3413" t="s">
        <v>1484</v>
      </c>
      <c r="CK3413" s="459" t="s">
        <v>885</v>
      </c>
      <c r="CL3413" s="459" t="s">
        <v>885</v>
      </c>
      <c r="CM3413" s="459" t="s">
        <v>885</v>
      </c>
      <c r="CN3413" s="459" t="s">
        <v>885</v>
      </c>
      <c r="CO3413" s="459" t="s">
        <v>885</v>
      </c>
      <c r="CP3413" s="459" t="s">
        <v>885</v>
      </c>
      <c r="CQ3413" t="s">
        <v>2160</v>
      </c>
      <c r="CR3413" s="459" t="s">
        <v>885</v>
      </c>
      <c r="CS3413" s="459" t="s">
        <v>885</v>
      </c>
      <c r="CT3413" s="245" t="s">
        <v>885</v>
      </c>
      <c r="CU3413" s="463" t="s">
        <v>885</v>
      </c>
      <c r="CV3413" s="245" t="s">
        <v>885</v>
      </c>
      <c r="CW3413" s="245" t="s">
        <v>885</v>
      </c>
      <c r="CX3413" t="s">
        <v>1855</v>
      </c>
      <c r="CY3413" s="459" t="s">
        <v>885</v>
      </c>
      <c r="CZ3413" s="459" t="s">
        <v>885</v>
      </c>
      <c r="DA3413" s="459" t="s">
        <v>885</v>
      </c>
      <c r="DB3413" s="459" t="s">
        <v>885</v>
      </c>
      <c r="DC3413" s="459" t="s">
        <v>885</v>
      </c>
      <c r="DD3413" s="459" t="s">
        <v>885</v>
      </c>
      <c r="DE3413" s="459" t="s">
        <v>885</v>
      </c>
      <c r="DF3413" s="459" t="s">
        <v>885</v>
      </c>
      <c r="DG3413" s="459" t="s">
        <v>885</v>
      </c>
      <c r="DH3413" s="459" t="s">
        <v>885</v>
      </c>
      <c r="DI3413" s="459" t="s">
        <v>885</v>
      </c>
      <c r="DJ3413" s="459" t="s">
        <v>885</v>
      </c>
      <c r="DK3413" s="459" t="s">
        <v>885</v>
      </c>
      <c r="DL3413" s="459" t="s">
        <v>885</v>
      </c>
      <c r="DM3413" s="459" t="s">
        <v>885</v>
      </c>
      <c r="DN3413" s="459" t="s">
        <v>885</v>
      </c>
      <c r="DO3413" s="459" t="s">
        <v>885</v>
      </c>
      <c r="DP3413" t="s">
        <v>2134</v>
      </c>
      <c r="DQ3413" s="459" t="s">
        <v>885</v>
      </c>
      <c r="DR3413" s="459" t="s">
        <v>885</v>
      </c>
      <c r="DS3413" t="s">
        <v>3186</v>
      </c>
      <c r="DT3413" s="459" t="s">
        <v>885</v>
      </c>
      <c r="DU3413" s="459" t="s">
        <v>885</v>
      </c>
      <c r="DV3413" s="459" t="s">
        <v>885</v>
      </c>
      <c r="DW3413" s="245" t="s">
        <v>885</v>
      </c>
      <c r="DX3413" s="245" t="s">
        <v>885</v>
      </c>
      <c r="DY3413" s="245"/>
      <c r="DZ3413" s="470" t="str">
        <f t="shared" si="170"/>
        <v/>
      </c>
      <c r="EA3413" s="470" t="str">
        <f t="shared" si="171"/>
        <v/>
      </c>
    </row>
    <row r="3414" spans="1:131" ht="16" hidden="1" x14ac:dyDescent="0.4">
      <c r="A3414" s="813"/>
      <c r="BB3414" s="48"/>
      <c r="BS3414" s="464" t="str">
        <f t="shared" si="172"/>
        <v/>
      </c>
      <c r="BZ3414" s="245" t="s">
        <v>885</v>
      </c>
      <c r="CA3414" s="245" t="s">
        <v>885</v>
      </c>
      <c r="CC3414" s="245" t="s">
        <v>885</v>
      </c>
      <c r="CD3414" s="459" t="s">
        <v>885</v>
      </c>
      <c r="CE3414" s="459" t="s">
        <v>885</v>
      </c>
      <c r="CF3414" s="245" t="s">
        <v>885</v>
      </c>
      <c r="CG3414" s="245" t="s">
        <v>885</v>
      </c>
      <c r="CH3414" s="245" t="s">
        <v>885</v>
      </c>
      <c r="CI3414" s="245" t="s">
        <v>885</v>
      </c>
      <c r="CJ3414" t="s">
        <v>1829</v>
      </c>
      <c r="CK3414" s="459" t="s">
        <v>885</v>
      </c>
      <c r="CL3414" s="459" t="s">
        <v>885</v>
      </c>
      <c r="CM3414" s="459" t="s">
        <v>885</v>
      </c>
      <c r="CN3414" s="459" t="s">
        <v>885</v>
      </c>
      <c r="CO3414" s="459" t="s">
        <v>885</v>
      </c>
      <c r="CP3414" s="459" t="s">
        <v>885</v>
      </c>
      <c r="CQ3414" t="s">
        <v>1579</v>
      </c>
      <c r="CR3414" s="459" t="s">
        <v>885</v>
      </c>
      <c r="CS3414" s="459" t="s">
        <v>885</v>
      </c>
      <c r="CT3414" s="245" t="s">
        <v>885</v>
      </c>
      <c r="CU3414" s="463" t="s">
        <v>885</v>
      </c>
      <c r="CV3414" s="245" t="s">
        <v>885</v>
      </c>
      <c r="CW3414" s="245" t="s">
        <v>885</v>
      </c>
      <c r="CX3414" t="s">
        <v>1856</v>
      </c>
      <c r="CY3414" s="459" t="s">
        <v>885</v>
      </c>
      <c r="CZ3414" s="459" t="s">
        <v>885</v>
      </c>
      <c r="DA3414" s="459" t="s">
        <v>885</v>
      </c>
      <c r="DB3414" s="459" t="s">
        <v>885</v>
      </c>
      <c r="DC3414" s="459" t="s">
        <v>885</v>
      </c>
      <c r="DD3414" s="459" t="s">
        <v>885</v>
      </c>
      <c r="DE3414" s="459" t="s">
        <v>885</v>
      </c>
      <c r="DF3414" s="459" t="s">
        <v>885</v>
      </c>
      <c r="DG3414" s="459" t="s">
        <v>885</v>
      </c>
      <c r="DH3414" s="459" t="s">
        <v>885</v>
      </c>
      <c r="DI3414" s="459" t="s">
        <v>885</v>
      </c>
      <c r="DJ3414" s="459" t="s">
        <v>885</v>
      </c>
      <c r="DK3414" s="459" t="s">
        <v>885</v>
      </c>
      <c r="DL3414" s="459" t="s">
        <v>885</v>
      </c>
      <c r="DM3414" s="459" t="s">
        <v>885</v>
      </c>
      <c r="DN3414" s="459" t="s">
        <v>885</v>
      </c>
      <c r="DO3414" s="459" t="s">
        <v>885</v>
      </c>
      <c r="DP3414" t="s">
        <v>1465</v>
      </c>
      <c r="DQ3414" s="459" t="s">
        <v>885</v>
      </c>
      <c r="DR3414" s="459" t="s">
        <v>885</v>
      </c>
      <c r="DS3414" t="s">
        <v>1573</v>
      </c>
      <c r="DT3414" s="459" t="s">
        <v>885</v>
      </c>
      <c r="DU3414" s="459" t="s">
        <v>885</v>
      </c>
      <c r="DV3414" s="459" t="s">
        <v>885</v>
      </c>
      <c r="DW3414" s="245" t="s">
        <v>885</v>
      </c>
      <c r="DX3414" s="245" t="s">
        <v>885</v>
      </c>
      <c r="DY3414" s="245"/>
      <c r="DZ3414" s="470" t="str">
        <f t="shared" si="170"/>
        <v/>
      </c>
      <c r="EA3414" s="470" t="str">
        <f t="shared" si="171"/>
        <v/>
      </c>
    </row>
    <row r="3415" spans="1:131" ht="16" hidden="1" x14ac:dyDescent="0.4">
      <c r="A3415" s="813"/>
      <c r="BS3415" s="464" t="str">
        <f t="shared" si="172"/>
        <v/>
      </c>
      <c r="BZ3415" s="245" t="s">
        <v>885</v>
      </c>
      <c r="CA3415" s="245" t="s">
        <v>885</v>
      </c>
      <c r="CC3415" s="245" t="s">
        <v>885</v>
      </c>
      <c r="CD3415" s="459" t="s">
        <v>885</v>
      </c>
      <c r="CE3415" s="459" t="s">
        <v>885</v>
      </c>
      <c r="CF3415" s="245" t="s">
        <v>885</v>
      </c>
      <c r="CG3415" s="245" t="s">
        <v>885</v>
      </c>
      <c r="CH3415" s="245" t="s">
        <v>885</v>
      </c>
      <c r="CI3415" s="245" t="s">
        <v>885</v>
      </c>
      <c r="CJ3415" t="s">
        <v>1485</v>
      </c>
      <c r="CK3415" s="459" t="s">
        <v>885</v>
      </c>
      <c r="CL3415" s="459" t="s">
        <v>885</v>
      </c>
      <c r="CM3415" s="459" t="s">
        <v>885</v>
      </c>
      <c r="CN3415" s="459" t="s">
        <v>885</v>
      </c>
      <c r="CO3415" s="459" t="s">
        <v>885</v>
      </c>
      <c r="CP3415" s="459" t="s">
        <v>885</v>
      </c>
      <c r="CQ3415" t="s">
        <v>1854</v>
      </c>
      <c r="CR3415" s="459" t="s">
        <v>885</v>
      </c>
      <c r="CS3415" s="459" t="s">
        <v>885</v>
      </c>
      <c r="CT3415" s="245" t="s">
        <v>885</v>
      </c>
      <c r="CU3415" s="463" t="s">
        <v>885</v>
      </c>
      <c r="CV3415" s="245" t="s">
        <v>885</v>
      </c>
      <c r="CW3415" s="245" t="s">
        <v>885</v>
      </c>
      <c r="CX3415" t="s">
        <v>1861</v>
      </c>
      <c r="CY3415" s="459" t="s">
        <v>885</v>
      </c>
      <c r="CZ3415" s="459" t="s">
        <v>885</v>
      </c>
      <c r="DA3415" s="459" t="s">
        <v>885</v>
      </c>
      <c r="DB3415" s="459" t="s">
        <v>885</v>
      </c>
      <c r="DC3415" s="459" t="s">
        <v>885</v>
      </c>
      <c r="DD3415" s="459" t="s">
        <v>885</v>
      </c>
      <c r="DE3415" s="459" t="s">
        <v>885</v>
      </c>
      <c r="DF3415" s="459" t="s">
        <v>885</v>
      </c>
      <c r="DG3415" s="459" t="s">
        <v>885</v>
      </c>
      <c r="DH3415" s="459" t="s">
        <v>885</v>
      </c>
      <c r="DI3415" s="459" t="s">
        <v>885</v>
      </c>
      <c r="DJ3415" s="459" t="s">
        <v>885</v>
      </c>
      <c r="DK3415" s="459" t="s">
        <v>885</v>
      </c>
      <c r="DL3415" s="459" t="s">
        <v>885</v>
      </c>
      <c r="DM3415" s="459" t="s">
        <v>885</v>
      </c>
      <c r="DN3415" s="459" t="s">
        <v>885</v>
      </c>
      <c r="DO3415" s="459" t="s">
        <v>885</v>
      </c>
      <c r="DP3415" t="s">
        <v>1551</v>
      </c>
      <c r="DQ3415" s="459" t="s">
        <v>885</v>
      </c>
      <c r="DR3415" s="459" t="s">
        <v>885</v>
      </c>
      <c r="DS3415" t="s">
        <v>3187</v>
      </c>
      <c r="DT3415" s="459" t="s">
        <v>885</v>
      </c>
      <c r="DU3415" s="459" t="s">
        <v>885</v>
      </c>
      <c r="DV3415" s="459" t="s">
        <v>885</v>
      </c>
      <c r="DW3415" s="245" t="s">
        <v>885</v>
      </c>
      <c r="DX3415" s="245" t="s">
        <v>885</v>
      </c>
      <c r="DY3415" s="245"/>
      <c r="DZ3415" s="470" t="str">
        <f t="shared" si="170"/>
        <v/>
      </c>
      <c r="EA3415" s="470" t="str">
        <f t="shared" si="171"/>
        <v/>
      </c>
    </row>
    <row r="3416" spans="1:131" ht="16" hidden="1" x14ac:dyDescent="0.4">
      <c r="A3416" s="813"/>
      <c r="BS3416" s="464" t="str">
        <f t="shared" si="172"/>
        <v/>
      </c>
      <c r="BZ3416" s="245" t="s">
        <v>885</v>
      </c>
      <c r="CA3416" s="245" t="s">
        <v>885</v>
      </c>
      <c r="CC3416" s="245" t="s">
        <v>885</v>
      </c>
      <c r="CD3416" s="459" t="s">
        <v>885</v>
      </c>
      <c r="CE3416" s="459" t="s">
        <v>885</v>
      </c>
      <c r="CF3416" s="245" t="s">
        <v>885</v>
      </c>
      <c r="CG3416" s="245" t="s">
        <v>885</v>
      </c>
      <c r="CH3416" s="245" t="s">
        <v>885</v>
      </c>
      <c r="CI3416" s="245" t="s">
        <v>885</v>
      </c>
      <c r="CJ3416" t="s">
        <v>1567</v>
      </c>
      <c r="CK3416" s="459" t="s">
        <v>885</v>
      </c>
      <c r="CL3416" s="459" t="s">
        <v>885</v>
      </c>
      <c r="CM3416" s="459" t="s">
        <v>885</v>
      </c>
      <c r="CN3416" s="459" t="s">
        <v>885</v>
      </c>
      <c r="CO3416" s="459" t="s">
        <v>885</v>
      </c>
      <c r="CP3416" s="459" t="s">
        <v>885</v>
      </c>
      <c r="CQ3416" t="s">
        <v>1495</v>
      </c>
      <c r="CR3416" s="459" t="s">
        <v>885</v>
      </c>
      <c r="CS3416" s="459" t="s">
        <v>885</v>
      </c>
      <c r="CT3416" s="245" t="s">
        <v>885</v>
      </c>
      <c r="CU3416" s="463" t="s">
        <v>885</v>
      </c>
      <c r="CV3416" s="245" t="s">
        <v>885</v>
      </c>
      <c r="CW3416" s="245" t="s">
        <v>885</v>
      </c>
      <c r="CX3416" t="s">
        <v>2039</v>
      </c>
      <c r="CY3416" s="459" t="s">
        <v>885</v>
      </c>
      <c r="CZ3416" s="459" t="s">
        <v>885</v>
      </c>
      <c r="DA3416" s="459" t="s">
        <v>885</v>
      </c>
      <c r="DB3416" s="459" t="s">
        <v>885</v>
      </c>
      <c r="DC3416" s="459" t="s">
        <v>885</v>
      </c>
      <c r="DD3416" s="459" t="s">
        <v>885</v>
      </c>
      <c r="DE3416" s="459" t="s">
        <v>885</v>
      </c>
      <c r="DF3416" s="459" t="s">
        <v>885</v>
      </c>
      <c r="DG3416" s="459" t="s">
        <v>885</v>
      </c>
      <c r="DH3416" s="459" t="s">
        <v>885</v>
      </c>
      <c r="DI3416" s="459" t="s">
        <v>885</v>
      </c>
      <c r="DJ3416" s="459" t="s">
        <v>885</v>
      </c>
      <c r="DK3416" s="459" t="s">
        <v>885</v>
      </c>
      <c r="DL3416" s="459" t="s">
        <v>885</v>
      </c>
      <c r="DM3416" s="459" t="s">
        <v>885</v>
      </c>
      <c r="DN3416" s="459" t="s">
        <v>885</v>
      </c>
      <c r="DO3416" s="459" t="s">
        <v>885</v>
      </c>
      <c r="DP3416" t="s">
        <v>3001</v>
      </c>
      <c r="DQ3416" s="459" t="s">
        <v>885</v>
      </c>
      <c r="DR3416" s="459" t="s">
        <v>885</v>
      </c>
      <c r="DS3416" t="s">
        <v>3188</v>
      </c>
      <c r="DT3416" s="459" t="s">
        <v>885</v>
      </c>
      <c r="DU3416" s="459" t="s">
        <v>885</v>
      </c>
      <c r="DV3416" s="459" t="s">
        <v>885</v>
      </c>
      <c r="DW3416" s="245" t="s">
        <v>885</v>
      </c>
      <c r="DX3416" s="245" t="s">
        <v>885</v>
      </c>
      <c r="DY3416" s="245"/>
      <c r="DZ3416" s="470" t="str">
        <f t="shared" si="170"/>
        <v/>
      </c>
      <c r="EA3416" s="470" t="str">
        <f t="shared" si="171"/>
        <v/>
      </c>
    </row>
    <row r="3417" spans="1:131" ht="16" hidden="1" x14ac:dyDescent="0.4">
      <c r="A3417" s="813"/>
      <c r="BS3417" s="464" t="str">
        <f t="shared" si="172"/>
        <v/>
      </c>
      <c r="BZ3417" s="245" t="s">
        <v>885</v>
      </c>
      <c r="CA3417" s="245" t="s">
        <v>885</v>
      </c>
      <c r="CC3417" s="245" t="s">
        <v>885</v>
      </c>
      <c r="CD3417" s="459" t="s">
        <v>885</v>
      </c>
      <c r="CE3417" s="459" t="s">
        <v>885</v>
      </c>
      <c r="CF3417" s="245" t="s">
        <v>885</v>
      </c>
      <c r="CG3417" s="245" t="s">
        <v>885</v>
      </c>
      <c r="CH3417" s="245" t="s">
        <v>885</v>
      </c>
      <c r="CI3417" s="245" t="s">
        <v>885</v>
      </c>
      <c r="CJ3417" t="s">
        <v>1570</v>
      </c>
      <c r="CK3417" s="459" t="s">
        <v>885</v>
      </c>
      <c r="CL3417" s="459" t="s">
        <v>885</v>
      </c>
      <c r="CM3417" s="459" t="s">
        <v>885</v>
      </c>
      <c r="CN3417" s="459" t="s">
        <v>885</v>
      </c>
      <c r="CO3417" s="459" t="s">
        <v>885</v>
      </c>
      <c r="CP3417" s="459" t="s">
        <v>885</v>
      </c>
      <c r="CQ3417" t="s">
        <v>1855</v>
      </c>
      <c r="CR3417" s="459" t="s">
        <v>885</v>
      </c>
      <c r="CS3417" s="459" t="s">
        <v>885</v>
      </c>
      <c r="CT3417" s="245" t="s">
        <v>885</v>
      </c>
      <c r="CU3417" s="463" t="s">
        <v>885</v>
      </c>
      <c r="CV3417" s="245" t="s">
        <v>885</v>
      </c>
      <c r="CW3417" s="245" t="s">
        <v>885</v>
      </c>
      <c r="CX3417" s="459" t="s">
        <v>885</v>
      </c>
      <c r="CY3417" s="459" t="s">
        <v>885</v>
      </c>
      <c r="CZ3417" s="459" t="s">
        <v>885</v>
      </c>
      <c r="DA3417" s="459" t="s">
        <v>885</v>
      </c>
      <c r="DB3417" s="459" t="s">
        <v>885</v>
      </c>
      <c r="DC3417" s="459" t="s">
        <v>885</v>
      </c>
      <c r="DD3417" s="459" t="s">
        <v>885</v>
      </c>
      <c r="DE3417" s="459" t="s">
        <v>885</v>
      </c>
      <c r="DF3417" s="459" t="s">
        <v>885</v>
      </c>
      <c r="DG3417" s="459" t="s">
        <v>885</v>
      </c>
      <c r="DH3417" s="459" t="s">
        <v>885</v>
      </c>
      <c r="DI3417" s="459" t="s">
        <v>885</v>
      </c>
      <c r="DJ3417" s="459" t="s">
        <v>885</v>
      </c>
      <c r="DK3417" s="459" t="s">
        <v>885</v>
      </c>
      <c r="DL3417" s="459" t="s">
        <v>885</v>
      </c>
      <c r="DM3417" s="459" t="s">
        <v>885</v>
      </c>
      <c r="DN3417" s="459" t="s">
        <v>885</v>
      </c>
      <c r="DO3417" s="459" t="s">
        <v>885</v>
      </c>
      <c r="DP3417" t="s">
        <v>3002</v>
      </c>
      <c r="DQ3417" s="459" t="s">
        <v>885</v>
      </c>
      <c r="DR3417" s="459" t="s">
        <v>885</v>
      </c>
      <c r="DS3417" t="s">
        <v>3189</v>
      </c>
      <c r="DT3417" s="459" t="s">
        <v>885</v>
      </c>
      <c r="DU3417" s="459" t="s">
        <v>885</v>
      </c>
      <c r="DV3417" s="459" t="s">
        <v>885</v>
      </c>
      <c r="DW3417" s="245" t="s">
        <v>885</v>
      </c>
      <c r="DX3417" s="245" t="s">
        <v>885</v>
      </c>
      <c r="DY3417" s="245"/>
      <c r="DZ3417" s="470" t="str">
        <f t="shared" si="170"/>
        <v/>
      </c>
      <c r="EA3417" s="470" t="str">
        <f t="shared" si="171"/>
        <v/>
      </c>
    </row>
    <row r="3418" spans="1:131" ht="16" hidden="1" x14ac:dyDescent="0.4">
      <c r="A3418" s="813"/>
      <c r="BS3418" s="464" t="str">
        <f t="shared" si="172"/>
        <v/>
      </c>
      <c r="BZ3418" s="245" t="s">
        <v>885</v>
      </c>
      <c r="CA3418" s="245" t="s">
        <v>885</v>
      </c>
      <c r="CC3418" s="245" t="s">
        <v>885</v>
      </c>
      <c r="CD3418" s="459" t="s">
        <v>885</v>
      </c>
      <c r="CE3418" s="459" t="s">
        <v>885</v>
      </c>
      <c r="CF3418" s="245" t="s">
        <v>885</v>
      </c>
      <c r="CG3418" s="245" t="s">
        <v>885</v>
      </c>
      <c r="CH3418" s="245" t="s">
        <v>885</v>
      </c>
      <c r="CI3418" s="245" t="s">
        <v>885</v>
      </c>
      <c r="CJ3418" t="s">
        <v>1743</v>
      </c>
      <c r="CK3418" s="459" t="s">
        <v>885</v>
      </c>
      <c r="CL3418" s="459" t="s">
        <v>885</v>
      </c>
      <c r="CM3418" s="459" t="s">
        <v>885</v>
      </c>
      <c r="CN3418" s="459" t="s">
        <v>885</v>
      </c>
      <c r="CO3418" s="459" t="s">
        <v>885</v>
      </c>
      <c r="CP3418" s="459" t="s">
        <v>885</v>
      </c>
      <c r="CQ3418" t="s">
        <v>1856</v>
      </c>
      <c r="CR3418" s="459" t="s">
        <v>885</v>
      </c>
      <c r="CS3418" s="459" t="s">
        <v>885</v>
      </c>
      <c r="CT3418" s="245" t="s">
        <v>885</v>
      </c>
      <c r="CU3418" s="463" t="s">
        <v>885</v>
      </c>
      <c r="CV3418" s="245" t="s">
        <v>885</v>
      </c>
      <c r="CW3418" s="245" t="s">
        <v>885</v>
      </c>
      <c r="CX3418" s="459" t="s">
        <v>885</v>
      </c>
      <c r="CY3418" s="459" t="s">
        <v>885</v>
      </c>
      <c r="CZ3418" s="459" t="s">
        <v>885</v>
      </c>
      <c r="DA3418" s="459" t="s">
        <v>885</v>
      </c>
      <c r="DB3418" s="459" t="s">
        <v>885</v>
      </c>
      <c r="DC3418" s="459" t="s">
        <v>885</v>
      </c>
      <c r="DD3418" s="459" t="s">
        <v>885</v>
      </c>
      <c r="DE3418" s="459" t="s">
        <v>885</v>
      </c>
      <c r="DF3418" s="459" t="s">
        <v>885</v>
      </c>
      <c r="DG3418" s="459" t="s">
        <v>885</v>
      </c>
      <c r="DH3418" s="459" t="s">
        <v>885</v>
      </c>
      <c r="DI3418" s="459" t="s">
        <v>885</v>
      </c>
      <c r="DJ3418" s="459" t="s">
        <v>885</v>
      </c>
      <c r="DK3418" s="459" t="s">
        <v>885</v>
      </c>
      <c r="DL3418" s="459" t="s">
        <v>885</v>
      </c>
      <c r="DM3418" s="459" t="s">
        <v>885</v>
      </c>
      <c r="DN3418" s="459" t="s">
        <v>885</v>
      </c>
      <c r="DO3418" s="459" t="s">
        <v>885</v>
      </c>
      <c r="DP3418" t="s">
        <v>2885</v>
      </c>
      <c r="DQ3418" s="459" t="s">
        <v>885</v>
      </c>
      <c r="DR3418" s="459" t="s">
        <v>885</v>
      </c>
      <c r="DS3418" t="s">
        <v>3190</v>
      </c>
      <c r="DT3418" s="459" t="s">
        <v>885</v>
      </c>
      <c r="DU3418" s="459" t="s">
        <v>885</v>
      </c>
      <c r="DV3418" s="459" t="s">
        <v>885</v>
      </c>
      <c r="DW3418" s="245" t="s">
        <v>885</v>
      </c>
      <c r="DX3418" s="245" t="s">
        <v>885</v>
      </c>
      <c r="DY3418" s="245"/>
      <c r="DZ3418" s="470" t="str">
        <f t="shared" si="170"/>
        <v/>
      </c>
      <c r="EA3418" s="470" t="str">
        <f t="shared" si="171"/>
        <v/>
      </c>
    </row>
    <row r="3419" spans="1:131" ht="16" hidden="1" x14ac:dyDescent="0.4">
      <c r="A3419" s="813"/>
      <c r="BS3419" s="464" t="str">
        <f t="shared" si="172"/>
        <v/>
      </c>
      <c r="BZ3419" s="245" t="s">
        <v>885</v>
      </c>
      <c r="CA3419" s="245" t="s">
        <v>885</v>
      </c>
      <c r="CC3419" s="245" t="s">
        <v>885</v>
      </c>
      <c r="CD3419" s="459" t="s">
        <v>885</v>
      </c>
      <c r="CE3419" s="459" t="s">
        <v>885</v>
      </c>
      <c r="CF3419" s="245" t="s">
        <v>885</v>
      </c>
      <c r="CG3419" s="245" t="s">
        <v>885</v>
      </c>
      <c r="CH3419" s="245" t="s">
        <v>885</v>
      </c>
      <c r="CI3419" s="245" t="s">
        <v>885</v>
      </c>
      <c r="CJ3419" t="s">
        <v>1830</v>
      </c>
      <c r="CK3419" s="459" t="s">
        <v>885</v>
      </c>
      <c r="CL3419" s="459" t="s">
        <v>885</v>
      </c>
      <c r="CM3419" s="459" t="s">
        <v>885</v>
      </c>
      <c r="CN3419" s="459" t="s">
        <v>885</v>
      </c>
      <c r="CO3419" s="459" t="s">
        <v>885</v>
      </c>
      <c r="CP3419" s="459" t="s">
        <v>885</v>
      </c>
      <c r="CQ3419" t="s">
        <v>1994</v>
      </c>
      <c r="CR3419" s="459" t="s">
        <v>885</v>
      </c>
      <c r="CS3419" s="459" t="s">
        <v>885</v>
      </c>
      <c r="CT3419" s="245" t="s">
        <v>885</v>
      </c>
      <c r="CU3419" s="463" t="s">
        <v>885</v>
      </c>
      <c r="CV3419" s="245" t="s">
        <v>885</v>
      </c>
      <c r="CW3419" s="245" t="s">
        <v>885</v>
      </c>
      <c r="CX3419" s="459" t="s">
        <v>885</v>
      </c>
      <c r="CY3419" s="459" t="s">
        <v>885</v>
      </c>
      <c r="CZ3419" s="459" t="s">
        <v>885</v>
      </c>
      <c r="DA3419" s="459" t="s">
        <v>885</v>
      </c>
      <c r="DB3419" s="459" t="s">
        <v>885</v>
      </c>
      <c r="DC3419" s="459" t="s">
        <v>885</v>
      </c>
      <c r="DD3419" s="459" t="s">
        <v>885</v>
      </c>
      <c r="DE3419" s="459" t="s">
        <v>885</v>
      </c>
      <c r="DF3419" s="459" t="s">
        <v>885</v>
      </c>
      <c r="DG3419" s="459" t="s">
        <v>885</v>
      </c>
      <c r="DH3419" s="459" t="s">
        <v>885</v>
      </c>
      <c r="DI3419" s="459" t="s">
        <v>885</v>
      </c>
      <c r="DJ3419" s="459" t="s">
        <v>885</v>
      </c>
      <c r="DK3419" s="459" t="s">
        <v>885</v>
      </c>
      <c r="DL3419" s="459" t="s">
        <v>885</v>
      </c>
      <c r="DM3419" s="459" t="s">
        <v>885</v>
      </c>
      <c r="DN3419" s="459" t="s">
        <v>885</v>
      </c>
      <c r="DO3419" s="459" t="s">
        <v>885</v>
      </c>
      <c r="DP3419" t="s">
        <v>3003</v>
      </c>
      <c r="DQ3419" s="459" t="s">
        <v>885</v>
      </c>
      <c r="DR3419" s="459" t="s">
        <v>885</v>
      </c>
      <c r="DS3419" t="s">
        <v>2096</v>
      </c>
      <c r="DT3419" s="459" t="s">
        <v>885</v>
      </c>
      <c r="DU3419" s="459" t="s">
        <v>885</v>
      </c>
      <c r="DV3419" s="459" t="s">
        <v>885</v>
      </c>
      <c r="DW3419" s="245" t="s">
        <v>885</v>
      </c>
      <c r="DX3419" s="245" t="s">
        <v>885</v>
      </c>
      <c r="DY3419" s="245"/>
      <c r="DZ3419" s="470" t="str">
        <f t="shared" si="170"/>
        <v/>
      </c>
      <c r="EA3419" s="470" t="str">
        <f t="shared" si="171"/>
        <v/>
      </c>
    </row>
    <row r="3420" spans="1:131" ht="16" hidden="1" x14ac:dyDescent="0.4">
      <c r="A3420" s="813"/>
      <c r="BS3420" s="464" t="str">
        <f t="shared" si="172"/>
        <v/>
      </c>
      <c r="BZ3420" s="245" t="s">
        <v>885</v>
      </c>
      <c r="CA3420" s="245" t="s">
        <v>885</v>
      </c>
      <c r="CC3420" s="245" t="s">
        <v>885</v>
      </c>
      <c r="CD3420" s="459" t="s">
        <v>885</v>
      </c>
      <c r="CE3420" s="459" t="s">
        <v>885</v>
      </c>
      <c r="CF3420" s="245" t="s">
        <v>885</v>
      </c>
      <c r="CG3420" s="245" t="s">
        <v>885</v>
      </c>
      <c r="CH3420" s="245" t="s">
        <v>885</v>
      </c>
      <c r="CI3420" s="245" t="s">
        <v>885</v>
      </c>
      <c r="CJ3420" t="s">
        <v>1831</v>
      </c>
      <c r="CK3420" s="459" t="s">
        <v>885</v>
      </c>
      <c r="CL3420" s="459" t="s">
        <v>885</v>
      </c>
      <c r="CM3420" s="459" t="s">
        <v>885</v>
      </c>
      <c r="CN3420" s="459" t="s">
        <v>885</v>
      </c>
      <c r="CO3420" s="459" t="s">
        <v>885</v>
      </c>
      <c r="CP3420" s="459" t="s">
        <v>885</v>
      </c>
      <c r="CQ3420" t="s">
        <v>2161</v>
      </c>
      <c r="CR3420" s="459" t="s">
        <v>885</v>
      </c>
      <c r="CS3420" s="459" t="s">
        <v>885</v>
      </c>
      <c r="CT3420" s="245" t="s">
        <v>885</v>
      </c>
      <c r="CU3420" s="463" t="s">
        <v>885</v>
      </c>
      <c r="CV3420" s="245" t="s">
        <v>885</v>
      </c>
      <c r="CW3420" s="245" t="s">
        <v>885</v>
      </c>
      <c r="CX3420" s="459" t="s">
        <v>885</v>
      </c>
      <c r="CY3420" s="459" t="s">
        <v>885</v>
      </c>
      <c r="CZ3420" s="459" t="s">
        <v>885</v>
      </c>
      <c r="DA3420" s="459" t="s">
        <v>885</v>
      </c>
      <c r="DB3420" s="459" t="s">
        <v>885</v>
      </c>
      <c r="DC3420" s="459" t="s">
        <v>885</v>
      </c>
      <c r="DD3420" s="459" t="s">
        <v>885</v>
      </c>
      <c r="DE3420" s="459" t="s">
        <v>885</v>
      </c>
      <c r="DF3420" s="459" t="s">
        <v>885</v>
      </c>
      <c r="DG3420" s="459" t="s">
        <v>885</v>
      </c>
      <c r="DH3420" s="459" t="s">
        <v>885</v>
      </c>
      <c r="DI3420" s="459" t="s">
        <v>885</v>
      </c>
      <c r="DJ3420" s="459" t="s">
        <v>885</v>
      </c>
      <c r="DK3420" s="459" t="s">
        <v>885</v>
      </c>
      <c r="DL3420" s="459" t="s">
        <v>885</v>
      </c>
      <c r="DM3420" s="459" t="s">
        <v>885</v>
      </c>
      <c r="DN3420" s="459" t="s">
        <v>885</v>
      </c>
      <c r="DO3420" s="459" t="s">
        <v>885</v>
      </c>
      <c r="DP3420" t="s">
        <v>3004</v>
      </c>
      <c r="DQ3420" s="459" t="s">
        <v>885</v>
      </c>
      <c r="DR3420" s="459" t="s">
        <v>885</v>
      </c>
      <c r="DS3420" t="s">
        <v>3191</v>
      </c>
      <c r="DT3420" s="459" t="s">
        <v>885</v>
      </c>
      <c r="DU3420" s="459" t="s">
        <v>885</v>
      </c>
      <c r="DV3420" s="459" t="s">
        <v>885</v>
      </c>
      <c r="DW3420" s="245" t="s">
        <v>885</v>
      </c>
      <c r="DX3420" s="245" t="s">
        <v>885</v>
      </c>
      <c r="DY3420" s="245"/>
      <c r="DZ3420" s="470" t="str">
        <f t="shared" si="170"/>
        <v/>
      </c>
      <c r="EA3420" s="470" t="str">
        <f t="shared" si="171"/>
        <v/>
      </c>
    </row>
    <row r="3421" spans="1:131" ht="16" hidden="1" x14ac:dyDescent="0.4">
      <c r="A3421" s="813"/>
      <c r="BS3421" s="464" t="str">
        <f t="shared" si="172"/>
        <v/>
      </c>
      <c r="BZ3421" s="245" t="s">
        <v>885</v>
      </c>
      <c r="CA3421" s="245" t="s">
        <v>885</v>
      </c>
      <c r="CC3421" s="245" t="s">
        <v>885</v>
      </c>
      <c r="CD3421" s="459" t="s">
        <v>885</v>
      </c>
      <c r="CE3421" s="459" t="s">
        <v>885</v>
      </c>
      <c r="CF3421" s="245" t="s">
        <v>885</v>
      </c>
      <c r="CG3421" s="245" t="s">
        <v>885</v>
      </c>
      <c r="CH3421" s="245" t="s">
        <v>885</v>
      </c>
      <c r="CI3421" s="245" t="s">
        <v>885</v>
      </c>
      <c r="CJ3421" t="s">
        <v>1486</v>
      </c>
      <c r="CK3421" s="459" t="s">
        <v>885</v>
      </c>
      <c r="CL3421" s="459" t="s">
        <v>885</v>
      </c>
      <c r="CM3421" s="459" t="s">
        <v>885</v>
      </c>
      <c r="CN3421" s="459" t="s">
        <v>885</v>
      </c>
      <c r="CO3421" s="459" t="s">
        <v>885</v>
      </c>
      <c r="CP3421" s="459" t="s">
        <v>885</v>
      </c>
      <c r="CQ3421" t="s">
        <v>1953</v>
      </c>
      <c r="CR3421" s="459" t="s">
        <v>885</v>
      </c>
      <c r="CS3421" s="459" t="s">
        <v>885</v>
      </c>
      <c r="CT3421" s="245" t="s">
        <v>885</v>
      </c>
      <c r="CU3421" s="463" t="s">
        <v>885</v>
      </c>
      <c r="CV3421" s="245" t="s">
        <v>885</v>
      </c>
      <c r="CW3421" s="245" t="s">
        <v>885</v>
      </c>
      <c r="CX3421" s="459" t="s">
        <v>885</v>
      </c>
      <c r="CY3421" s="459" t="s">
        <v>885</v>
      </c>
      <c r="CZ3421" s="459" t="s">
        <v>885</v>
      </c>
      <c r="DA3421" s="459" t="s">
        <v>885</v>
      </c>
      <c r="DB3421" s="459" t="s">
        <v>885</v>
      </c>
      <c r="DC3421" s="459" t="s">
        <v>885</v>
      </c>
      <c r="DD3421" s="459" t="s">
        <v>885</v>
      </c>
      <c r="DE3421" s="459" t="s">
        <v>885</v>
      </c>
      <c r="DF3421" s="459" t="s">
        <v>885</v>
      </c>
      <c r="DG3421" s="459" t="s">
        <v>885</v>
      </c>
      <c r="DH3421" s="459" t="s">
        <v>885</v>
      </c>
      <c r="DI3421" s="459" t="s">
        <v>885</v>
      </c>
      <c r="DJ3421" s="459" t="s">
        <v>885</v>
      </c>
      <c r="DK3421" s="459" t="s">
        <v>885</v>
      </c>
      <c r="DL3421" s="459" t="s">
        <v>885</v>
      </c>
      <c r="DM3421" s="459" t="s">
        <v>885</v>
      </c>
      <c r="DN3421" s="459" t="s">
        <v>885</v>
      </c>
      <c r="DO3421" s="459" t="s">
        <v>885</v>
      </c>
      <c r="DP3421" t="s">
        <v>1466</v>
      </c>
      <c r="DQ3421" s="459" t="s">
        <v>885</v>
      </c>
      <c r="DR3421" s="459" t="s">
        <v>885</v>
      </c>
      <c r="DS3421" t="s">
        <v>3192</v>
      </c>
      <c r="DT3421" s="459" t="s">
        <v>885</v>
      </c>
      <c r="DU3421" s="459" t="s">
        <v>885</v>
      </c>
      <c r="DV3421" s="459" t="s">
        <v>885</v>
      </c>
      <c r="DW3421" s="245" t="s">
        <v>885</v>
      </c>
      <c r="DX3421" s="245" t="s">
        <v>885</v>
      </c>
      <c r="DY3421" s="245"/>
      <c r="DZ3421" s="470" t="str">
        <f t="shared" si="170"/>
        <v/>
      </c>
      <c r="EA3421" s="470" t="str">
        <f t="shared" si="171"/>
        <v/>
      </c>
    </row>
    <row r="3422" spans="1:131" ht="16" hidden="1" x14ac:dyDescent="0.4">
      <c r="A3422" s="813"/>
      <c r="BS3422" s="464" t="str">
        <f t="shared" si="172"/>
        <v/>
      </c>
      <c r="BZ3422" s="245" t="s">
        <v>885</v>
      </c>
      <c r="CA3422" s="245" t="s">
        <v>885</v>
      </c>
      <c r="CC3422" s="245" t="s">
        <v>885</v>
      </c>
      <c r="CD3422" s="459" t="s">
        <v>885</v>
      </c>
      <c r="CE3422" s="459" t="s">
        <v>885</v>
      </c>
      <c r="CF3422" s="245" t="s">
        <v>885</v>
      </c>
      <c r="CG3422" s="245" t="s">
        <v>885</v>
      </c>
      <c r="CH3422" s="245" t="s">
        <v>885</v>
      </c>
      <c r="CI3422" s="245" t="s">
        <v>885</v>
      </c>
      <c r="CJ3422" t="s">
        <v>1832</v>
      </c>
      <c r="CK3422" s="459" t="s">
        <v>885</v>
      </c>
      <c r="CL3422" s="459" t="s">
        <v>885</v>
      </c>
      <c r="CM3422" s="459" t="s">
        <v>885</v>
      </c>
      <c r="CN3422" s="459" t="s">
        <v>885</v>
      </c>
      <c r="CO3422" s="459" t="s">
        <v>885</v>
      </c>
      <c r="CP3422" s="459" t="s">
        <v>885</v>
      </c>
      <c r="CQ3422" s="459" t="s">
        <v>885</v>
      </c>
      <c r="CR3422" s="459" t="s">
        <v>885</v>
      </c>
      <c r="CS3422" s="459" t="s">
        <v>885</v>
      </c>
      <c r="CT3422" s="245" t="s">
        <v>885</v>
      </c>
      <c r="CU3422" s="463" t="s">
        <v>885</v>
      </c>
      <c r="CV3422" s="245" t="s">
        <v>885</v>
      </c>
      <c r="CW3422" s="245" t="s">
        <v>885</v>
      </c>
      <c r="CX3422" s="459" t="s">
        <v>885</v>
      </c>
      <c r="CY3422" s="459" t="s">
        <v>885</v>
      </c>
      <c r="CZ3422" s="459" t="s">
        <v>885</v>
      </c>
      <c r="DA3422" s="459" t="s">
        <v>885</v>
      </c>
      <c r="DB3422" s="459" t="s">
        <v>885</v>
      </c>
      <c r="DC3422" s="459" t="s">
        <v>885</v>
      </c>
      <c r="DD3422" s="459" t="s">
        <v>885</v>
      </c>
      <c r="DE3422" s="459" t="s">
        <v>885</v>
      </c>
      <c r="DF3422" s="459" t="s">
        <v>885</v>
      </c>
      <c r="DG3422" s="459" t="s">
        <v>885</v>
      </c>
      <c r="DH3422" s="459" t="s">
        <v>885</v>
      </c>
      <c r="DI3422" s="459" t="s">
        <v>885</v>
      </c>
      <c r="DJ3422" s="459" t="s">
        <v>885</v>
      </c>
      <c r="DK3422" s="459" t="s">
        <v>885</v>
      </c>
      <c r="DL3422" s="459" t="s">
        <v>885</v>
      </c>
      <c r="DM3422" s="459" t="s">
        <v>885</v>
      </c>
      <c r="DN3422" s="459" t="s">
        <v>885</v>
      </c>
      <c r="DO3422" s="459" t="s">
        <v>885</v>
      </c>
      <c r="DP3422" t="s">
        <v>1811</v>
      </c>
      <c r="DQ3422" s="459" t="s">
        <v>885</v>
      </c>
      <c r="DR3422" s="459" t="s">
        <v>885</v>
      </c>
      <c r="DS3422" t="s">
        <v>2671</v>
      </c>
      <c r="DT3422" s="459" t="s">
        <v>885</v>
      </c>
      <c r="DU3422" s="459" t="s">
        <v>885</v>
      </c>
      <c r="DV3422" s="459" t="s">
        <v>885</v>
      </c>
      <c r="DW3422" s="245" t="s">
        <v>885</v>
      </c>
      <c r="DX3422" s="245" t="s">
        <v>885</v>
      </c>
      <c r="DY3422" s="245"/>
      <c r="DZ3422" s="470" t="str">
        <f t="shared" si="170"/>
        <v/>
      </c>
      <c r="EA3422" s="470" t="str">
        <f t="shared" si="171"/>
        <v/>
      </c>
    </row>
    <row r="3423" spans="1:131" ht="16" hidden="1" x14ac:dyDescent="0.4">
      <c r="A3423" s="813"/>
      <c r="BS3423" s="464" t="str">
        <f t="shared" si="172"/>
        <v/>
      </c>
      <c r="BZ3423" s="245" t="s">
        <v>885</v>
      </c>
      <c r="CA3423" s="245" t="s">
        <v>885</v>
      </c>
      <c r="CC3423" s="245" t="s">
        <v>885</v>
      </c>
      <c r="CD3423" s="459" t="s">
        <v>885</v>
      </c>
      <c r="CE3423" s="459" t="s">
        <v>885</v>
      </c>
      <c r="CF3423" s="245" t="s">
        <v>885</v>
      </c>
      <c r="CG3423" s="245" t="s">
        <v>885</v>
      </c>
      <c r="CH3423" s="245" t="s">
        <v>885</v>
      </c>
      <c r="CI3423" s="245" t="s">
        <v>885</v>
      </c>
      <c r="CJ3423" t="s">
        <v>1833</v>
      </c>
      <c r="CK3423" s="459" t="s">
        <v>885</v>
      </c>
      <c r="CL3423" s="459" t="s">
        <v>885</v>
      </c>
      <c r="CM3423" s="459" t="s">
        <v>885</v>
      </c>
      <c r="CN3423" s="459" t="s">
        <v>885</v>
      </c>
      <c r="CO3423" s="459" t="s">
        <v>885</v>
      </c>
      <c r="CP3423" s="459" t="s">
        <v>885</v>
      </c>
      <c r="CQ3423" s="459" t="s">
        <v>885</v>
      </c>
      <c r="CR3423" s="459" t="s">
        <v>885</v>
      </c>
      <c r="CS3423" s="459" t="s">
        <v>885</v>
      </c>
      <c r="CT3423" s="245" t="s">
        <v>885</v>
      </c>
      <c r="CU3423" s="463" t="s">
        <v>885</v>
      </c>
      <c r="CV3423" s="245" t="s">
        <v>885</v>
      </c>
      <c r="CW3423" s="245" t="s">
        <v>885</v>
      </c>
      <c r="CX3423" s="459" t="s">
        <v>885</v>
      </c>
      <c r="CY3423" s="459" t="s">
        <v>885</v>
      </c>
      <c r="CZ3423" s="459" t="s">
        <v>885</v>
      </c>
      <c r="DA3423" s="459" t="s">
        <v>885</v>
      </c>
      <c r="DB3423" s="459" t="s">
        <v>885</v>
      </c>
      <c r="DC3423" s="459" t="s">
        <v>885</v>
      </c>
      <c r="DD3423" s="459" t="s">
        <v>885</v>
      </c>
      <c r="DE3423" s="459" t="s">
        <v>885</v>
      </c>
      <c r="DF3423" s="459" t="s">
        <v>885</v>
      </c>
      <c r="DG3423" s="459" t="s">
        <v>885</v>
      </c>
      <c r="DH3423" s="459" t="s">
        <v>885</v>
      </c>
      <c r="DI3423" s="459" t="s">
        <v>885</v>
      </c>
      <c r="DJ3423" s="459" t="s">
        <v>885</v>
      </c>
      <c r="DK3423" s="459" t="s">
        <v>885</v>
      </c>
      <c r="DL3423" s="459" t="s">
        <v>885</v>
      </c>
      <c r="DM3423" s="459" t="s">
        <v>885</v>
      </c>
      <c r="DN3423" s="459" t="s">
        <v>885</v>
      </c>
      <c r="DO3423" s="459" t="s">
        <v>885</v>
      </c>
      <c r="DP3423" t="s">
        <v>1812</v>
      </c>
      <c r="DQ3423" s="459" t="s">
        <v>885</v>
      </c>
      <c r="DR3423" s="459" t="s">
        <v>885</v>
      </c>
      <c r="DS3423" t="s">
        <v>1704</v>
      </c>
      <c r="DT3423" s="459" t="s">
        <v>885</v>
      </c>
      <c r="DU3423" s="459" t="s">
        <v>885</v>
      </c>
      <c r="DV3423" s="459" t="s">
        <v>885</v>
      </c>
      <c r="DW3423" s="245" t="s">
        <v>885</v>
      </c>
      <c r="DX3423" s="245" t="s">
        <v>885</v>
      </c>
      <c r="DY3423" s="245"/>
      <c r="DZ3423" s="470" t="str">
        <f t="shared" si="170"/>
        <v/>
      </c>
      <c r="EA3423" s="470" t="str">
        <f t="shared" si="171"/>
        <v/>
      </c>
    </row>
    <row r="3424" spans="1:131" ht="16" hidden="1" x14ac:dyDescent="0.4">
      <c r="A3424" s="813"/>
      <c r="BS3424" s="464" t="str">
        <f t="shared" si="172"/>
        <v/>
      </c>
      <c r="BZ3424" s="245" t="s">
        <v>885</v>
      </c>
      <c r="CA3424" s="245" t="s">
        <v>885</v>
      </c>
      <c r="CC3424" s="245" t="s">
        <v>885</v>
      </c>
      <c r="CD3424" s="459" t="s">
        <v>885</v>
      </c>
      <c r="CE3424" s="459" t="s">
        <v>885</v>
      </c>
      <c r="CF3424" s="245" t="s">
        <v>885</v>
      </c>
      <c r="CG3424" s="245" t="s">
        <v>885</v>
      </c>
      <c r="CH3424" s="245" t="s">
        <v>885</v>
      </c>
      <c r="CI3424" s="245" t="s">
        <v>885</v>
      </c>
      <c r="CJ3424" t="s">
        <v>1834</v>
      </c>
      <c r="CK3424" s="459" t="s">
        <v>885</v>
      </c>
      <c r="CL3424" s="459" t="s">
        <v>885</v>
      </c>
      <c r="CM3424" s="459" t="s">
        <v>885</v>
      </c>
      <c r="CN3424" s="459" t="s">
        <v>885</v>
      </c>
      <c r="CO3424" s="459" t="s">
        <v>885</v>
      </c>
      <c r="CP3424" s="459" t="s">
        <v>885</v>
      </c>
      <c r="CQ3424" s="459" t="s">
        <v>885</v>
      </c>
      <c r="CR3424" s="459" t="s">
        <v>885</v>
      </c>
      <c r="CS3424" s="459" t="s">
        <v>885</v>
      </c>
      <c r="CT3424" s="245" t="s">
        <v>885</v>
      </c>
      <c r="CU3424" s="463" t="s">
        <v>885</v>
      </c>
      <c r="CV3424" s="245" t="s">
        <v>885</v>
      </c>
      <c r="CW3424" s="245" t="s">
        <v>885</v>
      </c>
      <c r="CX3424" s="459" t="s">
        <v>885</v>
      </c>
      <c r="CY3424" s="459" t="s">
        <v>885</v>
      </c>
      <c r="CZ3424" s="459" t="s">
        <v>885</v>
      </c>
      <c r="DA3424" s="459" t="s">
        <v>885</v>
      </c>
      <c r="DB3424" s="459" t="s">
        <v>885</v>
      </c>
      <c r="DC3424" s="459" t="s">
        <v>885</v>
      </c>
      <c r="DD3424" s="459" t="s">
        <v>885</v>
      </c>
      <c r="DE3424" s="459" t="s">
        <v>885</v>
      </c>
      <c r="DF3424" s="459" t="s">
        <v>885</v>
      </c>
      <c r="DG3424" s="459" t="s">
        <v>885</v>
      </c>
      <c r="DH3424" s="459" t="s">
        <v>885</v>
      </c>
      <c r="DI3424" s="459" t="s">
        <v>885</v>
      </c>
      <c r="DJ3424" s="459" t="s">
        <v>885</v>
      </c>
      <c r="DK3424" s="459" t="s">
        <v>885</v>
      </c>
      <c r="DL3424" s="459" t="s">
        <v>885</v>
      </c>
      <c r="DM3424" s="459" t="s">
        <v>885</v>
      </c>
      <c r="DN3424" s="459" t="s">
        <v>885</v>
      </c>
      <c r="DO3424" s="459" t="s">
        <v>885</v>
      </c>
      <c r="DP3424" t="s">
        <v>1467</v>
      </c>
      <c r="DQ3424" s="459" t="s">
        <v>885</v>
      </c>
      <c r="DR3424" s="459" t="s">
        <v>885</v>
      </c>
      <c r="DS3424" t="s">
        <v>1946</v>
      </c>
      <c r="DT3424" s="459" t="s">
        <v>885</v>
      </c>
      <c r="DU3424" s="459" t="s">
        <v>885</v>
      </c>
      <c r="DV3424" s="459" t="s">
        <v>885</v>
      </c>
      <c r="DW3424" s="245" t="s">
        <v>885</v>
      </c>
      <c r="DX3424" s="245" t="s">
        <v>885</v>
      </c>
      <c r="DY3424" s="245"/>
      <c r="DZ3424" s="470" t="str">
        <f t="shared" ref="DZ3424:DZ3455" si="173">IF($B$265=$B$3281,EB3424,IF($B$265=$B$3282,ED3424,IF($B$265=$B$3283,EF3424,IF($B$265=$B$3284,EH3424,IF($B$265=$B$3285,EJ3424,IF($B$265=$B$3286,EL3424,IF($B$265=$B$3287,EN3424,IF($B$265=$B$3288,EP3424,IF($B$265=$B$3289,ER3424,IF($B$265=$B$3290,ET3424,IF($B$265=$B$3291,EV3424,IF($B$265=$B$3292,EX3424,IF($B$265=$B$3293,EZ3424,IF($B$265=$B$3294,FB3424,IF($B$265=$B$3295,FD3424,IF($B$265=$B$3296,BU3424,IF($B$265=$B$3297,FF3424,IF($B$265=$B$3298,FH3424,IF($B$265=$B$3299,FJ3424,IF($B$265=$B$3300,FL3424,IF($B$265=$B$3301,FN3424,IF($B$265=$B$3302,FP3424,IF(BI$265=$B$3303,FR3424,IF($B$265=$B$3304,FT3424,IF($B$265=$B$3305,FV3424,IF($B$265=$B$3306,FX3424,IF($B$265=$B$3307,FZ3424,IF($B$265=$B$3308,GB3424,IF($B$265=$B$3309,GD3424,IF($B$265=$B$3310,GF3424,IF($B$265=$B$3311,GH3424,IF($B$265=$B$3312,GJ3424,IF($B$265=$B$3313,GL3424,IF($B$265=$B$3314,GN3424,IF($B$265=$B$3315,GP3424,IF($B$265=$B$3316,GR3424,IF($B$265=$B$3317,GT3424,IF($B$265=$B$3318,GV3424,IF($B$265=$B$3319,GX3424,IF($B$265=$B$3320,GZ3424,IF($B$265=$B$3321,HB3424,IF($B$265=$B$3322,HD3424,IF($B$265=$B$3323,HF3424,IF($B$265=$B$3324,HH3424,IF($B$265=$B$3325,HJ3424,IF($B$265=$B$3326,HL3424,IF($B$265=$B$3327,HN3424,IF($B$265=$B$3328,HP3424,IF($B$265=$B$3329,HR3424,IF($B$265=$B$3330,HT3424,IF($B$265=$B$3331,HV3424,IF($B$265=$B$3332,HX3424,""))))))))))))))))))))))))))))))))))))))))))))))))))))</f>
        <v/>
      </c>
      <c r="EA3424" s="470" t="str">
        <f t="shared" ref="EA3424:EA3455" si="174">IF($B$265=$B$3281,EC3424,IF($B$265=$B$3282,EE3424,IF($B$265=$B$3283,EG3424,IF($B$265=$B$3284,EI3424,IF($B$265=$B$3285,EK3424,IF($B$265=$B$3286,EM3424,IF($B$265=$B$3287,EO3424,IF($B$265=$B$3288,EQ3424,IF($B$265=$B$3289,ES3424,IF($B$265=$B$3290,EU3424,IF($B$265=$B$3291,EW3424,IF($B$265=$B$3292,EY3424,IF($B$265=$B$3293,FA3424,IF($B$265=$B$3294,FC3424,IF($B$265=$B$3295,FE3424,IF($B$265=$B$3296,BK3424,IF($B$265=$B$3297,FG3424,IF($B$265=$B$3298,FI3424,IF($B$265=$B$3299,FK3424,IF($B$265=$B$3300,FM3424,IF($B$265=$B$3301,FO3424,IF($B$265=$B$3302,FQ3424,IF(BJ$265=$B$3303,FS3424,IF($B$265=$B$3304,FU3424,IF($B$265=$B$3305,FW3424,IF($B$265=$B$3306,FY3424,IF($B$265=$B$3307,GA3424,IF($B$265=$B$3308,GC3424,IF($B$265=$B$3309,GE3424,IF($B$265=$B$3310,GG3424,IF($B$265=$B$3311,GI3424,IF($B$265=$B$3312,GK3424,IF($B$265=$B$3313,GM3424,IF($B$265=$B$3314,GO3424,IF($B$265=$B$3315,GQ3424,IF($B$265=$B$3316,GS3424,IF($B$265=$B$3317,GU3424,IF($B$265=$B$3318,GW3424,IF($B$265=$B$3319,GY3424,IF($B$265=$B$3320,HA3424,IF($B$265=$B$3321,HC3424,IF($B$265=$B$3322,HE3424,IF($B$265=$B$3323,HG3424,IF($B$265=$B$3324,HI3424,IF($B$265=$B$3325,HK3424,IF($B$265=$B$3326,HM3424,IF($B$265=$B$3327,HO3424,IF($B$265=$B$3328,HQ3424,IF($B$265=$B$3329,HS3424,IF($B$265=$B$3330,HU3424,IF($B$265=$B$3331,HW3424,IF($B$265=$B$3332,HY3424,""))))))))))))))))))))))))))))))))))))))))))))))))))))</f>
        <v/>
      </c>
    </row>
    <row r="3425" spans="1:132" ht="16" hidden="1" x14ac:dyDescent="0.4">
      <c r="A3425" s="813"/>
      <c r="BS3425" s="464" t="str">
        <f t="shared" si="172"/>
        <v/>
      </c>
      <c r="BZ3425" s="245" t="s">
        <v>885</v>
      </c>
      <c r="CA3425" s="245" t="s">
        <v>885</v>
      </c>
      <c r="CC3425" s="245" t="s">
        <v>885</v>
      </c>
      <c r="CD3425" s="459" t="s">
        <v>885</v>
      </c>
      <c r="CE3425" s="459" t="s">
        <v>885</v>
      </c>
      <c r="CF3425" s="245" t="s">
        <v>885</v>
      </c>
      <c r="CG3425" s="245" t="s">
        <v>885</v>
      </c>
      <c r="CH3425" s="245" t="s">
        <v>885</v>
      </c>
      <c r="CI3425" s="245" t="s">
        <v>885</v>
      </c>
      <c r="CJ3425" t="s">
        <v>1835</v>
      </c>
      <c r="CK3425" s="459" t="s">
        <v>885</v>
      </c>
      <c r="CL3425" s="459" t="s">
        <v>885</v>
      </c>
      <c r="CM3425" s="459" t="s">
        <v>885</v>
      </c>
      <c r="CN3425" s="459" t="s">
        <v>885</v>
      </c>
      <c r="CO3425" s="459" t="s">
        <v>885</v>
      </c>
      <c r="CP3425" s="459" t="s">
        <v>885</v>
      </c>
      <c r="CQ3425" s="459" t="s">
        <v>885</v>
      </c>
      <c r="CR3425" s="459" t="s">
        <v>885</v>
      </c>
      <c r="CS3425" s="459" t="s">
        <v>885</v>
      </c>
      <c r="CT3425" s="245" t="s">
        <v>885</v>
      </c>
      <c r="CU3425" s="463" t="s">
        <v>885</v>
      </c>
      <c r="CV3425" s="245" t="s">
        <v>885</v>
      </c>
      <c r="CW3425" s="245" t="s">
        <v>885</v>
      </c>
      <c r="CX3425" s="459" t="s">
        <v>885</v>
      </c>
      <c r="CY3425" s="459" t="s">
        <v>885</v>
      </c>
      <c r="CZ3425" s="459" t="s">
        <v>885</v>
      </c>
      <c r="DA3425" s="459" t="s">
        <v>885</v>
      </c>
      <c r="DB3425" s="459" t="s">
        <v>885</v>
      </c>
      <c r="DC3425" s="459" t="s">
        <v>885</v>
      </c>
      <c r="DD3425" s="459" t="s">
        <v>885</v>
      </c>
      <c r="DE3425" s="459" t="s">
        <v>885</v>
      </c>
      <c r="DF3425" s="459" t="s">
        <v>885</v>
      </c>
      <c r="DG3425" s="459" t="s">
        <v>885</v>
      </c>
      <c r="DH3425" s="459" t="s">
        <v>885</v>
      </c>
      <c r="DI3425" s="459" t="s">
        <v>885</v>
      </c>
      <c r="DJ3425" s="459" t="s">
        <v>885</v>
      </c>
      <c r="DK3425" s="459" t="s">
        <v>885</v>
      </c>
      <c r="DL3425" s="459" t="s">
        <v>885</v>
      </c>
      <c r="DM3425" s="459" t="s">
        <v>885</v>
      </c>
      <c r="DN3425" s="459" t="s">
        <v>885</v>
      </c>
      <c r="DO3425" s="459" t="s">
        <v>885</v>
      </c>
      <c r="DP3425" t="s">
        <v>3005</v>
      </c>
      <c r="DQ3425" s="459" t="s">
        <v>885</v>
      </c>
      <c r="DR3425" s="459" t="s">
        <v>885</v>
      </c>
      <c r="DS3425" t="s">
        <v>3193</v>
      </c>
      <c r="DT3425" s="459" t="s">
        <v>885</v>
      </c>
      <c r="DU3425" s="459" t="s">
        <v>885</v>
      </c>
      <c r="DV3425" s="459" t="s">
        <v>885</v>
      </c>
      <c r="DW3425" s="245" t="s">
        <v>885</v>
      </c>
      <c r="DX3425" s="245" t="s">
        <v>885</v>
      </c>
      <c r="DY3425" s="245"/>
      <c r="DZ3425" s="470" t="str">
        <f t="shared" si="173"/>
        <v/>
      </c>
      <c r="EA3425" s="470" t="str">
        <f t="shared" si="174"/>
        <v/>
      </c>
    </row>
    <row r="3426" spans="1:132" ht="16" hidden="1" x14ac:dyDescent="0.4">
      <c r="A3426" s="813"/>
      <c r="BS3426" s="464" t="str">
        <f t="shared" si="172"/>
        <v/>
      </c>
      <c r="BZ3426" s="245" t="s">
        <v>885</v>
      </c>
      <c r="CA3426" s="245" t="s">
        <v>885</v>
      </c>
      <c r="CC3426" s="245" t="s">
        <v>885</v>
      </c>
      <c r="CD3426" s="459" t="s">
        <v>885</v>
      </c>
      <c r="CE3426" s="459" t="s">
        <v>885</v>
      </c>
      <c r="CF3426" s="245" t="s">
        <v>885</v>
      </c>
      <c r="CG3426" s="245" t="s">
        <v>885</v>
      </c>
      <c r="CH3426" s="245" t="s">
        <v>885</v>
      </c>
      <c r="CI3426" s="245" t="s">
        <v>885</v>
      </c>
      <c r="CJ3426" t="s">
        <v>1748</v>
      </c>
      <c r="CK3426" s="459" t="s">
        <v>885</v>
      </c>
      <c r="CL3426" s="459" t="s">
        <v>885</v>
      </c>
      <c r="CM3426" s="459" t="s">
        <v>885</v>
      </c>
      <c r="CN3426" s="459" t="s">
        <v>885</v>
      </c>
      <c r="CO3426" s="459" t="s">
        <v>885</v>
      </c>
      <c r="CP3426" s="459" t="s">
        <v>885</v>
      </c>
      <c r="CQ3426" s="459" t="s">
        <v>885</v>
      </c>
      <c r="CR3426" s="459" t="s">
        <v>885</v>
      </c>
      <c r="CS3426" s="459" t="s">
        <v>885</v>
      </c>
      <c r="CT3426" s="245" t="s">
        <v>885</v>
      </c>
      <c r="CU3426" s="463" t="s">
        <v>885</v>
      </c>
      <c r="CV3426" s="245" t="s">
        <v>885</v>
      </c>
      <c r="CW3426" s="245" t="s">
        <v>885</v>
      </c>
      <c r="CX3426" s="459" t="s">
        <v>885</v>
      </c>
      <c r="CY3426" s="459" t="s">
        <v>885</v>
      </c>
      <c r="CZ3426" s="459" t="s">
        <v>885</v>
      </c>
      <c r="DA3426" s="459" t="s">
        <v>885</v>
      </c>
      <c r="DB3426" s="459" t="s">
        <v>885</v>
      </c>
      <c r="DC3426" s="459" t="s">
        <v>885</v>
      </c>
      <c r="DD3426" s="459" t="s">
        <v>885</v>
      </c>
      <c r="DE3426" s="459" t="s">
        <v>885</v>
      </c>
      <c r="DF3426" s="459" t="s">
        <v>885</v>
      </c>
      <c r="DG3426" s="459" t="s">
        <v>885</v>
      </c>
      <c r="DH3426" s="459" t="s">
        <v>885</v>
      </c>
      <c r="DI3426" s="459" t="s">
        <v>885</v>
      </c>
      <c r="DJ3426" s="459" t="s">
        <v>885</v>
      </c>
      <c r="DK3426" s="459" t="s">
        <v>885</v>
      </c>
      <c r="DL3426" s="459" t="s">
        <v>885</v>
      </c>
      <c r="DM3426" s="459" t="s">
        <v>885</v>
      </c>
      <c r="DN3426" s="459" t="s">
        <v>885</v>
      </c>
      <c r="DO3426" s="459" t="s">
        <v>885</v>
      </c>
      <c r="DP3426" t="s">
        <v>3006</v>
      </c>
      <c r="DQ3426" s="459" t="s">
        <v>885</v>
      </c>
      <c r="DR3426" s="459" t="s">
        <v>885</v>
      </c>
      <c r="DS3426" t="s">
        <v>1854</v>
      </c>
      <c r="DT3426" s="459" t="s">
        <v>885</v>
      </c>
      <c r="DU3426" s="459" t="s">
        <v>885</v>
      </c>
      <c r="DV3426" s="459" t="s">
        <v>885</v>
      </c>
      <c r="DW3426" s="245" t="s">
        <v>885</v>
      </c>
      <c r="DX3426" s="245" t="s">
        <v>885</v>
      </c>
      <c r="DY3426" s="245"/>
      <c r="DZ3426" s="470" t="str">
        <f t="shared" si="173"/>
        <v/>
      </c>
      <c r="EA3426" s="470" t="str">
        <f t="shared" si="174"/>
        <v/>
      </c>
    </row>
    <row r="3427" spans="1:132" ht="16" hidden="1" x14ac:dyDescent="0.4">
      <c r="A3427" s="813"/>
      <c r="BS3427" s="464" t="str">
        <f t="shared" si="172"/>
        <v/>
      </c>
      <c r="BZ3427" s="245" t="s">
        <v>885</v>
      </c>
      <c r="CA3427" s="245" t="s">
        <v>885</v>
      </c>
      <c r="CC3427" s="245" t="s">
        <v>885</v>
      </c>
      <c r="CD3427" s="459" t="s">
        <v>885</v>
      </c>
      <c r="CE3427" s="459" t="s">
        <v>885</v>
      </c>
      <c r="CF3427" s="245" t="s">
        <v>885</v>
      </c>
      <c r="CG3427" s="245" t="s">
        <v>885</v>
      </c>
      <c r="CH3427" s="245" t="s">
        <v>885</v>
      </c>
      <c r="CI3427" s="245" t="s">
        <v>885</v>
      </c>
      <c r="CJ3427" t="s">
        <v>1836</v>
      </c>
      <c r="CK3427" s="459" t="s">
        <v>885</v>
      </c>
      <c r="CL3427" s="459" t="s">
        <v>885</v>
      </c>
      <c r="CM3427" s="459" t="s">
        <v>885</v>
      </c>
      <c r="CN3427" s="459" t="s">
        <v>885</v>
      </c>
      <c r="CO3427" s="459" t="s">
        <v>885</v>
      </c>
      <c r="CP3427" s="459" t="s">
        <v>885</v>
      </c>
      <c r="CQ3427" s="459" t="s">
        <v>885</v>
      </c>
      <c r="CR3427" s="459" t="s">
        <v>885</v>
      </c>
      <c r="CS3427" s="459" t="s">
        <v>885</v>
      </c>
      <c r="CT3427" s="245" t="s">
        <v>885</v>
      </c>
      <c r="CU3427" s="463" t="s">
        <v>885</v>
      </c>
      <c r="CV3427" s="245" t="s">
        <v>885</v>
      </c>
      <c r="CW3427" s="245" t="s">
        <v>885</v>
      </c>
      <c r="CX3427" s="459" t="s">
        <v>885</v>
      </c>
      <c r="CY3427" s="459" t="s">
        <v>885</v>
      </c>
      <c r="CZ3427" s="459" t="s">
        <v>885</v>
      </c>
      <c r="DA3427" s="459" t="s">
        <v>885</v>
      </c>
      <c r="DB3427" s="459" t="s">
        <v>885</v>
      </c>
      <c r="DC3427" s="459" t="s">
        <v>885</v>
      </c>
      <c r="DD3427" s="459" t="s">
        <v>885</v>
      </c>
      <c r="DE3427" s="459" t="s">
        <v>885</v>
      </c>
      <c r="DF3427" s="459" t="s">
        <v>885</v>
      </c>
      <c r="DG3427" s="459" t="s">
        <v>885</v>
      </c>
      <c r="DH3427" s="459" t="s">
        <v>885</v>
      </c>
      <c r="DI3427" s="459" t="s">
        <v>885</v>
      </c>
      <c r="DJ3427" s="459" t="s">
        <v>885</v>
      </c>
      <c r="DK3427" s="459" t="s">
        <v>885</v>
      </c>
      <c r="DL3427" s="459" t="s">
        <v>885</v>
      </c>
      <c r="DM3427" s="459" t="s">
        <v>885</v>
      </c>
      <c r="DN3427" s="459" t="s">
        <v>885</v>
      </c>
      <c r="DO3427" s="459" t="s">
        <v>885</v>
      </c>
      <c r="DP3427" t="s">
        <v>1554</v>
      </c>
      <c r="DQ3427" s="459" t="s">
        <v>885</v>
      </c>
      <c r="DR3427" s="459" t="s">
        <v>885</v>
      </c>
      <c r="DS3427" t="s">
        <v>1495</v>
      </c>
      <c r="DT3427" s="459" t="s">
        <v>885</v>
      </c>
      <c r="DU3427" s="459" t="s">
        <v>885</v>
      </c>
      <c r="DV3427" s="459" t="s">
        <v>885</v>
      </c>
      <c r="DW3427" s="245" t="s">
        <v>885</v>
      </c>
      <c r="DX3427" s="245" t="s">
        <v>885</v>
      </c>
      <c r="DY3427" s="245"/>
      <c r="DZ3427" s="470" t="str">
        <f t="shared" si="173"/>
        <v/>
      </c>
      <c r="EA3427" s="470" t="str">
        <f t="shared" si="174"/>
        <v/>
      </c>
    </row>
    <row r="3428" spans="1:132" ht="16" hidden="1" x14ac:dyDescent="0.4">
      <c r="A3428" s="813"/>
      <c r="BS3428" s="464" t="str">
        <f t="shared" si="172"/>
        <v/>
      </c>
      <c r="BZ3428" s="245" t="s">
        <v>885</v>
      </c>
      <c r="CA3428" s="245" t="s">
        <v>885</v>
      </c>
      <c r="CC3428" s="245" t="s">
        <v>885</v>
      </c>
      <c r="CD3428" s="459" t="s">
        <v>885</v>
      </c>
      <c r="CE3428" s="459" t="s">
        <v>885</v>
      </c>
      <c r="CF3428" s="245" t="s">
        <v>885</v>
      </c>
      <c r="CG3428" s="245" t="s">
        <v>885</v>
      </c>
      <c r="CH3428" s="245" t="s">
        <v>885</v>
      </c>
      <c r="CI3428" s="245" t="s">
        <v>885</v>
      </c>
      <c r="CJ3428" t="s">
        <v>1837</v>
      </c>
      <c r="CK3428" s="459" t="s">
        <v>885</v>
      </c>
      <c r="CL3428" s="459" t="s">
        <v>885</v>
      </c>
      <c r="CM3428" s="459" t="s">
        <v>885</v>
      </c>
      <c r="CN3428" s="459" t="s">
        <v>885</v>
      </c>
      <c r="CO3428" s="459" t="s">
        <v>885</v>
      </c>
      <c r="CP3428" s="459" t="s">
        <v>885</v>
      </c>
      <c r="CQ3428" s="459" t="s">
        <v>885</v>
      </c>
      <c r="CR3428" s="459" t="s">
        <v>885</v>
      </c>
      <c r="CS3428" s="459" t="s">
        <v>885</v>
      </c>
      <c r="CT3428" s="245" t="s">
        <v>885</v>
      </c>
      <c r="CU3428" s="463" t="s">
        <v>885</v>
      </c>
      <c r="CV3428" s="245" t="s">
        <v>885</v>
      </c>
      <c r="CW3428" s="245" t="s">
        <v>885</v>
      </c>
      <c r="CX3428" s="459" t="s">
        <v>885</v>
      </c>
      <c r="CY3428" s="459" t="s">
        <v>885</v>
      </c>
      <c r="CZ3428" s="459" t="s">
        <v>885</v>
      </c>
      <c r="DA3428" s="459" t="s">
        <v>885</v>
      </c>
      <c r="DB3428" s="459" t="s">
        <v>885</v>
      </c>
      <c r="DC3428" s="459" t="s">
        <v>885</v>
      </c>
      <c r="DD3428" s="459" t="s">
        <v>885</v>
      </c>
      <c r="DE3428" s="459" t="s">
        <v>885</v>
      </c>
      <c r="DF3428" s="459" t="s">
        <v>885</v>
      </c>
      <c r="DG3428" s="459" t="s">
        <v>885</v>
      </c>
      <c r="DH3428" s="459" t="s">
        <v>885</v>
      </c>
      <c r="DI3428" s="459" t="s">
        <v>885</v>
      </c>
      <c r="DJ3428" s="459" t="s">
        <v>885</v>
      </c>
      <c r="DK3428" s="459" t="s">
        <v>885</v>
      </c>
      <c r="DL3428" s="459" t="s">
        <v>885</v>
      </c>
      <c r="DM3428" s="459" t="s">
        <v>885</v>
      </c>
      <c r="DN3428" s="459" t="s">
        <v>885</v>
      </c>
      <c r="DO3428" s="459" t="s">
        <v>885</v>
      </c>
      <c r="DP3428" t="s">
        <v>1814</v>
      </c>
      <c r="DQ3428" s="459" t="s">
        <v>885</v>
      </c>
      <c r="DR3428" s="459" t="s">
        <v>885</v>
      </c>
      <c r="DS3428" t="s">
        <v>3194</v>
      </c>
      <c r="DT3428" s="459" t="s">
        <v>885</v>
      </c>
      <c r="DU3428" s="459" t="s">
        <v>885</v>
      </c>
      <c r="DV3428" s="459" t="s">
        <v>885</v>
      </c>
      <c r="DW3428" s="245" t="s">
        <v>885</v>
      </c>
      <c r="DX3428" s="245" t="s">
        <v>885</v>
      </c>
      <c r="DY3428" s="245"/>
      <c r="DZ3428" s="470" t="str">
        <f t="shared" si="173"/>
        <v/>
      </c>
      <c r="EA3428" s="470" t="str">
        <f t="shared" si="174"/>
        <v/>
      </c>
    </row>
    <row r="3429" spans="1:132" ht="16" hidden="1" x14ac:dyDescent="0.4">
      <c r="A3429" s="813"/>
      <c r="BB3429" s="48"/>
      <c r="BS3429" s="464" t="str">
        <f t="shared" si="172"/>
        <v/>
      </c>
      <c r="BZ3429" s="245" t="s">
        <v>885</v>
      </c>
      <c r="CA3429" s="245" t="s">
        <v>885</v>
      </c>
      <c r="CC3429" s="245" t="s">
        <v>885</v>
      </c>
      <c r="CD3429" s="459" t="s">
        <v>885</v>
      </c>
      <c r="CE3429" s="459" t="s">
        <v>885</v>
      </c>
      <c r="CF3429" s="245" t="s">
        <v>885</v>
      </c>
      <c r="CG3429" s="245" t="s">
        <v>885</v>
      </c>
      <c r="CH3429" s="245" t="s">
        <v>885</v>
      </c>
      <c r="CI3429" s="245" t="s">
        <v>885</v>
      </c>
      <c r="CJ3429" t="s">
        <v>1838</v>
      </c>
      <c r="CK3429" s="459" t="s">
        <v>885</v>
      </c>
      <c r="CL3429" s="459" t="s">
        <v>885</v>
      </c>
      <c r="CM3429" s="459" t="s">
        <v>885</v>
      </c>
      <c r="CN3429" s="459" t="s">
        <v>885</v>
      </c>
      <c r="CO3429" s="459" t="s">
        <v>885</v>
      </c>
      <c r="CP3429" s="459" t="s">
        <v>885</v>
      </c>
      <c r="CQ3429" s="459" t="s">
        <v>885</v>
      </c>
      <c r="CR3429" s="459" t="s">
        <v>885</v>
      </c>
      <c r="CS3429" s="459" t="s">
        <v>885</v>
      </c>
      <c r="CT3429" s="245" t="s">
        <v>885</v>
      </c>
      <c r="CU3429" s="463" t="s">
        <v>885</v>
      </c>
      <c r="CV3429" s="245" t="s">
        <v>885</v>
      </c>
      <c r="CW3429" s="245" t="s">
        <v>885</v>
      </c>
      <c r="CX3429" s="459" t="s">
        <v>885</v>
      </c>
      <c r="CY3429" s="459" t="s">
        <v>885</v>
      </c>
      <c r="CZ3429" s="459" t="s">
        <v>885</v>
      </c>
      <c r="DA3429" s="459" t="s">
        <v>885</v>
      </c>
      <c r="DB3429" s="459" t="s">
        <v>885</v>
      </c>
      <c r="DC3429" s="459" t="s">
        <v>885</v>
      </c>
      <c r="DD3429" s="459" t="s">
        <v>885</v>
      </c>
      <c r="DE3429" s="459" t="s">
        <v>885</v>
      </c>
      <c r="DF3429" s="459" t="s">
        <v>885</v>
      </c>
      <c r="DG3429" s="459" t="s">
        <v>885</v>
      </c>
      <c r="DH3429" s="459" t="s">
        <v>885</v>
      </c>
      <c r="DI3429" s="459" t="s">
        <v>885</v>
      </c>
      <c r="DJ3429" s="459" t="s">
        <v>885</v>
      </c>
      <c r="DK3429" s="459" t="s">
        <v>885</v>
      </c>
      <c r="DL3429" s="459" t="s">
        <v>885</v>
      </c>
      <c r="DM3429" s="459" t="s">
        <v>885</v>
      </c>
      <c r="DN3429" s="459" t="s">
        <v>885</v>
      </c>
      <c r="DO3429" s="459" t="s">
        <v>885</v>
      </c>
      <c r="DP3429" t="s">
        <v>3007</v>
      </c>
      <c r="DQ3429" s="459" t="s">
        <v>885</v>
      </c>
      <c r="DR3429" s="459" t="s">
        <v>885</v>
      </c>
      <c r="DS3429" t="s">
        <v>2836</v>
      </c>
      <c r="DT3429" s="459" t="s">
        <v>885</v>
      </c>
      <c r="DU3429" s="459" t="s">
        <v>885</v>
      </c>
      <c r="DV3429" s="459" t="s">
        <v>885</v>
      </c>
      <c r="DW3429" s="245" t="s">
        <v>885</v>
      </c>
      <c r="DX3429" s="245" t="s">
        <v>885</v>
      </c>
      <c r="DY3429" s="245"/>
      <c r="DZ3429" s="470" t="str">
        <f t="shared" si="173"/>
        <v/>
      </c>
      <c r="EA3429" s="470" t="str">
        <f t="shared" si="174"/>
        <v/>
      </c>
    </row>
    <row r="3430" spans="1:132" ht="16" hidden="1" x14ac:dyDescent="0.4">
      <c r="A3430" s="813"/>
      <c r="BB3430" s="48"/>
      <c r="BS3430" s="464" t="str">
        <f t="shared" si="172"/>
        <v/>
      </c>
      <c r="BZ3430" s="245" t="s">
        <v>885</v>
      </c>
      <c r="CA3430" s="245" t="s">
        <v>885</v>
      </c>
      <c r="CC3430" s="245" t="s">
        <v>885</v>
      </c>
      <c r="CD3430" s="459" t="s">
        <v>885</v>
      </c>
      <c r="CE3430" s="459" t="s">
        <v>885</v>
      </c>
      <c r="CF3430" s="245" t="s">
        <v>885</v>
      </c>
      <c r="CG3430" s="245" t="s">
        <v>885</v>
      </c>
      <c r="CH3430" s="245" t="s">
        <v>885</v>
      </c>
      <c r="CI3430" s="245" t="s">
        <v>885</v>
      </c>
      <c r="CJ3430" t="s">
        <v>1490</v>
      </c>
      <c r="CK3430" s="459" t="s">
        <v>885</v>
      </c>
      <c r="CL3430" s="459" t="s">
        <v>885</v>
      </c>
      <c r="CM3430" s="459" t="s">
        <v>885</v>
      </c>
      <c r="CN3430" s="459" t="s">
        <v>885</v>
      </c>
      <c r="CO3430" s="459" t="s">
        <v>885</v>
      </c>
      <c r="CP3430" s="459" t="s">
        <v>885</v>
      </c>
      <c r="CQ3430" s="459" t="s">
        <v>885</v>
      </c>
      <c r="CR3430" s="459" t="s">
        <v>885</v>
      </c>
      <c r="CS3430" s="459" t="s">
        <v>885</v>
      </c>
      <c r="CT3430" s="245" t="s">
        <v>885</v>
      </c>
      <c r="CU3430" s="463" t="s">
        <v>885</v>
      </c>
      <c r="CV3430" s="245" t="s">
        <v>885</v>
      </c>
      <c r="CW3430" s="245" t="s">
        <v>885</v>
      </c>
      <c r="CX3430" s="459" t="s">
        <v>885</v>
      </c>
      <c r="CY3430" s="459" t="s">
        <v>885</v>
      </c>
      <c r="CZ3430" s="459" t="s">
        <v>885</v>
      </c>
      <c r="DA3430" s="459" t="s">
        <v>885</v>
      </c>
      <c r="DB3430" s="459" t="s">
        <v>885</v>
      </c>
      <c r="DC3430" s="459" t="s">
        <v>885</v>
      </c>
      <c r="DD3430" s="459" t="s">
        <v>885</v>
      </c>
      <c r="DE3430" s="459" t="s">
        <v>885</v>
      </c>
      <c r="DF3430" s="459" t="s">
        <v>885</v>
      </c>
      <c r="DG3430" s="459" t="s">
        <v>885</v>
      </c>
      <c r="DH3430" s="459" t="s">
        <v>885</v>
      </c>
      <c r="DI3430" s="459" t="s">
        <v>885</v>
      </c>
      <c r="DJ3430" s="459" t="s">
        <v>885</v>
      </c>
      <c r="DK3430" s="459" t="s">
        <v>885</v>
      </c>
      <c r="DL3430" s="459" t="s">
        <v>885</v>
      </c>
      <c r="DM3430" s="459" t="s">
        <v>885</v>
      </c>
      <c r="DN3430" s="459" t="s">
        <v>885</v>
      </c>
      <c r="DO3430" s="459" t="s">
        <v>885</v>
      </c>
      <c r="DP3430" t="s">
        <v>3008</v>
      </c>
      <c r="DQ3430" s="459" t="s">
        <v>885</v>
      </c>
      <c r="DR3430" s="459" t="s">
        <v>885</v>
      </c>
      <c r="DS3430" t="s">
        <v>3195</v>
      </c>
      <c r="DT3430" s="459" t="s">
        <v>885</v>
      </c>
      <c r="DU3430" s="459" t="s">
        <v>885</v>
      </c>
      <c r="DV3430" s="459" t="s">
        <v>885</v>
      </c>
      <c r="DW3430" s="245" t="s">
        <v>885</v>
      </c>
      <c r="DX3430" s="245" t="s">
        <v>885</v>
      </c>
      <c r="DY3430" s="245"/>
      <c r="DZ3430" s="470" t="str">
        <f t="shared" si="173"/>
        <v/>
      </c>
      <c r="EA3430" s="470" t="str">
        <f t="shared" si="174"/>
        <v/>
      </c>
    </row>
    <row r="3431" spans="1:132" ht="16" hidden="1" x14ac:dyDescent="0.4">
      <c r="A3431" s="813"/>
      <c r="BB3431" s="48"/>
      <c r="BS3431" s="464" t="str">
        <f t="shared" si="172"/>
        <v/>
      </c>
      <c r="BZ3431" s="245" t="s">
        <v>885</v>
      </c>
      <c r="CA3431" s="245" t="s">
        <v>885</v>
      </c>
      <c r="CC3431" s="245" t="s">
        <v>885</v>
      </c>
      <c r="CD3431" s="459" t="s">
        <v>885</v>
      </c>
      <c r="CE3431" s="459" t="s">
        <v>885</v>
      </c>
      <c r="CF3431" s="245" t="s">
        <v>885</v>
      </c>
      <c r="CG3431" s="245" t="s">
        <v>885</v>
      </c>
      <c r="CH3431" s="245" t="s">
        <v>885</v>
      </c>
      <c r="CI3431" s="245" t="s">
        <v>885</v>
      </c>
      <c r="CJ3431" t="s">
        <v>1839</v>
      </c>
      <c r="CK3431" s="459" t="s">
        <v>885</v>
      </c>
      <c r="CL3431" s="459" t="s">
        <v>885</v>
      </c>
      <c r="CM3431" s="459" t="s">
        <v>885</v>
      </c>
      <c r="CN3431" s="459" t="s">
        <v>885</v>
      </c>
      <c r="CO3431" s="459" t="s">
        <v>885</v>
      </c>
      <c r="CP3431" s="459" t="s">
        <v>885</v>
      </c>
      <c r="CQ3431" s="459" t="s">
        <v>885</v>
      </c>
      <c r="CR3431" s="459" t="s">
        <v>885</v>
      </c>
      <c r="CS3431" s="459" t="s">
        <v>885</v>
      </c>
      <c r="CT3431" s="245" t="s">
        <v>885</v>
      </c>
      <c r="CU3431" s="463" t="s">
        <v>885</v>
      </c>
      <c r="CV3431" s="245" t="s">
        <v>885</v>
      </c>
      <c r="CW3431" s="245" t="s">
        <v>885</v>
      </c>
      <c r="CX3431" s="459" t="s">
        <v>885</v>
      </c>
      <c r="CY3431" s="459" t="s">
        <v>885</v>
      </c>
      <c r="CZ3431" s="459" t="s">
        <v>885</v>
      </c>
      <c r="DA3431" s="459" t="s">
        <v>885</v>
      </c>
      <c r="DB3431" s="459" t="s">
        <v>885</v>
      </c>
      <c r="DC3431" s="459" t="s">
        <v>885</v>
      </c>
      <c r="DD3431" s="459" t="s">
        <v>885</v>
      </c>
      <c r="DE3431" s="459" t="s">
        <v>885</v>
      </c>
      <c r="DF3431" s="459" t="s">
        <v>885</v>
      </c>
      <c r="DG3431" s="459" t="s">
        <v>885</v>
      </c>
      <c r="DH3431" s="459" t="s">
        <v>885</v>
      </c>
      <c r="DI3431" s="459" t="s">
        <v>885</v>
      </c>
      <c r="DJ3431" s="459" t="s">
        <v>885</v>
      </c>
      <c r="DK3431" s="459" t="s">
        <v>885</v>
      </c>
      <c r="DL3431" s="459" t="s">
        <v>885</v>
      </c>
      <c r="DM3431" s="459" t="s">
        <v>885</v>
      </c>
      <c r="DN3431" s="459" t="s">
        <v>885</v>
      </c>
      <c r="DO3431" s="459" t="s">
        <v>885</v>
      </c>
      <c r="DP3431" t="s">
        <v>1924</v>
      </c>
      <c r="DQ3431" s="459" t="s">
        <v>885</v>
      </c>
      <c r="DR3431" s="459" t="s">
        <v>885</v>
      </c>
      <c r="DS3431" t="s">
        <v>3196</v>
      </c>
      <c r="DT3431" s="459" t="s">
        <v>885</v>
      </c>
      <c r="DU3431" s="459" t="s">
        <v>885</v>
      </c>
      <c r="DV3431" s="459" t="s">
        <v>885</v>
      </c>
      <c r="DW3431" s="245" t="s">
        <v>885</v>
      </c>
      <c r="DX3431" s="245" t="s">
        <v>885</v>
      </c>
      <c r="DY3431" s="245"/>
      <c r="DZ3431" s="470" t="str">
        <f t="shared" si="173"/>
        <v/>
      </c>
      <c r="EA3431" s="470" t="str">
        <f t="shared" si="174"/>
        <v/>
      </c>
    </row>
    <row r="3432" spans="1:132" ht="16" hidden="1" x14ac:dyDescent="0.4">
      <c r="A3432" s="813"/>
      <c r="BB3432" s="48"/>
      <c r="BS3432" s="464" t="str">
        <f t="shared" si="172"/>
        <v/>
      </c>
      <c r="BZ3432" s="245" t="s">
        <v>885</v>
      </c>
      <c r="CA3432" s="245" t="s">
        <v>885</v>
      </c>
      <c r="CC3432" s="245" t="s">
        <v>885</v>
      </c>
      <c r="CD3432" s="459" t="s">
        <v>885</v>
      </c>
      <c r="CE3432" s="459" t="s">
        <v>885</v>
      </c>
      <c r="CF3432" s="245" t="s">
        <v>885</v>
      </c>
      <c r="CG3432" s="245" t="s">
        <v>885</v>
      </c>
      <c r="CH3432" s="245" t="s">
        <v>885</v>
      </c>
      <c r="CI3432" s="245" t="s">
        <v>885</v>
      </c>
      <c r="CJ3432" t="s">
        <v>1840</v>
      </c>
      <c r="CK3432" s="459" t="s">
        <v>885</v>
      </c>
      <c r="CL3432" s="459" t="s">
        <v>885</v>
      </c>
      <c r="CM3432" s="459" t="s">
        <v>885</v>
      </c>
      <c r="CN3432" s="459" t="s">
        <v>885</v>
      </c>
      <c r="CO3432" s="459" t="s">
        <v>885</v>
      </c>
      <c r="CP3432" s="459" t="s">
        <v>885</v>
      </c>
      <c r="CQ3432" s="459" t="s">
        <v>885</v>
      </c>
      <c r="CR3432" s="459" t="s">
        <v>885</v>
      </c>
      <c r="CS3432" s="459" t="s">
        <v>885</v>
      </c>
      <c r="CT3432" s="245" t="s">
        <v>885</v>
      </c>
      <c r="CU3432" s="463" t="s">
        <v>885</v>
      </c>
      <c r="CV3432" s="245" t="s">
        <v>885</v>
      </c>
      <c r="CW3432" s="245" t="s">
        <v>885</v>
      </c>
      <c r="CX3432" s="459" t="s">
        <v>885</v>
      </c>
      <c r="CY3432" s="459" t="s">
        <v>885</v>
      </c>
      <c r="CZ3432" s="459" t="s">
        <v>885</v>
      </c>
      <c r="DA3432" s="459" t="s">
        <v>885</v>
      </c>
      <c r="DB3432" s="459" t="s">
        <v>885</v>
      </c>
      <c r="DC3432" s="459" t="s">
        <v>885</v>
      </c>
      <c r="DD3432" s="459" t="s">
        <v>885</v>
      </c>
      <c r="DE3432" s="459" t="s">
        <v>885</v>
      </c>
      <c r="DF3432" s="459" t="s">
        <v>885</v>
      </c>
      <c r="DG3432" s="459" t="s">
        <v>885</v>
      </c>
      <c r="DH3432" s="459" t="s">
        <v>885</v>
      </c>
      <c r="DI3432" s="459" t="s">
        <v>885</v>
      </c>
      <c r="DJ3432" s="459" t="s">
        <v>885</v>
      </c>
      <c r="DK3432" s="459" t="s">
        <v>885</v>
      </c>
      <c r="DL3432" s="459" t="s">
        <v>885</v>
      </c>
      <c r="DM3432" s="459" t="s">
        <v>885</v>
      </c>
      <c r="DN3432" s="459" t="s">
        <v>885</v>
      </c>
      <c r="DO3432" s="459" t="s">
        <v>885</v>
      </c>
      <c r="DP3432" t="s">
        <v>3009</v>
      </c>
      <c r="DQ3432" s="459" t="s">
        <v>885</v>
      </c>
      <c r="DR3432" s="459" t="s">
        <v>885</v>
      </c>
      <c r="DS3432" t="s">
        <v>3086</v>
      </c>
      <c r="DT3432" s="459" t="s">
        <v>885</v>
      </c>
      <c r="DU3432" s="459" t="s">
        <v>885</v>
      </c>
      <c r="DV3432" s="459" t="s">
        <v>885</v>
      </c>
      <c r="DW3432" s="245" t="s">
        <v>885</v>
      </c>
      <c r="DX3432" s="245" t="s">
        <v>885</v>
      </c>
      <c r="DY3432" s="245"/>
      <c r="DZ3432" s="470" t="str">
        <f t="shared" si="173"/>
        <v/>
      </c>
      <c r="EA3432" s="470" t="str">
        <f t="shared" si="174"/>
        <v/>
      </c>
    </row>
    <row r="3433" spans="1:132" ht="16" hidden="1" x14ac:dyDescent="0.4">
      <c r="A3433" s="813"/>
      <c r="BB3433" s="48"/>
      <c r="BS3433" s="464" t="str">
        <f t="shared" si="172"/>
        <v/>
      </c>
      <c r="BZ3433" s="245" t="s">
        <v>885</v>
      </c>
      <c r="CA3433" s="245" t="s">
        <v>885</v>
      </c>
      <c r="CC3433" s="245" t="s">
        <v>885</v>
      </c>
      <c r="CD3433" s="459" t="s">
        <v>885</v>
      </c>
      <c r="CE3433" s="459" t="s">
        <v>885</v>
      </c>
      <c r="CF3433" s="245" t="s">
        <v>885</v>
      </c>
      <c r="CG3433" s="245" t="s">
        <v>885</v>
      </c>
      <c r="CH3433" s="245" t="s">
        <v>885</v>
      </c>
      <c r="CI3433" s="245" t="s">
        <v>885</v>
      </c>
      <c r="CJ3433" t="s">
        <v>1841</v>
      </c>
      <c r="CK3433" s="459" t="s">
        <v>885</v>
      </c>
      <c r="CL3433" s="459" t="s">
        <v>885</v>
      </c>
      <c r="CM3433" s="459" t="s">
        <v>885</v>
      </c>
      <c r="CN3433" s="459" t="s">
        <v>885</v>
      </c>
      <c r="CO3433" s="459" t="s">
        <v>885</v>
      </c>
      <c r="CP3433" s="459" t="s">
        <v>885</v>
      </c>
      <c r="CQ3433" s="459" t="s">
        <v>885</v>
      </c>
      <c r="CR3433" s="459" t="s">
        <v>885</v>
      </c>
      <c r="CS3433" s="459" t="s">
        <v>885</v>
      </c>
      <c r="CT3433" s="245" t="s">
        <v>885</v>
      </c>
      <c r="CU3433" s="463" t="s">
        <v>885</v>
      </c>
      <c r="CV3433" s="245" t="s">
        <v>885</v>
      </c>
      <c r="CW3433" s="245" t="s">
        <v>885</v>
      </c>
      <c r="CX3433" s="459" t="s">
        <v>885</v>
      </c>
      <c r="CY3433" s="459" t="s">
        <v>885</v>
      </c>
      <c r="CZ3433" s="459" t="s">
        <v>885</v>
      </c>
      <c r="DA3433" s="459" t="s">
        <v>885</v>
      </c>
      <c r="DB3433" s="459" t="s">
        <v>885</v>
      </c>
      <c r="DC3433" s="459" t="s">
        <v>885</v>
      </c>
      <c r="DD3433" s="459" t="s">
        <v>885</v>
      </c>
      <c r="DE3433" s="459" t="s">
        <v>885</v>
      </c>
      <c r="DF3433" s="459" t="s">
        <v>885</v>
      </c>
      <c r="DG3433" s="459" t="s">
        <v>885</v>
      </c>
      <c r="DH3433" s="459" t="s">
        <v>885</v>
      </c>
      <c r="DI3433" s="459" t="s">
        <v>885</v>
      </c>
      <c r="DJ3433" s="459" t="s">
        <v>885</v>
      </c>
      <c r="DK3433" s="459" t="s">
        <v>885</v>
      </c>
      <c r="DL3433" s="459" t="s">
        <v>885</v>
      </c>
      <c r="DM3433" s="459" t="s">
        <v>885</v>
      </c>
      <c r="DN3433" s="459" t="s">
        <v>885</v>
      </c>
      <c r="DO3433" s="459" t="s">
        <v>885</v>
      </c>
      <c r="DP3433" t="s">
        <v>148</v>
      </c>
      <c r="DQ3433" s="459" t="s">
        <v>885</v>
      </c>
      <c r="DR3433" s="459" t="s">
        <v>885</v>
      </c>
      <c r="DS3433" t="s">
        <v>3197</v>
      </c>
      <c r="DT3433" s="459" t="s">
        <v>885</v>
      </c>
      <c r="DU3433" s="459" t="s">
        <v>885</v>
      </c>
      <c r="DV3433" s="459" t="s">
        <v>885</v>
      </c>
      <c r="DW3433" s="245" t="s">
        <v>885</v>
      </c>
      <c r="DX3433" s="245" t="s">
        <v>885</v>
      </c>
      <c r="DY3433" s="245"/>
      <c r="DZ3433" s="470" t="str">
        <f t="shared" si="173"/>
        <v/>
      </c>
      <c r="EA3433" s="470" t="str">
        <f t="shared" si="174"/>
        <v/>
      </c>
    </row>
    <row r="3434" spans="1:132" ht="16" hidden="1" x14ac:dyDescent="0.4">
      <c r="A3434" s="813"/>
      <c r="BB3434" s="48"/>
      <c r="BS3434" s="464" t="str">
        <f t="shared" si="172"/>
        <v/>
      </c>
      <c r="BZ3434" s="245" t="s">
        <v>885</v>
      </c>
      <c r="CA3434" s="245" t="s">
        <v>885</v>
      </c>
      <c r="CC3434" s="245" t="s">
        <v>885</v>
      </c>
      <c r="CD3434" s="459" t="s">
        <v>885</v>
      </c>
      <c r="CE3434" s="459" t="s">
        <v>885</v>
      </c>
      <c r="CF3434" s="245" t="s">
        <v>885</v>
      </c>
      <c r="CG3434" s="245" t="s">
        <v>885</v>
      </c>
      <c r="CH3434" s="245" t="s">
        <v>885</v>
      </c>
      <c r="CI3434" s="245" t="s">
        <v>885</v>
      </c>
      <c r="CJ3434" t="s">
        <v>1750</v>
      </c>
      <c r="CK3434" s="459" t="s">
        <v>885</v>
      </c>
      <c r="CL3434" s="459" t="s">
        <v>885</v>
      </c>
      <c r="CM3434" s="459" t="s">
        <v>885</v>
      </c>
      <c r="CN3434" s="459" t="s">
        <v>885</v>
      </c>
      <c r="CO3434" s="459" t="s">
        <v>885</v>
      </c>
      <c r="CP3434" s="459" t="s">
        <v>885</v>
      </c>
      <c r="CQ3434" s="459" t="s">
        <v>885</v>
      </c>
      <c r="CR3434" s="459" t="s">
        <v>885</v>
      </c>
      <c r="CS3434" s="459" t="s">
        <v>885</v>
      </c>
      <c r="CT3434" s="245" t="s">
        <v>885</v>
      </c>
      <c r="CU3434" s="463" t="s">
        <v>885</v>
      </c>
      <c r="CV3434" s="245" t="s">
        <v>885</v>
      </c>
      <c r="CW3434" s="245" t="s">
        <v>885</v>
      </c>
      <c r="CX3434" s="459" t="s">
        <v>885</v>
      </c>
      <c r="CY3434" s="459" t="s">
        <v>885</v>
      </c>
      <c r="CZ3434" s="459" t="s">
        <v>885</v>
      </c>
      <c r="DA3434" s="459" t="s">
        <v>885</v>
      </c>
      <c r="DB3434" s="459" t="s">
        <v>885</v>
      </c>
      <c r="DC3434" s="459" t="s">
        <v>885</v>
      </c>
      <c r="DD3434" s="459" t="s">
        <v>885</v>
      </c>
      <c r="DE3434" s="459" t="s">
        <v>885</v>
      </c>
      <c r="DF3434" s="459" t="s">
        <v>885</v>
      </c>
      <c r="DG3434" s="459" t="s">
        <v>885</v>
      </c>
      <c r="DH3434" s="459" t="s">
        <v>885</v>
      </c>
      <c r="DI3434" s="459" t="s">
        <v>885</v>
      </c>
      <c r="DJ3434" s="459" t="s">
        <v>885</v>
      </c>
      <c r="DK3434" s="459" t="s">
        <v>885</v>
      </c>
      <c r="DL3434" s="459" t="s">
        <v>885</v>
      </c>
      <c r="DM3434" s="459" t="s">
        <v>885</v>
      </c>
      <c r="DN3434" s="459" t="s">
        <v>885</v>
      </c>
      <c r="DO3434" s="459" t="s">
        <v>885</v>
      </c>
      <c r="DP3434" t="s">
        <v>3010</v>
      </c>
      <c r="DQ3434" s="459" t="s">
        <v>885</v>
      </c>
      <c r="DR3434" s="459" t="s">
        <v>885</v>
      </c>
      <c r="DS3434" t="s">
        <v>2531</v>
      </c>
      <c r="DT3434" s="459" t="s">
        <v>885</v>
      </c>
      <c r="DU3434" s="459" t="s">
        <v>885</v>
      </c>
      <c r="DV3434" s="459" t="s">
        <v>885</v>
      </c>
      <c r="DW3434" s="245" t="s">
        <v>885</v>
      </c>
      <c r="DX3434" s="245" t="s">
        <v>885</v>
      </c>
      <c r="DY3434" s="245"/>
      <c r="DZ3434" s="470" t="str">
        <f t="shared" si="173"/>
        <v/>
      </c>
      <c r="EA3434" s="470" t="str">
        <f t="shared" si="174"/>
        <v/>
      </c>
    </row>
    <row r="3435" spans="1:132" ht="16" hidden="1" x14ac:dyDescent="0.4">
      <c r="A3435" s="813"/>
      <c r="BB3435" s="48"/>
      <c r="BS3435" s="464" t="str">
        <f t="shared" si="172"/>
        <v/>
      </c>
      <c r="BZ3435" s="245" t="s">
        <v>885</v>
      </c>
      <c r="CA3435" s="245" t="s">
        <v>885</v>
      </c>
      <c r="CC3435" s="245" t="s">
        <v>885</v>
      </c>
      <c r="CD3435" s="459" t="s">
        <v>885</v>
      </c>
      <c r="CE3435" s="459" t="s">
        <v>885</v>
      </c>
      <c r="CF3435" s="245" t="s">
        <v>885</v>
      </c>
      <c r="CG3435" s="245" t="s">
        <v>885</v>
      </c>
      <c r="CH3435" s="245" t="s">
        <v>885</v>
      </c>
      <c r="CI3435" s="245" t="s">
        <v>885</v>
      </c>
      <c r="CJ3435" t="s">
        <v>1842</v>
      </c>
      <c r="CK3435" s="459" t="s">
        <v>885</v>
      </c>
      <c r="CL3435" s="459" t="s">
        <v>885</v>
      </c>
      <c r="CM3435" s="459" t="s">
        <v>885</v>
      </c>
      <c r="CN3435" s="459" t="s">
        <v>885</v>
      </c>
      <c r="CO3435" s="459" t="s">
        <v>885</v>
      </c>
      <c r="CP3435" s="459" t="s">
        <v>885</v>
      </c>
      <c r="CQ3435" s="459" t="s">
        <v>885</v>
      </c>
      <c r="CR3435" s="459" t="s">
        <v>885</v>
      </c>
      <c r="CS3435" s="459" t="s">
        <v>885</v>
      </c>
      <c r="CT3435" s="245" t="s">
        <v>885</v>
      </c>
      <c r="CU3435" s="463" t="s">
        <v>885</v>
      </c>
      <c r="CV3435" s="245" t="s">
        <v>885</v>
      </c>
      <c r="CW3435" s="245" t="s">
        <v>885</v>
      </c>
      <c r="CX3435" s="459" t="s">
        <v>885</v>
      </c>
      <c r="CY3435" s="459" t="s">
        <v>885</v>
      </c>
      <c r="CZ3435" s="459" t="s">
        <v>885</v>
      </c>
      <c r="DA3435" s="459" t="s">
        <v>885</v>
      </c>
      <c r="DB3435" s="459" t="s">
        <v>885</v>
      </c>
      <c r="DC3435" s="459" t="s">
        <v>885</v>
      </c>
      <c r="DD3435" s="459" t="s">
        <v>885</v>
      </c>
      <c r="DE3435" s="459" t="s">
        <v>885</v>
      </c>
      <c r="DF3435" s="459" t="s">
        <v>885</v>
      </c>
      <c r="DG3435" s="459" t="s">
        <v>885</v>
      </c>
      <c r="DH3435" s="459" t="s">
        <v>885</v>
      </c>
      <c r="DI3435" s="459" t="s">
        <v>885</v>
      </c>
      <c r="DJ3435" s="459" t="s">
        <v>885</v>
      </c>
      <c r="DK3435" s="459" t="s">
        <v>885</v>
      </c>
      <c r="DL3435" s="459" t="s">
        <v>885</v>
      </c>
      <c r="DM3435" s="459" t="s">
        <v>885</v>
      </c>
      <c r="DN3435" s="459" t="s">
        <v>885</v>
      </c>
      <c r="DO3435" s="459" t="s">
        <v>885</v>
      </c>
      <c r="DP3435" t="s">
        <v>3011</v>
      </c>
      <c r="DQ3435" s="459" t="s">
        <v>885</v>
      </c>
      <c r="DR3435" s="459" t="s">
        <v>885</v>
      </c>
      <c r="DS3435" s="459" t="s">
        <v>885</v>
      </c>
      <c r="DT3435" s="459" t="s">
        <v>885</v>
      </c>
      <c r="DU3435" s="459" t="s">
        <v>885</v>
      </c>
      <c r="DV3435" s="459" t="s">
        <v>885</v>
      </c>
      <c r="DW3435" s="245" t="s">
        <v>885</v>
      </c>
      <c r="DX3435" s="245" t="s">
        <v>885</v>
      </c>
      <c r="DY3435" s="245"/>
      <c r="DZ3435" s="470" t="str">
        <f t="shared" si="173"/>
        <v/>
      </c>
      <c r="EA3435" s="470" t="str">
        <f t="shared" si="174"/>
        <v/>
      </c>
      <c r="EB3435" s="459" t="s">
        <v>885</v>
      </c>
    </row>
    <row r="3436" spans="1:132" ht="16" hidden="1" x14ac:dyDescent="0.4">
      <c r="A3436" s="813"/>
      <c r="BB3436" s="48"/>
      <c r="BS3436" s="464" t="str">
        <f t="shared" si="172"/>
        <v/>
      </c>
      <c r="BZ3436" s="245" t="s">
        <v>885</v>
      </c>
      <c r="CA3436" s="245" t="s">
        <v>885</v>
      </c>
      <c r="CC3436" s="245" t="s">
        <v>885</v>
      </c>
      <c r="CD3436" s="459" t="s">
        <v>885</v>
      </c>
      <c r="CE3436" s="459" t="s">
        <v>885</v>
      </c>
      <c r="CF3436" s="245" t="s">
        <v>885</v>
      </c>
      <c r="CG3436" s="245" t="s">
        <v>885</v>
      </c>
      <c r="CH3436" s="245" t="s">
        <v>885</v>
      </c>
      <c r="CI3436" s="245" t="s">
        <v>885</v>
      </c>
      <c r="CJ3436" t="s">
        <v>1843</v>
      </c>
      <c r="CK3436" s="459" t="s">
        <v>885</v>
      </c>
      <c r="CL3436" s="459" t="s">
        <v>885</v>
      </c>
      <c r="CM3436" s="459" t="s">
        <v>885</v>
      </c>
      <c r="CN3436" s="459" t="s">
        <v>885</v>
      </c>
      <c r="CO3436" s="459" t="s">
        <v>885</v>
      </c>
      <c r="CP3436" s="459" t="s">
        <v>885</v>
      </c>
      <c r="CQ3436" s="459" t="s">
        <v>885</v>
      </c>
      <c r="CR3436" s="459" t="s">
        <v>885</v>
      </c>
      <c r="CS3436" s="459" t="s">
        <v>885</v>
      </c>
      <c r="CT3436" s="245" t="s">
        <v>885</v>
      </c>
      <c r="CU3436" s="463" t="s">
        <v>885</v>
      </c>
      <c r="CV3436" s="245" t="s">
        <v>885</v>
      </c>
      <c r="CW3436" s="245" t="s">
        <v>885</v>
      </c>
      <c r="CX3436" s="459" t="s">
        <v>885</v>
      </c>
      <c r="CY3436" s="459" t="s">
        <v>885</v>
      </c>
      <c r="CZ3436" s="459" t="s">
        <v>885</v>
      </c>
      <c r="DA3436" s="459" t="s">
        <v>885</v>
      </c>
      <c r="DB3436" s="459" t="s">
        <v>885</v>
      </c>
      <c r="DC3436" s="459" t="s">
        <v>885</v>
      </c>
      <c r="DD3436" s="459" t="s">
        <v>885</v>
      </c>
      <c r="DE3436" s="459" t="s">
        <v>885</v>
      </c>
      <c r="DF3436" s="459" t="s">
        <v>885</v>
      </c>
      <c r="DG3436" s="459" t="s">
        <v>885</v>
      </c>
      <c r="DH3436" s="459" t="s">
        <v>885</v>
      </c>
      <c r="DI3436" s="459" t="s">
        <v>885</v>
      </c>
      <c r="DJ3436" s="459" t="s">
        <v>885</v>
      </c>
      <c r="DK3436" s="459" t="s">
        <v>885</v>
      </c>
      <c r="DL3436" s="459" t="s">
        <v>885</v>
      </c>
      <c r="DM3436" s="459" t="s">
        <v>885</v>
      </c>
      <c r="DN3436" s="459" t="s">
        <v>885</v>
      </c>
      <c r="DO3436" s="459" t="s">
        <v>885</v>
      </c>
      <c r="DP3436" t="s">
        <v>3012</v>
      </c>
      <c r="DQ3436" s="459" t="s">
        <v>885</v>
      </c>
      <c r="DR3436" s="459" t="s">
        <v>885</v>
      </c>
      <c r="DS3436" s="459" t="s">
        <v>885</v>
      </c>
      <c r="DT3436" s="459" t="s">
        <v>885</v>
      </c>
      <c r="DU3436" s="459" t="s">
        <v>885</v>
      </c>
      <c r="DV3436" s="459" t="s">
        <v>885</v>
      </c>
      <c r="DW3436" s="459" t="s">
        <v>885</v>
      </c>
      <c r="DX3436" s="245" t="s">
        <v>885</v>
      </c>
      <c r="DY3436" s="245"/>
      <c r="DZ3436" s="470" t="str">
        <f t="shared" si="173"/>
        <v/>
      </c>
      <c r="EA3436" s="470" t="str">
        <f t="shared" si="174"/>
        <v/>
      </c>
      <c r="EB3436" s="459" t="s">
        <v>885</v>
      </c>
    </row>
    <row r="3437" spans="1:132" ht="16" hidden="1" x14ac:dyDescent="0.4">
      <c r="A3437" s="813"/>
      <c r="BB3437" s="48"/>
      <c r="BS3437" s="464" t="str">
        <f t="shared" si="172"/>
        <v/>
      </c>
      <c r="BZ3437" s="245" t="s">
        <v>885</v>
      </c>
      <c r="CA3437" s="245" t="s">
        <v>885</v>
      </c>
      <c r="CC3437" s="245" t="s">
        <v>885</v>
      </c>
      <c r="CD3437" s="459" t="s">
        <v>885</v>
      </c>
      <c r="CE3437" s="459" t="s">
        <v>885</v>
      </c>
      <c r="CF3437" s="245" t="s">
        <v>885</v>
      </c>
      <c r="CG3437" s="245" t="s">
        <v>885</v>
      </c>
      <c r="CH3437" s="245" t="s">
        <v>885</v>
      </c>
      <c r="CI3437" s="245" t="s">
        <v>885</v>
      </c>
      <c r="CJ3437" t="s">
        <v>1844</v>
      </c>
      <c r="CK3437" s="459" t="s">
        <v>885</v>
      </c>
      <c r="CL3437" s="459" t="s">
        <v>885</v>
      </c>
      <c r="CM3437" s="459" t="s">
        <v>885</v>
      </c>
      <c r="CN3437" s="459" t="s">
        <v>885</v>
      </c>
      <c r="CO3437" s="459" t="s">
        <v>885</v>
      </c>
      <c r="CP3437" s="459" t="s">
        <v>885</v>
      </c>
      <c r="CQ3437" s="459" t="s">
        <v>885</v>
      </c>
      <c r="CR3437" s="459" t="s">
        <v>885</v>
      </c>
      <c r="CS3437" s="459" t="s">
        <v>885</v>
      </c>
      <c r="CT3437" s="245" t="s">
        <v>885</v>
      </c>
      <c r="CU3437" s="463" t="s">
        <v>885</v>
      </c>
      <c r="CV3437" s="245" t="s">
        <v>885</v>
      </c>
      <c r="CW3437" s="245" t="s">
        <v>885</v>
      </c>
      <c r="CX3437" s="459" t="s">
        <v>885</v>
      </c>
      <c r="CY3437" s="459" t="s">
        <v>885</v>
      </c>
      <c r="CZ3437" s="459" t="s">
        <v>885</v>
      </c>
      <c r="DA3437" s="459" t="s">
        <v>885</v>
      </c>
      <c r="DB3437" s="459" t="s">
        <v>885</v>
      </c>
      <c r="DC3437" s="459" t="s">
        <v>885</v>
      </c>
      <c r="DD3437" s="459" t="s">
        <v>885</v>
      </c>
      <c r="DE3437" s="459" t="s">
        <v>885</v>
      </c>
      <c r="DF3437" s="459" t="s">
        <v>885</v>
      </c>
      <c r="DG3437" s="459" t="s">
        <v>885</v>
      </c>
      <c r="DH3437" s="459" t="s">
        <v>885</v>
      </c>
      <c r="DI3437" s="459" t="s">
        <v>885</v>
      </c>
      <c r="DJ3437" s="459" t="s">
        <v>885</v>
      </c>
      <c r="DK3437" s="459" t="s">
        <v>885</v>
      </c>
      <c r="DL3437" s="459" t="s">
        <v>885</v>
      </c>
      <c r="DM3437" s="459" t="s">
        <v>885</v>
      </c>
      <c r="DN3437" s="459" t="s">
        <v>885</v>
      </c>
      <c r="DO3437" s="459" t="s">
        <v>885</v>
      </c>
      <c r="DP3437" t="s">
        <v>3013</v>
      </c>
      <c r="DQ3437" s="459" t="s">
        <v>885</v>
      </c>
      <c r="DR3437" s="459" t="s">
        <v>885</v>
      </c>
      <c r="DS3437" s="459" t="s">
        <v>885</v>
      </c>
      <c r="DT3437" s="459" t="s">
        <v>885</v>
      </c>
      <c r="DU3437" s="459" t="s">
        <v>885</v>
      </c>
      <c r="DV3437" s="459" t="s">
        <v>885</v>
      </c>
      <c r="DW3437" s="459" t="s">
        <v>885</v>
      </c>
      <c r="DX3437" s="245" t="s">
        <v>885</v>
      </c>
      <c r="DY3437" s="245"/>
      <c r="DZ3437" s="470" t="str">
        <f t="shared" si="173"/>
        <v/>
      </c>
      <c r="EA3437" s="470" t="str">
        <f t="shared" si="174"/>
        <v/>
      </c>
      <c r="EB3437" s="459" t="s">
        <v>885</v>
      </c>
    </row>
    <row r="3438" spans="1:132" ht="16" hidden="1" x14ac:dyDescent="0.4">
      <c r="A3438" s="813"/>
      <c r="BB3438" s="48"/>
      <c r="BS3438" s="464" t="str">
        <f t="shared" si="172"/>
        <v/>
      </c>
      <c r="BZ3438" s="245" t="s">
        <v>885</v>
      </c>
      <c r="CA3438" s="245" t="s">
        <v>885</v>
      </c>
      <c r="CC3438" s="245" t="s">
        <v>885</v>
      </c>
      <c r="CD3438" s="459" t="s">
        <v>885</v>
      </c>
      <c r="CE3438" s="459" t="s">
        <v>885</v>
      </c>
      <c r="CF3438" s="245" t="s">
        <v>885</v>
      </c>
      <c r="CG3438" s="245" t="s">
        <v>885</v>
      </c>
      <c r="CH3438" s="245" t="s">
        <v>885</v>
      </c>
      <c r="CI3438" s="245" t="s">
        <v>885</v>
      </c>
      <c r="CJ3438" t="s">
        <v>1845</v>
      </c>
      <c r="CK3438" s="459" t="s">
        <v>885</v>
      </c>
      <c r="CL3438" s="459" t="s">
        <v>885</v>
      </c>
      <c r="CM3438" s="459" t="s">
        <v>885</v>
      </c>
      <c r="CN3438" s="459" t="s">
        <v>885</v>
      </c>
      <c r="CO3438" s="459" t="s">
        <v>885</v>
      </c>
      <c r="CP3438" s="459" t="s">
        <v>885</v>
      </c>
      <c r="CQ3438" s="459" t="s">
        <v>885</v>
      </c>
      <c r="CR3438" s="459" t="s">
        <v>885</v>
      </c>
      <c r="CS3438" s="459" t="s">
        <v>885</v>
      </c>
      <c r="CT3438" s="245" t="s">
        <v>885</v>
      </c>
      <c r="CU3438" s="463" t="s">
        <v>885</v>
      </c>
      <c r="CV3438" s="245" t="s">
        <v>885</v>
      </c>
      <c r="CW3438" s="245" t="s">
        <v>885</v>
      </c>
      <c r="CX3438" s="459" t="s">
        <v>885</v>
      </c>
      <c r="CY3438" s="459" t="s">
        <v>885</v>
      </c>
      <c r="CZ3438" s="459" t="s">
        <v>885</v>
      </c>
      <c r="DA3438" s="459" t="s">
        <v>885</v>
      </c>
      <c r="DB3438" s="459" t="s">
        <v>885</v>
      </c>
      <c r="DC3438" s="459" t="s">
        <v>885</v>
      </c>
      <c r="DD3438" s="459" t="s">
        <v>885</v>
      </c>
      <c r="DE3438" s="459" t="s">
        <v>885</v>
      </c>
      <c r="DF3438" s="459" t="s">
        <v>885</v>
      </c>
      <c r="DG3438" s="459" t="s">
        <v>885</v>
      </c>
      <c r="DH3438" s="459" t="s">
        <v>885</v>
      </c>
      <c r="DI3438" s="459" t="s">
        <v>885</v>
      </c>
      <c r="DJ3438" s="459" t="s">
        <v>885</v>
      </c>
      <c r="DK3438" s="459" t="s">
        <v>885</v>
      </c>
      <c r="DL3438" s="459" t="s">
        <v>885</v>
      </c>
      <c r="DM3438" s="459" t="s">
        <v>885</v>
      </c>
      <c r="DN3438" s="459" t="s">
        <v>885</v>
      </c>
      <c r="DO3438" s="459" t="s">
        <v>885</v>
      </c>
      <c r="DP3438" t="s">
        <v>3014</v>
      </c>
      <c r="DQ3438" s="459" t="s">
        <v>885</v>
      </c>
      <c r="DR3438" s="459" t="s">
        <v>885</v>
      </c>
      <c r="DS3438" s="459" t="s">
        <v>885</v>
      </c>
      <c r="DT3438" s="459" t="s">
        <v>885</v>
      </c>
      <c r="DU3438" s="459" t="s">
        <v>885</v>
      </c>
      <c r="DV3438" s="459" t="s">
        <v>885</v>
      </c>
      <c r="DW3438" s="459" t="s">
        <v>885</v>
      </c>
      <c r="DX3438" s="245" t="s">
        <v>885</v>
      </c>
      <c r="DY3438" s="245"/>
      <c r="DZ3438" s="470" t="str">
        <f t="shared" si="173"/>
        <v/>
      </c>
      <c r="EA3438" s="470" t="str">
        <f t="shared" si="174"/>
        <v/>
      </c>
      <c r="EB3438" s="459" t="s">
        <v>885</v>
      </c>
    </row>
    <row r="3439" spans="1:132" ht="16" hidden="1" x14ac:dyDescent="0.4">
      <c r="A3439" s="813"/>
      <c r="BS3439" s="464" t="str">
        <f t="shared" si="172"/>
        <v/>
      </c>
      <c r="BZ3439" s="245" t="s">
        <v>885</v>
      </c>
      <c r="CA3439" s="245" t="s">
        <v>885</v>
      </c>
      <c r="CC3439" s="245" t="s">
        <v>885</v>
      </c>
      <c r="CD3439" s="459" t="s">
        <v>885</v>
      </c>
      <c r="CE3439" s="459" t="s">
        <v>885</v>
      </c>
      <c r="CF3439" s="245" t="s">
        <v>885</v>
      </c>
      <c r="CG3439" s="245" t="s">
        <v>885</v>
      </c>
      <c r="CH3439" s="245" t="s">
        <v>885</v>
      </c>
      <c r="CI3439" s="245" t="s">
        <v>885</v>
      </c>
      <c r="CJ3439" t="s">
        <v>1846</v>
      </c>
      <c r="CK3439" s="459" t="s">
        <v>885</v>
      </c>
      <c r="CL3439" s="459" t="s">
        <v>885</v>
      </c>
      <c r="CM3439" s="459" t="s">
        <v>885</v>
      </c>
      <c r="CN3439" s="459" t="s">
        <v>885</v>
      </c>
      <c r="CO3439" s="459" t="s">
        <v>885</v>
      </c>
      <c r="CP3439" s="459" t="s">
        <v>885</v>
      </c>
      <c r="CQ3439" s="459" t="s">
        <v>885</v>
      </c>
      <c r="CR3439" s="459" t="s">
        <v>885</v>
      </c>
      <c r="CS3439" s="459" t="s">
        <v>885</v>
      </c>
      <c r="CT3439" s="245" t="s">
        <v>885</v>
      </c>
      <c r="CU3439" s="463" t="s">
        <v>885</v>
      </c>
      <c r="CV3439" s="245" t="s">
        <v>885</v>
      </c>
      <c r="CW3439" s="245" t="s">
        <v>885</v>
      </c>
      <c r="CX3439" s="459" t="s">
        <v>885</v>
      </c>
      <c r="CY3439" s="459" t="s">
        <v>885</v>
      </c>
      <c r="CZ3439" s="459" t="s">
        <v>885</v>
      </c>
      <c r="DA3439" s="459" t="s">
        <v>885</v>
      </c>
      <c r="DB3439" s="459" t="s">
        <v>885</v>
      </c>
      <c r="DC3439" s="459" t="s">
        <v>885</v>
      </c>
      <c r="DD3439" s="459" t="s">
        <v>885</v>
      </c>
      <c r="DE3439" s="459" t="s">
        <v>885</v>
      </c>
      <c r="DF3439" s="459" t="s">
        <v>885</v>
      </c>
      <c r="DG3439" s="459" t="s">
        <v>885</v>
      </c>
      <c r="DH3439" s="459" t="s">
        <v>885</v>
      </c>
      <c r="DI3439" s="459" t="s">
        <v>885</v>
      </c>
      <c r="DJ3439" s="459" t="s">
        <v>885</v>
      </c>
      <c r="DK3439" s="459" t="s">
        <v>885</v>
      </c>
      <c r="DL3439" s="459" t="s">
        <v>885</v>
      </c>
      <c r="DM3439" s="459" t="s">
        <v>885</v>
      </c>
      <c r="DN3439" s="459" t="s">
        <v>885</v>
      </c>
      <c r="DO3439" s="459" t="s">
        <v>885</v>
      </c>
      <c r="DP3439" t="s">
        <v>1925</v>
      </c>
      <c r="DQ3439" s="459" t="s">
        <v>885</v>
      </c>
      <c r="DR3439" s="459" t="s">
        <v>885</v>
      </c>
      <c r="DS3439" s="459" t="s">
        <v>885</v>
      </c>
      <c r="DT3439" s="459" t="s">
        <v>885</v>
      </c>
      <c r="DU3439" s="459" t="s">
        <v>885</v>
      </c>
      <c r="DV3439" s="459" t="s">
        <v>885</v>
      </c>
      <c r="DW3439" s="459" t="s">
        <v>885</v>
      </c>
      <c r="DX3439" s="245" t="s">
        <v>885</v>
      </c>
      <c r="DY3439" s="245"/>
      <c r="DZ3439" s="470" t="str">
        <f t="shared" si="173"/>
        <v/>
      </c>
      <c r="EA3439" s="470" t="str">
        <f t="shared" si="174"/>
        <v/>
      </c>
      <c r="EB3439" s="459" t="s">
        <v>885</v>
      </c>
    </row>
    <row r="3440" spans="1:132" ht="16" hidden="1" x14ac:dyDescent="0.4">
      <c r="A3440" s="813"/>
      <c r="BS3440" s="464" t="str">
        <f t="shared" si="172"/>
        <v/>
      </c>
      <c r="BZ3440" s="245" t="s">
        <v>885</v>
      </c>
      <c r="CA3440" s="245" t="s">
        <v>885</v>
      </c>
      <c r="CC3440" s="245" t="s">
        <v>885</v>
      </c>
      <c r="CD3440" s="459" t="s">
        <v>885</v>
      </c>
      <c r="CE3440" s="459" t="s">
        <v>885</v>
      </c>
      <c r="CF3440" s="245" t="s">
        <v>885</v>
      </c>
      <c r="CG3440" s="245" t="s">
        <v>885</v>
      </c>
      <c r="CH3440" s="245" t="s">
        <v>885</v>
      </c>
      <c r="CI3440" s="245" t="s">
        <v>885</v>
      </c>
      <c r="CJ3440" t="s">
        <v>1847</v>
      </c>
      <c r="CK3440" s="459" t="s">
        <v>885</v>
      </c>
      <c r="CL3440" s="459" t="s">
        <v>885</v>
      </c>
      <c r="CM3440" s="459" t="s">
        <v>885</v>
      </c>
      <c r="CN3440" s="459" t="s">
        <v>885</v>
      </c>
      <c r="CO3440" s="459" t="s">
        <v>885</v>
      </c>
      <c r="CP3440" s="459" t="s">
        <v>885</v>
      </c>
      <c r="CQ3440" s="459" t="s">
        <v>885</v>
      </c>
      <c r="CR3440" s="459" t="s">
        <v>885</v>
      </c>
      <c r="CS3440" s="459" t="s">
        <v>885</v>
      </c>
      <c r="CT3440" s="245" t="s">
        <v>885</v>
      </c>
      <c r="CU3440" s="463" t="s">
        <v>885</v>
      </c>
      <c r="CV3440" s="245" t="s">
        <v>885</v>
      </c>
      <c r="CW3440" s="245" t="s">
        <v>885</v>
      </c>
      <c r="CX3440" s="459" t="s">
        <v>885</v>
      </c>
      <c r="CY3440" s="459" t="s">
        <v>885</v>
      </c>
      <c r="CZ3440" s="459" t="s">
        <v>885</v>
      </c>
      <c r="DA3440" s="459" t="s">
        <v>885</v>
      </c>
      <c r="DB3440" s="459" t="s">
        <v>885</v>
      </c>
      <c r="DC3440" s="459" t="s">
        <v>885</v>
      </c>
      <c r="DD3440" s="459" t="s">
        <v>885</v>
      </c>
      <c r="DE3440" s="459" t="s">
        <v>885</v>
      </c>
      <c r="DF3440" s="459" t="s">
        <v>885</v>
      </c>
      <c r="DG3440" s="459" t="s">
        <v>885</v>
      </c>
      <c r="DH3440" s="459" t="s">
        <v>885</v>
      </c>
      <c r="DI3440" s="459" t="s">
        <v>885</v>
      </c>
      <c r="DJ3440" s="459" t="s">
        <v>885</v>
      </c>
      <c r="DK3440" s="459" t="s">
        <v>885</v>
      </c>
      <c r="DL3440" s="459" t="s">
        <v>885</v>
      </c>
      <c r="DM3440" s="459" t="s">
        <v>885</v>
      </c>
      <c r="DN3440" s="459" t="s">
        <v>885</v>
      </c>
      <c r="DO3440" s="459" t="s">
        <v>885</v>
      </c>
      <c r="DP3440" t="s">
        <v>1468</v>
      </c>
      <c r="DQ3440" s="459" t="s">
        <v>885</v>
      </c>
      <c r="DR3440" s="459" t="s">
        <v>885</v>
      </c>
      <c r="DS3440" s="459" t="s">
        <v>885</v>
      </c>
      <c r="DT3440" s="459" t="s">
        <v>885</v>
      </c>
      <c r="DU3440" s="459" t="s">
        <v>885</v>
      </c>
      <c r="DV3440" s="459" t="s">
        <v>885</v>
      </c>
      <c r="DW3440" s="459" t="s">
        <v>885</v>
      </c>
      <c r="DX3440" s="245" t="s">
        <v>885</v>
      </c>
      <c r="DY3440" s="245"/>
      <c r="DZ3440" s="470" t="str">
        <f t="shared" si="173"/>
        <v/>
      </c>
      <c r="EA3440" s="470" t="str">
        <f t="shared" si="174"/>
        <v/>
      </c>
      <c r="EB3440" s="459" t="s">
        <v>885</v>
      </c>
    </row>
    <row r="3441" spans="1:132" ht="16" hidden="1" x14ac:dyDescent="0.4">
      <c r="A3441" s="813"/>
      <c r="BS3441" s="464" t="str">
        <f t="shared" si="172"/>
        <v/>
      </c>
      <c r="BZ3441" s="245" t="s">
        <v>885</v>
      </c>
      <c r="CA3441" s="245" t="s">
        <v>885</v>
      </c>
      <c r="CC3441" s="245" t="s">
        <v>885</v>
      </c>
      <c r="CD3441" s="459" t="s">
        <v>885</v>
      </c>
      <c r="CE3441" s="459" t="s">
        <v>885</v>
      </c>
      <c r="CF3441" s="245" t="s">
        <v>885</v>
      </c>
      <c r="CG3441" s="245" t="s">
        <v>885</v>
      </c>
      <c r="CH3441" s="245" t="s">
        <v>885</v>
      </c>
      <c r="CI3441" s="245" t="s">
        <v>885</v>
      </c>
      <c r="CJ3441" t="s">
        <v>1848</v>
      </c>
      <c r="CK3441" s="459" t="s">
        <v>885</v>
      </c>
      <c r="CL3441" s="459" t="s">
        <v>885</v>
      </c>
      <c r="CM3441" s="459" t="s">
        <v>885</v>
      </c>
      <c r="CN3441" s="459" t="s">
        <v>885</v>
      </c>
      <c r="CO3441" s="459" t="s">
        <v>885</v>
      </c>
      <c r="CP3441" s="459" t="s">
        <v>885</v>
      </c>
      <c r="CQ3441" s="459" t="s">
        <v>885</v>
      </c>
      <c r="CR3441" s="459" t="s">
        <v>885</v>
      </c>
      <c r="CS3441" s="459" t="s">
        <v>885</v>
      </c>
      <c r="CT3441" s="245" t="s">
        <v>885</v>
      </c>
      <c r="CU3441" s="463" t="s">
        <v>885</v>
      </c>
      <c r="CV3441" s="245" t="s">
        <v>885</v>
      </c>
      <c r="CW3441" s="245" t="s">
        <v>885</v>
      </c>
      <c r="CX3441" s="459" t="s">
        <v>885</v>
      </c>
      <c r="CY3441" s="459" t="s">
        <v>885</v>
      </c>
      <c r="CZ3441" s="459" t="s">
        <v>885</v>
      </c>
      <c r="DA3441" s="459" t="s">
        <v>885</v>
      </c>
      <c r="DB3441" s="459" t="s">
        <v>885</v>
      </c>
      <c r="DC3441" s="459" t="s">
        <v>885</v>
      </c>
      <c r="DD3441" s="459" t="s">
        <v>885</v>
      </c>
      <c r="DE3441" s="459" t="s">
        <v>885</v>
      </c>
      <c r="DF3441" s="459" t="s">
        <v>885</v>
      </c>
      <c r="DG3441" s="459" t="s">
        <v>885</v>
      </c>
      <c r="DH3441" s="459" t="s">
        <v>885</v>
      </c>
      <c r="DI3441" s="459" t="s">
        <v>885</v>
      </c>
      <c r="DJ3441" s="459" t="s">
        <v>885</v>
      </c>
      <c r="DK3441" s="459" t="s">
        <v>885</v>
      </c>
      <c r="DL3441" s="459" t="s">
        <v>885</v>
      </c>
      <c r="DM3441" s="459" t="s">
        <v>885</v>
      </c>
      <c r="DN3441" s="459" t="s">
        <v>885</v>
      </c>
      <c r="DO3441" s="459" t="s">
        <v>885</v>
      </c>
      <c r="DP3441" t="s">
        <v>3015</v>
      </c>
      <c r="DQ3441" s="459" t="s">
        <v>885</v>
      </c>
      <c r="DR3441" s="459" t="s">
        <v>885</v>
      </c>
      <c r="DS3441" s="459" t="s">
        <v>885</v>
      </c>
      <c r="DT3441" s="459" t="s">
        <v>885</v>
      </c>
      <c r="DU3441" s="459" t="s">
        <v>885</v>
      </c>
      <c r="DV3441" s="459" t="s">
        <v>885</v>
      </c>
      <c r="DW3441" s="459" t="s">
        <v>885</v>
      </c>
      <c r="DX3441" s="245" t="s">
        <v>885</v>
      </c>
      <c r="DY3441" s="245"/>
      <c r="DZ3441" s="470" t="str">
        <f t="shared" si="173"/>
        <v/>
      </c>
      <c r="EA3441" s="470" t="str">
        <f t="shared" si="174"/>
        <v/>
      </c>
      <c r="EB3441" s="459" t="s">
        <v>885</v>
      </c>
    </row>
    <row r="3442" spans="1:132" ht="16" hidden="1" x14ac:dyDescent="0.4">
      <c r="A3442" s="813"/>
      <c r="BS3442" s="464" t="str">
        <f t="shared" si="172"/>
        <v/>
      </c>
      <c r="BZ3442" s="245" t="s">
        <v>885</v>
      </c>
      <c r="CA3442" s="245" t="s">
        <v>885</v>
      </c>
      <c r="CC3442" s="245" t="s">
        <v>885</v>
      </c>
      <c r="CD3442" s="459" t="s">
        <v>885</v>
      </c>
      <c r="CE3442" s="459" t="s">
        <v>885</v>
      </c>
      <c r="CF3442" s="245" t="s">
        <v>885</v>
      </c>
      <c r="CG3442" s="245" t="s">
        <v>885</v>
      </c>
      <c r="CH3442" s="245" t="s">
        <v>885</v>
      </c>
      <c r="CI3442" s="245" t="s">
        <v>885</v>
      </c>
      <c r="CJ3442" t="s">
        <v>1849</v>
      </c>
      <c r="CK3442" s="459" t="s">
        <v>885</v>
      </c>
      <c r="CL3442" s="459" t="s">
        <v>885</v>
      </c>
      <c r="CM3442" s="459" t="s">
        <v>885</v>
      </c>
      <c r="CN3442" s="459" t="s">
        <v>885</v>
      </c>
      <c r="CO3442" s="459" t="s">
        <v>885</v>
      </c>
      <c r="CP3442" s="459" t="s">
        <v>885</v>
      </c>
      <c r="CQ3442" s="459" t="s">
        <v>885</v>
      </c>
      <c r="CR3442" s="459" t="s">
        <v>885</v>
      </c>
      <c r="CS3442" s="459" t="s">
        <v>885</v>
      </c>
      <c r="CT3442" s="245" t="s">
        <v>885</v>
      </c>
      <c r="CU3442" s="463" t="s">
        <v>885</v>
      </c>
      <c r="CV3442" s="245" t="s">
        <v>885</v>
      </c>
      <c r="CW3442" s="245" t="s">
        <v>885</v>
      </c>
      <c r="CX3442" s="459" t="s">
        <v>885</v>
      </c>
      <c r="CY3442" s="459" t="s">
        <v>885</v>
      </c>
      <c r="CZ3442" s="459" t="s">
        <v>885</v>
      </c>
      <c r="DA3442" s="459" t="s">
        <v>885</v>
      </c>
      <c r="DB3442" s="459" t="s">
        <v>885</v>
      </c>
      <c r="DC3442" s="459" t="s">
        <v>885</v>
      </c>
      <c r="DD3442" s="459" t="s">
        <v>885</v>
      </c>
      <c r="DE3442" s="459" t="s">
        <v>885</v>
      </c>
      <c r="DF3442" s="459" t="s">
        <v>885</v>
      </c>
      <c r="DG3442" s="459" t="s">
        <v>885</v>
      </c>
      <c r="DH3442" s="459" t="s">
        <v>885</v>
      </c>
      <c r="DI3442" s="459" t="s">
        <v>885</v>
      </c>
      <c r="DJ3442" s="459" t="s">
        <v>885</v>
      </c>
      <c r="DK3442" s="459" t="s">
        <v>885</v>
      </c>
      <c r="DL3442" s="459" t="s">
        <v>885</v>
      </c>
      <c r="DM3442" s="459" t="s">
        <v>885</v>
      </c>
      <c r="DN3442" s="459" t="s">
        <v>885</v>
      </c>
      <c r="DO3442" s="459" t="s">
        <v>885</v>
      </c>
      <c r="DP3442" t="s">
        <v>3016</v>
      </c>
      <c r="DQ3442" s="459" t="s">
        <v>885</v>
      </c>
      <c r="DR3442" s="459" t="s">
        <v>885</v>
      </c>
      <c r="DS3442" s="459" t="s">
        <v>885</v>
      </c>
      <c r="DT3442" s="459" t="s">
        <v>885</v>
      </c>
      <c r="DU3442" s="459" t="s">
        <v>885</v>
      </c>
      <c r="DV3442" s="459" t="s">
        <v>885</v>
      </c>
      <c r="DW3442" s="459" t="s">
        <v>885</v>
      </c>
      <c r="DX3442" s="245" t="s">
        <v>885</v>
      </c>
      <c r="DY3442" s="245"/>
      <c r="DZ3442" s="470" t="str">
        <f t="shared" si="173"/>
        <v/>
      </c>
      <c r="EA3442" s="470" t="str">
        <f t="shared" si="174"/>
        <v/>
      </c>
      <c r="EB3442" s="459" t="s">
        <v>885</v>
      </c>
    </row>
    <row r="3443" spans="1:132" ht="16" hidden="1" x14ac:dyDescent="0.4">
      <c r="A3443" s="813"/>
      <c r="BB3443" s="48"/>
      <c r="BS3443" s="464" t="str">
        <f t="shared" si="172"/>
        <v/>
      </c>
      <c r="BZ3443" s="245" t="s">
        <v>885</v>
      </c>
      <c r="CA3443" s="245" t="s">
        <v>885</v>
      </c>
      <c r="CC3443" s="245" t="s">
        <v>885</v>
      </c>
      <c r="CD3443" s="459" t="s">
        <v>885</v>
      </c>
      <c r="CE3443" s="459" t="s">
        <v>885</v>
      </c>
      <c r="CF3443" s="245" t="s">
        <v>885</v>
      </c>
      <c r="CG3443" s="245" t="s">
        <v>885</v>
      </c>
      <c r="CH3443" s="245" t="s">
        <v>885</v>
      </c>
      <c r="CI3443" s="245" t="s">
        <v>885</v>
      </c>
      <c r="CJ3443" t="s">
        <v>1850</v>
      </c>
      <c r="CK3443" s="459" t="s">
        <v>885</v>
      </c>
      <c r="CL3443" s="459" t="s">
        <v>885</v>
      </c>
      <c r="CM3443" s="459" t="s">
        <v>885</v>
      </c>
      <c r="CN3443" s="459" t="s">
        <v>885</v>
      </c>
      <c r="CO3443" s="459" t="s">
        <v>885</v>
      </c>
      <c r="CP3443" s="459" t="s">
        <v>885</v>
      </c>
      <c r="CQ3443" s="459" t="s">
        <v>885</v>
      </c>
      <c r="CR3443" s="459" t="s">
        <v>885</v>
      </c>
      <c r="CS3443" s="459" t="s">
        <v>885</v>
      </c>
      <c r="CT3443" s="245" t="s">
        <v>885</v>
      </c>
      <c r="CU3443" s="463" t="s">
        <v>885</v>
      </c>
      <c r="CV3443" s="245" t="s">
        <v>885</v>
      </c>
      <c r="CW3443" s="245" t="s">
        <v>885</v>
      </c>
      <c r="CX3443" s="459" t="s">
        <v>885</v>
      </c>
      <c r="CY3443" s="459" t="s">
        <v>885</v>
      </c>
      <c r="CZ3443" s="459" t="s">
        <v>885</v>
      </c>
      <c r="DA3443" s="459" t="s">
        <v>885</v>
      </c>
      <c r="DB3443" s="459" t="s">
        <v>885</v>
      </c>
      <c r="DC3443" s="459" t="s">
        <v>885</v>
      </c>
      <c r="DD3443" s="459" t="s">
        <v>885</v>
      </c>
      <c r="DE3443" s="459" t="s">
        <v>885</v>
      </c>
      <c r="DF3443" s="459" t="s">
        <v>885</v>
      </c>
      <c r="DG3443" s="459" t="s">
        <v>885</v>
      </c>
      <c r="DH3443" s="459" t="s">
        <v>885</v>
      </c>
      <c r="DI3443" s="459" t="s">
        <v>885</v>
      </c>
      <c r="DJ3443" s="459" t="s">
        <v>885</v>
      </c>
      <c r="DK3443" s="459" t="s">
        <v>885</v>
      </c>
      <c r="DL3443" s="459" t="s">
        <v>885</v>
      </c>
      <c r="DM3443" s="459" t="s">
        <v>885</v>
      </c>
      <c r="DN3443" s="459" t="s">
        <v>885</v>
      </c>
      <c r="DO3443" s="459" t="s">
        <v>885</v>
      </c>
      <c r="DP3443" t="s">
        <v>3017</v>
      </c>
      <c r="DQ3443" s="459" t="s">
        <v>885</v>
      </c>
      <c r="DR3443" s="459" t="s">
        <v>885</v>
      </c>
      <c r="DS3443" s="459" t="s">
        <v>885</v>
      </c>
      <c r="DT3443" s="459" t="s">
        <v>885</v>
      </c>
      <c r="DU3443" s="459" t="s">
        <v>885</v>
      </c>
      <c r="DV3443" s="459" t="s">
        <v>885</v>
      </c>
      <c r="DW3443" s="459" t="s">
        <v>885</v>
      </c>
      <c r="DX3443" s="245" t="s">
        <v>885</v>
      </c>
      <c r="DY3443" s="245"/>
      <c r="DZ3443" s="470" t="str">
        <f t="shared" si="173"/>
        <v/>
      </c>
      <c r="EA3443" s="470" t="str">
        <f t="shared" si="174"/>
        <v/>
      </c>
      <c r="EB3443" s="459" t="s">
        <v>885</v>
      </c>
    </row>
    <row r="3444" spans="1:132" ht="16" hidden="1" x14ac:dyDescent="0.4">
      <c r="A3444" s="813"/>
      <c r="BB3444" s="48"/>
      <c r="BS3444" s="464" t="str">
        <f t="shared" si="172"/>
        <v/>
      </c>
      <c r="BZ3444" s="245" t="s">
        <v>885</v>
      </c>
      <c r="CA3444" s="245" t="s">
        <v>885</v>
      </c>
      <c r="CC3444" s="245" t="s">
        <v>885</v>
      </c>
      <c r="CD3444" s="459" t="s">
        <v>885</v>
      </c>
      <c r="CE3444" s="459" t="s">
        <v>885</v>
      </c>
      <c r="CF3444" s="245" t="s">
        <v>885</v>
      </c>
      <c r="CG3444" s="245" t="s">
        <v>885</v>
      </c>
      <c r="CH3444" s="245" t="s">
        <v>885</v>
      </c>
      <c r="CI3444" s="245" t="s">
        <v>885</v>
      </c>
      <c r="CJ3444" t="s">
        <v>1851</v>
      </c>
      <c r="CK3444" s="459" t="s">
        <v>885</v>
      </c>
      <c r="CL3444" s="459" t="s">
        <v>885</v>
      </c>
      <c r="CM3444" s="459" t="s">
        <v>885</v>
      </c>
      <c r="CN3444" s="459" t="s">
        <v>885</v>
      </c>
      <c r="CO3444" s="459" t="s">
        <v>885</v>
      </c>
      <c r="CP3444" s="459" t="s">
        <v>885</v>
      </c>
      <c r="CQ3444" s="459" t="s">
        <v>885</v>
      </c>
      <c r="CR3444" s="459" t="s">
        <v>885</v>
      </c>
      <c r="CS3444" s="459" t="s">
        <v>885</v>
      </c>
      <c r="CT3444" s="245" t="s">
        <v>885</v>
      </c>
      <c r="CU3444" s="463" t="s">
        <v>885</v>
      </c>
      <c r="CV3444" s="245" t="s">
        <v>885</v>
      </c>
      <c r="CW3444" s="245" t="s">
        <v>885</v>
      </c>
      <c r="CX3444" s="459" t="s">
        <v>885</v>
      </c>
      <c r="CY3444" s="459" t="s">
        <v>885</v>
      </c>
      <c r="CZ3444" s="459" t="s">
        <v>885</v>
      </c>
      <c r="DA3444" s="459" t="s">
        <v>885</v>
      </c>
      <c r="DB3444" s="459" t="s">
        <v>885</v>
      </c>
      <c r="DC3444" s="459" t="s">
        <v>885</v>
      </c>
      <c r="DD3444" s="459" t="s">
        <v>885</v>
      </c>
      <c r="DE3444" s="459" t="s">
        <v>885</v>
      </c>
      <c r="DF3444" s="459" t="s">
        <v>885</v>
      </c>
      <c r="DG3444" s="459" t="s">
        <v>885</v>
      </c>
      <c r="DH3444" s="459" t="s">
        <v>885</v>
      </c>
      <c r="DI3444" s="459" t="s">
        <v>885</v>
      </c>
      <c r="DJ3444" s="459" t="s">
        <v>885</v>
      </c>
      <c r="DK3444" s="459" t="s">
        <v>885</v>
      </c>
      <c r="DL3444" s="459" t="s">
        <v>885</v>
      </c>
      <c r="DM3444" s="459" t="s">
        <v>885</v>
      </c>
      <c r="DN3444" s="459" t="s">
        <v>885</v>
      </c>
      <c r="DO3444" s="459" t="s">
        <v>885</v>
      </c>
      <c r="DP3444" t="s">
        <v>3018</v>
      </c>
      <c r="DQ3444" s="459" t="s">
        <v>885</v>
      </c>
      <c r="DR3444" s="459" t="s">
        <v>885</v>
      </c>
      <c r="DS3444" s="459" t="s">
        <v>885</v>
      </c>
      <c r="DT3444" s="459" t="s">
        <v>885</v>
      </c>
      <c r="DU3444" s="459" t="s">
        <v>885</v>
      </c>
      <c r="DV3444" s="459" t="s">
        <v>885</v>
      </c>
      <c r="DW3444" s="459" t="s">
        <v>885</v>
      </c>
      <c r="DX3444" s="245" t="s">
        <v>885</v>
      </c>
      <c r="DY3444" s="245"/>
      <c r="DZ3444" s="470" t="str">
        <f t="shared" si="173"/>
        <v/>
      </c>
      <c r="EA3444" s="470" t="str">
        <f t="shared" si="174"/>
        <v/>
      </c>
      <c r="EB3444" s="459" t="s">
        <v>885</v>
      </c>
    </row>
    <row r="3445" spans="1:132" ht="16" hidden="1" x14ac:dyDescent="0.4">
      <c r="A3445" s="813"/>
      <c r="BB3445" s="48"/>
      <c r="BS3445" s="464" t="str">
        <f>IF($B$265=B$3281,BZ3444,IF($B$265=B$3282,CA3444,IF($B$265=B$3283,CB3444,IF($B$265=B$3284,CC3444,IF($B$265=B$3285,CD3444,IF($B$265=B$3286,CE3444,IF($B$265=B$3287,CF3444,IF($B$265=B$3288,CG3444,IF($B$265=B$3289,CH3444,IF($B$265=B$3290,CI3444,IF($B$265=B$3291,CJ3444,IF($B$265=B$3292,CK3444,IF($B$265=B$3293,CL3444,IF($B$265=B$3294,CM3444,IF($B$265=B$3295,CN3444,IF($B$265=B$3296,#REF!,IF($B$265=B$3297,CO3444,IF($B$265=B$3298,CP3444,IF($B$265=B$3299,CQ3444,IF($B$265=B$3300,CR3444,IF($B$265=B$3301,CS3444,IF($B$265=B$3302,CT3444,IF(B$265=B$3303,CU3444,IF($B$265=B$3304,CV3444,IF($B$265=B$3305,CW3444,IF($B$265=B$3306,CX3444,IF($B$265=B$3307,CY3444,IF($B$265=B$3308,CZ3444,IF($B$265=B$3309,DA3444,IF($B$265=B$3310,DB3444,IF($B$265=B$3311,DC3444,IF($B$265=B$3312,DD3444,IF($B$265=B$3313,DE3444,IF($B$265=B$3314,DF3444,IF($B$265=B$3315,DG3444,IF($B$265=B$3316,DH3444,IF($B$265=B$3317,DI3444,IF($B$265=B$3318,DJ3444,IF($B$265=B$3319,DK3444,IF($B$265=B$3320,DL3444,IF($B$265=B$3321,DM3444,IF($B$265=B$3322,DN3444,IF($B$265=B$3323,DO3444,IF($B$265=B$3324,DP3444,IF($B$265=B$3325,DQ3444,IF($B$265=B$3326,DR3444,IF($B$265=B$3327,DS3444,IF($B$265=B$3328,DT3444,IF($B$265=B$3329,DU3444,IF($B$265=B$3330,DV3444,IF($B$265=B$3331,DW3444,IF($B$265=B$3332,DX3444,""))))))))))))))))))))))))))))))))))))))))))))))))))))</f>
        <v/>
      </c>
      <c r="BZ3445" s="245" t="s">
        <v>885</v>
      </c>
      <c r="CA3445" s="245" t="s">
        <v>885</v>
      </c>
      <c r="CC3445" s="245" t="s">
        <v>885</v>
      </c>
      <c r="CD3445" s="459" t="s">
        <v>885</v>
      </c>
      <c r="CE3445" s="459" t="s">
        <v>885</v>
      </c>
      <c r="CF3445" s="245" t="s">
        <v>885</v>
      </c>
      <c r="CG3445" s="245" t="s">
        <v>885</v>
      </c>
      <c r="CH3445" s="245" t="s">
        <v>885</v>
      </c>
      <c r="CI3445" s="245" t="s">
        <v>885</v>
      </c>
      <c r="CJ3445" t="s">
        <v>1579</v>
      </c>
      <c r="CK3445" s="459" t="s">
        <v>885</v>
      </c>
      <c r="CL3445" s="459" t="s">
        <v>885</v>
      </c>
      <c r="CM3445" s="459" t="s">
        <v>885</v>
      </c>
      <c r="CN3445" s="459" t="s">
        <v>885</v>
      </c>
      <c r="CO3445" s="459" t="s">
        <v>885</v>
      </c>
      <c r="CP3445" s="459" t="s">
        <v>885</v>
      </c>
      <c r="CQ3445" s="459" t="s">
        <v>885</v>
      </c>
      <c r="CR3445" s="459" t="s">
        <v>885</v>
      </c>
      <c r="CS3445" s="459" t="s">
        <v>885</v>
      </c>
      <c r="CT3445" s="245" t="s">
        <v>885</v>
      </c>
      <c r="CU3445" s="463" t="s">
        <v>885</v>
      </c>
      <c r="CV3445" s="245" t="s">
        <v>885</v>
      </c>
      <c r="CW3445" s="245" t="s">
        <v>885</v>
      </c>
      <c r="CX3445" s="459" t="s">
        <v>885</v>
      </c>
      <c r="CY3445" s="459" t="s">
        <v>885</v>
      </c>
      <c r="CZ3445" s="459" t="s">
        <v>885</v>
      </c>
      <c r="DA3445" s="459" t="s">
        <v>885</v>
      </c>
      <c r="DB3445" s="459" t="s">
        <v>885</v>
      </c>
      <c r="DC3445" s="459" t="s">
        <v>885</v>
      </c>
      <c r="DD3445" s="459" t="s">
        <v>885</v>
      </c>
      <c r="DE3445" s="459" t="s">
        <v>885</v>
      </c>
      <c r="DF3445" s="459" t="s">
        <v>885</v>
      </c>
      <c r="DG3445" s="459" t="s">
        <v>885</v>
      </c>
      <c r="DH3445" s="459" t="s">
        <v>885</v>
      </c>
      <c r="DI3445" s="459" t="s">
        <v>885</v>
      </c>
      <c r="DJ3445" s="459" t="s">
        <v>885</v>
      </c>
      <c r="DK3445" s="459" t="s">
        <v>885</v>
      </c>
      <c r="DL3445" s="459" t="s">
        <v>885</v>
      </c>
      <c r="DM3445" s="459" t="s">
        <v>885</v>
      </c>
      <c r="DN3445" s="459" t="s">
        <v>885</v>
      </c>
      <c r="DO3445" s="459" t="s">
        <v>885</v>
      </c>
      <c r="DP3445" t="s">
        <v>1471</v>
      </c>
      <c r="DQ3445" s="459" t="s">
        <v>885</v>
      </c>
      <c r="DR3445" s="459" t="s">
        <v>885</v>
      </c>
      <c r="DS3445" s="459" t="s">
        <v>885</v>
      </c>
      <c r="DT3445" s="459" t="s">
        <v>885</v>
      </c>
      <c r="DU3445" s="459" t="s">
        <v>885</v>
      </c>
      <c r="DV3445" s="459" t="s">
        <v>885</v>
      </c>
      <c r="DW3445" s="459" t="s">
        <v>885</v>
      </c>
      <c r="DX3445" s="245" t="s">
        <v>885</v>
      </c>
      <c r="DY3445" s="245"/>
      <c r="DZ3445" s="470" t="str">
        <f t="shared" si="173"/>
        <v/>
      </c>
      <c r="EA3445" s="470" t="str">
        <f t="shared" si="174"/>
        <v/>
      </c>
      <c r="EB3445" s="459" t="s">
        <v>885</v>
      </c>
    </row>
    <row r="3446" spans="1:132" ht="16" hidden="1" x14ac:dyDescent="0.4">
      <c r="A3446" s="813"/>
      <c r="BB3446" s="48"/>
      <c r="BS3446" s="464" t="str">
        <f>IF($B$265=B$3281,BZ3445,IF($B$265=B$3282,CA3445,IF($B$265=B$3283,CB3445,IF($B$265=B$3284,CC3445,IF($B$265=B$3285,CD3445,IF($B$265=B$3286,CE3445,IF($B$265=B$3287,CF3445,IF($B$265=B$3288,CG3445,IF($B$265=B$3289,CH3445,IF($B$265=B$3290,CI3445,IF($B$265=B$3291,CJ3445,IF($B$265=B$3292,CK3445,IF($B$265=B$3293,CL3445,IF($B$265=B$3294,CM3445,IF($B$265=B$3295,CN3445,IF($B$265=B$3296,#REF!,IF($B$265=B$3297,CO3445,IF($B$265=B$3298,CP3445,IF($B$265=B$3299,CQ3445,IF($B$265=B$3300,CR3445,IF($B$265=B$3301,CS3445,IF($B$265=B$3302,CT3445,IF(B$265=B$3303,CU3445,IF($B$265=B$3304,CV3445,IF($B$265=B$3305,CW3445,IF($B$265=B$3306,CX3445,IF($B$265=B$3307,CY3445,IF($B$265=B$3308,CZ3445,IF($B$265=B$3309,DA3445,IF($B$265=B$3310,DB3445,IF($B$265=B$3311,DC3445,IF($B$265=B$3312,DD3445,IF($B$265=B$3313,DE3445,IF($B$265=B$3314,DF3445,IF($B$265=B$3315,DG3445,IF($B$265=B$3316,DH3445,IF($B$265=B$3317,DI3445,IF($B$265=B$3318,DJ3445,IF($B$265=B$3319,DK3445,IF($B$265=B$3320,DL3445,IF($B$265=B$3321,DM3445,IF($B$265=B$3322,DN3445,IF($B$265=B$3323,DO3445,IF($B$265=B$3324,DP3445,IF($B$265=B$3325,DQ3445,IF($B$265=B$3326,DR3445,IF($B$265=B$3327,DS3445,IF($B$265=B$3328,DT3445,IF($B$265=B$3329,DU3445,IF($B$265=B$3330,DV3445,IF($B$265=B$3331,DW3445,IF($B$265=B$3332,DX3445,""))))))))))))))))))))))))))))))))))))))))))))))))))))</f>
        <v/>
      </c>
      <c r="BZ3446" s="245" t="s">
        <v>885</v>
      </c>
      <c r="CA3446" s="245" t="s">
        <v>885</v>
      </c>
      <c r="CC3446" s="245" t="s">
        <v>885</v>
      </c>
      <c r="CD3446" s="459" t="s">
        <v>885</v>
      </c>
      <c r="CE3446" s="459" t="s">
        <v>885</v>
      </c>
      <c r="CF3446" s="245" t="s">
        <v>885</v>
      </c>
      <c r="CG3446" s="245" t="s">
        <v>885</v>
      </c>
      <c r="CH3446" s="245" t="s">
        <v>885</v>
      </c>
      <c r="CI3446" s="245" t="s">
        <v>885</v>
      </c>
      <c r="CJ3446" t="s">
        <v>1852</v>
      </c>
      <c r="CK3446" s="459" t="s">
        <v>885</v>
      </c>
      <c r="CL3446" s="459" t="s">
        <v>885</v>
      </c>
      <c r="CM3446" s="459" t="s">
        <v>885</v>
      </c>
      <c r="CN3446" s="459" t="s">
        <v>885</v>
      </c>
      <c r="CO3446" s="459" t="s">
        <v>885</v>
      </c>
      <c r="CP3446" s="459" t="s">
        <v>885</v>
      </c>
      <c r="CQ3446" s="459" t="s">
        <v>885</v>
      </c>
      <c r="CR3446" s="459" t="s">
        <v>885</v>
      </c>
      <c r="CS3446" s="459" t="s">
        <v>885</v>
      </c>
      <c r="CT3446" s="245" t="s">
        <v>885</v>
      </c>
      <c r="CU3446" s="463" t="s">
        <v>885</v>
      </c>
      <c r="CV3446" s="245" t="s">
        <v>885</v>
      </c>
      <c r="CW3446" s="245" t="s">
        <v>885</v>
      </c>
      <c r="CX3446" s="459" t="s">
        <v>885</v>
      </c>
      <c r="CY3446" s="459" t="s">
        <v>885</v>
      </c>
      <c r="CZ3446" s="459" t="s">
        <v>885</v>
      </c>
      <c r="DA3446" s="459" t="s">
        <v>885</v>
      </c>
      <c r="DB3446" s="459" t="s">
        <v>885</v>
      </c>
      <c r="DC3446" s="459" t="s">
        <v>885</v>
      </c>
      <c r="DD3446" s="459" t="s">
        <v>885</v>
      </c>
      <c r="DE3446" s="459" t="s">
        <v>885</v>
      </c>
      <c r="DF3446" s="459" t="s">
        <v>885</v>
      </c>
      <c r="DG3446" s="459" t="s">
        <v>885</v>
      </c>
      <c r="DH3446" s="459" t="s">
        <v>885</v>
      </c>
      <c r="DI3446" s="459" t="s">
        <v>885</v>
      </c>
      <c r="DJ3446" s="459" t="s">
        <v>885</v>
      </c>
      <c r="DK3446" s="459" t="s">
        <v>885</v>
      </c>
      <c r="DL3446" s="459" t="s">
        <v>885</v>
      </c>
      <c r="DM3446" s="459" t="s">
        <v>885</v>
      </c>
      <c r="DN3446" s="459" t="s">
        <v>885</v>
      </c>
      <c r="DO3446" s="459" t="s">
        <v>885</v>
      </c>
      <c r="DP3446" t="s">
        <v>1730</v>
      </c>
      <c r="DQ3446" s="459" t="s">
        <v>885</v>
      </c>
      <c r="DR3446" s="459" t="s">
        <v>885</v>
      </c>
      <c r="DS3446" s="459" t="s">
        <v>885</v>
      </c>
      <c r="DT3446" s="459" t="s">
        <v>885</v>
      </c>
      <c r="DU3446" s="459" t="s">
        <v>885</v>
      </c>
      <c r="DV3446" s="459" t="s">
        <v>885</v>
      </c>
      <c r="DW3446" s="459" t="s">
        <v>885</v>
      </c>
      <c r="DX3446" s="245" t="s">
        <v>885</v>
      </c>
      <c r="DY3446" s="245"/>
      <c r="DZ3446" s="470" t="str">
        <f t="shared" si="173"/>
        <v/>
      </c>
      <c r="EA3446" s="470" t="str">
        <f t="shared" si="174"/>
        <v/>
      </c>
      <c r="EB3446" s="459" t="s">
        <v>885</v>
      </c>
    </row>
    <row r="3447" spans="1:132" ht="16" hidden="1" x14ac:dyDescent="0.4">
      <c r="A3447" s="813"/>
      <c r="BB3447" s="48"/>
      <c r="BS3447" s="464" t="str">
        <f>IF($B$265=B$3281,BZ3446,IF($B$265=B$3282,CA3446,IF($B$265=B$3283,CB3446,IF($B$265=B$3284,CC3446,IF($B$265=B$3285,CD3446,IF($B$265=B$3286,CE3446,IF($B$265=B$3287,CF3446,IF($B$265=B$3288,CG3446,IF($B$265=B$3289,CH3446,IF($B$265=B$3290,CI3446,IF($B$265=B$3291,CJ3446,IF($B$265=B$3292,CK3446,IF($B$265=B$3293,CL3446,IF($B$265=B$3294,CM3446,IF($B$265=B$3295,CN3446,IF($B$265=B$3296,#REF!,IF($B$265=B$3297,CO3446,IF($B$265=B$3298,CP3446,IF($B$265=B$3299,CQ3446,IF($B$265=B$3300,CR3446,IF($B$265=B$3301,CS3446,IF($B$265=B$3302,CT3446,IF(B$265=B$3303,CU3446,IF($B$265=B$3304,CV3446,IF($B$265=B$3305,CW3446,IF($B$265=B$3306,CX3446,IF($B$265=B$3307,CY3446,IF($B$265=B$3308,CZ3446,IF($B$265=B$3309,DA3446,IF($B$265=B$3310,DB3446,IF($B$265=B$3311,DC3446,IF($B$265=B$3312,DD3446,IF($B$265=B$3313,DE3446,IF($B$265=B$3314,DF3446,IF($B$265=B$3315,DG3446,IF($B$265=B$3316,DH3446,IF($B$265=B$3317,DI3446,IF($B$265=B$3318,DJ3446,IF($B$265=B$3319,DK3446,IF($B$265=B$3320,DL3446,IF($B$265=B$3321,DM3446,IF($B$265=B$3322,DN3446,IF($B$265=B$3323,DO3446,IF($B$265=B$3324,DP3446,IF($B$265=B$3325,DQ3446,IF($B$265=B$3326,DR3446,IF($B$265=B$3327,DS3446,IF($B$265=B$3328,DT3446,IF($B$265=B$3329,DU3446,IF($B$265=B$3330,DV3446,IF($B$265=B$3331,DW3446,IF($B$265=B$3332,DX3446,""))))))))))))))))))))))))))))))))))))))))))))))))))))</f>
        <v/>
      </c>
      <c r="BZ3447" s="245" t="s">
        <v>885</v>
      </c>
      <c r="CA3447" s="245" t="s">
        <v>885</v>
      </c>
      <c r="CC3447" s="245" t="s">
        <v>885</v>
      </c>
      <c r="CD3447" s="459" t="s">
        <v>885</v>
      </c>
      <c r="CE3447" s="459" t="s">
        <v>885</v>
      </c>
      <c r="CF3447" s="245" t="s">
        <v>885</v>
      </c>
      <c r="CG3447" s="245" t="s">
        <v>885</v>
      </c>
      <c r="CH3447" s="245" t="s">
        <v>885</v>
      </c>
      <c r="CI3447" s="245" t="s">
        <v>885</v>
      </c>
      <c r="CJ3447" t="s">
        <v>1494</v>
      </c>
      <c r="CK3447" s="459" t="s">
        <v>885</v>
      </c>
      <c r="CL3447" s="459" t="s">
        <v>885</v>
      </c>
      <c r="CM3447" s="459" t="s">
        <v>885</v>
      </c>
      <c r="CN3447" s="459" t="s">
        <v>885</v>
      </c>
      <c r="CO3447" s="459" t="s">
        <v>885</v>
      </c>
      <c r="CP3447" s="459" t="s">
        <v>885</v>
      </c>
      <c r="CQ3447" s="459" t="s">
        <v>885</v>
      </c>
      <c r="CR3447" s="459" t="s">
        <v>885</v>
      </c>
      <c r="CS3447" s="459" t="s">
        <v>885</v>
      </c>
      <c r="CT3447" s="245" t="s">
        <v>885</v>
      </c>
      <c r="CU3447" s="463" t="s">
        <v>885</v>
      </c>
      <c r="CV3447" s="245" t="s">
        <v>885</v>
      </c>
      <c r="CW3447" s="245" t="s">
        <v>885</v>
      </c>
      <c r="CX3447" s="459" t="s">
        <v>885</v>
      </c>
      <c r="CY3447" s="459" t="s">
        <v>885</v>
      </c>
      <c r="CZ3447" s="459" t="s">
        <v>885</v>
      </c>
      <c r="DA3447" s="459" t="s">
        <v>885</v>
      </c>
      <c r="DB3447" s="459" t="s">
        <v>885</v>
      </c>
      <c r="DC3447" s="459" t="s">
        <v>885</v>
      </c>
      <c r="DD3447" s="459" t="s">
        <v>885</v>
      </c>
      <c r="DE3447" s="459" t="s">
        <v>885</v>
      </c>
      <c r="DF3447" s="459" t="s">
        <v>885</v>
      </c>
      <c r="DG3447" s="459" t="s">
        <v>885</v>
      </c>
      <c r="DH3447" s="459" t="s">
        <v>885</v>
      </c>
      <c r="DI3447" s="459" t="s">
        <v>885</v>
      </c>
      <c r="DJ3447" s="459" t="s">
        <v>885</v>
      </c>
      <c r="DK3447" s="459" t="s">
        <v>885</v>
      </c>
      <c r="DL3447" s="459" t="s">
        <v>885</v>
      </c>
      <c r="DM3447" s="459" t="s">
        <v>885</v>
      </c>
      <c r="DN3447" s="459" t="s">
        <v>885</v>
      </c>
      <c r="DO3447" s="459" t="s">
        <v>885</v>
      </c>
      <c r="DP3447" t="s">
        <v>1732</v>
      </c>
      <c r="DQ3447" s="459" t="s">
        <v>885</v>
      </c>
      <c r="DR3447" s="459" t="s">
        <v>885</v>
      </c>
      <c r="DS3447" s="459" t="s">
        <v>885</v>
      </c>
      <c r="DT3447" s="459" t="s">
        <v>885</v>
      </c>
      <c r="DU3447" s="459" t="s">
        <v>885</v>
      </c>
      <c r="DV3447" s="459" t="s">
        <v>885</v>
      </c>
      <c r="DW3447" s="459" t="s">
        <v>885</v>
      </c>
      <c r="DX3447" s="245" t="s">
        <v>885</v>
      </c>
      <c r="DY3447" s="245"/>
      <c r="DZ3447" s="470" t="str">
        <f t="shared" si="173"/>
        <v/>
      </c>
      <c r="EA3447" s="470" t="str">
        <f t="shared" si="174"/>
        <v/>
      </c>
      <c r="EB3447" s="459" t="s">
        <v>885</v>
      </c>
    </row>
    <row r="3448" spans="1:132" ht="16" hidden="1" x14ac:dyDescent="0.4">
      <c r="A3448" s="813"/>
      <c r="BB3448" s="48"/>
      <c r="BS3448" s="464" t="str">
        <f>IF($B$265=B$3281,BZ3447,IF($B$265=B$3282,CA3447,IF($B$265=B$3283,CB3447,IF($B$265=B$3284,CC3447,IF($B$265=B$3285,CD3447,IF($B$265=B$3286,CE3447,IF($B$265=B$3287,CF3447,IF($B$265=B$3288,CG3447,IF($B$265=B$3289,CH3447,IF($B$265=B$3290,CI3447,IF($B$265=B$3291,CJ3447,IF($B$265=B$3292,CK3447,IF($B$265=B$3293,CL3447,IF($B$265=B$3294,CM3447,IF($B$265=B$3295,CN3447,IF($B$265=B$3296,#REF!,IF($B$265=B$3297,CO3447,IF($B$265=B$3298,CP3447,IF($B$265=B$3299,CQ3447,IF($B$265=B$3300,CR3447,IF($B$265=B$3301,CS3447,IF($B$265=B$3302,CT3447,IF(B$265=B$3303,CU3447,IF($B$265=B$3304,CV3447,IF($B$265=B$3305,CW3447,IF($B$265=B$3306,CX3447,IF($B$265=B$3307,CY3447,IF($B$265=B$3308,CZ3447,IF($B$265=B$3309,DA3447,IF($B$265=B$3310,DB3447,IF($B$265=B$3311,DC3447,IF($B$265=B$3312,DD3447,IF($B$265=B$3313,DE3447,IF($B$265=B$3314,DF3447,IF($B$265=B$3315,DG3447,IF($B$265=B$3316,DH3447,IF($B$265=B$3317,DI3447,IF($B$265=B$3318,DJ3447,IF($B$265=B$3319,DK3447,IF($B$265=B$3320,DL3447,IF($B$265=B$3321,DM3447,IF($B$265=B$3322,DN3447,IF($B$265=B$3323,DO3447,IF($B$265=B$3324,DP3447,IF($B$265=B$3325,DQ3447,IF($B$265=B$3326,DR3447,IF($B$265=B$3327,DS3447,IF($B$265=B$3328,DT3447,IF($B$265=B$3329,DU3447,IF($B$265=B$3330,DV3447,IF($B$265=B$3331,DW3447,IF($B$265=B$3332,DX3447,""))))))))))))))))))))))))))))))))))))))))))))))))))))</f>
        <v/>
      </c>
      <c r="BZ3448" s="245" t="s">
        <v>885</v>
      </c>
      <c r="CA3448" s="245" t="s">
        <v>885</v>
      </c>
      <c r="CC3448" s="245" t="s">
        <v>885</v>
      </c>
      <c r="CD3448" s="459" t="s">
        <v>885</v>
      </c>
      <c r="CE3448" s="459" t="s">
        <v>885</v>
      </c>
      <c r="CF3448" s="245" t="s">
        <v>885</v>
      </c>
      <c r="CG3448" s="245" t="s">
        <v>885</v>
      </c>
      <c r="CH3448" s="245" t="s">
        <v>885</v>
      </c>
      <c r="CI3448" s="245" t="s">
        <v>885</v>
      </c>
      <c r="CJ3448" t="s">
        <v>1753</v>
      </c>
      <c r="CK3448" s="459" t="s">
        <v>885</v>
      </c>
      <c r="CL3448" s="459" t="s">
        <v>885</v>
      </c>
      <c r="CM3448" s="459" t="s">
        <v>885</v>
      </c>
      <c r="CN3448" s="459" t="s">
        <v>885</v>
      </c>
      <c r="CO3448" s="459" t="s">
        <v>885</v>
      </c>
      <c r="CP3448" s="459" t="s">
        <v>885</v>
      </c>
      <c r="CQ3448" s="459" t="s">
        <v>885</v>
      </c>
      <c r="CR3448" s="459" t="s">
        <v>885</v>
      </c>
      <c r="CS3448" s="459" t="s">
        <v>885</v>
      </c>
      <c r="CT3448" s="245" t="s">
        <v>885</v>
      </c>
      <c r="CU3448" s="463" t="s">
        <v>885</v>
      </c>
      <c r="CV3448" s="245" t="s">
        <v>885</v>
      </c>
      <c r="CW3448" s="245" t="s">
        <v>885</v>
      </c>
      <c r="CX3448" s="459" t="s">
        <v>885</v>
      </c>
      <c r="CY3448" s="459" t="s">
        <v>885</v>
      </c>
      <c r="CZ3448" s="459" t="s">
        <v>885</v>
      </c>
      <c r="DA3448" s="459" t="s">
        <v>885</v>
      </c>
      <c r="DB3448" s="459" t="s">
        <v>885</v>
      </c>
      <c r="DC3448" s="459" t="s">
        <v>885</v>
      </c>
      <c r="DD3448" s="459" t="s">
        <v>885</v>
      </c>
      <c r="DE3448" s="459" t="s">
        <v>885</v>
      </c>
      <c r="DF3448" s="459" t="s">
        <v>885</v>
      </c>
      <c r="DG3448" s="459" t="s">
        <v>885</v>
      </c>
      <c r="DH3448" s="459" t="s">
        <v>885</v>
      </c>
      <c r="DI3448" s="459" t="s">
        <v>885</v>
      </c>
      <c r="DJ3448" s="459" t="s">
        <v>885</v>
      </c>
      <c r="DK3448" s="459" t="s">
        <v>885</v>
      </c>
      <c r="DL3448" s="459" t="s">
        <v>885</v>
      </c>
      <c r="DM3448" s="459" t="s">
        <v>885</v>
      </c>
      <c r="DN3448" s="459" t="s">
        <v>885</v>
      </c>
      <c r="DO3448" s="459" t="s">
        <v>885</v>
      </c>
      <c r="DP3448" t="s">
        <v>1472</v>
      </c>
      <c r="DQ3448" s="459" t="s">
        <v>885</v>
      </c>
      <c r="DR3448" s="459" t="s">
        <v>885</v>
      </c>
      <c r="DS3448" s="459" t="s">
        <v>885</v>
      </c>
      <c r="DT3448" s="459" t="s">
        <v>885</v>
      </c>
      <c r="DU3448" s="459" t="s">
        <v>885</v>
      </c>
      <c r="DV3448" s="459" t="s">
        <v>885</v>
      </c>
      <c r="DW3448" s="459" t="s">
        <v>885</v>
      </c>
      <c r="DX3448" s="245" t="s">
        <v>885</v>
      </c>
      <c r="DY3448" s="245"/>
      <c r="DZ3448" s="470" t="str">
        <f t="shared" si="173"/>
        <v/>
      </c>
      <c r="EA3448" s="470" t="str">
        <f t="shared" si="174"/>
        <v/>
      </c>
      <c r="EB3448" s="459" t="s">
        <v>885</v>
      </c>
    </row>
    <row r="3449" spans="1:132" ht="16" hidden="1" x14ac:dyDescent="0.4">
      <c r="A3449" s="813"/>
      <c r="BB3449" s="48"/>
      <c r="BS3449" s="464" t="str">
        <f>IF($B$265=B$3281,BZ3448,IF($B$265=B$3282,CA3448,IF($B$265=B$3283,CB3448,IF($B$265=B$3284,CC3448,IF($B$265=B$3285,CD3448,IF($B$265=B$3286,CE3448,IF($B$265=B$3287,CF3448,IF($B$265=B$3288,CG3448,IF($B$265=B$3289,CH3448,IF($B$265=B$3290,CI3448,IF($B$265=B$3291,CJ3448,IF($B$265=B$3292,CK3448,IF($B$265=B$3293,CL3448,IF($B$265=B$3294,CM3448,IF($B$265=B$3295,CN3448,IF($B$265=B$3296,#REF!,IF($B$265=B$3297,CO3448,IF($B$265=B$3298,CP3448,IF($B$265=B$3299,CQ3448,IF($B$265=B$3300,CR3448,IF($B$265=B$3301,CS3448,IF($B$265=B$3302,CT3448,IF(B$265=B$3303,CU3448,IF($B$265=B$3304,CV3448,IF($B$265=B$3305,CW3448,IF($B$265=B$3306,CX3448,IF($B$265=B$3307,CY3448,IF($B$265=B$3308,CZ3448,IF($B$265=B$3309,DA3448,IF($B$265=B$3310,DB3448,IF($B$265=B$3311,DC3448,IF($B$265=B$3312,DD3448,IF($B$265=B$3313,DE3448,IF($B$265=B$3314,DF3448,IF($B$265=B$3315,DG3448,IF($B$265=B$3316,DH3448,IF($B$265=B$3317,DI3448,IF($B$265=B$3318,DJ3448,IF($B$265=B$3319,DK3448,IF($B$265=B$3320,DL3448,IF($B$265=B$3321,DM3448,IF($B$265=B$3322,DN3448,IF($B$265=B$3323,DO3448,IF($B$265=B$3324,DP3448,IF($B$265=B$3325,DQ3448,IF($B$265=B$3326,DR3448,IF($B$265=B$3327,DS3448,IF($B$265=B$3328,DT3448,IF($B$265=B$3329,DU3448,IF($B$265=B$3330,DV3448,IF($B$265=B$3331,DW3448,IF($B$265=B$3332,DX3448,""))))))))))))))))))))))))))))))))))))))))))))))))))))</f>
        <v/>
      </c>
      <c r="BZ3449" s="245" t="s">
        <v>885</v>
      </c>
      <c r="CA3449" s="245" t="s">
        <v>885</v>
      </c>
      <c r="CC3449" s="245" t="s">
        <v>885</v>
      </c>
      <c r="CD3449" s="459" t="s">
        <v>885</v>
      </c>
      <c r="CE3449" s="459" t="s">
        <v>885</v>
      </c>
      <c r="CF3449" s="245" t="s">
        <v>885</v>
      </c>
      <c r="CG3449" s="245" t="s">
        <v>885</v>
      </c>
      <c r="CH3449" s="245" t="s">
        <v>885</v>
      </c>
      <c r="CI3449" s="245" t="s">
        <v>885</v>
      </c>
      <c r="CJ3449" t="s">
        <v>1853</v>
      </c>
      <c r="CK3449" s="459" t="s">
        <v>885</v>
      </c>
      <c r="CL3449" s="459" t="s">
        <v>885</v>
      </c>
      <c r="CM3449" s="459" t="s">
        <v>885</v>
      </c>
      <c r="CN3449" s="459" t="s">
        <v>885</v>
      </c>
      <c r="CO3449" s="459" t="s">
        <v>885</v>
      </c>
      <c r="CP3449" s="459" t="s">
        <v>885</v>
      </c>
      <c r="CQ3449" s="459" t="s">
        <v>885</v>
      </c>
      <c r="CR3449" s="459" t="s">
        <v>885</v>
      </c>
      <c r="CS3449" s="459" t="s">
        <v>885</v>
      </c>
      <c r="CT3449" s="245" t="s">
        <v>885</v>
      </c>
      <c r="CU3449" s="463" t="s">
        <v>885</v>
      </c>
      <c r="CV3449" s="245" t="s">
        <v>885</v>
      </c>
      <c r="CW3449" s="245" t="s">
        <v>885</v>
      </c>
      <c r="CX3449" s="459" t="s">
        <v>885</v>
      </c>
      <c r="CY3449" s="459" t="s">
        <v>885</v>
      </c>
      <c r="CZ3449" s="459" t="s">
        <v>885</v>
      </c>
      <c r="DA3449" s="459" t="s">
        <v>885</v>
      </c>
      <c r="DB3449" s="459" t="s">
        <v>885</v>
      </c>
      <c r="DC3449" s="459" t="s">
        <v>885</v>
      </c>
      <c r="DD3449" s="459" t="s">
        <v>885</v>
      </c>
      <c r="DE3449" s="459" t="s">
        <v>885</v>
      </c>
      <c r="DF3449" s="459" t="s">
        <v>885</v>
      </c>
      <c r="DG3449" s="459" t="s">
        <v>885</v>
      </c>
      <c r="DH3449" s="459" t="s">
        <v>885</v>
      </c>
      <c r="DI3449" s="459" t="s">
        <v>885</v>
      </c>
      <c r="DJ3449" s="459" t="s">
        <v>885</v>
      </c>
      <c r="DK3449" s="459" t="s">
        <v>885</v>
      </c>
      <c r="DL3449" s="459" t="s">
        <v>885</v>
      </c>
      <c r="DM3449" s="459" t="s">
        <v>885</v>
      </c>
      <c r="DN3449" s="459" t="s">
        <v>885</v>
      </c>
      <c r="DO3449" s="459" t="s">
        <v>885</v>
      </c>
      <c r="DP3449" t="s">
        <v>3019</v>
      </c>
      <c r="DQ3449" s="459" t="s">
        <v>885</v>
      </c>
      <c r="DR3449" s="459" t="s">
        <v>885</v>
      </c>
      <c r="DS3449" s="459" t="s">
        <v>885</v>
      </c>
      <c r="DT3449" s="459" t="s">
        <v>885</v>
      </c>
      <c r="DU3449" s="459" t="s">
        <v>885</v>
      </c>
      <c r="DV3449" s="459" t="s">
        <v>885</v>
      </c>
      <c r="DW3449" s="459" t="s">
        <v>885</v>
      </c>
      <c r="DX3449" s="245" t="s">
        <v>885</v>
      </c>
      <c r="DY3449" s="245"/>
      <c r="DZ3449" s="470" t="str">
        <f t="shared" si="173"/>
        <v/>
      </c>
      <c r="EA3449" s="470" t="str">
        <f t="shared" si="174"/>
        <v/>
      </c>
      <c r="EB3449" s="459" t="s">
        <v>885</v>
      </c>
    </row>
    <row r="3450" spans="1:132" ht="16" hidden="1" x14ac:dyDescent="0.4">
      <c r="A3450" s="813"/>
      <c r="BB3450" s="48"/>
      <c r="BS3450" s="464" t="str">
        <f>IF($B$265=B$3281,BZ3449,IF($B$265=B$3282,CA3449,IF($B$265=B$3283,CB3449,IF($B$265=B$3284,CC3449,IF($B$265=B$3285,CD3449,IF($B$265=B$3286,CE3449,IF($B$265=B$3287,CF3449,IF($B$265=B$3288,CG3449,IF($B$265=B$3289,CH3449,IF($B$265=B$3290,CI3449,IF($B$265=B$3291,CJ3449,IF($B$265=B$3292,CK3449,IF($B$265=B$3293,CL3449,IF($B$265=B$3294,CM3449,IF($B$265=B$3295,CN3449,IF($B$265=B$3296,#REF!,IF($B$265=B$3297,CO3449,IF($B$265=B$3298,CP3449,IF($B$265=B$3299,CQ3449,IF($B$265=B$3300,CR3449,IF($B$265=B$3301,CS3449,IF($B$265=B$3302,CT3449,IF(B$265=B$3303,CU3449,IF($B$265=B$3304,CV3449,IF($B$265=B$3305,CW3449,IF($B$265=B$3306,CX3449,IF($B$265=B$3307,CY3449,IF($B$265=B$3308,CZ3449,IF($B$265=B$3309,DA3449,IF($B$265=B$3310,DB3449,IF($B$265=B$3311,DC3449,IF($B$265=B$3312,DD3449,IF($B$265=B$3313,DE3449,IF($B$265=B$3314,DF3449,IF($B$265=B$3315,DG3449,IF($B$265=B$3316,DH3449,IF($B$265=B$3317,DI3449,IF($B$265=B$3318,DJ3449,IF($B$265=B$3319,DK3449,IF($B$265=B$3320,DL3449,IF($B$265=B$3321,DM3449,IF($B$265=B$3322,DN3449,IF($B$265=B$3323,DO3449,IF($B$265=B$3324,DP3449,IF($B$265=B$3325,DQ3449,IF($B$265=B$3326,DR3449,IF($B$265=B$3327,DS3449,IF($B$265=B$3328,DT3449,IF($B$265=B$3329,DU3449,IF($B$265=B$3330,DV3449,IF($B$265=B$3331,DW3449,IF($B$265=B$3332,DX3449,""))))))))))))))))))))))))))))))))))))))))))))))))))))</f>
        <v/>
      </c>
      <c r="BZ3450" s="245" t="s">
        <v>885</v>
      </c>
      <c r="CA3450" s="245" t="s">
        <v>885</v>
      </c>
      <c r="CC3450" s="245" t="s">
        <v>885</v>
      </c>
      <c r="CD3450" s="459" t="s">
        <v>885</v>
      </c>
      <c r="CE3450" s="459" t="s">
        <v>885</v>
      </c>
      <c r="CF3450" s="245" t="s">
        <v>885</v>
      </c>
      <c r="CG3450" s="245" t="s">
        <v>885</v>
      </c>
      <c r="CH3450" s="245" t="s">
        <v>885</v>
      </c>
      <c r="CI3450" s="245" t="s">
        <v>885</v>
      </c>
      <c r="CJ3450" t="s">
        <v>1854</v>
      </c>
      <c r="CK3450" s="459" t="s">
        <v>885</v>
      </c>
      <c r="CL3450" s="459" t="s">
        <v>885</v>
      </c>
      <c r="CM3450" s="459" t="s">
        <v>885</v>
      </c>
      <c r="CN3450" s="459" t="s">
        <v>885</v>
      </c>
      <c r="CO3450" s="459" t="s">
        <v>885</v>
      </c>
      <c r="CP3450" s="459" t="s">
        <v>885</v>
      </c>
      <c r="CQ3450" s="459" t="s">
        <v>885</v>
      </c>
      <c r="CR3450" s="459" t="s">
        <v>885</v>
      </c>
      <c r="CS3450" s="459" t="s">
        <v>885</v>
      </c>
      <c r="CT3450" s="245" t="s">
        <v>885</v>
      </c>
      <c r="CU3450" s="463" t="s">
        <v>885</v>
      </c>
      <c r="CV3450" s="245" t="s">
        <v>885</v>
      </c>
      <c r="CW3450" s="245" t="s">
        <v>885</v>
      </c>
      <c r="CX3450" s="459" t="s">
        <v>885</v>
      </c>
      <c r="CY3450" s="459" t="s">
        <v>885</v>
      </c>
      <c r="CZ3450" s="459" t="s">
        <v>885</v>
      </c>
      <c r="DA3450" s="459" t="s">
        <v>885</v>
      </c>
      <c r="DB3450" s="459" t="s">
        <v>885</v>
      </c>
      <c r="DC3450" s="459" t="s">
        <v>885</v>
      </c>
      <c r="DD3450" s="459" t="s">
        <v>885</v>
      </c>
      <c r="DE3450" s="459" t="s">
        <v>885</v>
      </c>
      <c r="DF3450" s="459" t="s">
        <v>885</v>
      </c>
      <c r="DG3450" s="459" t="s">
        <v>885</v>
      </c>
      <c r="DH3450" s="459" t="s">
        <v>885</v>
      </c>
      <c r="DI3450" s="459" t="s">
        <v>885</v>
      </c>
      <c r="DJ3450" s="459" t="s">
        <v>885</v>
      </c>
      <c r="DK3450" s="459" t="s">
        <v>885</v>
      </c>
      <c r="DL3450" s="459" t="s">
        <v>885</v>
      </c>
      <c r="DM3450" s="459" t="s">
        <v>885</v>
      </c>
      <c r="DN3450" s="459" t="s">
        <v>885</v>
      </c>
      <c r="DO3450" s="459" t="s">
        <v>885</v>
      </c>
      <c r="DP3450" t="s">
        <v>3020</v>
      </c>
      <c r="DQ3450" s="459" t="s">
        <v>885</v>
      </c>
      <c r="DR3450" s="459" t="s">
        <v>885</v>
      </c>
      <c r="DS3450" s="459" t="s">
        <v>885</v>
      </c>
      <c r="DT3450" s="459" t="s">
        <v>885</v>
      </c>
      <c r="DU3450" s="459" t="s">
        <v>885</v>
      </c>
      <c r="DV3450" s="459" t="s">
        <v>885</v>
      </c>
      <c r="DW3450" s="459" t="s">
        <v>885</v>
      </c>
      <c r="DX3450" s="245" t="s">
        <v>885</v>
      </c>
      <c r="DY3450" s="245"/>
      <c r="DZ3450" s="470" t="str">
        <f t="shared" si="173"/>
        <v/>
      </c>
      <c r="EA3450" s="470" t="str">
        <f t="shared" si="174"/>
        <v/>
      </c>
      <c r="EB3450" s="459" t="s">
        <v>885</v>
      </c>
    </row>
    <row r="3451" spans="1:132" ht="16" hidden="1" x14ac:dyDescent="0.4">
      <c r="A3451" s="813"/>
      <c r="BB3451" s="48"/>
      <c r="BS3451" s="464" t="str">
        <f>IF($B$265=B$3281,BZ3450,IF($B$265=B$3282,CA3450,IF($B$265=B$3283,CB3450,IF($B$265=B$3284,CC3450,IF($B$265=B$3285,CD3450,IF($B$265=B$3286,CE3450,IF($B$265=B$3287,CF3450,IF($B$265=B$3288,CG3450,IF($B$265=B$3289,CH3450,IF($B$265=B$3290,CI3450,IF($B$265=B$3291,CJ3450,IF($B$265=B$3292,CK3450,IF($B$265=B$3293,CL3450,IF($B$265=B$3294,CM3450,IF($B$265=B$3295,CN3450,IF($B$265=B$3296,C2768,IF($B$265=B$3297,CO3450,IF($B$265=B$3298,CP3450,IF($B$265=B$3299,CQ3450,IF($B$265=B$3300,CR3450,IF($B$265=B$3301,CS3450,IF($B$265=B$3302,CT3450,IF(B$265=B$3303,CU3450,IF($B$265=B$3304,CV3450,IF($B$265=B$3305,CW3450,IF($B$265=B$3306,CX3450,IF($B$265=B$3307,CY3450,IF($B$265=B$3308,CZ3450,IF($B$265=B$3309,DA3450,IF($B$265=B$3310,DB3450,IF($B$265=B$3311,DC3450,IF($B$265=B$3312,DD3450,IF($B$265=B$3313,DE3450,IF($B$265=B$3314,DF3450,IF($B$265=B$3315,DG3450,IF($B$265=B$3316,DH3450,IF($B$265=B$3317,DI3450,IF($B$265=B$3318,DJ3450,IF($B$265=B$3319,DK3450,IF($B$265=B$3320,DL3450,IF($B$265=B$3321,DM3450,IF($B$265=B$3322,DN3450,IF($B$265=B$3323,DO3450,IF($B$265=B$3324,DP3450,IF($B$265=B$3325,DQ3450,IF($B$265=B$3326,DR3450,IF($B$265=B$3327,DS3450,IF($B$265=B$3328,DT3450,IF($B$265=B$3329,DU3450,IF($B$265=B$3330,DV3450,IF($B$265=B$3331,DW3450,IF($B$265=B$3332,DX3450,""))))))))))))))))))))))))))))))))))))))))))))))))))))</f>
        <v/>
      </c>
      <c r="BZ3451" s="245" t="s">
        <v>885</v>
      </c>
      <c r="CA3451" s="245" t="s">
        <v>885</v>
      </c>
      <c r="CC3451" s="245" t="s">
        <v>885</v>
      </c>
      <c r="CD3451" s="459" t="s">
        <v>885</v>
      </c>
      <c r="CE3451" s="459" t="s">
        <v>885</v>
      </c>
      <c r="CF3451" s="245" t="s">
        <v>885</v>
      </c>
      <c r="CG3451" s="245" t="s">
        <v>885</v>
      </c>
      <c r="CH3451" s="245" t="s">
        <v>885</v>
      </c>
      <c r="CI3451" s="245" t="s">
        <v>885</v>
      </c>
      <c r="CJ3451" t="s">
        <v>1495</v>
      </c>
      <c r="CK3451" s="459" t="s">
        <v>885</v>
      </c>
      <c r="CL3451" s="459" t="s">
        <v>885</v>
      </c>
      <c r="CM3451" s="459" t="s">
        <v>885</v>
      </c>
      <c r="CN3451" s="459" t="s">
        <v>885</v>
      </c>
      <c r="CO3451" s="459" t="s">
        <v>885</v>
      </c>
      <c r="CP3451" s="459" t="s">
        <v>885</v>
      </c>
      <c r="CQ3451" s="459" t="s">
        <v>885</v>
      </c>
      <c r="CR3451" s="459" t="s">
        <v>885</v>
      </c>
      <c r="CS3451" s="459" t="s">
        <v>885</v>
      </c>
      <c r="CT3451" s="245" t="s">
        <v>885</v>
      </c>
      <c r="CU3451" s="463" t="s">
        <v>885</v>
      </c>
      <c r="CV3451" s="245" t="s">
        <v>885</v>
      </c>
      <c r="CW3451" s="245" t="s">
        <v>885</v>
      </c>
      <c r="CX3451" s="459" t="s">
        <v>885</v>
      </c>
      <c r="CY3451" s="459" t="s">
        <v>885</v>
      </c>
      <c r="CZ3451" s="459" t="s">
        <v>885</v>
      </c>
      <c r="DA3451" s="459" t="s">
        <v>885</v>
      </c>
      <c r="DB3451" s="459" t="s">
        <v>885</v>
      </c>
      <c r="DC3451" s="459" t="s">
        <v>885</v>
      </c>
      <c r="DD3451" s="459" t="s">
        <v>885</v>
      </c>
      <c r="DE3451" s="459" t="s">
        <v>885</v>
      </c>
      <c r="DF3451" s="459" t="s">
        <v>885</v>
      </c>
      <c r="DG3451" s="459" t="s">
        <v>885</v>
      </c>
      <c r="DH3451" s="459" t="s">
        <v>885</v>
      </c>
      <c r="DI3451" s="459" t="s">
        <v>885</v>
      </c>
      <c r="DJ3451" s="459" t="s">
        <v>885</v>
      </c>
      <c r="DK3451" s="459" t="s">
        <v>885</v>
      </c>
      <c r="DL3451" s="459" t="s">
        <v>885</v>
      </c>
      <c r="DM3451" s="459" t="s">
        <v>885</v>
      </c>
      <c r="DN3451" s="459" t="s">
        <v>885</v>
      </c>
      <c r="DO3451" s="459" t="s">
        <v>885</v>
      </c>
      <c r="DP3451" t="s">
        <v>3021</v>
      </c>
      <c r="DQ3451" s="459" t="s">
        <v>885</v>
      </c>
      <c r="DR3451" s="459" t="s">
        <v>885</v>
      </c>
      <c r="DS3451" s="459" t="s">
        <v>885</v>
      </c>
      <c r="DT3451" s="459" t="s">
        <v>885</v>
      </c>
      <c r="DU3451" s="459" t="s">
        <v>885</v>
      </c>
      <c r="DV3451" s="459" t="s">
        <v>885</v>
      </c>
      <c r="DW3451" s="459" t="s">
        <v>885</v>
      </c>
      <c r="DX3451" s="245" t="s">
        <v>885</v>
      </c>
      <c r="DY3451" s="245"/>
      <c r="DZ3451" s="470" t="str">
        <f t="shared" si="173"/>
        <v/>
      </c>
      <c r="EA3451" s="470" t="str">
        <f t="shared" si="174"/>
        <v/>
      </c>
      <c r="EB3451" s="459" t="s">
        <v>885</v>
      </c>
    </row>
    <row r="3452" spans="1:132" ht="16" hidden="1" x14ac:dyDescent="0.4">
      <c r="A3452" s="813"/>
      <c r="BS3452" s="464" t="str">
        <f>IF($B$265=B$3281,BZ3451,IF($B$265=B$3282,CA3451,IF($B$265=B$3283,CB3451,IF($B$265=B$3284,CC3451,IF($B$265=B$3285,CD3451,IF($B$265=B$3286,CE3451,IF($B$265=B$3287,CF3451,IF($B$265=B$3288,CG3451,IF($B$265=B$3289,CH3451,IF($B$265=B$3290,CI3451,IF($B$265=B$3291,CJ3451,IF($B$265=B$3292,CK3451,IF($B$265=B$3293,CL3451,IF($B$265=B$3294,CM3451,IF($B$265=B$3295,CN3451,IF($B$265=B$3296,C2769,IF($B$265=B$3297,CO3451,IF($B$265=B$3298,CP3451,IF($B$265=B$3299,CQ3451,IF($B$265=B$3300,CR3451,IF($B$265=B$3301,CS3451,IF($B$265=B$3302,CT3451,IF(B$265=B$3303,CU3451,IF($B$265=B$3304,CV3451,IF($B$265=B$3305,CW3451,IF($B$265=B$3306,CX3451,IF($B$265=B$3307,CY3451,IF($B$265=B$3308,CZ3451,IF($B$265=B$3309,DA3451,IF($B$265=B$3310,DB3451,IF($B$265=B$3311,DC3451,IF($B$265=B$3312,DD3451,IF($B$265=B$3313,DE3451,IF($B$265=B$3314,DF3451,IF($B$265=B$3315,DG3451,IF($B$265=B$3316,DH3451,IF($B$265=B$3317,DI3451,IF($B$265=B$3318,DJ3451,IF($B$265=B$3319,DK3451,IF($B$265=B$3320,DL3451,IF($B$265=B$3321,DM3451,IF($B$265=B$3322,DN3451,IF($B$265=B$3323,DO3451,IF($B$265=B$3324,DP3451,IF($B$265=B$3325,DQ3451,IF($B$265=B$3326,DR3451,IF($B$265=B$3327,DS3451,IF($B$265=B$3328,DT3451,IF($B$265=B$3329,DU3451,IF($B$265=B$3330,DV3451,IF($B$265=B$3331,DW3451,IF($B$265=B$3332,DX3451,""))))))))))))))))))))))))))))))))))))))))))))))))))))</f>
        <v/>
      </c>
      <c r="BZ3452" s="245" t="s">
        <v>885</v>
      </c>
      <c r="CA3452" s="245" t="s">
        <v>885</v>
      </c>
      <c r="CC3452" s="245" t="s">
        <v>885</v>
      </c>
      <c r="CD3452" s="459" t="s">
        <v>885</v>
      </c>
      <c r="CE3452" s="459" t="s">
        <v>885</v>
      </c>
      <c r="CF3452" s="245" t="s">
        <v>885</v>
      </c>
      <c r="CG3452" s="245" t="s">
        <v>885</v>
      </c>
      <c r="CH3452" s="245" t="s">
        <v>885</v>
      </c>
      <c r="CI3452" s="245" t="s">
        <v>885</v>
      </c>
      <c r="CJ3452" t="s">
        <v>1855</v>
      </c>
      <c r="CK3452" s="459" t="s">
        <v>885</v>
      </c>
      <c r="CL3452" s="459" t="s">
        <v>885</v>
      </c>
      <c r="CM3452" s="459" t="s">
        <v>885</v>
      </c>
      <c r="CN3452" s="459" t="s">
        <v>885</v>
      </c>
      <c r="CO3452" s="459" t="s">
        <v>885</v>
      </c>
      <c r="CP3452" s="459" t="s">
        <v>885</v>
      </c>
      <c r="CQ3452" s="459" t="s">
        <v>885</v>
      </c>
      <c r="CR3452" s="459" t="s">
        <v>885</v>
      </c>
      <c r="CS3452" s="459" t="s">
        <v>885</v>
      </c>
      <c r="CT3452" s="245" t="s">
        <v>885</v>
      </c>
      <c r="CU3452" s="463" t="s">
        <v>885</v>
      </c>
      <c r="CV3452" s="245" t="s">
        <v>885</v>
      </c>
      <c r="CW3452" s="245" t="s">
        <v>885</v>
      </c>
      <c r="CX3452" s="459" t="s">
        <v>885</v>
      </c>
      <c r="CY3452" s="459" t="s">
        <v>885</v>
      </c>
      <c r="CZ3452" s="459" t="s">
        <v>885</v>
      </c>
      <c r="DA3452" s="459" t="s">
        <v>885</v>
      </c>
      <c r="DB3452" s="459" t="s">
        <v>885</v>
      </c>
      <c r="DC3452" s="459" t="s">
        <v>885</v>
      </c>
      <c r="DD3452" s="459" t="s">
        <v>885</v>
      </c>
      <c r="DE3452" s="459" t="s">
        <v>885</v>
      </c>
      <c r="DF3452" s="459" t="s">
        <v>885</v>
      </c>
      <c r="DG3452" s="459" t="s">
        <v>885</v>
      </c>
      <c r="DH3452" s="459" t="s">
        <v>885</v>
      </c>
      <c r="DI3452" s="459" t="s">
        <v>885</v>
      </c>
      <c r="DJ3452" s="459" t="s">
        <v>885</v>
      </c>
      <c r="DK3452" s="459" t="s">
        <v>885</v>
      </c>
      <c r="DL3452" s="459" t="s">
        <v>885</v>
      </c>
      <c r="DM3452" s="459" t="s">
        <v>885</v>
      </c>
      <c r="DN3452" s="459" t="s">
        <v>885</v>
      </c>
      <c r="DO3452" s="459" t="s">
        <v>885</v>
      </c>
      <c r="DP3452" t="s">
        <v>3022</v>
      </c>
      <c r="DQ3452" s="459" t="s">
        <v>885</v>
      </c>
      <c r="DR3452" s="459" t="s">
        <v>885</v>
      </c>
      <c r="DS3452" s="459" t="s">
        <v>885</v>
      </c>
      <c r="DT3452" s="459" t="s">
        <v>885</v>
      </c>
      <c r="DU3452" s="459" t="s">
        <v>885</v>
      </c>
      <c r="DV3452" s="459" t="s">
        <v>885</v>
      </c>
      <c r="DW3452" s="459" t="s">
        <v>885</v>
      </c>
      <c r="DX3452" s="245" t="s">
        <v>885</v>
      </c>
      <c r="DY3452" s="245"/>
      <c r="DZ3452" s="470" t="str">
        <f t="shared" si="173"/>
        <v/>
      </c>
      <c r="EA3452" s="470" t="str">
        <f t="shared" si="174"/>
        <v/>
      </c>
      <c r="EB3452" s="459" t="s">
        <v>885</v>
      </c>
    </row>
    <row r="3453" spans="1:132" ht="16" hidden="1" x14ac:dyDescent="0.4">
      <c r="A3453" s="813"/>
      <c r="BS3453" s="464" t="str">
        <f>IF($B$265=B$3281,BZ3452,IF($B$265=B$3282,CA3452,IF($B$265=B$3283,CB3452,IF($B$265=B$3284,CC3452,IF($B$265=B$3285,CD3452,IF($B$265=B$3286,CE3452,IF($B$265=B$3287,CF3452,IF($B$265=B$3288,CG3452,IF($B$265=B$3289,CH3452,IF($B$265=B$3290,CI3452,IF($B$265=B$3291,CJ3452,IF($B$265=B$3292,CK3452,IF($B$265=B$3293,CL3452,IF($B$265=B$3294,CM3452,IF($B$265=B$3295,CN3452,IF($B$265=B$3296,C2770,IF($B$265=B$3297,CO3452,IF($B$265=B$3298,CP3452,IF($B$265=B$3299,CQ3452,IF($B$265=B$3300,CR3452,IF($B$265=B$3301,CS3452,IF($B$265=B$3302,CT3452,IF(B$265=B$3303,CU3452,IF($B$265=B$3304,CV3452,IF($B$265=B$3305,CW3452,IF($B$265=B$3306,CX3452,IF($B$265=B$3307,CY3452,IF($B$265=B$3308,CZ3452,IF($B$265=B$3309,DA3452,IF($B$265=B$3310,DB3452,IF($B$265=B$3311,DC3452,IF($B$265=B$3312,DD3452,IF($B$265=B$3313,DE3452,IF($B$265=B$3314,DF3452,IF($B$265=B$3315,DG3452,IF($B$265=B$3316,DH3452,IF($B$265=B$3317,DI3452,IF($B$265=B$3318,DJ3452,IF($B$265=B$3319,DK3452,IF($B$265=B$3320,DL3452,IF($B$265=B$3321,DM3452,IF($B$265=B$3322,DN3452,IF($B$265=B$3323,DO3452,IF($B$265=B$3324,DP3452,IF($B$265=B$3325,DQ3452,IF($B$265=B$3326,DR3452,IF($B$265=B$3327,DS3452,IF($B$265=B$3328,DT3452,IF($B$265=B$3329,DU3452,IF($B$265=B$3330,DV3452,IF($B$265=B$3331,DW3452,IF($B$265=B$3332,DX3452,""))))))))))))))))))))))))))))))))))))))))))))))))))))</f>
        <v/>
      </c>
      <c r="BZ3453" s="245" t="s">
        <v>885</v>
      </c>
      <c r="CA3453" s="245" t="s">
        <v>885</v>
      </c>
      <c r="CC3453" s="245" t="s">
        <v>885</v>
      </c>
      <c r="CD3453" s="459" t="s">
        <v>885</v>
      </c>
      <c r="CE3453" s="459" t="s">
        <v>885</v>
      </c>
      <c r="CF3453" s="245" t="s">
        <v>885</v>
      </c>
      <c r="CG3453" s="245" t="s">
        <v>885</v>
      </c>
      <c r="CH3453" s="245" t="s">
        <v>885</v>
      </c>
      <c r="CI3453" s="245" t="s">
        <v>885</v>
      </c>
      <c r="CJ3453" t="s">
        <v>1856</v>
      </c>
      <c r="CK3453" s="459" t="s">
        <v>885</v>
      </c>
      <c r="CL3453" s="459" t="s">
        <v>885</v>
      </c>
      <c r="CM3453" s="459" t="s">
        <v>885</v>
      </c>
      <c r="CN3453" s="459" t="s">
        <v>885</v>
      </c>
      <c r="CO3453" s="459" t="s">
        <v>885</v>
      </c>
      <c r="CP3453" s="459" t="s">
        <v>885</v>
      </c>
      <c r="CQ3453" s="459" t="s">
        <v>885</v>
      </c>
      <c r="CR3453" s="459" t="s">
        <v>885</v>
      </c>
      <c r="CS3453" s="459" t="s">
        <v>885</v>
      </c>
      <c r="CT3453" s="245" t="s">
        <v>885</v>
      </c>
      <c r="CU3453" s="463" t="s">
        <v>885</v>
      </c>
      <c r="CV3453" s="245" t="s">
        <v>885</v>
      </c>
      <c r="CW3453" s="245" t="s">
        <v>885</v>
      </c>
      <c r="CX3453" s="459" t="s">
        <v>885</v>
      </c>
      <c r="CY3453" s="459" t="s">
        <v>885</v>
      </c>
      <c r="CZ3453" s="459" t="s">
        <v>885</v>
      </c>
      <c r="DA3453" s="459" t="s">
        <v>885</v>
      </c>
      <c r="DB3453" s="459" t="s">
        <v>885</v>
      </c>
      <c r="DC3453" s="459" t="s">
        <v>885</v>
      </c>
      <c r="DD3453" s="459" t="s">
        <v>885</v>
      </c>
      <c r="DE3453" s="459" t="s">
        <v>885</v>
      </c>
      <c r="DF3453" s="459" t="s">
        <v>885</v>
      </c>
      <c r="DG3453" s="459" t="s">
        <v>885</v>
      </c>
      <c r="DH3453" s="459" t="s">
        <v>885</v>
      </c>
      <c r="DI3453" s="459" t="s">
        <v>885</v>
      </c>
      <c r="DJ3453" s="459" t="s">
        <v>885</v>
      </c>
      <c r="DK3453" s="459" t="s">
        <v>885</v>
      </c>
      <c r="DL3453" s="459" t="s">
        <v>885</v>
      </c>
      <c r="DM3453" s="459" t="s">
        <v>885</v>
      </c>
      <c r="DN3453" s="459" t="s">
        <v>885</v>
      </c>
      <c r="DO3453" s="459" t="s">
        <v>885</v>
      </c>
      <c r="DP3453" t="s">
        <v>3023</v>
      </c>
      <c r="DQ3453" s="459" t="s">
        <v>885</v>
      </c>
      <c r="DR3453" s="459" t="s">
        <v>885</v>
      </c>
      <c r="DS3453" s="459" t="s">
        <v>885</v>
      </c>
      <c r="DT3453" s="459" t="s">
        <v>885</v>
      </c>
      <c r="DU3453" s="459" t="s">
        <v>885</v>
      </c>
      <c r="DV3453" s="459" t="s">
        <v>885</v>
      </c>
      <c r="DW3453" s="459" t="s">
        <v>885</v>
      </c>
      <c r="DX3453" s="245" t="s">
        <v>885</v>
      </c>
      <c r="DY3453" s="245"/>
      <c r="DZ3453" s="470" t="str">
        <f t="shared" si="173"/>
        <v/>
      </c>
      <c r="EA3453" s="470" t="str">
        <f t="shared" si="174"/>
        <v/>
      </c>
      <c r="EB3453" s="459" t="s">
        <v>885</v>
      </c>
    </row>
    <row r="3454" spans="1:132" ht="16" hidden="1" x14ac:dyDescent="0.4">
      <c r="A3454" s="813"/>
      <c r="BB3454" s="48"/>
      <c r="BS3454" s="464" t="str">
        <f>IF($B$265=B$3281,BZ3453,IF($B$265=B$3282,CA3453,IF($B$265=B$3283,CB3453,IF($B$265=B$3284,CC3453,IF($B$265=B$3285,CD3453,IF($B$265=B$3286,CE3453,IF($B$265=B$3287,CF3453,IF($B$265=B$3288,CG3453,IF($B$265=B$3289,CH3453,IF($B$265=B$3290,CI3453,IF($B$265=B$3291,CJ3453,IF($B$265=B$3292,CK3453,IF($B$265=B$3293,CL3453,IF($B$265=B$3294,CM3453,IF($B$265=B$3295,CN3453,IF($B$265=B$3296,C2771,IF($B$265=B$3297,CO3453,IF($B$265=B$3298,CP3453,IF($B$265=B$3299,CQ3453,IF($B$265=B$3300,CR3453,IF($B$265=B$3301,CS3453,IF($B$265=B$3302,CT3453,IF(B$265=B$3303,CU3453,IF($B$265=B$3304,CV3453,IF($B$265=B$3305,CW3453,IF($B$265=B$3306,CX3453,IF($B$265=B$3307,CY3453,IF($B$265=B$3308,CZ3453,IF($B$265=B$3309,DA3453,IF($B$265=B$3310,DB3453,IF($B$265=B$3311,DC3453,IF($B$265=B$3312,DD3453,IF($B$265=B$3313,DE3453,IF($B$265=B$3314,DF3453,IF($B$265=B$3315,DG3453,IF($B$265=B$3316,DH3453,IF($B$265=B$3317,DI3453,IF($B$265=B$3318,DJ3453,IF($B$265=B$3319,DK3453,IF($B$265=B$3320,DL3453,IF($B$265=B$3321,DM3453,IF($B$265=B$3322,DN3453,IF($B$265=B$3323,DO3453,IF($B$265=B$3324,DP3453,IF($B$265=B$3325,DQ3453,IF($B$265=B$3326,DR3453,IF($B$265=B$3327,DS3453,IF($B$265=B$3328,DT3453,IF($B$265=B$3329,DU3453,IF($B$265=B$3330,DV3453,IF($B$265=B$3331,DW3453,IF($B$265=B$3332,DX3453,""))))))))))))))))))))))))))))))))))))))))))))))))))))</f>
        <v/>
      </c>
      <c r="BZ3454" s="245" t="s">
        <v>885</v>
      </c>
      <c r="CA3454" s="245" t="s">
        <v>885</v>
      </c>
      <c r="CC3454" s="245" t="s">
        <v>885</v>
      </c>
      <c r="CD3454" s="459" t="s">
        <v>885</v>
      </c>
      <c r="CE3454" s="459" t="s">
        <v>885</v>
      </c>
      <c r="CF3454" s="245" t="s">
        <v>885</v>
      </c>
      <c r="CG3454" s="245" t="s">
        <v>885</v>
      </c>
      <c r="CH3454" s="245" t="s">
        <v>885</v>
      </c>
      <c r="CI3454" s="245" t="s">
        <v>885</v>
      </c>
      <c r="CJ3454" t="s">
        <v>1857</v>
      </c>
      <c r="CK3454" s="459" t="s">
        <v>885</v>
      </c>
      <c r="CL3454" s="459" t="s">
        <v>885</v>
      </c>
      <c r="CM3454" s="459" t="s">
        <v>885</v>
      </c>
      <c r="CN3454" s="459" t="s">
        <v>885</v>
      </c>
      <c r="CO3454" s="459" t="s">
        <v>885</v>
      </c>
      <c r="CP3454" s="459" t="s">
        <v>885</v>
      </c>
      <c r="CQ3454" s="459" t="s">
        <v>885</v>
      </c>
      <c r="CR3454" s="459" t="s">
        <v>885</v>
      </c>
      <c r="CS3454" s="459" t="s">
        <v>885</v>
      </c>
      <c r="CT3454" s="245" t="s">
        <v>885</v>
      </c>
      <c r="CU3454" s="463" t="s">
        <v>885</v>
      </c>
      <c r="CV3454" s="245" t="s">
        <v>885</v>
      </c>
      <c r="CW3454" s="245" t="s">
        <v>885</v>
      </c>
      <c r="CX3454" s="459" t="s">
        <v>885</v>
      </c>
      <c r="CY3454" s="459" t="s">
        <v>885</v>
      </c>
      <c r="CZ3454" s="459" t="s">
        <v>885</v>
      </c>
      <c r="DA3454" s="459" t="s">
        <v>885</v>
      </c>
      <c r="DB3454" s="459" t="s">
        <v>885</v>
      </c>
      <c r="DC3454" s="459" t="s">
        <v>885</v>
      </c>
      <c r="DD3454" s="459" t="s">
        <v>885</v>
      </c>
      <c r="DE3454" s="459" t="s">
        <v>885</v>
      </c>
      <c r="DF3454" s="459" t="s">
        <v>885</v>
      </c>
      <c r="DG3454" s="459" t="s">
        <v>885</v>
      </c>
      <c r="DH3454" s="459" t="s">
        <v>885</v>
      </c>
      <c r="DI3454" s="459" t="s">
        <v>885</v>
      </c>
      <c r="DJ3454" s="459" t="s">
        <v>885</v>
      </c>
      <c r="DK3454" s="459" t="s">
        <v>885</v>
      </c>
      <c r="DL3454" s="459" t="s">
        <v>885</v>
      </c>
      <c r="DM3454" s="459" t="s">
        <v>885</v>
      </c>
      <c r="DN3454" s="459" t="s">
        <v>885</v>
      </c>
      <c r="DO3454" s="459" t="s">
        <v>885</v>
      </c>
      <c r="DP3454" t="s">
        <v>3024</v>
      </c>
      <c r="DQ3454" s="459" t="s">
        <v>885</v>
      </c>
      <c r="DR3454" s="459" t="s">
        <v>885</v>
      </c>
      <c r="DS3454" s="459" t="s">
        <v>885</v>
      </c>
      <c r="DT3454" s="459" t="s">
        <v>885</v>
      </c>
      <c r="DU3454" s="459" t="s">
        <v>885</v>
      </c>
      <c r="DV3454" s="459" t="s">
        <v>885</v>
      </c>
      <c r="DW3454" s="459" t="s">
        <v>885</v>
      </c>
      <c r="DX3454" s="245" t="s">
        <v>885</v>
      </c>
      <c r="DY3454" s="245"/>
      <c r="DZ3454" s="470" t="str">
        <f t="shared" si="173"/>
        <v/>
      </c>
      <c r="EA3454" s="470" t="str">
        <f t="shared" si="174"/>
        <v/>
      </c>
      <c r="EB3454" s="459" t="s">
        <v>885</v>
      </c>
    </row>
    <row r="3455" spans="1:132" ht="16" hidden="1" x14ac:dyDescent="0.4">
      <c r="A3455" s="813"/>
      <c r="BB3455" s="48"/>
      <c r="BS3455" s="464" t="str">
        <f>IF($B$265=B$3281,BZ3454,IF($B$265=B$3282,CA3454,IF($B$265=B$3283,CB3454,IF($B$265=B$3284,CC3454,IF($B$265=B$3285,CD3454,IF($B$265=B$3286,CE3454,IF($B$265=B$3287,CF3454,IF($B$265=B$3288,CG3454,IF($B$265=B$3289,CH3454,IF($B$265=B$3290,CI3454,IF($B$265=B$3291,CJ3454,IF($B$265=B$3292,CK3454,IF($B$265=B$3293,CL3454,IF($B$265=B$3294,CM3454,IF($B$265=B$3295,CN3454,IF($B$265=B$3296,C2772,IF($B$265=B$3297,CO3454,IF($B$265=B$3298,CP3454,IF($B$265=B$3299,CQ3454,IF($B$265=B$3300,CR3454,IF($B$265=B$3301,CS3454,IF($B$265=B$3302,CT3454,IF(B$265=B$3303,CU3454,IF($B$265=B$3304,CV3454,IF($B$265=B$3305,CW3454,IF($B$265=B$3306,CX3454,IF($B$265=B$3307,CY3454,IF($B$265=B$3308,CZ3454,IF($B$265=B$3309,DA3454,IF($B$265=B$3310,DB3454,IF($B$265=B$3311,DC3454,IF($B$265=B$3312,DD3454,IF($B$265=B$3313,DE3454,IF($B$265=B$3314,DF3454,IF($B$265=B$3315,DG3454,IF($B$265=B$3316,DH3454,IF($B$265=B$3317,DI3454,IF($B$265=B$3318,DJ3454,IF($B$265=B$3319,DK3454,IF($B$265=B$3320,DL3454,IF($B$265=B$3321,DM3454,IF($B$265=B$3322,DN3454,IF($B$265=B$3323,DO3454,IF($B$265=B$3324,DP3454,IF($B$265=B$3325,DQ3454,IF($B$265=B$3326,DR3454,IF($B$265=B$3327,DS3454,IF($B$265=B$3328,DT3454,IF($B$265=B$3329,DU3454,IF($B$265=B$3330,DV3454,IF($B$265=B$3331,DW3454,IF($B$265=B$3332,DX3454,""))))))))))))))))))))))))))))))))))))))))))))))))))))</f>
        <v/>
      </c>
      <c r="BZ3455" s="245" t="s">
        <v>885</v>
      </c>
      <c r="CA3455" s="245" t="s">
        <v>885</v>
      </c>
      <c r="CC3455" s="245" t="s">
        <v>885</v>
      </c>
      <c r="CD3455" s="459" t="s">
        <v>885</v>
      </c>
      <c r="CE3455" s="459" t="s">
        <v>885</v>
      </c>
      <c r="CF3455" s="245" t="s">
        <v>885</v>
      </c>
      <c r="CG3455" s="245" t="s">
        <v>885</v>
      </c>
      <c r="CH3455" s="245" t="s">
        <v>885</v>
      </c>
      <c r="CI3455" s="245" t="s">
        <v>885</v>
      </c>
      <c r="CJ3455" t="s">
        <v>1581</v>
      </c>
      <c r="CK3455" s="459" t="s">
        <v>885</v>
      </c>
      <c r="CL3455" s="459" t="s">
        <v>885</v>
      </c>
      <c r="CM3455" s="459" t="s">
        <v>885</v>
      </c>
      <c r="CN3455" s="459" t="s">
        <v>885</v>
      </c>
      <c r="CO3455" s="459" t="s">
        <v>885</v>
      </c>
      <c r="CP3455" s="459" t="s">
        <v>885</v>
      </c>
      <c r="CQ3455" s="459" t="s">
        <v>885</v>
      </c>
      <c r="CR3455" s="459" t="s">
        <v>885</v>
      </c>
      <c r="CS3455" s="459" t="s">
        <v>885</v>
      </c>
      <c r="CT3455" s="245" t="s">
        <v>885</v>
      </c>
      <c r="CU3455" s="463" t="s">
        <v>885</v>
      </c>
      <c r="CV3455" s="245" t="s">
        <v>885</v>
      </c>
      <c r="CW3455" s="245" t="s">
        <v>885</v>
      </c>
      <c r="CX3455" s="459" t="s">
        <v>885</v>
      </c>
      <c r="CY3455" s="459" t="s">
        <v>885</v>
      </c>
      <c r="CZ3455" s="459" t="s">
        <v>885</v>
      </c>
      <c r="DA3455" s="459" t="s">
        <v>885</v>
      </c>
      <c r="DB3455" s="459" t="s">
        <v>885</v>
      </c>
      <c r="DC3455" s="459" t="s">
        <v>885</v>
      </c>
      <c r="DD3455" s="459" t="s">
        <v>885</v>
      </c>
      <c r="DE3455" s="459" t="s">
        <v>885</v>
      </c>
      <c r="DF3455" s="459" t="s">
        <v>885</v>
      </c>
      <c r="DG3455" s="459" t="s">
        <v>885</v>
      </c>
      <c r="DH3455" s="459" t="s">
        <v>885</v>
      </c>
      <c r="DI3455" s="459" t="s">
        <v>885</v>
      </c>
      <c r="DJ3455" s="459" t="s">
        <v>885</v>
      </c>
      <c r="DK3455" s="459" t="s">
        <v>885</v>
      </c>
      <c r="DL3455" s="459" t="s">
        <v>885</v>
      </c>
      <c r="DM3455" s="459" t="s">
        <v>885</v>
      </c>
      <c r="DN3455" s="459" t="s">
        <v>885</v>
      </c>
      <c r="DO3455" s="459" t="s">
        <v>885</v>
      </c>
      <c r="DP3455" t="s">
        <v>3025</v>
      </c>
      <c r="DQ3455" s="459" t="s">
        <v>885</v>
      </c>
      <c r="DR3455" s="459" t="s">
        <v>885</v>
      </c>
      <c r="DS3455" s="459" t="s">
        <v>885</v>
      </c>
      <c r="DT3455" s="459" t="s">
        <v>885</v>
      </c>
      <c r="DU3455" s="459" t="s">
        <v>885</v>
      </c>
      <c r="DV3455" s="459" t="s">
        <v>885</v>
      </c>
      <c r="DW3455" s="459" t="s">
        <v>885</v>
      </c>
      <c r="DX3455" s="245" t="s">
        <v>885</v>
      </c>
      <c r="DY3455" s="245"/>
      <c r="DZ3455" s="470" t="str">
        <f t="shared" si="173"/>
        <v/>
      </c>
      <c r="EA3455" s="470" t="str">
        <f t="shared" si="174"/>
        <v/>
      </c>
      <c r="EB3455" s="459" t="s">
        <v>885</v>
      </c>
    </row>
    <row r="3456" spans="1:132" ht="16" hidden="1" x14ac:dyDescent="0.4">
      <c r="A3456" s="813"/>
      <c r="BB3456" s="48"/>
      <c r="BS3456" s="464" t="str">
        <f t="shared" ref="BS3456:BS3462" si="175">IF($B$265=B$3281,BZ3455,IF($B$265=B$3282,CA3455,IF($B$265=B$3283,CB3455,IF($B$265=B$3284,CC3455,IF($B$265=B$3285,CD3455,IF($B$265=B$3286,CE3455,IF($B$265=B$3287,CF3455,IF($B$265=B$3288,CG3455,IF($B$265=B$3289,CH3455,IF($B$265=B$3290,CI3455,IF($B$265=B$3291,CJ3455,IF($B$265=B$3292,CK3455,IF($B$265=B$3293,CL3455,IF($B$265=B$3294,CM3455,IF($B$265=B$3295,CN3455,IF($B$265=B$3296,D2762,IF($B$265=B$3297,CO3455,IF($B$265=B$3298,CP3455,IF($B$265=B$3299,CQ3455,IF($B$265=B$3300,CR3455,IF($B$265=B$3301,CS3455,IF($B$265=B$3302,CT3455,IF(B$265=B$3303,CU3455,IF($B$265=B$3304,CV3455,IF($B$265=B$3305,CW3455,IF($B$265=B$3306,CX3455,IF($B$265=B$3307,CY3455,IF($B$265=B$3308,CZ3455,IF($B$265=B$3309,DA3455,IF($B$265=B$3310,DB3455,IF($B$265=B$3311,DC3455,IF($B$265=B$3312,DD3455,IF($B$265=B$3313,DE3455,IF($B$265=B$3314,DF3455,IF($B$265=B$3315,DG3455,IF($B$265=B$3316,DH3455,IF($B$265=B$3317,DI3455,IF($B$265=B$3318,DJ3455,IF($B$265=B$3319,DK3455,IF($B$265=B$3320,DL3455,IF($B$265=B$3321,DM3455,IF($B$265=B$3322,DN3455,IF($B$265=B$3323,DO3455,IF($B$265=B$3324,DP3455,IF($B$265=B$3325,DQ3455,IF($B$265=B$3326,DR3455,IF($B$265=B$3327,DS3455,IF($B$265=B$3328,DT3455,IF($B$265=B$3329,DU3455,IF($B$265=B$3330,DV3455,IF($B$265=B$3331,DW3455,IF($B$265=B$3332,DX3455,""))))))))))))))))))))))))))))))))))))))))))))))))))))</f>
        <v/>
      </c>
      <c r="BZ3456" s="245" t="s">
        <v>885</v>
      </c>
      <c r="CA3456" s="245" t="s">
        <v>885</v>
      </c>
      <c r="CC3456" s="245" t="s">
        <v>885</v>
      </c>
      <c r="CD3456" s="459" t="s">
        <v>885</v>
      </c>
      <c r="CE3456" s="459" t="s">
        <v>885</v>
      </c>
      <c r="CF3456" s="245" t="s">
        <v>885</v>
      </c>
      <c r="CG3456" s="245" t="s">
        <v>885</v>
      </c>
      <c r="CH3456" s="245" t="s">
        <v>885</v>
      </c>
      <c r="CI3456" s="245" t="s">
        <v>885</v>
      </c>
      <c r="CJ3456" t="s">
        <v>1858</v>
      </c>
      <c r="CK3456" s="459" t="s">
        <v>885</v>
      </c>
      <c r="CL3456" s="459" t="s">
        <v>885</v>
      </c>
      <c r="CM3456" s="459" t="s">
        <v>885</v>
      </c>
      <c r="CN3456" s="459" t="s">
        <v>885</v>
      </c>
      <c r="CO3456" s="459" t="s">
        <v>885</v>
      </c>
      <c r="CP3456" s="459" t="s">
        <v>885</v>
      </c>
      <c r="CQ3456" s="459" t="s">
        <v>885</v>
      </c>
      <c r="CR3456" s="459" t="s">
        <v>885</v>
      </c>
      <c r="CS3456" s="459" t="s">
        <v>885</v>
      </c>
      <c r="CT3456" s="245" t="s">
        <v>885</v>
      </c>
      <c r="CU3456" s="463" t="s">
        <v>885</v>
      </c>
      <c r="CV3456" s="245" t="s">
        <v>885</v>
      </c>
      <c r="CW3456" s="245" t="s">
        <v>885</v>
      </c>
      <c r="CX3456" s="459" t="s">
        <v>885</v>
      </c>
      <c r="CY3456" s="459" t="s">
        <v>885</v>
      </c>
      <c r="CZ3456" s="459" t="s">
        <v>885</v>
      </c>
      <c r="DA3456" s="459" t="s">
        <v>885</v>
      </c>
      <c r="DB3456" s="459" t="s">
        <v>885</v>
      </c>
      <c r="DC3456" s="459" t="s">
        <v>885</v>
      </c>
      <c r="DD3456" s="459" t="s">
        <v>885</v>
      </c>
      <c r="DE3456" s="459" t="s">
        <v>885</v>
      </c>
      <c r="DF3456" s="459" t="s">
        <v>885</v>
      </c>
      <c r="DG3456" s="459" t="s">
        <v>885</v>
      </c>
      <c r="DH3456" s="459" t="s">
        <v>885</v>
      </c>
      <c r="DI3456" s="459" t="s">
        <v>885</v>
      </c>
      <c r="DJ3456" s="459" t="s">
        <v>885</v>
      </c>
      <c r="DK3456" s="459" t="s">
        <v>885</v>
      </c>
      <c r="DL3456" s="459" t="s">
        <v>885</v>
      </c>
      <c r="DM3456" s="459" t="s">
        <v>885</v>
      </c>
      <c r="DN3456" s="459" t="s">
        <v>885</v>
      </c>
      <c r="DO3456" s="459" t="s">
        <v>885</v>
      </c>
      <c r="DP3456" t="s">
        <v>3026</v>
      </c>
      <c r="DQ3456" s="459" t="s">
        <v>885</v>
      </c>
      <c r="DR3456" s="459" t="s">
        <v>885</v>
      </c>
      <c r="DS3456" s="459" t="s">
        <v>885</v>
      </c>
      <c r="DT3456" s="459" t="s">
        <v>885</v>
      </c>
      <c r="DU3456" s="459" t="s">
        <v>885</v>
      </c>
      <c r="DV3456" s="459" t="s">
        <v>885</v>
      </c>
      <c r="DW3456" s="459" t="s">
        <v>885</v>
      </c>
      <c r="DX3456" s="245" t="s">
        <v>885</v>
      </c>
      <c r="DY3456" s="245"/>
      <c r="DZ3456" s="470" t="str">
        <f t="shared" ref="DZ3456:DZ3461" si="176">IF($B$265=$B$3281,EB3456,IF($B$265=$B$3282,ED3456,IF($B$265=$B$3283,EF3456,IF($B$265=$B$3284,EH3456,IF($B$265=$B$3285,EJ3456,IF($B$265=$B$3286,EL3456,IF($B$265=$B$3287,EN3456,IF($B$265=$B$3288,EP3456,IF($B$265=$B$3289,ER3456,IF($B$265=$B$3290,ET3456,IF($B$265=$B$3291,EV3456,IF($B$265=$B$3292,EX3456,IF($B$265=$B$3293,EZ3456,IF($B$265=$B$3294,FB3456,IF($B$265=$B$3295,FD3456,IF($B$265=$B$3296,BU3456,IF($B$265=$B$3297,FF3456,IF($B$265=$B$3298,FH3456,IF($B$265=$B$3299,FJ3456,IF($B$265=$B$3300,FL3456,IF($B$265=$B$3301,FN3456,IF($B$265=$B$3302,FP3456,IF(BI$265=$B$3303,FR3456,IF($B$265=$B$3304,FT3456,IF($B$265=$B$3305,FV3456,IF($B$265=$B$3306,FX3456,IF($B$265=$B$3307,FZ3456,IF($B$265=$B$3308,GB3456,IF($B$265=$B$3309,GD3456,IF($B$265=$B$3310,GF3456,IF($B$265=$B$3311,GH3456,IF($B$265=$B$3312,GJ3456,IF($B$265=$B$3313,GL3456,IF($B$265=$B$3314,GN3456,IF($B$265=$B$3315,GP3456,IF($B$265=$B$3316,GR3456,IF($B$265=$B$3317,GT3456,IF($B$265=$B$3318,GV3456,IF($B$265=$B$3319,GX3456,IF($B$265=$B$3320,GZ3456,IF($B$265=$B$3321,HB3456,IF($B$265=$B$3322,HD3456,IF($B$265=$B$3323,HF3456,IF($B$265=$B$3324,HH3456,IF($B$265=$B$3325,HJ3456,IF($B$265=$B$3326,HL3456,IF($B$265=$B$3327,HN3456,IF($B$265=$B$3328,HP3456,IF($B$265=$B$3329,HR3456,IF($B$265=$B$3330,HT3456,IF($B$265=$B$3331,HV3456,IF($B$265=$B$3332,HX3456,""))))))))))))))))))))))))))))))))))))))))))))))))))))</f>
        <v/>
      </c>
      <c r="EA3456" s="470" t="str">
        <f t="shared" ref="EA3456:EA3461" si="177">IF($B$265=$B$3281,EC3456,IF($B$265=$B$3282,EE3456,IF($B$265=$B$3283,EG3456,IF($B$265=$B$3284,EI3456,IF($B$265=$B$3285,EK3456,IF($B$265=$B$3286,EM3456,IF($B$265=$B$3287,EO3456,IF($B$265=$B$3288,EQ3456,IF($B$265=$B$3289,ES3456,IF($B$265=$B$3290,EU3456,IF($B$265=$B$3291,EW3456,IF($B$265=$B$3292,EY3456,IF($B$265=$B$3293,FA3456,IF($B$265=$B$3294,FC3456,IF($B$265=$B$3295,FE3456,IF($B$265=$B$3296,BK3456,IF($B$265=$B$3297,FG3456,IF($B$265=$B$3298,FI3456,IF($B$265=$B$3299,FK3456,IF($B$265=$B$3300,FM3456,IF($B$265=$B$3301,FO3456,IF($B$265=$B$3302,FQ3456,IF(BJ$265=$B$3303,FS3456,IF($B$265=$B$3304,FU3456,IF($B$265=$B$3305,FW3456,IF($B$265=$B$3306,FY3456,IF($B$265=$B$3307,GA3456,IF($B$265=$B$3308,GC3456,IF($B$265=$B$3309,GE3456,IF($B$265=$B$3310,GG3456,IF($B$265=$B$3311,GI3456,IF($B$265=$B$3312,GK3456,IF($B$265=$B$3313,GM3456,IF($B$265=$B$3314,GO3456,IF($B$265=$B$3315,GQ3456,IF($B$265=$B$3316,GS3456,IF($B$265=$B$3317,GU3456,IF($B$265=$B$3318,GW3456,IF($B$265=$B$3319,GY3456,IF($B$265=$B$3320,HA3456,IF($B$265=$B$3321,HC3456,IF($B$265=$B$3322,HE3456,IF($B$265=$B$3323,HG3456,IF($B$265=$B$3324,HI3456,IF($B$265=$B$3325,HK3456,IF($B$265=$B$3326,HM3456,IF($B$265=$B$3327,HO3456,IF($B$265=$B$3328,HQ3456,IF($B$265=$B$3329,HS3456,IF($B$265=$B$3330,HU3456,IF($B$265=$B$3331,HW3456,IF($B$265=$B$3332,HY3456,""))))))))))))))))))))))))))))))))))))))))))))))))))))</f>
        <v/>
      </c>
      <c r="EB3456" s="459" t="s">
        <v>885</v>
      </c>
    </row>
    <row r="3457" spans="1:132" ht="16" hidden="1" x14ac:dyDescent="0.4">
      <c r="A3457" s="813"/>
      <c r="BB3457" s="48"/>
      <c r="BS3457" s="464" t="str">
        <f t="shared" si="175"/>
        <v/>
      </c>
      <c r="BZ3457" s="245" t="s">
        <v>885</v>
      </c>
      <c r="CA3457" s="245" t="s">
        <v>885</v>
      </c>
      <c r="CC3457" s="245" t="s">
        <v>885</v>
      </c>
      <c r="CD3457" s="459" t="s">
        <v>885</v>
      </c>
      <c r="CE3457" s="459" t="s">
        <v>885</v>
      </c>
      <c r="CF3457" s="245" t="s">
        <v>885</v>
      </c>
      <c r="CG3457" s="245" t="s">
        <v>885</v>
      </c>
      <c r="CH3457" s="245" t="s">
        <v>885</v>
      </c>
      <c r="CI3457" s="245" t="s">
        <v>885</v>
      </c>
      <c r="CJ3457" t="s">
        <v>1496</v>
      </c>
      <c r="CK3457" s="459" t="s">
        <v>885</v>
      </c>
      <c r="CL3457" s="459" t="s">
        <v>885</v>
      </c>
      <c r="CM3457" s="459" t="s">
        <v>885</v>
      </c>
      <c r="CN3457" s="459" t="s">
        <v>885</v>
      </c>
      <c r="CO3457" s="459" t="s">
        <v>885</v>
      </c>
      <c r="CP3457" s="459" t="s">
        <v>885</v>
      </c>
      <c r="CQ3457" s="459" t="s">
        <v>885</v>
      </c>
      <c r="CR3457" s="459" t="s">
        <v>885</v>
      </c>
      <c r="CS3457" s="459" t="s">
        <v>885</v>
      </c>
      <c r="CT3457" s="245" t="s">
        <v>885</v>
      </c>
      <c r="CU3457" s="463" t="s">
        <v>885</v>
      </c>
      <c r="CV3457" s="245" t="s">
        <v>885</v>
      </c>
      <c r="CW3457" s="245" t="s">
        <v>885</v>
      </c>
      <c r="CX3457" s="459" t="s">
        <v>885</v>
      </c>
      <c r="CY3457" s="459" t="s">
        <v>885</v>
      </c>
      <c r="CZ3457" s="459" t="s">
        <v>885</v>
      </c>
      <c r="DA3457" s="459" t="s">
        <v>885</v>
      </c>
      <c r="DB3457" s="459" t="s">
        <v>885</v>
      </c>
      <c r="DC3457" s="459" t="s">
        <v>885</v>
      </c>
      <c r="DD3457" s="459" t="s">
        <v>885</v>
      </c>
      <c r="DE3457" s="459" t="s">
        <v>885</v>
      </c>
      <c r="DF3457" s="459" t="s">
        <v>885</v>
      </c>
      <c r="DG3457" s="459" t="s">
        <v>885</v>
      </c>
      <c r="DH3457" s="459" t="s">
        <v>885</v>
      </c>
      <c r="DI3457" s="459" t="s">
        <v>885</v>
      </c>
      <c r="DJ3457" s="459" t="s">
        <v>885</v>
      </c>
      <c r="DK3457" s="459" t="s">
        <v>885</v>
      </c>
      <c r="DL3457" s="459" t="s">
        <v>885</v>
      </c>
      <c r="DM3457" s="459" t="s">
        <v>885</v>
      </c>
      <c r="DN3457" s="459" t="s">
        <v>885</v>
      </c>
      <c r="DO3457" s="459" t="s">
        <v>885</v>
      </c>
      <c r="DP3457" t="s">
        <v>3027</v>
      </c>
      <c r="DQ3457" s="459" t="s">
        <v>885</v>
      </c>
      <c r="DR3457" s="459" t="s">
        <v>885</v>
      </c>
      <c r="DS3457" s="459" t="s">
        <v>885</v>
      </c>
      <c r="DT3457" s="459" t="s">
        <v>885</v>
      </c>
      <c r="DU3457" s="459" t="s">
        <v>885</v>
      </c>
      <c r="DV3457" s="459" t="s">
        <v>885</v>
      </c>
      <c r="DW3457" s="459" t="s">
        <v>885</v>
      </c>
      <c r="DX3457" s="245" t="s">
        <v>885</v>
      </c>
      <c r="DY3457" s="245"/>
      <c r="DZ3457" s="470" t="str">
        <f t="shared" si="176"/>
        <v/>
      </c>
      <c r="EA3457" s="470" t="str">
        <f t="shared" si="177"/>
        <v/>
      </c>
      <c r="EB3457" s="459" t="s">
        <v>885</v>
      </c>
    </row>
    <row r="3458" spans="1:132" ht="16" hidden="1" x14ac:dyDescent="0.4">
      <c r="A3458" s="813"/>
      <c r="BB3458" s="48"/>
      <c r="BS3458" s="464" t="str">
        <f t="shared" si="175"/>
        <v/>
      </c>
      <c r="BZ3458" s="245" t="s">
        <v>885</v>
      </c>
      <c r="CA3458" s="245" t="s">
        <v>885</v>
      </c>
      <c r="CC3458" s="245" t="s">
        <v>885</v>
      </c>
      <c r="CD3458" s="459" t="s">
        <v>885</v>
      </c>
      <c r="CE3458" s="459" t="s">
        <v>885</v>
      </c>
      <c r="CF3458" s="245" t="s">
        <v>885</v>
      </c>
      <c r="CG3458" s="245" t="s">
        <v>885</v>
      </c>
      <c r="CH3458" s="245" t="s">
        <v>885</v>
      </c>
      <c r="CI3458" s="245" t="s">
        <v>885</v>
      </c>
      <c r="CJ3458" t="s">
        <v>1859</v>
      </c>
      <c r="CK3458" s="459" t="s">
        <v>885</v>
      </c>
      <c r="CL3458" s="459" t="s">
        <v>885</v>
      </c>
      <c r="CM3458" s="459" t="s">
        <v>885</v>
      </c>
      <c r="CN3458" s="459" t="s">
        <v>885</v>
      </c>
      <c r="CO3458" s="459" t="s">
        <v>885</v>
      </c>
      <c r="CP3458" s="459" t="s">
        <v>885</v>
      </c>
      <c r="CQ3458" s="459" t="s">
        <v>885</v>
      </c>
      <c r="CR3458" s="459" t="s">
        <v>885</v>
      </c>
      <c r="CS3458" s="459" t="s">
        <v>885</v>
      </c>
      <c r="CT3458" s="245" t="s">
        <v>885</v>
      </c>
      <c r="CU3458" s="463" t="s">
        <v>885</v>
      </c>
      <c r="CV3458" s="245" t="s">
        <v>885</v>
      </c>
      <c r="CW3458" s="245" t="s">
        <v>885</v>
      </c>
      <c r="CX3458" s="459" t="s">
        <v>885</v>
      </c>
      <c r="CY3458" s="459" t="s">
        <v>885</v>
      </c>
      <c r="CZ3458" s="459" t="s">
        <v>885</v>
      </c>
      <c r="DA3458" s="459" t="s">
        <v>885</v>
      </c>
      <c r="DB3458" s="459" t="s">
        <v>885</v>
      </c>
      <c r="DC3458" s="459" t="s">
        <v>885</v>
      </c>
      <c r="DD3458" s="459" t="s">
        <v>885</v>
      </c>
      <c r="DE3458" s="459" t="s">
        <v>885</v>
      </c>
      <c r="DF3458" s="459" t="s">
        <v>885</v>
      </c>
      <c r="DG3458" s="459" t="s">
        <v>885</v>
      </c>
      <c r="DH3458" s="459" t="s">
        <v>885</v>
      </c>
      <c r="DI3458" s="459" t="s">
        <v>885</v>
      </c>
      <c r="DJ3458" s="459" t="s">
        <v>885</v>
      </c>
      <c r="DK3458" s="459" t="s">
        <v>885</v>
      </c>
      <c r="DL3458" s="459" t="s">
        <v>885</v>
      </c>
      <c r="DM3458" s="459" t="s">
        <v>885</v>
      </c>
      <c r="DN3458" s="459" t="s">
        <v>885</v>
      </c>
      <c r="DO3458" s="459" t="s">
        <v>885</v>
      </c>
      <c r="DP3458" t="s">
        <v>1475</v>
      </c>
      <c r="DQ3458" s="459" t="s">
        <v>885</v>
      </c>
      <c r="DR3458" s="459" t="s">
        <v>885</v>
      </c>
      <c r="DS3458" s="459" t="s">
        <v>885</v>
      </c>
      <c r="DT3458" s="459" t="s">
        <v>885</v>
      </c>
      <c r="DU3458" s="459" t="s">
        <v>885</v>
      </c>
      <c r="DV3458" s="459" t="s">
        <v>885</v>
      </c>
      <c r="DW3458" s="459" t="s">
        <v>885</v>
      </c>
      <c r="DX3458" s="245" t="s">
        <v>885</v>
      </c>
      <c r="DY3458" s="245"/>
      <c r="DZ3458" s="470" t="str">
        <f t="shared" si="176"/>
        <v/>
      </c>
      <c r="EA3458" s="470" t="str">
        <f t="shared" si="177"/>
        <v/>
      </c>
      <c r="EB3458" s="459" t="s">
        <v>885</v>
      </c>
    </row>
    <row r="3459" spans="1:132" ht="16" hidden="1" x14ac:dyDescent="0.4">
      <c r="A3459" s="813"/>
      <c r="BB3459" s="48"/>
      <c r="BS3459" s="464" t="str">
        <f t="shared" si="175"/>
        <v/>
      </c>
      <c r="BZ3459" s="245" t="s">
        <v>885</v>
      </c>
      <c r="CA3459" s="245" t="s">
        <v>885</v>
      </c>
      <c r="CC3459" s="245" t="s">
        <v>885</v>
      </c>
      <c r="CD3459" s="459" t="s">
        <v>885</v>
      </c>
      <c r="CE3459" s="459" t="s">
        <v>885</v>
      </c>
      <c r="CF3459" s="245" t="s">
        <v>885</v>
      </c>
      <c r="CG3459" s="245" t="s">
        <v>885</v>
      </c>
      <c r="CH3459" s="245" t="s">
        <v>885</v>
      </c>
      <c r="CI3459" s="245" t="s">
        <v>885</v>
      </c>
      <c r="CJ3459" t="s">
        <v>1860</v>
      </c>
      <c r="CK3459" s="459" t="s">
        <v>885</v>
      </c>
      <c r="CL3459" s="459" t="s">
        <v>885</v>
      </c>
      <c r="CM3459" s="459" t="s">
        <v>885</v>
      </c>
      <c r="CN3459" s="459" t="s">
        <v>885</v>
      </c>
      <c r="CO3459" s="459" t="s">
        <v>885</v>
      </c>
      <c r="CP3459" s="459" t="s">
        <v>885</v>
      </c>
      <c r="CQ3459" s="459" t="s">
        <v>885</v>
      </c>
      <c r="CR3459" s="459" t="s">
        <v>885</v>
      </c>
      <c r="CS3459" s="459" t="s">
        <v>885</v>
      </c>
      <c r="CT3459" s="245" t="s">
        <v>885</v>
      </c>
      <c r="CU3459" s="463" t="s">
        <v>885</v>
      </c>
      <c r="CV3459" s="245" t="s">
        <v>885</v>
      </c>
      <c r="CW3459" s="245" t="s">
        <v>885</v>
      </c>
      <c r="CX3459" s="459" t="s">
        <v>885</v>
      </c>
      <c r="CY3459" s="459" t="s">
        <v>885</v>
      </c>
      <c r="CZ3459" s="459" t="s">
        <v>885</v>
      </c>
      <c r="DA3459" s="459" t="s">
        <v>885</v>
      </c>
      <c r="DB3459" s="459" t="s">
        <v>885</v>
      </c>
      <c r="DC3459" s="459" t="s">
        <v>885</v>
      </c>
      <c r="DD3459" s="459" t="s">
        <v>885</v>
      </c>
      <c r="DE3459" s="459" t="s">
        <v>885</v>
      </c>
      <c r="DF3459" s="459" t="s">
        <v>885</v>
      </c>
      <c r="DG3459" s="459" t="s">
        <v>885</v>
      </c>
      <c r="DH3459" s="459" t="s">
        <v>885</v>
      </c>
      <c r="DI3459" s="459" t="s">
        <v>885</v>
      </c>
      <c r="DJ3459" s="459" t="s">
        <v>885</v>
      </c>
      <c r="DK3459" s="459" t="s">
        <v>885</v>
      </c>
      <c r="DL3459" s="459" t="s">
        <v>885</v>
      </c>
      <c r="DM3459" s="459" t="s">
        <v>885</v>
      </c>
      <c r="DN3459" s="459" t="s">
        <v>885</v>
      </c>
      <c r="DO3459" s="459" t="s">
        <v>885</v>
      </c>
      <c r="DP3459" t="s">
        <v>1477</v>
      </c>
      <c r="DQ3459" s="459" t="s">
        <v>885</v>
      </c>
      <c r="DR3459" s="459" t="s">
        <v>885</v>
      </c>
      <c r="DS3459" s="459" t="s">
        <v>885</v>
      </c>
      <c r="DT3459" s="459" t="s">
        <v>885</v>
      </c>
      <c r="DU3459" s="459" t="s">
        <v>885</v>
      </c>
      <c r="DV3459" s="459" t="s">
        <v>885</v>
      </c>
      <c r="DW3459" s="459" t="s">
        <v>885</v>
      </c>
      <c r="DX3459" s="245" t="s">
        <v>885</v>
      </c>
      <c r="DY3459" s="245"/>
      <c r="DZ3459" s="470" t="str">
        <f t="shared" si="176"/>
        <v/>
      </c>
      <c r="EA3459" s="470" t="str">
        <f t="shared" si="177"/>
        <v/>
      </c>
      <c r="EB3459" s="459" t="s">
        <v>885</v>
      </c>
    </row>
    <row r="3460" spans="1:132" ht="16" hidden="1" x14ac:dyDescent="0.4">
      <c r="A3460" s="813"/>
      <c r="BB3460" s="48"/>
      <c r="BS3460" s="464" t="str">
        <f t="shared" si="175"/>
        <v/>
      </c>
      <c r="BZ3460" s="245" t="s">
        <v>885</v>
      </c>
      <c r="CA3460" s="245" t="s">
        <v>885</v>
      </c>
      <c r="CC3460" s="245" t="s">
        <v>885</v>
      </c>
      <c r="CD3460" s="459" t="s">
        <v>885</v>
      </c>
      <c r="CE3460" s="459" t="s">
        <v>885</v>
      </c>
      <c r="CF3460" s="245" t="s">
        <v>885</v>
      </c>
      <c r="CG3460" s="245" t="s">
        <v>885</v>
      </c>
      <c r="CH3460" s="245" t="s">
        <v>885</v>
      </c>
      <c r="CI3460" s="245" t="s">
        <v>885</v>
      </c>
      <c r="CJ3460" t="s">
        <v>1861</v>
      </c>
      <c r="CK3460" s="459" t="s">
        <v>885</v>
      </c>
      <c r="CL3460" s="459" t="s">
        <v>885</v>
      </c>
      <c r="CM3460" s="459" t="s">
        <v>885</v>
      </c>
      <c r="CN3460" s="459" t="s">
        <v>885</v>
      </c>
      <c r="CO3460" s="459" t="s">
        <v>885</v>
      </c>
      <c r="CP3460" s="459" t="s">
        <v>885</v>
      </c>
      <c r="CQ3460" s="459" t="s">
        <v>885</v>
      </c>
      <c r="CR3460" s="459" t="s">
        <v>885</v>
      </c>
      <c r="CS3460" s="459" t="s">
        <v>885</v>
      </c>
      <c r="CT3460" s="245" t="s">
        <v>885</v>
      </c>
      <c r="CU3460" s="463" t="s">
        <v>885</v>
      </c>
      <c r="CV3460" s="245" t="s">
        <v>885</v>
      </c>
      <c r="CW3460" s="245" t="s">
        <v>885</v>
      </c>
      <c r="CX3460" s="459" t="s">
        <v>885</v>
      </c>
      <c r="CY3460" s="459" t="s">
        <v>885</v>
      </c>
      <c r="CZ3460" s="459" t="s">
        <v>885</v>
      </c>
      <c r="DA3460" s="459" t="s">
        <v>885</v>
      </c>
      <c r="DB3460" s="459" t="s">
        <v>885</v>
      </c>
      <c r="DC3460" s="459" t="s">
        <v>885</v>
      </c>
      <c r="DD3460" s="459" t="s">
        <v>885</v>
      </c>
      <c r="DE3460" s="459" t="s">
        <v>885</v>
      </c>
      <c r="DF3460" s="459" t="s">
        <v>885</v>
      </c>
      <c r="DG3460" s="459" t="s">
        <v>885</v>
      </c>
      <c r="DH3460" s="459" t="s">
        <v>885</v>
      </c>
      <c r="DI3460" s="459" t="s">
        <v>885</v>
      </c>
      <c r="DJ3460" s="459" t="s">
        <v>885</v>
      </c>
      <c r="DK3460" s="459" t="s">
        <v>885</v>
      </c>
      <c r="DL3460" s="459" t="s">
        <v>885</v>
      </c>
      <c r="DM3460" s="459" t="s">
        <v>885</v>
      </c>
      <c r="DN3460" s="459" t="s">
        <v>885</v>
      </c>
      <c r="DO3460" s="459" t="s">
        <v>885</v>
      </c>
      <c r="DP3460" t="s">
        <v>1734</v>
      </c>
      <c r="DQ3460" s="459" t="s">
        <v>885</v>
      </c>
      <c r="DR3460" s="459" t="s">
        <v>885</v>
      </c>
      <c r="DS3460" s="459" t="s">
        <v>885</v>
      </c>
      <c r="DT3460" s="459" t="s">
        <v>885</v>
      </c>
      <c r="DU3460" s="459" t="s">
        <v>885</v>
      </c>
      <c r="DV3460" s="459" t="s">
        <v>885</v>
      </c>
      <c r="DW3460" s="459" t="s">
        <v>885</v>
      </c>
      <c r="DX3460" s="245" t="s">
        <v>885</v>
      </c>
      <c r="DY3460" s="245"/>
      <c r="DZ3460" s="470" t="str">
        <f t="shared" si="176"/>
        <v/>
      </c>
      <c r="EA3460" s="470" t="str">
        <f t="shared" si="177"/>
        <v/>
      </c>
      <c r="EB3460" s="459" t="s">
        <v>885</v>
      </c>
    </row>
    <row r="3461" spans="1:132" ht="16" hidden="1" x14ac:dyDescent="0.4">
      <c r="A3461" s="813"/>
      <c r="BB3461" s="48"/>
      <c r="BS3461" s="464" t="str">
        <f t="shared" si="175"/>
        <v/>
      </c>
      <c r="BZ3461" s="245" t="s">
        <v>885</v>
      </c>
      <c r="CA3461" s="245" t="s">
        <v>885</v>
      </c>
      <c r="CC3461" s="245" t="s">
        <v>885</v>
      </c>
      <c r="CD3461" s="459" t="s">
        <v>885</v>
      </c>
      <c r="CE3461" s="459" t="s">
        <v>885</v>
      </c>
      <c r="CF3461" s="245" t="s">
        <v>885</v>
      </c>
      <c r="CG3461" s="245" t="s">
        <v>885</v>
      </c>
      <c r="CH3461" s="245" t="s">
        <v>885</v>
      </c>
      <c r="CI3461" s="245" t="s">
        <v>885</v>
      </c>
      <c r="CJ3461" s="459" t="s">
        <v>885</v>
      </c>
      <c r="CK3461" s="459" t="s">
        <v>885</v>
      </c>
      <c r="CL3461" s="459" t="s">
        <v>885</v>
      </c>
      <c r="CM3461" s="459" t="s">
        <v>885</v>
      </c>
      <c r="CN3461" s="459" t="s">
        <v>885</v>
      </c>
      <c r="CO3461" s="459" t="s">
        <v>885</v>
      </c>
      <c r="CP3461" s="459" t="s">
        <v>885</v>
      </c>
      <c r="CQ3461" s="459" t="s">
        <v>885</v>
      </c>
      <c r="CR3461" s="459" t="s">
        <v>885</v>
      </c>
      <c r="CS3461" s="459" t="s">
        <v>885</v>
      </c>
      <c r="CT3461" s="245" t="s">
        <v>885</v>
      </c>
      <c r="CU3461" s="463" t="s">
        <v>885</v>
      </c>
      <c r="CV3461" s="245" t="s">
        <v>885</v>
      </c>
      <c r="CW3461" s="245" t="s">
        <v>885</v>
      </c>
      <c r="CX3461" s="459" t="s">
        <v>885</v>
      </c>
      <c r="CY3461" s="459" t="s">
        <v>885</v>
      </c>
      <c r="CZ3461" s="459" t="s">
        <v>885</v>
      </c>
      <c r="DA3461" s="459" t="s">
        <v>885</v>
      </c>
      <c r="DB3461" s="459" t="s">
        <v>885</v>
      </c>
      <c r="DC3461" s="459" t="s">
        <v>885</v>
      </c>
      <c r="DD3461" s="459" t="s">
        <v>885</v>
      </c>
      <c r="DE3461" s="459" t="s">
        <v>885</v>
      </c>
      <c r="DF3461" s="459" t="s">
        <v>885</v>
      </c>
      <c r="DG3461" s="459" t="s">
        <v>885</v>
      </c>
      <c r="DH3461" s="459" t="s">
        <v>885</v>
      </c>
      <c r="DI3461" s="459" t="s">
        <v>885</v>
      </c>
      <c r="DJ3461" s="459" t="s">
        <v>885</v>
      </c>
      <c r="DK3461" s="459" t="s">
        <v>885</v>
      </c>
      <c r="DL3461" s="459" t="s">
        <v>885</v>
      </c>
      <c r="DM3461" s="459" t="s">
        <v>885</v>
      </c>
      <c r="DN3461" s="459" t="s">
        <v>885</v>
      </c>
      <c r="DO3461" s="459" t="s">
        <v>885</v>
      </c>
      <c r="DP3461" t="s">
        <v>1929</v>
      </c>
      <c r="DQ3461" s="459" t="s">
        <v>885</v>
      </c>
      <c r="DR3461" s="459" t="s">
        <v>885</v>
      </c>
      <c r="DS3461" s="459" t="s">
        <v>885</v>
      </c>
      <c r="DT3461" s="459" t="s">
        <v>885</v>
      </c>
      <c r="DU3461" s="459" t="s">
        <v>885</v>
      </c>
      <c r="DV3461" s="459" t="s">
        <v>885</v>
      </c>
      <c r="DW3461" s="459" t="s">
        <v>885</v>
      </c>
      <c r="DX3461" s="245" t="s">
        <v>885</v>
      </c>
      <c r="DY3461" s="245"/>
      <c r="DZ3461" s="470" t="str">
        <f t="shared" si="176"/>
        <v/>
      </c>
      <c r="EA3461" s="470" t="str">
        <f t="shared" si="177"/>
        <v/>
      </c>
      <c r="EB3461" s="459" t="s">
        <v>885</v>
      </c>
    </row>
    <row r="3462" spans="1:132" ht="16" hidden="1" x14ac:dyDescent="0.4">
      <c r="A3462" s="813"/>
      <c r="BB3462" s="48"/>
      <c r="BS3462" s="464" t="str">
        <f t="shared" si="175"/>
        <v/>
      </c>
      <c r="BZ3462" s="245"/>
      <c r="CA3462" s="245"/>
      <c r="CC3462" s="245"/>
      <c r="CD3462" s="459"/>
      <c r="CE3462" s="459"/>
      <c r="CF3462" s="245"/>
      <c r="CG3462" s="245"/>
      <c r="CH3462" s="245"/>
      <c r="CI3462" s="245"/>
      <c r="CJ3462" s="459"/>
      <c r="CK3462" s="459"/>
      <c r="CL3462" s="459"/>
      <c r="CM3462" s="459"/>
      <c r="CN3462" s="459"/>
      <c r="CO3462" s="459"/>
      <c r="CP3462" s="459"/>
      <c r="CQ3462" s="459"/>
      <c r="CR3462" s="459"/>
      <c r="CS3462" s="459"/>
      <c r="CT3462" s="245"/>
      <c r="CU3462" s="463"/>
      <c r="CV3462" s="245"/>
      <c r="CW3462" s="245"/>
      <c r="CX3462" s="459"/>
      <c r="CY3462" s="459"/>
      <c r="CZ3462" s="459"/>
      <c r="DA3462" s="459"/>
      <c r="DB3462" s="459"/>
      <c r="DC3462" s="459"/>
      <c r="DD3462" s="459"/>
      <c r="DE3462" s="459"/>
      <c r="DF3462" s="459"/>
      <c r="DG3462" s="459"/>
      <c r="DH3462" s="459"/>
      <c r="DI3462" s="459"/>
      <c r="DJ3462" s="459"/>
      <c r="DK3462" s="459"/>
      <c r="DL3462" s="459"/>
      <c r="DM3462" s="459"/>
      <c r="DN3462" s="459"/>
      <c r="DO3462" s="459"/>
      <c r="DP3462"/>
      <c r="DQ3462" s="459"/>
      <c r="DR3462" s="459"/>
      <c r="DS3462" s="459"/>
      <c r="DT3462" s="459"/>
      <c r="DU3462" s="459"/>
      <c r="DV3462" s="459"/>
      <c r="DW3462" s="459"/>
      <c r="DX3462" s="245"/>
      <c r="DY3462" s="245"/>
      <c r="DZ3462" s="470"/>
      <c r="EA3462" s="470"/>
      <c r="EB3462" s="459"/>
    </row>
    <row r="3463" spans="1:132" ht="16" hidden="1" x14ac:dyDescent="0.4">
      <c r="A3463" s="813"/>
      <c r="BB3463" s="48"/>
      <c r="BS3463" s="464"/>
      <c r="BZ3463" s="245" t="s">
        <v>885</v>
      </c>
      <c r="CA3463" s="245" t="s">
        <v>885</v>
      </c>
      <c r="CC3463" s="245" t="s">
        <v>885</v>
      </c>
      <c r="CD3463" s="459" t="s">
        <v>885</v>
      </c>
      <c r="CE3463" s="459" t="s">
        <v>885</v>
      </c>
      <c r="CF3463" s="245" t="s">
        <v>885</v>
      </c>
      <c r="CG3463" s="245" t="s">
        <v>885</v>
      </c>
      <c r="CH3463" s="245" t="s">
        <v>885</v>
      </c>
      <c r="CI3463" s="245" t="s">
        <v>885</v>
      </c>
      <c r="CJ3463" s="459" t="s">
        <v>885</v>
      </c>
      <c r="CK3463" s="459" t="s">
        <v>885</v>
      </c>
      <c r="CL3463" s="459" t="s">
        <v>885</v>
      </c>
      <c r="CM3463" s="459" t="s">
        <v>885</v>
      </c>
      <c r="CN3463" s="459" t="s">
        <v>885</v>
      </c>
      <c r="CO3463" s="459" t="s">
        <v>885</v>
      </c>
      <c r="CP3463" s="459" t="s">
        <v>885</v>
      </c>
      <c r="CQ3463" s="459" t="s">
        <v>885</v>
      </c>
      <c r="CR3463" s="459" t="s">
        <v>885</v>
      </c>
      <c r="CS3463" s="459" t="s">
        <v>885</v>
      </c>
      <c r="CT3463" s="245" t="s">
        <v>885</v>
      </c>
      <c r="CU3463" s="463" t="s">
        <v>885</v>
      </c>
      <c r="CV3463" s="245" t="s">
        <v>885</v>
      </c>
      <c r="CW3463" s="245" t="s">
        <v>885</v>
      </c>
      <c r="CX3463" s="459" t="s">
        <v>885</v>
      </c>
      <c r="CY3463" s="459" t="s">
        <v>885</v>
      </c>
      <c r="CZ3463" s="459" t="s">
        <v>885</v>
      </c>
      <c r="DA3463" s="459" t="s">
        <v>885</v>
      </c>
      <c r="DB3463" s="459" t="s">
        <v>885</v>
      </c>
      <c r="DC3463" s="459" t="s">
        <v>885</v>
      </c>
      <c r="DD3463" s="459" t="s">
        <v>885</v>
      </c>
      <c r="DE3463" s="459" t="s">
        <v>885</v>
      </c>
      <c r="DF3463" s="459" t="s">
        <v>885</v>
      </c>
      <c r="DG3463" s="459" t="s">
        <v>885</v>
      </c>
      <c r="DH3463" s="459" t="s">
        <v>885</v>
      </c>
      <c r="DI3463" s="459" t="s">
        <v>885</v>
      </c>
      <c r="DJ3463" s="459" t="s">
        <v>885</v>
      </c>
      <c r="DK3463" s="459" t="s">
        <v>885</v>
      </c>
      <c r="DL3463" s="459" t="s">
        <v>885</v>
      </c>
      <c r="DM3463" s="459" t="s">
        <v>885</v>
      </c>
      <c r="DN3463" s="459" t="s">
        <v>885</v>
      </c>
      <c r="DO3463" s="459" t="s">
        <v>885</v>
      </c>
      <c r="DP3463" t="s">
        <v>3028</v>
      </c>
      <c r="DQ3463" s="459" t="s">
        <v>885</v>
      </c>
      <c r="DR3463" s="459" t="s">
        <v>885</v>
      </c>
      <c r="DS3463" s="459" t="s">
        <v>885</v>
      </c>
      <c r="DT3463" s="459" t="s">
        <v>885</v>
      </c>
      <c r="DU3463" s="459" t="s">
        <v>885</v>
      </c>
      <c r="DV3463" s="459" t="s">
        <v>885</v>
      </c>
      <c r="DW3463" s="459" t="s">
        <v>885</v>
      </c>
      <c r="DX3463" s="245" t="s">
        <v>885</v>
      </c>
      <c r="DY3463" s="245"/>
      <c r="DZ3463" s="470" t="str">
        <f t="shared" ref="DZ3463:DZ3469" si="178">IF($B$265=$B$3281,EB3463,IF($B$265=$B$3282,ED3463,IF($B$265=$B$3283,EF3463,IF($B$265=$B$3284,EH3463,IF($B$265=$B$3285,EJ3463,IF($B$265=$B$3286,EL3463,IF($B$265=$B$3287,EN3463,IF($B$265=$B$3288,EP3463,IF($B$265=$B$3289,ER3463,IF($B$265=$B$3290,ET3463,IF($B$265=$B$3291,EV3463,IF($B$265=$B$3292,EX3463,IF($B$265=$B$3293,EZ3463,IF($B$265=$B$3294,FB3463,IF($B$265=$B$3295,FD3463,IF($B$265=$B$3296,BU3463,IF($B$265=$B$3297,FF3463,IF($B$265=$B$3298,FH3463,IF($B$265=$B$3299,FJ3463,IF($B$265=$B$3300,FL3463,IF($B$265=$B$3301,FN3463,IF($B$265=$B$3302,FP3463,IF(BI$265=$B$3303,FR3463,IF($B$265=$B$3304,FT3463,IF($B$265=$B$3305,FV3463,IF($B$265=$B$3306,FX3463,IF($B$265=$B$3307,FZ3463,IF($B$265=$B$3308,GB3463,IF($B$265=$B$3309,GD3463,IF($B$265=$B$3310,GF3463,IF($B$265=$B$3311,GH3463,IF($B$265=$B$3312,GJ3463,IF($B$265=$B$3313,GL3463,IF($B$265=$B$3314,GN3463,IF($B$265=$B$3315,GP3463,IF($B$265=$B$3316,GR3463,IF($B$265=$B$3317,GT3463,IF($B$265=$B$3318,GV3463,IF($B$265=$B$3319,GX3463,IF($B$265=$B$3320,GZ3463,IF($B$265=$B$3321,HB3463,IF($B$265=$B$3322,HD3463,IF($B$265=$B$3323,HF3463,IF($B$265=$B$3324,HH3463,IF($B$265=$B$3325,HJ3463,IF($B$265=$B$3326,HL3463,IF($B$265=$B$3327,HN3463,IF($B$265=$B$3328,HP3463,IF($B$265=$B$3329,HR3463,IF($B$265=$B$3330,HT3463,IF($B$265=$B$3331,HV3463,IF($B$265=$B$3332,HX3463,""))))))))))))))))))))))))))))))))))))))))))))))))))))</f>
        <v/>
      </c>
      <c r="EA3463" s="470" t="str">
        <f t="shared" ref="EA3463:EA3469" si="179">IF($B$265=$B$3281,EC3463,IF($B$265=$B$3282,EE3463,IF($B$265=$B$3283,EG3463,IF($B$265=$B$3284,EI3463,IF($B$265=$B$3285,EK3463,IF($B$265=$B$3286,EM3463,IF($B$265=$B$3287,EO3463,IF($B$265=$B$3288,EQ3463,IF($B$265=$B$3289,ES3463,IF($B$265=$B$3290,EU3463,IF($B$265=$B$3291,EW3463,IF($B$265=$B$3292,EY3463,IF($B$265=$B$3293,FA3463,IF($B$265=$B$3294,FC3463,IF($B$265=$B$3295,FE3463,IF($B$265=$B$3296,BK3463,IF($B$265=$B$3297,FG3463,IF($B$265=$B$3298,FI3463,IF($B$265=$B$3299,FK3463,IF($B$265=$B$3300,FM3463,IF($B$265=$B$3301,FO3463,IF($B$265=$B$3302,FQ3463,IF(BJ$265=$B$3303,FS3463,IF($B$265=$B$3304,FU3463,IF($B$265=$B$3305,FW3463,IF($B$265=$B$3306,FY3463,IF($B$265=$B$3307,GA3463,IF($B$265=$B$3308,GC3463,IF($B$265=$B$3309,GE3463,IF($B$265=$B$3310,GG3463,IF($B$265=$B$3311,GI3463,IF($B$265=$B$3312,GK3463,IF($B$265=$B$3313,GM3463,IF($B$265=$B$3314,GO3463,IF($B$265=$B$3315,GQ3463,IF($B$265=$B$3316,GS3463,IF($B$265=$B$3317,GU3463,IF($B$265=$B$3318,GW3463,IF($B$265=$B$3319,GY3463,IF($B$265=$B$3320,HA3463,IF($B$265=$B$3321,HC3463,IF($B$265=$B$3322,HE3463,IF($B$265=$B$3323,HG3463,IF($B$265=$B$3324,HI3463,IF($B$265=$B$3325,HK3463,IF($B$265=$B$3326,HM3463,IF($B$265=$B$3327,HO3463,IF($B$265=$B$3328,HQ3463,IF($B$265=$B$3329,HS3463,IF($B$265=$B$3330,HU3463,IF($B$265=$B$3331,HW3463,IF($B$265=$B$3332,HY3463,""))))))))))))))))))))))))))))))))))))))))))))))))))))</f>
        <v/>
      </c>
      <c r="EB3463" s="459" t="s">
        <v>885</v>
      </c>
    </row>
    <row r="3464" spans="1:132" ht="16" hidden="1" x14ac:dyDescent="0.4">
      <c r="A3464" s="813"/>
      <c r="BB3464" s="48"/>
      <c r="BS3464" s="464" t="str">
        <f>IF($B$265=B$3281,BZ3463,IF($B$265=B$3282,CA3463,IF($B$265=B$3283,CB3463,IF($B$265=B$3284,CC3463,IF($B$265=B$3285,CD3463,IF($B$265=B$3286,CE3463,IF($B$265=B$3287,CF3463,IF($B$265=B$3288,CG3463,IF($B$265=B$3289,CH3463,IF($B$265=B$3290,CI3463,IF($B$265=B$3291,CJ3463,IF($B$265=B$3292,CK3463,IF($B$265=B$3293,CL3463,IF($B$265=B$3294,CM3463,IF($B$265=B$3295,CN3463,IF($B$265=B$3296,D2769,IF($B$265=B$3297,CO3463,IF($B$265=B$3298,CP3463,IF($B$265=B$3299,CQ3463,IF($B$265=B$3300,CR3463,IF($B$265=B$3301,CS3463,IF($B$265=B$3302,CT3463,IF(B$265=B$3303,CU3463,IF($B$265=B$3304,CV3463,IF($B$265=B$3305,CW3463,IF($B$265=B$3306,CX3463,IF($B$265=B$3307,CY3463,IF($B$265=B$3308,CZ3463,IF($B$265=B$3309,DA3463,IF($B$265=B$3310,DB3463,IF($B$265=B$3311,DC3463,IF($B$265=B$3312,DD3463,IF($B$265=B$3313,DE3463,IF($B$265=B$3314,DF3463,IF($B$265=B$3315,DG3463,IF($B$265=B$3316,DH3463,IF($B$265=B$3317,DI3463,IF($B$265=B$3318,DJ3463,IF($B$265=B$3319,DK3463,IF($B$265=B$3320,DL3463,IF($B$265=B$3321,DM3463,IF($B$265=B$3322,DN3463,IF($B$265=B$3323,DO3463,IF($B$265=B$3324,DP3463,IF($B$265=B$3325,DQ3463,IF($B$265=B$3326,DR3463,IF($B$265=B$3327,DS3463,IF($B$265=B$3328,DT3463,IF($B$265=B$3329,DU3463,IF($B$265=B$3330,DV3463,IF($B$265=B$3331,DW3463,IF($B$265=B$3332,DX3463,""))))))))))))))))))))))))))))))))))))))))))))))))))))</f>
        <v/>
      </c>
      <c r="BZ3464" s="245" t="s">
        <v>885</v>
      </c>
      <c r="CA3464" s="245" t="s">
        <v>885</v>
      </c>
      <c r="CC3464" s="245" t="s">
        <v>885</v>
      </c>
      <c r="CD3464" s="459" t="s">
        <v>885</v>
      </c>
      <c r="CE3464" s="459" t="s">
        <v>885</v>
      </c>
      <c r="CF3464" s="245" t="s">
        <v>885</v>
      </c>
      <c r="CG3464" s="245" t="s">
        <v>885</v>
      </c>
      <c r="CH3464" s="245" t="s">
        <v>885</v>
      </c>
      <c r="CI3464" s="245" t="s">
        <v>885</v>
      </c>
      <c r="CJ3464" s="459" t="s">
        <v>885</v>
      </c>
      <c r="CK3464" s="459" t="s">
        <v>885</v>
      </c>
      <c r="CL3464" s="459" t="s">
        <v>885</v>
      </c>
      <c r="CM3464" s="459" t="s">
        <v>885</v>
      </c>
      <c r="CN3464" s="459" t="s">
        <v>885</v>
      </c>
      <c r="CO3464" s="459" t="s">
        <v>885</v>
      </c>
      <c r="CP3464" s="459" t="s">
        <v>885</v>
      </c>
      <c r="CQ3464" s="459" t="s">
        <v>885</v>
      </c>
      <c r="CR3464" s="459" t="s">
        <v>885</v>
      </c>
      <c r="CS3464" s="459" t="s">
        <v>885</v>
      </c>
      <c r="CT3464" s="245" t="s">
        <v>885</v>
      </c>
      <c r="CU3464" s="463" t="s">
        <v>885</v>
      </c>
      <c r="CV3464" s="245" t="s">
        <v>885</v>
      </c>
      <c r="CW3464" s="245" t="s">
        <v>885</v>
      </c>
      <c r="CX3464" s="459" t="s">
        <v>885</v>
      </c>
      <c r="CY3464" s="459" t="s">
        <v>885</v>
      </c>
      <c r="CZ3464" s="459" t="s">
        <v>885</v>
      </c>
      <c r="DA3464" s="459" t="s">
        <v>885</v>
      </c>
      <c r="DB3464" s="459" t="s">
        <v>885</v>
      </c>
      <c r="DC3464" s="459" t="s">
        <v>885</v>
      </c>
      <c r="DD3464" s="459" t="s">
        <v>885</v>
      </c>
      <c r="DE3464" s="459" t="s">
        <v>885</v>
      </c>
      <c r="DF3464" s="459" t="s">
        <v>885</v>
      </c>
      <c r="DG3464" s="459" t="s">
        <v>885</v>
      </c>
      <c r="DH3464" s="459" t="s">
        <v>885</v>
      </c>
      <c r="DI3464" s="459" t="s">
        <v>885</v>
      </c>
      <c r="DJ3464" s="459" t="s">
        <v>885</v>
      </c>
      <c r="DK3464" s="459" t="s">
        <v>885</v>
      </c>
      <c r="DL3464" s="459" t="s">
        <v>885</v>
      </c>
      <c r="DM3464" s="459" t="s">
        <v>885</v>
      </c>
      <c r="DN3464" s="459" t="s">
        <v>885</v>
      </c>
      <c r="DO3464" s="459" t="s">
        <v>885</v>
      </c>
      <c r="DP3464" t="s">
        <v>3029</v>
      </c>
      <c r="DQ3464" s="459" t="s">
        <v>885</v>
      </c>
      <c r="DR3464" s="459" t="s">
        <v>885</v>
      </c>
      <c r="DS3464" s="459" t="s">
        <v>885</v>
      </c>
      <c r="DT3464" s="459" t="s">
        <v>885</v>
      </c>
      <c r="DU3464" s="459" t="s">
        <v>885</v>
      </c>
      <c r="DV3464" s="459" t="s">
        <v>885</v>
      </c>
      <c r="DW3464" s="459" t="s">
        <v>885</v>
      </c>
      <c r="DX3464" s="245" t="s">
        <v>885</v>
      </c>
      <c r="DY3464" s="245"/>
      <c r="DZ3464" s="470" t="str">
        <f t="shared" si="178"/>
        <v/>
      </c>
      <c r="EA3464" s="470" t="str">
        <f t="shared" si="179"/>
        <v/>
      </c>
      <c r="EB3464" s="459" t="s">
        <v>885</v>
      </c>
    </row>
    <row r="3465" spans="1:132" ht="16" hidden="1" x14ac:dyDescent="0.4">
      <c r="A3465" s="813"/>
      <c r="BB3465" s="48"/>
      <c r="BS3465" s="464" t="str">
        <f>IF($B$265=B$3281,BZ3464,IF($B$265=B$3282,CA3464,IF($B$265=B$3283,CB3464,IF($B$265=B$3284,CC3464,IF($B$265=B$3285,CD3464,IF($B$265=B$3286,CE3464,IF($B$265=B$3287,CF3464,IF($B$265=B$3288,CG3464,IF($B$265=B$3289,CH3464,IF($B$265=B$3290,CI3464,IF($B$265=B$3291,CJ3464,IF($B$265=B$3292,CK3464,IF($B$265=B$3293,CL3464,IF($B$265=B$3294,CM3464,IF($B$265=B$3295,CN3464,IF($B$265=B$3296,D2770,IF($B$265=B$3297,CO3464,IF($B$265=B$3298,CP3464,IF($B$265=B$3299,CQ3464,IF($B$265=B$3300,CR3464,IF($B$265=B$3301,CS3464,IF($B$265=B$3302,CT3464,IF(B$265=B$3303,CU3464,IF($B$265=B$3304,CV3464,IF($B$265=B$3305,CW3464,IF($B$265=B$3306,CX3464,IF($B$265=B$3307,CY3464,IF($B$265=B$3308,CZ3464,IF($B$265=B$3309,DA3464,IF($B$265=B$3310,DB3464,IF($B$265=B$3311,DC3464,IF($B$265=B$3312,DD3464,IF($B$265=B$3313,DE3464,IF($B$265=B$3314,DF3464,IF($B$265=B$3315,DG3464,IF($B$265=B$3316,DH3464,IF($B$265=B$3317,DI3464,IF($B$265=B$3318,DJ3464,IF($B$265=B$3319,DK3464,IF($B$265=B$3320,DL3464,IF($B$265=B$3321,DM3464,IF($B$265=B$3322,DN3464,IF($B$265=B$3323,DO3464,IF($B$265=B$3324,DP3464,IF($B$265=B$3325,DQ3464,IF($B$265=B$3326,DR3464,IF($B$265=B$3327,DS3464,IF($B$265=B$3328,DT3464,IF($B$265=B$3329,DU3464,IF($B$265=B$3330,DV3464,IF($B$265=B$3331,DW3464,IF($B$265=B$3332,DX3464,""))))))))))))))))))))))))))))))))))))))))))))))))))))</f>
        <v/>
      </c>
      <c r="BZ3465" s="245" t="s">
        <v>885</v>
      </c>
      <c r="CA3465" s="245" t="s">
        <v>885</v>
      </c>
      <c r="CC3465" s="245" t="s">
        <v>885</v>
      </c>
      <c r="CD3465" s="459" t="s">
        <v>885</v>
      </c>
      <c r="CE3465" s="459" t="s">
        <v>885</v>
      </c>
      <c r="CF3465" s="245" t="s">
        <v>885</v>
      </c>
      <c r="CG3465" s="245" t="s">
        <v>885</v>
      </c>
      <c r="CH3465" s="245" t="s">
        <v>885</v>
      </c>
      <c r="CI3465" s="245" t="s">
        <v>885</v>
      </c>
      <c r="CJ3465" s="459" t="s">
        <v>885</v>
      </c>
      <c r="CK3465" s="459" t="s">
        <v>885</v>
      </c>
      <c r="CL3465" s="459" t="s">
        <v>885</v>
      </c>
      <c r="CM3465" s="459" t="s">
        <v>885</v>
      </c>
      <c r="CN3465" s="459" t="s">
        <v>885</v>
      </c>
      <c r="CO3465" s="459" t="s">
        <v>885</v>
      </c>
      <c r="CP3465" s="459" t="s">
        <v>885</v>
      </c>
      <c r="CQ3465" s="459" t="s">
        <v>885</v>
      </c>
      <c r="CR3465" s="459" t="s">
        <v>885</v>
      </c>
      <c r="CS3465" s="459" t="s">
        <v>885</v>
      </c>
      <c r="CT3465" s="245" t="s">
        <v>885</v>
      </c>
      <c r="CU3465" s="463" t="s">
        <v>885</v>
      </c>
      <c r="CV3465" s="245" t="s">
        <v>885</v>
      </c>
      <c r="CW3465" s="245" t="s">
        <v>885</v>
      </c>
      <c r="CX3465" s="459" t="s">
        <v>885</v>
      </c>
      <c r="CY3465" s="459" t="s">
        <v>885</v>
      </c>
      <c r="CZ3465" s="459" t="s">
        <v>885</v>
      </c>
      <c r="DA3465" s="459" t="s">
        <v>885</v>
      </c>
      <c r="DB3465" s="459" t="s">
        <v>885</v>
      </c>
      <c r="DC3465" s="459" t="s">
        <v>885</v>
      </c>
      <c r="DD3465" s="459" t="s">
        <v>885</v>
      </c>
      <c r="DE3465" s="459" t="s">
        <v>885</v>
      </c>
      <c r="DF3465" s="459" t="s">
        <v>885</v>
      </c>
      <c r="DG3465" s="459" t="s">
        <v>885</v>
      </c>
      <c r="DH3465" s="459" t="s">
        <v>885</v>
      </c>
      <c r="DI3465" s="459" t="s">
        <v>885</v>
      </c>
      <c r="DJ3465" s="459" t="s">
        <v>885</v>
      </c>
      <c r="DK3465" s="459" t="s">
        <v>885</v>
      </c>
      <c r="DL3465" s="459" t="s">
        <v>885</v>
      </c>
      <c r="DM3465" s="459" t="s">
        <v>885</v>
      </c>
      <c r="DN3465" s="459" t="s">
        <v>885</v>
      </c>
      <c r="DO3465" s="459" t="s">
        <v>885</v>
      </c>
      <c r="DP3465" t="s">
        <v>2730</v>
      </c>
      <c r="DQ3465" s="459" t="s">
        <v>885</v>
      </c>
      <c r="DR3465" s="459" t="s">
        <v>885</v>
      </c>
      <c r="DS3465" s="459" t="s">
        <v>885</v>
      </c>
      <c r="DT3465" s="459" t="s">
        <v>885</v>
      </c>
      <c r="DU3465" s="459" t="s">
        <v>885</v>
      </c>
      <c r="DV3465" s="459" t="s">
        <v>885</v>
      </c>
      <c r="DW3465" s="459" t="s">
        <v>885</v>
      </c>
      <c r="DX3465" s="245" t="s">
        <v>885</v>
      </c>
      <c r="DY3465" s="245"/>
      <c r="DZ3465" s="470" t="str">
        <f t="shared" si="178"/>
        <v/>
      </c>
      <c r="EA3465" s="470" t="str">
        <f t="shared" si="179"/>
        <v/>
      </c>
      <c r="EB3465" s="459" t="s">
        <v>885</v>
      </c>
    </row>
    <row r="3466" spans="1:132" ht="16" hidden="1" x14ac:dyDescent="0.4">
      <c r="A3466" s="813"/>
      <c r="BB3466" s="48"/>
      <c r="BS3466" s="464" t="str">
        <f>IF($B$265=B$3281,BZ3465,IF($B$265=B$3282,CA3465,IF($B$265=B$3283,CB3465,IF($B$265=B$3284,CC3465,IF($B$265=B$3285,CD3465,IF($B$265=B$3286,CE3465,IF($B$265=B$3287,CF3465,IF($B$265=B$3288,CG3465,IF($B$265=B$3289,CH3465,IF($B$265=B$3290,CI3465,IF($B$265=B$3291,CJ3465,IF($B$265=B$3292,CK3465,IF($B$265=B$3293,CL3465,IF($B$265=B$3294,CM3465,IF($B$265=B$3295,CN3465,IF($B$265=B$3296,D2771,IF($B$265=B$3297,CO3465,IF($B$265=B$3298,CP3465,IF($B$265=B$3299,CQ3465,IF($B$265=B$3300,CR3465,IF($B$265=B$3301,CS3465,IF($B$265=B$3302,CT3465,IF(B$265=B$3303,CU3465,IF($B$265=B$3304,CV3465,IF($B$265=B$3305,CW3465,IF($B$265=B$3306,CX3465,IF($B$265=B$3307,CY3465,IF($B$265=B$3308,CZ3465,IF($B$265=B$3309,DA3465,IF($B$265=B$3310,DB3465,IF($B$265=B$3311,DC3465,IF($B$265=B$3312,DD3465,IF($B$265=B$3313,DE3465,IF($B$265=B$3314,DF3465,IF($B$265=B$3315,DG3465,IF($B$265=B$3316,DH3465,IF($B$265=B$3317,DI3465,IF($B$265=B$3318,DJ3465,IF($B$265=B$3319,DK3465,IF($B$265=B$3320,DL3465,IF($B$265=B$3321,DM3465,IF($B$265=B$3322,DN3465,IF($B$265=B$3323,DO3465,IF($B$265=B$3324,DP3465,IF($B$265=B$3325,DQ3465,IF($B$265=B$3326,DR3465,IF($B$265=B$3327,DS3465,IF($B$265=B$3328,DT3465,IF($B$265=B$3329,DU3465,IF($B$265=B$3330,DV3465,IF($B$265=B$3331,DW3465,IF($B$265=B$3332,DX3465,""))))))))))))))))))))))))))))))))))))))))))))))))))))</f>
        <v/>
      </c>
      <c r="BZ3466" s="245" t="s">
        <v>885</v>
      </c>
      <c r="CA3466" s="245" t="s">
        <v>885</v>
      </c>
      <c r="CC3466" s="245" t="s">
        <v>885</v>
      </c>
      <c r="CD3466" s="459" t="s">
        <v>885</v>
      </c>
      <c r="CE3466" s="459" t="s">
        <v>885</v>
      </c>
      <c r="CF3466" s="245" t="s">
        <v>885</v>
      </c>
      <c r="CG3466" s="245" t="s">
        <v>885</v>
      </c>
      <c r="CH3466" s="245" t="s">
        <v>885</v>
      </c>
      <c r="CI3466" s="245" t="s">
        <v>885</v>
      </c>
      <c r="CJ3466" s="459" t="s">
        <v>885</v>
      </c>
      <c r="CK3466" s="459" t="s">
        <v>885</v>
      </c>
      <c r="CL3466" s="459" t="s">
        <v>885</v>
      </c>
      <c r="CM3466" s="459" t="s">
        <v>885</v>
      </c>
      <c r="CN3466" s="459" t="s">
        <v>885</v>
      </c>
      <c r="CO3466" s="459" t="s">
        <v>885</v>
      </c>
      <c r="CP3466" s="459" t="s">
        <v>885</v>
      </c>
      <c r="CQ3466" s="459" t="s">
        <v>885</v>
      </c>
      <c r="CR3466" s="459" t="s">
        <v>885</v>
      </c>
      <c r="CS3466" s="459" t="s">
        <v>885</v>
      </c>
      <c r="CT3466" s="245" t="s">
        <v>885</v>
      </c>
      <c r="CU3466" s="463" t="s">
        <v>885</v>
      </c>
      <c r="CV3466" s="245" t="s">
        <v>885</v>
      </c>
      <c r="CW3466" s="245" t="s">
        <v>885</v>
      </c>
      <c r="CX3466" s="459" t="s">
        <v>885</v>
      </c>
      <c r="CY3466" s="459" t="s">
        <v>885</v>
      </c>
      <c r="CZ3466" s="459" t="s">
        <v>885</v>
      </c>
      <c r="DA3466" s="459" t="s">
        <v>885</v>
      </c>
      <c r="DB3466" s="459" t="s">
        <v>885</v>
      </c>
      <c r="DC3466" s="459" t="s">
        <v>885</v>
      </c>
      <c r="DD3466" s="459" t="s">
        <v>885</v>
      </c>
      <c r="DE3466" s="459" t="s">
        <v>885</v>
      </c>
      <c r="DF3466" s="459" t="s">
        <v>885</v>
      </c>
      <c r="DG3466" s="459" t="s">
        <v>885</v>
      </c>
      <c r="DH3466" s="459" t="s">
        <v>885</v>
      </c>
      <c r="DI3466" s="459" t="s">
        <v>885</v>
      </c>
      <c r="DJ3466" s="459" t="s">
        <v>885</v>
      </c>
      <c r="DK3466" s="459" t="s">
        <v>885</v>
      </c>
      <c r="DL3466" s="459" t="s">
        <v>885</v>
      </c>
      <c r="DM3466" s="459" t="s">
        <v>885</v>
      </c>
      <c r="DN3466" s="459" t="s">
        <v>885</v>
      </c>
      <c r="DO3466" s="459" t="s">
        <v>885</v>
      </c>
      <c r="DP3466" t="s">
        <v>1934</v>
      </c>
      <c r="DQ3466" s="459" t="s">
        <v>885</v>
      </c>
      <c r="DR3466" s="459" t="s">
        <v>885</v>
      </c>
      <c r="DS3466" s="459" t="s">
        <v>885</v>
      </c>
      <c r="DT3466" s="459" t="s">
        <v>885</v>
      </c>
      <c r="DU3466" s="459" t="s">
        <v>885</v>
      </c>
      <c r="DV3466" s="459" t="s">
        <v>885</v>
      </c>
      <c r="DW3466" s="459" t="s">
        <v>885</v>
      </c>
      <c r="DX3466" s="245" t="s">
        <v>885</v>
      </c>
      <c r="DY3466" s="245"/>
      <c r="DZ3466" s="470" t="str">
        <f t="shared" si="178"/>
        <v/>
      </c>
      <c r="EA3466" s="470" t="str">
        <f t="shared" si="179"/>
        <v/>
      </c>
      <c r="EB3466" s="459" t="s">
        <v>885</v>
      </c>
    </row>
    <row r="3467" spans="1:132" ht="16" hidden="1" x14ac:dyDescent="0.4">
      <c r="A3467" s="813"/>
      <c r="BS3467" s="464" t="str">
        <f>IF($B$265=B$3281,BZ3466,IF($B$265=B$3282,CA3466,IF($B$265=B$3283,CB3466,IF($B$265=B$3284,CC3466,IF($B$265=B$3285,CD3466,IF($B$265=B$3286,CE3466,IF($B$265=B$3287,CF3466,IF($B$265=B$3288,CG3466,IF($B$265=B$3289,CH3466,IF($B$265=B$3290,CI3466,IF($B$265=B$3291,CJ3466,IF($B$265=B$3292,CK3466,IF($B$265=B$3293,CL3466,IF($B$265=B$3294,CM3466,IF($B$265=B$3295,CN3466,IF($B$265=B$3296,D2772,IF($B$265=B$3297,CO3466,IF($B$265=B$3298,CP3466,IF($B$265=B$3299,CQ3466,IF($B$265=B$3300,CR3466,IF($B$265=B$3301,CS3466,IF($B$265=B$3302,CT3466,IF(B$265=B$3303,CU3466,IF($B$265=B$3304,CV3466,IF($B$265=B$3305,CW3466,IF($B$265=B$3306,CX3466,IF($B$265=B$3307,CY3466,IF($B$265=B$3308,CZ3466,IF($B$265=B$3309,DA3466,IF($B$265=B$3310,DB3466,IF($B$265=B$3311,DC3466,IF($B$265=B$3312,DD3466,IF($B$265=B$3313,DE3466,IF($B$265=B$3314,DF3466,IF($B$265=B$3315,DG3466,IF($B$265=B$3316,DH3466,IF($B$265=B$3317,DI3466,IF($B$265=B$3318,DJ3466,IF($B$265=B$3319,DK3466,IF($B$265=B$3320,DL3466,IF($B$265=B$3321,DM3466,IF($B$265=B$3322,DN3466,IF($B$265=B$3323,DO3466,IF($B$265=B$3324,DP3466,IF($B$265=B$3325,DQ3466,IF($B$265=B$3326,DR3466,IF($B$265=B$3327,DS3466,IF($B$265=B$3328,DT3466,IF($B$265=B$3329,DU3466,IF($B$265=B$3330,DV3466,IF($B$265=B$3331,DW3466,IF($B$265=B$3332,DX3466,""))))))))))))))))))))))))))))))))))))))))))))))))))))</f>
        <v/>
      </c>
      <c r="BZ3467" s="245" t="s">
        <v>885</v>
      </c>
      <c r="CA3467" s="245" t="s">
        <v>885</v>
      </c>
      <c r="CC3467" s="245" t="s">
        <v>885</v>
      </c>
      <c r="CD3467" s="459" t="s">
        <v>885</v>
      </c>
      <c r="CE3467" s="459" t="s">
        <v>885</v>
      </c>
      <c r="CF3467" s="245" t="s">
        <v>885</v>
      </c>
      <c r="CG3467" s="245" t="s">
        <v>885</v>
      </c>
      <c r="CH3467" s="245" t="s">
        <v>885</v>
      </c>
      <c r="CI3467" s="245" t="s">
        <v>885</v>
      </c>
      <c r="CJ3467" s="459" t="s">
        <v>885</v>
      </c>
      <c r="CK3467" s="459" t="s">
        <v>885</v>
      </c>
      <c r="CL3467" s="459" t="s">
        <v>885</v>
      </c>
      <c r="CM3467" s="459" t="s">
        <v>885</v>
      </c>
      <c r="CN3467" s="459" t="s">
        <v>885</v>
      </c>
      <c r="CO3467" s="459" t="s">
        <v>885</v>
      </c>
      <c r="CP3467" s="459" t="s">
        <v>885</v>
      </c>
      <c r="CQ3467" s="459" t="s">
        <v>885</v>
      </c>
      <c r="CR3467" s="459" t="s">
        <v>885</v>
      </c>
      <c r="CS3467" s="459" t="s">
        <v>885</v>
      </c>
      <c r="CT3467" s="245" t="s">
        <v>885</v>
      </c>
      <c r="CU3467" s="463" t="s">
        <v>885</v>
      </c>
      <c r="CV3467" s="245" t="s">
        <v>885</v>
      </c>
      <c r="CW3467" s="245" t="s">
        <v>885</v>
      </c>
      <c r="CX3467" s="459" t="s">
        <v>885</v>
      </c>
      <c r="CY3467" s="459" t="s">
        <v>885</v>
      </c>
      <c r="CZ3467" s="459" t="s">
        <v>885</v>
      </c>
      <c r="DA3467" s="459" t="s">
        <v>885</v>
      </c>
      <c r="DB3467" s="459" t="s">
        <v>885</v>
      </c>
      <c r="DC3467" s="459" t="s">
        <v>885</v>
      </c>
      <c r="DD3467" s="459" t="s">
        <v>885</v>
      </c>
      <c r="DE3467" s="459" t="s">
        <v>885</v>
      </c>
      <c r="DF3467" s="459" t="s">
        <v>885</v>
      </c>
      <c r="DG3467" s="459" t="s">
        <v>885</v>
      </c>
      <c r="DH3467" s="459" t="s">
        <v>885</v>
      </c>
      <c r="DI3467" s="459" t="s">
        <v>885</v>
      </c>
      <c r="DJ3467" s="459" t="s">
        <v>885</v>
      </c>
      <c r="DK3467" s="459" t="s">
        <v>885</v>
      </c>
      <c r="DL3467" s="459" t="s">
        <v>885</v>
      </c>
      <c r="DM3467" s="459" t="s">
        <v>885</v>
      </c>
      <c r="DN3467" s="459" t="s">
        <v>885</v>
      </c>
      <c r="DO3467" s="459" t="s">
        <v>885</v>
      </c>
      <c r="DP3467" t="s">
        <v>2295</v>
      </c>
      <c r="DQ3467" s="459" t="s">
        <v>885</v>
      </c>
      <c r="DR3467" s="459" t="s">
        <v>885</v>
      </c>
      <c r="DS3467" s="459" t="s">
        <v>885</v>
      </c>
      <c r="DT3467" s="459" t="s">
        <v>885</v>
      </c>
      <c r="DU3467" s="459" t="s">
        <v>885</v>
      </c>
      <c r="DV3467" s="459" t="s">
        <v>885</v>
      </c>
      <c r="DW3467" s="459" t="s">
        <v>885</v>
      </c>
      <c r="DX3467" s="245" t="s">
        <v>885</v>
      </c>
      <c r="DY3467" s="245"/>
      <c r="DZ3467" s="470" t="str">
        <f t="shared" si="178"/>
        <v/>
      </c>
      <c r="EA3467" s="470" t="str">
        <f t="shared" si="179"/>
        <v/>
      </c>
      <c r="EB3467" s="459" t="s">
        <v>885</v>
      </c>
    </row>
    <row r="3468" spans="1:132" ht="16" hidden="1" x14ac:dyDescent="0.4">
      <c r="A3468" s="813"/>
      <c r="BB3468" s="48"/>
      <c r="BS3468" s="464" t="str">
        <f>IF($B$265=B$3281,BZ3467,IF($B$265=B$3282,CA3467,IF($B$265=B$3283,CB3467,IF($B$265=B$3284,CC3467,IF($B$265=B$3285,CD3467,IF($B$265=B$3286,CE3467,IF($B$265=B$3287,CF3467,IF($B$265=B$3288,CG3467,IF($B$265=B$3289,CH3467,IF($B$265=B$3290,CI3467,IF($B$265=B$3291,CJ3467,IF($B$265=B$3292,CK3467,IF($B$265=B$3293,CL3467,IF($B$265=B$3294,CM3467,IF($B$265=B$3295,CN3467,IF($B$265=B$3296,#REF!,IF($B$265=B$3297,CO3467,IF($B$265=B$3298,CP3467,IF($B$265=B$3299,CQ3467,IF($B$265=B$3300,CR3467,IF($B$265=B$3301,CS3467,IF($B$265=B$3302,CT3467,IF(B$265=B$3303,CU3467,IF($B$265=B$3304,CV3467,IF($B$265=B$3305,CW3467,IF($B$265=B$3306,CX3467,IF($B$265=B$3307,CY3467,IF($B$265=B$3308,CZ3467,IF($B$265=B$3309,DA3467,IF($B$265=B$3310,DB3467,IF($B$265=B$3311,DC3467,IF($B$265=B$3312,DD3467,IF($B$265=B$3313,DE3467,IF($B$265=B$3314,DF3467,IF($B$265=B$3315,DG3467,IF($B$265=B$3316,DH3467,IF($B$265=B$3317,DI3467,IF($B$265=B$3318,DJ3467,IF($B$265=B$3319,DK3467,IF($B$265=B$3320,DL3467,IF($B$265=B$3321,DM3467,IF($B$265=B$3322,DN3467,IF($B$265=B$3323,DO3467,IF($B$265=B$3324,DP3467,IF($B$265=B$3325,DQ3467,IF($B$265=B$3326,DR3467,IF($B$265=B$3327,DS3467,IF($B$265=B$3328,DT3467,IF($B$265=B$3329,DU3467,IF($B$265=B$3330,DV3467,IF($B$265=B$3331,DW3467,IF($B$265=B$3332,DX3467,""))))))))))))))))))))))))))))))))))))))))))))))))))))</f>
        <v/>
      </c>
      <c r="BZ3468" s="245" t="s">
        <v>885</v>
      </c>
      <c r="CA3468" s="245" t="s">
        <v>885</v>
      </c>
      <c r="CC3468" s="245" t="s">
        <v>885</v>
      </c>
      <c r="CD3468" s="459" t="s">
        <v>885</v>
      </c>
      <c r="CE3468" s="459" t="s">
        <v>885</v>
      </c>
      <c r="CF3468" s="245" t="s">
        <v>885</v>
      </c>
      <c r="CG3468" s="245" t="s">
        <v>885</v>
      </c>
      <c r="CH3468" s="245" t="s">
        <v>885</v>
      </c>
      <c r="CI3468" s="245" t="s">
        <v>885</v>
      </c>
      <c r="CJ3468" s="459" t="s">
        <v>885</v>
      </c>
      <c r="CK3468" s="459" t="s">
        <v>885</v>
      </c>
      <c r="CL3468" s="459" t="s">
        <v>885</v>
      </c>
      <c r="CM3468" s="459" t="s">
        <v>885</v>
      </c>
      <c r="CN3468" s="459" t="s">
        <v>885</v>
      </c>
      <c r="CO3468" s="459" t="s">
        <v>885</v>
      </c>
      <c r="CP3468" s="459" t="s">
        <v>885</v>
      </c>
      <c r="CQ3468" s="459" t="s">
        <v>885</v>
      </c>
      <c r="CR3468" s="459" t="s">
        <v>885</v>
      </c>
      <c r="CS3468" s="459" t="s">
        <v>885</v>
      </c>
      <c r="CT3468" s="245" t="s">
        <v>885</v>
      </c>
      <c r="CU3468" s="463" t="s">
        <v>885</v>
      </c>
      <c r="CV3468" s="245" t="s">
        <v>885</v>
      </c>
      <c r="CW3468" s="245" t="s">
        <v>885</v>
      </c>
      <c r="CX3468" s="459" t="s">
        <v>885</v>
      </c>
      <c r="CY3468" s="459" t="s">
        <v>885</v>
      </c>
      <c r="CZ3468" s="459" t="s">
        <v>885</v>
      </c>
      <c r="DA3468" s="459" t="s">
        <v>885</v>
      </c>
      <c r="DB3468" s="459" t="s">
        <v>885</v>
      </c>
      <c r="DC3468" s="459" t="s">
        <v>885</v>
      </c>
      <c r="DD3468" s="459" t="s">
        <v>885</v>
      </c>
      <c r="DE3468" s="459" t="s">
        <v>885</v>
      </c>
      <c r="DF3468" s="459" t="s">
        <v>885</v>
      </c>
      <c r="DG3468" s="459" t="s">
        <v>885</v>
      </c>
      <c r="DH3468" s="459" t="s">
        <v>885</v>
      </c>
      <c r="DI3468" s="459" t="s">
        <v>885</v>
      </c>
      <c r="DJ3468" s="459" t="s">
        <v>885</v>
      </c>
      <c r="DK3468" s="459" t="s">
        <v>885</v>
      </c>
      <c r="DL3468" s="459" t="s">
        <v>885</v>
      </c>
      <c r="DM3468" s="459" t="s">
        <v>885</v>
      </c>
      <c r="DN3468" s="459" t="s">
        <v>885</v>
      </c>
      <c r="DO3468" s="459" t="s">
        <v>885</v>
      </c>
      <c r="DP3468" t="s">
        <v>3030</v>
      </c>
      <c r="DQ3468" s="459" t="s">
        <v>885</v>
      </c>
      <c r="DR3468" s="459" t="s">
        <v>885</v>
      </c>
      <c r="DS3468" s="459" t="s">
        <v>885</v>
      </c>
      <c r="DT3468" s="459" t="s">
        <v>885</v>
      </c>
      <c r="DU3468" s="459" t="s">
        <v>885</v>
      </c>
      <c r="DV3468" s="459" t="s">
        <v>885</v>
      </c>
      <c r="DW3468" s="459" t="s">
        <v>885</v>
      </c>
      <c r="DX3468" s="245" t="s">
        <v>885</v>
      </c>
      <c r="DY3468" s="245"/>
      <c r="DZ3468" s="470" t="str">
        <f t="shared" si="178"/>
        <v/>
      </c>
      <c r="EA3468" s="470" t="str">
        <f t="shared" si="179"/>
        <v/>
      </c>
      <c r="EB3468" s="459" t="s">
        <v>885</v>
      </c>
    </row>
    <row r="3469" spans="1:132" ht="16" hidden="1" x14ac:dyDescent="0.4">
      <c r="A3469" s="813"/>
      <c r="BB3469" s="48"/>
      <c r="BS3469" s="464" t="str">
        <f>IF($B$265=B$3281,BZ3468,IF($B$265=B$3282,CA3468,IF($B$265=B$3283,CB3468,IF($B$265=B$3284,CC3468,IF($B$265=B$3285,CD3468,IF($B$265=B$3286,CE3468,IF($B$265=B$3287,CF3468,IF($B$265=B$3288,CG3468,IF($B$265=B$3289,CH3468,IF($B$265=B$3290,CI3468,IF($B$265=B$3291,CJ3468,IF($B$265=B$3292,CK3468,IF($B$265=B$3293,CL3468,IF($B$265=B$3294,CM3468,IF($B$265=B$3295,CN3468,IF($B$265=B$3296,H2745,IF($B$265=B$3297,CO3468,IF($B$265=B$3298,CP3468,IF($B$265=B$3299,CQ3468,IF($B$265=B$3300,CR3468,IF($B$265=B$3301,CS3468,IF($B$265=B$3302,CT3468,IF(B$265=B$3303,CU3468,IF($B$265=B$3304,CV3468,IF($B$265=B$3305,CW3468,IF($B$265=B$3306,CX3468,IF($B$265=B$3307,CY3468,IF($B$265=B$3308,CZ3468,IF($B$265=B$3309,DA3468,IF($B$265=B$3310,DB3468,IF($B$265=B$3311,DC3468,IF($B$265=B$3312,DD3468,IF($B$265=B$3313,DE3468,IF($B$265=B$3314,DF3468,IF($B$265=B$3315,DG3468,IF($B$265=B$3316,DH3468,IF($B$265=B$3317,DI3468,IF($B$265=B$3318,DJ3468,IF($B$265=B$3319,DK3468,IF($B$265=B$3320,DL3468,IF($B$265=B$3321,DM3468,IF($B$265=B$3322,DN3468,IF($B$265=B$3323,DO3468,IF($B$265=B$3324,DP3468,IF($B$265=B$3325,DQ3468,IF($B$265=B$3326,DR3468,IF($B$265=B$3327,DS3468,IF($B$265=B$3328,DT3468,IF($B$265=B$3329,DU3468,IF($B$265=B$3330,DV3468,IF($B$265=B$3331,DW3468,IF($B$265=B$3332,DX3468,""))))))))))))))))))))))))))))))))))))))))))))))))))))</f>
        <v/>
      </c>
      <c r="BZ3469" s="245" t="s">
        <v>885</v>
      </c>
      <c r="CA3469" s="245" t="s">
        <v>885</v>
      </c>
      <c r="CC3469" s="245" t="s">
        <v>885</v>
      </c>
      <c r="CD3469" s="459" t="s">
        <v>885</v>
      </c>
      <c r="CE3469" s="459" t="s">
        <v>885</v>
      </c>
      <c r="CF3469" s="245" t="s">
        <v>885</v>
      </c>
      <c r="CG3469" s="245" t="s">
        <v>885</v>
      </c>
      <c r="CH3469" s="245" t="s">
        <v>885</v>
      </c>
      <c r="CI3469" s="245" t="s">
        <v>885</v>
      </c>
      <c r="CJ3469" s="459" t="s">
        <v>885</v>
      </c>
      <c r="CK3469" s="459" t="s">
        <v>885</v>
      </c>
      <c r="CL3469" s="459" t="s">
        <v>885</v>
      </c>
      <c r="CM3469" s="459" t="s">
        <v>885</v>
      </c>
      <c r="CN3469" s="459" t="s">
        <v>885</v>
      </c>
      <c r="CO3469" s="459" t="s">
        <v>885</v>
      </c>
      <c r="CP3469" s="459" t="s">
        <v>885</v>
      </c>
      <c r="CQ3469" s="459" t="s">
        <v>885</v>
      </c>
      <c r="CR3469" s="459" t="s">
        <v>885</v>
      </c>
      <c r="CS3469" s="459" t="s">
        <v>885</v>
      </c>
      <c r="CT3469" s="245" t="s">
        <v>885</v>
      </c>
      <c r="CU3469" s="463" t="s">
        <v>885</v>
      </c>
      <c r="CV3469" s="245" t="s">
        <v>885</v>
      </c>
      <c r="CW3469" s="245" t="s">
        <v>885</v>
      </c>
      <c r="CX3469" s="459" t="s">
        <v>885</v>
      </c>
      <c r="CY3469" s="459" t="s">
        <v>885</v>
      </c>
      <c r="CZ3469" s="459" t="s">
        <v>885</v>
      </c>
      <c r="DA3469" s="459" t="s">
        <v>885</v>
      </c>
      <c r="DB3469" s="459" t="s">
        <v>885</v>
      </c>
      <c r="DC3469" s="459" t="s">
        <v>885</v>
      </c>
      <c r="DD3469" s="459" t="s">
        <v>885</v>
      </c>
      <c r="DE3469" s="459" t="s">
        <v>885</v>
      </c>
      <c r="DF3469" s="459" t="s">
        <v>885</v>
      </c>
      <c r="DG3469" s="459" t="s">
        <v>885</v>
      </c>
      <c r="DH3469" s="459" t="s">
        <v>885</v>
      </c>
      <c r="DI3469" s="459" t="s">
        <v>885</v>
      </c>
      <c r="DJ3469" s="459" t="s">
        <v>885</v>
      </c>
      <c r="DK3469" s="459" t="s">
        <v>885</v>
      </c>
      <c r="DL3469" s="459" t="s">
        <v>885</v>
      </c>
      <c r="DM3469" s="459" t="s">
        <v>885</v>
      </c>
      <c r="DN3469" s="459" t="s">
        <v>885</v>
      </c>
      <c r="DO3469" s="459" t="s">
        <v>885</v>
      </c>
      <c r="DP3469" t="s">
        <v>2021</v>
      </c>
      <c r="DQ3469" s="459" t="s">
        <v>885</v>
      </c>
      <c r="DR3469" s="459" t="s">
        <v>885</v>
      </c>
      <c r="DS3469" s="459" t="s">
        <v>885</v>
      </c>
      <c r="DT3469" s="459" t="s">
        <v>885</v>
      </c>
      <c r="DU3469" s="459" t="s">
        <v>885</v>
      </c>
      <c r="DV3469" s="459" t="s">
        <v>885</v>
      </c>
      <c r="DW3469" s="459" t="s">
        <v>885</v>
      </c>
      <c r="DX3469" s="245" t="s">
        <v>885</v>
      </c>
      <c r="DY3469" s="245"/>
      <c r="DZ3469" s="470" t="str">
        <f t="shared" si="178"/>
        <v/>
      </c>
      <c r="EA3469" s="470" t="str">
        <f t="shared" si="179"/>
        <v/>
      </c>
      <c r="EB3469" s="459" t="s">
        <v>885</v>
      </c>
    </row>
    <row r="3470" spans="1:132" ht="16" hidden="1" x14ac:dyDescent="0.4">
      <c r="A3470" s="813"/>
      <c r="BB3470" s="48"/>
      <c r="BS3470" s="464" t="str">
        <f>IF($B$265=B$3281,BZ3469,IF($B$265=B$3282,CA3469,IF($B$265=B$3283,CB3469,IF($B$265=B$3284,CC3469,IF($B$265=B$3285,CD3469,IF($B$265=B$3286,CE3469,IF($B$265=B$3287,CF3469,IF($B$265=B$3288,CG3469,IF($B$265=B$3289,CH3469,IF($B$265=B$3290,CI3469,IF($B$265=B$3291,CJ3469,IF($B$265=B$3292,CK3469,IF($B$265=B$3293,CL3469,IF($B$265=B$3294,CM3469,IF($B$265=B$3295,CN3469,IF($B$265=B$3296,B2733,IF($B$265=B$3297,CO3469,IF($B$265=B$3298,CP3469,IF($B$265=B$3299,CQ3469,IF($B$265=B$3300,CR3469,IF($B$265=B$3301,CS3469,IF($B$265=B$3302,CT3469,IF(B$265=B$3303,CU3469,IF($B$265=B$3304,CV3469,IF($B$265=B$3305,CW3469,IF($B$265=B$3306,CX3469,IF($B$265=B$3307,CY3469,IF($B$265=B$3308,CZ3469,IF($B$265=B$3309,DA3469,IF($B$265=B$3310,DB3469,IF($B$265=B$3311,DC3469,IF($B$265=B$3312,DD3469,IF($B$265=B$3313,DE3469,IF($B$265=B$3314,DF3469,IF($B$265=B$3315,DG3469,IF($B$265=B$3316,DH3469,IF($B$265=B$3317,DI3469,IF($B$265=B$3318,DJ3469,IF($B$265=B$3319,DK3469,IF($B$265=B$3320,DL3469,IF($B$265=B$3321,DM3469,IF($B$265=B$3322,DN3469,IF($B$265=B$3323,DO3469,IF($B$265=B$3324,DP3469,IF($B$265=B$3325,DQ3469,IF($B$265=B$3326,DR3469,IF($B$265=B$3327,DS3469,IF($B$265=B$3328,DT3469,IF($B$265=B$3329,DU3469,IF($B$265=B$3330,DV3469,IF($B$265=B$3331,DW3469,IF($B$265=B$3332,DX3469,""))))))))))))))))))))))))))))))))))))))))))))))))))))</f>
        <v/>
      </c>
      <c r="BZ3470" s="245"/>
      <c r="CA3470" s="245"/>
      <c r="CC3470" s="245"/>
      <c r="CD3470" s="459"/>
      <c r="CE3470" s="459"/>
      <c r="CF3470" s="245"/>
      <c r="CG3470" s="245"/>
      <c r="CH3470" s="245"/>
      <c r="CI3470" s="245"/>
      <c r="CJ3470" s="459"/>
      <c r="CK3470" s="459"/>
      <c r="CL3470" s="459"/>
      <c r="CM3470" s="459"/>
      <c r="CN3470" s="459"/>
      <c r="CO3470" s="459"/>
      <c r="CP3470" s="459"/>
      <c r="CQ3470" s="459"/>
      <c r="CR3470" s="459"/>
      <c r="CS3470" s="459"/>
      <c r="CT3470" s="245"/>
      <c r="CU3470" s="463"/>
      <c r="CV3470" s="245"/>
      <c r="CW3470" s="245"/>
      <c r="CX3470" s="459"/>
      <c r="CY3470" s="459"/>
      <c r="CZ3470" s="459"/>
      <c r="DA3470" s="459"/>
      <c r="DB3470" s="459"/>
      <c r="DC3470" s="459"/>
      <c r="DD3470" s="459"/>
      <c r="DE3470" s="459"/>
      <c r="DF3470" s="459"/>
      <c r="DG3470" s="459"/>
      <c r="DH3470" s="459"/>
      <c r="DI3470" s="459"/>
      <c r="DJ3470" s="459"/>
      <c r="DK3470" s="459"/>
      <c r="DL3470" s="459"/>
      <c r="DM3470" s="459"/>
      <c r="DN3470" s="459"/>
      <c r="DO3470" s="459"/>
      <c r="DP3470"/>
      <c r="DQ3470" s="459"/>
      <c r="DR3470" s="459"/>
      <c r="DS3470" s="459"/>
      <c r="DT3470" s="459"/>
      <c r="DU3470" s="459"/>
      <c r="DV3470" s="459"/>
      <c r="DW3470" s="459"/>
      <c r="DX3470" s="245"/>
      <c r="DY3470" s="245"/>
      <c r="DZ3470" s="470"/>
      <c r="EA3470" s="470"/>
      <c r="EB3470" s="459"/>
    </row>
    <row r="3471" spans="1:132" ht="16" hidden="1" x14ac:dyDescent="0.4">
      <c r="A3471" s="813"/>
      <c r="BB3471" s="48"/>
      <c r="BS3471" s="464"/>
      <c r="BZ3471" s="245" t="s">
        <v>885</v>
      </c>
      <c r="CA3471" s="245" t="s">
        <v>885</v>
      </c>
      <c r="CC3471" s="245" t="s">
        <v>885</v>
      </c>
      <c r="CD3471" s="459" t="s">
        <v>885</v>
      </c>
      <c r="CE3471" s="459" t="s">
        <v>885</v>
      </c>
      <c r="CF3471" s="245" t="s">
        <v>885</v>
      </c>
      <c r="CG3471" s="245" t="s">
        <v>885</v>
      </c>
      <c r="CH3471" s="245" t="s">
        <v>885</v>
      </c>
      <c r="CI3471" s="245" t="s">
        <v>885</v>
      </c>
      <c r="CJ3471" s="459" t="s">
        <v>885</v>
      </c>
      <c r="CK3471" s="459" t="s">
        <v>885</v>
      </c>
      <c r="CL3471" s="459" t="s">
        <v>885</v>
      </c>
      <c r="CM3471" s="459" t="s">
        <v>885</v>
      </c>
      <c r="CN3471" s="459" t="s">
        <v>885</v>
      </c>
      <c r="CO3471" s="459" t="s">
        <v>885</v>
      </c>
      <c r="CP3471" s="459" t="s">
        <v>885</v>
      </c>
      <c r="CQ3471" s="459" t="s">
        <v>885</v>
      </c>
      <c r="CR3471" s="459" t="s">
        <v>885</v>
      </c>
      <c r="CS3471" s="459" t="s">
        <v>885</v>
      </c>
      <c r="CT3471" s="245" t="s">
        <v>885</v>
      </c>
      <c r="CU3471" s="463" t="s">
        <v>885</v>
      </c>
      <c r="CV3471" s="245" t="s">
        <v>885</v>
      </c>
      <c r="CW3471" s="245" t="s">
        <v>885</v>
      </c>
      <c r="CX3471" s="459" t="s">
        <v>885</v>
      </c>
      <c r="CY3471" s="459" t="s">
        <v>885</v>
      </c>
      <c r="CZ3471" s="459" t="s">
        <v>885</v>
      </c>
      <c r="DA3471" s="459" t="s">
        <v>885</v>
      </c>
      <c r="DB3471" s="459" t="s">
        <v>885</v>
      </c>
      <c r="DC3471" s="459" t="s">
        <v>885</v>
      </c>
      <c r="DD3471" s="459" t="s">
        <v>885</v>
      </c>
      <c r="DE3471" s="459" t="s">
        <v>885</v>
      </c>
      <c r="DF3471" s="459" t="s">
        <v>885</v>
      </c>
      <c r="DG3471" s="459" t="s">
        <v>885</v>
      </c>
      <c r="DH3471" s="459" t="s">
        <v>885</v>
      </c>
      <c r="DI3471" s="459" t="s">
        <v>885</v>
      </c>
      <c r="DJ3471" s="459" t="s">
        <v>885</v>
      </c>
      <c r="DK3471" s="459" t="s">
        <v>885</v>
      </c>
      <c r="DL3471" s="459" t="s">
        <v>885</v>
      </c>
      <c r="DM3471" s="459" t="s">
        <v>885</v>
      </c>
      <c r="DN3471" s="459" t="s">
        <v>885</v>
      </c>
      <c r="DO3471" s="459" t="s">
        <v>885</v>
      </c>
      <c r="DP3471" t="s">
        <v>1822</v>
      </c>
      <c r="DQ3471" s="459" t="s">
        <v>885</v>
      </c>
      <c r="DR3471" s="459" t="s">
        <v>885</v>
      </c>
      <c r="DS3471" s="459" t="s">
        <v>885</v>
      </c>
      <c r="DT3471" s="459" t="s">
        <v>885</v>
      </c>
      <c r="DU3471" s="459" t="s">
        <v>885</v>
      </c>
      <c r="DV3471" s="459" t="s">
        <v>885</v>
      </c>
      <c r="DW3471" s="459" t="s">
        <v>885</v>
      </c>
      <c r="DX3471" s="245" t="s">
        <v>885</v>
      </c>
      <c r="DY3471" s="245"/>
      <c r="DZ3471" s="470" t="str">
        <f t="shared" ref="DZ3471:DZ3502" si="180">IF($B$265=$B$3281,EB3471,IF($B$265=$B$3282,ED3471,IF($B$265=$B$3283,EF3471,IF($B$265=$B$3284,EH3471,IF($B$265=$B$3285,EJ3471,IF($B$265=$B$3286,EL3471,IF($B$265=$B$3287,EN3471,IF($B$265=$B$3288,EP3471,IF($B$265=$B$3289,ER3471,IF($B$265=$B$3290,ET3471,IF($B$265=$B$3291,EV3471,IF($B$265=$B$3292,EX3471,IF($B$265=$B$3293,EZ3471,IF($B$265=$B$3294,FB3471,IF($B$265=$B$3295,FD3471,IF($B$265=$B$3296,BU3471,IF($B$265=$B$3297,FF3471,IF($B$265=$B$3298,FH3471,IF($B$265=$B$3299,FJ3471,IF($B$265=$B$3300,FL3471,IF($B$265=$B$3301,FN3471,IF($B$265=$B$3302,FP3471,IF(BI$265=$B$3303,FR3471,IF($B$265=$B$3304,FT3471,IF($B$265=$B$3305,FV3471,IF($B$265=$B$3306,FX3471,IF($B$265=$B$3307,FZ3471,IF($B$265=$B$3308,GB3471,IF($B$265=$B$3309,GD3471,IF($B$265=$B$3310,GF3471,IF($B$265=$B$3311,GH3471,IF($B$265=$B$3312,GJ3471,IF($B$265=$B$3313,GL3471,IF($B$265=$B$3314,GN3471,IF($B$265=$B$3315,GP3471,IF($B$265=$B$3316,GR3471,IF($B$265=$B$3317,GT3471,IF($B$265=$B$3318,GV3471,IF($B$265=$B$3319,GX3471,IF($B$265=$B$3320,GZ3471,IF($B$265=$B$3321,HB3471,IF($B$265=$B$3322,HD3471,IF($B$265=$B$3323,HF3471,IF($B$265=$B$3324,HH3471,IF($B$265=$B$3325,HJ3471,IF($B$265=$B$3326,HL3471,IF($B$265=$B$3327,HN3471,IF($B$265=$B$3328,HP3471,IF($B$265=$B$3329,HR3471,IF($B$265=$B$3330,HT3471,IF($B$265=$B$3331,HV3471,IF($B$265=$B$3332,HX3471,""))))))))))))))))))))))))))))))))))))))))))))))))))))</f>
        <v/>
      </c>
      <c r="EA3471" s="470" t="str">
        <f t="shared" ref="EA3471:EA3502" si="181">IF($B$265=$B$3281,EC3471,IF($B$265=$B$3282,EE3471,IF($B$265=$B$3283,EG3471,IF($B$265=$B$3284,EI3471,IF($B$265=$B$3285,EK3471,IF($B$265=$B$3286,EM3471,IF($B$265=$B$3287,EO3471,IF($B$265=$B$3288,EQ3471,IF($B$265=$B$3289,ES3471,IF($B$265=$B$3290,EU3471,IF($B$265=$B$3291,EW3471,IF($B$265=$B$3292,EY3471,IF($B$265=$B$3293,FA3471,IF($B$265=$B$3294,FC3471,IF($B$265=$B$3295,FE3471,IF($B$265=$B$3296,BK3471,IF($B$265=$B$3297,FG3471,IF($B$265=$B$3298,FI3471,IF($B$265=$B$3299,FK3471,IF($B$265=$B$3300,FM3471,IF($B$265=$B$3301,FO3471,IF($B$265=$B$3302,FQ3471,IF(BJ$265=$B$3303,FS3471,IF($B$265=$B$3304,FU3471,IF($B$265=$B$3305,FW3471,IF($B$265=$B$3306,FY3471,IF($B$265=$B$3307,GA3471,IF($B$265=$B$3308,GC3471,IF($B$265=$B$3309,GE3471,IF($B$265=$B$3310,GG3471,IF($B$265=$B$3311,GI3471,IF($B$265=$B$3312,GK3471,IF($B$265=$B$3313,GM3471,IF($B$265=$B$3314,GO3471,IF($B$265=$B$3315,GQ3471,IF($B$265=$B$3316,GS3471,IF($B$265=$B$3317,GU3471,IF($B$265=$B$3318,GW3471,IF($B$265=$B$3319,GY3471,IF($B$265=$B$3320,HA3471,IF($B$265=$B$3321,HC3471,IF($B$265=$B$3322,HE3471,IF($B$265=$B$3323,HG3471,IF($B$265=$B$3324,HI3471,IF($B$265=$B$3325,HK3471,IF($B$265=$B$3326,HM3471,IF($B$265=$B$3327,HO3471,IF($B$265=$B$3328,HQ3471,IF($B$265=$B$3329,HS3471,IF($B$265=$B$3330,HU3471,IF($B$265=$B$3331,HW3471,IF($B$265=$B$3332,HY3471,""))))))))))))))))))))))))))))))))))))))))))))))))))))</f>
        <v/>
      </c>
      <c r="EB3471" s="459" t="s">
        <v>885</v>
      </c>
    </row>
    <row r="3472" spans="1:132" ht="16" hidden="1" x14ac:dyDescent="0.4">
      <c r="A3472" s="813"/>
      <c r="BB3472" s="48"/>
      <c r="BS3472" s="464" t="str">
        <f t="shared" ref="BS3472:BS3483" si="182">IF($B$265=B$3281,BZ3471,IF($B$265=B$3282,CA3471,IF($B$265=B$3283,CB3471,IF($B$265=B$3284,CC3471,IF($B$265=B$3285,CD3471,IF($B$265=B$3286,CE3471,IF($B$265=B$3287,CF3471,IF($B$265=B$3288,CG3471,IF($B$265=B$3289,CH3471,IF($B$265=B$3290,CI3471,IF($B$265=B$3291,CJ3471,IF($B$265=B$3292,CK3471,IF($B$265=B$3293,CL3471,IF($B$265=B$3294,CM3471,IF($B$265=B$3295,CN3471,IF($B$265=B$3296,B2734,IF($B$265=B$3297,CO3471,IF($B$265=B$3298,CP3471,IF($B$265=B$3299,CQ3471,IF($B$265=B$3300,CR3471,IF($B$265=B$3301,CS3471,IF($B$265=B$3302,CT3471,IF(B$265=B$3303,CU3471,IF($B$265=B$3304,CV3471,IF($B$265=B$3305,CW3471,IF($B$265=B$3306,CX3471,IF($B$265=B$3307,CY3471,IF($B$265=B$3308,CZ3471,IF($B$265=B$3309,DA3471,IF($B$265=B$3310,DB3471,IF($B$265=B$3311,DC3471,IF($B$265=B$3312,DD3471,IF($B$265=B$3313,DE3471,IF($B$265=B$3314,DF3471,IF($B$265=B$3315,DG3471,IF($B$265=B$3316,DH3471,IF($B$265=B$3317,DI3471,IF($B$265=B$3318,DJ3471,IF($B$265=B$3319,DK3471,IF($B$265=B$3320,DL3471,IF($B$265=B$3321,DM3471,IF($B$265=B$3322,DN3471,IF($B$265=B$3323,DO3471,IF($B$265=B$3324,DP3471,IF($B$265=B$3325,DQ3471,IF($B$265=B$3326,DR3471,IF($B$265=B$3327,DS3471,IF($B$265=B$3328,DT3471,IF($B$265=B$3329,DU3471,IF($B$265=B$3330,DV3471,IF($B$265=B$3331,DW3471,IF($B$265=B$3332,DX3471,""))))))))))))))))))))))))))))))))))))))))))))))))))))</f>
        <v/>
      </c>
      <c r="BZ3472" s="245" t="s">
        <v>885</v>
      </c>
      <c r="CA3472" s="245" t="s">
        <v>885</v>
      </c>
      <c r="CC3472" s="245" t="s">
        <v>885</v>
      </c>
      <c r="CD3472" s="459" t="s">
        <v>885</v>
      </c>
      <c r="CE3472" s="459" t="s">
        <v>885</v>
      </c>
      <c r="CF3472" s="245" t="s">
        <v>885</v>
      </c>
      <c r="CG3472" s="245" t="s">
        <v>885</v>
      </c>
      <c r="CH3472" s="245" t="s">
        <v>885</v>
      </c>
      <c r="CI3472" s="245" t="s">
        <v>885</v>
      </c>
      <c r="CJ3472" s="459" t="s">
        <v>885</v>
      </c>
      <c r="CK3472" s="459" t="s">
        <v>885</v>
      </c>
      <c r="CL3472" s="459" t="s">
        <v>885</v>
      </c>
      <c r="CM3472" s="459" t="s">
        <v>885</v>
      </c>
      <c r="CN3472" s="459" t="s">
        <v>885</v>
      </c>
      <c r="CO3472" s="459" t="s">
        <v>885</v>
      </c>
      <c r="CP3472" s="459" t="s">
        <v>885</v>
      </c>
      <c r="CQ3472" s="459" t="s">
        <v>885</v>
      </c>
      <c r="CR3472" s="459" t="s">
        <v>885</v>
      </c>
      <c r="CS3472" s="459" t="s">
        <v>885</v>
      </c>
      <c r="CT3472" s="245" t="s">
        <v>885</v>
      </c>
      <c r="CU3472" s="463" t="s">
        <v>885</v>
      </c>
      <c r="CV3472" s="245" t="s">
        <v>885</v>
      </c>
      <c r="CW3472" s="245" t="s">
        <v>885</v>
      </c>
      <c r="CX3472" s="459" t="s">
        <v>885</v>
      </c>
      <c r="CY3472" s="459" t="s">
        <v>885</v>
      </c>
      <c r="CZ3472" s="459" t="s">
        <v>885</v>
      </c>
      <c r="DA3472" s="459" t="s">
        <v>885</v>
      </c>
      <c r="DB3472" s="459" t="s">
        <v>885</v>
      </c>
      <c r="DC3472" s="459" t="s">
        <v>885</v>
      </c>
      <c r="DD3472" s="459" t="s">
        <v>885</v>
      </c>
      <c r="DE3472" s="459" t="s">
        <v>885</v>
      </c>
      <c r="DF3472" s="459" t="s">
        <v>885</v>
      </c>
      <c r="DG3472" s="459" t="s">
        <v>885</v>
      </c>
      <c r="DH3472" s="459" t="s">
        <v>885</v>
      </c>
      <c r="DI3472" s="459" t="s">
        <v>885</v>
      </c>
      <c r="DJ3472" s="459" t="s">
        <v>885</v>
      </c>
      <c r="DK3472" s="459" t="s">
        <v>885</v>
      </c>
      <c r="DL3472" s="459" t="s">
        <v>885</v>
      </c>
      <c r="DM3472" s="459" t="s">
        <v>885</v>
      </c>
      <c r="DN3472" s="459" t="s">
        <v>885</v>
      </c>
      <c r="DO3472" s="459" t="s">
        <v>885</v>
      </c>
      <c r="DP3472" t="s">
        <v>3031</v>
      </c>
      <c r="DQ3472" s="459" t="s">
        <v>885</v>
      </c>
      <c r="DR3472" s="459" t="s">
        <v>885</v>
      </c>
      <c r="DS3472" s="459" t="s">
        <v>885</v>
      </c>
      <c r="DT3472" s="459" t="s">
        <v>885</v>
      </c>
      <c r="DU3472" s="459" t="s">
        <v>885</v>
      </c>
      <c r="DV3472" s="459" t="s">
        <v>885</v>
      </c>
      <c r="DW3472" s="459" t="s">
        <v>885</v>
      </c>
      <c r="DX3472" s="245" t="s">
        <v>885</v>
      </c>
      <c r="DY3472" s="245"/>
      <c r="DZ3472" s="470" t="str">
        <f t="shared" si="180"/>
        <v/>
      </c>
      <c r="EA3472" s="470" t="str">
        <f t="shared" si="181"/>
        <v/>
      </c>
      <c r="EB3472" s="459" t="s">
        <v>885</v>
      </c>
    </row>
    <row r="3473" spans="1:132" ht="16" hidden="1" x14ac:dyDescent="0.4">
      <c r="A3473" s="813"/>
      <c r="BB3473" s="48"/>
      <c r="BS3473" s="464" t="str">
        <f t="shared" si="182"/>
        <v/>
      </c>
      <c r="BZ3473" s="245" t="s">
        <v>885</v>
      </c>
      <c r="CA3473" s="245" t="s">
        <v>885</v>
      </c>
      <c r="CC3473" s="245" t="s">
        <v>885</v>
      </c>
      <c r="CD3473" s="459" t="s">
        <v>885</v>
      </c>
      <c r="CE3473" s="459" t="s">
        <v>885</v>
      </c>
      <c r="CF3473" s="245" t="s">
        <v>885</v>
      </c>
      <c r="CG3473" s="245" t="s">
        <v>885</v>
      </c>
      <c r="CH3473" s="245" t="s">
        <v>885</v>
      </c>
      <c r="CI3473" s="245" t="s">
        <v>885</v>
      </c>
      <c r="CJ3473" s="459" t="s">
        <v>885</v>
      </c>
      <c r="CK3473" s="459" t="s">
        <v>885</v>
      </c>
      <c r="CL3473" s="459" t="s">
        <v>885</v>
      </c>
      <c r="CM3473" s="459" t="s">
        <v>885</v>
      </c>
      <c r="CN3473" s="459" t="s">
        <v>885</v>
      </c>
      <c r="CO3473" s="459" t="s">
        <v>885</v>
      </c>
      <c r="CP3473" s="459" t="s">
        <v>885</v>
      </c>
      <c r="CQ3473" s="459" t="s">
        <v>885</v>
      </c>
      <c r="CR3473" s="459" t="s">
        <v>885</v>
      </c>
      <c r="CS3473" s="459" t="s">
        <v>885</v>
      </c>
      <c r="CT3473" s="245" t="s">
        <v>885</v>
      </c>
      <c r="CU3473" s="463" t="s">
        <v>885</v>
      </c>
      <c r="CV3473" s="245" t="s">
        <v>885</v>
      </c>
      <c r="CW3473" s="245" t="s">
        <v>885</v>
      </c>
      <c r="CX3473" s="459" t="s">
        <v>885</v>
      </c>
      <c r="CY3473" s="459" t="s">
        <v>885</v>
      </c>
      <c r="CZ3473" s="459" t="s">
        <v>885</v>
      </c>
      <c r="DA3473" s="459" t="s">
        <v>885</v>
      </c>
      <c r="DB3473" s="459" t="s">
        <v>885</v>
      </c>
      <c r="DC3473" s="459" t="s">
        <v>885</v>
      </c>
      <c r="DD3473" s="459" t="s">
        <v>885</v>
      </c>
      <c r="DE3473" s="459" t="s">
        <v>885</v>
      </c>
      <c r="DF3473" s="459" t="s">
        <v>885</v>
      </c>
      <c r="DG3473" s="459" t="s">
        <v>885</v>
      </c>
      <c r="DH3473" s="459" t="s">
        <v>885</v>
      </c>
      <c r="DI3473" s="459" t="s">
        <v>885</v>
      </c>
      <c r="DJ3473" s="459" t="s">
        <v>885</v>
      </c>
      <c r="DK3473" s="459" t="s">
        <v>885</v>
      </c>
      <c r="DL3473" s="459" t="s">
        <v>885</v>
      </c>
      <c r="DM3473" s="459" t="s">
        <v>885</v>
      </c>
      <c r="DN3473" s="459" t="s">
        <v>885</v>
      </c>
      <c r="DO3473" s="459" t="s">
        <v>885</v>
      </c>
      <c r="DP3473" t="s">
        <v>1481</v>
      </c>
      <c r="DQ3473" s="459" t="s">
        <v>885</v>
      </c>
      <c r="DR3473" s="459" t="s">
        <v>885</v>
      </c>
      <c r="DS3473" s="459" t="s">
        <v>885</v>
      </c>
      <c r="DT3473" s="459" t="s">
        <v>885</v>
      </c>
      <c r="DU3473" s="459" t="s">
        <v>885</v>
      </c>
      <c r="DV3473" s="459" t="s">
        <v>885</v>
      </c>
      <c r="DW3473" s="459" t="s">
        <v>885</v>
      </c>
      <c r="DX3473" s="245" t="s">
        <v>885</v>
      </c>
      <c r="DY3473" s="245"/>
      <c r="DZ3473" s="470" t="str">
        <f t="shared" si="180"/>
        <v/>
      </c>
      <c r="EA3473" s="470" t="str">
        <f t="shared" si="181"/>
        <v/>
      </c>
      <c r="EB3473" s="459" t="s">
        <v>885</v>
      </c>
    </row>
    <row r="3474" spans="1:132" ht="16" hidden="1" x14ac:dyDescent="0.4">
      <c r="A3474" s="813"/>
      <c r="BB3474" s="48"/>
      <c r="BS3474" s="464" t="str">
        <f t="shared" si="182"/>
        <v/>
      </c>
      <c r="BZ3474" s="245" t="s">
        <v>885</v>
      </c>
      <c r="CA3474" s="245" t="s">
        <v>885</v>
      </c>
      <c r="CC3474" s="245" t="s">
        <v>885</v>
      </c>
      <c r="CD3474" s="459" t="s">
        <v>885</v>
      </c>
      <c r="CE3474" s="459" t="s">
        <v>885</v>
      </c>
      <c r="CF3474" s="245" t="s">
        <v>885</v>
      </c>
      <c r="CG3474" s="245" t="s">
        <v>885</v>
      </c>
      <c r="CH3474" s="245" t="s">
        <v>885</v>
      </c>
      <c r="CI3474" s="245" t="s">
        <v>885</v>
      </c>
      <c r="CJ3474" s="459" t="s">
        <v>885</v>
      </c>
      <c r="CK3474" s="459" t="s">
        <v>885</v>
      </c>
      <c r="CL3474" s="459" t="s">
        <v>885</v>
      </c>
      <c r="CM3474" s="459" t="s">
        <v>885</v>
      </c>
      <c r="CN3474" s="459" t="s">
        <v>885</v>
      </c>
      <c r="CO3474" s="459" t="s">
        <v>885</v>
      </c>
      <c r="CP3474" s="459" t="s">
        <v>885</v>
      </c>
      <c r="CQ3474" s="459" t="s">
        <v>885</v>
      </c>
      <c r="CR3474" s="459" t="s">
        <v>885</v>
      </c>
      <c r="CS3474" s="459" t="s">
        <v>885</v>
      </c>
      <c r="CT3474" s="245" t="s">
        <v>885</v>
      </c>
      <c r="CU3474" s="463" t="s">
        <v>885</v>
      </c>
      <c r="CV3474" s="245" t="s">
        <v>885</v>
      </c>
      <c r="CW3474" s="245" t="s">
        <v>885</v>
      </c>
      <c r="CX3474" s="459" t="s">
        <v>885</v>
      </c>
      <c r="CY3474" s="459" t="s">
        <v>885</v>
      </c>
      <c r="CZ3474" s="459" t="s">
        <v>885</v>
      </c>
      <c r="DA3474" s="459" t="s">
        <v>885</v>
      </c>
      <c r="DB3474" s="459" t="s">
        <v>885</v>
      </c>
      <c r="DC3474" s="459" t="s">
        <v>885</v>
      </c>
      <c r="DD3474" s="459" t="s">
        <v>885</v>
      </c>
      <c r="DE3474" s="459" t="s">
        <v>885</v>
      </c>
      <c r="DF3474" s="459" t="s">
        <v>885</v>
      </c>
      <c r="DG3474" s="459" t="s">
        <v>885</v>
      </c>
      <c r="DH3474" s="459" t="s">
        <v>885</v>
      </c>
      <c r="DI3474" s="459" t="s">
        <v>885</v>
      </c>
      <c r="DJ3474" s="459" t="s">
        <v>885</v>
      </c>
      <c r="DK3474" s="459" t="s">
        <v>885</v>
      </c>
      <c r="DL3474" s="459" t="s">
        <v>885</v>
      </c>
      <c r="DM3474" s="459" t="s">
        <v>885</v>
      </c>
      <c r="DN3474" s="459" t="s">
        <v>885</v>
      </c>
      <c r="DO3474" s="459" t="s">
        <v>885</v>
      </c>
      <c r="DP3474" t="s">
        <v>2655</v>
      </c>
      <c r="DQ3474" s="459" t="s">
        <v>885</v>
      </c>
      <c r="DR3474" s="459" t="s">
        <v>885</v>
      </c>
      <c r="DS3474" s="459" t="s">
        <v>885</v>
      </c>
      <c r="DT3474" s="459" t="s">
        <v>885</v>
      </c>
      <c r="DU3474" s="459" t="s">
        <v>885</v>
      </c>
      <c r="DV3474" s="459" t="s">
        <v>885</v>
      </c>
      <c r="DW3474" s="459" t="s">
        <v>885</v>
      </c>
      <c r="DX3474" s="245" t="s">
        <v>885</v>
      </c>
      <c r="DY3474" s="245"/>
      <c r="DZ3474" s="470" t="str">
        <f t="shared" si="180"/>
        <v/>
      </c>
      <c r="EA3474" s="470" t="str">
        <f t="shared" si="181"/>
        <v/>
      </c>
      <c r="EB3474" s="459" t="s">
        <v>885</v>
      </c>
    </row>
    <row r="3475" spans="1:132" ht="16" hidden="1" x14ac:dyDescent="0.4">
      <c r="A3475" s="813"/>
      <c r="BB3475" s="48"/>
      <c r="BS3475" s="464" t="str">
        <f t="shared" si="182"/>
        <v/>
      </c>
      <c r="BZ3475" s="245" t="s">
        <v>885</v>
      </c>
      <c r="CA3475" s="245" t="s">
        <v>885</v>
      </c>
      <c r="CC3475" s="245" t="s">
        <v>885</v>
      </c>
      <c r="CD3475" s="459" t="s">
        <v>885</v>
      </c>
      <c r="CE3475" s="459" t="s">
        <v>885</v>
      </c>
      <c r="CF3475" s="245" t="s">
        <v>885</v>
      </c>
      <c r="CG3475" s="245" t="s">
        <v>885</v>
      </c>
      <c r="CH3475" s="245" t="s">
        <v>885</v>
      </c>
      <c r="CI3475" s="245" t="s">
        <v>885</v>
      </c>
      <c r="CJ3475" s="459" t="s">
        <v>885</v>
      </c>
      <c r="CK3475" s="459" t="s">
        <v>885</v>
      </c>
      <c r="CL3475" s="459" t="s">
        <v>885</v>
      </c>
      <c r="CM3475" s="459" t="s">
        <v>885</v>
      </c>
      <c r="CN3475" s="459" t="s">
        <v>885</v>
      </c>
      <c r="CO3475" s="459" t="s">
        <v>885</v>
      </c>
      <c r="CP3475" s="459" t="s">
        <v>885</v>
      </c>
      <c r="CQ3475" s="459" t="s">
        <v>885</v>
      </c>
      <c r="CR3475" s="459" t="s">
        <v>885</v>
      </c>
      <c r="CS3475" s="459" t="s">
        <v>885</v>
      </c>
      <c r="CT3475" s="245" t="s">
        <v>885</v>
      </c>
      <c r="CU3475" s="463" t="s">
        <v>885</v>
      </c>
      <c r="CV3475" s="245" t="s">
        <v>885</v>
      </c>
      <c r="CW3475" s="245" t="s">
        <v>885</v>
      </c>
      <c r="CX3475" s="459" t="s">
        <v>885</v>
      </c>
      <c r="CY3475" s="459" t="s">
        <v>885</v>
      </c>
      <c r="CZ3475" s="459" t="s">
        <v>885</v>
      </c>
      <c r="DA3475" s="459" t="s">
        <v>885</v>
      </c>
      <c r="DB3475" s="459" t="s">
        <v>885</v>
      </c>
      <c r="DC3475" s="459" t="s">
        <v>885</v>
      </c>
      <c r="DD3475" s="459" t="s">
        <v>885</v>
      </c>
      <c r="DE3475" s="459" t="s">
        <v>885</v>
      </c>
      <c r="DF3475" s="459" t="s">
        <v>885</v>
      </c>
      <c r="DG3475" s="459" t="s">
        <v>885</v>
      </c>
      <c r="DH3475" s="459" t="s">
        <v>885</v>
      </c>
      <c r="DI3475" s="459" t="s">
        <v>885</v>
      </c>
      <c r="DJ3475" s="459" t="s">
        <v>885</v>
      </c>
      <c r="DK3475" s="459" t="s">
        <v>885</v>
      </c>
      <c r="DL3475" s="459" t="s">
        <v>885</v>
      </c>
      <c r="DM3475" s="459" t="s">
        <v>885</v>
      </c>
      <c r="DN3475" s="459" t="s">
        <v>885</v>
      </c>
      <c r="DO3475" s="459" t="s">
        <v>885</v>
      </c>
      <c r="DP3475" t="s">
        <v>2073</v>
      </c>
      <c r="DQ3475" s="459" t="s">
        <v>885</v>
      </c>
      <c r="DR3475" s="459" t="s">
        <v>885</v>
      </c>
      <c r="DS3475" s="459" t="s">
        <v>885</v>
      </c>
      <c r="DT3475" s="459" t="s">
        <v>885</v>
      </c>
      <c r="DU3475" s="459" t="s">
        <v>885</v>
      </c>
      <c r="DV3475" s="459" t="s">
        <v>885</v>
      </c>
      <c r="DW3475" s="459" t="s">
        <v>885</v>
      </c>
      <c r="DX3475" s="245" t="s">
        <v>885</v>
      </c>
      <c r="DY3475" s="245"/>
      <c r="DZ3475" s="470" t="str">
        <f t="shared" si="180"/>
        <v/>
      </c>
      <c r="EA3475" s="470" t="str">
        <f t="shared" si="181"/>
        <v/>
      </c>
      <c r="EB3475" s="459" t="s">
        <v>885</v>
      </c>
    </row>
    <row r="3476" spans="1:132" ht="16" hidden="1" x14ac:dyDescent="0.4">
      <c r="A3476" s="813"/>
      <c r="BB3476" s="48"/>
      <c r="BS3476" s="464" t="str">
        <f t="shared" si="182"/>
        <v/>
      </c>
      <c r="BZ3476" s="245" t="s">
        <v>885</v>
      </c>
      <c r="CA3476" s="245" t="s">
        <v>885</v>
      </c>
      <c r="CC3476" s="245" t="s">
        <v>885</v>
      </c>
      <c r="CD3476" s="459" t="s">
        <v>885</v>
      </c>
      <c r="CE3476" s="459" t="s">
        <v>885</v>
      </c>
      <c r="CF3476" s="245" t="s">
        <v>885</v>
      </c>
      <c r="CG3476" s="245" t="s">
        <v>885</v>
      </c>
      <c r="CH3476" s="245" t="s">
        <v>885</v>
      </c>
      <c r="CI3476" s="245" t="s">
        <v>885</v>
      </c>
      <c r="CJ3476" s="459" t="s">
        <v>885</v>
      </c>
      <c r="CK3476" s="459" t="s">
        <v>885</v>
      </c>
      <c r="CL3476" s="459" t="s">
        <v>885</v>
      </c>
      <c r="CM3476" s="459" t="s">
        <v>885</v>
      </c>
      <c r="CN3476" s="459" t="s">
        <v>885</v>
      </c>
      <c r="CO3476" s="459" t="s">
        <v>885</v>
      </c>
      <c r="CP3476" s="459" t="s">
        <v>885</v>
      </c>
      <c r="CQ3476" s="459" t="s">
        <v>885</v>
      </c>
      <c r="CR3476" s="459" t="s">
        <v>885</v>
      </c>
      <c r="CS3476" s="459" t="s">
        <v>885</v>
      </c>
      <c r="CT3476" s="245" t="s">
        <v>885</v>
      </c>
      <c r="CU3476" s="463" t="s">
        <v>885</v>
      </c>
      <c r="CV3476" s="245" t="s">
        <v>885</v>
      </c>
      <c r="CW3476" s="245" t="s">
        <v>885</v>
      </c>
      <c r="CX3476" s="459" t="s">
        <v>885</v>
      </c>
      <c r="CY3476" s="459" t="s">
        <v>885</v>
      </c>
      <c r="CZ3476" s="459" t="s">
        <v>885</v>
      </c>
      <c r="DA3476" s="459" t="s">
        <v>885</v>
      </c>
      <c r="DB3476" s="459" t="s">
        <v>885</v>
      </c>
      <c r="DC3476" s="459" t="s">
        <v>885</v>
      </c>
      <c r="DD3476" s="459" t="s">
        <v>885</v>
      </c>
      <c r="DE3476" s="459" t="s">
        <v>885</v>
      </c>
      <c r="DF3476" s="459" t="s">
        <v>885</v>
      </c>
      <c r="DG3476" s="459" t="s">
        <v>885</v>
      </c>
      <c r="DH3476" s="459" t="s">
        <v>885</v>
      </c>
      <c r="DI3476" s="459" t="s">
        <v>885</v>
      </c>
      <c r="DJ3476" s="459" t="s">
        <v>885</v>
      </c>
      <c r="DK3476" s="459" t="s">
        <v>885</v>
      </c>
      <c r="DL3476" s="459" t="s">
        <v>885</v>
      </c>
      <c r="DM3476" s="459" t="s">
        <v>885</v>
      </c>
      <c r="DN3476" s="459" t="s">
        <v>885</v>
      </c>
      <c r="DO3476" s="459" t="s">
        <v>885</v>
      </c>
      <c r="DP3476" t="s">
        <v>3032</v>
      </c>
      <c r="DQ3476" s="459" t="s">
        <v>885</v>
      </c>
      <c r="DR3476" s="459" t="s">
        <v>885</v>
      </c>
      <c r="DS3476" s="459" t="s">
        <v>885</v>
      </c>
      <c r="DT3476" s="459" t="s">
        <v>885</v>
      </c>
      <c r="DU3476" s="459" t="s">
        <v>885</v>
      </c>
      <c r="DV3476" s="459" t="s">
        <v>885</v>
      </c>
      <c r="DW3476" s="459" t="s">
        <v>885</v>
      </c>
      <c r="DX3476" s="245" t="s">
        <v>885</v>
      </c>
      <c r="DY3476" s="245"/>
      <c r="DZ3476" s="470" t="str">
        <f t="shared" si="180"/>
        <v/>
      </c>
      <c r="EA3476" s="470" t="str">
        <f t="shared" si="181"/>
        <v/>
      </c>
      <c r="EB3476" s="459" t="s">
        <v>885</v>
      </c>
    </row>
    <row r="3477" spans="1:132" ht="16" hidden="1" x14ac:dyDescent="0.4">
      <c r="A3477" s="813"/>
      <c r="BB3477" s="48"/>
      <c r="BS3477" s="464" t="str">
        <f t="shared" si="182"/>
        <v/>
      </c>
      <c r="BZ3477" s="245" t="s">
        <v>885</v>
      </c>
      <c r="CA3477" s="245" t="s">
        <v>885</v>
      </c>
      <c r="CC3477" s="245" t="s">
        <v>885</v>
      </c>
      <c r="CD3477" s="459" t="s">
        <v>885</v>
      </c>
      <c r="CE3477" s="459" t="s">
        <v>885</v>
      </c>
      <c r="CF3477" s="245" t="s">
        <v>885</v>
      </c>
      <c r="CG3477" s="245" t="s">
        <v>885</v>
      </c>
      <c r="CH3477" s="245" t="s">
        <v>885</v>
      </c>
      <c r="CI3477" s="245" t="s">
        <v>885</v>
      </c>
      <c r="CJ3477" s="459" t="s">
        <v>885</v>
      </c>
      <c r="CK3477" s="459" t="s">
        <v>885</v>
      </c>
      <c r="CL3477" s="459" t="s">
        <v>885</v>
      </c>
      <c r="CM3477" s="459" t="s">
        <v>885</v>
      </c>
      <c r="CN3477" s="459" t="s">
        <v>885</v>
      </c>
      <c r="CO3477" s="459" t="s">
        <v>885</v>
      </c>
      <c r="CP3477" s="459" t="s">
        <v>885</v>
      </c>
      <c r="CQ3477" s="459" t="s">
        <v>885</v>
      </c>
      <c r="CR3477" s="459" t="s">
        <v>885</v>
      </c>
      <c r="CS3477" s="459" t="s">
        <v>885</v>
      </c>
      <c r="CT3477" s="245" t="s">
        <v>885</v>
      </c>
      <c r="CU3477" s="463" t="s">
        <v>885</v>
      </c>
      <c r="CV3477" s="245" t="s">
        <v>885</v>
      </c>
      <c r="CW3477" s="245" t="s">
        <v>885</v>
      </c>
      <c r="CX3477" s="459" t="s">
        <v>885</v>
      </c>
      <c r="CY3477" s="459" t="s">
        <v>885</v>
      </c>
      <c r="CZ3477" s="459" t="s">
        <v>885</v>
      </c>
      <c r="DA3477" s="459" t="s">
        <v>885</v>
      </c>
      <c r="DB3477" s="459" t="s">
        <v>885</v>
      </c>
      <c r="DC3477" s="459" t="s">
        <v>885</v>
      </c>
      <c r="DD3477" s="459" t="s">
        <v>885</v>
      </c>
      <c r="DE3477" s="459" t="s">
        <v>885</v>
      </c>
      <c r="DF3477" s="459" t="s">
        <v>885</v>
      </c>
      <c r="DG3477" s="459" t="s">
        <v>885</v>
      </c>
      <c r="DH3477" s="459" t="s">
        <v>885</v>
      </c>
      <c r="DI3477" s="459" t="s">
        <v>885</v>
      </c>
      <c r="DJ3477" s="459" t="s">
        <v>885</v>
      </c>
      <c r="DK3477" s="459" t="s">
        <v>885</v>
      </c>
      <c r="DL3477" s="459" t="s">
        <v>885</v>
      </c>
      <c r="DM3477" s="459" t="s">
        <v>885</v>
      </c>
      <c r="DN3477" s="459" t="s">
        <v>885</v>
      </c>
      <c r="DO3477" s="459" t="s">
        <v>885</v>
      </c>
      <c r="DP3477" t="s">
        <v>3033</v>
      </c>
      <c r="DQ3477" s="459" t="s">
        <v>885</v>
      </c>
      <c r="DR3477" s="459" t="s">
        <v>885</v>
      </c>
      <c r="DS3477" s="459" t="s">
        <v>885</v>
      </c>
      <c r="DT3477" s="459" t="s">
        <v>885</v>
      </c>
      <c r="DU3477" s="459" t="s">
        <v>885</v>
      </c>
      <c r="DV3477" s="459" t="s">
        <v>885</v>
      </c>
      <c r="DW3477" s="459" t="s">
        <v>885</v>
      </c>
      <c r="DX3477" s="245" t="s">
        <v>885</v>
      </c>
      <c r="DY3477" s="245"/>
      <c r="DZ3477" s="470" t="str">
        <f t="shared" si="180"/>
        <v/>
      </c>
      <c r="EA3477" s="470" t="str">
        <f t="shared" si="181"/>
        <v/>
      </c>
      <c r="EB3477" s="459" t="s">
        <v>885</v>
      </c>
    </row>
    <row r="3478" spans="1:132" ht="16" hidden="1" x14ac:dyDescent="0.4">
      <c r="A3478" s="813"/>
      <c r="BB3478" s="48"/>
      <c r="BS3478" s="464" t="str">
        <f t="shared" si="182"/>
        <v/>
      </c>
      <c r="BZ3478" s="245" t="s">
        <v>885</v>
      </c>
      <c r="CA3478" s="245" t="s">
        <v>885</v>
      </c>
      <c r="CC3478" s="245" t="s">
        <v>885</v>
      </c>
      <c r="CD3478" s="459" t="s">
        <v>885</v>
      </c>
      <c r="CE3478" s="459" t="s">
        <v>885</v>
      </c>
      <c r="CF3478" s="245" t="s">
        <v>885</v>
      </c>
      <c r="CG3478" s="245" t="s">
        <v>885</v>
      </c>
      <c r="CH3478" s="245" t="s">
        <v>885</v>
      </c>
      <c r="CI3478" s="245" t="s">
        <v>885</v>
      </c>
      <c r="CJ3478" s="459" t="s">
        <v>885</v>
      </c>
      <c r="CK3478" s="459" t="s">
        <v>885</v>
      </c>
      <c r="CL3478" s="459" t="s">
        <v>885</v>
      </c>
      <c r="CM3478" s="459" t="s">
        <v>885</v>
      </c>
      <c r="CN3478" s="459" t="s">
        <v>885</v>
      </c>
      <c r="CO3478" s="459" t="s">
        <v>885</v>
      </c>
      <c r="CP3478" s="459" t="s">
        <v>885</v>
      </c>
      <c r="CQ3478" s="459" t="s">
        <v>885</v>
      </c>
      <c r="CR3478" s="459" t="s">
        <v>885</v>
      </c>
      <c r="CS3478" s="459" t="s">
        <v>885</v>
      </c>
      <c r="CT3478" s="245" t="s">
        <v>885</v>
      </c>
      <c r="CU3478" s="463" t="s">
        <v>885</v>
      </c>
      <c r="CV3478" s="245" t="s">
        <v>885</v>
      </c>
      <c r="CW3478" s="245" t="s">
        <v>885</v>
      </c>
      <c r="CX3478" s="459" t="s">
        <v>885</v>
      </c>
      <c r="CY3478" s="459" t="s">
        <v>885</v>
      </c>
      <c r="CZ3478" s="459" t="s">
        <v>885</v>
      </c>
      <c r="DA3478" s="459" t="s">
        <v>885</v>
      </c>
      <c r="DB3478" s="459" t="s">
        <v>885</v>
      </c>
      <c r="DC3478" s="459" t="s">
        <v>885</v>
      </c>
      <c r="DD3478" s="459" t="s">
        <v>885</v>
      </c>
      <c r="DE3478" s="459" t="s">
        <v>885</v>
      </c>
      <c r="DF3478" s="459" t="s">
        <v>885</v>
      </c>
      <c r="DG3478" s="459" t="s">
        <v>885</v>
      </c>
      <c r="DH3478" s="459" t="s">
        <v>885</v>
      </c>
      <c r="DI3478" s="459" t="s">
        <v>885</v>
      </c>
      <c r="DJ3478" s="459" t="s">
        <v>885</v>
      </c>
      <c r="DK3478" s="459" t="s">
        <v>885</v>
      </c>
      <c r="DL3478" s="459" t="s">
        <v>885</v>
      </c>
      <c r="DM3478" s="459" t="s">
        <v>885</v>
      </c>
      <c r="DN3478" s="459" t="s">
        <v>885</v>
      </c>
      <c r="DO3478" s="459" t="s">
        <v>885</v>
      </c>
      <c r="DP3478" t="s">
        <v>3034</v>
      </c>
      <c r="DQ3478" s="459" t="s">
        <v>885</v>
      </c>
      <c r="DR3478" s="459" t="s">
        <v>885</v>
      </c>
      <c r="DS3478" s="459" t="s">
        <v>885</v>
      </c>
      <c r="DT3478" s="459" t="s">
        <v>885</v>
      </c>
      <c r="DU3478" s="459" t="s">
        <v>885</v>
      </c>
      <c r="DV3478" s="459" t="s">
        <v>885</v>
      </c>
      <c r="DW3478" s="459" t="s">
        <v>885</v>
      </c>
      <c r="DX3478" s="245" t="s">
        <v>885</v>
      </c>
      <c r="DY3478" s="245"/>
      <c r="DZ3478" s="470" t="str">
        <f t="shared" si="180"/>
        <v/>
      </c>
      <c r="EA3478" s="470" t="str">
        <f t="shared" si="181"/>
        <v/>
      </c>
      <c r="EB3478" s="459" t="s">
        <v>885</v>
      </c>
    </row>
    <row r="3479" spans="1:132" ht="16" hidden="1" x14ac:dyDescent="0.4">
      <c r="A3479" s="813"/>
      <c r="BB3479" s="48"/>
      <c r="BS3479" s="464" t="str">
        <f t="shared" si="182"/>
        <v/>
      </c>
      <c r="BZ3479" s="245" t="s">
        <v>885</v>
      </c>
      <c r="CA3479" s="245" t="s">
        <v>885</v>
      </c>
      <c r="CC3479" s="245" t="s">
        <v>885</v>
      </c>
      <c r="CD3479" s="459" t="s">
        <v>885</v>
      </c>
      <c r="CE3479" s="459" t="s">
        <v>885</v>
      </c>
      <c r="CF3479" s="245" t="s">
        <v>885</v>
      </c>
      <c r="CG3479" s="245" t="s">
        <v>885</v>
      </c>
      <c r="CH3479" s="245" t="s">
        <v>885</v>
      </c>
      <c r="CI3479" s="245" t="s">
        <v>885</v>
      </c>
      <c r="CJ3479" s="459" t="s">
        <v>885</v>
      </c>
      <c r="CK3479" s="459" t="s">
        <v>885</v>
      </c>
      <c r="CL3479" s="459" t="s">
        <v>885</v>
      </c>
      <c r="CM3479" s="459" t="s">
        <v>885</v>
      </c>
      <c r="CN3479" s="459" t="s">
        <v>885</v>
      </c>
      <c r="CO3479" s="459" t="s">
        <v>885</v>
      </c>
      <c r="CP3479" s="459" t="s">
        <v>885</v>
      </c>
      <c r="CQ3479" s="459" t="s">
        <v>885</v>
      </c>
      <c r="CR3479" s="459" t="s">
        <v>885</v>
      </c>
      <c r="CS3479" s="459" t="s">
        <v>885</v>
      </c>
      <c r="CT3479" s="245" t="s">
        <v>885</v>
      </c>
      <c r="CU3479" s="463" t="s">
        <v>885</v>
      </c>
      <c r="CV3479" s="245" t="s">
        <v>885</v>
      </c>
      <c r="CW3479" s="245" t="s">
        <v>885</v>
      </c>
      <c r="CX3479" s="459" t="s">
        <v>885</v>
      </c>
      <c r="CY3479" s="459" t="s">
        <v>885</v>
      </c>
      <c r="CZ3479" s="459" t="s">
        <v>885</v>
      </c>
      <c r="DA3479" s="459" t="s">
        <v>885</v>
      </c>
      <c r="DB3479" s="459" t="s">
        <v>885</v>
      </c>
      <c r="DC3479" s="459" t="s">
        <v>885</v>
      </c>
      <c r="DD3479" s="459" t="s">
        <v>885</v>
      </c>
      <c r="DE3479" s="459" t="s">
        <v>885</v>
      </c>
      <c r="DF3479" s="459" t="s">
        <v>885</v>
      </c>
      <c r="DG3479" s="459" t="s">
        <v>885</v>
      </c>
      <c r="DH3479" s="459" t="s">
        <v>885</v>
      </c>
      <c r="DI3479" s="459" t="s">
        <v>885</v>
      </c>
      <c r="DJ3479" s="459" t="s">
        <v>885</v>
      </c>
      <c r="DK3479" s="459" t="s">
        <v>885</v>
      </c>
      <c r="DL3479" s="459" t="s">
        <v>885</v>
      </c>
      <c r="DM3479" s="459" t="s">
        <v>885</v>
      </c>
      <c r="DN3479" s="459" t="s">
        <v>885</v>
      </c>
      <c r="DO3479" s="459" t="s">
        <v>885</v>
      </c>
      <c r="DP3479" t="s">
        <v>1563</v>
      </c>
      <c r="DQ3479" s="459" t="s">
        <v>885</v>
      </c>
      <c r="DR3479" s="459" t="s">
        <v>885</v>
      </c>
      <c r="DS3479" s="459" t="s">
        <v>885</v>
      </c>
      <c r="DT3479" s="459" t="s">
        <v>885</v>
      </c>
      <c r="DU3479" s="459" t="s">
        <v>885</v>
      </c>
      <c r="DV3479" s="459" t="s">
        <v>885</v>
      </c>
      <c r="DW3479" s="459" t="s">
        <v>885</v>
      </c>
      <c r="DX3479" s="245" t="s">
        <v>885</v>
      </c>
      <c r="DY3479" s="245"/>
      <c r="DZ3479" s="470" t="str">
        <f t="shared" si="180"/>
        <v/>
      </c>
      <c r="EA3479" s="470" t="str">
        <f t="shared" si="181"/>
        <v/>
      </c>
      <c r="EB3479" s="459" t="s">
        <v>885</v>
      </c>
    </row>
    <row r="3480" spans="1:132" ht="16" hidden="1" x14ac:dyDescent="0.4">
      <c r="A3480" s="813"/>
      <c r="BB3480" s="48"/>
      <c r="BS3480" s="464" t="str">
        <f t="shared" si="182"/>
        <v/>
      </c>
      <c r="BZ3480" s="245" t="s">
        <v>885</v>
      </c>
      <c r="CA3480" s="245" t="s">
        <v>885</v>
      </c>
      <c r="CC3480" s="245" t="s">
        <v>885</v>
      </c>
      <c r="CD3480" s="459" t="s">
        <v>885</v>
      </c>
      <c r="CE3480" s="459" t="s">
        <v>885</v>
      </c>
      <c r="CF3480" s="245" t="s">
        <v>885</v>
      </c>
      <c r="CG3480" s="245" t="s">
        <v>885</v>
      </c>
      <c r="CH3480" s="245" t="s">
        <v>885</v>
      </c>
      <c r="CI3480" s="245" t="s">
        <v>885</v>
      </c>
      <c r="CJ3480" s="459" t="s">
        <v>885</v>
      </c>
      <c r="CK3480" s="459" t="s">
        <v>885</v>
      </c>
      <c r="CL3480" s="459" t="s">
        <v>885</v>
      </c>
      <c r="CM3480" s="459" t="s">
        <v>885</v>
      </c>
      <c r="CN3480" s="459" t="s">
        <v>885</v>
      </c>
      <c r="CO3480" s="459" t="s">
        <v>885</v>
      </c>
      <c r="CP3480" s="459" t="s">
        <v>885</v>
      </c>
      <c r="CQ3480" s="459" t="s">
        <v>885</v>
      </c>
      <c r="CR3480" s="459" t="s">
        <v>885</v>
      </c>
      <c r="CS3480" s="459" t="s">
        <v>885</v>
      </c>
      <c r="CT3480" s="245" t="s">
        <v>885</v>
      </c>
      <c r="CU3480" s="463" t="s">
        <v>885</v>
      </c>
      <c r="CV3480" s="245" t="s">
        <v>885</v>
      </c>
      <c r="CW3480" s="245" t="s">
        <v>885</v>
      </c>
      <c r="CX3480" s="459" t="s">
        <v>885</v>
      </c>
      <c r="CY3480" s="459" t="s">
        <v>885</v>
      </c>
      <c r="CZ3480" s="459" t="s">
        <v>885</v>
      </c>
      <c r="DA3480" s="459" t="s">
        <v>885</v>
      </c>
      <c r="DB3480" s="459" t="s">
        <v>885</v>
      </c>
      <c r="DC3480" s="459" t="s">
        <v>885</v>
      </c>
      <c r="DD3480" s="459" t="s">
        <v>885</v>
      </c>
      <c r="DE3480" s="459" t="s">
        <v>885</v>
      </c>
      <c r="DF3480" s="459" t="s">
        <v>885</v>
      </c>
      <c r="DG3480" s="459" t="s">
        <v>885</v>
      </c>
      <c r="DH3480" s="459" t="s">
        <v>885</v>
      </c>
      <c r="DI3480" s="459" t="s">
        <v>885</v>
      </c>
      <c r="DJ3480" s="459" t="s">
        <v>885</v>
      </c>
      <c r="DK3480" s="459" t="s">
        <v>885</v>
      </c>
      <c r="DL3480" s="459" t="s">
        <v>885</v>
      </c>
      <c r="DM3480" s="459" t="s">
        <v>885</v>
      </c>
      <c r="DN3480" s="459" t="s">
        <v>885</v>
      </c>
      <c r="DO3480" s="459" t="s">
        <v>885</v>
      </c>
      <c r="DP3480" t="s">
        <v>3035</v>
      </c>
      <c r="DQ3480" s="459" t="s">
        <v>885</v>
      </c>
      <c r="DR3480" s="459" t="s">
        <v>885</v>
      </c>
      <c r="DS3480" s="459" t="s">
        <v>885</v>
      </c>
      <c r="DT3480" s="459" t="s">
        <v>885</v>
      </c>
      <c r="DU3480" s="459" t="s">
        <v>885</v>
      </c>
      <c r="DV3480" s="459" t="s">
        <v>885</v>
      </c>
      <c r="DW3480" s="459" t="s">
        <v>885</v>
      </c>
      <c r="DX3480" s="245" t="s">
        <v>885</v>
      </c>
      <c r="DY3480" s="245"/>
      <c r="DZ3480" s="470" t="str">
        <f t="shared" si="180"/>
        <v/>
      </c>
      <c r="EA3480" s="470" t="str">
        <f t="shared" si="181"/>
        <v/>
      </c>
      <c r="EB3480" s="459" t="s">
        <v>885</v>
      </c>
    </row>
    <row r="3481" spans="1:132" ht="16" hidden="1" x14ac:dyDescent="0.4">
      <c r="A3481" s="813"/>
      <c r="BB3481" s="48"/>
      <c r="BS3481" s="464" t="str">
        <f t="shared" si="182"/>
        <v/>
      </c>
      <c r="BZ3481" s="245" t="s">
        <v>885</v>
      </c>
      <c r="CA3481" s="245" t="s">
        <v>885</v>
      </c>
      <c r="CC3481" s="245" t="s">
        <v>885</v>
      </c>
      <c r="CD3481" s="459" t="s">
        <v>885</v>
      </c>
      <c r="CE3481" s="459" t="s">
        <v>885</v>
      </c>
      <c r="CF3481" s="245" t="s">
        <v>885</v>
      </c>
      <c r="CG3481" s="245" t="s">
        <v>885</v>
      </c>
      <c r="CH3481" s="245" t="s">
        <v>885</v>
      </c>
      <c r="CI3481" s="245" t="s">
        <v>885</v>
      </c>
      <c r="CJ3481" s="459" t="s">
        <v>885</v>
      </c>
      <c r="CK3481" s="459" t="s">
        <v>885</v>
      </c>
      <c r="CL3481" s="459" t="s">
        <v>885</v>
      </c>
      <c r="CM3481" s="459" t="s">
        <v>885</v>
      </c>
      <c r="CN3481" s="459" t="s">
        <v>885</v>
      </c>
      <c r="CO3481" s="459" t="s">
        <v>885</v>
      </c>
      <c r="CP3481" s="459" t="s">
        <v>885</v>
      </c>
      <c r="CQ3481" s="459" t="s">
        <v>885</v>
      </c>
      <c r="CR3481" s="459" t="s">
        <v>885</v>
      </c>
      <c r="CS3481" s="459" t="s">
        <v>885</v>
      </c>
      <c r="CT3481" s="245" t="s">
        <v>885</v>
      </c>
      <c r="CU3481" s="463" t="s">
        <v>885</v>
      </c>
      <c r="CV3481" s="245" t="s">
        <v>885</v>
      </c>
      <c r="CW3481" s="245" t="s">
        <v>885</v>
      </c>
      <c r="CX3481" s="459" t="s">
        <v>885</v>
      </c>
      <c r="CY3481" s="459" t="s">
        <v>885</v>
      </c>
      <c r="CZ3481" s="459" t="s">
        <v>885</v>
      </c>
      <c r="DA3481" s="459" t="s">
        <v>885</v>
      </c>
      <c r="DB3481" s="459" t="s">
        <v>885</v>
      </c>
      <c r="DC3481" s="459" t="s">
        <v>885</v>
      </c>
      <c r="DD3481" s="459" t="s">
        <v>885</v>
      </c>
      <c r="DE3481" s="459" t="s">
        <v>885</v>
      </c>
      <c r="DF3481" s="459" t="s">
        <v>885</v>
      </c>
      <c r="DG3481" s="459" t="s">
        <v>885</v>
      </c>
      <c r="DH3481" s="459" t="s">
        <v>885</v>
      </c>
      <c r="DI3481" s="459" t="s">
        <v>885</v>
      </c>
      <c r="DJ3481" s="459" t="s">
        <v>885</v>
      </c>
      <c r="DK3481" s="459" t="s">
        <v>885</v>
      </c>
      <c r="DL3481" s="459" t="s">
        <v>885</v>
      </c>
      <c r="DM3481" s="459" t="s">
        <v>885</v>
      </c>
      <c r="DN3481" s="459" t="s">
        <v>885</v>
      </c>
      <c r="DO3481" s="459" t="s">
        <v>885</v>
      </c>
      <c r="DP3481" t="s">
        <v>3036</v>
      </c>
      <c r="DQ3481" s="459" t="s">
        <v>885</v>
      </c>
      <c r="DR3481" s="459" t="s">
        <v>885</v>
      </c>
      <c r="DS3481" s="459" t="s">
        <v>885</v>
      </c>
      <c r="DT3481" s="459" t="s">
        <v>885</v>
      </c>
      <c r="DU3481" s="459" t="s">
        <v>885</v>
      </c>
      <c r="DV3481" s="459" t="s">
        <v>885</v>
      </c>
      <c r="DW3481" s="459" t="s">
        <v>885</v>
      </c>
      <c r="DX3481" s="245" t="s">
        <v>885</v>
      </c>
      <c r="DY3481" s="245"/>
      <c r="DZ3481" s="470" t="str">
        <f t="shared" si="180"/>
        <v/>
      </c>
      <c r="EA3481" s="470" t="str">
        <f t="shared" si="181"/>
        <v/>
      </c>
      <c r="EB3481" s="459" t="s">
        <v>885</v>
      </c>
    </row>
    <row r="3482" spans="1:132" ht="16" hidden="1" x14ac:dyDescent="0.4">
      <c r="A3482" s="813"/>
      <c r="BB3482" s="48"/>
      <c r="BS3482" s="464" t="str">
        <f t="shared" si="182"/>
        <v/>
      </c>
      <c r="BZ3482" s="245" t="s">
        <v>885</v>
      </c>
      <c r="CA3482" s="245" t="s">
        <v>885</v>
      </c>
      <c r="CC3482" s="245" t="s">
        <v>885</v>
      </c>
      <c r="CD3482" s="459" t="s">
        <v>885</v>
      </c>
      <c r="CE3482" s="459" t="s">
        <v>885</v>
      </c>
      <c r="CF3482" s="245" t="s">
        <v>885</v>
      </c>
      <c r="CG3482" s="245" t="s">
        <v>885</v>
      </c>
      <c r="CH3482" s="245" t="s">
        <v>885</v>
      </c>
      <c r="CI3482" s="245" t="s">
        <v>885</v>
      </c>
      <c r="CJ3482" s="459" t="s">
        <v>885</v>
      </c>
      <c r="CK3482" s="459" t="s">
        <v>885</v>
      </c>
      <c r="CL3482" s="459" t="s">
        <v>885</v>
      </c>
      <c r="CM3482" s="459" t="s">
        <v>885</v>
      </c>
      <c r="CN3482" s="459" t="s">
        <v>885</v>
      </c>
      <c r="CO3482" s="459" t="s">
        <v>885</v>
      </c>
      <c r="CP3482" s="459" t="s">
        <v>885</v>
      </c>
      <c r="CQ3482" s="459" t="s">
        <v>885</v>
      </c>
      <c r="CR3482" s="459" t="s">
        <v>885</v>
      </c>
      <c r="CS3482" s="459" t="s">
        <v>885</v>
      </c>
      <c r="CT3482" s="245" t="s">
        <v>885</v>
      </c>
      <c r="CU3482" s="463" t="s">
        <v>885</v>
      </c>
      <c r="CV3482" s="245" t="s">
        <v>885</v>
      </c>
      <c r="CW3482" s="245" t="s">
        <v>885</v>
      </c>
      <c r="CX3482" s="459" t="s">
        <v>885</v>
      </c>
      <c r="CY3482" s="459" t="s">
        <v>885</v>
      </c>
      <c r="CZ3482" s="459" t="s">
        <v>885</v>
      </c>
      <c r="DA3482" s="459" t="s">
        <v>885</v>
      </c>
      <c r="DB3482" s="459" t="s">
        <v>885</v>
      </c>
      <c r="DC3482" s="459" t="s">
        <v>885</v>
      </c>
      <c r="DD3482" s="459" t="s">
        <v>885</v>
      </c>
      <c r="DE3482" s="459" t="s">
        <v>885</v>
      </c>
      <c r="DF3482" s="459" t="s">
        <v>885</v>
      </c>
      <c r="DG3482" s="459" t="s">
        <v>885</v>
      </c>
      <c r="DH3482" s="459" t="s">
        <v>885</v>
      </c>
      <c r="DI3482" s="459" t="s">
        <v>885</v>
      </c>
      <c r="DJ3482" s="459" t="s">
        <v>885</v>
      </c>
      <c r="DK3482" s="459" t="s">
        <v>885</v>
      </c>
      <c r="DL3482" s="459" t="s">
        <v>885</v>
      </c>
      <c r="DM3482" s="459" t="s">
        <v>885</v>
      </c>
      <c r="DN3482" s="459" t="s">
        <v>885</v>
      </c>
      <c r="DO3482" s="459" t="s">
        <v>885</v>
      </c>
      <c r="DP3482" t="s">
        <v>3037</v>
      </c>
      <c r="DQ3482" s="459" t="s">
        <v>885</v>
      </c>
      <c r="DR3482" s="459" t="s">
        <v>885</v>
      </c>
      <c r="DS3482" s="459" t="s">
        <v>885</v>
      </c>
      <c r="DT3482" s="459" t="s">
        <v>885</v>
      </c>
      <c r="DU3482" s="459" t="s">
        <v>885</v>
      </c>
      <c r="DV3482" s="459" t="s">
        <v>885</v>
      </c>
      <c r="DW3482" s="459" t="s">
        <v>885</v>
      </c>
      <c r="DX3482" s="245" t="s">
        <v>885</v>
      </c>
      <c r="DY3482" s="245"/>
      <c r="DZ3482" s="470" t="str">
        <f t="shared" si="180"/>
        <v/>
      </c>
      <c r="EA3482" s="470" t="str">
        <f t="shared" si="181"/>
        <v/>
      </c>
      <c r="EB3482" s="459" t="s">
        <v>885</v>
      </c>
    </row>
    <row r="3483" spans="1:132" ht="16" hidden="1" x14ac:dyDescent="0.4">
      <c r="A3483" s="813"/>
      <c r="BS3483" s="464" t="str">
        <f t="shared" si="182"/>
        <v/>
      </c>
      <c r="BZ3483" s="245" t="s">
        <v>885</v>
      </c>
      <c r="CA3483" s="245" t="s">
        <v>885</v>
      </c>
      <c r="CC3483" s="245" t="s">
        <v>885</v>
      </c>
      <c r="CD3483" s="459" t="s">
        <v>885</v>
      </c>
      <c r="CE3483" s="459" t="s">
        <v>885</v>
      </c>
      <c r="CF3483" s="245" t="s">
        <v>885</v>
      </c>
      <c r="CG3483" s="245" t="s">
        <v>885</v>
      </c>
      <c r="CH3483" s="245" t="s">
        <v>885</v>
      </c>
      <c r="CI3483" s="245" t="s">
        <v>885</v>
      </c>
      <c r="CJ3483" s="459" t="s">
        <v>885</v>
      </c>
      <c r="CK3483" s="459" t="s">
        <v>885</v>
      </c>
      <c r="CL3483" s="459" t="s">
        <v>885</v>
      </c>
      <c r="CM3483" s="459" t="s">
        <v>885</v>
      </c>
      <c r="CN3483" s="459" t="s">
        <v>885</v>
      </c>
      <c r="CO3483" s="459" t="s">
        <v>885</v>
      </c>
      <c r="CP3483" s="459" t="s">
        <v>885</v>
      </c>
      <c r="CQ3483" s="459" t="s">
        <v>885</v>
      </c>
      <c r="CR3483" s="459" t="s">
        <v>885</v>
      </c>
      <c r="CS3483" s="459" t="s">
        <v>885</v>
      </c>
      <c r="CT3483" s="245" t="s">
        <v>885</v>
      </c>
      <c r="CU3483" s="463" t="s">
        <v>885</v>
      </c>
      <c r="CV3483" s="245" t="s">
        <v>885</v>
      </c>
      <c r="CW3483" s="245" t="s">
        <v>885</v>
      </c>
      <c r="CX3483" s="459" t="s">
        <v>885</v>
      </c>
      <c r="CY3483" s="459" t="s">
        <v>885</v>
      </c>
      <c r="CZ3483" s="459" t="s">
        <v>885</v>
      </c>
      <c r="DA3483" s="459" t="s">
        <v>885</v>
      </c>
      <c r="DB3483" s="459" t="s">
        <v>885</v>
      </c>
      <c r="DC3483" s="459" t="s">
        <v>885</v>
      </c>
      <c r="DD3483" s="459" t="s">
        <v>885</v>
      </c>
      <c r="DE3483" s="459" t="s">
        <v>885</v>
      </c>
      <c r="DF3483" s="459" t="s">
        <v>885</v>
      </c>
      <c r="DG3483" s="459" t="s">
        <v>885</v>
      </c>
      <c r="DH3483" s="459" t="s">
        <v>885</v>
      </c>
      <c r="DI3483" s="459" t="s">
        <v>885</v>
      </c>
      <c r="DJ3483" s="459" t="s">
        <v>885</v>
      </c>
      <c r="DK3483" s="459" t="s">
        <v>885</v>
      </c>
      <c r="DL3483" s="459" t="s">
        <v>885</v>
      </c>
      <c r="DM3483" s="459" t="s">
        <v>885</v>
      </c>
      <c r="DN3483" s="459" t="s">
        <v>885</v>
      </c>
      <c r="DO3483" s="459" t="s">
        <v>885</v>
      </c>
      <c r="DP3483" t="s">
        <v>2150</v>
      </c>
      <c r="DQ3483" s="459" t="s">
        <v>885</v>
      </c>
      <c r="DR3483" s="459" t="s">
        <v>885</v>
      </c>
      <c r="DS3483" s="459" t="s">
        <v>885</v>
      </c>
      <c r="DT3483" s="459" t="s">
        <v>885</v>
      </c>
      <c r="DU3483" s="459" t="s">
        <v>885</v>
      </c>
      <c r="DV3483" s="459" t="s">
        <v>885</v>
      </c>
      <c r="DW3483" s="459" t="s">
        <v>885</v>
      </c>
      <c r="DX3483" s="245" t="s">
        <v>885</v>
      </c>
      <c r="DY3483" s="245"/>
      <c r="DZ3483" s="470" t="str">
        <f t="shared" si="180"/>
        <v/>
      </c>
      <c r="EA3483" s="470" t="str">
        <f t="shared" si="181"/>
        <v/>
      </c>
      <c r="EB3483" s="459" t="s">
        <v>885</v>
      </c>
    </row>
    <row r="3484" spans="1:132" ht="16" hidden="1" x14ac:dyDescent="0.4">
      <c r="A3484" s="813"/>
      <c r="BB3484" s="48"/>
      <c r="BS3484" s="464" t="str">
        <f>IF($B$265=B$3281,BZ3483,IF($B$265=B$3282,CA3483,IF($B$265=B$3283,CB3483,IF($B$265=B$3284,CC3483,IF($B$265=B$3285,CD3483,IF($B$265=B$3286,CE3483,IF($B$265=B$3287,CF3483,IF($B$265=B$3288,CG3483,IF($B$265=B$3289,CH3483,IF($B$265=B$3290,CI3483,IF($B$265=B$3291,CJ3483,IF($B$265=B$3292,CK3483,IF($B$265=B$3293,CL3483,IF($B$265=B$3294,CM3483,IF($B$265=B$3295,CN3483,IF($B$265=B$3296,H2867,IF($B$265=B$3297,CO3483,IF($B$265=B$3298,CP3483,IF($B$265=B$3299,CQ3483,IF($B$265=B$3300,CR3483,IF($B$265=B$3301,CS3483,IF($B$265=B$3302,CT3483,IF(B$265=B$3303,CU3483,IF($B$265=B$3304,CV3483,IF($B$265=B$3305,CW3483,IF($B$265=B$3306,CX3483,IF($B$265=B$3307,CY3483,IF($B$265=B$3308,CZ3483,IF($B$265=B$3309,DA3483,IF($B$265=B$3310,DB3483,IF($B$265=B$3311,DC3483,IF($B$265=B$3312,DD3483,IF($B$265=B$3313,DE3483,IF($B$265=B$3314,DF3483,IF($B$265=B$3315,DG3483,IF($B$265=B$3316,DH3483,IF($B$265=B$3317,DI3483,IF($B$265=B$3318,DJ3483,IF($B$265=B$3319,DK3483,IF($B$265=B$3320,DL3483,IF($B$265=B$3321,DM3483,IF($B$265=B$3322,DN3483,IF($B$265=B$3323,DO3483,IF($B$265=B$3324,DP3483,IF($B$265=B$3325,DQ3483,IF($B$265=B$3326,DR3483,IF($B$265=B$3327,DS3483,IF($B$265=B$3328,DT3483,IF($B$265=B$3329,DU3483,IF($B$265=B$3330,DV3483,IF($B$265=B$3331,DW3483,IF($B$265=B$3332,DX3483,""))))))))))))))))))))))))))))))))))))))))))))))))))))</f>
        <v/>
      </c>
      <c r="BZ3484" s="245" t="s">
        <v>885</v>
      </c>
      <c r="CA3484" s="245" t="s">
        <v>885</v>
      </c>
      <c r="CC3484" s="245" t="s">
        <v>885</v>
      </c>
      <c r="CD3484" s="459" t="s">
        <v>885</v>
      </c>
      <c r="CE3484" s="459" t="s">
        <v>885</v>
      </c>
      <c r="CF3484" s="245" t="s">
        <v>885</v>
      </c>
      <c r="CG3484" s="245" t="s">
        <v>885</v>
      </c>
      <c r="CH3484" s="245" t="s">
        <v>885</v>
      </c>
      <c r="CI3484" s="245" t="s">
        <v>885</v>
      </c>
      <c r="CJ3484" s="459" t="s">
        <v>885</v>
      </c>
      <c r="CK3484" s="459" t="s">
        <v>885</v>
      </c>
      <c r="CL3484" s="459" t="s">
        <v>885</v>
      </c>
      <c r="CM3484" s="459" t="s">
        <v>885</v>
      </c>
      <c r="CN3484" s="459" t="s">
        <v>885</v>
      </c>
      <c r="CO3484" s="459" t="s">
        <v>885</v>
      </c>
      <c r="CP3484" s="459" t="s">
        <v>885</v>
      </c>
      <c r="CQ3484" s="459" t="s">
        <v>885</v>
      </c>
      <c r="CR3484" s="459" t="s">
        <v>885</v>
      </c>
      <c r="CS3484" s="459" t="s">
        <v>885</v>
      </c>
      <c r="CT3484" s="245" t="s">
        <v>885</v>
      </c>
      <c r="CU3484" s="463" t="s">
        <v>885</v>
      </c>
      <c r="CV3484" s="245" t="s">
        <v>885</v>
      </c>
      <c r="CW3484" s="245" t="s">
        <v>885</v>
      </c>
      <c r="CX3484" s="459" t="s">
        <v>885</v>
      </c>
      <c r="CY3484" s="459" t="s">
        <v>885</v>
      </c>
      <c r="CZ3484" s="459" t="s">
        <v>885</v>
      </c>
      <c r="DA3484" s="459" t="s">
        <v>885</v>
      </c>
      <c r="DB3484" s="459" t="s">
        <v>885</v>
      </c>
      <c r="DC3484" s="459" t="s">
        <v>885</v>
      </c>
      <c r="DD3484" s="459" t="s">
        <v>885</v>
      </c>
      <c r="DE3484" s="459" t="s">
        <v>885</v>
      </c>
      <c r="DF3484" s="459" t="s">
        <v>885</v>
      </c>
      <c r="DG3484" s="459" t="s">
        <v>885</v>
      </c>
      <c r="DH3484" s="459" t="s">
        <v>885</v>
      </c>
      <c r="DI3484" s="459" t="s">
        <v>885</v>
      </c>
      <c r="DJ3484" s="459" t="s">
        <v>885</v>
      </c>
      <c r="DK3484" s="459" t="s">
        <v>885</v>
      </c>
      <c r="DL3484" s="459" t="s">
        <v>885</v>
      </c>
      <c r="DM3484" s="459" t="s">
        <v>885</v>
      </c>
      <c r="DN3484" s="459" t="s">
        <v>885</v>
      </c>
      <c r="DO3484" s="459" t="s">
        <v>885</v>
      </c>
      <c r="DP3484" t="s">
        <v>1612</v>
      </c>
      <c r="DQ3484" s="459" t="s">
        <v>885</v>
      </c>
      <c r="DR3484" s="459" t="s">
        <v>885</v>
      </c>
      <c r="DS3484" s="459" t="s">
        <v>885</v>
      </c>
      <c r="DT3484" s="459" t="s">
        <v>885</v>
      </c>
      <c r="DU3484" s="459" t="s">
        <v>885</v>
      </c>
      <c r="DV3484" s="459" t="s">
        <v>885</v>
      </c>
      <c r="DW3484" s="459" t="s">
        <v>885</v>
      </c>
      <c r="DX3484" s="245" t="s">
        <v>885</v>
      </c>
      <c r="DY3484" s="245"/>
      <c r="DZ3484" s="470" t="str">
        <f t="shared" si="180"/>
        <v/>
      </c>
      <c r="EA3484" s="470" t="str">
        <f t="shared" si="181"/>
        <v/>
      </c>
      <c r="EB3484" s="459" t="s">
        <v>885</v>
      </c>
    </row>
    <row r="3485" spans="1:132" ht="16" hidden="1" x14ac:dyDescent="0.4">
      <c r="A3485" s="813"/>
      <c r="BB3485" s="48"/>
      <c r="BS3485" s="464" t="str">
        <f>IF($B$265=B$3281,BZ3484,IF($B$265=B$3282,CA3484,IF($B$265=B$3283,CB3484,IF($B$265=B$3284,CC3484,IF($B$265=B$3285,CD3484,IF($B$265=B$3286,CE3484,IF($B$265=B$3287,CF3484,IF($B$265=B$3288,CG3484,IF($B$265=B$3289,CH3484,IF($B$265=B$3290,CI3484,IF($B$265=B$3291,CJ3484,IF($B$265=B$3292,CK3484,IF($B$265=B$3293,CL3484,IF($B$265=B$3294,CM3484,IF($B$265=B$3295,CN3484,IF($B$265=B$3296,H2868,IF($B$265=B$3297,CO3484,IF($B$265=B$3298,CP3484,IF($B$265=B$3299,CQ3484,IF($B$265=B$3300,CR3484,IF($B$265=B$3301,CS3484,IF($B$265=B$3302,CT3484,IF(B$265=B$3303,CU3484,IF($B$265=B$3304,CV3484,IF($B$265=B$3305,CW3484,IF($B$265=B$3306,CX3484,IF($B$265=B$3307,CY3484,IF($B$265=B$3308,CZ3484,IF($B$265=B$3309,DA3484,IF($B$265=B$3310,DB3484,IF($B$265=B$3311,DC3484,IF($B$265=B$3312,DD3484,IF($B$265=B$3313,DE3484,IF($B$265=B$3314,DF3484,IF($B$265=B$3315,DG3484,IF($B$265=B$3316,DH3484,IF($B$265=B$3317,DI3484,IF($B$265=B$3318,DJ3484,IF($B$265=B$3319,DK3484,IF($B$265=B$3320,DL3484,IF($B$265=B$3321,DM3484,IF($B$265=B$3322,DN3484,IF($B$265=B$3323,DO3484,IF($B$265=B$3324,DP3484,IF($B$265=B$3325,DQ3484,IF($B$265=B$3326,DR3484,IF($B$265=B$3327,DS3484,IF($B$265=B$3328,DT3484,IF($B$265=B$3329,DU3484,IF($B$265=B$3330,DV3484,IF($B$265=B$3331,DW3484,IF($B$265=B$3332,DX3484,""))))))))))))))))))))))))))))))))))))))))))))))))))))</f>
        <v/>
      </c>
      <c r="BZ3485" s="245" t="s">
        <v>885</v>
      </c>
      <c r="CA3485" s="245" t="s">
        <v>885</v>
      </c>
      <c r="CC3485" s="245" t="s">
        <v>885</v>
      </c>
      <c r="CD3485" s="459" t="s">
        <v>885</v>
      </c>
      <c r="CE3485" s="459" t="s">
        <v>885</v>
      </c>
      <c r="CF3485" s="245" t="s">
        <v>885</v>
      </c>
      <c r="CG3485" s="245" t="s">
        <v>885</v>
      </c>
      <c r="CH3485" s="245" t="s">
        <v>885</v>
      </c>
      <c r="CI3485" s="245" t="s">
        <v>885</v>
      </c>
      <c r="CJ3485" s="459" t="s">
        <v>885</v>
      </c>
      <c r="CK3485" s="459" t="s">
        <v>885</v>
      </c>
      <c r="CL3485" s="459" t="s">
        <v>885</v>
      </c>
      <c r="CM3485" s="459" t="s">
        <v>885</v>
      </c>
      <c r="CN3485" s="459" t="s">
        <v>885</v>
      </c>
      <c r="CO3485" s="459" t="s">
        <v>885</v>
      </c>
      <c r="CP3485" s="459" t="s">
        <v>885</v>
      </c>
      <c r="CQ3485" s="459" t="s">
        <v>885</v>
      </c>
      <c r="CR3485" s="459" t="s">
        <v>885</v>
      </c>
      <c r="CS3485" s="459" t="s">
        <v>885</v>
      </c>
      <c r="CT3485" s="245" t="s">
        <v>885</v>
      </c>
      <c r="CU3485" s="463" t="s">
        <v>885</v>
      </c>
      <c r="CV3485" s="245" t="s">
        <v>885</v>
      </c>
      <c r="CW3485" s="245" t="s">
        <v>885</v>
      </c>
      <c r="CX3485" s="459" t="s">
        <v>885</v>
      </c>
      <c r="CY3485" s="459" t="s">
        <v>885</v>
      </c>
      <c r="CZ3485" s="459" t="s">
        <v>885</v>
      </c>
      <c r="DA3485" s="459" t="s">
        <v>885</v>
      </c>
      <c r="DB3485" s="459" t="s">
        <v>885</v>
      </c>
      <c r="DC3485" s="459" t="s">
        <v>885</v>
      </c>
      <c r="DD3485" s="459" t="s">
        <v>885</v>
      </c>
      <c r="DE3485" s="459" t="s">
        <v>885</v>
      </c>
      <c r="DF3485" s="459" t="s">
        <v>885</v>
      </c>
      <c r="DG3485" s="459" t="s">
        <v>885</v>
      </c>
      <c r="DH3485" s="459" t="s">
        <v>885</v>
      </c>
      <c r="DI3485" s="459" t="s">
        <v>885</v>
      </c>
      <c r="DJ3485" s="459" t="s">
        <v>885</v>
      </c>
      <c r="DK3485" s="459" t="s">
        <v>885</v>
      </c>
      <c r="DL3485" s="459" t="s">
        <v>885</v>
      </c>
      <c r="DM3485" s="459" t="s">
        <v>885</v>
      </c>
      <c r="DN3485" s="459" t="s">
        <v>885</v>
      </c>
      <c r="DO3485" s="459" t="s">
        <v>885</v>
      </c>
      <c r="DP3485" t="s">
        <v>3038</v>
      </c>
      <c r="DQ3485" s="459" t="s">
        <v>885</v>
      </c>
      <c r="DR3485" s="459" t="s">
        <v>885</v>
      </c>
      <c r="DS3485" s="459" t="s">
        <v>885</v>
      </c>
      <c r="DT3485" s="459" t="s">
        <v>885</v>
      </c>
      <c r="DU3485" s="459" t="s">
        <v>885</v>
      </c>
      <c r="DV3485" s="459" t="s">
        <v>885</v>
      </c>
      <c r="DW3485" s="459" t="s">
        <v>885</v>
      </c>
      <c r="DX3485" s="245" t="s">
        <v>885</v>
      </c>
      <c r="DY3485" s="245"/>
      <c r="DZ3485" s="470" t="str">
        <f t="shared" si="180"/>
        <v/>
      </c>
      <c r="EA3485" s="470" t="str">
        <f t="shared" si="181"/>
        <v/>
      </c>
      <c r="EB3485" s="459" t="s">
        <v>885</v>
      </c>
    </row>
    <row r="3486" spans="1:132" ht="16" hidden="1" x14ac:dyDescent="0.4">
      <c r="A3486" s="813"/>
      <c r="BB3486" s="48"/>
      <c r="BS3486" s="464" t="str">
        <f>IF($B$265=B$3281,BZ3485,IF($B$265=B$3282,CA3485,IF($B$265=B$3283,CB3485,IF($B$265=B$3284,CC3485,IF($B$265=B$3285,CD3485,IF($B$265=B$3286,CE3485,IF($B$265=B$3287,CF3485,IF($B$265=B$3288,CG3485,IF($B$265=B$3289,CH3485,IF($B$265=B$3290,CI3485,IF($B$265=B$3291,CJ3485,IF($B$265=B$3292,CK3485,IF($B$265=B$3293,CL3485,IF($B$265=B$3294,CM3485,IF($B$265=B$3295,CN3485,IF($B$265=B$3296,H2869,IF($B$265=B$3297,CO3485,IF($B$265=B$3298,CP3485,IF($B$265=B$3299,CQ3485,IF($B$265=B$3300,CR3485,IF($B$265=B$3301,CS3485,IF($B$265=B$3302,CT3485,IF(B$265=B$3303,CU3485,IF($B$265=B$3304,CV3485,IF($B$265=B$3305,CW3485,IF($B$265=B$3306,CX3485,IF($B$265=B$3307,CY3485,IF($B$265=B$3308,CZ3485,IF($B$265=B$3309,DA3485,IF($B$265=B$3310,DB3485,IF($B$265=B$3311,DC3485,IF($B$265=B$3312,DD3485,IF($B$265=B$3313,DE3485,IF($B$265=B$3314,DF3485,IF($B$265=B$3315,DG3485,IF($B$265=B$3316,DH3485,IF($B$265=B$3317,DI3485,IF($B$265=B$3318,DJ3485,IF($B$265=B$3319,DK3485,IF($B$265=B$3320,DL3485,IF($B$265=B$3321,DM3485,IF($B$265=B$3322,DN3485,IF($B$265=B$3323,DO3485,IF($B$265=B$3324,DP3485,IF($B$265=B$3325,DQ3485,IF($B$265=B$3326,DR3485,IF($B$265=B$3327,DS3485,IF($B$265=B$3328,DT3485,IF($B$265=B$3329,DU3485,IF($B$265=B$3330,DV3485,IF($B$265=B$3331,DW3485,IF($B$265=B$3332,DX3485,""))))))))))))))))))))))))))))))))))))))))))))))))))))</f>
        <v/>
      </c>
      <c r="BZ3486" s="245" t="s">
        <v>885</v>
      </c>
      <c r="CA3486" s="245" t="s">
        <v>885</v>
      </c>
      <c r="CC3486" s="245" t="s">
        <v>885</v>
      </c>
      <c r="CD3486" s="459" t="s">
        <v>885</v>
      </c>
      <c r="CE3486" s="459" t="s">
        <v>885</v>
      </c>
      <c r="CF3486" s="245" t="s">
        <v>885</v>
      </c>
      <c r="CG3486" s="245" t="s">
        <v>885</v>
      </c>
      <c r="CH3486" s="245" t="s">
        <v>885</v>
      </c>
      <c r="CI3486" s="245" t="s">
        <v>885</v>
      </c>
      <c r="CJ3486" s="459" t="s">
        <v>885</v>
      </c>
      <c r="CK3486" s="459" t="s">
        <v>885</v>
      </c>
      <c r="CL3486" s="459" t="s">
        <v>885</v>
      </c>
      <c r="CM3486" s="459" t="s">
        <v>885</v>
      </c>
      <c r="CN3486" s="459" t="s">
        <v>885</v>
      </c>
      <c r="CO3486" s="459" t="s">
        <v>885</v>
      </c>
      <c r="CP3486" s="459" t="s">
        <v>885</v>
      </c>
      <c r="CQ3486" s="459" t="s">
        <v>885</v>
      </c>
      <c r="CR3486" s="459" t="s">
        <v>885</v>
      </c>
      <c r="CS3486" s="459" t="s">
        <v>885</v>
      </c>
      <c r="CT3486" s="245" t="s">
        <v>885</v>
      </c>
      <c r="CU3486" s="463" t="s">
        <v>885</v>
      </c>
      <c r="CV3486" s="245" t="s">
        <v>885</v>
      </c>
      <c r="CW3486" s="245" t="s">
        <v>885</v>
      </c>
      <c r="CX3486" s="459" t="s">
        <v>885</v>
      </c>
      <c r="CY3486" s="459" t="s">
        <v>885</v>
      </c>
      <c r="CZ3486" s="459" t="s">
        <v>885</v>
      </c>
      <c r="DA3486" s="459" t="s">
        <v>885</v>
      </c>
      <c r="DB3486" s="459" t="s">
        <v>885</v>
      </c>
      <c r="DC3486" s="459" t="s">
        <v>885</v>
      </c>
      <c r="DD3486" s="459" t="s">
        <v>885</v>
      </c>
      <c r="DE3486" s="459" t="s">
        <v>885</v>
      </c>
      <c r="DF3486" s="459" t="s">
        <v>885</v>
      </c>
      <c r="DG3486" s="459" t="s">
        <v>885</v>
      </c>
      <c r="DH3486" s="459" t="s">
        <v>885</v>
      </c>
      <c r="DI3486" s="459" t="s">
        <v>885</v>
      </c>
      <c r="DJ3486" s="459" t="s">
        <v>885</v>
      </c>
      <c r="DK3486" s="459" t="s">
        <v>885</v>
      </c>
      <c r="DL3486" s="459" t="s">
        <v>885</v>
      </c>
      <c r="DM3486" s="459" t="s">
        <v>885</v>
      </c>
      <c r="DN3486" s="459" t="s">
        <v>885</v>
      </c>
      <c r="DO3486" s="459" t="s">
        <v>885</v>
      </c>
      <c r="DP3486" t="s">
        <v>2398</v>
      </c>
      <c r="DQ3486" s="459" t="s">
        <v>885</v>
      </c>
      <c r="DR3486" s="459" t="s">
        <v>885</v>
      </c>
      <c r="DS3486" s="459" t="s">
        <v>885</v>
      </c>
      <c r="DT3486" s="459" t="s">
        <v>885</v>
      </c>
      <c r="DU3486" s="459" t="s">
        <v>885</v>
      </c>
      <c r="DV3486" s="459" t="s">
        <v>885</v>
      </c>
      <c r="DW3486" s="459" t="s">
        <v>885</v>
      </c>
      <c r="DX3486" s="245" t="s">
        <v>885</v>
      </c>
      <c r="DY3486" s="245"/>
      <c r="DZ3486" s="470" t="str">
        <f t="shared" si="180"/>
        <v/>
      </c>
      <c r="EA3486" s="470" t="str">
        <f t="shared" si="181"/>
        <v/>
      </c>
      <c r="EB3486" s="459" t="s">
        <v>885</v>
      </c>
    </row>
    <row r="3487" spans="1:132" ht="16" hidden="1" x14ac:dyDescent="0.4">
      <c r="A3487" s="813"/>
      <c r="BB3487" s="48"/>
      <c r="BS3487" s="464" t="str">
        <f>IF($B$265=B$3281,BZ3486,IF($B$265=B$3282,CA3486,IF($B$265=B$3283,CB3486,IF($B$265=B$3284,CC3486,IF($B$265=B$3285,CD3486,IF($B$265=B$3286,CE3486,IF($B$265=B$3287,CF3486,IF($B$265=B$3288,CG3486,IF($B$265=B$3289,CH3486,IF($B$265=B$3290,CI3486,IF($B$265=B$3291,CJ3486,IF($B$265=B$3292,CK3486,IF($B$265=B$3293,CL3486,IF($B$265=B$3294,CM3486,IF($B$265=B$3295,CN3486,IF($B$265=B$3296,H2870,IF($B$265=B$3297,CO3486,IF($B$265=B$3298,CP3486,IF($B$265=B$3299,CQ3486,IF($B$265=B$3300,CR3486,IF($B$265=B$3301,CS3486,IF($B$265=B$3302,CT3486,IF(B$265=B$3303,CU3486,IF($B$265=B$3304,CV3486,IF($B$265=B$3305,CW3486,IF($B$265=B$3306,CX3486,IF($B$265=B$3307,CY3486,IF($B$265=B$3308,CZ3486,IF($B$265=B$3309,DA3486,IF($B$265=B$3310,DB3486,IF($B$265=B$3311,DC3486,IF($B$265=B$3312,DD3486,IF($B$265=B$3313,DE3486,IF($B$265=B$3314,DF3486,IF($B$265=B$3315,DG3486,IF($B$265=B$3316,DH3486,IF($B$265=B$3317,DI3486,IF($B$265=B$3318,DJ3486,IF($B$265=B$3319,DK3486,IF($B$265=B$3320,DL3486,IF($B$265=B$3321,DM3486,IF($B$265=B$3322,DN3486,IF($B$265=B$3323,DO3486,IF($B$265=B$3324,DP3486,IF($B$265=B$3325,DQ3486,IF($B$265=B$3326,DR3486,IF($B$265=B$3327,DS3486,IF($B$265=B$3328,DT3486,IF($B$265=B$3329,DU3486,IF($B$265=B$3330,DV3486,IF($B$265=B$3331,DW3486,IF($B$265=B$3332,DX3486,""))))))))))))))))))))))))))))))))))))))))))))))))))))</f>
        <v/>
      </c>
      <c r="BZ3487" s="245" t="s">
        <v>885</v>
      </c>
      <c r="CA3487" s="245" t="s">
        <v>885</v>
      </c>
      <c r="CC3487" s="245" t="s">
        <v>885</v>
      </c>
      <c r="CD3487" s="459" t="s">
        <v>885</v>
      </c>
      <c r="CE3487" s="459" t="s">
        <v>885</v>
      </c>
      <c r="CF3487" s="245" t="s">
        <v>885</v>
      </c>
      <c r="CG3487" s="245" t="s">
        <v>885</v>
      </c>
      <c r="CH3487" s="245" t="s">
        <v>885</v>
      </c>
      <c r="CI3487" s="245" t="s">
        <v>885</v>
      </c>
      <c r="CJ3487" s="459" t="s">
        <v>885</v>
      </c>
      <c r="CK3487" s="459" t="s">
        <v>885</v>
      </c>
      <c r="CL3487" s="459" t="s">
        <v>885</v>
      </c>
      <c r="CM3487" s="459" t="s">
        <v>885</v>
      </c>
      <c r="CN3487" s="459" t="s">
        <v>885</v>
      </c>
      <c r="CO3487" s="459" t="s">
        <v>885</v>
      </c>
      <c r="CP3487" s="459" t="s">
        <v>885</v>
      </c>
      <c r="CQ3487" s="459" t="s">
        <v>885</v>
      </c>
      <c r="CR3487" s="459" t="s">
        <v>885</v>
      </c>
      <c r="CS3487" s="459" t="s">
        <v>885</v>
      </c>
      <c r="CT3487" s="245" t="s">
        <v>885</v>
      </c>
      <c r="CU3487" s="463" t="s">
        <v>885</v>
      </c>
      <c r="CV3487" s="245" t="s">
        <v>885</v>
      </c>
      <c r="CW3487" s="245" t="s">
        <v>885</v>
      </c>
      <c r="CX3487" s="459" t="s">
        <v>885</v>
      </c>
      <c r="CY3487" s="459" t="s">
        <v>885</v>
      </c>
      <c r="CZ3487" s="459" t="s">
        <v>885</v>
      </c>
      <c r="DA3487" s="459" t="s">
        <v>885</v>
      </c>
      <c r="DB3487" s="459" t="s">
        <v>885</v>
      </c>
      <c r="DC3487" s="459" t="s">
        <v>885</v>
      </c>
      <c r="DD3487" s="459" t="s">
        <v>885</v>
      </c>
      <c r="DE3487" s="459" t="s">
        <v>885</v>
      </c>
      <c r="DF3487" s="459" t="s">
        <v>885</v>
      </c>
      <c r="DG3487" s="459" t="s">
        <v>885</v>
      </c>
      <c r="DH3487" s="459" t="s">
        <v>885</v>
      </c>
      <c r="DI3487" s="459" t="s">
        <v>885</v>
      </c>
      <c r="DJ3487" s="459" t="s">
        <v>885</v>
      </c>
      <c r="DK3487" s="459" t="s">
        <v>885</v>
      </c>
      <c r="DL3487" s="459" t="s">
        <v>885</v>
      </c>
      <c r="DM3487" s="459" t="s">
        <v>885</v>
      </c>
      <c r="DN3487" s="459" t="s">
        <v>885</v>
      </c>
      <c r="DO3487" s="459" t="s">
        <v>885</v>
      </c>
      <c r="DP3487" t="s">
        <v>3039</v>
      </c>
      <c r="DQ3487" s="459" t="s">
        <v>885</v>
      </c>
      <c r="DR3487" s="459" t="s">
        <v>885</v>
      </c>
      <c r="DS3487" s="459" t="s">
        <v>885</v>
      </c>
      <c r="DT3487" s="459" t="s">
        <v>885</v>
      </c>
      <c r="DU3487" s="459" t="s">
        <v>885</v>
      </c>
      <c r="DV3487" s="459" t="s">
        <v>885</v>
      </c>
      <c r="DW3487" s="459" t="s">
        <v>885</v>
      </c>
      <c r="DX3487" s="245" t="s">
        <v>885</v>
      </c>
      <c r="DY3487" s="245"/>
      <c r="DZ3487" s="470" t="str">
        <f t="shared" si="180"/>
        <v/>
      </c>
      <c r="EA3487" s="470" t="str">
        <f t="shared" si="181"/>
        <v/>
      </c>
      <c r="EB3487" s="459" t="s">
        <v>885</v>
      </c>
    </row>
    <row r="3488" spans="1:132" ht="16" hidden="1" x14ac:dyDescent="0.4">
      <c r="A3488" s="813"/>
      <c r="BS3488" s="464" t="str">
        <f>IF($B$265=B$3281,BZ3487,IF($B$265=B$3282,CA3487,IF($B$265=B$3283,CB3487,IF($B$265=B$3284,CC3487,IF($B$265=B$3285,CD3487,IF($B$265=B$3286,CE3487,IF($B$265=B$3287,CF3487,IF($B$265=B$3288,CG3487,IF($B$265=B$3289,CH3487,IF($B$265=B$3290,CI3487,IF($B$265=B$3291,CJ3487,IF($B$265=B$3292,CK3487,IF($B$265=B$3293,CL3487,IF($B$265=B$3294,CM3487,IF($B$265=B$3295,CN3487,IF($B$265=B$3296,H2871,IF($B$265=B$3297,CO3487,IF($B$265=B$3298,CP3487,IF($B$265=B$3299,CQ3487,IF($B$265=B$3300,CR3487,IF($B$265=B$3301,CS3487,IF($B$265=B$3302,CT3487,IF(B$265=B$3303,CU3487,IF($B$265=B$3304,CV3487,IF($B$265=B$3305,CW3487,IF($B$265=B$3306,CX3487,IF($B$265=B$3307,CY3487,IF($B$265=B$3308,CZ3487,IF($B$265=B$3309,DA3487,IF($B$265=B$3310,DB3487,IF($B$265=B$3311,DC3487,IF($B$265=B$3312,DD3487,IF($B$265=B$3313,DE3487,IF($B$265=B$3314,DF3487,IF($B$265=B$3315,DG3487,IF($B$265=B$3316,DH3487,IF($B$265=B$3317,DI3487,IF($B$265=B$3318,DJ3487,IF($B$265=B$3319,DK3487,IF($B$265=B$3320,DL3487,IF($B$265=B$3321,DM3487,IF($B$265=B$3322,DN3487,IF($B$265=B$3323,DO3487,IF($B$265=B$3324,DP3487,IF($B$265=B$3325,DQ3487,IF($B$265=B$3326,DR3487,IF($B$265=B$3327,DS3487,IF($B$265=B$3328,DT3487,IF($B$265=B$3329,DU3487,IF($B$265=B$3330,DV3487,IF($B$265=B$3331,DW3487,IF($B$265=B$3332,DX3487,""))))))))))))))))))))))))))))))))))))))))))))))))))))</f>
        <v/>
      </c>
      <c r="BZ3488" s="245" t="s">
        <v>885</v>
      </c>
      <c r="CA3488" s="245" t="s">
        <v>885</v>
      </c>
      <c r="CC3488" s="245" t="s">
        <v>885</v>
      </c>
      <c r="CD3488" s="459" t="s">
        <v>885</v>
      </c>
      <c r="CE3488" s="459" t="s">
        <v>885</v>
      </c>
      <c r="CF3488" s="245" t="s">
        <v>885</v>
      </c>
      <c r="CG3488" s="245" t="s">
        <v>885</v>
      </c>
      <c r="CH3488" s="245" t="s">
        <v>885</v>
      </c>
      <c r="CI3488" s="245" t="s">
        <v>885</v>
      </c>
      <c r="CJ3488" s="459" t="s">
        <v>885</v>
      </c>
      <c r="CK3488" s="459" t="s">
        <v>885</v>
      </c>
      <c r="CL3488" s="459" t="s">
        <v>885</v>
      </c>
      <c r="CM3488" s="459" t="s">
        <v>885</v>
      </c>
      <c r="CN3488" s="459" t="s">
        <v>885</v>
      </c>
      <c r="CO3488" s="459" t="s">
        <v>885</v>
      </c>
      <c r="CP3488" s="459" t="s">
        <v>885</v>
      </c>
      <c r="CQ3488" s="459" t="s">
        <v>885</v>
      </c>
      <c r="CR3488" s="459" t="s">
        <v>885</v>
      </c>
      <c r="CS3488" s="459" t="s">
        <v>885</v>
      </c>
      <c r="CT3488" s="245" t="s">
        <v>885</v>
      </c>
      <c r="CU3488" s="463" t="s">
        <v>885</v>
      </c>
      <c r="CV3488" s="245" t="s">
        <v>885</v>
      </c>
      <c r="CW3488" s="245" t="s">
        <v>885</v>
      </c>
      <c r="CX3488" s="459" t="s">
        <v>885</v>
      </c>
      <c r="CY3488" s="459" t="s">
        <v>885</v>
      </c>
      <c r="CZ3488" s="459" t="s">
        <v>885</v>
      </c>
      <c r="DA3488" s="459" t="s">
        <v>885</v>
      </c>
      <c r="DB3488" s="459" t="s">
        <v>885</v>
      </c>
      <c r="DC3488" s="459" t="s">
        <v>885</v>
      </c>
      <c r="DD3488" s="459" t="s">
        <v>885</v>
      </c>
      <c r="DE3488" s="459" t="s">
        <v>885</v>
      </c>
      <c r="DF3488" s="459" t="s">
        <v>885</v>
      </c>
      <c r="DG3488" s="459" t="s">
        <v>885</v>
      </c>
      <c r="DH3488" s="459" t="s">
        <v>885</v>
      </c>
      <c r="DI3488" s="459" t="s">
        <v>885</v>
      </c>
      <c r="DJ3488" s="459" t="s">
        <v>885</v>
      </c>
      <c r="DK3488" s="459" t="s">
        <v>885</v>
      </c>
      <c r="DL3488" s="459" t="s">
        <v>885</v>
      </c>
      <c r="DM3488" s="459" t="s">
        <v>885</v>
      </c>
      <c r="DN3488" s="459" t="s">
        <v>885</v>
      </c>
      <c r="DO3488" s="459" t="s">
        <v>885</v>
      </c>
      <c r="DP3488" t="s">
        <v>3040</v>
      </c>
      <c r="DQ3488" s="459" t="s">
        <v>885</v>
      </c>
      <c r="DR3488" s="459" t="s">
        <v>885</v>
      </c>
      <c r="DS3488" s="459" t="s">
        <v>885</v>
      </c>
      <c r="DT3488" s="459" t="s">
        <v>885</v>
      </c>
      <c r="DU3488" s="459" t="s">
        <v>885</v>
      </c>
      <c r="DV3488" s="459" t="s">
        <v>885</v>
      </c>
      <c r="DW3488" s="459" t="s">
        <v>885</v>
      </c>
      <c r="DX3488" s="245" t="s">
        <v>885</v>
      </c>
      <c r="DY3488" s="245"/>
      <c r="DZ3488" s="470" t="str">
        <f t="shared" si="180"/>
        <v/>
      </c>
      <c r="EA3488" s="470" t="str">
        <f t="shared" si="181"/>
        <v/>
      </c>
      <c r="EB3488" s="459" t="s">
        <v>885</v>
      </c>
    </row>
    <row r="3489" spans="1:132" ht="16" hidden="1" x14ac:dyDescent="0.4">
      <c r="A3489" s="813"/>
      <c r="BB3489" s="48"/>
      <c r="BS3489" s="464" t="str">
        <f>IF($B$265=B$3281,BZ3488,IF($B$265=B$3282,CA3488,IF($B$265=B$3283,CB3488,IF($B$265=B$3284,CC3488,IF($B$265=B$3285,CD3488,IF($B$265=B$3286,CE3488,IF($B$265=B$3287,CF3488,IF($B$265=B$3288,CG3488,IF($B$265=B$3289,CH3488,IF($B$265=B$3290,CI3488,IF($B$265=B$3291,CJ3488,IF($B$265=B$3292,CK3488,IF($B$265=B$3293,CL3488,IF($B$265=B$3294,CM3488,IF($B$265=B$3295,CN3488,IF($B$265=B$3296,C3488,IF($B$265=B$3297,CO3488,IF($B$265=B$3298,CP3488,IF($B$265=B$3299,CQ3488,IF($B$265=B$3300,CR3488,IF($B$265=B$3301,CS3488,IF($B$265=B$3302,CT3488,IF(B$265=B$3303,CU3488,IF($B$265=B$3304,CV3488,IF($B$265=B$3305,CW3488,IF($B$265=B$3306,CX3488,IF($B$265=B$3307,CY3488,IF($B$265=B$3308,CZ3488,IF($B$265=B$3309,DA3488,IF($B$265=B$3310,DB3488,IF($B$265=B$3311,DC3488,IF($B$265=B$3312,DD3488,IF($B$265=B$3313,DE3488,IF($B$265=B$3314,DF3488,IF($B$265=B$3315,DG3488,IF($B$265=B$3316,DH3488,IF($B$265=B$3317,DI3488,IF($B$265=B$3318,DJ3488,IF($B$265=B$3319,DK3488,IF($B$265=B$3320,DL3488,IF($B$265=B$3321,DM3488,IF($B$265=B$3322,DN3488,IF($B$265=B$3323,DO3488,IF($B$265=B$3324,DP3488,IF($B$265=B$3325,DQ3488,IF($B$265=B$3326,DR3488,IF($B$265=B$3327,DS3488,IF($B$265=B$3328,DT3488,IF($B$265=B$3329,DU3488,IF($B$265=B$3330,DV3488,IF($B$265=B$3331,DW3488,IF($B$265=B$3332,DX3488,""))))))))))))))))))))))))))))))))))))))))))))))))))))</f>
        <v/>
      </c>
      <c r="BZ3489" s="245" t="s">
        <v>885</v>
      </c>
      <c r="CA3489" s="245" t="s">
        <v>885</v>
      </c>
      <c r="CC3489" s="245" t="s">
        <v>885</v>
      </c>
      <c r="CD3489" s="459" t="s">
        <v>885</v>
      </c>
      <c r="CE3489" s="459" t="s">
        <v>885</v>
      </c>
      <c r="CF3489" s="245" t="s">
        <v>885</v>
      </c>
      <c r="CG3489" s="245" t="s">
        <v>885</v>
      </c>
      <c r="CH3489" s="245" t="s">
        <v>885</v>
      </c>
      <c r="CI3489" s="245" t="s">
        <v>885</v>
      </c>
      <c r="CJ3489" s="459" t="s">
        <v>885</v>
      </c>
      <c r="CK3489" s="459" t="s">
        <v>885</v>
      </c>
      <c r="CL3489" s="459" t="s">
        <v>885</v>
      </c>
      <c r="CM3489" s="459" t="s">
        <v>885</v>
      </c>
      <c r="CN3489" s="459" t="s">
        <v>885</v>
      </c>
      <c r="CO3489" s="459" t="s">
        <v>885</v>
      </c>
      <c r="CP3489" s="459" t="s">
        <v>885</v>
      </c>
      <c r="CQ3489" s="459" t="s">
        <v>885</v>
      </c>
      <c r="CR3489" s="459" t="s">
        <v>885</v>
      </c>
      <c r="CS3489" s="459" t="s">
        <v>885</v>
      </c>
      <c r="CT3489" s="245" t="s">
        <v>885</v>
      </c>
      <c r="CU3489" s="463" t="s">
        <v>885</v>
      </c>
      <c r="CV3489" s="245" t="s">
        <v>885</v>
      </c>
      <c r="CW3489" s="245" t="s">
        <v>885</v>
      </c>
      <c r="CX3489" s="459" t="s">
        <v>885</v>
      </c>
      <c r="CY3489" s="459" t="s">
        <v>885</v>
      </c>
      <c r="CZ3489" s="459" t="s">
        <v>885</v>
      </c>
      <c r="DA3489" s="459" t="s">
        <v>885</v>
      </c>
      <c r="DB3489" s="459" t="s">
        <v>885</v>
      </c>
      <c r="DC3489" s="459" t="s">
        <v>885</v>
      </c>
      <c r="DD3489" s="459" t="s">
        <v>885</v>
      </c>
      <c r="DE3489" s="459" t="s">
        <v>885</v>
      </c>
      <c r="DF3489" s="459" t="s">
        <v>885</v>
      </c>
      <c r="DG3489" s="459" t="s">
        <v>885</v>
      </c>
      <c r="DH3489" s="459" t="s">
        <v>885</v>
      </c>
      <c r="DI3489" s="459" t="s">
        <v>885</v>
      </c>
      <c r="DJ3489" s="459" t="s">
        <v>885</v>
      </c>
      <c r="DK3489" s="459" t="s">
        <v>885</v>
      </c>
      <c r="DL3489" s="459" t="s">
        <v>885</v>
      </c>
      <c r="DM3489" s="459" t="s">
        <v>885</v>
      </c>
      <c r="DN3489" s="459" t="s">
        <v>885</v>
      </c>
      <c r="DO3489" s="459" t="s">
        <v>885</v>
      </c>
      <c r="DP3489" t="s">
        <v>3041</v>
      </c>
      <c r="DQ3489" s="459" t="s">
        <v>885</v>
      </c>
      <c r="DR3489" s="459" t="s">
        <v>885</v>
      </c>
      <c r="DS3489" s="459" t="s">
        <v>885</v>
      </c>
      <c r="DT3489" s="459" t="s">
        <v>885</v>
      </c>
      <c r="DU3489" s="459" t="s">
        <v>885</v>
      </c>
      <c r="DV3489" s="459" t="s">
        <v>885</v>
      </c>
      <c r="DW3489" s="459" t="s">
        <v>885</v>
      </c>
      <c r="DX3489" s="245" t="s">
        <v>885</v>
      </c>
      <c r="DY3489" s="245"/>
      <c r="DZ3489" s="470" t="str">
        <f t="shared" si="180"/>
        <v/>
      </c>
      <c r="EA3489" s="470" t="str">
        <f t="shared" si="181"/>
        <v/>
      </c>
      <c r="EB3489" s="459" t="s">
        <v>885</v>
      </c>
    </row>
    <row r="3490" spans="1:132" ht="16" hidden="1" x14ac:dyDescent="0.4">
      <c r="A3490" s="813"/>
      <c r="BB3490" s="48"/>
      <c r="BS3490" s="464" t="str">
        <f>IF($B$265=B$3281,BZ3489,IF($B$265=B$3282,CA3489,IF($B$265=B$3283,CB3489,IF($B$265=B$3284,CC3489,IF($B$265=B$3285,CD3489,IF($B$265=B$3286,CE3489,IF($B$265=B$3287,CF3489,IF($B$265=B$3288,CG3489,IF($B$265=B$3289,CH3489,IF($B$265=B$3290,CI3489,IF($B$265=B$3291,CJ3489,IF($B$265=B$3292,CK3489,IF($B$265=B$3293,CL3489,IF($B$265=B$3294,CM3489,IF($B$265=B$3295,CN3489,IF($B$265=B$3296,B2726,IF($B$265=B$3297,CO3489,IF($B$265=B$3298,CP3489,IF($B$265=B$3299,CQ3489,IF($B$265=B$3300,CR3489,IF($B$265=B$3301,CS3489,IF($B$265=B$3302,CT3489,IF(B$265=B$3303,CU3489,IF($B$265=B$3304,CV3489,IF($B$265=B$3305,CW3489,IF($B$265=B$3306,CX3489,IF($B$265=B$3307,CY3489,IF($B$265=B$3308,CZ3489,IF($B$265=B$3309,DA3489,IF($B$265=B$3310,DB3489,IF($B$265=B$3311,DC3489,IF($B$265=B$3312,DD3489,IF($B$265=B$3313,DE3489,IF($B$265=B$3314,DF3489,IF($B$265=B$3315,DG3489,IF($B$265=B$3316,DH3489,IF($B$265=B$3317,DI3489,IF($B$265=B$3318,DJ3489,IF($B$265=B$3319,DK3489,IF($B$265=B$3320,DL3489,IF($B$265=B$3321,DM3489,IF($B$265=B$3322,DN3489,IF($B$265=B$3323,DO3489,IF($B$265=B$3324,DP3489,IF($B$265=B$3325,DQ3489,IF($B$265=B$3326,DR3489,IF($B$265=B$3327,DS3489,IF($B$265=B$3328,DT3489,IF($B$265=B$3329,DU3489,IF($B$265=B$3330,DV3489,IF($B$265=B$3331,DW3489,IF($B$265=B$3332,DX3489,""))))))))))))))))))))))))))))))))))))))))))))))))))))</f>
        <v/>
      </c>
      <c r="BZ3490" s="245" t="s">
        <v>885</v>
      </c>
      <c r="CA3490" s="245" t="s">
        <v>885</v>
      </c>
      <c r="CC3490" s="245" t="s">
        <v>885</v>
      </c>
      <c r="CD3490" s="459" t="s">
        <v>885</v>
      </c>
      <c r="CE3490" s="459" t="s">
        <v>885</v>
      </c>
      <c r="CF3490" s="245" t="s">
        <v>885</v>
      </c>
      <c r="CG3490" s="245" t="s">
        <v>885</v>
      </c>
      <c r="CH3490" s="245" t="s">
        <v>885</v>
      </c>
      <c r="CI3490" s="245" t="s">
        <v>885</v>
      </c>
      <c r="CJ3490" s="459" t="s">
        <v>885</v>
      </c>
      <c r="CK3490" s="459" t="s">
        <v>885</v>
      </c>
      <c r="CL3490" s="459" t="s">
        <v>885</v>
      </c>
      <c r="CM3490" s="459" t="s">
        <v>885</v>
      </c>
      <c r="CN3490" s="459" t="s">
        <v>885</v>
      </c>
      <c r="CO3490" s="459" t="s">
        <v>885</v>
      </c>
      <c r="CP3490" s="459" t="s">
        <v>885</v>
      </c>
      <c r="CQ3490" s="459" t="s">
        <v>885</v>
      </c>
      <c r="CR3490" s="459" t="s">
        <v>885</v>
      </c>
      <c r="CS3490" s="459" t="s">
        <v>885</v>
      </c>
      <c r="CT3490" s="245" t="s">
        <v>885</v>
      </c>
      <c r="CU3490" s="463" t="s">
        <v>885</v>
      </c>
      <c r="CV3490" s="245" t="s">
        <v>885</v>
      </c>
      <c r="CW3490" s="245" t="s">
        <v>885</v>
      </c>
      <c r="CX3490" s="459" t="s">
        <v>885</v>
      </c>
      <c r="CY3490" s="459" t="s">
        <v>885</v>
      </c>
      <c r="CZ3490" s="459" t="s">
        <v>885</v>
      </c>
      <c r="DA3490" s="459" t="s">
        <v>885</v>
      </c>
      <c r="DB3490" s="459" t="s">
        <v>885</v>
      </c>
      <c r="DC3490" s="459" t="s">
        <v>885</v>
      </c>
      <c r="DD3490" s="459" t="s">
        <v>885</v>
      </c>
      <c r="DE3490" s="459" t="s">
        <v>885</v>
      </c>
      <c r="DF3490" s="459" t="s">
        <v>885</v>
      </c>
      <c r="DG3490" s="459" t="s">
        <v>885</v>
      </c>
      <c r="DH3490" s="459" t="s">
        <v>885</v>
      </c>
      <c r="DI3490" s="459" t="s">
        <v>885</v>
      </c>
      <c r="DJ3490" s="459" t="s">
        <v>885</v>
      </c>
      <c r="DK3490" s="459" t="s">
        <v>885</v>
      </c>
      <c r="DL3490" s="459" t="s">
        <v>885</v>
      </c>
      <c r="DM3490" s="459" t="s">
        <v>885</v>
      </c>
      <c r="DN3490" s="459" t="s">
        <v>885</v>
      </c>
      <c r="DO3490" s="459" t="s">
        <v>885</v>
      </c>
      <c r="DP3490" t="s">
        <v>1567</v>
      </c>
      <c r="DQ3490" s="459" t="s">
        <v>885</v>
      </c>
      <c r="DR3490" s="459" t="s">
        <v>885</v>
      </c>
      <c r="DS3490" s="459" t="s">
        <v>885</v>
      </c>
      <c r="DT3490" s="459" t="s">
        <v>885</v>
      </c>
      <c r="DU3490" s="459" t="s">
        <v>885</v>
      </c>
      <c r="DV3490" s="459" t="s">
        <v>885</v>
      </c>
      <c r="DW3490" s="459" t="s">
        <v>885</v>
      </c>
      <c r="DX3490" s="245" t="s">
        <v>885</v>
      </c>
      <c r="DY3490" s="245"/>
      <c r="DZ3490" s="470" t="str">
        <f t="shared" si="180"/>
        <v/>
      </c>
      <c r="EA3490" s="470" t="str">
        <f t="shared" si="181"/>
        <v/>
      </c>
      <c r="EB3490" s="459" t="s">
        <v>885</v>
      </c>
    </row>
    <row r="3491" spans="1:132" ht="16" hidden="1" x14ac:dyDescent="0.4">
      <c r="A3491" s="813"/>
      <c r="BB3491" s="48"/>
      <c r="BS3491" s="464" t="str">
        <f>IF($B$265=B$3281,BZ3490,IF($B$265=B$3282,CA3490,IF($B$265=B$3283,CB3490,IF($B$265=B$3284,CC3490,IF($B$265=B$3285,CD3490,IF($B$265=B$3286,CE3490,IF($B$265=B$3287,CF3490,IF($B$265=B$3288,CG3490,IF($B$265=B$3289,CH3490,IF($B$265=B$3290,CI3490,IF($B$265=B$3291,CJ3490,IF($B$265=B$3292,CK3490,IF($B$265=B$3293,CL3490,IF($B$265=B$3294,CM3490,IF($B$265=B$3295,CN3490,IF($B$265=B$3296,B2727,IF($B$265=B$3297,CO3490,IF($B$265=B$3298,CP3490,IF($B$265=B$3299,CQ3490,IF($B$265=B$3300,CR3490,IF($B$265=B$3301,CS3490,IF($B$265=B$3302,CT3490,IF(B$265=B$3303,CU3490,IF($B$265=B$3304,CV3490,IF($B$265=B$3305,CW3490,IF($B$265=B$3306,CX3490,IF($B$265=B$3307,CY3490,IF($B$265=B$3308,CZ3490,IF($B$265=B$3309,DA3490,IF($B$265=B$3310,DB3490,IF($B$265=B$3311,DC3490,IF($B$265=B$3312,DD3490,IF($B$265=B$3313,DE3490,IF($B$265=B$3314,DF3490,IF($B$265=B$3315,DG3490,IF($B$265=B$3316,DH3490,IF($B$265=B$3317,DI3490,IF($B$265=B$3318,DJ3490,IF($B$265=B$3319,DK3490,IF($B$265=B$3320,DL3490,IF($B$265=B$3321,DM3490,IF($B$265=B$3322,DN3490,IF($B$265=B$3323,DO3490,IF($B$265=B$3324,DP3490,IF($B$265=B$3325,DQ3490,IF($B$265=B$3326,DR3490,IF($B$265=B$3327,DS3490,IF($B$265=B$3328,DT3490,IF($B$265=B$3329,DU3490,IF($B$265=B$3330,DV3490,IF($B$265=B$3331,DW3490,IF($B$265=B$3332,DX3490,""))))))))))))))))))))))))))))))))))))))))))))))))))))</f>
        <v/>
      </c>
      <c r="BZ3491" s="245" t="s">
        <v>885</v>
      </c>
      <c r="CA3491" s="245" t="s">
        <v>885</v>
      </c>
      <c r="CC3491" s="245" t="s">
        <v>885</v>
      </c>
      <c r="CD3491" s="459" t="s">
        <v>885</v>
      </c>
      <c r="CE3491" s="459" t="s">
        <v>885</v>
      </c>
      <c r="CF3491" s="245" t="s">
        <v>885</v>
      </c>
      <c r="CG3491" s="245" t="s">
        <v>885</v>
      </c>
      <c r="CH3491" s="245" t="s">
        <v>885</v>
      </c>
      <c r="CI3491" s="245" t="s">
        <v>885</v>
      </c>
      <c r="CJ3491" s="459" t="s">
        <v>885</v>
      </c>
      <c r="CK3491" s="459" t="s">
        <v>885</v>
      </c>
      <c r="CL3491" s="459" t="s">
        <v>885</v>
      </c>
      <c r="CM3491" s="459" t="s">
        <v>885</v>
      </c>
      <c r="CN3491" s="459" t="s">
        <v>885</v>
      </c>
      <c r="CO3491" s="459" t="s">
        <v>885</v>
      </c>
      <c r="CP3491" s="459" t="s">
        <v>885</v>
      </c>
      <c r="CQ3491" s="459" t="s">
        <v>885</v>
      </c>
      <c r="CR3491" s="459" t="s">
        <v>885</v>
      </c>
      <c r="CS3491" s="459" t="s">
        <v>885</v>
      </c>
      <c r="CT3491" s="245" t="s">
        <v>885</v>
      </c>
      <c r="CU3491" s="463" t="s">
        <v>885</v>
      </c>
      <c r="CV3491" s="245" t="s">
        <v>885</v>
      </c>
      <c r="CW3491" s="245" t="s">
        <v>885</v>
      </c>
      <c r="CX3491" s="459" t="s">
        <v>885</v>
      </c>
      <c r="CY3491" s="459" t="s">
        <v>885</v>
      </c>
      <c r="CZ3491" s="459" t="s">
        <v>885</v>
      </c>
      <c r="DA3491" s="459" t="s">
        <v>885</v>
      </c>
      <c r="DB3491" s="459" t="s">
        <v>885</v>
      </c>
      <c r="DC3491" s="459" t="s">
        <v>885</v>
      </c>
      <c r="DD3491" s="459" t="s">
        <v>885</v>
      </c>
      <c r="DE3491" s="459" t="s">
        <v>885</v>
      </c>
      <c r="DF3491" s="459" t="s">
        <v>885</v>
      </c>
      <c r="DG3491" s="459" t="s">
        <v>885</v>
      </c>
      <c r="DH3491" s="459" t="s">
        <v>885</v>
      </c>
      <c r="DI3491" s="459" t="s">
        <v>885</v>
      </c>
      <c r="DJ3491" s="459" t="s">
        <v>885</v>
      </c>
      <c r="DK3491" s="459" t="s">
        <v>885</v>
      </c>
      <c r="DL3491" s="459" t="s">
        <v>885</v>
      </c>
      <c r="DM3491" s="459" t="s">
        <v>885</v>
      </c>
      <c r="DN3491" s="459" t="s">
        <v>885</v>
      </c>
      <c r="DO3491" s="459" t="s">
        <v>885</v>
      </c>
      <c r="DP3491" t="s">
        <v>2831</v>
      </c>
      <c r="DQ3491" s="459" t="s">
        <v>885</v>
      </c>
      <c r="DR3491" s="459" t="s">
        <v>885</v>
      </c>
      <c r="DS3491" s="459" t="s">
        <v>885</v>
      </c>
      <c r="DT3491" s="459" t="s">
        <v>885</v>
      </c>
      <c r="DU3491" s="459" t="s">
        <v>885</v>
      </c>
      <c r="DV3491" s="459" t="s">
        <v>885</v>
      </c>
      <c r="DW3491" s="459" t="s">
        <v>885</v>
      </c>
      <c r="DX3491" s="245" t="s">
        <v>885</v>
      </c>
      <c r="DY3491" s="245"/>
      <c r="DZ3491" s="470" t="str">
        <f t="shared" si="180"/>
        <v/>
      </c>
      <c r="EA3491" s="470" t="str">
        <f t="shared" si="181"/>
        <v/>
      </c>
      <c r="EB3491" s="459" t="s">
        <v>885</v>
      </c>
    </row>
    <row r="3492" spans="1:132" ht="16" hidden="1" x14ac:dyDescent="0.4">
      <c r="A3492" s="813"/>
      <c r="BB3492" s="48"/>
      <c r="BS3492" s="464" t="str">
        <f>IF($B$265=B$3281,BZ3491,IF($B$265=B$3282,CA3491,IF($B$265=B$3283,CB3491,IF($B$265=B$3284,CC3491,IF($B$265=B$3285,CD3491,IF($B$265=B$3286,CE3491,IF($B$265=B$3287,CF3491,IF($B$265=B$3288,CG3491,IF($B$265=B$3289,CH3491,IF($B$265=B$3290,CI3491,IF($B$265=B$3291,CJ3491,IF($B$265=B$3292,CK3491,IF($B$265=B$3293,CL3491,IF($B$265=B$3294,CM3491,IF($B$265=B$3295,CN3491,IF($B$265=B$3296,B2728,IF($B$265=B$3297,CO3491,IF($B$265=B$3298,CP3491,IF($B$265=B$3299,CQ3491,IF($B$265=B$3300,CR3491,IF($B$265=B$3301,CS3491,IF($B$265=B$3302,CT3491,IF(B$265=B$3303,CU3491,IF($B$265=B$3304,CV3491,IF($B$265=B$3305,CW3491,IF($B$265=B$3306,CX3491,IF($B$265=B$3307,CY3491,IF($B$265=B$3308,CZ3491,IF($B$265=B$3309,DA3491,IF($B$265=B$3310,DB3491,IF($B$265=B$3311,DC3491,IF($B$265=B$3312,DD3491,IF($B$265=B$3313,DE3491,IF($B$265=B$3314,DF3491,IF($B$265=B$3315,DG3491,IF($B$265=B$3316,DH3491,IF($B$265=B$3317,DI3491,IF($B$265=B$3318,DJ3491,IF($B$265=B$3319,DK3491,IF($B$265=B$3320,DL3491,IF($B$265=B$3321,DM3491,IF($B$265=B$3322,DN3491,IF($B$265=B$3323,DO3491,IF($B$265=B$3324,DP3491,IF($B$265=B$3325,DQ3491,IF($B$265=B$3326,DR3491,IF($B$265=B$3327,DS3491,IF($B$265=B$3328,DT3491,IF($B$265=B$3329,DU3491,IF($B$265=B$3330,DV3491,IF($B$265=B$3331,DW3491,IF($B$265=B$3332,DX3491,""))))))))))))))))))))))))))))))))))))))))))))))))))))</f>
        <v/>
      </c>
      <c r="BZ3492" s="245" t="s">
        <v>885</v>
      </c>
      <c r="CA3492" s="245" t="s">
        <v>885</v>
      </c>
      <c r="CC3492" s="245" t="s">
        <v>885</v>
      </c>
      <c r="CD3492" s="459" t="s">
        <v>885</v>
      </c>
      <c r="CE3492" s="459" t="s">
        <v>885</v>
      </c>
      <c r="CF3492" s="245" t="s">
        <v>885</v>
      </c>
      <c r="CG3492" s="245" t="s">
        <v>885</v>
      </c>
      <c r="CH3492" s="245" t="s">
        <v>885</v>
      </c>
      <c r="CI3492" s="245" t="s">
        <v>885</v>
      </c>
      <c r="CJ3492" s="459" t="s">
        <v>885</v>
      </c>
      <c r="CK3492" s="459" t="s">
        <v>885</v>
      </c>
      <c r="CL3492" s="459" t="s">
        <v>885</v>
      </c>
      <c r="CM3492" s="459" t="s">
        <v>885</v>
      </c>
      <c r="CN3492" s="459" t="s">
        <v>885</v>
      </c>
      <c r="CO3492" s="459" t="s">
        <v>885</v>
      </c>
      <c r="CP3492" s="459" t="s">
        <v>885</v>
      </c>
      <c r="CQ3492" s="459" t="s">
        <v>885</v>
      </c>
      <c r="CR3492" s="459" t="s">
        <v>885</v>
      </c>
      <c r="CS3492" s="459" t="s">
        <v>885</v>
      </c>
      <c r="CT3492" s="245" t="s">
        <v>885</v>
      </c>
      <c r="CU3492" s="463" t="s">
        <v>885</v>
      </c>
      <c r="CV3492" s="245" t="s">
        <v>885</v>
      </c>
      <c r="CW3492" s="245" t="s">
        <v>885</v>
      </c>
      <c r="CX3492" s="459" t="s">
        <v>885</v>
      </c>
      <c r="CY3492" s="459" t="s">
        <v>885</v>
      </c>
      <c r="CZ3492" s="459" t="s">
        <v>885</v>
      </c>
      <c r="DA3492" s="459" t="s">
        <v>885</v>
      </c>
      <c r="DB3492" s="459" t="s">
        <v>885</v>
      </c>
      <c r="DC3492" s="459" t="s">
        <v>885</v>
      </c>
      <c r="DD3492" s="459" t="s">
        <v>885</v>
      </c>
      <c r="DE3492" s="459" t="s">
        <v>885</v>
      </c>
      <c r="DF3492" s="459" t="s">
        <v>885</v>
      </c>
      <c r="DG3492" s="459" t="s">
        <v>885</v>
      </c>
      <c r="DH3492" s="459" t="s">
        <v>885</v>
      </c>
      <c r="DI3492" s="459" t="s">
        <v>885</v>
      </c>
      <c r="DJ3492" s="459" t="s">
        <v>885</v>
      </c>
      <c r="DK3492" s="459" t="s">
        <v>885</v>
      </c>
      <c r="DL3492" s="459" t="s">
        <v>885</v>
      </c>
      <c r="DM3492" s="459" t="s">
        <v>885</v>
      </c>
      <c r="DN3492" s="459" t="s">
        <v>885</v>
      </c>
      <c r="DO3492" s="459" t="s">
        <v>885</v>
      </c>
      <c r="DP3492" t="s">
        <v>3042</v>
      </c>
      <c r="DQ3492" s="459" t="s">
        <v>885</v>
      </c>
      <c r="DR3492" s="459" t="s">
        <v>885</v>
      </c>
      <c r="DS3492" s="459" t="s">
        <v>885</v>
      </c>
      <c r="DT3492" s="459" t="s">
        <v>885</v>
      </c>
      <c r="DU3492" s="459" t="s">
        <v>885</v>
      </c>
      <c r="DV3492" s="459" t="s">
        <v>885</v>
      </c>
      <c r="DW3492" s="459" t="s">
        <v>885</v>
      </c>
      <c r="DX3492" s="245" t="s">
        <v>885</v>
      </c>
      <c r="DY3492" s="245"/>
      <c r="DZ3492" s="470" t="str">
        <f t="shared" si="180"/>
        <v/>
      </c>
      <c r="EA3492" s="470" t="str">
        <f t="shared" si="181"/>
        <v/>
      </c>
      <c r="EB3492" s="459" t="s">
        <v>885</v>
      </c>
    </row>
    <row r="3493" spans="1:132" ht="16" hidden="1" x14ac:dyDescent="0.4">
      <c r="A3493" s="813"/>
      <c r="BB3493" s="48"/>
      <c r="BS3493" s="464" t="str">
        <f>IF($B$265=B$3281,BZ3492,IF($B$265=B$3282,CA3492,IF($B$265=B$3283,CB3492,IF($B$265=B$3284,CC3492,IF($B$265=B$3285,CD3492,IF($B$265=B$3286,CE3492,IF($B$265=B$3287,CF3492,IF($B$265=B$3288,CG3492,IF($B$265=B$3289,CH3492,IF($B$265=B$3290,CI3492,IF($B$265=B$3291,CJ3492,IF($B$265=B$3292,CK3492,IF($B$265=B$3293,CL3492,IF($B$265=B$3294,CM3492,IF($B$265=B$3295,CN3492,IF($B$265=B$3296,B2729,IF($B$265=B$3297,CO3492,IF($B$265=B$3298,CP3492,IF($B$265=B$3299,CQ3492,IF($B$265=B$3300,CR3492,IF($B$265=B$3301,CS3492,IF($B$265=B$3302,CT3492,IF(B$265=B$3303,CU3492,IF($B$265=B$3304,CV3492,IF($B$265=B$3305,CW3492,IF($B$265=B$3306,CX3492,IF($B$265=B$3307,CY3492,IF($B$265=B$3308,CZ3492,IF($B$265=B$3309,DA3492,IF($B$265=B$3310,DB3492,IF($B$265=B$3311,DC3492,IF($B$265=B$3312,DD3492,IF($B$265=B$3313,DE3492,IF($B$265=B$3314,DF3492,IF($B$265=B$3315,DG3492,IF($B$265=B$3316,DH3492,IF($B$265=B$3317,DI3492,IF($B$265=B$3318,DJ3492,IF($B$265=B$3319,DK3492,IF($B$265=B$3320,DL3492,IF($B$265=B$3321,DM3492,IF($B$265=B$3322,DN3492,IF($B$265=B$3323,DO3492,IF($B$265=B$3324,DP3492,IF($B$265=B$3325,DQ3492,IF($B$265=B$3326,DR3492,IF($B$265=B$3327,DS3492,IF($B$265=B$3328,DT3492,IF($B$265=B$3329,DU3492,IF($B$265=B$3330,DV3492,IF($B$265=B$3331,DW3492,IF($B$265=B$3332,DX3492,""))))))))))))))))))))))))))))))))))))))))))))))))))))</f>
        <v/>
      </c>
      <c r="BZ3493" s="245" t="s">
        <v>885</v>
      </c>
      <c r="CA3493" s="245" t="s">
        <v>885</v>
      </c>
      <c r="CC3493" s="245" t="s">
        <v>885</v>
      </c>
      <c r="CD3493" s="459" t="s">
        <v>885</v>
      </c>
      <c r="CE3493" s="459" t="s">
        <v>885</v>
      </c>
      <c r="CF3493" s="245" t="s">
        <v>885</v>
      </c>
      <c r="CG3493" s="245" t="s">
        <v>885</v>
      </c>
      <c r="CH3493" s="245" t="s">
        <v>885</v>
      </c>
      <c r="CI3493" s="245" t="s">
        <v>885</v>
      </c>
      <c r="CJ3493" s="459" t="s">
        <v>885</v>
      </c>
      <c r="CK3493" s="459" t="s">
        <v>885</v>
      </c>
      <c r="CL3493" s="459" t="s">
        <v>885</v>
      </c>
      <c r="CM3493" s="459" t="s">
        <v>885</v>
      </c>
      <c r="CN3493" s="459" t="s">
        <v>885</v>
      </c>
      <c r="CO3493" s="459" t="s">
        <v>885</v>
      </c>
      <c r="CP3493" s="459" t="s">
        <v>885</v>
      </c>
      <c r="CQ3493" s="459" t="s">
        <v>885</v>
      </c>
      <c r="CR3493" s="459" t="s">
        <v>885</v>
      </c>
      <c r="CS3493" s="459" t="s">
        <v>885</v>
      </c>
      <c r="CT3493" s="245" t="s">
        <v>885</v>
      </c>
      <c r="CU3493" s="463" t="s">
        <v>885</v>
      </c>
      <c r="CV3493" s="245" t="s">
        <v>885</v>
      </c>
      <c r="CW3493" s="245" t="s">
        <v>885</v>
      </c>
      <c r="CX3493" s="459" t="s">
        <v>885</v>
      </c>
      <c r="CY3493" s="459" t="s">
        <v>885</v>
      </c>
      <c r="CZ3493" s="459" t="s">
        <v>885</v>
      </c>
      <c r="DA3493" s="459" t="s">
        <v>885</v>
      </c>
      <c r="DB3493" s="459" t="s">
        <v>885</v>
      </c>
      <c r="DC3493" s="459" t="s">
        <v>885</v>
      </c>
      <c r="DD3493" s="459" t="s">
        <v>885</v>
      </c>
      <c r="DE3493" s="459" t="s">
        <v>885</v>
      </c>
      <c r="DF3493" s="459" t="s">
        <v>885</v>
      </c>
      <c r="DG3493" s="459" t="s">
        <v>885</v>
      </c>
      <c r="DH3493" s="459" t="s">
        <v>885</v>
      </c>
      <c r="DI3493" s="459" t="s">
        <v>885</v>
      </c>
      <c r="DJ3493" s="459" t="s">
        <v>885</v>
      </c>
      <c r="DK3493" s="459" t="s">
        <v>885</v>
      </c>
      <c r="DL3493" s="459" t="s">
        <v>885</v>
      </c>
      <c r="DM3493" s="459" t="s">
        <v>885</v>
      </c>
      <c r="DN3493" s="459" t="s">
        <v>885</v>
      </c>
      <c r="DO3493" s="459" t="s">
        <v>885</v>
      </c>
      <c r="DP3493" t="s">
        <v>3043</v>
      </c>
      <c r="DQ3493" s="459" t="s">
        <v>885</v>
      </c>
      <c r="DR3493" s="459" t="s">
        <v>885</v>
      </c>
      <c r="DS3493" s="459" t="s">
        <v>885</v>
      </c>
      <c r="DT3493" s="459" t="s">
        <v>885</v>
      </c>
      <c r="DU3493" s="459" t="s">
        <v>885</v>
      </c>
      <c r="DV3493" s="459" t="s">
        <v>885</v>
      </c>
      <c r="DW3493" s="459" t="s">
        <v>885</v>
      </c>
      <c r="DX3493" s="245" t="s">
        <v>885</v>
      </c>
      <c r="DY3493" s="245"/>
      <c r="DZ3493" s="470" t="str">
        <f t="shared" si="180"/>
        <v/>
      </c>
      <c r="EA3493" s="470" t="str">
        <f t="shared" si="181"/>
        <v/>
      </c>
      <c r="EB3493" s="459" t="s">
        <v>885</v>
      </c>
    </row>
    <row r="3494" spans="1:132" ht="16" hidden="1" x14ac:dyDescent="0.4">
      <c r="A3494" s="813"/>
      <c r="BS3494" s="464" t="str">
        <f>IF($B$265=B$3281,BZ3493,IF($B$265=B$3282,CA3493,IF($B$265=B$3283,CB3493,IF($B$265=B$3284,CC3493,IF($B$265=B$3285,CD3493,IF($B$265=B$3286,CE3493,IF($B$265=B$3287,CF3493,IF($B$265=B$3288,CG3493,IF($B$265=B$3289,CH3493,IF($B$265=B$3290,CI3493,IF($B$265=B$3291,CJ3493,IF($B$265=B$3292,CK3493,IF($B$265=B$3293,CL3493,IF($B$265=B$3294,CM3493,IF($B$265=B$3295,CN3493,IF($B$265=B$3296,B2730,IF($B$265=B$3297,CO3493,IF($B$265=B$3298,CP3493,IF($B$265=B$3299,CQ3493,IF($B$265=B$3300,CR3493,IF($B$265=B$3301,CS3493,IF($B$265=B$3302,CT3493,IF(B$265=B$3303,CU3493,IF($B$265=B$3304,CV3493,IF($B$265=B$3305,CW3493,IF($B$265=B$3306,CX3493,IF($B$265=B$3307,CY3493,IF($B$265=B$3308,CZ3493,IF($B$265=B$3309,DA3493,IF($B$265=B$3310,DB3493,IF($B$265=B$3311,DC3493,IF($B$265=B$3312,DD3493,IF($B$265=B$3313,DE3493,IF($B$265=B$3314,DF3493,IF($B$265=B$3315,DG3493,IF($B$265=B$3316,DH3493,IF($B$265=B$3317,DI3493,IF($B$265=B$3318,DJ3493,IF($B$265=B$3319,DK3493,IF($B$265=B$3320,DL3493,IF($B$265=B$3321,DM3493,IF($B$265=B$3322,DN3493,IF($B$265=B$3323,DO3493,IF($B$265=B$3324,DP3493,IF($B$265=B$3325,DQ3493,IF($B$265=B$3326,DR3493,IF($B$265=B$3327,DS3493,IF($B$265=B$3328,DT3493,IF($B$265=B$3329,DU3493,IF($B$265=B$3330,DV3493,IF($B$265=B$3331,DW3493,IF($B$265=B$3332,DX3493,""))))))))))))))))))))))))))))))))))))))))))))))))))))</f>
        <v/>
      </c>
      <c r="BZ3494" s="245" t="s">
        <v>885</v>
      </c>
      <c r="CA3494" s="245" t="s">
        <v>885</v>
      </c>
      <c r="CC3494" s="245" t="s">
        <v>885</v>
      </c>
      <c r="CD3494" s="459" t="s">
        <v>885</v>
      </c>
      <c r="CE3494" s="459" t="s">
        <v>885</v>
      </c>
      <c r="CF3494" s="245" t="s">
        <v>885</v>
      </c>
      <c r="CG3494" s="245" t="s">
        <v>885</v>
      </c>
      <c r="CH3494" s="245" t="s">
        <v>885</v>
      </c>
      <c r="CI3494" s="245" t="s">
        <v>885</v>
      </c>
      <c r="CJ3494" s="459" t="s">
        <v>885</v>
      </c>
      <c r="CK3494" s="459" t="s">
        <v>885</v>
      </c>
      <c r="CL3494" s="459" t="s">
        <v>885</v>
      </c>
      <c r="CM3494" s="459" t="s">
        <v>885</v>
      </c>
      <c r="CN3494" s="459" t="s">
        <v>885</v>
      </c>
      <c r="CO3494" s="459" t="s">
        <v>885</v>
      </c>
      <c r="CP3494" s="459" t="s">
        <v>885</v>
      </c>
      <c r="CQ3494" s="459" t="s">
        <v>885</v>
      </c>
      <c r="CR3494" s="459" t="s">
        <v>885</v>
      </c>
      <c r="CS3494" s="459" t="s">
        <v>885</v>
      </c>
      <c r="CT3494" s="245" t="s">
        <v>885</v>
      </c>
      <c r="CU3494" s="463" t="s">
        <v>885</v>
      </c>
      <c r="CV3494" s="245" t="s">
        <v>885</v>
      </c>
      <c r="CW3494" s="245" t="s">
        <v>885</v>
      </c>
      <c r="CX3494" s="459" t="s">
        <v>885</v>
      </c>
      <c r="CY3494" s="459" t="s">
        <v>885</v>
      </c>
      <c r="CZ3494" s="459" t="s">
        <v>885</v>
      </c>
      <c r="DA3494" s="459" t="s">
        <v>885</v>
      </c>
      <c r="DB3494" s="459" t="s">
        <v>885</v>
      </c>
      <c r="DC3494" s="459" t="s">
        <v>885</v>
      </c>
      <c r="DD3494" s="459" t="s">
        <v>885</v>
      </c>
      <c r="DE3494" s="459" t="s">
        <v>885</v>
      </c>
      <c r="DF3494" s="459" t="s">
        <v>885</v>
      </c>
      <c r="DG3494" s="459" t="s">
        <v>885</v>
      </c>
      <c r="DH3494" s="459" t="s">
        <v>885</v>
      </c>
      <c r="DI3494" s="459" t="s">
        <v>885</v>
      </c>
      <c r="DJ3494" s="459" t="s">
        <v>885</v>
      </c>
      <c r="DK3494" s="459" t="s">
        <v>885</v>
      </c>
      <c r="DL3494" s="459" t="s">
        <v>885</v>
      </c>
      <c r="DM3494" s="459" t="s">
        <v>885</v>
      </c>
      <c r="DN3494" s="459" t="s">
        <v>885</v>
      </c>
      <c r="DO3494" s="459" t="s">
        <v>885</v>
      </c>
      <c r="DP3494" t="s">
        <v>3044</v>
      </c>
      <c r="DQ3494" s="459" t="s">
        <v>885</v>
      </c>
      <c r="DR3494" s="459" t="s">
        <v>885</v>
      </c>
      <c r="DS3494" s="459" t="s">
        <v>885</v>
      </c>
      <c r="DT3494" s="459" t="s">
        <v>885</v>
      </c>
      <c r="DU3494" s="459" t="s">
        <v>885</v>
      </c>
      <c r="DV3494" s="459" t="s">
        <v>885</v>
      </c>
      <c r="DW3494" s="459" t="s">
        <v>885</v>
      </c>
      <c r="DX3494" s="245" t="s">
        <v>885</v>
      </c>
      <c r="DY3494" s="245"/>
      <c r="DZ3494" s="470" t="str">
        <f t="shared" si="180"/>
        <v/>
      </c>
      <c r="EA3494" s="470" t="str">
        <f t="shared" si="181"/>
        <v/>
      </c>
      <c r="EB3494" s="459" t="s">
        <v>885</v>
      </c>
    </row>
    <row r="3495" spans="1:132" ht="16" hidden="1" x14ac:dyDescent="0.4">
      <c r="A3495" s="813"/>
      <c r="BB3495" s="48"/>
      <c r="BS3495" s="464" t="str">
        <f>IF($B$265=B$3281,BZ3494,IF($B$265=B$3282,CA3494,IF($B$265=B$3283,CB3494,IF($B$265=B$3284,CC3494,IF($B$265=B$3285,CD3494,IF($B$265=B$3286,CE3494,IF($B$265=B$3287,CF3494,IF($B$265=B$3288,CG3494,IF($B$265=B$3289,CH3494,IF($B$265=B$3290,CI3494,IF($B$265=B$3291,CJ3494,IF($B$265=B$3292,CK3494,IF($B$265=B$3293,CL3494,IF($B$265=B$3294,CM3494,IF($B$265=B$3295,CN3494,IF($B$265=B$3296,C2731,IF($B$265=B$3297,CO3494,IF($B$265=B$3298,CP3494,IF($B$265=B$3299,CQ3494,IF($B$265=B$3300,CR3494,IF($B$265=B$3301,CS3494,IF($B$265=B$3302,CT3494,IF(B$265=B$3303,CU3494,IF($B$265=B$3304,CV3494,IF($B$265=B$3305,CW3494,IF($B$265=B$3306,CX3494,IF($B$265=B$3307,CY3494,IF($B$265=B$3308,CZ3494,IF($B$265=B$3309,DA3494,IF($B$265=B$3310,DB3494,IF($B$265=B$3311,DC3494,IF($B$265=B$3312,DD3494,IF($B$265=B$3313,DE3494,IF($B$265=B$3314,DF3494,IF($B$265=B$3315,DG3494,IF($B$265=B$3316,DH3494,IF($B$265=B$3317,DI3494,IF($B$265=B$3318,DJ3494,IF($B$265=B$3319,DK3494,IF($B$265=B$3320,DL3494,IF($B$265=B$3321,DM3494,IF($B$265=B$3322,DN3494,IF($B$265=B$3323,DO3494,IF($B$265=B$3324,DP3494,IF($B$265=B$3325,DQ3494,IF($B$265=B$3326,DR3494,IF($B$265=B$3327,DS3494,IF($B$265=B$3328,DT3494,IF($B$265=B$3329,DU3494,IF($B$265=B$3330,DV3494,IF($B$265=B$3331,DW3494,IF($B$265=B$3332,DX3494,""))))))))))))))))))))))))))))))))))))))))))))))))))))</f>
        <v/>
      </c>
      <c r="BZ3495" s="245" t="s">
        <v>885</v>
      </c>
      <c r="CA3495" s="245" t="s">
        <v>885</v>
      </c>
      <c r="CC3495" s="245" t="s">
        <v>885</v>
      </c>
      <c r="CD3495" s="459" t="s">
        <v>885</v>
      </c>
      <c r="CE3495" s="459" t="s">
        <v>885</v>
      </c>
      <c r="CF3495" s="245" t="s">
        <v>885</v>
      </c>
      <c r="CG3495" s="245" t="s">
        <v>885</v>
      </c>
      <c r="CH3495" s="245" t="s">
        <v>885</v>
      </c>
      <c r="CI3495" s="245" t="s">
        <v>885</v>
      </c>
      <c r="CJ3495" s="459" t="s">
        <v>885</v>
      </c>
      <c r="CK3495" s="459" t="s">
        <v>885</v>
      </c>
      <c r="CL3495" s="459" t="s">
        <v>885</v>
      </c>
      <c r="CM3495" s="459" t="s">
        <v>885</v>
      </c>
      <c r="CN3495" s="459" t="s">
        <v>885</v>
      </c>
      <c r="CO3495" s="459" t="s">
        <v>885</v>
      </c>
      <c r="CP3495" s="459" t="s">
        <v>885</v>
      </c>
      <c r="CQ3495" s="459" t="s">
        <v>885</v>
      </c>
      <c r="CR3495" s="459" t="s">
        <v>885</v>
      </c>
      <c r="CS3495" s="459" t="s">
        <v>885</v>
      </c>
      <c r="CT3495" s="245" t="s">
        <v>885</v>
      </c>
      <c r="CU3495" s="463" t="s">
        <v>885</v>
      </c>
      <c r="CV3495" s="245" t="s">
        <v>885</v>
      </c>
      <c r="CW3495" s="245" t="s">
        <v>885</v>
      </c>
      <c r="CX3495" s="459" t="s">
        <v>885</v>
      </c>
      <c r="CY3495" s="459" t="s">
        <v>885</v>
      </c>
      <c r="CZ3495" s="459" t="s">
        <v>885</v>
      </c>
      <c r="DA3495" s="459" t="s">
        <v>885</v>
      </c>
      <c r="DB3495" s="459" t="s">
        <v>885</v>
      </c>
      <c r="DC3495" s="459" t="s">
        <v>885</v>
      </c>
      <c r="DD3495" s="459" t="s">
        <v>885</v>
      </c>
      <c r="DE3495" s="459" t="s">
        <v>885</v>
      </c>
      <c r="DF3495" s="459" t="s">
        <v>885</v>
      </c>
      <c r="DG3495" s="459" t="s">
        <v>885</v>
      </c>
      <c r="DH3495" s="459" t="s">
        <v>885</v>
      </c>
      <c r="DI3495" s="459" t="s">
        <v>885</v>
      </c>
      <c r="DJ3495" s="459" t="s">
        <v>885</v>
      </c>
      <c r="DK3495" s="459" t="s">
        <v>885</v>
      </c>
      <c r="DL3495" s="459" t="s">
        <v>885</v>
      </c>
      <c r="DM3495" s="459" t="s">
        <v>885</v>
      </c>
      <c r="DN3495" s="459" t="s">
        <v>885</v>
      </c>
      <c r="DO3495" s="459" t="s">
        <v>885</v>
      </c>
      <c r="DP3495" t="s">
        <v>3045</v>
      </c>
      <c r="DQ3495" s="459" t="s">
        <v>885</v>
      </c>
      <c r="DR3495" s="459" t="s">
        <v>885</v>
      </c>
      <c r="DS3495" s="459" t="s">
        <v>885</v>
      </c>
      <c r="DT3495" s="459" t="s">
        <v>885</v>
      </c>
      <c r="DU3495" s="459" t="s">
        <v>885</v>
      </c>
      <c r="DV3495" s="459" t="s">
        <v>885</v>
      </c>
      <c r="DW3495" s="459" t="s">
        <v>885</v>
      </c>
      <c r="DX3495" s="245" t="s">
        <v>885</v>
      </c>
      <c r="DY3495" s="245"/>
      <c r="DZ3495" s="470" t="str">
        <f t="shared" si="180"/>
        <v/>
      </c>
      <c r="EA3495" s="470" t="str">
        <f t="shared" si="181"/>
        <v/>
      </c>
      <c r="EB3495" s="459" t="s">
        <v>885</v>
      </c>
    </row>
    <row r="3496" spans="1:132" ht="16" hidden="1" x14ac:dyDescent="0.4">
      <c r="A3496" s="813"/>
      <c r="BB3496" s="48"/>
      <c r="BS3496" s="464" t="str">
        <f>IF($B$265=B$3281,BZ3495,IF($B$265=B$3282,CA3495,IF($B$265=B$3283,CB3495,IF($B$265=B$3284,CC3495,IF($B$265=B$3285,CD3495,IF($B$265=B$3286,CE3495,IF($B$265=B$3287,CF3495,IF($B$265=B$3288,CG3495,IF($B$265=B$3289,CH3495,IF($B$265=B$3290,CI3495,IF($B$265=B$3291,CJ3495,IF($B$265=B$3292,CK3495,IF($B$265=B$3293,CL3495,IF($B$265=B$3294,CM3495,IF($B$265=B$3295,CN3495,IF($B$265=B$3296,C2726,IF($B$265=B$3297,CO3495,IF($B$265=B$3298,CP3495,IF($B$265=B$3299,CQ3495,IF($B$265=B$3300,CR3495,IF($B$265=B$3301,CS3495,IF($B$265=B$3302,CT3495,IF(B$265=B$3303,CU3495,IF($B$265=B$3304,CV3495,IF($B$265=B$3305,CW3495,IF($B$265=B$3306,CX3495,IF($B$265=B$3307,CY3495,IF($B$265=B$3308,CZ3495,IF($B$265=B$3309,DA3495,IF($B$265=B$3310,DB3495,IF($B$265=B$3311,DC3495,IF($B$265=B$3312,DD3495,IF($B$265=B$3313,DE3495,IF($B$265=B$3314,DF3495,IF($B$265=B$3315,DG3495,IF($B$265=B$3316,DH3495,IF($B$265=B$3317,DI3495,IF($B$265=B$3318,DJ3495,IF($B$265=B$3319,DK3495,IF($B$265=B$3320,DL3495,IF($B$265=B$3321,DM3495,IF($B$265=B$3322,DN3495,IF($B$265=B$3323,DO3495,IF($B$265=B$3324,DP3495,IF($B$265=B$3325,DQ3495,IF($B$265=B$3326,DR3495,IF($B$265=B$3327,DS3495,IF($B$265=B$3328,DT3495,IF($B$265=B$3329,DU3495,IF($B$265=B$3330,DV3495,IF($B$265=B$3331,DW3495,IF($B$265=B$3332,DX3495,""))))))))))))))))))))))))))))))))))))))))))))))))))))</f>
        <v/>
      </c>
      <c r="BZ3496" s="245" t="s">
        <v>885</v>
      </c>
      <c r="CA3496" s="245" t="s">
        <v>885</v>
      </c>
      <c r="CC3496" s="245" t="s">
        <v>885</v>
      </c>
      <c r="CD3496" s="459" t="s">
        <v>885</v>
      </c>
      <c r="CE3496" s="459" t="s">
        <v>885</v>
      </c>
      <c r="CF3496" s="245" t="s">
        <v>885</v>
      </c>
      <c r="CG3496" s="245" t="s">
        <v>885</v>
      </c>
      <c r="CH3496" s="245" t="s">
        <v>885</v>
      </c>
      <c r="CI3496" s="245" t="s">
        <v>885</v>
      </c>
      <c r="CJ3496" s="459" t="s">
        <v>885</v>
      </c>
      <c r="CK3496" s="459" t="s">
        <v>885</v>
      </c>
      <c r="CL3496" s="459" t="s">
        <v>885</v>
      </c>
      <c r="CM3496" s="459" t="s">
        <v>885</v>
      </c>
      <c r="CN3496" s="459" t="s">
        <v>885</v>
      </c>
      <c r="CO3496" s="459" t="s">
        <v>885</v>
      </c>
      <c r="CP3496" s="459" t="s">
        <v>885</v>
      </c>
      <c r="CQ3496" s="459" t="s">
        <v>885</v>
      </c>
      <c r="CR3496" s="459" t="s">
        <v>885</v>
      </c>
      <c r="CS3496" s="459" t="s">
        <v>885</v>
      </c>
      <c r="CT3496" s="245" t="s">
        <v>885</v>
      </c>
      <c r="CU3496" s="463" t="s">
        <v>885</v>
      </c>
      <c r="CV3496" s="245" t="s">
        <v>885</v>
      </c>
      <c r="CW3496" s="245" t="s">
        <v>885</v>
      </c>
      <c r="CX3496" s="459" t="s">
        <v>885</v>
      </c>
      <c r="CY3496" s="459" t="s">
        <v>885</v>
      </c>
      <c r="CZ3496" s="459" t="s">
        <v>885</v>
      </c>
      <c r="DA3496" s="459" t="s">
        <v>885</v>
      </c>
      <c r="DB3496" s="459" t="s">
        <v>885</v>
      </c>
      <c r="DC3496" s="459" t="s">
        <v>885</v>
      </c>
      <c r="DD3496" s="459" t="s">
        <v>885</v>
      </c>
      <c r="DE3496" s="459" t="s">
        <v>885</v>
      </c>
      <c r="DF3496" s="459" t="s">
        <v>885</v>
      </c>
      <c r="DG3496" s="459" t="s">
        <v>885</v>
      </c>
      <c r="DH3496" s="459" t="s">
        <v>885</v>
      </c>
      <c r="DI3496" s="459" t="s">
        <v>885</v>
      </c>
      <c r="DJ3496" s="459" t="s">
        <v>885</v>
      </c>
      <c r="DK3496" s="459" t="s">
        <v>885</v>
      </c>
      <c r="DL3496" s="459" t="s">
        <v>885</v>
      </c>
      <c r="DM3496" s="459" t="s">
        <v>885</v>
      </c>
      <c r="DN3496" s="459" t="s">
        <v>885</v>
      </c>
      <c r="DO3496" s="459" t="s">
        <v>885</v>
      </c>
      <c r="DP3496" t="s">
        <v>3046</v>
      </c>
      <c r="DQ3496" s="459" t="s">
        <v>885</v>
      </c>
      <c r="DR3496" s="459" t="s">
        <v>885</v>
      </c>
      <c r="DS3496" s="459" t="s">
        <v>885</v>
      </c>
      <c r="DT3496" s="459" t="s">
        <v>885</v>
      </c>
      <c r="DU3496" s="459" t="s">
        <v>885</v>
      </c>
      <c r="DV3496" s="459" t="s">
        <v>885</v>
      </c>
      <c r="DW3496" s="459" t="s">
        <v>885</v>
      </c>
      <c r="DX3496" s="245" t="s">
        <v>885</v>
      </c>
      <c r="DY3496" s="245"/>
      <c r="DZ3496" s="470" t="str">
        <f t="shared" si="180"/>
        <v/>
      </c>
      <c r="EA3496" s="470" t="str">
        <f t="shared" si="181"/>
        <v/>
      </c>
      <c r="EB3496" s="459" t="s">
        <v>885</v>
      </c>
    </row>
    <row r="3497" spans="1:132" ht="16" hidden="1" x14ac:dyDescent="0.4">
      <c r="A3497" s="813"/>
      <c r="BB3497" s="48"/>
      <c r="BS3497" s="464" t="str">
        <f>IF($B$265=B$3281,BZ3496,IF($B$265=B$3282,CA3496,IF($B$265=B$3283,CB3496,IF($B$265=B$3284,CC3496,IF($B$265=B$3285,CD3496,IF($B$265=B$3286,CE3496,IF($B$265=B$3287,CF3496,IF($B$265=B$3288,CG3496,IF($B$265=B$3289,CH3496,IF($B$265=B$3290,CI3496,IF($B$265=B$3291,CJ3496,IF($B$265=B$3292,CK3496,IF($B$265=B$3293,CL3496,IF($B$265=B$3294,CM3496,IF($B$265=B$3295,CN3496,IF($B$265=B$3296,C2727,IF($B$265=B$3297,CO3496,IF($B$265=B$3298,CP3496,IF($B$265=B$3299,CQ3496,IF($B$265=B$3300,CR3496,IF($B$265=B$3301,CS3496,IF($B$265=B$3302,CT3496,IF(B$265=B$3303,CU3496,IF($B$265=B$3304,CV3496,IF($B$265=B$3305,CW3496,IF($B$265=B$3306,CX3496,IF($B$265=B$3307,CY3496,IF($B$265=B$3308,CZ3496,IF($B$265=B$3309,DA3496,IF($B$265=B$3310,DB3496,IF($B$265=B$3311,DC3496,IF($B$265=B$3312,DD3496,IF($B$265=B$3313,DE3496,IF($B$265=B$3314,DF3496,IF($B$265=B$3315,DG3496,IF($B$265=B$3316,DH3496,IF($B$265=B$3317,DI3496,IF($B$265=B$3318,DJ3496,IF($B$265=B$3319,DK3496,IF($B$265=B$3320,DL3496,IF($B$265=B$3321,DM3496,IF($B$265=B$3322,DN3496,IF($B$265=B$3323,DO3496,IF($B$265=B$3324,DP3496,IF($B$265=B$3325,DQ3496,IF($B$265=B$3326,DR3496,IF($B$265=B$3327,DS3496,IF($B$265=B$3328,DT3496,IF($B$265=B$3329,DU3496,IF($B$265=B$3330,DV3496,IF($B$265=B$3331,DW3496,IF($B$265=B$3332,DX3496,""))))))))))))))))))))))))))))))))))))))))))))))))))))</f>
        <v/>
      </c>
      <c r="BZ3497" s="245" t="s">
        <v>885</v>
      </c>
      <c r="CA3497" s="245" t="s">
        <v>885</v>
      </c>
      <c r="CC3497" s="245" t="s">
        <v>885</v>
      </c>
      <c r="CD3497" s="459" t="s">
        <v>885</v>
      </c>
      <c r="CE3497" s="459" t="s">
        <v>885</v>
      </c>
      <c r="CF3497" s="245" t="s">
        <v>885</v>
      </c>
      <c r="CG3497" s="245" t="s">
        <v>885</v>
      </c>
      <c r="CH3497" s="245" t="s">
        <v>885</v>
      </c>
      <c r="CI3497" s="245" t="s">
        <v>885</v>
      </c>
      <c r="CJ3497" s="459" t="s">
        <v>885</v>
      </c>
      <c r="CK3497" s="459" t="s">
        <v>885</v>
      </c>
      <c r="CL3497" s="459" t="s">
        <v>885</v>
      </c>
      <c r="CM3497" s="459" t="s">
        <v>885</v>
      </c>
      <c r="CN3497" s="459" t="s">
        <v>885</v>
      </c>
      <c r="CO3497" s="459" t="s">
        <v>885</v>
      </c>
      <c r="CP3497" s="459" t="s">
        <v>885</v>
      </c>
      <c r="CQ3497" s="459" t="s">
        <v>885</v>
      </c>
      <c r="CR3497" s="459" t="s">
        <v>885</v>
      </c>
      <c r="CS3497" s="459" t="s">
        <v>885</v>
      </c>
      <c r="CT3497" s="245" t="s">
        <v>885</v>
      </c>
      <c r="CU3497" s="463" t="s">
        <v>885</v>
      </c>
      <c r="CV3497" s="245" t="s">
        <v>885</v>
      </c>
      <c r="CW3497" s="245" t="s">
        <v>885</v>
      </c>
      <c r="CX3497" s="459" t="s">
        <v>885</v>
      </c>
      <c r="CY3497" s="459" t="s">
        <v>885</v>
      </c>
      <c r="CZ3497" s="459" t="s">
        <v>885</v>
      </c>
      <c r="DA3497" s="459" t="s">
        <v>885</v>
      </c>
      <c r="DB3497" s="459" t="s">
        <v>885</v>
      </c>
      <c r="DC3497" s="459" t="s">
        <v>885</v>
      </c>
      <c r="DD3497" s="459" t="s">
        <v>885</v>
      </c>
      <c r="DE3497" s="459" t="s">
        <v>885</v>
      </c>
      <c r="DF3497" s="459" t="s">
        <v>885</v>
      </c>
      <c r="DG3497" s="459" t="s">
        <v>885</v>
      </c>
      <c r="DH3497" s="459" t="s">
        <v>885</v>
      </c>
      <c r="DI3497" s="459" t="s">
        <v>885</v>
      </c>
      <c r="DJ3497" s="459" t="s">
        <v>885</v>
      </c>
      <c r="DK3497" s="459" t="s">
        <v>885</v>
      </c>
      <c r="DL3497" s="459" t="s">
        <v>885</v>
      </c>
      <c r="DM3497" s="459" t="s">
        <v>885</v>
      </c>
      <c r="DN3497" s="459" t="s">
        <v>885</v>
      </c>
      <c r="DO3497" s="459" t="s">
        <v>885</v>
      </c>
      <c r="DP3497" t="s">
        <v>3047</v>
      </c>
      <c r="DQ3497" s="459" t="s">
        <v>885</v>
      </c>
      <c r="DR3497" s="459" t="s">
        <v>885</v>
      </c>
      <c r="DS3497" s="459" t="s">
        <v>885</v>
      </c>
      <c r="DT3497" s="459" t="s">
        <v>885</v>
      </c>
      <c r="DU3497" s="459" t="s">
        <v>885</v>
      </c>
      <c r="DV3497" s="459" t="s">
        <v>885</v>
      </c>
      <c r="DW3497" s="459" t="s">
        <v>885</v>
      </c>
      <c r="DX3497" s="245" t="s">
        <v>885</v>
      </c>
      <c r="DY3497" s="245"/>
      <c r="DZ3497" s="470" t="str">
        <f t="shared" si="180"/>
        <v/>
      </c>
      <c r="EA3497" s="470" t="str">
        <f t="shared" si="181"/>
        <v/>
      </c>
      <c r="EB3497" s="459" t="s">
        <v>885</v>
      </c>
    </row>
    <row r="3498" spans="1:132" ht="16" hidden="1" x14ac:dyDescent="0.4">
      <c r="A3498" s="813"/>
      <c r="BB3498" s="48"/>
      <c r="BS3498" s="464" t="str">
        <f>IF($B$265=B$3281,BZ3497,IF($B$265=B$3282,CA3497,IF($B$265=B$3283,CB3497,IF($B$265=B$3284,CC3497,IF($B$265=B$3285,CD3497,IF($B$265=B$3286,CE3497,IF($B$265=B$3287,CF3497,IF($B$265=B$3288,CG3497,IF($B$265=B$3289,CH3497,IF($B$265=B$3290,CI3497,IF($B$265=B$3291,CJ3497,IF($B$265=B$3292,CK3497,IF($B$265=B$3293,CL3497,IF($B$265=B$3294,CM3497,IF($B$265=B$3295,CN3497,IF($B$265=B$3296,C2728,IF($B$265=B$3297,CO3497,IF($B$265=B$3298,CP3497,IF($B$265=B$3299,CQ3497,IF($B$265=B$3300,CR3497,IF($B$265=B$3301,CS3497,IF($B$265=B$3302,CT3497,IF(B$265=B$3303,CU3497,IF($B$265=B$3304,CV3497,IF($B$265=B$3305,CW3497,IF($B$265=B$3306,CX3497,IF($B$265=B$3307,CY3497,IF($B$265=B$3308,CZ3497,IF($B$265=B$3309,DA3497,IF($B$265=B$3310,DB3497,IF($B$265=B$3311,DC3497,IF($B$265=B$3312,DD3497,IF($B$265=B$3313,DE3497,IF($B$265=B$3314,DF3497,IF($B$265=B$3315,DG3497,IF($B$265=B$3316,DH3497,IF($B$265=B$3317,DI3497,IF($B$265=B$3318,DJ3497,IF($B$265=B$3319,DK3497,IF($B$265=B$3320,DL3497,IF($B$265=B$3321,DM3497,IF($B$265=B$3322,DN3497,IF($B$265=B$3323,DO3497,IF($B$265=B$3324,DP3497,IF($B$265=B$3325,DQ3497,IF($B$265=B$3326,DR3497,IF($B$265=B$3327,DS3497,IF($B$265=B$3328,DT3497,IF($B$265=B$3329,DU3497,IF($B$265=B$3330,DV3497,IF($B$265=B$3331,DW3497,IF($B$265=B$3332,DX3497,""))))))))))))))))))))))))))))))))))))))))))))))))))))</f>
        <v/>
      </c>
      <c r="BZ3498" s="245" t="s">
        <v>885</v>
      </c>
      <c r="CA3498" s="245" t="s">
        <v>885</v>
      </c>
      <c r="CC3498" s="245" t="s">
        <v>885</v>
      </c>
      <c r="CD3498" s="459" t="s">
        <v>885</v>
      </c>
      <c r="CE3498" s="459" t="s">
        <v>885</v>
      </c>
      <c r="CF3498" s="245" t="s">
        <v>885</v>
      </c>
      <c r="CG3498" s="245" t="s">
        <v>885</v>
      </c>
      <c r="CH3498" s="245" t="s">
        <v>885</v>
      </c>
      <c r="CI3498" s="245" t="s">
        <v>885</v>
      </c>
      <c r="CJ3498" s="459" t="s">
        <v>885</v>
      </c>
      <c r="CK3498" s="459" t="s">
        <v>885</v>
      </c>
      <c r="CL3498" s="459" t="s">
        <v>885</v>
      </c>
      <c r="CM3498" s="459" t="s">
        <v>885</v>
      </c>
      <c r="CN3498" s="459" t="s">
        <v>885</v>
      </c>
      <c r="CO3498" s="459" t="s">
        <v>885</v>
      </c>
      <c r="CP3498" s="459" t="s">
        <v>885</v>
      </c>
      <c r="CQ3498" s="459" t="s">
        <v>885</v>
      </c>
      <c r="CR3498" s="459" t="s">
        <v>885</v>
      </c>
      <c r="CS3498" s="459" t="s">
        <v>885</v>
      </c>
      <c r="CT3498" s="245" t="s">
        <v>885</v>
      </c>
      <c r="CU3498" s="463" t="s">
        <v>885</v>
      </c>
      <c r="CV3498" s="245" t="s">
        <v>885</v>
      </c>
      <c r="CW3498" s="245" t="s">
        <v>885</v>
      </c>
      <c r="CX3498" s="459" t="s">
        <v>885</v>
      </c>
      <c r="CY3498" s="459" t="s">
        <v>885</v>
      </c>
      <c r="CZ3498" s="459" t="s">
        <v>885</v>
      </c>
      <c r="DA3498" s="459" t="s">
        <v>885</v>
      </c>
      <c r="DB3498" s="459" t="s">
        <v>885</v>
      </c>
      <c r="DC3498" s="459" t="s">
        <v>885</v>
      </c>
      <c r="DD3498" s="459" t="s">
        <v>885</v>
      </c>
      <c r="DE3498" s="459" t="s">
        <v>885</v>
      </c>
      <c r="DF3498" s="459" t="s">
        <v>885</v>
      </c>
      <c r="DG3498" s="459" t="s">
        <v>885</v>
      </c>
      <c r="DH3498" s="459" t="s">
        <v>885</v>
      </c>
      <c r="DI3498" s="459" t="s">
        <v>885</v>
      </c>
      <c r="DJ3498" s="459" t="s">
        <v>885</v>
      </c>
      <c r="DK3498" s="459" t="s">
        <v>885</v>
      </c>
      <c r="DL3498" s="459" t="s">
        <v>885</v>
      </c>
      <c r="DM3498" s="459" t="s">
        <v>885</v>
      </c>
      <c r="DN3498" s="459" t="s">
        <v>885</v>
      </c>
      <c r="DO3498" s="459" t="s">
        <v>885</v>
      </c>
      <c r="DP3498" t="s">
        <v>3048</v>
      </c>
      <c r="DQ3498" s="459" t="s">
        <v>885</v>
      </c>
      <c r="DR3498" s="459" t="s">
        <v>885</v>
      </c>
      <c r="DS3498" s="459" t="s">
        <v>885</v>
      </c>
      <c r="DT3498" s="459" t="s">
        <v>885</v>
      </c>
      <c r="DU3498" s="459" t="s">
        <v>885</v>
      </c>
      <c r="DV3498" s="459" t="s">
        <v>885</v>
      </c>
      <c r="DW3498" s="459" t="s">
        <v>885</v>
      </c>
      <c r="DX3498" s="245" t="s">
        <v>885</v>
      </c>
      <c r="DY3498" s="245"/>
      <c r="DZ3498" s="470" t="str">
        <f t="shared" si="180"/>
        <v/>
      </c>
      <c r="EA3498" s="470" t="str">
        <f t="shared" si="181"/>
        <v/>
      </c>
      <c r="EB3498" s="459" t="s">
        <v>885</v>
      </c>
    </row>
    <row r="3499" spans="1:132" ht="16" hidden="1" x14ac:dyDescent="0.4">
      <c r="A3499" s="813"/>
      <c r="C3499" s="69"/>
      <c r="BB3499" s="48"/>
      <c r="BS3499" s="464" t="str">
        <f>IF($B$265=B$3281,BZ3498,IF($B$265=B$3282,CA3498,IF($B$265=B$3283,CB3498,IF($B$265=B$3284,CC3498,IF($B$265=B$3285,CD3498,IF($B$265=B$3286,CE3498,IF($B$265=B$3287,CF3498,IF($B$265=B$3288,CG3498,IF($B$265=B$3289,CH3498,IF($B$265=B$3290,CI3498,IF($B$265=B$3291,CJ3498,IF($B$265=B$3292,CK3498,IF($B$265=B$3293,CL3498,IF($B$265=B$3294,CM3498,IF($B$265=B$3295,CN3498,IF($B$265=B$3296,C2729,IF($B$265=B$3297,CO3498,IF($B$265=B$3298,CP3498,IF($B$265=B$3299,CQ3498,IF($B$265=B$3300,CR3498,IF($B$265=B$3301,CS3498,IF($B$265=B$3302,CT3498,IF(B$265=B$3303,CU3498,IF($B$265=B$3304,CV3498,IF($B$265=B$3305,CW3498,IF($B$265=B$3306,CX3498,IF($B$265=B$3307,CY3498,IF($B$265=B$3308,CZ3498,IF($B$265=B$3309,DA3498,IF($B$265=B$3310,DB3498,IF($B$265=B$3311,DC3498,IF($B$265=B$3312,DD3498,IF($B$265=B$3313,DE3498,IF($B$265=B$3314,DF3498,IF($B$265=B$3315,DG3498,IF($B$265=B$3316,DH3498,IF($B$265=B$3317,DI3498,IF($B$265=B$3318,DJ3498,IF($B$265=B$3319,DK3498,IF($B$265=B$3320,DL3498,IF($B$265=B$3321,DM3498,IF($B$265=B$3322,DN3498,IF($B$265=B$3323,DO3498,IF($B$265=B$3324,DP3498,IF($B$265=B$3325,DQ3498,IF($B$265=B$3326,DR3498,IF($B$265=B$3327,DS3498,IF($B$265=B$3328,DT3498,IF($B$265=B$3329,DU3498,IF($B$265=B$3330,DV3498,IF($B$265=B$3331,DW3498,IF($B$265=B$3332,DX3498,""))))))))))))))))))))))))))))))))))))))))))))))))))))</f>
        <v/>
      </c>
      <c r="BZ3499" s="245" t="s">
        <v>885</v>
      </c>
      <c r="CA3499" s="245" t="s">
        <v>885</v>
      </c>
      <c r="CC3499" s="245" t="s">
        <v>885</v>
      </c>
      <c r="CD3499" s="459" t="s">
        <v>885</v>
      </c>
      <c r="CE3499" s="459" t="s">
        <v>885</v>
      </c>
      <c r="CF3499" s="245" t="s">
        <v>885</v>
      </c>
      <c r="CG3499" s="245" t="s">
        <v>885</v>
      </c>
      <c r="CH3499" s="245" t="s">
        <v>885</v>
      </c>
      <c r="CI3499" s="245" t="s">
        <v>885</v>
      </c>
      <c r="CJ3499" s="459" t="s">
        <v>885</v>
      </c>
      <c r="CK3499" s="459" t="s">
        <v>885</v>
      </c>
      <c r="CL3499" s="459" t="s">
        <v>885</v>
      </c>
      <c r="CM3499" s="459" t="s">
        <v>885</v>
      </c>
      <c r="CN3499" s="459" t="s">
        <v>885</v>
      </c>
      <c r="CO3499" s="459" t="s">
        <v>885</v>
      </c>
      <c r="CP3499" s="459" t="s">
        <v>885</v>
      </c>
      <c r="CQ3499" s="459" t="s">
        <v>885</v>
      </c>
      <c r="CR3499" s="459" t="s">
        <v>885</v>
      </c>
      <c r="CS3499" s="459" t="s">
        <v>885</v>
      </c>
      <c r="CT3499" s="245" t="s">
        <v>885</v>
      </c>
      <c r="CU3499" s="463" t="s">
        <v>885</v>
      </c>
      <c r="CV3499" s="245" t="s">
        <v>885</v>
      </c>
      <c r="CW3499" s="245" t="s">
        <v>885</v>
      </c>
      <c r="CX3499" s="459" t="s">
        <v>885</v>
      </c>
      <c r="CY3499" s="459" t="s">
        <v>885</v>
      </c>
      <c r="CZ3499" s="459" t="s">
        <v>885</v>
      </c>
      <c r="DA3499" s="459" t="s">
        <v>885</v>
      </c>
      <c r="DB3499" s="459" t="s">
        <v>885</v>
      </c>
      <c r="DC3499" s="459" t="s">
        <v>885</v>
      </c>
      <c r="DD3499" s="459" t="s">
        <v>885</v>
      </c>
      <c r="DE3499" s="459" t="s">
        <v>885</v>
      </c>
      <c r="DF3499" s="459" t="s">
        <v>885</v>
      </c>
      <c r="DG3499" s="459" t="s">
        <v>885</v>
      </c>
      <c r="DH3499" s="459" t="s">
        <v>885</v>
      </c>
      <c r="DI3499" s="459" t="s">
        <v>885</v>
      </c>
      <c r="DJ3499" s="459" t="s">
        <v>885</v>
      </c>
      <c r="DK3499" s="459" t="s">
        <v>885</v>
      </c>
      <c r="DL3499" s="459" t="s">
        <v>885</v>
      </c>
      <c r="DM3499" s="459" t="s">
        <v>885</v>
      </c>
      <c r="DN3499" s="459" t="s">
        <v>885</v>
      </c>
      <c r="DO3499" s="459" t="s">
        <v>885</v>
      </c>
      <c r="DP3499" t="s">
        <v>3049</v>
      </c>
      <c r="DQ3499" s="459" t="s">
        <v>885</v>
      </c>
      <c r="DR3499" s="459" t="s">
        <v>885</v>
      </c>
      <c r="DS3499" s="459" t="s">
        <v>885</v>
      </c>
      <c r="DT3499" s="459" t="s">
        <v>885</v>
      </c>
      <c r="DU3499" s="459" t="s">
        <v>885</v>
      </c>
      <c r="DV3499" s="459" t="s">
        <v>885</v>
      </c>
      <c r="DW3499" s="459" t="s">
        <v>885</v>
      </c>
      <c r="DX3499" s="245" t="s">
        <v>885</v>
      </c>
      <c r="DY3499" s="245"/>
      <c r="DZ3499" s="470" t="str">
        <f t="shared" si="180"/>
        <v/>
      </c>
      <c r="EA3499" s="470" t="str">
        <f t="shared" si="181"/>
        <v/>
      </c>
      <c r="EB3499" s="459" t="s">
        <v>885</v>
      </c>
    </row>
    <row r="3500" spans="1:132" ht="16" hidden="1" x14ac:dyDescent="0.4">
      <c r="A3500" s="813"/>
      <c r="BS3500" s="464" t="str">
        <f>IF($B$265=B$3281,BZ3499,IF($B$265=B$3282,CA3499,IF($B$265=B$3283,CB3499,IF($B$265=B$3284,CC3499,IF($B$265=B$3285,CD3499,IF($B$265=B$3286,CE3499,IF($B$265=B$3287,CF3499,IF($B$265=B$3288,CG3499,IF($B$265=B$3289,CH3499,IF($B$265=B$3290,CI3499,IF($B$265=B$3291,CJ3499,IF($B$265=B$3292,CK3499,IF($B$265=B$3293,CL3499,IF($B$265=B$3294,CM3499,IF($B$265=B$3295,CN3499,IF($B$265=B$3296,C3499,IF($B$265=B$3297,CO3499,IF($B$265=B$3298,CP3499,IF($B$265=B$3299,CQ3499,IF($B$265=B$3300,CR3499,IF($B$265=B$3301,CS3499,IF($B$265=B$3302,CT3499,IF(B$265=B$3303,CU3499,IF($B$265=B$3304,CV3499,IF($B$265=B$3305,CW3499,IF($B$265=B$3306,CX3499,IF($B$265=B$3307,CY3499,IF($B$265=B$3308,CZ3499,IF($B$265=B$3309,DA3499,IF($B$265=B$3310,DB3499,IF($B$265=B$3311,DC3499,IF($B$265=B$3312,DD3499,IF($B$265=B$3313,DE3499,IF($B$265=B$3314,DF3499,IF($B$265=B$3315,DG3499,IF($B$265=B$3316,DH3499,IF($B$265=B$3317,DI3499,IF($B$265=B$3318,DJ3499,IF($B$265=B$3319,DK3499,IF($B$265=B$3320,DL3499,IF($B$265=B$3321,DM3499,IF($B$265=B$3322,DN3499,IF($B$265=B$3323,DO3499,IF($B$265=B$3324,DP3499,IF($B$265=B$3325,DQ3499,IF($B$265=B$3326,DR3499,IF($B$265=B$3327,DS3499,IF($B$265=B$3328,DT3499,IF($B$265=B$3329,DU3499,IF($B$265=B$3330,DV3499,IF($B$265=B$3331,DW3499,IF($B$265=B$3332,DX3499,""))))))))))))))))))))))))))))))))))))))))))))))))))))</f>
        <v/>
      </c>
      <c r="BZ3500" s="245" t="s">
        <v>885</v>
      </c>
      <c r="CA3500" s="245" t="s">
        <v>885</v>
      </c>
      <c r="CC3500" s="245" t="s">
        <v>885</v>
      </c>
      <c r="CD3500" s="459" t="s">
        <v>885</v>
      </c>
      <c r="CE3500" s="459" t="s">
        <v>885</v>
      </c>
      <c r="CF3500" s="245" t="s">
        <v>885</v>
      </c>
      <c r="CG3500" s="245" t="s">
        <v>885</v>
      </c>
      <c r="CH3500" s="245" t="s">
        <v>885</v>
      </c>
      <c r="CI3500" s="245" t="s">
        <v>885</v>
      </c>
      <c r="CJ3500" s="459" t="s">
        <v>885</v>
      </c>
      <c r="CK3500" s="459" t="s">
        <v>885</v>
      </c>
      <c r="CL3500" s="459" t="s">
        <v>885</v>
      </c>
      <c r="CM3500" s="459" t="s">
        <v>885</v>
      </c>
      <c r="CN3500" s="459" t="s">
        <v>885</v>
      </c>
      <c r="CO3500" s="459" t="s">
        <v>885</v>
      </c>
      <c r="CP3500" s="459" t="s">
        <v>885</v>
      </c>
      <c r="CQ3500" s="459" t="s">
        <v>885</v>
      </c>
      <c r="CR3500" s="459" t="s">
        <v>885</v>
      </c>
      <c r="CS3500" s="459" t="s">
        <v>885</v>
      </c>
      <c r="CT3500" s="245" t="s">
        <v>885</v>
      </c>
      <c r="CU3500" s="463" t="s">
        <v>885</v>
      </c>
      <c r="CV3500" s="245" t="s">
        <v>885</v>
      </c>
      <c r="CW3500" s="245" t="s">
        <v>885</v>
      </c>
      <c r="CX3500" s="459" t="s">
        <v>885</v>
      </c>
      <c r="CY3500" s="459" t="s">
        <v>885</v>
      </c>
      <c r="CZ3500" s="459" t="s">
        <v>885</v>
      </c>
      <c r="DA3500" s="459" t="s">
        <v>885</v>
      </c>
      <c r="DB3500" s="459" t="s">
        <v>885</v>
      </c>
      <c r="DC3500" s="459" t="s">
        <v>885</v>
      </c>
      <c r="DD3500" s="459" t="s">
        <v>885</v>
      </c>
      <c r="DE3500" s="459" t="s">
        <v>885</v>
      </c>
      <c r="DF3500" s="459" t="s">
        <v>885</v>
      </c>
      <c r="DG3500" s="459" t="s">
        <v>885</v>
      </c>
      <c r="DH3500" s="459" t="s">
        <v>885</v>
      </c>
      <c r="DI3500" s="459" t="s">
        <v>885</v>
      </c>
      <c r="DJ3500" s="459" t="s">
        <v>885</v>
      </c>
      <c r="DK3500" s="459" t="s">
        <v>885</v>
      </c>
      <c r="DL3500" s="459" t="s">
        <v>885</v>
      </c>
      <c r="DM3500" s="459" t="s">
        <v>885</v>
      </c>
      <c r="DN3500" s="459" t="s">
        <v>885</v>
      </c>
      <c r="DO3500" s="459" t="s">
        <v>885</v>
      </c>
      <c r="DP3500" t="s">
        <v>2895</v>
      </c>
      <c r="DQ3500" s="459" t="s">
        <v>885</v>
      </c>
      <c r="DR3500" s="459" t="s">
        <v>885</v>
      </c>
      <c r="DS3500" s="459" t="s">
        <v>885</v>
      </c>
      <c r="DT3500" s="459" t="s">
        <v>885</v>
      </c>
      <c r="DU3500" s="459" t="s">
        <v>885</v>
      </c>
      <c r="DV3500" s="459" t="s">
        <v>885</v>
      </c>
      <c r="DW3500" s="459" t="s">
        <v>885</v>
      </c>
      <c r="DX3500" s="245" t="s">
        <v>885</v>
      </c>
      <c r="DY3500" s="245"/>
      <c r="DZ3500" s="470" t="str">
        <f t="shared" si="180"/>
        <v/>
      </c>
      <c r="EA3500" s="470" t="str">
        <f t="shared" si="181"/>
        <v/>
      </c>
      <c r="EB3500" s="459" t="s">
        <v>885</v>
      </c>
    </row>
    <row r="3501" spans="1:132" ht="16" hidden="1" x14ac:dyDescent="0.4">
      <c r="A3501" s="813"/>
      <c r="BB3501" s="48"/>
      <c r="BS3501" s="464" t="str">
        <f>IF($B$265=B$3281,BZ3500,IF($B$265=B$3282,CA3500,IF($B$265=B$3283,CB3500,IF($B$265=B$3284,CC3500,IF($B$265=B$3285,CD3500,IF($B$265=B$3286,CE3500,IF($B$265=B$3287,CF3500,IF($B$265=B$3288,CG3500,IF($B$265=B$3289,CH3500,IF($B$265=B$3290,CI3500,IF($B$265=B$3291,CJ3500,IF($B$265=B$3292,CK3500,IF($B$265=B$3293,CL3500,IF($B$265=B$3294,CM3500,IF($B$265=B$3295,CN3500,IF($B$265=B$3296,C3500,IF($B$265=B$3297,CO3500,IF($B$265=B$3298,CP3500,IF($B$265=B$3299,CQ3500,IF($B$265=B$3300,CR3500,IF($B$265=B$3301,CS3500,IF($B$265=B$3302,CT3500,IF(B$265=B$3303,CU3500,IF($B$265=B$3304,CV3500,IF($B$265=B$3305,CW3500,IF($B$265=B$3306,CX3500,IF($B$265=B$3307,CY3500,IF($B$265=B$3308,CZ3500,IF($B$265=B$3309,DA3500,IF($B$265=B$3310,DB3500,IF($B$265=B$3311,DC3500,IF($B$265=B$3312,DD3500,IF($B$265=B$3313,DE3500,IF($B$265=B$3314,DF3500,IF($B$265=B$3315,DG3500,IF($B$265=B$3316,DH3500,IF($B$265=B$3317,DI3500,IF($B$265=B$3318,DJ3500,IF($B$265=B$3319,DK3500,IF($B$265=B$3320,DL3500,IF($B$265=B$3321,DM3500,IF($B$265=B$3322,DN3500,IF($B$265=B$3323,DO3500,IF($B$265=B$3324,DP3500,IF($B$265=B$3325,DQ3500,IF($B$265=B$3326,DR3500,IF($B$265=B$3327,DS3500,IF($B$265=B$3328,DT3500,IF($B$265=B$3329,DU3500,IF($B$265=B$3330,DV3500,IF($B$265=B$3331,DW3500,IF($B$265=B$3332,DX3500,""))))))))))))))))))))))))))))))))))))))))))))))))))))</f>
        <v/>
      </c>
      <c r="BZ3501" s="245" t="s">
        <v>885</v>
      </c>
      <c r="CA3501" s="245" t="s">
        <v>885</v>
      </c>
      <c r="CC3501" s="245" t="s">
        <v>885</v>
      </c>
      <c r="CD3501" s="459" t="s">
        <v>885</v>
      </c>
      <c r="CE3501" s="459" t="s">
        <v>885</v>
      </c>
      <c r="CF3501" s="245" t="s">
        <v>885</v>
      </c>
      <c r="CG3501" s="245" t="s">
        <v>885</v>
      </c>
      <c r="CH3501" s="245" t="s">
        <v>885</v>
      </c>
      <c r="CI3501" s="245" t="s">
        <v>885</v>
      </c>
      <c r="CJ3501" s="459" t="s">
        <v>885</v>
      </c>
      <c r="CK3501" s="459" t="s">
        <v>885</v>
      </c>
      <c r="CL3501" s="459" t="s">
        <v>885</v>
      </c>
      <c r="CM3501" s="459" t="s">
        <v>885</v>
      </c>
      <c r="CN3501" s="459" t="s">
        <v>885</v>
      </c>
      <c r="CO3501" s="459" t="s">
        <v>885</v>
      </c>
      <c r="CP3501" s="459" t="s">
        <v>885</v>
      </c>
      <c r="CQ3501" s="459" t="s">
        <v>885</v>
      </c>
      <c r="CR3501" s="459" t="s">
        <v>885</v>
      </c>
      <c r="CS3501" s="459" t="s">
        <v>885</v>
      </c>
      <c r="CT3501" s="245" t="s">
        <v>885</v>
      </c>
      <c r="CU3501" s="463" t="s">
        <v>885</v>
      </c>
      <c r="CV3501" s="245" t="s">
        <v>885</v>
      </c>
      <c r="CW3501" s="245" t="s">
        <v>885</v>
      </c>
      <c r="CX3501" s="459" t="s">
        <v>885</v>
      </c>
      <c r="CY3501" s="459" t="s">
        <v>885</v>
      </c>
      <c r="CZ3501" s="459" t="s">
        <v>885</v>
      </c>
      <c r="DA3501" s="459" t="s">
        <v>885</v>
      </c>
      <c r="DB3501" s="459" t="s">
        <v>885</v>
      </c>
      <c r="DC3501" s="459" t="s">
        <v>885</v>
      </c>
      <c r="DD3501" s="459" t="s">
        <v>885</v>
      </c>
      <c r="DE3501" s="459" t="s">
        <v>885</v>
      </c>
      <c r="DF3501" s="459" t="s">
        <v>885</v>
      </c>
      <c r="DG3501" s="459" t="s">
        <v>885</v>
      </c>
      <c r="DH3501" s="459" t="s">
        <v>885</v>
      </c>
      <c r="DI3501" s="459" t="s">
        <v>885</v>
      </c>
      <c r="DJ3501" s="459" t="s">
        <v>885</v>
      </c>
      <c r="DK3501" s="459" t="s">
        <v>885</v>
      </c>
      <c r="DL3501" s="459" t="s">
        <v>885</v>
      </c>
      <c r="DM3501" s="459" t="s">
        <v>885</v>
      </c>
      <c r="DN3501" s="459" t="s">
        <v>885</v>
      </c>
      <c r="DO3501" s="459" t="s">
        <v>885</v>
      </c>
      <c r="DP3501" t="s">
        <v>2154</v>
      </c>
      <c r="DQ3501" s="459" t="s">
        <v>885</v>
      </c>
      <c r="DR3501" s="459" t="s">
        <v>885</v>
      </c>
      <c r="DS3501" s="459" t="s">
        <v>885</v>
      </c>
      <c r="DT3501" s="459" t="s">
        <v>885</v>
      </c>
      <c r="DU3501" s="459" t="s">
        <v>885</v>
      </c>
      <c r="DV3501" s="459" t="s">
        <v>885</v>
      </c>
      <c r="DW3501" s="459" t="s">
        <v>885</v>
      </c>
      <c r="DX3501" s="245" t="s">
        <v>885</v>
      </c>
      <c r="DY3501" s="245"/>
      <c r="DZ3501" s="470" t="str">
        <f t="shared" si="180"/>
        <v/>
      </c>
      <c r="EA3501" s="470" t="str">
        <f t="shared" si="181"/>
        <v/>
      </c>
      <c r="EB3501" s="459" t="s">
        <v>885</v>
      </c>
    </row>
    <row r="3502" spans="1:132" ht="16" hidden="1" x14ac:dyDescent="0.4">
      <c r="A3502" s="813"/>
      <c r="BB3502" s="48"/>
      <c r="BS3502" s="464" t="str">
        <f>IF($B$265=B$3281,BZ3501,IF($B$265=B$3282,CA3501,IF($B$265=B$3283,CB3501,IF($B$265=B$3284,CC3501,IF($B$265=B$3285,CD3501,IF($B$265=B$3286,CE3501,IF($B$265=B$3287,CF3501,IF($B$265=B$3288,CG3501,IF($B$265=B$3289,CH3501,IF($B$265=B$3290,CI3501,IF($B$265=B$3291,CJ3501,IF($B$265=B$3292,CK3501,IF($B$265=B$3293,CL3501,IF($B$265=B$3294,CM3501,IF($B$265=B$3295,CN3501,IF($B$265=B$3296,C2738,IF($B$265=B$3297,CO3501,IF($B$265=B$3298,CP3501,IF($B$265=B$3299,CQ3501,IF($B$265=B$3300,CR3501,IF($B$265=B$3301,CS3501,IF($B$265=B$3302,CT3501,IF(B$265=B$3303,CU3501,IF($B$265=B$3304,CV3501,IF($B$265=B$3305,CW3501,IF($B$265=B$3306,CX3501,IF($B$265=B$3307,CY3501,IF($B$265=B$3308,CZ3501,IF($B$265=B$3309,DA3501,IF($B$265=B$3310,DB3501,IF($B$265=B$3311,DC3501,IF($B$265=B$3312,DD3501,IF($B$265=B$3313,DE3501,IF($B$265=B$3314,DF3501,IF($B$265=B$3315,DG3501,IF($B$265=B$3316,DH3501,IF($B$265=B$3317,DI3501,IF($B$265=B$3318,DJ3501,IF($B$265=B$3319,DK3501,IF($B$265=B$3320,DL3501,IF($B$265=B$3321,DM3501,IF($B$265=B$3322,DN3501,IF($B$265=B$3323,DO3501,IF($B$265=B$3324,DP3501,IF($B$265=B$3325,DQ3501,IF($B$265=B$3326,DR3501,IF($B$265=B$3327,DS3501,IF($B$265=B$3328,DT3501,IF($B$265=B$3329,DU3501,IF($B$265=B$3330,DV3501,IF($B$265=B$3331,DW3501,IF($B$265=B$3332,DX3501,""))))))))))))))))))))))))))))))))))))))))))))))))))))</f>
        <v/>
      </c>
      <c r="BZ3502" s="245" t="s">
        <v>885</v>
      </c>
      <c r="CA3502" s="245" t="s">
        <v>885</v>
      </c>
      <c r="CC3502" s="245" t="s">
        <v>885</v>
      </c>
      <c r="CD3502" s="459" t="s">
        <v>885</v>
      </c>
      <c r="CE3502" s="459" t="s">
        <v>885</v>
      </c>
      <c r="CF3502" s="245" t="s">
        <v>885</v>
      </c>
      <c r="CG3502" s="245" t="s">
        <v>885</v>
      </c>
      <c r="CH3502" s="245" t="s">
        <v>885</v>
      </c>
      <c r="CI3502" s="245" t="s">
        <v>885</v>
      </c>
      <c r="CJ3502" s="459" t="s">
        <v>885</v>
      </c>
      <c r="CK3502" s="459" t="s">
        <v>885</v>
      </c>
      <c r="CL3502" s="459" t="s">
        <v>885</v>
      </c>
      <c r="CM3502" s="459" t="s">
        <v>885</v>
      </c>
      <c r="CN3502" s="459" t="s">
        <v>885</v>
      </c>
      <c r="CO3502" s="459" t="s">
        <v>885</v>
      </c>
      <c r="CP3502" s="459" t="s">
        <v>885</v>
      </c>
      <c r="CQ3502" s="459" t="s">
        <v>885</v>
      </c>
      <c r="CR3502" s="459" t="s">
        <v>885</v>
      </c>
      <c r="CS3502" s="459" t="s">
        <v>885</v>
      </c>
      <c r="CT3502" s="245" t="s">
        <v>885</v>
      </c>
      <c r="CU3502" s="463" t="s">
        <v>885</v>
      </c>
      <c r="CV3502" s="245" t="s">
        <v>885</v>
      </c>
      <c r="CW3502" s="245" t="s">
        <v>885</v>
      </c>
      <c r="CX3502" s="459" t="s">
        <v>885</v>
      </c>
      <c r="CY3502" s="459" t="s">
        <v>885</v>
      </c>
      <c r="CZ3502" s="459" t="s">
        <v>885</v>
      </c>
      <c r="DA3502" s="459" t="s">
        <v>885</v>
      </c>
      <c r="DB3502" s="459" t="s">
        <v>885</v>
      </c>
      <c r="DC3502" s="459" t="s">
        <v>885</v>
      </c>
      <c r="DD3502" s="459" t="s">
        <v>885</v>
      </c>
      <c r="DE3502" s="459" t="s">
        <v>885</v>
      </c>
      <c r="DF3502" s="459" t="s">
        <v>885</v>
      </c>
      <c r="DG3502" s="459" t="s">
        <v>885</v>
      </c>
      <c r="DH3502" s="459" t="s">
        <v>885</v>
      </c>
      <c r="DI3502" s="459" t="s">
        <v>885</v>
      </c>
      <c r="DJ3502" s="459" t="s">
        <v>885</v>
      </c>
      <c r="DK3502" s="459" t="s">
        <v>885</v>
      </c>
      <c r="DL3502" s="459" t="s">
        <v>885</v>
      </c>
      <c r="DM3502" s="459" t="s">
        <v>885</v>
      </c>
      <c r="DN3502" s="459" t="s">
        <v>885</v>
      </c>
      <c r="DO3502" s="459" t="s">
        <v>885</v>
      </c>
      <c r="DP3502" t="s">
        <v>3050</v>
      </c>
      <c r="DQ3502" s="459" t="s">
        <v>885</v>
      </c>
      <c r="DR3502" s="459" t="s">
        <v>885</v>
      </c>
      <c r="DS3502" s="459" t="s">
        <v>885</v>
      </c>
      <c r="DT3502" s="459" t="s">
        <v>885</v>
      </c>
      <c r="DU3502" s="459" t="s">
        <v>885</v>
      </c>
      <c r="DV3502" s="459" t="s">
        <v>885</v>
      </c>
      <c r="DW3502" s="459" t="s">
        <v>885</v>
      </c>
      <c r="DX3502" s="245" t="s">
        <v>885</v>
      </c>
      <c r="DY3502" s="245"/>
      <c r="DZ3502" s="470" t="str">
        <f t="shared" si="180"/>
        <v/>
      </c>
      <c r="EA3502" s="470" t="str">
        <f t="shared" si="181"/>
        <v/>
      </c>
      <c r="EB3502" s="459" t="s">
        <v>885</v>
      </c>
    </row>
    <row r="3503" spans="1:132" ht="16" hidden="1" x14ac:dyDescent="0.4">
      <c r="A3503" s="813"/>
      <c r="BB3503" s="48"/>
      <c r="BS3503" s="464" t="str">
        <f>IF($B$265=B$3281,BZ3502,IF($B$265=B$3282,CA3502,IF($B$265=B$3283,CB3502,IF($B$265=B$3284,CC3502,IF($B$265=B$3285,CD3502,IF($B$265=B$3286,CE3502,IF($B$265=B$3287,CF3502,IF($B$265=B$3288,CG3502,IF($B$265=B$3289,CH3502,IF($B$265=B$3290,CI3502,IF($B$265=B$3291,CJ3502,IF($B$265=B$3292,CK3502,IF($B$265=B$3293,CL3502,IF($B$265=B$3294,CM3502,IF($B$265=B$3295,CN3502,IF($B$265=B$3296,C2733,IF($B$265=B$3297,CO3502,IF($B$265=B$3298,CP3502,IF($B$265=B$3299,CQ3502,IF($B$265=B$3300,CR3502,IF($B$265=B$3301,CS3502,IF($B$265=B$3302,CT3502,IF(B$265=B$3303,CU3502,IF($B$265=B$3304,CV3502,IF($B$265=B$3305,CW3502,IF($B$265=B$3306,CX3502,IF($B$265=B$3307,CY3502,IF($B$265=B$3308,CZ3502,IF($B$265=B$3309,DA3502,IF($B$265=B$3310,DB3502,IF($B$265=B$3311,DC3502,IF($B$265=B$3312,DD3502,IF($B$265=B$3313,DE3502,IF($B$265=B$3314,DF3502,IF($B$265=B$3315,DG3502,IF($B$265=B$3316,DH3502,IF($B$265=B$3317,DI3502,IF($B$265=B$3318,DJ3502,IF($B$265=B$3319,DK3502,IF($B$265=B$3320,DL3502,IF($B$265=B$3321,DM3502,IF($B$265=B$3322,DN3502,IF($B$265=B$3323,DO3502,IF($B$265=B$3324,DP3502,IF($B$265=B$3325,DQ3502,IF($B$265=B$3326,DR3502,IF($B$265=B$3327,DS3502,IF($B$265=B$3328,DT3502,IF($B$265=B$3329,DU3502,IF($B$265=B$3330,DV3502,IF($B$265=B$3331,DW3502,IF($B$265=B$3332,DX3502,""))))))))))))))))))))))))))))))))))))))))))))))))))))</f>
        <v/>
      </c>
      <c r="BZ3503" s="245" t="s">
        <v>885</v>
      </c>
      <c r="CA3503" s="245" t="s">
        <v>885</v>
      </c>
      <c r="CC3503" s="245" t="s">
        <v>885</v>
      </c>
      <c r="CD3503" s="459" t="s">
        <v>885</v>
      </c>
      <c r="CE3503" s="459" t="s">
        <v>885</v>
      </c>
      <c r="CF3503" s="245" t="s">
        <v>885</v>
      </c>
      <c r="CG3503" s="245" t="s">
        <v>885</v>
      </c>
      <c r="CH3503" s="245" t="s">
        <v>885</v>
      </c>
      <c r="CI3503" s="245" t="s">
        <v>885</v>
      </c>
      <c r="CJ3503" s="459" t="s">
        <v>885</v>
      </c>
      <c r="CK3503" s="459" t="s">
        <v>885</v>
      </c>
      <c r="CL3503" s="459" t="s">
        <v>885</v>
      </c>
      <c r="CM3503" s="459" t="s">
        <v>885</v>
      </c>
      <c r="CN3503" s="459" t="s">
        <v>885</v>
      </c>
      <c r="CO3503" s="459" t="s">
        <v>885</v>
      </c>
      <c r="CP3503" s="459" t="s">
        <v>885</v>
      </c>
      <c r="CQ3503" s="459" t="s">
        <v>885</v>
      </c>
      <c r="CR3503" s="459" t="s">
        <v>885</v>
      </c>
      <c r="CS3503" s="459" t="s">
        <v>885</v>
      </c>
      <c r="CT3503" s="245" t="s">
        <v>885</v>
      </c>
      <c r="CU3503" s="463" t="s">
        <v>885</v>
      </c>
      <c r="CV3503" s="245" t="s">
        <v>885</v>
      </c>
      <c r="CW3503" s="245" t="s">
        <v>885</v>
      </c>
      <c r="CX3503" s="459" t="s">
        <v>885</v>
      </c>
      <c r="CY3503" s="459" t="s">
        <v>885</v>
      </c>
      <c r="CZ3503" s="459" t="s">
        <v>885</v>
      </c>
      <c r="DA3503" s="459" t="s">
        <v>885</v>
      </c>
      <c r="DB3503" s="459" t="s">
        <v>885</v>
      </c>
      <c r="DC3503" s="459" t="s">
        <v>885</v>
      </c>
      <c r="DD3503" s="459" t="s">
        <v>885</v>
      </c>
      <c r="DE3503" s="459" t="s">
        <v>885</v>
      </c>
      <c r="DF3503" s="459" t="s">
        <v>885</v>
      </c>
      <c r="DG3503" s="459" t="s">
        <v>885</v>
      </c>
      <c r="DH3503" s="459" t="s">
        <v>885</v>
      </c>
      <c r="DI3503" s="459" t="s">
        <v>885</v>
      </c>
      <c r="DJ3503" s="459" t="s">
        <v>885</v>
      </c>
      <c r="DK3503" s="459" t="s">
        <v>885</v>
      </c>
      <c r="DL3503" s="459" t="s">
        <v>885</v>
      </c>
      <c r="DM3503" s="459" t="s">
        <v>885</v>
      </c>
      <c r="DN3503" s="459" t="s">
        <v>885</v>
      </c>
      <c r="DO3503" s="459" t="s">
        <v>885</v>
      </c>
      <c r="DP3503" t="s">
        <v>3051</v>
      </c>
      <c r="DQ3503" s="459" t="s">
        <v>885</v>
      </c>
      <c r="DR3503" s="459" t="s">
        <v>885</v>
      </c>
      <c r="DS3503" s="459" t="s">
        <v>885</v>
      </c>
      <c r="DT3503" s="459" t="s">
        <v>885</v>
      </c>
      <c r="DU3503" s="459" t="s">
        <v>885</v>
      </c>
      <c r="DV3503" s="459" t="s">
        <v>885</v>
      </c>
      <c r="DW3503" s="459" t="s">
        <v>885</v>
      </c>
      <c r="DX3503" s="245" t="s">
        <v>885</v>
      </c>
      <c r="DY3503" s="245"/>
      <c r="DZ3503" s="470" t="str">
        <f t="shared" ref="DZ3503:DZ3534" si="183">IF($B$265=$B$3281,EB3503,IF($B$265=$B$3282,ED3503,IF($B$265=$B$3283,EF3503,IF($B$265=$B$3284,EH3503,IF($B$265=$B$3285,EJ3503,IF($B$265=$B$3286,EL3503,IF($B$265=$B$3287,EN3503,IF($B$265=$B$3288,EP3503,IF($B$265=$B$3289,ER3503,IF($B$265=$B$3290,ET3503,IF($B$265=$B$3291,EV3503,IF($B$265=$B$3292,EX3503,IF($B$265=$B$3293,EZ3503,IF($B$265=$B$3294,FB3503,IF($B$265=$B$3295,FD3503,IF($B$265=$B$3296,BU3503,IF($B$265=$B$3297,FF3503,IF($B$265=$B$3298,FH3503,IF($B$265=$B$3299,FJ3503,IF($B$265=$B$3300,FL3503,IF($B$265=$B$3301,FN3503,IF($B$265=$B$3302,FP3503,IF(BI$265=$B$3303,FR3503,IF($B$265=$B$3304,FT3503,IF($B$265=$B$3305,FV3503,IF($B$265=$B$3306,FX3503,IF($B$265=$B$3307,FZ3503,IF($B$265=$B$3308,GB3503,IF($B$265=$B$3309,GD3503,IF($B$265=$B$3310,GF3503,IF($B$265=$B$3311,GH3503,IF($B$265=$B$3312,GJ3503,IF($B$265=$B$3313,GL3503,IF($B$265=$B$3314,GN3503,IF($B$265=$B$3315,GP3503,IF($B$265=$B$3316,GR3503,IF($B$265=$B$3317,GT3503,IF($B$265=$B$3318,GV3503,IF($B$265=$B$3319,GX3503,IF($B$265=$B$3320,GZ3503,IF($B$265=$B$3321,HB3503,IF($B$265=$B$3322,HD3503,IF($B$265=$B$3323,HF3503,IF($B$265=$B$3324,HH3503,IF($B$265=$B$3325,HJ3503,IF($B$265=$B$3326,HL3503,IF($B$265=$B$3327,HN3503,IF($B$265=$B$3328,HP3503,IF($B$265=$B$3329,HR3503,IF($B$265=$B$3330,HT3503,IF($B$265=$B$3331,HV3503,IF($B$265=$B$3332,HX3503,""))))))))))))))))))))))))))))))))))))))))))))))))))))</f>
        <v/>
      </c>
      <c r="EA3503" s="470" t="str">
        <f t="shared" ref="EA3503:EA3534" si="184">IF($B$265=$B$3281,EC3503,IF($B$265=$B$3282,EE3503,IF($B$265=$B$3283,EG3503,IF($B$265=$B$3284,EI3503,IF($B$265=$B$3285,EK3503,IF($B$265=$B$3286,EM3503,IF($B$265=$B$3287,EO3503,IF($B$265=$B$3288,EQ3503,IF($B$265=$B$3289,ES3503,IF($B$265=$B$3290,EU3503,IF($B$265=$B$3291,EW3503,IF($B$265=$B$3292,EY3503,IF($B$265=$B$3293,FA3503,IF($B$265=$B$3294,FC3503,IF($B$265=$B$3295,FE3503,IF($B$265=$B$3296,BK3503,IF($B$265=$B$3297,FG3503,IF($B$265=$B$3298,FI3503,IF($B$265=$B$3299,FK3503,IF($B$265=$B$3300,FM3503,IF($B$265=$B$3301,FO3503,IF($B$265=$B$3302,FQ3503,IF(BJ$265=$B$3303,FS3503,IF($B$265=$B$3304,FU3503,IF($B$265=$B$3305,FW3503,IF($B$265=$B$3306,FY3503,IF($B$265=$B$3307,GA3503,IF($B$265=$B$3308,GC3503,IF($B$265=$B$3309,GE3503,IF($B$265=$B$3310,GG3503,IF($B$265=$B$3311,GI3503,IF($B$265=$B$3312,GK3503,IF($B$265=$B$3313,GM3503,IF($B$265=$B$3314,GO3503,IF($B$265=$B$3315,GQ3503,IF($B$265=$B$3316,GS3503,IF($B$265=$B$3317,GU3503,IF($B$265=$B$3318,GW3503,IF($B$265=$B$3319,GY3503,IF($B$265=$B$3320,HA3503,IF($B$265=$B$3321,HC3503,IF($B$265=$B$3322,HE3503,IF($B$265=$B$3323,HG3503,IF($B$265=$B$3324,HI3503,IF($B$265=$B$3325,HK3503,IF($B$265=$B$3326,HM3503,IF($B$265=$B$3327,HO3503,IF($B$265=$B$3328,HQ3503,IF($B$265=$B$3329,HS3503,IF($B$265=$B$3330,HU3503,IF($B$265=$B$3331,HW3503,IF($B$265=$B$3332,HY3503,""))))))))))))))))))))))))))))))))))))))))))))))))))))</f>
        <v/>
      </c>
      <c r="EB3503" s="459" t="s">
        <v>885</v>
      </c>
    </row>
    <row r="3504" spans="1:132" ht="16" hidden="1" x14ac:dyDescent="0.4">
      <c r="A3504" s="813"/>
      <c r="BB3504" s="48"/>
      <c r="BS3504" s="464" t="str">
        <f>IF($B$265=B$3281,BZ3503,IF($B$265=B$3282,CA3503,IF($B$265=B$3283,CB3503,IF($B$265=B$3284,CC3503,IF($B$265=B$3285,CD3503,IF($B$265=B$3286,CE3503,IF($B$265=B$3287,CF3503,IF($B$265=B$3288,CG3503,IF($B$265=B$3289,CH3503,IF($B$265=B$3290,CI3503,IF($B$265=B$3291,CJ3503,IF($B$265=B$3292,CK3503,IF($B$265=B$3293,CL3503,IF($B$265=B$3294,CM3503,IF($B$265=B$3295,CN3503,IF($B$265=B$3296,C2734,IF($B$265=B$3297,CO3503,IF($B$265=B$3298,CP3503,IF($B$265=B$3299,CQ3503,IF($B$265=B$3300,CR3503,IF($B$265=B$3301,CS3503,IF($B$265=B$3302,CT3503,IF(B$265=B$3303,CU3503,IF($B$265=B$3304,CV3503,IF($B$265=B$3305,CW3503,IF($B$265=B$3306,CX3503,IF($B$265=B$3307,CY3503,IF($B$265=B$3308,CZ3503,IF($B$265=B$3309,DA3503,IF($B$265=B$3310,DB3503,IF($B$265=B$3311,DC3503,IF($B$265=B$3312,DD3503,IF($B$265=B$3313,DE3503,IF($B$265=B$3314,DF3503,IF($B$265=B$3315,DG3503,IF($B$265=B$3316,DH3503,IF($B$265=B$3317,DI3503,IF($B$265=B$3318,DJ3503,IF($B$265=B$3319,DK3503,IF($B$265=B$3320,DL3503,IF($B$265=B$3321,DM3503,IF($B$265=B$3322,DN3503,IF($B$265=B$3323,DO3503,IF($B$265=B$3324,DP3503,IF($B$265=B$3325,DQ3503,IF($B$265=B$3326,DR3503,IF($B$265=B$3327,DS3503,IF($B$265=B$3328,DT3503,IF($B$265=B$3329,DU3503,IF($B$265=B$3330,DV3503,IF($B$265=B$3331,DW3503,IF($B$265=B$3332,DX3503,""))))))))))))))))))))))))))))))))))))))))))))))))))))</f>
        <v/>
      </c>
      <c r="BZ3504" s="245" t="s">
        <v>885</v>
      </c>
      <c r="CA3504" s="245" t="s">
        <v>885</v>
      </c>
      <c r="CC3504" s="245" t="s">
        <v>885</v>
      </c>
      <c r="CD3504" s="459" t="s">
        <v>885</v>
      </c>
      <c r="CE3504" s="459" t="s">
        <v>885</v>
      </c>
      <c r="CF3504" s="245" t="s">
        <v>885</v>
      </c>
      <c r="CG3504" s="245" t="s">
        <v>885</v>
      </c>
      <c r="CH3504" s="245" t="s">
        <v>885</v>
      </c>
      <c r="CI3504" s="245" t="s">
        <v>885</v>
      </c>
      <c r="CJ3504" s="459" t="s">
        <v>885</v>
      </c>
      <c r="CK3504" s="459" t="s">
        <v>885</v>
      </c>
      <c r="CL3504" s="459" t="s">
        <v>885</v>
      </c>
      <c r="CM3504" s="459" t="s">
        <v>885</v>
      </c>
      <c r="CN3504" s="459" t="s">
        <v>885</v>
      </c>
      <c r="CO3504" s="459" t="s">
        <v>885</v>
      </c>
      <c r="CP3504" s="459" t="s">
        <v>885</v>
      </c>
      <c r="CQ3504" s="459" t="s">
        <v>885</v>
      </c>
      <c r="CR3504" s="459" t="s">
        <v>885</v>
      </c>
      <c r="CS3504" s="459" t="s">
        <v>885</v>
      </c>
      <c r="CT3504" s="245" t="s">
        <v>885</v>
      </c>
      <c r="CU3504" s="463" t="s">
        <v>885</v>
      </c>
      <c r="CV3504" s="245" t="s">
        <v>885</v>
      </c>
      <c r="CW3504" s="245" t="s">
        <v>885</v>
      </c>
      <c r="CX3504" s="459" t="s">
        <v>885</v>
      </c>
      <c r="CY3504" s="459" t="s">
        <v>885</v>
      </c>
      <c r="CZ3504" s="459" t="s">
        <v>885</v>
      </c>
      <c r="DA3504" s="459" t="s">
        <v>885</v>
      </c>
      <c r="DB3504" s="459" t="s">
        <v>885</v>
      </c>
      <c r="DC3504" s="459" t="s">
        <v>885</v>
      </c>
      <c r="DD3504" s="459" t="s">
        <v>885</v>
      </c>
      <c r="DE3504" s="459" t="s">
        <v>885</v>
      </c>
      <c r="DF3504" s="459" t="s">
        <v>885</v>
      </c>
      <c r="DG3504" s="459" t="s">
        <v>885</v>
      </c>
      <c r="DH3504" s="459" t="s">
        <v>885</v>
      </c>
      <c r="DI3504" s="459" t="s">
        <v>885</v>
      </c>
      <c r="DJ3504" s="459" t="s">
        <v>885</v>
      </c>
      <c r="DK3504" s="459" t="s">
        <v>885</v>
      </c>
      <c r="DL3504" s="459" t="s">
        <v>885</v>
      </c>
      <c r="DM3504" s="459" t="s">
        <v>885</v>
      </c>
      <c r="DN3504" s="459" t="s">
        <v>885</v>
      </c>
      <c r="DO3504" s="459" t="s">
        <v>885</v>
      </c>
      <c r="DP3504" t="s">
        <v>3052</v>
      </c>
      <c r="DQ3504" s="459" t="s">
        <v>885</v>
      </c>
      <c r="DR3504" s="459" t="s">
        <v>885</v>
      </c>
      <c r="DS3504" s="459" t="s">
        <v>885</v>
      </c>
      <c r="DT3504" s="459" t="s">
        <v>885</v>
      </c>
      <c r="DU3504" s="459" t="s">
        <v>885</v>
      </c>
      <c r="DV3504" s="459" t="s">
        <v>885</v>
      </c>
      <c r="DW3504" s="459" t="s">
        <v>885</v>
      </c>
      <c r="DX3504" s="245" t="s">
        <v>885</v>
      </c>
      <c r="DY3504" s="245"/>
      <c r="DZ3504" s="470" t="str">
        <f t="shared" si="183"/>
        <v/>
      </c>
      <c r="EA3504" s="470" t="str">
        <f t="shared" si="184"/>
        <v/>
      </c>
      <c r="EB3504" s="459" t="s">
        <v>885</v>
      </c>
    </row>
    <row r="3505" spans="1:132" ht="16" hidden="1" x14ac:dyDescent="0.4">
      <c r="A3505" s="813"/>
      <c r="BB3505" s="48"/>
      <c r="BS3505" s="464" t="str">
        <f>IF($B$265=B$3281,BZ3504,IF($B$265=B$3282,CA3504,IF($B$265=B$3283,CB3504,IF($B$265=B$3284,CC3504,IF($B$265=B$3285,CD3504,IF($B$265=B$3286,CE3504,IF($B$265=B$3287,CF3504,IF($B$265=B$3288,CG3504,IF($B$265=B$3289,CH3504,IF($B$265=B$3290,CI3504,IF($B$265=B$3291,CJ3504,IF($B$265=B$3292,CK3504,IF($B$265=B$3293,CL3504,IF($B$265=B$3294,CM3504,IF($B$265=B$3295,CN3504,IF($B$265=B$3296,C2735,IF($B$265=B$3297,CO3504,IF($B$265=B$3298,CP3504,IF($B$265=B$3299,CQ3504,IF($B$265=B$3300,CR3504,IF($B$265=B$3301,CS3504,IF($B$265=B$3302,CT3504,IF(B$265=B$3303,CU3504,IF($B$265=B$3304,CV3504,IF($B$265=B$3305,CW3504,IF($B$265=B$3306,CX3504,IF($B$265=B$3307,CY3504,IF($B$265=B$3308,CZ3504,IF($B$265=B$3309,DA3504,IF($B$265=B$3310,DB3504,IF($B$265=B$3311,DC3504,IF($B$265=B$3312,DD3504,IF($B$265=B$3313,DE3504,IF($B$265=B$3314,DF3504,IF($B$265=B$3315,DG3504,IF($B$265=B$3316,DH3504,IF($B$265=B$3317,DI3504,IF($B$265=B$3318,DJ3504,IF($B$265=B$3319,DK3504,IF($B$265=B$3320,DL3504,IF($B$265=B$3321,DM3504,IF($B$265=B$3322,DN3504,IF($B$265=B$3323,DO3504,IF($B$265=B$3324,DP3504,IF($B$265=B$3325,DQ3504,IF($B$265=B$3326,DR3504,IF($B$265=B$3327,DS3504,IF($B$265=B$3328,DT3504,IF($B$265=B$3329,DU3504,IF($B$265=B$3330,DV3504,IF($B$265=B$3331,DW3504,IF($B$265=B$3332,DX3504,""))))))))))))))))))))))))))))))))))))))))))))))))))))</f>
        <v/>
      </c>
      <c r="BZ3505" s="245" t="s">
        <v>885</v>
      </c>
      <c r="CA3505" s="245" t="s">
        <v>885</v>
      </c>
      <c r="CC3505" s="245" t="s">
        <v>885</v>
      </c>
      <c r="CD3505" s="459" t="s">
        <v>885</v>
      </c>
      <c r="CE3505" s="459" t="s">
        <v>885</v>
      </c>
      <c r="CF3505" s="245" t="s">
        <v>885</v>
      </c>
      <c r="CG3505" s="245" t="s">
        <v>885</v>
      </c>
      <c r="CH3505" s="245" t="s">
        <v>885</v>
      </c>
      <c r="CI3505" s="245" t="s">
        <v>885</v>
      </c>
      <c r="CJ3505" s="459" t="s">
        <v>885</v>
      </c>
      <c r="CK3505" s="459" t="s">
        <v>885</v>
      </c>
      <c r="CL3505" s="459" t="s">
        <v>885</v>
      </c>
      <c r="CM3505" s="459" t="s">
        <v>885</v>
      </c>
      <c r="CN3505" s="459" t="s">
        <v>885</v>
      </c>
      <c r="CO3505" s="459" t="s">
        <v>885</v>
      </c>
      <c r="CP3505" s="459" t="s">
        <v>885</v>
      </c>
      <c r="CQ3505" s="459" t="s">
        <v>885</v>
      </c>
      <c r="CR3505" s="459" t="s">
        <v>885</v>
      </c>
      <c r="CS3505" s="459" t="s">
        <v>885</v>
      </c>
      <c r="CT3505" s="245" t="s">
        <v>885</v>
      </c>
      <c r="CU3505" s="463" t="s">
        <v>885</v>
      </c>
      <c r="CV3505" s="245" t="s">
        <v>885</v>
      </c>
      <c r="CW3505" s="245" t="s">
        <v>885</v>
      </c>
      <c r="CX3505" s="459" t="s">
        <v>885</v>
      </c>
      <c r="CY3505" s="459" t="s">
        <v>885</v>
      </c>
      <c r="CZ3505" s="459" t="s">
        <v>885</v>
      </c>
      <c r="DA3505" s="459" t="s">
        <v>885</v>
      </c>
      <c r="DB3505" s="459" t="s">
        <v>885</v>
      </c>
      <c r="DC3505" s="459" t="s">
        <v>885</v>
      </c>
      <c r="DD3505" s="459" t="s">
        <v>885</v>
      </c>
      <c r="DE3505" s="459" t="s">
        <v>885</v>
      </c>
      <c r="DF3505" s="459" t="s">
        <v>885</v>
      </c>
      <c r="DG3505" s="459" t="s">
        <v>885</v>
      </c>
      <c r="DH3505" s="459" t="s">
        <v>885</v>
      </c>
      <c r="DI3505" s="459" t="s">
        <v>885</v>
      </c>
      <c r="DJ3505" s="459" t="s">
        <v>885</v>
      </c>
      <c r="DK3505" s="459" t="s">
        <v>885</v>
      </c>
      <c r="DL3505" s="459" t="s">
        <v>885</v>
      </c>
      <c r="DM3505" s="459" t="s">
        <v>885</v>
      </c>
      <c r="DN3505" s="459" t="s">
        <v>885</v>
      </c>
      <c r="DO3505" s="459" t="s">
        <v>885</v>
      </c>
      <c r="DP3505" t="s">
        <v>3053</v>
      </c>
      <c r="DQ3505" s="459" t="s">
        <v>885</v>
      </c>
      <c r="DR3505" s="459" t="s">
        <v>885</v>
      </c>
      <c r="DS3505" s="459" t="s">
        <v>885</v>
      </c>
      <c r="DT3505" s="459" t="s">
        <v>885</v>
      </c>
      <c r="DU3505" s="459" t="s">
        <v>885</v>
      </c>
      <c r="DV3505" s="459" t="s">
        <v>885</v>
      </c>
      <c r="DW3505" s="459" t="s">
        <v>885</v>
      </c>
      <c r="DX3505" s="245" t="s">
        <v>885</v>
      </c>
      <c r="DY3505" s="245"/>
      <c r="DZ3505" s="470" t="str">
        <f t="shared" si="183"/>
        <v/>
      </c>
      <c r="EA3505" s="470" t="str">
        <f t="shared" si="184"/>
        <v/>
      </c>
      <c r="EB3505" s="459" t="s">
        <v>885</v>
      </c>
    </row>
    <row r="3506" spans="1:132" ht="16" hidden="1" x14ac:dyDescent="0.4">
      <c r="A3506" s="813"/>
      <c r="BS3506" s="464" t="str">
        <f>IF($B$265=B$3281,BZ3505,IF($B$265=B$3282,CA3505,IF($B$265=B$3283,CB3505,IF($B$265=B$3284,CC3505,IF($B$265=B$3285,CD3505,IF($B$265=B$3286,CE3505,IF($B$265=B$3287,CF3505,IF($B$265=B$3288,CG3505,IF($B$265=B$3289,CH3505,IF($B$265=B$3290,CI3505,IF($B$265=B$3291,CJ3505,IF($B$265=B$3292,CK3505,IF($B$265=B$3293,CL3505,IF($B$265=B$3294,CM3505,IF($B$265=B$3295,CN3505,IF($B$265=B$3296,C2736,IF($B$265=B$3297,CO3505,IF($B$265=B$3298,CP3505,IF($B$265=B$3299,CQ3505,IF($B$265=B$3300,CR3505,IF($B$265=B$3301,CS3505,IF($B$265=B$3302,CT3505,IF(B$265=B$3303,CU3505,IF($B$265=B$3304,CV3505,IF($B$265=B$3305,CW3505,IF($B$265=B$3306,CX3505,IF($B$265=B$3307,CY3505,IF($B$265=B$3308,CZ3505,IF($B$265=B$3309,DA3505,IF($B$265=B$3310,DB3505,IF($B$265=B$3311,DC3505,IF($B$265=B$3312,DD3505,IF($B$265=B$3313,DE3505,IF($B$265=B$3314,DF3505,IF($B$265=B$3315,DG3505,IF($B$265=B$3316,DH3505,IF($B$265=B$3317,DI3505,IF($B$265=B$3318,DJ3505,IF($B$265=B$3319,DK3505,IF($B$265=B$3320,DL3505,IF($B$265=B$3321,DM3505,IF($B$265=B$3322,DN3505,IF($B$265=B$3323,DO3505,IF($B$265=B$3324,DP3505,IF($B$265=B$3325,DQ3505,IF($B$265=B$3326,DR3505,IF($B$265=B$3327,DS3505,IF($B$265=B$3328,DT3505,IF($B$265=B$3329,DU3505,IF($B$265=B$3330,DV3505,IF($B$265=B$3331,DW3505,IF($B$265=B$3332,DX3505,""))))))))))))))))))))))))))))))))))))))))))))))))))))</f>
        <v/>
      </c>
      <c r="BZ3506" s="245" t="s">
        <v>885</v>
      </c>
      <c r="CA3506" s="245" t="s">
        <v>885</v>
      </c>
      <c r="CC3506" s="245" t="s">
        <v>885</v>
      </c>
      <c r="CD3506" s="459" t="s">
        <v>885</v>
      </c>
      <c r="CE3506" s="459" t="s">
        <v>885</v>
      </c>
      <c r="CF3506" s="245" t="s">
        <v>885</v>
      </c>
      <c r="CG3506" s="245" t="s">
        <v>885</v>
      </c>
      <c r="CH3506" s="245" t="s">
        <v>885</v>
      </c>
      <c r="CI3506" s="245" t="s">
        <v>885</v>
      </c>
      <c r="CJ3506" s="459" t="s">
        <v>885</v>
      </c>
      <c r="CK3506" s="459" t="s">
        <v>885</v>
      </c>
      <c r="CL3506" s="459" t="s">
        <v>885</v>
      </c>
      <c r="CM3506" s="459" t="s">
        <v>885</v>
      </c>
      <c r="CN3506" s="459" t="s">
        <v>885</v>
      </c>
      <c r="CO3506" s="459" t="s">
        <v>885</v>
      </c>
      <c r="CP3506" s="459" t="s">
        <v>885</v>
      </c>
      <c r="CQ3506" s="459" t="s">
        <v>885</v>
      </c>
      <c r="CR3506" s="459" t="s">
        <v>885</v>
      </c>
      <c r="CS3506" s="459" t="s">
        <v>885</v>
      </c>
      <c r="CT3506" s="245" t="s">
        <v>885</v>
      </c>
      <c r="CU3506" s="463" t="s">
        <v>885</v>
      </c>
      <c r="CV3506" s="245" t="s">
        <v>885</v>
      </c>
      <c r="CW3506" s="245" t="s">
        <v>885</v>
      </c>
      <c r="CX3506" s="459" t="s">
        <v>885</v>
      </c>
      <c r="CY3506" s="459" t="s">
        <v>885</v>
      </c>
      <c r="CZ3506" s="459" t="s">
        <v>885</v>
      </c>
      <c r="DA3506" s="459" t="s">
        <v>885</v>
      </c>
      <c r="DB3506" s="459" t="s">
        <v>885</v>
      </c>
      <c r="DC3506" s="459" t="s">
        <v>885</v>
      </c>
      <c r="DD3506" s="459" t="s">
        <v>885</v>
      </c>
      <c r="DE3506" s="459" t="s">
        <v>885</v>
      </c>
      <c r="DF3506" s="459" t="s">
        <v>885</v>
      </c>
      <c r="DG3506" s="459" t="s">
        <v>885</v>
      </c>
      <c r="DH3506" s="459" t="s">
        <v>885</v>
      </c>
      <c r="DI3506" s="459" t="s">
        <v>885</v>
      </c>
      <c r="DJ3506" s="459" t="s">
        <v>885</v>
      </c>
      <c r="DK3506" s="459" t="s">
        <v>885</v>
      </c>
      <c r="DL3506" s="459" t="s">
        <v>885</v>
      </c>
      <c r="DM3506" s="459" t="s">
        <v>885</v>
      </c>
      <c r="DN3506" s="459" t="s">
        <v>885</v>
      </c>
      <c r="DO3506" s="459" t="s">
        <v>885</v>
      </c>
      <c r="DP3506" t="s">
        <v>3054</v>
      </c>
      <c r="DQ3506" s="459" t="s">
        <v>885</v>
      </c>
      <c r="DR3506" s="459" t="s">
        <v>885</v>
      </c>
      <c r="DS3506" s="459" t="s">
        <v>885</v>
      </c>
      <c r="DT3506" s="459" t="s">
        <v>885</v>
      </c>
      <c r="DU3506" s="459" t="s">
        <v>885</v>
      </c>
      <c r="DV3506" s="459" t="s">
        <v>885</v>
      </c>
      <c r="DW3506" s="459" t="s">
        <v>885</v>
      </c>
      <c r="DX3506" s="245" t="s">
        <v>885</v>
      </c>
      <c r="DY3506" s="245"/>
      <c r="DZ3506" s="470" t="str">
        <f t="shared" si="183"/>
        <v/>
      </c>
      <c r="EA3506" s="470" t="str">
        <f t="shared" si="184"/>
        <v/>
      </c>
      <c r="EB3506" s="459" t="s">
        <v>885</v>
      </c>
    </row>
    <row r="3507" spans="1:132" ht="16" hidden="1" x14ac:dyDescent="0.4">
      <c r="A3507" s="813"/>
      <c r="BS3507" s="464" t="str">
        <f>IF($B$265=B$3281,BZ3506,IF($B$265=B$3282,CA3506,IF($B$265=B$3283,CB3506,IF($B$265=B$3284,CC3506,IF($B$265=B$3285,CD3506,IF($B$265=B$3286,CE3506,IF($B$265=B$3287,CF3506,IF($B$265=B$3288,CG3506,IF($B$265=B$3289,CH3506,IF($B$265=B$3290,CI3506,IF($B$265=B$3291,CJ3506,IF($B$265=B$3292,CK3506,IF($B$265=B$3293,CL3506,IF($B$265=B$3294,CM3506,IF($B$265=B$3295,CN3506,IF($B$265=B$3296,C2743,IF($B$265=B$3297,CO3506,IF($B$265=B$3298,CP3506,IF($B$265=B$3299,CQ3506,IF($B$265=B$3300,CR3506,IF($B$265=B$3301,CS3506,IF($B$265=B$3302,CT3506,IF(B$265=B$3303,CU3506,IF($B$265=B$3304,CV3506,IF($B$265=B$3305,CW3506,IF($B$265=B$3306,CX3506,IF($B$265=B$3307,CY3506,IF($B$265=B$3308,CZ3506,IF($B$265=B$3309,DA3506,IF($B$265=B$3310,DB3506,IF($B$265=B$3311,DC3506,IF($B$265=B$3312,DD3506,IF($B$265=B$3313,DE3506,IF($B$265=B$3314,DF3506,IF($B$265=B$3315,DG3506,IF($B$265=B$3316,DH3506,IF($B$265=B$3317,DI3506,IF($B$265=B$3318,DJ3506,IF($B$265=B$3319,DK3506,IF($B$265=B$3320,DL3506,IF($B$265=B$3321,DM3506,IF($B$265=B$3322,DN3506,IF($B$265=B$3323,DO3506,IF($B$265=B$3324,DP3506,IF($B$265=B$3325,DQ3506,IF($B$265=B$3326,DR3506,IF($B$265=B$3327,DS3506,IF($B$265=B$3328,DT3506,IF($B$265=B$3329,DU3506,IF($B$265=B$3330,DV3506,IF($B$265=B$3331,DW3506,IF($B$265=B$3332,DX3506,""))))))))))))))))))))))))))))))))))))))))))))))))))))</f>
        <v/>
      </c>
      <c r="BZ3507" s="245" t="s">
        <v>885</v>
      </c>
      <c r="CA3507" s="245" t="s">
        <v>885</v>
      </c>
      <c r="CC3507" s="245" t="s">
        <v>885</v>
      </c>
      <c r="CD3507" s="459" t="s">
        <v>885</v>
      </c>
      <c r="CE3507" s="459" t="s">
        <v>885</v>
      </c>
      <c r="CF3507" s="245" t="s">
        <v>885</v>
      </c>
      <c r="CG3507" s="245" t="s">
        <v>885</v>
      </c>
      <c r="CH3507" s="245" t="s">
        <v>885</v>
      </c>
      <c r="CI3507" s="245" t="s">
        <v>885</v>
      </c>
      <c r="CJ3507" s="459" t="s">
        <v>885</v>
      </c>
      <c r="CK3507" s="459" t="s">
        <v>885</v>
      </c>
      <c r="CL3507" s="459" t="s">
        <v>885</v>
      </c>
      <c r="CM3507" s="459" t="s">
        <v>885</v>
      </c>
      <c r="CN3507" s="459" t="s">
        <v>885</v>
      </c>
      <c r="CO3507" s="459" t="s">
        <v>885</v>
      </c>
      <c r="CP3507" s="459" t="s">
        <v>885</v>
      </c>
      <c r="CQ3507" s="459" t="s">
        <v>885</v>
      </c>
      <c r="CR3507" s="459" t="s">
        <v>885</v>
      </c>
      <c r="CS3507" s="459" t="s">
        <v>885</v>
      </c>
      <c r="CT3507" s="245" t="s">
        <v>885</v>
      </c>
      <c r="CU3507" s="463" t="s">
        <v>885</v>
      </c>
      <c r="CV3507" s="245" t="s">
        <v>885</v>
      </c>
      <c r="CW3507" s="245" t="s">
        <v>885</v>
      </c>
      <c r="CX3507" s="459" t="s">
        <v>885</v>
      </c>
      <c r="CY3507" s="459" t="s">
        <v>885</v>
      </c>
      <c r="CZ3507" s="459" t="s">
        <v>885</v>
      </c>
      <c r="DA3507" s="459" t="s">
        <v>885</v>
      </c>
      <c r="DB3507" s="459" t="s">
        <v>885</v>
      </c>
      <c r="DC3507" s="459" t="s">
        <v>885</v>
      </c>
      <c r="DD3507" s="459" t="s">
        <v>885</v>
      </c>
      <c r="DE3507" s="459" t="s">
        <v>885</v>
      </c>
      <c r="DF3507" s="459" t="s">
        <v>885</v>
      </c>
      <c r="DG3507" s="459" t="s">
        <v>885</v>
      </c>
      <c r="DH3507" s="459" t="s">
        <v>885</v>
      </c>
      <c r="DI3507" s="459" t="s">
        <v>885</v>
      </c>
      <c r="DJ3507" s="459" t="s">
        <v>885</v>
      </c>
      <c r="DK3507" s="459" t="s">
        <v>885</v>
      </c>
      <c r="DL3507" s="459" t="s">
        <v>885</v>
      </c>
      <c r="DM3507" s="459" t="s">
        <v>885</v>
      </c>
      <c r="DN3507" s="459" t="s">
        <v>885</v>
      </c>
      <c r="DO3507" s="459" t="s">
        <v>885</v>
      </c>
      <c r="DP3507" t="s">
        <v>3055</v>
      </c>
      <c r="DQ3507" s="459" t="s">
        <v>885</v>
      </c>
      <c r="DR3507" s="459" t="s">
        <v>885</v>
      </c>
      <c r="DS3507" s="459" t="s">
        <v>885</v>
      </c>
      <c r="DT3507" s="459" t="s">
        <v>885</v>
      </c>
      <c r="DU3507" s="459" t="s">
        <v>885</v>
      </c>
      <c r="DV3507" s="459" t="s">
        <v>885</v>
      </c>
      <c r="DW3507" s="459" t="s">
        <v>885</v>
      </c>
      <c r="DX3507" s="245" t="s">
        <v>885</v>
      </c>
      <c r="DY3507" s="245"/>
      <c r="DZ3507" s="470" t="str">
        <f t="shared" si="183"/>
        <v/>
      </c>
      <c r="EA3507" s="470" t="str">
        <f t="shared" si="184"/>
        <v/>
      </c>
      <c r="EB3507" s="459" t="s">
        <v>885</v>
      </c>
    </row>
    <row r="3508" spans="1:132" ht="16" hidden="1" x14ac:dyDescent="0.4">
      <c r="A3508" s="813"/>
      <c r="BB3508" s="48"/>
      <c r="BS3508" s="464" t="str">
        <f>IF($B$265=B$3281,BZ3507,IF($B$265=B$3282,CA3507,IF($B$265=B$3283,CB3507,IF($B$265=B$3284,CC3507,IF($B$265=B$3285,CD3507,IF($B$265=B$3286,CE3507,IF($B$265=B$3287,CF3507,IF($B$265=B$3288,CG3507,IF($B$265=B$3289,CH3507,IF($B$265=B$3290,CI3507,IF($B$265=B$3291,CJ3507,IF($B$265=B$3292,CK3507,IF($B$265=B$3293,CL3507,IF($B$265=B$3294,CM3507,IF($B$265=B$3295,CN3507,IF($B$265=B$3296,C2744,IF($B$265=B$3297,CO3507,IF($B$265=B$3298,CP3507,IF($B$265=B$3299,CQ3507,IF($B$265=B$3300,CR3507,IF($B$265=B$3301,CS3507,IF($B$265=B$3302,CT3507,IF(B$265=B$3303,CU3507,IF($B$265=B$3304,CV3507,IF($B$265=B$3305,CW3507,IF($B$265=B$3306,CX3507,IF($B$265=B$3307,CY3507,IF($B$265=B$3308,CZ3507,IF($B$265=B$3309,DA3507,IF($B$265=B$3310,DB3507,IF($B$265=B$3311,DC3507,IF($B$265=B$3312,DD3507,IF($B$265=B$3313,DE3507,IF($B$265=B$3314,DF3507,IF($B$265=B$3315,DG3507,IF($B$265=B$3316,DH3507,IF($B$265=B$3317,DI3507,IF($B$265=B$3318,DJ3507,IF($B$265=B$3319,DK3507,IF($B$265=B$3320,DL3507,IF($B$265=B$3321,DM3507,IF($B$265=B$3322,DN3507,IF($B$265=B$3323,DO3507,IF($B$265=B$3324,DP3507,IF($B$265=B$3325,DQ3507,IF($B$265=B$3326,DR3507,IF($B$265=B$3327,DS3507,IF($B$265=B$3328,DT3507,IF($B$265=B$3329,DU3507,IF($B$265=B$3330,DV3507,IF($B$265=B$3331,DW3507,IF($B$265=B$3332,DX3507,""))))))))))))))))))))))))))))))))))))))))))))))))))))</f>
        <v/>
      </c>
      <c r="BZ3508" s="245" t="s">
        <v>885</v>
      </c>
      <c r="CA3508" s="245" t="s">
        <v>885</v>
      </c>
      <c r="CC3508" s="245" t="s">
        <v>885</v>
      </c>
      <c r="CD3508" s="459" t="s">
        <v>885</v>
      </c>
      <c r="CE3508" s="459" t="s">
        <v>885</v>
      </c>
      <c r="CF3508" s="245" t="s">
        <v>885</v>
      </c>
      <c r="CG3508" s="245" t="s">
        <v>885</v>
      </c>
      <c r="CH3508" s="245" t="s">
        <v>885</v>
      </c>
      <c r="CI3508" s="245" t="s">
        <v>885</v>
      </c>
      <c r="CJ3508" s="459" t="s">
        <v>885</v>
      </c>
      <c r="CK3508" s="459" t="s">
        <v>885</v>
      </c>
      <c r="CL3508" s="459" t="s">
        <v>885</v>
      </c>
      <c r="CM3508" s="459" t="s">
        <v>885</v>
      </c>
      <c r="CN3508" s="459" t="s">
        <v>885</v>
      </c>
      <c r="CO3508" s="459" t="s">
        <v>885</v>
      </c>
      <c r="CP3508" s="459" t="s">
        <v>885</v>
      </c>
      <c r="CQ3508" s="459" t="s">
        <v>885</v>
      </c>
      <c r="CR3508" s="459" t="s">
        <v>885</v>
      </c>
      <c r="CS3508" s="459" t="s">
        <v>885</v>
      </c>
      <c r="CT3508" s="245" t="s">
        <v>885</v>
      </c>
      <c r="CU3508" s="463" t="s">
        <v>885</v>
      </c>
      <c r="CV3508" s="245" t="s">
        <v>885</v>
      </c>
      <c r="CW3508" s="245" t="s">
        <v>885</v>
      </c>
      <c r="CX3508" s="459" t="s">
        <v>885</v>
      </c>
      <c r="CY3508" s="459" t="s">
        <v>885</v>
      </c>
      <c r="CZ3508" s="459" t="s">
        <v>885</v>
      </c>
      <c r="DA3508" s="459" t="s">
        <v>885</v>
      </c>
      <c r="DB3508" s="459" t="s">
        <v>885</v>
      </c>
      <c r="DC3508" s="459" t="s">
        <v>885</v>
      </c>
      <c r="DD3508" s="459" t="s">
        <v>885</v>
      </c>
      <c r="DE3508" s="459" t="s">
        <v>885</v>
      </c>
      <c r="DF3508" s="459" t="s">
        <v>885</v>
      </c>
      <c r="DG3508" s="459" t="s">
        <v>885</v>
      </c>
      <c r="DH3508" s="459" t="s">
        <v>885</v>
      </c>
      <c r="DI3508" s="459" t="s">
        <v>885</v>
      </c>
      <c r="DJ3508" s="459" t="s">
        <v>885</v>
      </c>
      <c r="DK3508" s="459" t="s">
        <v>885</v>
      </c>
      <c r="DL3508" s="459" t="s">
        <v>885</v>
      </c>
      <c r="DM3508" s="459" t="s">
        <v>885</v>
      </c>
      <c r="DN3508" s="459" t="s">
        <v>885</v>
      </c>
      <c r="DO3508" s="459" t="s">
        <v>885</v>
      </c>
      <c r="DP3508" t="s">
        <v>3056</v>
      </c>
      <c r="DQ3508" s="459" t="s">
        <v>885</v>
      </c>
      <c r="DR3508" s="459" t="s">
        <v>885</v>
      </c>
      <c r="DS3508" s="459" t="s">
        <v>885</v>
      </c>
      <c r="DT3508" s="459" t="s">
        <v>885</v>
      </c>
      <c r="DU3508" s="459" t="s">
        <v>885</v>
      </c>
      <c r="DV3508" s="459" t="s">
        <v>885</v>
      </c>
      <c r="DW3508" s="459" t="s">
        <v>885</v>
      </c>
      <c r="DX3508" s="245" t="s">
        <v>885</v>
      </c>
      <c r="DY3508" s="245"/>
      <c r="DZ3508" s="470" t="str">
        <f t="shared" si="183"/>
        <v/>
      </c>
      <c r="EA3508" s="470" t="str">
        <f t="shared" si="184"/>
        <v/>
      </c>
      <c r="EB3508" s="459" t="s">
        <v>885</v>
      </c>
    </row>
    <row r="3509" spans="1:132" ht="16" hidden="1" x14ac:dyDescent="0.4">
      <c r="A3509" s="813"/>
      <c r="BB3509" s="48"/>
      <c r="BS3509" s="464" t="str">
        <f t="shared" ref="BS3509:BS3514" si="185">IF($B$265=B$3281,BZ3508,IF($B$265=B$3282,CA3508,IF($B$265=B$3283,CB3508,IF($B$265=B$3284,CC3508,IF($B$265=B$3285,CD3508,IF($B$265=B$3286,CE3508,IF($B$265=B$3287,CF3508,IF($B$265=B$3288,CG3508,IF($B$265=B$3289,CH3508,IF($B$265=B$3290,CI3508,IF($B$265=B$3291,CJ3508,IF($B$265=B$3292,CK3508,IF($B$265=B$3293,CL3508,IF($B$265=B$3294,CM3508,IF($B$265=B$3295,CN3508,IF($B$265=B$3296,D2738,IF($B$265=B$3297,CO3508,IF($B$265=B$3298,CP3508,IF($B$265=B$3299,CQ3508,IF($B$265=B$3300,CR3508,IF($B$265=B$3301,CS3508,IF($B$265=B$3302,CT3508,IF(B$265=B$3303,CU3508,IF($B$265=B$3304,CV3508,IF($B$265=B$3305,CW3508,IF($B$265=B$3306,CX3508,IF($B$265=B$3307,CY3508,IF($B$265=B$3308,CZ3508,IF($B$265=B$3309,DA3508,IF($B$265=B$3310,DB3508,IF($B$265=B$3311,DC3508,IF($B$265=B$3312,DD3508,IF($B$265=B$3313,DE3508,IF($B$265=B$3314,DF3508,IF($B$265=B$3315,DG3508,IF($B$265=B$3316,DH3508,IF($B$265=B$3317,DI3508,IF($B$265=B$3318,DJ3508,IF($B$265=B$3319,DK3508,IF($B$265=B$3320,DL3508,IF($B$265=B$3321,DM3508,IF($B$265=B$3322,DN3508,IF($B$265=B$3323,DO3508,IF($B$265=B$3324,DP3508,IF($B$265=B$3325,DQ3508,IF($B$265=B$3326,DR3508,IF($B$265=B$3327,DS3508,IF($B$265=B$3328,DT3508,IF($B$265=B$3329,DU3508,IF($B$265=B$3330,DV3508,IF($B$265=B$3331,DW3508,IF($B$265=B$3332,DX3508,""))))))))))))))))))))))))))))))))))))))))))))))))))))</f>
        <v/>
      </c>
      <c r="BZ3509" s="245" t="s">
        <v>885</v>
      </c>
      <c r="CA3509" s="245" t="s">
        <v>885</v>
      </c>
      <c r="CC3509" s="245" t="s">
        <v>885</v>
      </c>
      <c r="CD3509" s="459" t="s">
        <v>885</v>
      </c>
      <c r="CE3509" s="459" t="s">
        <v>885</v>
      </c>
      <c r="CF3509" s="245" t="s">
        <v>885</v>
      </c>
      <c r="CG3509" s="245" t="s">
        <v>885</v>
      </c>
      <c r="CH3509" s="245" t="s">
        <v>885</v>
      </c>
      <c r="CI3509" s="245" t="s">
        <v>885</v>
      </c>
      <c r="CJ3509" s="459" t="s">
        <v>885</v>
      </c>
      <c r="CK3509" s="459" t="s">
        <v>885</v>
      </c>
      <c r="CL3509" s="459" t="s">
        <v>885</v>
      </c>
      <c r="CM3509" s="459" t="s">
        <v>885</v>
      </c>
      <c r="CN3509" s="459" t="s">
        <v>885</v>
      </c>
      <c r="CO3509" s="459" t="s">
        <v>885</v>
      </c>
      <c r="CP3509" s="459" t="s">
        <v>885</v>
      </c>
      <c r="CQ3509" s="459" t="s">
        <v>885</v>
      </c>
      <c r="CR3509" s="459" t="s">
        <v>885</v>
      </c>
      <c r="CS3509" s="459" t="s">
        <v>885</v>
      </c>
      <c r="CT3509" s="245" t="s">
        <v>885</v>
      </c>
      <c r="CU3509" s="463" t="s">
        <v>885</v>
      </c>
      <c r="CV3509" s="245" t="s">
        <v>885</v>
      </c>
      <c r="CW3509" s="245" t="s">
        <v>885</v>
      </c>
      <c r="CX3509" s="459" t="s">
        <v>885</v>
      </c>
      <c r="CY3509" s="459" t="s">
        <v>885</v>
      </c>
      <c r="CZ3509" s="459" t="s">
        <v>885</v>
      </c>
      <c r="DA3509" s="459" t="s">
        <v>885</v>
      </c>
      <c r="DB3509" s="459" t="s">
        <v>885</v>
      </c>
      <c r="DC3509" s="459" t="s">
        <v>885</v>
      </c>
      <c r="DD3509" s="459" t="s">
        <v>885</v>
      </c>
      <c r="DE3509" s="459" t="s">
        <v>885</v>
      </c>
      <c r="DF3509" s="459" t="s">
        <v>885</v>
      </c>
      <c r="DG3509" s="459" t="s">
        <v>885</v>
      </c>
      <c r="DH3509" s="459" t="s">
        <v>885</v>
      </c>
      <c r="DI3509" s="459" t="s">
        <v>885</v>
      </c>
      <c r="DJ3509" s="459" t="s">
        <v>885</v>
      </c>
      <c r="DK3509" s="459" t="s">
        <v>885</v>
      </c>
      <c r="DL3509" s="459" t="s">
        <v>885</v>
      </c>
      <c r="DM3509" s="459" t="s">
        <v>885</v>
      </c>
      <c r="DN3509" s="459" t="s">
        <v>885</v>
      </c>
      <c r="DO3509" s="459" t="s">
        <v>885</v>
      </c>
      <c r="DP3509" t="s">
        <v>3057</v>
      </c>
      <c r="DQ3509" s="459" t="s">
        <v>885</v>
      </c>
      <c r="DR3509" s="459" t="s">
        <v>885</v>
      </c>
      <c r="DS3509" s="459" t="s">
        <v>885</v>
      </c>
      <c r="DT3509" s="459" t="s">
        <v>885</v>
      </c>
      <c r="DU3509" s="459" t="s">
        <v>885</v>
      </c>
      <c r="DV3509" s="459" t="s">
        <v>885</v>
      </c>
      <c r="DW3509" s="459" t="s">
        <v>885</v>
      </c>
      <c r="DX3509" s="245" t="s">
        <v>885</v>
      </c>
      <c r="DY3509" s="245"/>
      <c r="DZ3509" s="470" t="str">
        <f t="shared" si="183"/>
        <v/>
      </c>
      <c r="EA3509" s="470" t="str">
        <f t="shared" si="184"/>
        <v/>
      </c>
      <c r="EB3509" s="459" t="s">
        <v>885</v>
      </c>
    </row>
    <row r="3510" spans="1:132" ht="16" hidden="1" x14ac:dyDescent="0.4">
      <c r="A3510" s="813"/>
      <c r="BB3510" s="48"/>
      <c r="BS3510" s="464" t="str">
        <f t="shared" si="185"/>
        <v/>
      </c>
      <c r="BZ3510" s="245" t="s">
        <v>885</v>
      </c>
      <c r="CA3510" s="245" t="s">
        <v>885</v>
      </c>
      <c r="CC3510" s="245" t="s">
        <v>885</v>
      </c>
      <c r="CD3510" s="459" t="s">
        <v>885</v>
      </c>
      <c r="CE3510" s="459" t="s">
        <v>885</v>
      </c>
      <c r="CF3510" s="245" t="s">
        <v>885</v>
      </c>
      <c r="CG3510" s="245" t="s">
        <v>885</v>
      </c>
      <c r="CH3510" s="245" t="s">
        <v>885</v>
      </c>
      <c r="CI3510" s="245" t="s">
        <v>885</v>
      </c>
      <c r="CJ3510" s="459" t="s">
        <v>885</v>
      </c>
      <c r="CK3510" s="459" t="s">
        <v>885</v>
      </c>
      <c r="CL3510" s="459" t="s">
        <v>885</v>
      </c>
      <c r="CM3510" s="459" t="s">
        <v>885</v>
      </c>
      <c r="CN3510" s="459" t="s">
        <v>885</v>
      </c>
      <c r="CO3510" s="459" t="s">
        <v>885</v>
      </c>
      <c r="CP3510" s="459" t="s">
        <v>885</v>
      </c>
      <c r="CQ3510" s="459" t="s">
        <v>885</v>
      </c>
      <c r="CR3510" s="459" t="s">
        <v>885</v>
      </c>
      <c r="CS3510" s="459" t="s">
        <v>885</v>
      </c>
      <c r="CT3510" s="245" t="s">
        <v>885</v>
      </c>
      <c r="CU3510" s="463" t="s">
        <v>885</v>
      </c>
      <c r="CV3510" s="245" t="s">
        <v>885</v>
      </c>
      <c r="CW3510" s="245" t="s">
        <v>885</v>
      </c>
      <c r="CX3510" s="459" t="s">
        <v>885</v>
      </c>
      <c r="CY3510" s="459" t="s">
        <v>885</v>
      </c>
      <c r="CZ3510" s="459" t="s">
        <v>885</v>
      </c>
      <c r="DA3510" s="459" t="s">
        <v>885</v>
      </c>
      <c r="DB3510" s="459" t="s">
        <v>885</v>
      </c>
      <c r="DC3510" s="459" t="s">
        <v>885</v>
      </c>
      <c r="DD3510" s="459" t="s">
        <v>885</v>
      </c>
      <c r="DE3510" s="459" t="s">
        <v>885</v>
      </c>
      <c r="DF3510" s="459" t="s">
        <v>885</v>
      </c>
      <c r="DG3510" s="459" t="s">
        <v>885</v>
      </c>
      <c r="DH3510" s="459" t="s">
        <v>885</v>
      </c>
      <c r="DI3510" s="459" t="s">
        <v>885</v>
      </c>
      <c r="DJ3510" s="459" t="s">
        <v>885</v>
      </c>
      <c r="DK3510" s="459" t="s">
        <v>885</v>
      </c>
      <c r="DL3510" s="459" t="s">
        <v>885</v>
      </c>
      <c r="DM3510" s="459" t="s">
        <v>885</v>
      </c>
      <c r="DN3510" s="459" t="s">
        <v>885</v>
      </c>
      <c r="DO3510" s="459" t="s">
        <v>885</v>
      </c>
      <c r="DP3510" t="s">
        <v>3058</v>
      </c>
      <c r="DQ3510" s="459" t="s">
        <v>885</v>
      </c>
      <c r="DR3510" s="459" t="s">
        <v>885</v>
      </c>
      <c r="DS3510" s="459" t="s">
        <v>885</v>
      </c>
      <c r="DT3510" s="459" t="s">
        <v>885</v>
      </c>
      <c r="DU3510" s="459" t="s">
        <v>885</v>
      </c>
      <c r="DV3510" s="459" t="s">
        <v>885</v>
      </c>
      <c r="DW3510" s="459" t="s">
        <v>885</v>
      </c>
      <c r="DX3510" s="245" t="s">
        <v>885</v>
      </c>
      <c r="DY3510" s="245"/>
      <c r="DZ3510" s="470" t="str">
        <f t="shared" si="183"/>
        <v/>
      </c>
      <c r="EA3510" s="470" t="str">
        <f t="shared" si="184"/>
        <v/>
      </c>
      <c r="EB3510" s="459" t="s">
        <v>885</v>
      </c>
    </row>
    <row r="3511" spans="1:132" ht="16" hidden="1" x14ac:dyDescent="0.4">
      <c r="A3511" s="813"/>
      <c r="BB3511" s="48"/>
      <c r="BS3511" s="464" t="str">
        <f t="shared" si="185"/>
        <v/>
      </c>
      <c r="BZ3511" s="245" t="s">
        <v>885</v>
      </c>
      <c r="CA3511" s="245" t="s">
        <v>885</v>
      </c>
      <c r="CC3511" s="245" t="s">
        <v>885</v>
      </c>
      <c r="CD3511" s="459" t="s">
        <v>885</v>
      </c>
      <c r="CE3511" s="459" t="s">
        <v>885</v>
      </c>
      <c r="CF3511" s="245" t="s">
        <v>885</v>
      </c>
      <c r="CG3511" s="245" t="s">
        <v>885</v>
      </c>
      <c r="CH3511" s="245" t="s">
        <v>885</v>
      </c>
      <c r="CI3511" s="245" t="s">
        <v>885</v>
      </c>
      <c r="CJ3511" s="459" t="s">
        <v>885</v>
      </c>
      <c r="CK3511" s="459" t="s">
        <v>885</v>
      </c>
      <c r="CL3511" s="459" t="s">
        <v>885</v>
      </c>
      <c r="CM3511" s="459" t="s">
        <v>885</v>
      </c>
      <c r="CN3511" s="459" t="s">
        <v>885</v>
      </c>
      <c r="CO3511" s="459" t="s">
        <v>885</v>
      </c>
      <c r="CP3511" s="459" t="s">
        <v>885</v>
      </c>
      <c r="CQ3511" s="459" t="s">
        <v>885</v>
      </c>
      <c r="CR3511" s="459" t="s">
        <v>885</v>
      </c>
      <c r="CS3511" s="459" t="s">
        <v>885</v>
      </c>
      <c r="CT3511" s="245" t="s">
        <v>885</v>
      </c>
      <c r="CU3511" s="463" t="s">
        <v>885</v>
      </c>
      <c r="CV3511" s="245" t="s">
        <v>885</v>
      </c>
      <c r="CW3511" s="245" t="s">
        <v>885</v>
      </c>
      <c r="CX3511" s="459" t="s">
        <v>885</v>
      </c>
      <c r="CY3511" s="459" t="s">
        <v>885</v>
      </c>
      <c r="CZ3511" s="459" t="s">
        <v>885</v>
      </c>
      <c r="DA3511" s="459" t="s">
        <v>885</v>
      </c>
      <c r="DB3511" s="459" t="s">
        <v>885</v>
      </c>
      <c r="DC3511" s="459" t="s">
        <v>885</v>
      </c>
      <c r="DD3511" s="459" t="s">
        <v>885</v>
      </c>
      <c r="DE3511" s="459" t="s">
        <v>885</v>
      </c>
      <c r="DF3511" s="459" t="s">
        <v>885</v>
      </c>
      <c r="DG3511" s="459" t="s">
        <v>885</v>
      </c>
      <c r="DH3511" s="459" t="s">
        <v>885</v>
      </c>
      <c r="DI3511" s="459" t="s">
        <v>885</v>
      </c>
      <c r="DJ3511" s="459" t="s">
        <v>885</v>
      </c>
      <c r="DK3511" s="459" t="s">
        <v>885</v>
      </c>
      <c r="DL3511" s="459" t="s">
        <v>885</v>
      </c>
      <c r="DM3511" s="459" t="s">
        <v>885</v>
      </c>
      <c r="DN3511" s="459" t="s">
        <v>885</v>
      </c>
      <c r="DO3511" s="459" t="s">
        <v>885</v>
      </c>
      <c r="DP3511" t="s">
        <v>3059</v>
      </c>
      <c r="DQ3511" s="459" t="s">
        <v>885</v>
      </c>
      <c r="DR3511" s="459" t="s">
        <v>885</v>
      </c>
      <c r="DS3511" s="459" t="s">
        <v>885</v>
      </c>
      <c r="DT3511" s="459" t="s">
        <v>885</v>
      </c>
      <c r="DU3511" s="459" t="s">
        <v>885</v>
      </c>
      <c r="DV3511" s="459" t="s">
        <v>885</v>
      </c>
      <c r="DW3511" s="459" t="s">
        <v>885</v>
      </c>
      <c r="DX3511" s="245" t="s">
        <v>885</v>
      </c>
      <c r="DY3511" s="245"/>
      <c r="DZ3511" s="470" t="str">
        <f t="shared" si="183"/>
        <v/>
      </c>
      <c r="EA3511" s="470" t="str">
        <f t="shared" si="184"/>
        <v/>
      </c>
      <c r="EB3511" s="459" t="s">
        <v>885</v>
      </c>
    </row>
    <row r="3512" spans="1:132" ht="16" hidden="1" x14ac:dyDescent="0.4">
      <c r="A3512" s="813"/>
      <c r="BB3512" s="48"/>
      <c r="BS3512" s="464" t="str">
        <f t="shared" si="185"/>
        <v/>
      </c>
      <c r="BZ3512" s="245" t="s">
        <v>885</v>
      </c>
      <c r="CA3512" s="245" t="s">
        <v>885</v>
      </c>
      <c r="CC3512" s="245" t="s">
        <v>885</v>
      </c>
      <c r="CD3512" s="459" t="s">
        <v>885</v>
      </c>
      <c r="CE3512" s="459" t="s">
        <v>885</v>
      </c>
      <c r="CF3512" s="245" t="s">
        <v>885</v>
      </c>
      <c r="CG3512" s="245" t="s">
        <v>885</v>
      </c>
      <c r="CH3512" s="245" t="s">
        <v>885</v>
      </c>
      <c r="CI3512" s="245" t="s">
        <v>885</v>
      </c>
      <c r="CJ3512" s="459" t="s">
        <v>885</v>
      </c>
      <c r="CK3512" s="459" t="s">
        <v>885</v>
      </c>
      <c r="CL3512" s="459" t="s">
        <v>885</v>
      </c>
      <c r="CM3512" s="459" t="s">
        <v>885</v>
      </c>
      <c r="CN3512" s="459" t="s">
        <v>885</v>
      </c>
      <c r="CO3512" s="459" t="s">
        <v>885</v>
      </c>
      <c r="CP3512" s="459" t="s">
        <v>885</v>
      </c>
      <c r="CQ3512" s="459" t="s">
        <v>885</v>
      </c>
      <c r="CR3512" s="459" t="s">
        <v>885</v>
      </c>
      <c r="CS3512" s="459" t="s">
        <v>885</v>
      </c>
      <c r="CT3512" s="245" t="s">
        <v>885</v>
      </c>
      <c r="CU3512" s="463" t="s">
        <v>885</v>
      </c>
      <c r="CV3512" s="245" t="s">
        <v>885</v>
      </c>
      <c r="CW3512" s="245" t="s">
        <v>885</v>
      </c>
      <c r="CX3512" s="459" t="s">
        <v>885</v>
      </c>
      <c r="CY3512" s="459" t="s">
        <v>885</v>
      </c>
      <c r="CZ3512" s="459" t="s">
        <v>885</v>
      </c>
      <c r="DA3512" s="459" t="s">
        <v>885</v>
      </c>
      <c r="DB3512" s="459" t="s">
        <v>885</v>
      </c>
      <c r="DC3512" s="459" t="s">
        <v>885</v>
      </c>
      <c r="DD3512" s="459" t="s">
        <v>885</v>
      </c>
      <c r="DE3512" s="459" t="s">
        <v>885</v>
      </c>
      <c r="DF3512" s="459" t="s">
        <v>885</v>
      </c>
      <c r="DG3512" s="459" t="s">
        <v>885</v>
      </c>
      <c r="DH3512" s="459" t="s">
        <v>885</v>
      </c>
      <c r="DI3512" s="459" t="s">
        <v>885</v>
      </c>
      <c r="DJ3512" s="459" t="s">
        <v>885</v>
      </c>
      <c r="DK3512" s="459" t="s">
        <v>885</v>
      </c>
      <c r="DL3512" s="459" t="s">
        <v>885</v>
      </c>
      <c r="DM3512" s="459" t="s">
        <v>885</v>
      </c>
      <c r="DN3512" s="459" t="s">
        <v>885</v>
      </c>
      <c r="DO3512" s="459" t="s">
        <v>885</v>
      </c>
      <c r="DP3512" t="s">
        <v>3060</v>
      </c>
      <c r="DQ3512" s="459" t="s">
        <v>885</v>
      </c>
      <c r="DR3512" s="459" t="s">
        <v>885</v>
      </c>
      <c r="DS3512" s="459" t="s">
        <v>885</v>
      </c>
      <c r="DT3512" s="459" t="s">
        <v>885</v>
      </c>
      <c r="DU3512" s="459" t="s">
        <v>885</v>
      </c>
      <c r="DV3512" s="459" t="s">
        <v>885</v>
      </c>
      <c r="DW3512" s="459" t="s">
        <v>885</v>
      </c>
      <c r="DX3512" s="245" t="s">
        <v>885</v>
      </c>
      <c r="DY3512" s="245"/>
      <c r="DZ3512" s="470" t="str">
        <f t="shared" si="183"/>
        <v/>
      </c>
      <c r="EA3512" s="470" t="str">
        <f t="shared" si="184"/>
        <v/>
      </c>
      <c r="EB3512" s="459" t="s">
        <v>885</v>
      </c>
    </row>
    <row r="3513" spans="1:132" ht="16" hidden="1" x14ac:dyDescent="0.4">
      <c r="A3513" s="813"/>
      <c r="BB3513" s="48"/>
      <c r="BS3513" s="464" t="str">
        <f t="shared" si="185"/>
        <v/>
      </c>
      <c r="BZ3513" s="245" t="s">
        <v>885</v>
      </c>
      <c r="CA3513" s="245" t="s">
        <v>885</v>
      </c>
      <c r="CC3513" s="245" t="s">
        <v>885</v>
      </c>
      <c r="CD3513" s="459" t="s">
        <v>885</v>
      </c>
      <c r="CE3513" s="459" t="s">
        <v>885</v>
      </c>
      <c r="CF3513" s="245" t="s">
        <v>885</v>
      </c>
      <c r="CG3513" s="245" t="s">
        <v>885</v>
      </c>
      <c r="CH3513" s="245" t="s">
        <v>885</v>
      </c>
      <c r="CI3513" s="245" t="s">
        <v>885</v>
      </c>
      <c r="CJ3513" s="459" t="s">
        <v>885</v>
      </c>
      <c r="CK3513" s="459" t="s">
        <v>885</v>
      </c>
      <c r="CL3513" s="459" t="s">
        <v>885</v>
      </c>
      <c r="CM3513" s="459" t="s">
        <v>885</v>
      </c>
      <c r="CN3513" s="459" t="s">
        <v>885</v>
      </c>
      <c r="CO3513" s="459" t="s">
        <v>885</v>
      </c>
      <c r="CP3513" s="459" t="s">
        <v>885</v>
      </c>
      <c r="CQ3513" s="459" t="s">
        <v>885</v>
      </c>
      <c r="CR3513" s="459" t="s">
        <v>885</v>
      </c>
      <c r="CS3513" s="459" t="s">
        <v>885</v>
      </c>
      <c r="CT3513" s="245" t="s">
        <v>885</v>
      </c>
      <c r="CU3513" s="463" t="s">
        <v>885</v>
      </c>
      <c r="CV3513" s="245" t="s">
        <v>885</v>
      </c>
      <c r="CW3513" s="245" t="s">
        <v>885</v>
      </c>
      <c r="CX3513" s="459" t="s">
        <v>885</v>
      </c>
      <c r="CY3513" s="459" t="s">
        <v>885</v>
      </c>
      <c r="CZ3513" s="459" t="s">
        <v>885</v>
      </c>
      <c r="DA3513" s="459" t="s">
        <v>885</v>
      </c>
      <c r="DB3513" s="459" t="s">
        <v>885</v>
      </c>
      <c r="DC3513" s="459" t="s">
        <v>885</v>
      </c>
      <c r="DD3513" s="459" t="s">
        <v>885</v>
      </c>
      <c r="DE3513" s="459" t="s">
        <v>885</v>
      </c>
      <c r="DF3513" s="459" t="s">
        <v>885</v>
      </c>
      <c r="DG3513" s="459" t="s">
        <v>885</v>
      </c>
      <c r="DH3513" s="459" t="s">
        <v>885</v>
      </c>
      <c r="DI3513" s="459" t="s">
        <v>885</v>
      </c>
      <c r="DJ3513" s="459" t="s">
        <v>885</v>
      </c>
      <c r="DK3513" s="459" t="s">
        <v>885</v>
      </c>
      <c r="DL3513" s="459" t="s">
        <v>885</v>
      </c>
      <c r="DM3513" s="459" t="s">
        <v>885</v>
      </c>
      <c r="DN3513" s="459" t="s">
        <v>885</v>
      </c>
      <c r="DO3513" s="459" t="s">
        <v>885</v>
      </c>
      <c r="DP3513" t="s">
        <v>1489</v>
      </c>
      <c r="DQ3513" s="459" t="s">
        <v>885</v>
      </c>
      <c r="DR3513" s="459" t="s">
        <v>885</v>
      </c>
      <c r="DS3513" s="459" t="s">
        <v>885</v>
      </c>
      <c r="DT3513" s="459" t="s">
        <v>885</v>
      </c>
      <c r="DU3513" s="459" t="s">
        <v>885</v>
      </c>
      <c r="DV3513" s="459" t="s">
        <v>885</v>
      </c>
      <c r="DW3513" s="459" t="s">
        <v>885</v>
      </c>
      <c r="DX3513" s="245" t="s">
        <v>885</v>
      </c>
      <c r="DY3513" s="245"/>
      <c r="DZ3513" s="470" t="str">
        <f t="shared" si="183"/>
        <v/>
      </c>
      <c r="EA3513" s="470" t="str">
        <f t="shared" si="184"/>
        <v/>
      </c>
      <c r="EB3513" s="459" t="s">
        <v>885</v>
      </c>
    </row>
    <row r="3514" spans="1:132" ht="16" hidden="1" x14ac:dyDescent="0.4">
      <c r="A3514" s="813"/>
      <c r="BS3514" s="464" t="str">
        <f t="shared" si="185"/>
        <v/>
      </c>
      <c r="BZ3514" s="245" t="s">
        <v>885</v>
      </c>
      <c r="CA3514" s="245" t="s">
        <v>885</v>
      </c>
      <c r="CC3514" s="245" t="s">
        <v>885</v>
      </c>
      <c r="CD3514" s="459" t="s">
        <v>885</v>
      </c>
      <c r="CE3514" s="459" t="s">
        <v>885</v>
      </c>
      <c r="CF3514" s="245" t="s">
        <v>885</v>
      </c>
      <c r="CG3514" s="245" t="s">
        <v>885</v>
      </c>
      <c r="CH3514" s="245" t="s">
        <v>885</v>
      </c>
      <c r="CI3514" s="245" t="s">
        <v>885</v>
      </c>
      <c r="CJ3514" s="459" t="s">
        <v>885</v>
      </c>
      <c r="CK3514" s="459" t="s">
        <v>885</v>
      </c>
      <c r="CL3514" s="459" t="s">
        <v>885</v>
      </c>
      <c r="CM3514" s="459" t="s">
        <v>885</v>
      </c>
      <c r="CN3514" s="459" t="s">
        <v>885</v>
      </c>
      <c r="CO3514" s="459" t="s">
        <v>885</v>
      </c>
      <c r="CP3514" s="459" t="s">
        <v>885</v>
      </c>
      <c r="CQ3514" s="459" t="s">
        <v>885</v>
      </c>
      <c r="CR3514" s="459" t="s">
        <v>885</v>
      </c>
      <c r="CS3514" s="459" t="s">
        <v>885</v>
      </c>
      <c r="CT3514" s="245" t="s">
        <v>885</v>
      </c>
      <c r="CU3514" s="463" t="s">
        <v>885</v>
      </c>
      <c r="CV3514" s="245" t="s">
        <v>885</v>
      </c>
      <c r="CW3514" s="245" t="s">
        <v>885</v>
      </c>
      <c r="CX3514" s="459" t="s">
        <v>885</v>
      </c>
      <c r="CY3514" s="459" t="s">
        <v>885</v>
      </c>
      <c r="CZ3514" s="459" t="s">
        <v>885</v>
      </c>
      <c r="DA3514" s="459" t="s">
        <v>885</v>
      </c>
      <c r="DB3514" s="459" t="s">
        <v>885</v>
      </c>
      <c r="DC3514" s="459" t="s">
        <v>885</v>
      </c>
      <c r="DD3514" s="459" t="s">
        <v>885</v>
      </c>
      <c r="DE3514" s="459" t="s">
        <v>885</v>
      </c>
      <c r="DF3514" s="459" t="s">
        <v>885</v>
      </c>
      <c r="DG3514" s="459" t="s">
        <v>885</v>
      </c>
      <c r="DH3514" s="459" t="s">
        <v>885</v>
      </c>
      <c r="DI3514" s="459" t="s">
        <v>885</v>
      </c>
      <c r="DJ3514" s="459" t="s">
        <v>885</v>
      </c>
      <c r="DK3514" s="459" t="s">
        <v>885</v>
      </c>
      <c r="DL3514" s="459" t="s">
        <v>885</v>
      </c>
      <c r="DM3514" s="459" t="s">
        <v>885</v>
      </c>
      <c r="DN3514" s="459" t="s">
        <v>885</v>
      </c>
      <c r="DO3514" s="459" t="s">
        <v>885</v>
      </c>
      <c r="DP3514" t="s">
        <v>2094</v>
      </c>
      <c r="DQ3514" s="459" t="s">
        <v>885</v>
      </c>
      <c r="DR3514" s="459" t="s">
        <v>885</v>
      </c>
      <c r="DS3514" s="459" t="s">
        <v>885</v>
      </c>
      <c r="DT3514" s="459" t="s">
        <v>885</v>
      </c>
      <c r="DU3514" s="459" t="s">
        <v>885</v>
      </c>
      <c r="DV3514" s="459" t="s">
        <v>885</v>
      </c>
      <c r="DW3514" s="459" t="s">
        <v>885</v>
      </c>
      <c r="DX3514" s="245" t="s">
        <v>885</v>
      </c>
      <c r="DY3514" s="245"/>
      <c r="DZ3514" s="470" t="str">
        <f t="shared" si="183"/>
        <v/>
      </c>
      <c r="EA3514" s="470" t="str">
        <f t="shared" si="184"/>
        <v/>
      </c>
      <c r="EB3514" s="459" t="s">
        <v>885</v>
      </c>
    </row>
    <row r="3515" spans="1:132" ht="16" hidden="1" x14ac:dyDescent="0.4">
      <c r="A3515" s="813"/>
      <c r="BS3515" s="464" t="str">
        <f>IF($B$265=B$3281,BZ3514,IF($B$265=B$3282,CA3514,IF($B$265=B$3283,CB3514,IF($B$265=B$3284,CC3514,IF($B$265=B$3285,CD3514,IF($B$265=B$3286,CE3514,IF($B$265=B$3287,CF3514,IF($B$265=B$3288,CG3514,IF($B$265=B$3289,CH3514,IF($B$265=B$3290,CI3514,IF($B$265=B$3291,CJ3514,IF($B$265=B$3292,CK3514,IF($B$265=B$3293,CL3514,IF($B$265=B$3294,CM3514,IF($B$265=B$3295,CN3514,IF($B$265=B$3296,C3514,IF($B$265=B$3297,CO3514,IF($B$265=B$3298,CP3514,IF($B$265=B$3299,CQ3514,IF($B$265=B$3300,CR3514,IF($B$265=B$3301,CS3514,IF($B$265=B$3302,CT3514,IF(B$265=B$3303,CU3514,IF($B$265=B$3304,CV3514,IF($B$265=B$3305,CW3514,IF($B$265=B$3306,CX3514,IF($B$265=B$3307,CY3514,IF($B$265=B$3308,CZ3514,IF($B$265=B$3309,DA3514,IF($B$265=B$3310,DB3514,IF($B$265=B$3311,DC3514,IF($B$265=B$3312,DD3514,IF($B$265=B$3313,DE3514,IF($B$265=B$3314,DF3514,IF($B$265=B$3315,DG3514,IF($B$265=B$3316,DH3514,IF($B$265=B$3317,DI3514,IF($B$265=B$3318,DJ3514,IF($B$265=B$3319,DK3514,IF($B$265=B$3320,DL3514,IF($B$265=B$3321,DM3514,IF($B$265=B$3322,DN3514,IF($B$265=B$3323,DO3514,IF($B$265=B$3324,DP3514,IF($B$265=B$3325,DQ3514,IF($B$265=B$3326,DR3514,IF($B$265=B$3327,DS3514,IF($B$265=B$3328,DT3514,IF($B$265=B$3329,DU3514,IF($B$265=B$3330,DV3514,IF($B$265=B$3331,DW3514,IF($B$265=B$3332,DX3514,""))))))))))))))))))))))))))))))))))))))))))))))))))))</f>
        <v/>
      </c>
      <c r="BZ3515" s="245" t="s">
        <v>885</v>
      </c>
      <c r="CA3515" s="245" t="s">
        <v>885</v>
      </c>
      <c r="CC3515" s="245" t="s">
        <v>885</v>
      </c>
      <c r="CD3515" s="459" t="s">
        <v>885</v>
      </c>
      <c r="CE3515" s="459" t="s">
        <v>885</v>
      </c>
      <c r="CF3515" s="245" t="s">
        <v>885</v>
      </c>
      <c r="CG3515" s="245" t="s">
        <v>885</v>
      </c>
      <c r="CH3515" s="245" t="s">
        <v>885</v>
      </c>
      <c r="CI3515" s="245" t="s">
        <v>885</v>
      </c>
      <c r="CJ3515" s="459" t="s">
        <v>885</v>
      </c>
      <c r="CK3515" s="459" t="s">
        <v>885</v>
      </c>
      <c r="CL3515" s="459" t="s">
        <v>885</v>
      </c>
      <c r="CM3515" s="459" t="s">
        <v>885</v>
      </c>
      <c r="CN3515" s="459" t="s">
        <v>885</v>
      </c>
      <c r="CO3515" s="459" t="s">
        <v>885</v>
      </c>
      <c r="CP3515" s="459" t="s">
        <v>885</v>
      </c>
      <c r="CQ3515" s="459" t="s">
        <v>885</v>
      </c>
      <c r="CR3515" s="459" t="s">
        <v>885</v>
      </c>
      <c r="CS3515" s="459" t="s">
        <v>885</v>
      </c>
      <c r="CT3515" s="245" t="s">
        <v>885</v>
      </c>
      <c r="CU3515" s="463" t="s">
        <v>885</v>
      </c>
      <c r="CV3515" s="245" t="s">
        <v>885</v>
      </c>
      <c r="CW3515" s="245" t="s">
        <v>885</v>
      </c>
      <c r="CX3515" s="459" t="s">
        <v>885</v>
      </c>
      <c r="CY3515" s="459" t="s">
        <v>885</v>
      </c>
      <c r="CZ3515" s="459" t="s">
        <v>885</v>
      </c>
      <c r="DA3515" s="459" t="s">
        <v>885</v>
      </c>
      <c r="DB3515" s="459" t="s">
        <v>885</v>
      </c>
      <c r="DC3515" s="459" t="s">
        <v>885</v>
      </c>
      <c r="DD3515" s="459" t="s">
        <v>885</v>
      </c>
      <c r="DE3515" s="459" t="s">
        <v>885</v>
      </c>
      <c r="DF3515" s="459" t="s">
        <v>885</v>
      </c>
      <c r="DG3515" s="459" t="s">
        <v>885</v>
      </c>
      <c r="DH3515" s="459" t="s">
        <v>885</v>
      </c>
      <c r="DI3515" s="459" t="s">
        <v>885</v>
      </c>
      <c r="DJ3515" s="459" t="s">
        <v>885</v>
      </c>
      <c r="DK3515" s="459" t="s">
        <v>885</v>
      </c>
      <c r="DL3515" s="459" t="s">
        <v>885</v>
      </c>
      <c r="DM3515" s="459" t="s">
        <v>885</v>
      </c>
      <c r="DN3515" s="459" t="s">
        <v>885</v>
      </c>
      <c r="DO3515" s="459" t="s">
        <v>885</v>
      </c>
      <c r="DP3515" t="s">
        <v>2095</v>
      </c>
      <c r="DQ3515" s="459" t="s">
        <v>885</v>
      </c>
      <c r="DR3515" s="459" t="s">
        <v>885</v>
      </c>
      <c r="DS3515" s="459" t="s">
        <v>885</v>
      </c>
      <c r="DT3515" s="459" t="s">
        <v>885</v>
      </c>
      <c r="DU3515" s="459" t="s">
        <v>885</v>
      </c>
      <c r="DV3515" s="459" t="s">
        <v>885</v>
      </c>
      <c r="DW3515" s="459" t="s">
        <v>885</v>
      </c>
      <c r="DX3515" s="245" t="s">
        <v>885</v>
      </c>
      <c r="DY3515" s="245"/>
      <c r="DZ3515" s="470" t="str">
        <f t="shared" si="183"/>
        <v/>
      </c>
      <c r="EA3515" s="470" t="str">
        <f t="shared" si="184"/>
        <v/>
      </c>
      <c r="EB3515" s="459" t="s">
        <v>885</v>
      </c>
    </row>
    <row r="3516" spans="1:132" ht="16" hidden="1" x14ac:dyDescent="0.4">
      <c r="A3516" s="813"/>
      <c r="BB3516" s="48"/>
      <c r="BS3516" s="464" t="str">
        <f>IF($B$265=B$3281,BZ3515,IF($B$265=B$3282,CA3515,IF($B$265=B$3283,CB3515,IF($B$265=B$3284,CC3515,IF($B$265=B$3285,CD3515,IF($B$265=B$3286,CE3515,IF($B$265=B$3287,CF3515,IF($B$265=B$3288,CG3515,IF($B$265=B$3289,CH3515,IF($B$265=B$3290,CI3515,IF($B$265=B$3291,CJ3515,IF($B$265=B$3292,CK3515,IF($B$265=B$3293,CL3515,IF($B$265=B$3294,CM3515,IF($B$265=B$3295,CN3515,IF($B$265=B$3296,C3515,IF($B$265=B$3297,CO3515,IF($B$265=B$3298,CP3515,IF($B$265=B$3299,CQ3515,IF($B$265=B$3300,CR3515,IF($B$265=B$3301,CS3515,IF($B$265=B$3302,CT3515,IF(B$265=B$3303,CU3515,IF($B$265=B$3304,CV3515,IF($B$265=B$3305,CW3515,IF($B$265=B$3306,CX3515,IF($B$265=B$3307,CY3515,IF($B$265=B$3308,CZ3515,IF($B$265=B$3309,DA3515,IF($B$265=B$3310,DB3515,IF($B$265=B$3311,DC3515,IF($B$265=B$3312,DD3515,IF($B$265=B$3313,DE3515,IF($B$265=B$3314,DF3515,IF($B$265=B$3315,DG3515,IF($B$265=B$3316,DH3515,IF($B$265=B$3317,DI3515,IF($B$265=B$3318,DJ3515,IF($B$265=B$3319,DK3515,IF($B$265=B$3320,DL3515,IF($B$265=B$3321,DM3515,IF($B$265=B$3322,DN3515,IF($B$265=B$3323,DO3515,IF($B$265=B$3324,DP3515,IF($B$265=B$3325,DQ3515,IF($B$265=B$3326,DR3515,IF($B$265=B$3327,DS3515,IF($B$265=B$3328,DT3515,IF($B$265=B$3329,DU3515,IF($B$265=B$3330,DV3515,IF($B$265=B$3331,DW3515,IF($B$265=B$3332,DX3515,""))))))))))))))))))))))))))))))))))))))))))))))))))))</f>
        <v/>
      </c>
      <c r="BZ3516" s="245" t="s">
        <v>885</v>
      </c>
      <c r="CA3516" s="245" t="s">
        <v>885</v>
      </c>
      <c r="CC3516" s="245" t="s">
        <v>885</v>
      </c>
      <c r="CD3516" s="459" t="s">
        <v>885</v>
      </c>
      <c r="CE3516" s="459" t="s">
        <v>885</v>
      </c>
      <c r="CF3516" s="245" t="s">
        <v>885</v>
      </c>
      <c r="CG3516" s="245" t="s">
        <v>885</v>
      </c>
      <c r="CH3516" s="245" t="s">
        <v>885</v>
      </c>
      <c r="CI3516" s="245" t="s">
        <v>885</v>
      </c>
      <c r="CJ3516" s="459" t="s">
        <v>885</v>
      </c>
      <c r="CK3516" s="459" t="s">
        <v>885</v>
      </c>
      <c r="CL3516" s="459" t="s">
        <v>885</v>
      </c>
      <c r="CM3516" s="459" t="s">
        <v>885</v>
      </c>
      <c r="CN3516" s="459" t="s">
        <v>885</v>
      </c>
      <c r="CO3516" s="459" t="s">
        <v>885</v>
      </c>
      <c r="CP3516" s="459" t="s">
        <v>885</v>
      </c>
      <c r="CQ3516" s="459" t="s">
        <v>885</v>
      </c>
      <c r="CR3516" s="459" t="s">
        <v>885</v>
      </c>
      <c r="CS3516" s="459" t="s">
        <v>885</v>
      </c>
      <c r="CT3516" s="245" t="s">
        <v>885</v>
      </c>
      <c r="CU3516" s="463" t="s">
        <v>885</v>
      </c>
      <c r="CV3516" s="245" t="s">
        <v>885</v>
      </c>
      <c r="CW3516" s="245" t="s">
        <v>885</v>
      </c>
      <c r="CX3516" s="459" t="s">
        <v>885</v>
      </c>
      <c r="CY3516" s="459" t="s">
        <v>885</v>
      </c>
      <c r="CZ3516" s="459" t="s">
        <v>885</v>
      </c>
      <c r="DA3516" s="459" t="s">
        <v>885</v>
      </c>
      <c r="DB3516" s="459" t="s">
        <v>885</v>
      </c>
      <c r="DC3516" s="459" t="s">
        <v>885</v>
      </c>
      <c r="DD3516" s="459" t="s">
        <v>885</v>
      </c>
      <c r="DE3516" s="459" t="s">
        <v>885</v>
      </c>
      <c r="DF3516" s="459" t="s">
        <v>885</v>
      </c>
      <c r="DG3516" s="459" t="s">
        <v>885</v>
      </c>
      <c r="DH3516" s="459" t="s">
        <v>885</v>
      </c>
      <c r="DI3516" s="459" t="s">
        <v>885</v>
      </c>
      <c r="DJ3516" s="459" t="s">
        <v>885</v>
      </c>
      <c r="DK3516" s="459" t="s">
        <v>885</v>
      </c>
      <c r="DL3516" s="459" t="s">
        <v>885</v>
      </c>
      <c r="DM3516" s="459" t="s">
        <v>885</v>
      </c>
      <c r="DN3516" s="459" t="s">
        <v>885</v>
      </c>
      <c r="DO3516" s="459" t="s">
        <v>885</v>
      </c>
      <c r="DP3516" t="s">
        <v>3061</v>
      </c>
      <c r="DQ3516" s="459" t="s">
        <v>885</v>
      </c>
      <c r="DR3516" s="459" t="s">
        <v>885</v>
      </c>
      <c r="DS3516" s="459" t="s">
        <v>885</v>
      </c>
      <c r="DT3516" s="459" t="s">
        <v>885</v>
      </c>
      <c r="DU3516" s="459" t="s">
        <v>885</v>
      </c>
      <c r="DV3516" s="459" t="s">
        <v>885</v>
      </c>
      <c r="DW3516" s="459" t="s">
        <v>885</v>
      </c>
      <c r="DX3516" s="245" t="s">
        <v>885</v>
      </c>
      <c r="DY3516" s="245"/>
      <c r="DZ3516" s="470" t="str">
        <f t="shared" si="183"/>
        <v/>
      </c>
      <c r="EA3516" s="470" t="str">
        <f t="shared" si="184"/>
        <v/>
      </c>
      <c r="EB3516" s="459" t="s">
        <v>885</v>
      </c>
    </row>
    <row r="3517" spans="1:132" ht="16" hidden="1" x14ac:dyDescent="0.4">
      <c r="A3517" s="813"/>
      <c r="BB3517" s="48"/>
      <c r="BS3517" s="464" t="str">
        <f>IF($B$265=B$3281,BZ3516,IF($B$265=B$3282,CA3516,IF($B$265=B$3283,CB3516,IF($B$265=B$3284,CC3516,IF($B$265=B$3285,CD3516,IF($B$265=B$3286,CE3516,IF($B$265=B$3287,CF3516,IF($B$265=B$3288,CG3516,IF($B$265=B$3289,CH3516,IF($B$265=B$3290,CI3516,IF($B$265=B$3291,CJ3516,IF($B$265=B$3292,CK3516,IF($B$265=B$3293,CL3516,IF($B$265=B$3294,CM3516,IF($B$265=B$3295,CN3516,IF($B$265=B$3296,C3516,IF($B$265=B$3297,CO3516,IF($B$265=B$3298,CP3516,IF($B$265=B$3299,CQ3516,IF($B$265=B$3300,CR3516,IF($B$265=B$3301,CS3516,IF($B$265=B$3302,CT3516,IF(B$265=B$3303,CU3516,IF($B$265=B$3304,CV3516,IF($B$265=B$3305,CW3516,IF($B$265=B$3306,CX3516,IF($B$265=B$3307,CY3516,IF($B$265=B$3308,CZ3516,IF($B$265=B$3309,DA3516,IF($B$265=B$3310,DB3516,IF($B$265=B$3311,DC3516,IF($B$265=B$3312,DD3516,IF($B$265=B$3313,DE3516,IF($B$265=B$3314,DF3516,IF($B$265=B$3315,DG3516,IF($B$265=B$3316,DH3516,IF($B$265=B$3317,DI3516,IF($B$265=B$3318,DJ3516,IF($B$265=B$3319,DK3516,IF($B$265=B$3320,DL3516,IF($B$265=B$3321,DM3516,IF($B$265=B$3322,DN3516,IF($B$265=B$3323,DO3516,IF($B$265=B$3324,DP3516,IF($B$265=B$3325,DQ3516,IF($B$265=B$3326,DR3516,IF($B$265=B$3327,DS3516,IF($B$265=B$3328,DT3516,IF($B$265=B$3329,DU3516,IF($B$265=B$3330,DV3516,IF($B$265=B$3331,DW3516,IF($B$265=B$3332,DX3516,""))))))))))))))))))))))))))))))))))))))))))))))))))))</f>
        <v/>
      </c>
      <c r="BZ3517" s="245" t="s">
        <v>885</v>
      </c>
      <c r="CA3517" s="245" t="s">
        <v>885</v>
      </c>
      <c r="CC3517" s="245" t="s">
        <v>885</v>
      </c>
      <c r="CD3517" s="459" t="s">
        <v>885</v>
      </c>
      <c r="CE3517" s="459" t="s">
        <v>885</v>
      </c>
      <c r="CF3517" s="245" t="s">
        <v>885</v>
      </c>
      <c r="CG3517" s="245" t="s">
        <v>885</v>
      </c>
      <c r="CH3517" s="245" t="s">
        <v>885</v>
      </c>
      <c r="CI3517" s="245" t="s">
        <v>885</v>
      </c>
      <c r="CJ3517" s="459" t="s">
        <v>885</v>
      </c>
      <c r="CK3517" s="459" t="s">
        <v>885</v>
      </c>
      <c r="CL3517" s="459" t="s">
        <v>885</v>
      </c>
      <c r="CM3517" s="459" t="s">
        <v>885</v>
      </c>
      <c r="CN3517" s="459" t="s">
        <v>885</v>
      </c>
      <c r="CO3517" s="459" t="s">
        <v>885</v>
      </c>
      <c r="CP3517" s="459" t="s">
        <v>885</v>
      </c>
      <c r="CQ3517" s="459" t="s">
        <v>885</v>
      </c>
      <c r="CR3517" s="459" t="s">
        <v>885</v>
      </c>
      <c r="CS3517" s="459" t="s">
        <v>885</v>
      </c>
      <c r="CT3517" s="245" t="s">
        <v>885</v>
      </c>
      <c r="CU3517" s="463" t="s">
        <v>885</v>
      </c>
      <c r="CV3517" s="245" t="s">
        <v>885</v>
      </c>
      <c r="CW3517" s="245" t="s">
        <v>885</v>
      </c>
      <c r="CX3517" s="459" t="s">
        <v>885</v>
      </c>
      <c r="CY3517" s="459" t="s">
        <v>885</v>
      </c>
      <c r="CZ3517" s="459" t="s">
        <v>885</v>
      </c>
      <c r="DA3517" s="459" t="s">
        <v>885</v>
      </c>
      <c r="DB3517" s="459" t="s">
        <v>885</v>
      </c>
      <c r="DC3517" s="459" t="s">
        <v>885</v>
      </c>
      <c r="DD3517" s="459" t="s">
        <v>885</v>
      </c>
      <c r="DE3517" s="459" t="s">
        <v>885</v>
      </c>
      <c r="DF3517" s="459" t="s">
        <v>885</v>
      </c>
      <c r="DG3517" s="459" t="s">
        <v>885</v>
      </c>
      <c r="DH3517" s="459" t="s">
        <v>885</v>
      </c>
      <c r="DI3517" s="459" t="s">
        <v>885</v>
      </c>
      <c r="DJ3517" s="459" t="s">
        <v>885</v>
      </c>
      <c r="DK3517" s="459" t="s">
        <v>885</v>
      </c>
      <c r="DL3517" s="459" t="s">
        <v>885</v>
      </c>
      <c r="DM3517" s="459" t="s">
        <v>885</v>
      </c>
      <c r="DN3517" s="459" t="s">
        <v>885</v>
      </c>
      <c r="DO3517" s="459" t="s">
        <v>885</v>
      </c>
      <c r="DP3517" t="s">
        <v>3062</v>
      </c>
      <c r="DQ3517" s="459" t="s">
        <v>885</v>
      </c>
      <c r="DR3517" s="459" t="s">
        <v>885</v>
      </c>
      <c r="DS3517" s="459" t="s">
        <v>885</v>
      </c>
      <c r="DT3517" s="459" t="s">
        <v>885</v>
      </c>
      <c r="DU3517" s="459" t="s">
        <v>885</v>
      </c>
      <c r="DV3517" s="459" t="s">
        <v>885</v>
      </c>
      <c r="DW3517" s="459" t="s">
        <v>885</v>
      </c>
      <c r="DX3517" s="245" t="s">
        <v>885</v>
      </c>
      <c r="DY3517" s="245"/>
      <c r="DZ3517" s="470" t="str">
        <f t="shared" si="183"/>
        <v/>
      </c>
      <c r="EA3517" s="470" t="str">
        <f t="shared" si="184"/>
        <v/>
      </c>
      <c r="EB3517" s="459" t="s">
        <v>885</v>
      </c>
    </row>
    <row r="3518" spans="1:132" ht="16" hidden="1" x14ac:dyDescent="0.4">
      <c r="A3518" s="813"/>
      <c r="BB3518" s="48"/>
      <c r="BS3518" s="464" t="str">
        <f>IF($B$265=B$3281,BZ3517,IF($B$265=B$3282,CA3517,IF($B$265=B$3283,CB3517,IF($B$265=B$3284,CC3517,IF($B$265=B$3285,CD3517,IF($B$265=B$3286,CE3517,IF($B$265=B$3287,CF3517,IF($B$265=B$3288,CG3517,IF($B$265=B$3289,CH3517,IF($B$265=B$3290,CI3517,IF($B$265=B$3291,CJ3517,IF($B$265=B$3292,CK3517,IF($B$265=B$3293,CL3517,IF($B$265=B$3294,CM3517,IF($B$265=B$3295,CN3517,IF($B$265=B$3296,C3517,IF($B$265=B$3297,CO3517,IF($B$265=B$3298,CP3517,IF($B$265=B$3299,CQ3517,IF($B$265=B$3300,CR3517,IF($B$265=B$3301,CS3517,IF($B$265=B$3302,CT3517,IF(B$265=B$3303,CU3517,IF($B$265=B$3304,CV3517,IF($B$265=B$3305,CW3517,IF($B$265=B$3306,CX3517,IF($B$265=B$3307,CY3517,IF($B$265=B$3308,CZ3517,IF($B$265=B$3309,DA3517,IF($B$265=B$3310,DB3517,IF($B$265=B$3311,DC3517,IF($B$265=B$3312,DD3517,IF($B$265=B$3313,DE3517,IF($B$265=B$3314,DF3517,IF($B$265=B$3315,DG3517,IF($B$265=B$3316,DH3517,IF($B$265=B$3317,DI3517,IF($B$265=B$3318,DJ3517,IF($B$265=B$3319,DK3517,IF($B$265=B$3320,DL3517,IF($B$265=B$3321,DM3517,IF($B$265=B$3322,DN3517,IF($B$265=B$3323,DO3517,IF($B$265=B$3324,DP3517,IF($B$265=B$3325,DQ3517,IF($B$265=B$3326,DR3517,IF($B$265=B$3327,DS3517,IF($B$265=B$3328,DT3517,IF($B$265=B$3329,DU3517,IF($B$265=B$3330,DV3517,IF($B$265=B$3331,DW3517,IF($B$265=B$3332,DX3517,""))))))))))))))))))))))))))))))))))))))))))))))))))))</f>
        <v/>
      </c>
      <c r="BZ3518" s="245" t="s">
        <v>885</v>
      </c>
      <c r="CA3518" s="245" t="s">
        <v>885</v>
      </c>
      <c r="CC3518" s="245" t="s">
        <v>885</v>
      </c>
      <c r="CD3518" s="459" t="s">
        <v>885</v>
      </c>
      <c r="CE3518" s="459" t="s">
        <v>885</v>
      </c>
      <c r="CF3518" s="245" t="s">
        <v>885</v>
      </c>
      <c r="CG3518" s="245" t="s">
        <v>885</v>
      </c>
      <c r="CH3518" s="245" t="s">
        <v>885</v>
      </c>
      <c r="CI3518" s="245" t="s">
        <v>885</v>
      </c>
      <c r="CJ3518" s="459" t="s">
        <v>885</v>
      </c>
      <c r="CK3518" s="459" t="s">
        <v>885</v>
      </c>
      <c r="CL3518" s="459" t="s">
        <v>885</v>
      </c>
      <c r="CM3518" s="459" t="s">
        <v>885</v>
      </c>
      <c r="CN3518" s="459" t="s">
        <v>885</v>
      </c>
      <c r="CO3518" s="459" t="s">
        <v>885</v>
      </c>
      <c r="CP3518" s="459" t="s">
        <v>885</v>
      </c>
      <c r="CQ3518" s="459" t="s">
        <v>885</v>
      </c>
      <c r="CR3518" s="459" t="s">
        <v>885</v>
      </c>
      <c r="CS3518" s="459" t="s">
        <v>885</v>
      </c>
      <c r="CT3518" s="245" t="s">
        <v>885</v>
      </c>
      <c r="CU3518" s="463" t="s">
        <v>885</v>
      </c>
      <c r="CV3518" s="245" t="s">
        <v>885</v>
      </c>
      <c r="CW3518" s="245" t="s">
        <v>885</v>
      </c>
      <c r="CX3518" s="459" t="s">
        <v>885</v>
      </c>
      <c r="CY3518" s="459" t="s">
        <v>885</v>
      </c>
      <c r="CZ3518" s="459" t="s">
        <v>885</v>
      </c>
      <c r="DA3518" s="459" t="s">
        <v>885</v>
      </c>
      <c r="DB3518" s="459" t="s">
        <v>885</v>
      </c>
      <c r="DC3518" s="459" t="s">
        <v>885</v>
      </c>
      <c r="DD3518" s="459" t="s">
        <v>885</v>
      </c>
      <c r="DE3518" s="459" t="s">
        <v>885</v>
      </c>
      <c r="DF3518" s="459" t="s">
        <v>885</v>
      </c>
      <c r="DG3518" s="459" t="s">
        <v>885</v>
      </c>
      <c r="DH3518" s="459" t="s">
        <v>885</v>
      </c>
      <c r="DI3518" s="459" t="s">
        <v>885</v>
      </c>
      <c r="DJ3518" s="459" t="s">
        <v>885</v>
      </c>
      <c r="DK3518" s="459" t="s">
        <v>885</v>
      </c>
      <c r="DL3518" s="459" t="s">
        <v>885</v>
      </c>
      <c r="DM3518" s="459" t="s">
        <v>885</v>
      </c>
      <c r="DN3518" s="459" t="s">
        <v>885</v>
      </c>
      <c r="DO3518" s="459" t="s">
        <v>885</v>
      </c>
      <c r="DP3518" t="s">
        <v>1837</v>
      </c>
      <c r="DQ3518" s="459" t="s">
        <v>885</v>
      </c>
      <c r="DR3518" s="459" t="s">
        <v>885</v>
      </c>
      <c r="DS3518" s="459" t="s">
        <v>885</v>
      </c>
      <c r="DT3518" s="459" t="s">
        <v>885</v>
      </c>
      <c r="DU3518" s="459" t="s">
        <v>885</v>
      </c>
      <c r="DV3518" s="459" t="s">
        <v>885</v>
      </c>
      <c r="DW3518" s="459" t="s">
        <v>885</v>
      </c>
      <c r="DX3518" s="245" t="s">
        <v>885</v>
      </c>
      <c r="DY3518" s="245"/>
      <c r="DZ3518" s="470" t="str">
        <f t="shared" si="183"/>
        <v/>
      </c>
      <c r="EA3518" s="470" t="str">
        <f t="shared" si="184"/>
        <v/>
      </c>
      <c r="EB3518" s="459" t="s">
        <v>885</v>
      </c>
    </row>
    <row r="3519" spans="1:132" ht="16" hidden="1" x14ac:dyDescent="0.4">
      <c r="A3519" s="813"/>
      <c r="BB3519" s="48"/>
      <c r="BS3519" s="464" t="str">
        <f t="shared" ref="BS3519:BS3524" si="186">IF($B$265=B$3281,BZ3518,IF($B$265=B$3282,CA3518,IF($B$265=B$3283,CB3518,IF($B$265=B$3284,CC3518,IF($B$265=B$3285,CD3518,IF($B$265=B$3286,CE3518,IF($B$265=B$3287,CF3518,IF($B$265=B$3288,CG3518,IF($B$265=B$3289,CH3518,IF($B$265=B$3290,CI3518,IF($B$265=B$3291,CJ3518,IF($B$265=B$3292,CK3518,IF($B$265=B$3293,CL3518,IF($B$265=B$3294,CM3518,IF($B$265=B$3295,CN3518,IF($B$265=B$3296,C2878,IF($B$265=B$3297,CO3518,IF($B$265=B$3298,CP3518,IF($B$265=B$3299,CQ3518,IF($B$265=B$3300,CR3518,IF($B$265=B$3301,CS3518,IF($B$265=B$3302,CT3518,IF(B$265=B$3303,CU3518,IF($B$265=B$3304,CV3518,IF($B$265=B$3305,CW3518,IF($B$265=B$3306,CX3518,IF($B$265=B$3307,CY3518,IF($B$265=B$3308,CZ3518,IF($B$265=B$3309,DA3518,IF($B$265=B$3310,DB3518,IF($B$265=B$3311,DC3518,IF($B$265=B$3312,DD3518,IF($B$265=B$3313,DE3518,IF($B$265=B$3314,DF3518,IF($B$265=B$3315,DG3518,IF($B$265=B$3316,DH3518,IF($B$265=B$3317,DI3518,IF($B$265=B$3318,DJ3518,IF($B$265=B$3319,DK3518,IF($B$265=B$3320,DL3518,IF($B$265=B$3321,DM3518,IF($B$265=B$3322,DN3518,IF($B$265=B$3323,DO3518,IF($B$265=B$3324,DP3518,IF($B$265=B$3325,DQ3518,IF($B$265=B$3326,DR3518,IF($B$265=B$3327,DS3518,IF($B$265=B$3328,DT3518,IF($B$265=B$3329,DU3518,IF($B$265=B$3330,DV3518,IF($B$265=B$3331,DW3518,IF($B$265=B$3332,DX3518,""))))))))))))))))))))))))))))))))))))))))))))))))))))</f>
        <v/>
      </c>
      <c r="BZ3519" s="245" t="s">
        <v>885</v>
      </c>
      <c r="CA3519" s="245" t="s">
        <v>885</v>
      </c>
      <c r="CC3519" s="245" t="s">
        <v>885</v>
      </c>
      <c r="CD3519" s="459" t="s">
        <v>885</v>
      </c>
      <c r="CE3519" s="459" t="s">
        <v>885</v>
      </c>
      <c r="CF3519" s="245" t="s">
        <v>885</v>
      </c>
      <c r="CG3519" s="245" t="s">
        <v>885</v>
      </c>
      <c r="CH3519" s="245" t="s">
        <v>885</v>
      </c>
      <c r="CI3519" s="245" t="s">
        <v>885</v>
      </c>
      <c r="CJ3519" s="459" t="s">
        <v>885</v>
      </c>
      <c r="CK3519" s="459" t="s">
        <v>885</v>
      </c>
      <c r="CL3519" s="459" t="s">
        <v>885</v>
      </c>
      <c r="CM3519" s="459" t="s">
        <v>885</v>
      </c>
      <c r="CN3519" s="459" t="s">
        <v>885</v>
      </c>
      <c r="CO3519" s="459" t="s">
        <v>885</v>
      </c>
      <c r="CP3519" s="459" t="s">
        <v>885</v>
      </c>
      <c r="CQ3519" s="459" t="s">
        <v>885</v>
      </c>
      <c r="CR3519" s="459" t="s">
        <v>885</v>
      </c>
      <c r="CS3519" s="459" t="s">
        <v>885</v>
      </c>
      <c r="CT3519" s="245" t="s">
        <v>885</v>
      </c>
      <c r="CU3519" s="463" t="s">
        <v>885</v>
      </c>
      <c r="CV3519" s="245" t="s">
        <v>885</v>
      </c>
      <c r="CW3519" s="245" t="s">
        <v>885</v>
      </c>
      <c r="CX3519" s="459" t="s">
        <v>885</v>
      </c>
      <c r="CY3519" s="459" t="s">
        <v>885</v>
      </c>
      <c r="CZ3519" s="459" t="s">
        <v>885</v>
      </c>
      <c r="DA3519" s="459" t="s">
        <v>885</v>
      </c>
      <c r="DB3519" s="459" t="s">
        <v>885</v>
      </c>
      <c r="DC3519" s="459" t="s">
        <v>885</v>
      </c>
      <c r="DD3519" s="459" t="s">
        <v>885</v>
      </c>
      <c r="DE3519" s="459" t="s">
        <v>885</v>
      </c>
      <c r="DF3519" s="459" t="s">
        <v>885</v>
      </c>
      <c r="DG3519" s="459" t="s">
        <v>885</v>
      </c>
      <c r="DH3519" s="459" t="s">
        <v>885</v>
      </c>
      <c r="DI3519" s="459" t="s">
        <v>885</v>
      </c>
      <c r="DJ3519" s="459" t="s">
        <v>885</v>
      </c>
      <c r="DK3519" s="459" t="s">
        <v>885</v>
      </c>
      <c r="DL3519" s="459" t="s">
        <v>885</v>
      </c>
      <c r="DM3519" s="459" t="s">
        <v>885</v>
      </c>
      <c r="DN3519" s="459" t="s">
        <v>885</v>
      </c>
      <c r="DO3519" s="459" t="s">
        <v>885</v>
      </c>
      <c r="DP3519" t="s">
        <v>3063</v>
      </c>
      <c r="DQ3519" s="459" t="s">
        <v>885</v>
      </c>
      <c r="DR3519" s="459" t="s">
        <v>885</v>
      </c>
      <c r="DS3519" s="459" t="s">
        <v>885</v>
      </c>
      <c r="DT3519" s="459" t="s">
        <v>885</v>
      </c>
      <c r="DU3519" s="459" t="s">
        <v>885</v>
      </c>
      <c r="DV3519" s="459" t="s">
        <v>885</v>
      </c>
      <c r="DW3519" s="459" t="s">
        <v>885</v>
      </c>
      <c r="DX3519" s="245" t="s">
        <v>885</v>
      </c>
      <c r="DY3519" s="245"/>
      <c r="DZ3519" s="470" t="str">
        <f t="shared" si="183"/>
        <v/>
      </c>
      <c r="EA3519" s="470" t="str">
        <f t="shared" si="184"/>
        <v/>
      </c>
      <c r="EB3519" s="459" t="s">
        <v>885</v>
      </c>
    </row>
    <row r="3520" spans="1:132" ht="16" hidden="1" x14ac:dyDescent="0.4">
      <c r="A3520" s="813"/>
      <c r="BB3520" s="48"/>
      <c r="BS3520" s="464" t="str">
        <f t="shared" si="186"/>
        <v/>
      </c>
      <c r="BZ3520" s="245" t="s">
        <v>885</v>
      </c>
      <c r="CA3520" s="245" t="s">
        <v>885</v>
      </c>
      <c r="CC3520" s="245" t="s">
        <v>885</v>
      </c>
      <c r="CD3520" s="459" t="s">
        <v>885</v>
      </c>
      <c r="CE3520" s="459" t="s">
        <v>885</v>
      </c>
      <c r="CF3520" s="245" t="s">
        <v>885</v>
      </c>
      <c r="CG3520" s="245" t="s">
        <v>885</v>
      </c>
      <c r="CH3520" s="245" t="s">
        <v>885</v>
      </c>
      <c r="CI3520" s="245" t="s">
        <v>885</v>
      </c>
      <c r="CJ3520" s="459" t="s">
        <v>885</v>
      </c>
      <c r="CK3520" s="459" t="s">
        <v>885</v>
      </c>
      <c r="CL3520" s="459" t="s">
        <v>885</v>
      </c>
      <c r="CM3520" s="459" t="s">
        <v>885</v>
      </c>
      <c r="CN3520" s="459" t="s">
        <v>885</v>
      </c>
      <c r="CO3520" s="459" t="s">
        <v>885</v>
      </c>
      <c r="CP3520" s="459" t="s">
        <v>885</v>
      </c>
      <c r="CQ3520" s="459" t="s">
        <v>885</v>
      </c>
      <c r="CR3520" s="459" t="s">
        <v>885</v>
      </c>
      <c r="CS3520" s="459" t="s">
        <v>885</v>
      </c>
      <c r="CT3520" s="245" t="s">
        <v>885</v>
      </c>
      <c r="CU3520" s="463" t="s">
        <v>885</v>
      </c>
      <c r="CV3520" s="245" t="s">
        <v>885</v>
      </c>
      <c r="CW3520" s="245" t="s">
        <v>885</v>
      </c>
      <c r="CX3520" s="459" t="s">
        <v>885</v>
      </c>
      <c r="CY3520" s="459" t="s">
        <v>885</v>
      </c>
      <c r="CZ3520" s="459" t="s">
        <v>885</v>
      </c>
      <c r="DA3520" s="459" t="s">
        <v>885</v>
      </c>
      <c r="DB3520" s="459" t="s">
        <v>885</v>
      </c>
      <c r="DC3520" s="459" t="s">
        <v>885</v>
      </c>
      <c r="DD3520" s="459" t="s">
        <v>885</v>
      </c>
      <c r="DE3520" s="459" t="s">
        <v>885</v>
      </c>
      <c r="DF3520" s="459" t="s">
        <v>885</v>
      </c>
      <c r="DG3520" s="459" t="s">
        <v>885</v>
      </c>
      <c r="DH3520" s="459" t="s">
        <v>885</v>
      </c>
      <c r="DI3520" s="459" t="s">
        <v>885</v>
      </c>
      <c r="DJ3520" s="459" t="s">
        <v>885</v>
      </c>
      <c r="DK3520" s="459" t="s">
        <v>885</v>
      </c>
      <c r="DL3520" s="459" t="s">
        <v>885</v>
      </c>
      <c r="DM3520" s="459" t="s">
        <v>885</v>
      </c>
      <c r="DN3520" s="459" t="s">
        <v>885</v>
      </c>
      <c r="DO3520" s="459" t="s">
        <v>885</v>
      </c>
      <c r="DP3520" t="s">
        <v>3064</v>
      </c>
      <c r="DQ3520" s="459" t="s">
        <v>885</v>
      </c>
      <c r="DR3520" s="459" t="s">
        <v>885</v>
      </c>
      <c r="DS3520" s="459" t="s">
        <v>885</v>
      </c>
      <c r="DT3520" s="459" t="s">
        <v>885</v>
      </c>
      <c r="DU3520" s="459" t="s">
        <v>885</v>
      </c>
      <c r="DV3520" s="459" t="s">
        <v>885</v>
      </c>
      <c r="DW3520" s="459" t="s">
        <v>885</v>
      </c>
      <c r="DX3520" s="245" t="s">
        <v>885</v>
      </c>
      <c r="DY3520" s="245"/>
      <c r="DZ3520" s="470" t="str">
        <f t="shared" si="183"/>
        <v/>
      </c>
      <c r="EA3520" s="470" t="str">
        <f t="shared" si="184"/>
        <v/>
      </c>
      <c r="EB3520" s="459" t="s">
        <v>885</v>
      </c>
    </row>
    <row r="3521" spans="1:132" ht="16" hidden="1" x14ac:dyDescent="0.4">
      <c r="A3521" s="813"/>
      <c r="BB3521" s="48"/>
      <c r="BS3521" s="464" t="str">
        <f t="shared" si="186"/>
        <v/>
      </c>
      <c r="BZ3521" s="245" t="s">
        <v>885</v>
      </c>
      <c r="CA3521" s="245" t="s">
        <v>885</v>
      </c>
      <c r="CC3521" s="245" t="s">
        <v>885</v>
      </c>
      <c r="CD3521" s="459" t="s">
        <v>885</v>
      </c>
      <c r="CE3521" s="459" t="s">
        <v>885</v>
      </c>
      <c r="CF3521" s="245" t="s">
        <v>885</v>
      </c>
      <c r="CG3521" s="245" t="s">
        <v>885</v>
      </c>
      <c r="CH3521" s="245" t="s">
        <v>885</v>
      </c>
      <c r="CI3521" s="245" t="s">
        <v>885</v>
      </c>
      <c r="CJ3521" s="459" t="s">
        <v>885</v>
      </c>
      <c r="CK3521" s="459" t="s">
        <v>885</v>
      </c>
      <c r="CL3521" s="459" t="s">
        <v>885</v>
      </c>
      <c r="CM3521" s="459" t="s">
        <v>885</v>
      </c>
      <c r="CN3521" s="459" t="s">
        <v>885</v>
      </c>
      <c r="CO3521" s="459" t="s">
        <v>885</v>
      </c>
      <c r="CP3521" s="459" t="s">
        <v>885</v>
      </c>
      <c r="CQ3521" s="459" t="s">
        <v>885</v>
      </c>
      <c r="CR3521" s="459" t="s">
        <v>885</v>
      </c>
      <c r="CS3521" s="459" t="s">
        <v>885</v>
      </c>
      <c r="CT3521" s="245" t="s">
        <v>885</v>
      </c>
      <c r="CU3521" s="463" t="s">
        <v>885</v>
      </c>
      <c r="CV3521" s="245" t="s">
        <v>885</v>
      </c>
      <c r="CW3521" s="245" t="s">
        <v>885</v>
      </c>
      <c r="CX3521" s="459" t="s">
        <v>885</v>
      </c>
      <c r="CY3521" s="459" t="s">
        <v>885</v>
      </c>
      <c r="CZ3521" s="459" t="s">
        <v>885</v>
      </c>
      <c r="DA3521" s="459" t="s">
        <v>885</v>
      </c>
      <c r="DB3521" s="459" t="s">
        <v>885</v>
      </c>
      <c r="DC3521" s="459" t="s">
        <v>885</v>
      </c>
      <c r="DD3521" s="459" t="s">
        <v>885</v>
      </c>
      <c r="DE3521" s="459" t="s">
        <v>885</v>
      </c>
      <c r="DF3521" s="459" t="s">
        <v>885</v>
      </c>
      <c r="DG3521" s="459" t="s">
        <v>885</v>
      </c>
      <c r="DH3521" s="459" t="s">
        <v>885</v>
      </c>
      <c r="DI3521" s="459" t="s">
        <v>885</v>
      </c>
      <c r="DJ3521" s="459" t="s">
        <v>885</v>
      </c>
      <c r="DK3521" s="459" t="s">
        <v>885</v>
      </c>
      <c r="DL3521" s="459" t="s">
        <v>885</v>
      </c>
      <c r="DM3521" s="459" t="s">
        <v>885</v>
      </c>
      <c r="DN3521" s="459" t="s">
        <v>885</v>
      </c>
      <c r="DO3521" s="459" t="s">
        <v>885</v>
      </c>
      <c r="DP3521" t="s">
        <v>3065</v>
      </c>
      <c r="DQ3521" s="459" t="s">
        <v>885</v>
      </c>
      <c r="DR3521" s="459" t="s">
        <v>885</v>
      </c>
      <c r="DS3521" s="459" t="s">
        <v>885</v>
      </c>
      <c r="DT3521" s="459" t="s">
        <v>885</v>
      </c>
      <c r="DU3521" s="459" t="s">
        <v>885</v>
      </c>
      <c r="DV3521" s="459" t="s">
        <v>885</v>
      </c>
      <c r="DW3521" s="459" t="s">
        <v>885</v>
      </c>
      <c r="DX3521" s="245" t="s">
        <v>885</v>
      </c>
      <c r="DY3521" s="245"/>
      <c r="DZ3521" s="470" t="str">
        <f t="shared" si="183"/>
        <v/>
      </c>
      <c r="EA3521" s="470" t="str">
        <f t="shared" si="184"/>
        <v/>
      </c>
      <c r="EB3521" s="459" t="s">
        <v>885</v>
      </c>
    </row>
    <row r="3522" spans="1:132" ht="16" hidden="1" x14ac:dyDescent="0.4">
      <c r="A3522" s="813"/>
      <c r="BB3522" s="48"/>
      <c r="BS3522" s="464" t="str">
        <f t="shared" si="186"/>
        <v/>
      </c>
      <c r="BZ3522" s="245" t="s">
        <v>885</v>
      </c>
      <c r="CA3522" s="245" t="s">
        <v>885</v>
      </c>
      <c r="CC3522" s="245" t="s">
        <v>885</v>
      </c>
      <c r="CD3522" s="459" t="s">
        <v>885</v>
      </c>
      <c r="CE3522" s="459" t="s">
        <v>885</v>
      </c>
      <c r="CF3522" s="245" t="s">
        <v>885</v>
      </c>
      <c r="CG3522" s="245" t="s">
        <v>885</v>
      </c>
      <c r="CH3522" s="245" t="s">
        <v>885</v>
      </c>
      <c r="CI3522" s="245" t="s">
        <v>885</v>
      </c>
      <c r="CJ3522" s="459" t="s">
        <v>885</v>
      </c>
      <c r="CK3522" s="459" t="s">
        <v>885</v>
      </c>
      <c r="CL3522" s="459" t="s">
        <v>885</v>
      </c>
      <c r="CM3522" s="459" t="s">
        <v>885</v>
      </c>
      <c r="CN3522" s="459" t="s">
        <v>885</v>
      </c>
      <c r="CO3522" s="459" t="s">
        <v>885</v>
      </c>
      <c r="CP3522" s="459" t="s">
        <v>885</v>
      </c>
      <c r="CQ3522" s="459" t="s">
        <v>885</v>
      </c>
      <c r="CR3522" s="459" t="s">
        <v>885</v>
      </c>
      <c r="CS3522" s="459" t="s">
        <v>885</v>
      </c>
      <c r="CT3522" s="245" t="s">
        <v>885</v>
      </c>
      <c r="CU3522" s="463" t="s">
        <v>885</v>
      </c>
      <c r="CV3522" s="245" t="s">
        <v>885</v>
      </c>
      <c r="CW3522" s="245" t="s">
        <v>885</v>
      </c>
      <c r="CX3522" s="459" t="s">
        <v>885</v>
      </c>
      <c r="CY3522" s="459" t="s">
        <v>885</v>
      </c>
      <c r="CZ3522" s="459" t="s">
        <v>885</v>
      </c>
      <c r="DA3522" s="459" t="s">
        <v>885</v>
      </c>
      <c r="DB3522" s="459" t="s">
        <v>885</v>
      </c>
      <c r="DC3522" s="459" t="s">
        <v>885</v>
      </c>
      <c r="DD3522" s="459" t="s">
        <v>885</v>
      </c>
      <c r="DE3522" s="459" t="s">
        <v>885</v>
      </c>
      <c r="DF3522" s="459" t="s">
        <v>885</v>
      </c>
      <c r="DG3522" s="459" t="s">
        <v>885</v>
      </c>
      <c r="DH3522" s="459" t="s">
        <v>885</v>
      </c>
      <c r="DI3522" s="459" t="s">
        <v>885</v>
      </c>
      <c r="DJ3522" s="459" t="s">
        <v>885</v>
      </c>
      <c r="DK3522" s="459" t="s">
        <v>885</v>
      </c>
      <c r="DL3522" s="459" t="s">
        <v>885</v>
      </c>
      <c r="DM3522" s="459" t="s">
        <v>885</v>
      </c>
      <c r="DN3522" s="459" t="s">
        <v>885</v>
      </c>
      <c r="DO3522" s="459" t="s">
        <v>885</v>
      </c>
      <c r="DP3522" t="s">
        <v>3066</v>
      </c>
      <c r="DQ3522" s="459" t="s">
        <v>885</v>
      </c>
      <c r="DR3522" s="459" t="s">
        <v>885</v>
      </c>
      <c r="DS3522" s="459" t="s">
        <v>885</v>
      </c>
      <c r="DT3522" s="459" t="s">
        <v>885</v>
      </c>
      <c r="DU3522" s="459" t="s">
        <v>885</v>
      </c>
      <c r="DV3522" s="459" t="s">
        <v>885</v>
      </c>
      <c r="DW3522" s="459" t="s">
        <v>885</v>
      </c>
      <c r="DX3522" s="245" t="s">
        <v>885</v>
      </c>
      <c r="DY3522" s="245"/>
      <c r="DZ3522" s="470" t="str">
        <f t="shared" si="183"/>
        <v/>
      </c>
      <c r="EA3522" s="470" t="str">
        <f t="shared" si="184"/>
        <v/>
      </c>
      <c r="EB3522" s="459" t="s">
        <v>885</v>
      </c>
    </row>
    <row r="3523" spans="1:132" ht="16" hidden="1" x14ac:dyDescent="0.4">
      <c r="A3523" s="813"/>
      <c r="BB3523" s="48"/>
      <c r="BS3523" s="464" t="str">
        <f t="shared" si="186"/>
        <v/>
      </c>
      <c r="BZ3523" s="245" t="s">
        <v>885</v>
      </c>
      <c r="CA3523" s="245" t="s">
        <v>885</v>
      </c>
      <c r="CC3523" s="245" t="s">
        <v>885</v>
      </c>
      <c r="CD3523" s="459" t="s">
        <v>885</v>
      </c>
      <c r="CE3523" s="459" t="s">
        <v>885</v>
      </c>
      <c r="CF3523" s="245" t="s">
        <v>885</v>
      </c>
      <c r="CG3523" s="245" t="s">
        <v>885</v>
      </c>
      <c r="CH3523" s="245" t="s">
        <v>885</v>
      </c>
      <c r="CI3523" s="245" t="s">
        <v>885</v>
      </c>
      <c r="CJ3523" s="459" t="s">
        <v>885</v>
      </c>
      <c r="CK3523" s="459" t="s">
        <v>885</v>
      </c>
      <c r="CL3523" s="459" t="s">
        <v>885</v>
      </c>
      <c r="CM3523" s="459" t="s">
        <v>885</v>
      </c>
      <c r="CN3523" s="459" t="s">
        <v>885</v>
      </c>
      <c r="CO3523" s="459" t="s">
        <v>885</v>
      </c>
      <c r="CP3523" s="459" t="s">
        <v>885</v>
      </c>
      <c r="CQ3523" s="459" t="s">
        <v>885</v>
      </c>
      <c r="CR3523" s="459" t="s">
        <v>885</v>
      </c>
      <c r="CS3523" s="459" t="s">
        <v>885</v>
      </c>
      <c r="CT3523" s="245" t="s">
        <v>885</v>
      </c>
      <c r="CU3523" s="463" t="s">
        <v>885</v>
      </c>
      <c r="CV3523" s="245" t="s">
        <v>885</v>
      </c>
      <c r="CW3523" s="245" t="s">
        <v>885</v>
      </c>
      <c r="CX3523" s="459" t="s">
        <v>885</v>
      </c>
      <c r="CY3523" s="459" t="s">
        <v>885</v>
      </c>
      <c r="CZ3523" s="459" t="s">
        <v>885</v>
      </c>
      <c r="DA3523" s="459" t="s">
        <v>885</v>
      </c>
      <c r="DB3523" s="459" t="s">
        <v>885</v>
      </c>
      <c r="DC3523" s="459" t="s">
        <v>885</v>
      </c>
      <c r="DD3523" s="459" t="s">
        <v>885</v>
      </c>
      <c r="DE3523" s="459" t="s">
        <v>885</v>
      </c>
      <c r="DF3523" s="459" t="s">
        <v>885</v>
      </c>
      <c r="DG3523" s="459" t="s">
        <v>885</v>
      </c>
      <c r="DH3523" s="459" t="s">
        <v>885</v>
      </c>
      <c r="DI3523" s="459" t="s">
        <v>885</v>
      </c>
      <c r="DJ3523" s="459" t="s">
        <v>885</v>
      </c>
      <c r="DK3523" s="459" t="s">
        <v>885</v>
      </c>
      <c r="DL3523" s="459" t="s">
        <v>885</v>
      </c>
      <c r="DM3523" s="459" t="s">
        <v>885</v>
      </c>
      <c r="DN3523" s="459" t="s">
        <v>885</v>
      </c>
      <c r="DO3523" s="459" t="s">
        <v>885</v>
      </c>
      <c r="DP3523" t="s">
        <v>3067</v>
      </c>
      <c r="DQ3523" s="459" t="s">
        <v>885</v>
      </c>
      <c r="DR3523" s="459" t="s">
        <v>885</v>
      </c>
      <c r="DS3523" s="459" t="s">
        <v>885</v>
      </c>
      <c r="DT3523" s="459" t="s">
        <v>885</v>
      </c>
      <c r="DU3523" s="459" t="s">
        <v>885</v>
      </c>
      <c r="DV3523" s="459" t="s">
        <v>885</v>
      </c>
      <c r="DW3523" s="459" t="s">
        <v>885</v>
      </c>
      <c r="DX3523" s="245" t="s">
        <v>885</v>
      </c>
      <c r="DY3523" s="245"/>
      <c r="DZ3523" s="470" t="str">
        <f t="shared" si="183"/>
        <v/>
      </c>
      <c r="EA3523" s="470" t="str">
        <f t="shared" si="184"/>
        <v/>
      </c>
      <c r="EB3523" s="459" t="s">
        <v>885</v>
      </c>
    </row>
    <row r="3524" spans="1:132" ht="16" hidden="1" x14ac:dyDescent="0.4">
      <c r="A3524" s="813"/>
      <c r="BS3524" s="464" t="str">
        <f t="shared" si="186"/>
        <v/>
      </c>
      <c r="BZ3524" s="245" t="s">
        <v>885</v>
      </c>
      <c r="CA3524" s="245" t="s">
        <v>885</v>
      </c>
      <c r="CC3524" s="245" t="s">
        <v>885</v>
      </c>
      <c r="CD3524" s="459" t="s">
        <v>885</v>
      </c>
      <c r="CE3524" s="459" t="s">
        <v>885</v>
      </c>
      <c r="CF3524" s="245" t="s">
        <v>885</v>
      </c>
      <c r="CG3524" s="245" t="s">
        <v>885</v>
      </c>
      <c r="CH3524" s="245" t="s">
        <v>885</v>
      </c>
      <c r="CI3524" s="245" t="s">
        <v>885</v>
      </c>
      <c r="CJ3524" s="459" t="s">
        <v>885</v>
      </c>
      <c r="CK3524" s="459" t="s">
        <v>885</v>
      </c>
      <c r="CL3524" s="459" t="s">
        <v>885</v>
      </c>
      <c r="CM3524" s="459" t="s">
        <v>885</v>
      </c>
      <c r="CN3524" s="459" t="s">
        <v>885</v>
      </c>
      <c r="CO3524" s="459" t="s">
        <v>885</v>
      </c>
      <c r="CP3524" s="459" t="s">
        <v>885</v>
      </c>
      <c r="CQ3524" s="459" t="s">
        <v>885</v>
      </c>
      <c r="CR3524" s="459" t="s">
        <v>885</v>
      </c>
      <c r="CS3524" s="459" t="s">
        <v>885</v>
      </c>
      <c r="CT3524" s="245" t="s">
        <v>885</v>
      </c>
      <c r="CU3524" s="463" t="s">
        <v>885</v>
      </c>
      <c r="CV3524" s="245" t="s">
        <v>885</v>
      </c>
      <c r="CW3524" s="245" t="s">
        <v>885</v>
      </c>
      <c r="CX3524" s="459" t="s">
        <v>885</v>
      </c>
      <c r="CY3524" s="459" t="s">
        <v>885</v>
      </c>
      <c r="CZ3524" s="459" t="s">
        <v>885</v>
      </c>
      <c r="DA3524" s="459" t="s">
        <v>885</v>
      </c>
      <c r="DB3524" s="459" t="s">
        <v>885</v>
      </c>
      <c r="DC3524" s="459" t="s">
        <v>885</v>
      </c>
      <c r="DD3524" s="459" t="s">
        <v>885</v>
      </c>
      <c r="DE3524" s="459" t="s">
        <v>885</v>
      </c>
      <c r="DF3524" s="459" t="s">
        <v>885</v>
      </c>
      <c r="DG3524" s="459" t="s">
        <v>885</v>
      </c>
      <c r="DH3524" s="459" t="s">
        <v>885</v>
      </c>
      <c r="DI3524" s="459" t="s">
        <v>885</v>
      </c>
      <c r="DJ3524" s="459" t="s">
        <v>885</v>
      </c>
      <c r="DK3524" s="459" t="s">
        <v>885</v>
      </c>
      <c r="DL3524" s="459" t="s">
        <v>885</v>
      </c>
      <c r="DM3524" s="459" t="s">
        <v>885</v>
      </c>
      <c r="DN3524" s="459" t="s">
        <v>885</v>
      </c>
      <c r="DO3524" s="459" t="s">
        <v>885</v>
      </c>
      <c r="DP3524" t="s">
        <v>1750</v>
      </c>
      <c r="DQ3524" s="459" t="s">
        <v>885</v>
      </c>
      <c r="DR3524" s="459" t="s">
        <v>885</v>
      </c>
      <c r="DS3524" s="459" t="s">
        <v>885</v>
      </c>
      <c r="DT3524" s="459" t="s">
        <v>885</v>
      </c>
      <c r="DU3524" s="459" t="s">
        <v>885</v>
      </c>
      <c r="DV3524" s="459" t="s">
        <v>885</v>
      </c>
      <c r="DW3524" s="459" t="s">
        <v>885</v>
      </c>
      <c r="DX3524" s="245" t="s">
        <v>885</v>
      </c>
      <c r="DY3524" s="245"/>
      <c r="DZ3524" s="470" t="str">
        <f t="shared" si="183"/>
        <v/>
      </c>
      <c r="EA3524" s="470" t="str">
        <f t="shared" si="184"/>
        <v/>
      </c>
      <c r="EB3524" s="459" t="s">
        <v>885</v>
      </c>
    </row>
    <row r="3525" spans="1:132" ht="16" hidden="1" x14ac:dyDescent="0.4">
      <c r="A3525" s="813"/>
      <c r="BB3525" s="48"/>
      <c r="BS3525" s="464" t="str">
        <f>IF($B$265=B$3281,BZ3524,IF($B$265=B$3282,CA3524,IF($B$265=B$3283,CB3524,IF($B$265=B$3284,CC3524,IF($B$265=B$3285,CD3524,IF($B$265=B$3286,CE3524,IF($B$265=B$3287,CF3524,IF($B$265=B$3288,CG3524,IF($B$265=B$3289,CH3524,IF($B$265=B$3290,CI3524,IF($B$265=B$3291,CJ3524,IF($B$265=B$3292,CK3524,IF($B$265=B$3293,CL3524,IF($B$265=B$3294,CM3524,IF($B$265=B$3295,CN3524,IF($B$265=B$3296,C3524,IF($B$265=B$3297,CO3524,IF($B$265=B$3298,CP3524,IF($B$265=B$3299,CQ3524,IF($B$265=B$3300,CR3524,IF($B$265=B$3301,CS3524,IF($B$265=B$3302,CT3524,IF(B$265=B$3303,CU3524,IF($B$265=B$3304,CV3524,IF($B$265=B$3305,CW3524,IF($B$265=B$3306,CX3524,IF($B$265=B$3307,CY3524,IF($B$265=B$3308,CZ3524,IF($B$265=B$3309,DA3524,IF($B$265=B$3310,DB3524,IF($B$265=B$3311,DC3524,IF($B$265=B$3312,DD3524,IF($B$265=B$3313,DE3524,IF($B$265=B$3314,DF3524,IF($B$265=B$3315,DG3524,IF($B$265=B$3316,DH3524,IF($B$265=B$3317,DI3524,IF($B$265=B$3318,DJ3524,IF($B$265=B$3319,DK3524,IF($B$265=B$3320,DL3524,IF($B$265=B$3321,DM3524,IF($B$265=B$3322,DN3524,IF($B$265=B$3323,DO3524,IF($B$265=B$3324,DP3524,IF($B$265=B$3325,DQ3524,IF($B$265=B$3326,DR3524,IF($B$265=B$3327,DS3524,IF($B$265=B$3328,DT3524,IF($B$265=B$3329,DU3524,IF($B$265=B$3330,DV3524,IF($B$265=B$3331,DW3524,IF($B$265=B$3332,DX3524,""))))))))))))))))))))))))))))))))))))))))))))))))))))</f>
        <v/>
      </c>
      <c r="BZ3525" s="245" t="s">
        <v>885</v>
      </c>
      <c r="CA3525" s="245" t="s">
        <v>885</v>
      </c>
      <c r="CC3525" s="245" t="s">
        <v>885</v>
      </c>
      <c r="CD3525" s="459" t="s">
        <v>885</v>
      </c>
      <c r="CE3525" s="459" t="s">
        <v>885</v>
      </c>
      <c r="CF3525" s="245" t="s">
        <v>885</v>
      </c>
      <c r="CG3525" s="245" t="s">
        <v>885</v>
      </c>
      <c r="CH3525" s="245" t="s">
        <v>885</v>
      </c>
      <c r="CI3525" s="245" t="s">
        <v>885</v>
      </c>
      <c r="CJ3525" s="459" t="s">
        <v>885</v>
      </c>
      <c r="CK3525" s="459" t="s">
        <v>885</v>
      </c>
      <c r="CL3525" s="459" t="s">
        <v>885</v>
      </c>
      <c r="CM3525" s="459" t="s">
        <v>885</v>
      </c>
      <c r="CN3525" s="459" t="s">
        <v>885</v>
      </c>
      <c r="CO3525" s="459" t="s">
        <v>885</v>
      </c>
      <c r="CP3525" s="459" t="s">
        <v>885</v>
      </c>
      <c r="CQ3525" s="459" t="s">
        <v>885</v>
      </c>
      <c r="CR3525" s="459" t="s">
        <v>885</v>
      </c>
      <c r="CS3525" s="459" t="s">
        <v>885</v>
      </c>
      <c r="CT3525" s="245" t="s">
        <v>885</v>
      </c>
      <c r="CU3525" s="463" t="s">
        <v>885</v>
      </c>
      <c r="CV3525" s="245" t="s">
        <v>885</v>
      </c>
      <c r="CW3525" s="245" t="s">
        <v>885</v>
      </c>
      <c r="CX3525" s="459" t="s">
        <v>885</v>
      </c>
      <c r="CY3525" s="459" t="s">
        <v>885</v>
      </c>
      <c r="CZ3525" s="459" t="s">
        <v>885</v>
      </c>
      <c r="DA3525" s="459" t="s">
        <v>885</v>
      </c>
      <c r="DB3525" s="459" t="s">
        <v>885</v>
      </c>
      <c r="DC3525" s="459" t="s">
        <v>885</v>
      </c>
      <c r="DD3525" s="459" t="s">
        <v>885</v>
      </c>
      <c r="DE3525" s="459" t="s">
        <v>885</v>
      </c>
      <c r="DF3525" s="459" t="s">
        <v>885</v>
      </c>
      <c r="DG3525" s="459" t="s">
        <v>885</v>
      </c>
      <c r="DH3525" s="459" t="s">
        <v>885</v>
      </c>
      <c r="DI3525" s="459" t="s">
        <v>885</v>
      </c>
      <c r="DJ3525" s="459" t="s">
        <v>885</v>
      </c>
      <c r="DK3525" s="459" t="s">
        <v>885</v>
      </c>
      <c r="DL3525" s="459" t="s">
        <v>885</v>
      </c>
      <c r="DM3525" s="459" t="s">
        <v>885</v>
      </c>
      <c r="DN3525" s="459" t="s">
        <v>885</v>
      </c>
      <c r="DO3525" s="459" t="s">
        <v>885</v>
      </c>
      <c r="DP3525" t="s">
        <v>1843</v>
      </c>
      <c r="DQ3525" s="459" t="s">
        <v>885</v>
      </c>
      <c r="DR3525" s="459" t="s">
        <v>885</v>
      </c>
      <c r="DS3525" s="459" t="s">
        <v>885</v>
      </c>
      <c r="DT3525" s="459" t="s">
        <v>885</v>
      </c>
      <c r="DU3525" s="459" t="s">
        <v>885</v>
      </c>
      <c r="DV3525" s="459" t="s">
        <v>885</v>
      </c>
      <c r="DW3525" s="459" t="s">
        <v>885</v>
      </c>
      <c r="DX3525" s="245" t="s">
        <v>885</v>
      </c>
      <c r="DY3525" s="245"/>
      <c r="DZ3525" s="470" t="str">
        <f t="shared" si="183"/>
        <v/>
      </c>
      <c r="EA3525" s="470" t="str">
        <f t="shared" si="184"/>
        <v/>
      </c>
      <c r="EB3525" s="459" t="s">
        <v>885</v>
      </c>
    </row>
    <row r="3526" spans="1:132" ht="16" hidden="1" x14ac:dyDescent="0.4">
      <c r="A3526" s="813"/>
      <c r="BB3526" s="48"/>
      <c r="BS3526" s="464" t="str">
        <f>IF($B$265=B$3281,BZ3525,IF($B$265=B$3282,CA3525,IF($B$265=B$3283,CB3525,IF($B$265=B$3284,CC3525,IF($B$265=B$3285,CD3525,IF($B$265=B$3286,CE3525,IF($B$265=B$3287,CF3525,IF($B$265=B$3288,CG3525,IF($B$265=B$3289,CH3525,IF($B$265=B$3290,CI3525,IF($B$265=B$3291,CJ3525,IF($B$265=B$3292,CK3525,IF($B$265=B$3293,CL3525,IF($B$265=B$3294,CM3525,IF($B$265=B$3295,CN3525,IF($B$265=B$3296,C3525,IF($B$265=B$3297,CO3525,IF($B$265=B$3298,CP3525,IF($B$265=B$3299,CQ3525,IF($B$265=B$3300,CR3525,IF($B$265=B$3301,CS3525,IF($B$265=B$3302,CT3525,IF(B$265=B$3303,CU3525,IF($B$265=B$3304,CV3525,IF($B$265=B$3305,CW3525,IF($B$265=B$3306,CX3525,IF($B$265=B$3307,CY3525,IF($B$265=B$3308,CZ3525,IF($B$265=B$3309,DA3525,IF($B$265=B$3310,DB3525,IF($B$265=B$3311,DC3525,IF($B$265=B$3312,DD3525,IF($B$265=B$3313,DE3525,IF($B$265=B$3314,DF3525,IF($B$265=B$3315,DG3525,IF($B$265=B$3316,DH3525,IF($B$265=B$3317,DI3525,IF($B$265=B$3318,DJ3525,IF($B$265=B$3319,DK3525,IF($B$265=B$3320,DL3525,IF($B$265=B$3321,DM3525,IF($B$265=B$3322,DN3525,IF($B$265=B$3323,DO3525,IF($B$265=B$3324,DP3525,IF($B$265=B$3325,DQ3525,IF($B$265=B$3326,DR3525,IF($B$265=B$3327,DS3525,IF($B$265=B$3328,DT3525,IF($B$265=B$3329,DU3525,IF($B$265=B$3330,DV3525,IF($B$265=B$3331,DW3525,IF($B$265=B$3332,DX3525,""))))))))))))))))))))))))))))))))))))))))))))))))))))</f>
        <v/>
      </c>
      <c r="BZ3526" s="245" t="s">
        <v>885</v>
      </c>
      <c r="CA3526" s="245" t="s">
        <v>885</v>
      </c>
      <c r="CC3526" s="245" t="s">
        <v>885</v>
      </c>
      <c r="CD3526" s="459" t="s">
        <v>885</v>
      </c>
      <c r="CE3526" s="459" t="s">
        <v>885</v>
      </c>
      <c r="CF3526" s="245" t="s">
        <v>885</v>
      </c>
      <c r="CG3526" s="245" t="s">
        <v>885</v>
      </c>
      <c r="CH3526" s="245" t="s">
        <v>885</v>
      </c>
      <c r="CI3526" s="245" t="s">
        <v>885</v>
      </c>
      <c r="CJ3526" s="459" t="s">
        <v>885</v>
      </c>
      <c r="CK3526" s="459" t="s">
        <v>885</v>
      </c>
      <c r="CL3526" s="459" t="s">
        <v>885</v>
      </c>
      <c r="CM3526" s="459" t="s">
        <v>885</v>
      </c>
      <c r="CN3526" s="459" t="s">
        <v>885</v>
      </c>
      <c r="CO3526" s="459" t="s">
        <v>885</v>
      </c>
      <c r="CP3526" s="459" t="s">
        <v>885</v>
      </c>
      <c r="CQ3526" s="459" t="s">
        <v>885</v>
      </c>
      <c r="CR3526" s="459" t="s">
        <v>885</v>
      </c>
      <c r="CS3526" s="459" t="s">
        <v>885</v>
      </c>
      <c r="CT3526" s="245" t="s">
        <v>885</v>
      </c>
      <c r="CU3526" s="463" t="s">
        <v>885</v>
      </c>
      <c r="CV3526" s="245" t="s">
        <v>885</v>
      </c>
      <c r="CW3526" s="245" t="s">
        <v>885</v>
      </c>
      <c r="CX3526" s="459" t="s">
        <v>885</v>
      </c>
      <c r="CY3526" s="459" t="s">
        <v>885</v>
      </c>
      <c r="CZ3526" s="459" t="s">
        <v>885</v>
      </c>
      <c r="DA3526" s="459" t="s">
        <v>885</v>
      </c>
      <c r="DB3526" s="459" t="s">
        <v>885</v>
      </c>
      <c r="DC3526" s="459" t="s">
        <v>885</v>
      </c>
      <c r="DD3526" s="459" t="s">
        <v>885</v>
      </c>
      <c r="DE3526" s="459" t="s">
        <v>885</v>
      </c>
      <c r="DF3526" s="459" t="s">
        <v>885</v>
      </c>
      <c r="DG3526" s="459" t="s">
        <v>885</v>
      </c>
      <c r="DH3526" s="459" t="s">
        <v>885</v>
      </c>
      <c r="DI3526" s="459" t="s">
        <v>885</v>
      </c>
      <c r="DJ3526" s="459" t="s">
        <v>885</v>
      </c>
      <c r="DK3526" s="459" t="s">
        <v>885</v>
      </c>
      <c r="DL3526" s="459" t="s">
        <v>885</v>
      </c>
      <c r="DM3526" s="459" t="s">
        <v>885</v>
      </c>
      <c r="DN3526" s="459" t="s">
        <v>885</v>
      </c>
      <c r="DO3526" s="459" t="s">
        <v>885</v>
      </c>
      <c r="DP3526" t="s">
        <v>3068</v>
      </c>
      <c r="DQ3526" s="459" t="s">
        <v>885</v>
      </c>
      <c r="DR3526" s="459" t="s">
        <v>885</v>
      </c>
      <c r="DS3526" s="459" t="s">
        <v>885</v>
      </c>
      <c r="DT3526" s="459" t="s">
        <v>885</v>
      </c>
      <c r="DU3526" s="459" t="s">
        <v>885</v>
      </c>
      <c r="DV3526" s="459" t="s">
        <v>885</v>
      </c>
      <c r="DW3526" s="459" t="s">
        <v>885</v>
      </c>
      <c r="DX3526" s="245" t="s">
        <v>885</v>
      </c>
      <c r="DY3526" s="245"/>
      <c r="DZ3526" s="470" t="str">
        <f t="shared" si="183"/>
        <v/>
      </c>
      <c r="EA3526" s="470" t="str">
        <f t="shared" si="184"/>
        <v/>
      </c>
      <c r="EB3526" s="459" t="s">
        <v>885</v>
      </c>
    </row>
    <row r="3527" spans="1:132" ht="16" hidden="1" x14ac:dyDescent="0.4">
      <c r="A3527" s="813"/>
      <c r="BB3527" s="48"/>
      <c r="BS3527" s="464" t="str">
        <f t="shared" ref="BS3527:BS3532" si="187">IF($B$265=B$3281,BZ3526,IF($B$265=B$3282,CA3526,IF($B$265=B$3283,CB3526,IF($B$265=B$3284,CC3526,IF($B$265=B$3285,CD3526,IF($B$265=B$3286,CE3526,IF($B$265=B$3287,CF3526,IF($B$265=B$3288,CG3526,IF($B$265=B$3289,CH3526,IF($B$265=B$3290,CI3526,IF($B$265=B$3291,CJ3526,IF($B$265=B$3292,CK3526,IF($B$265=B$3293,CL3526,IF($B$265=B$3294,CM3526,IF($B$265=B$3295,CN3526,IF($B$265=B$3296,D2878,IF($B$265=B$3297,CO3526,IF($B$265=B$3298,CP3526,IF($B$265=B$3299,CQ3526,IF($B$265=B$3300,CR3526,IF($B$265=B$3301,CS3526,IF($B$265=B$3302,CT3526,IF(B$265=B$3303,CU3526,IF($B$265=B$3304,CV3526,IF($B$265=B$3305,CW3526,IF($B$265=B$3306,CX3526,IF($B$265=B$3307,CY3526,IF($B$265=B$3308,CZ3526,IF($B$265=B$3309,DA3526,IF($B$265=B$3310,DB3526,IF($B$265=B$3311,DC3526,IF($B$265=B$3312,DD3526,IF($B$265=B$3313,DE3526,IF($B$265=B$3314,DF3526,IF($B$265=B$3315,DG3526,IF($B$265=B$3316,DH3526,IF($B$265=B$3317,DI3526,IF($B$265=B$3318,DJ3526,IF($B$265=B$3319,DK3526,IF($B$265=B$3320,DL3526,IF($B$265=B$3321,DM3526,IF($B$265=B$3322,DN3526,IF($B$265=B$3323,DO3526,IF($B$265=B$3324,DP3526,IF($B$265=B$3325,DQ3526,IF($B$265=B$3326,DR3526,IF($B$265=B$3327,DS3526,IF($B$265=B$3328,DT3526,IF($B$265=B$3329,DU3526,IF($B$265=B$3330,DV3526,IF($B$265=B$3331,DW3526,IF($B$265=B$3332,DX3526,""))))))))))))))))))))))))))))))))))))))))))))))))))))</f>
        <v/>
      </c>
      <c r="BZ3527" s="245" t="s">
        <v>885</v>
      </c>
      <c r="CA3527" s="245" t="s">
        <v>885</v>
      </c>
      <c r="CC3527" s="245" t="s">
        <v>885</v>
      </c>
      <c r="CD3527" s="459" t="s">
        <v>885</v>
      </c>
      <c r="CE3527" s="459" t="s">
        <v>885</v>
      </c>
      <c r="CF3527" s="245" t="s">
        <v>885</v>
      </c>
      <c r="CG3527" s="245" t="s">
        <v>885</v>
      </c>
      <c r="CH3527" s="245" t="s">
        <v>885</v>
      </c>
      <c r="CI3527" s="245" t="s">
        <v>885</v>
      </c>
      <c r="CJ3527" s="459" t="s">
        <v>885</v>
      </c>
      <c r="CK3527" s="459" t="s">
        <v>885</v>
      </c>
      <c r="CL3527" s="459" t="s">
        <v>885</v>
      </c>
      <c r="CM3527" s="459" t="s">
        <v>885</v>
      </c>
      <c r="CN3527" s="459" t="s">
        <v>885</v>
      </c>
      <c r="CO3527" s="459" t="s">
        <v>885</v>
      </c>
      <c r="CP3527" s="459" t="s">
        <v>885</v>
      </c>
      <c r="CQ3527" s="459" t="s">
        <v>885</v>
      </c>
      <c r="CR3527" s="459" t="s">
        <v>885</v>
      </c>
      <c r="CS3527" s="459" t="s">
        <v>885</v>
      </c>
      <c r="CT3527" s="245" t="s">
        <v>885</v>
      </c>
      <c r="CU3527" s="463" t="s">
        <v>885</v>
      </c>
      <c r="CV3527" s="245" t="s">
        <v>885</v>
      </c>
      <c r="CW3527" s="245" t="s">
        <v>885</v>
      </c>
      <c r="CX3527" s="459" t="s">
        <v>885</v>
      </c>
      <c r="CY3527" s="459" t="s">
        <v>885</v>
      </c>
      <c r="CZ3527" s="459" t="s">
        <v>885</v>
      </c>
      <c r="DA3527" s="459" t="s">
        <v>885</v>
      </c>
      <c r="DB3527" s="459" t="s">
        <v>885</v>
      </c>
      <c r="DC3527" s="459" t="s">
        <v>885</v>
      </c>
      <c r="DD3527" s="459" t="s">
        <v>885</v>
      </c>
      <c r="DE3527" s="459" t="s">
        <v>885</v>
      </c>
      <c r="DF3527" s="459" t="s">
        <v>885</v>
      </c>
      <c r="DG3527" s="459" t="s">
        <v>885</v>
      </c>
      <c r="DH3527" s="459" t="s">
        <v>885</v>
      </c>
      <c r="DI3527" s="459" t="s">
        <v>885</v>
      </c>
      <c r="DJ3527" s="459" t="s">
        <v>885</v>
      </c>
      <c r="DK3527" s="459" t="s">
        <v>885</v>
      </c>
      <c r="DL3527" s="459" t="s">
        <v>885</v>
      </c>
      <c r="DM3527" s="459" t="s">
        <v>885</v>
      </c>
      <c r="DN3527" s="459" t="s">
        <v>885</v>
      </c>
      <c r="DO3527" s="459" t="s">
        <v>885</v>
      </c>
      <c r="DP3527" t="s">
        <v>3069</v>
      </c>
      <c r="DQ3527" s="459" t="s">
        <v>885</v>
      </c>
      <c r="DR3527" s="459" t="s">
        <v>885</v>
      </c>
      <c r="DS3527" s="459" t="s">
        <v>885</v>
      </c>
      <c r="DT3527" s="459" t="s">
        <v>885</v>
      </c>
      <c r="DU3527" s="459" t="s">
        <v>885</v>
      </c>
      <c r="DV3527" s="459" t="s">
        <v>885</v>
      </c>
      <c r="DW3527" s="459" t="s">
        <v>885</v>
      </c>
      <c r="DX3527" s="245" t="s">
        <v>885</v>
      </c>
      <c r="DY3527" s="245"/>
      <c r="DZ3527" s="470" t="str">
        <f t="shared" si="183"/>
        <v/>
      </c>
      <c r="EA3527" s="470" t="str">
        <f t="shared" si="184"/>
        <v/>
      </c>
      <c r="EB3527" s="459" t="s">
        <v>885</v>
      </c>
    </row>
    <row r="3528" spans="1:132" ht="16" hidden="1" x14ac:dyDescent="0.4">
      <c r="A3528" s="813"/>
      <c r="BB3528" s="48"/>
      <c r="BS3528" s="464" t="str">
        <f t="shared" si="187"/>
        <v/>
      </c>
      <c r="BZ3528" s="245" t="s">
        <v>885</v>
      </c>
      <c r="CA3528" s="245" t="s">
        <v>885</v>
      </c>
      <c r="CC3528" s="245" t="s">
        <v>885</v>
      </c>
      <c r="CD3528" s="459" t="s">
        <v>885</v>
      </c>
      <c r="CE3528" s="459" t="s">
        <v>885</v>
      </c>
      <c r="CF3528" s="245" t="s">
        <v>885</v>
      </c>
      <c r="CG3528" s="245" t="s">
        <v>885</v>
      </c>
      <c r="CH3528" s="245" t="s">
        <v>885</v>
      </c>
      <c r="CI3528" s="245" t="s">
        <v>885</v>
      </c>
      <c r="CJ3528" s="459" t="s">
        <v>885</v>
      </c>
      <c r="CK3528" s="459" t="s">
        <v>885</v>
      </c>
      <c r="CL3528" s="459" t="s">
        <v>885</v>
      </c>
      <c r="CM3528" s="459" t="s">
        <v>885</v>
      </c>
      <c r="CN3528" s="459" t="s">
        <v>885</v>
      </c>
      <c r="CO3528" s="459" t="s">
        <v>885</v>
      </c>
      <c r="CP3528" s="459" t="s">
        <v>885</v>
      </c>
      <c r="CQ3528" s="459" t="s">
        <v>885</v>
      </c>
      <c r="CR3528" s="459" t="s">
        <v>885</v>
      </c>
      <c r="CS3528" s="459" t="s">
        <v>885</v>
      </c>
      <c r="CT3528" s="245" t="s">
        <v>885</v>
      </c>
      <c r="CU3528" s="463" t="s">
        <v>885</v>
      </c>
      <c r="CV3528" s="245" t="s">
        <v>885</v>
      </c>
      <c r="CW3528" s="245" t="s">
        <v>885</v>
      </c>
      <c r="CX3528" s="459" t="s">
        <v>885</v>
      </c>
      <c r="CY3528" s="459" t="s">
        <v>885</v>
      </c>
      <c r="CZ3528" s="459" t="s">
        <v>885</v>
      </c>
      <c r="DA3528" s="459" t="s">
        <v>885</v>
      </c>
      <c r="DB3528" s="459" t="s">
        <v>885</v>
      </c>
      <c r="DC3528" s="459" t="s">
        <v>885</v>
      </c>
      <c r="DD3528" s="459" t="s">
        <v>885</v>
      </c>
      <c r="DE3528" s="459" t="s">
        <v>885</v>
      </c>
      <c r="DF3528" s="459" t="s">
        <v>885</v>
      </c>
      <c r="DG3528" s="459" t="s">
        <v>885</v>
      </c>
      <c r="DH3528" s="459" t="s">
        <v>885</v>
      </c>
      <c r="DI3528" s="459" t="s">
        <v>885</v>
      </c>
      <c r="DJ3528" s="459" t="s">
        <v>885</v>
      </c>
      <c r="DK3528" s="459" t="s">
        <v>885</v>
      </c>
      <c r="DL3528" s="459" t="s">
        <v>885</v>
      </c>
      <c r="DM3528" s="459" t="s">
        <v>885</v>
      </c>
      <c r="DN3528" s="459" t="s">
        <v>885</v>
      </c>
      <c r="DO3528" s="459" t="s">
        <v>885</v>
      </c>
      <c r="DP3528" t="s">
        <v>3070</v>
      </c>
      <c r="DQ3528" s="459" t="s">
        <v>885</v>
      </c>
      <c r="DR3528" s="459" t="s">
        <v>885</v>
      </c>
      <c r="DS3528" s="459" t="s">
        <v>885</v>
      </c>
      <c r="DT3528" s="459" t="s">
        <v>885</v>
      </c>
      <c r="DU3528" s="459" t="s">
        <v>885</v>
      </c>
      <c r="DV3528" s="459" t="s">
        <v>885</v>
      </c>
      <c r="DW3528" s="459" t="s">
        <v>885</v>
      </c>
      <c r="DX3528" s="245" t="s">
        <v>885</v>
      </c>
      <c r="DY3528" s="245"/>
      <c r="DZ3528" s="470" t="str">
        <f t="shared" si="183"/>
        <v/>
      </c>
      <c r="EA3528" s="470" t="str">
        <f t="shared" si="184"/>
        <v/>
      </c>
      <c r="EB3528" s="459" t="s">
        <v>885</v>
      </c>
    </row>
    <row r="3529" spans="1:132" ht="16" hidden="1" x14ac:dyDescent="0.4">
      <c r="A3529" s="813"/>
      <c r="BB3529" s="48"/>
      <c r="BS3529" s="464" t="str">
        <f t="shared" si="187"/>
        <v/>
      </c>
      <c r="BZ3529" s="245" t="s">
        <v>885</v>
      </c>
      <c r="CA3529" s="245" t="s">
        <v>885</v>
      </c>
      <c r="CC3529" s="245" t="s">
        <v>885</v>
      </c>
      <c r="CD3529" s="459" t="s">
        <v>885</v>
      </c>
      <c r="CE3529" s="459" t="s">
        <v>885</v>
      </c>
      <c r="CF3529" s="245" t="s">
        <v>885</v>
      </c>
      <c r="CG3529" s="245" t="s">
        <v>885</v>
      </c>
      <c r="CH3529" s="245" t="s">
        <v>885</v>
      </c>
      <c r="CI3529" s="245" t="s">
        <v>885</v>
      </c>
      <c r="CJ3529" s="459" t="s">
        <v>885</v>
      </c>
      <c r="CK3529" s="459" t="s">
        <v>885</v>
      </c>
      <c r="CL3529" s="459" t="s">
        <v>885</v>
      </c>
      <c r="CM3529" s="459" t="s">
        <v>885</v>
      </c>
      <c r="CN3529" s="459" t="s">
        <v>885</v>
      </c>
      <c r="CO3529" s="459" t="s">
        <v>885</v>
      </c>
      <c r="CP3529" s="459" t="s">
        <v>885</v>
      </c>
      <c r="CQ3529" s="459" t="s">
        <v>885</v>
      </c>
      <c r="CR3529" s="459" t="s">
        <v>885</v>
      </c>
      <c r="CS3529" s="459" t="s">
        <v>885</v>
      </c>
      <c r="CT3529" s="245" t="s">
        <v>885</v>
      </c>
      <c r="CU3529" s="463" t="s">
        <v>885</v>
      </c>
      <c r="CV3529" s="245" t="s">
        <v>885</v>
      </c>
      <c r="CW3529" s="245" t="s">
        <v>885</v>
      </c>
      <c r="CX3529" s="459" t="s">
        <v>885</v>
      </c>
      <c r="CY3529" s="459" t="s">
        <v>885</v>
      </c>
      <c r="CZ3529" s="459" t="s">
        <v>885</v>
      </c>
      <c r="DA3529" s="459" t="s">
        <v>885</v>
      </c>
      <c r="DB3529" s="459" t="s">
        <v>885</v>
      </c>
      <c r="DC3529" s="459" t="s">
        <v>885</v>
      </c>
      <c r="DD3529" s="459" t="s">
        <v>885</v>
      </c>
      <c r="DE3529" s="459" t="s">
        <v>885</v>
      </c>
      <c r="DF3529" s="459" t="s">
        <v>885</v>
      </c>
      <c r="DG3529" s="459" t="s">
        <v>885</v>
      </c>
      <c r="DH3529" s="459" t="s">
        <v>885</v>
      </c>
      <c r="DI3529" s="459" t="s">
        <v>885</v>
      </c>
      <c r="DJ3529" s="459" t="s">
        <v>885</v>
      </c>
      <c r="DK3529" s="459" t="s">
        <v>885</v>
      </c>
      <c r="DL3529" s="459" t="s">
        <v>885</v>
      </c>
      <c r="DM3529" s="459" t="s">
        <v>885</v>
      </c>
      <c r="DN3529" s="459" t="s">
        <v>885</v>
      </c>
      <c r="DO3529" s="459" t="s">
        <v>885</v>
      </c>
      <c r="DP3529" t="s">
        <v>3071</v>
      </c>
      <c r="DQ3529" s="459" t="s">
        <v>885</v>
      </c>
      <c r="DR3529" s="459" t="s">
        <v>885</v>
      </c>
      <c r="DS3529" s="459" t="s">
        <v>885</v>
      </c>
      <c r="DT3529" s="459" t="s">
        <v>885</v>
      </c>
      <c r="DU3529" s="459" t="s">
        <v>885</v>
      </c>
      <c r="DV3529" s="459" t="s">
        <v>885</v>
      </c>
      <c r="DW3529" s="459" t="s">
        <v>885</v>
      </c>
      <c r="DX3529" s="245" t="s">
        <v>885</v>
      </c>
      <c r="DY3529" s="245"/>
      <c r="DZ3529" s="470" t="str">
        <f t="shared" si="183"/>
        <v/>
      </c>
      <c r="EA3529" s="470" t="str">
        <f t="shared" si="184"/>
        <v/>
      </c>
      <c r="EB3529" s="459" t="s">
        <v>885</v>
      </c>
    </row>
    <row r="3530" spans="1:132" ht="16" hidden="1" x14ac:dyDescent="0.4">
      <c r="A3530" s="813"/>
      <c r="BB3530" s="48"/>
      <c r="BS3530" s="464" t="str">
        <f t="shared" si="187"/>
        <v/>
      </c>
      <c r="BZ3530" s="245" t="s">
        <v>885</v>
      </c>
      <c r="CA3530" s="245" t="s">
        <v>885</v>
      </c>
      <c r="CC3530" s="245" t="s">
        <v>885</v>
      </c>
      <c r="CD3530" s="459" t="s">
        <v>885</v>
      </c>
      <c r="CE3530" s="459" t="s">
        <v>885</v>
      </c>
      <c r="CF3530" s="245" t="s">
        <v>885</v>
      </c>
      <c r="CG3530" s="245" t="s">
        <v>885</v>
      </c>
      <c r="CH3530" s="245" t="s">
        <v>885</v>
      </c>
      <c r="CI3530" s="245" t="s">
        <v>885</v>
      </c>
      <c r="CJ3530" s="459" t="s">
        <v>885</v>
      </c>
      <c r="CK3530" s="459" t="s">
        <v>885</v>
      </c>
      <c r="CL3530" s="459" t="s">
        <v>885</v>
      </c>
      <c r="CM3530" s="459" t="s">
        <v>885</v>
      </c>
      <c r="CN3530" s="459" t="s">
        <v>885</v>
      </c>
      <c r="CO3530" s="459" t="s">
        <v>885</v>
      </c>
      <c r="CP3530" s="459" t="s">
        <v>885</v>
      </c>
      <c r="CQ3530" s="459" t="s">
        <v>885</v>
      </c>
      <c r="CR3530" s="459" t="s">
        <v>885</v>
      </c>
      <c r="CS3530" s="459" t="s">
        <v>885</v>
      </c>
      <c r="CT3530" s="245" t="s">
        <v>885</v>
      </c>
      <c r="CU3530" s="463" t="s">
        <v>885</v>
      </c>
      <c r="CV3530" s="245" t="s">
        <v>885</v>
      </c>
      <c r="CW3530" s="245" t="s">
        <v>885</v>
      </c>
      <c r="CX3530" s="459" t="s">
        <v>885</v>
      </c>
      <c r="CY3530" s="459" t="s">
        <v>885</v>
      </c>
      <c r="CZ3530" s="459" t="s">
        <v>885</v>
      </c>
      <c r="DA3530" s="459" t="s">
        <v>885</v>
      </c>
      <c r="DB3530" s="459" t="s">
        <v>885</v>
      </c>
      <c r="DC3530" s="459" t="s">
        <v>885</v>
      </c>
      <c r="DD3530" s="459" t="s">
        <v>885</v>
      </c>
      <c r="DE3530" s="459" t="s">
        <v>885</v>
      </c>
      <c r="DF3530" s="459" t="s">
        <v>885</v>
      </c>
      <c r="DG3530" s="459" t="s">
        <v>885</v>
      </c>
      <c r="DH3530" s="459" t="s">
        <v>885</v>
      </c>
      <c r="DI3530" s="459" t="s">
        <v>885</v>
      </c>
      <c r="DJ3530" s="459" t="s">
        <v>885</v>
      </c>
      <c r="DK3530" s="459" t="s">
        <v>885</v>
      </c>
      <c r="DL3530" s="459" t="s">
        <v>885</v>
      </c>
      <c r="DM3530" s="459" t="s">
        <v>885</v>
      </c>
      <c r="DN3530" s="459" t="s">
        <v>885</v>
      </c>
      <c r="DO3530" s="459" t="s">
        <v>885</v>
      </c>
      <c r="DP3530" t="s">
        <v>3072</v>
      </c>
      <c r="DQ3530" s="459" t="s">
        <v>885</v>
      </c>
      <c r="DR3530" s="459" t="s">
        <v>885</v>
      </c>
      <c r="DS3530" s="459" t="s">
        <v>885</v>
      </c>
      <c r="DT3530" s="459" t="s">
        <v>885</v>
      </c>
      <c r="DU3530" s="459" t="s">
        <v>885</v>
      </c>
      <c r="DV3530" s="459" t="s">
        <v>885</v>
      </c>
      <c r="DW3530" s="459" t="s">
        <v>885</v>
      </c>
      <c r="DX3530" s="245" t="s">
        <v>885</v>
      </c>
      <c r="DY3530" s="245"/>
      <c r="DZ3530" s="470" t="str">
        <f t="shared" si="183"/>
        <v/>
      </c>
      <c r="EA3530" s="470" t="str">
        <f t="shared" si="184"/>
        <v/>
      </c>
      <c r="EB3530" s="459" t="s">
        <v>885</v>
      </c>
    </row>
    <row r="3531" spans="1:132" ht="16" hidden="1" x14ac:dyDescent="0.4">
      <c r="A3531" s="813"/>
      <c r="BB3531" s="48"/>
      <c r="BS3531" s="464" t="str">
        <f t="shared" si="187"/>
        <v/>
      </c>
      <c r="BZ3531" s="245" t="s">
        <v>885</v>
      </c>
      <c r="CA3531" s="245" t="s">
        <v>885</v>
      </c>
      <c r="CC3531" s="245" t="s">
        <v>885</v>
      </c>
      <c r="CD3531" s="459" t="s">
        <v>885</v>
      </c>
      <c r="CE3531" s="459" t="s">
        <v>885</v>
      </c>
      <c r="CF3531" s="245" t="s">
        <v>885</v>
      </c>
      <c r="CG3531" s="245" t="s">
        <v>885</v>
      </c>
      <c r="CH3531" s="245" t="s">
        <v>885</v>
      </c>
      <c r="CI3531" s="245" t="s">
        <v>885</v>
      </c>
      <c r="CJ3531" s="459" t="s">
        <v>885</v>
      </c>
      <c r="CK3531" s="459" t="s">
        <v>885</v>
      </c>
      <c r="CL3531" s="459" t="s">
        <v>885</v>
      </c>
      <c r="CM3531" s="459" t="s">
        <v>885</v>
      </c>
      <c r="CN3531" s="459" t="s">
        <v>885</v>
      </c>
      <c r="CO3531" s="459" t="s">
        <v>885</v>
      </c>
      <c r="CP3531" s="459" t="s">
        <v>885</v>
      </c>
      <c r="CQ3531" s="459" t="s">
        <v>885</v>
      </c>
      <c r="CR3531" s="459" t="s">
        <v>885</v>
      </c>
      <c r="CS3531" s="459" t="s">
        <v>885</v>
      </c>
      <c r="CT3531" s="245" t="s">
        <v>885</v>
      </c>
      <c r="CU3531" s="463" t="s">
        <v>885</v>
      </c>
      <c r="CV3531" s="245" t="s">
        <v>885</v>
      </c>
      <c r="CW3531" s="245" t="s">
        <v>885</v>
      </c>
      <c r="CX3531" s="459" t="s">
        <v>885</v>
      </c>
      <c r="CY3531" s="459" t="s">
        <v>885</v>
      </c>
      <c r="CZ3531" s="459" t="s">
        <v>885</v>
      </c>
      <c r="DA3531" s="459" t="s">
        <v>885</v>
      </c>
      <c r="DB3531" s="459" t="s">
        <v>885</v>
      </c>
      <c r="DC3531" s="459" t="s">
        <v>885</v>
      </c>
      <c r="DD3531" s="459" t="s">
        <v>885</v>
      </c>
      <c r="DE3531" s="459" t="s">
        <v>885</v>
      </c>
      <c r="DF3531" s="459" t="s">
        <v>885</v>
      </c>
      <c r="DG3531" s="459" t="s">
        <v>885</v>
      </c>
      <c r="DH3531" s="459" t="s">
        <v>885</v>
      </c>
      <c r="DI3531" s="459" t="s">
        <v>885</v>
      </c>
      <c r="DJ3531" s="459" t="s">
        <v>885</v>
      </c>
      <c r="DK3531" s="459" t="s">
        <v>885</v>
      </c>
      <c r="DL3531" s="459" t="s">
        <v>885</v>
      </c>
      <c r="DM3531" s="459" t="s">
        <v>885</v>
      </c>
      <c r="DN3531" s="459" t="s">
        <v>885</v>
      </c>
      <c r="DO3531" s="459" t="s">
        <v>885</v>
      </c>
      <c r="DP3531" t="s">
        <v>1634</v>
      </c>
      <c r="DQ3531" s="459" t="s">
        <v>885</v>
      </c>
      <c r="DR3531" s="459" t="s">
        <v>885</v>
      </c>
      <c r="DS3531" s="459" t="s">
        <v>885</v>
      </c>
      <c r="DT3531" s="459" t="s">
        <v>885</v>
      </c>
      <c r="DU3531" s="459" t="s">
        <v>885</v>
      </c>
      <c r="DV3531" s="459" t="s">
        <v>885</v>
      </c>
      <c r="DW3531" s="459" t="s">
        <v>885</v>
      </c>
      <c r="DX3531" s="245" t="s">
        <v>885</v>
      </c>
      <c r="DY3531" s="245"/>
      <c r="DZ3531" s="470" t="str">
        <f t="shared" si="183"/>
        <v/>
      </c>
      <c r="EA3531" s="470" t="str">
        <f t="shared" si="184"/>
        <v/>
      </c>
      <c r="EB3531" s="459" t="s">
        <v>885</v>
      </c>
    </row>
    <row r="3532" spans="1:132" ht="16" hidden="1" x14ac:dyDescent="0.4">
      <c r="A3532" s="813"/>
      <c r="BS3532" s="464" t="str">
        <f t="shared" si="187"/>
        <v/>
      </c>
      <c r="BZ3532" s="245" t="s">
        <v>885</v>
      </c>
      <c r="CA3532" s="245" t="s">
        <v>885</v>
      </c>
      <c r="CC3532" s="245" t="s">
        <v>885</v>
      </c>
      <c r="CD3532" s="459" t="s">
        <v>885</v>
      </c>
      <c r="CE3532" s="459" t="s">
        <v>885</v>
      </c>
      <c r="CF3532" s="245" t="s">
        <v>885</v>
      </c>
      <c r="CG3532" s="245" t="s">
        <v>885</v>
      </c>
      <c r="CH3532" s="245" t="s">
        <v>885</v>
      </c>
      <c r="CI3532" s="245" t="s">
        <v>885</v>
      </c>
      <c r="CJ3532" s="459" t="s">
        <v>885</v>
      </c>
      <c r="CK3532" s="459" t="s">
        <v>885</v>
      </c>
      <c r="CL3532" s="459" t="s">
        <v>885</v>
      </c>
      <c r="CM3532" s="459" t="s">
        <v>885</v>
      </c>
      <c r="CN3532" s="459" t="s">
        <v>885</v>
      </c>
      <c r="CO3532" s="459" t="s">
        <v>885</v>
      </c>
      <c r="CP3532" s="459" t="s">
        <v>885</v>
      </c>
      <c r="CQ3532" s="459" t="s">
        <v>885</v>
      </c>
      <c r="CR3532" s="459" t="s">
        <v>885</v>
      </c>
      <c r="CS3532" s="459" t="s">
        <v>885</v>
      </c>
      <c r="CT3532" s="245" t="s">
        <v>885</v>
      </c>
      <c r="CU3532" s="463" t="s">
        <v>885</v>
      </c>
      <c r="CV3532" s="245" t="s">
        <v>885</v>
      </c>
      <c r="CW3532" s="245" t="s">
        <v>885</v>
      </c>
      <c r="CX3532" s="459" t="s">
        <v>885</v>
      </c>
      <c r="CY3532" s="459" t="s">
        <v>885</v>
      </c>
      <c r="CZ3532" s="459" t="s">
        <v>885</v>
      </c>
      <c r="DA3532" s="459" t="s">
        <v>885</v>
      </c>
      <c r="DB3532" s="459" t="s">
        <v>885</v>
      </c>
      <c r="DC3532" s="459" t="s">
        <v>885</v>
      </c>
      <c r="DD3532" s="459" t="s">
        <v>885</v>
      </c>
      <c r="DE3532" s="459" t="s">
        <v>885</v>
      </c>
      <c r="DF3532" s="459" t="s">
        <v>885</v>
      </c>
      <c r="DG3532" s="459" t="s">
        <v>885</v>
      </c>
      <c r="DH3532" s="459" t="s">
        <v>885</v>
      </c>
      <c r="DI3532" s="459" t="s">
        <v>885</v>
      </c>
      <c r="DJ3532" s="459" t="s">
        <v>885</v>
      </c>
      <c r="DK3532" s="459" t="s">
        <v>885</v>
      </c>
      <c r="DL3532" s="459" t="s">
        <v>885</v>
      </c>
      <c r="DM3532" s="459" t="s">
        <v>885</v>
      </c>
      <c r="DN3532" s="459" t="s">
        <v>885</v>
      </c>
      <c r="DO3532" s="459" t="s">
        <v>885</v>
      </c>
      <c r="DP3532" t="s">
        <v>3073</v>
      </c>
      <c r="DQ3532" s="459" t="s">
        <v>885</v>
      </c>
      <c r="DR3532" s="459" t="s">
        <v>885</v>
      </c>
      <c r="DS3532" s="459" t="s">
        <v>885</v>
      </c>
      <c r="DT3532" s="459" t="s">
        <v>885</v>
      </c>
      <c r="DU3532" s="459" t="s">
        <v>885</v>
      </c>
      <c r="DV3532" s="459" t="s">
        <v>885</v>
      </c>
      <c r="DW3532" s="459" t="s">
        <v>885</v>
      </c>
      <c r="DX3532" s="245" t="s">
        <v>885</v>
      </c>
      <c r="DY3532" s="245"/>
      <c r="DZ3532" s="470" t="str">
        <f t="shared" si="183"/>
        <v/>
      </c>
      <c r="EA3532" s="470" t="str">
        <f t="shared" si="184"/>
        <v/>
      </c>
      <c r="EB3532" s="459" t="s">
        <v>885</v>
      </c>
    </row>
    <row r="3533" spans="1:132" ht="16" hidden="1" x14ac:dyDescent="0.4">
      <c r="A3533" s="813"/>
      <c r="BS3533" s="464" t="str">
        <f>IF($B$265=B$3281,BZ3532,IF($B$265=B$3282,CA3532,IF($B$265=B$3283,CB3532,IF($B$265=B$3284,CC3532,IF($B$265=B$3285,CD3532,IF($B$265=B$3286,CE3532,IF($B$265=B$3287,CF3532,IF($B$265=B$3288,CG3532,IF($B$265=B$3289,CH3532,IF($B$265=B$3290,CI3532,IF($B$265=B$3291,CJ3532,IF($B$265=B$3292,CK3532,IF($B$265=B$3293,CL3532,IF($B$265=B$3294,CM3532,IF($B$265=B$3295,CN3532,IF($B$265=B$3296,C3532,IF($B$265=B$3297,CO3532,IF($B$265=B$3298,CP3532,IF($B$265=B$3299,CQ3532,IF($B$265=B$3300,CR3532,IF($B$265=B$3301,CS3532,IF($B$265=B$3302,CT3532,IF(B$265=B$3303,CU3532,IF($B$265=B$3304,CV3532,IF($B$265=B$3305,CW3532,IF($B$265=B$3306,CX3532,IF($B$265=B$3307,CY3532,IF($B$265=B$3308,CZ3532,IF($B$265=B$3309,DA3532,IF($B$265=B$3310,DB3532,IF($B$265=B$3311,DC3532,IF($B$265=B$3312,DD3532,IF($B$265=B$3313,DE3532,IF($B$265=B$3314,DF3532,IF($B$265=B$3315,DG3532,IF($B$265=B$3316,DH3532,IF($B$265=B$3317,DI3532,IF($B$265=B$3318,DJ3532,IF($B$265=B$3319,DK3532,IF($B$265=B$3320,DL3532,IF($B$265=B$3321,DM3532,IF($B$265=B$3322,DN3532,IF($B$265=B$3323,DO3532,IF($B$265=B$3324,DP3532,IF($B$265=B$3325,DQ3532,IF($B$265=B$3326,DR3532,IF($B$265=B$3327,DS3532,IF($B$265=B$3328,DT3532,IF($B$265=B$3329,DU3532,IF($B$265=B$3330,DV3532,IF($B$265=B$3331,DW3532,IF($B$265=B$3332,DX3532,""))))))))))))))))))))))))))))))))))))))))))))))))))))</f>
        <v/>
      </c>
      <c r="BZ3533" s="245" t="s">
        <v>885</v>
      </c>
      <c r="CA3533" s="245" t="s">
        <v>885</v>
      </c>
      <c r="CC3533" s="245" t="s">
        <v>885</v>
      </c>
      <c r="CD3533" s="459" t="s">
        <v>885</v>
      </c>
      <c r="CE3533" s="459" t="s">
        <v>885</v>
      </c>
      <c r="CF3533" s="245" t="s">
        <v>885</v>
      </c>
      <c r="CG3533" s="245" t="s">
        <v>885</v>
      </c>
      <c r="CH3533" s="245" t="s">
        <v>885</v>
      </c>
      <c r="CI3533" s="245" t="s">
        <v>885</v>
      </c>
      <c r="CJ3533" s="459" t="s">
        <v>885</v>
      </c>
      <c r="CK3533" s="459" t="s">
        <v>885</v>
      </c>
      <c r="CL3533" s="459" t="s">
        <v>885</v>
      </c>
      <c r="CM3533" s="459" t="s">
        <v>885</v>
      </c>
      <c r="CN3533" s="459" t="s">
        <v>885</v>
      </c>
      <c r="CO3533" s="459" t="s">
        <v>885</v>
      </c>
      <c r="CP3533" s="459" t="s">
        <v>885</v>
      </c>
      <c r="CQ3533" s="459" t="s">
        <v>885</v>
      </c>
      <c r="CR3533" s="459" t="s">
        <v>885</v>
      </c>
      <c r="CS3533" s="459" t="s">
        <v>885</v>
      </c>
      <c r="CT3533" s="245" t="s">
        <v>885</v>
      </c>
      <c r="CU3533" s="463" t="s">
        <v>885</v>
      </c>
      <c r="CV3533" s="245" t="s">
        <v>885</v>
      </c>
      <c r="CW3533" s="245" t="s">
        <v>885</v>
      </c>
      <c r="CX3533" s="459" t="s">
        <v>885</v>
      </c>
      <c r="CY3533" s="459" t="s">
        <v>885</v>
      </c>
      <c r="CZ3533" s="459" t="s">
        <v>885</v>
      </c>
      <c r="DA3533" s="459" t="s">
        <v>885</v>
      </c>
      <c r="DB3533" s="459" t="s">
        <v>885</v>
      </c>
      <c r="DC3533" s="459" t="s">
        <v>885</v>
      </c>
      <c r="DD3533" s="459" t="s">
        <v>885</v>
      </c>
      <c r="DE3533" s="459" t="s">
        <v>885</v>
      </c>
      <c r="DF3533" s="459" t="s">
        <v>885</v>
      </c>
      <c r="DG3533" s="459" t="s">
        <v>885</v>
      </c>
      <c r="DH3533" s="459" t="s">
        <v>885</v>
      </c>
      <c r="DI3533" s="459" t="s">
        <v>885</v>
      </c>
      <c r="DJ3533" s="459" t="s">
        <v>885</v>
      </c>
      <c r="DK3533" s="459" t="s">
        <v>885</v>
      </c>
      <c r="DL3533" s="459" t="s">
        <v>885</v>
      </c>
      <c r="DM3533" s="459" t="s">
        <v>885</v>
      </c>
      <c r="DN3533" s="459" t="s">
        <v>885</v>
      </c>
      <c r="DO3533" s="459" t="s">
        <v>885</v>
      </c>
      <c r="DP3533" t="s">
        <v>3074</v>
      </c>
      <c r="DQ3533" s="459" t="s">
        <v>885</v>
      </c>
      <c r="DR3533" s="459" t="s">
        <v>885</v>
      </c>
      <c r="DS3533" s="459" t="s">
        <v>885</v>
      </c>
      <c r="DT3533" s="459" t="s">
        <v>885</v>
      </c>
      <c r="DU3533" s="459" t="s">
        <v>885</v>
      </c>
      <c r="DV3533" s="459" t="s">
        <v>885</v>
      </c>
      <c r="DW3533" s="459" t="s">
        <v>885</v>
      </c>
      <c r="DX3533" s="245" t="s">
        <v>885</v>
      </c>
      <c r="DY3533" s="245"/>
      <c r="DZ3533" s="470" t="str">
        <f t="shared" si="183"/>
        <v/>
      </c>
      <c r="EA3533" s="470" t="str">
        <f t="shared" si="184"/>
        <v/>
      </c>
      <c r="EB3533" s="459" t="s">
        <v>885</v>
      </c>
    </row>
    <row r="3534" spans="1:132" ht="16" hidden="1" x14ac:dyDescent="0.4">
      <c r="A3534" s="813"/>
      <c r="BS3534" s="464" t="str">
        <f>IF($B$265=B$3281,BZ3533,IF($B$265=B$3282,CA3533,IF($B$265=B$3283,CB3533,IF($B$265=B$3284,CC3533,IF($B$265=B$3285,CD3533,IF($B$265=B$3286,CE3533,IF($B$265=B$3287,CF3533,IF($B$265=B$3288,CG3533,IF($B$265=B$3289,CH3533,IF($B$265=B$3290,CI3533,IF($B$265=B$3291,CJ3533,IF($B$265=B$3292,CK3533,IF($B$265=B$3293,CL3533,IF($B$265=B$3294,CM3533,IF($B$265=B$3295,CN3533,IF($B$265=B$3296,C3533,IF($B$265=B$3297,CO3533,IF($B$265=B$3298,CP3533,IF($B$265=B$3299,CQ3533,IF($B$265=B$3300,CR3533,IF($B$265=B$3301,CS3533,IF($B$265=B$3302,CT3533,IF(B$265=B$3303,CU3533,IF($B$265=B$3304,CV3533,IF($B$265=B$3305,CW3533,IF($B$265=B$3306,CX3533,IF($B$265=B$3307,CY3533,IF($B$265=B$3308,CZ3533,IF($B$265=B$3309,DA3533,IF($B$265=B$3310,DB3533,IF($B$265=B$3311,DC3533,IF($B$265=B$3312,DD3533,IF($B$265=B$3313,DE3533,IF($B$265=B$3314,DF3533,IF($B$265=B$3315,DG3533,IF($B$265=B$3316,DH3533,IF($B$265=B$3317,DI3533,IF($B$265=B$3318,DJ3533,IF($B$265=B$3319,DK3533,IF($B$265=B$3320,DL3533,IF($B$265=B$3321,DM3533,IF($B$265=B$3322,DN3533,IF($B$265=B$3323,DO3533,IF($B$265=B$3324,DP3533,IF($B$265=B$3325,DQ3533,IF($B$265=B$3326,DR3533,IF($B$265=B$3327,DS3533,IF($B$265=B$3328,DT3533,IF($B$265=B$3329,DU3533,IF($B$265=B$3330,DV3533,IF($B$265=B$3331,DW3533,IF($B$265=B$3332,DX3533,""))))))))))))))))))))))))))))))))))))))))))))))))))))</f>
        <v/>
      </c>
      <c r="BZ3534" s="245" t="s">
        <v>885</v>
      </c>
      <c r="CA3534" s="245" t="s">
        <v>885</v>
      </c>
      <c r="CC3534" s="245" t="s">
        <v>885</v>
      </c>
      <c r="CD3534" s="459" t="s">
        <v>885</v>
      </c>
      <c r="CE3534" s="459" t="s">
        <v>885</v>
      </c>
      <c r="CF3534" s="245" t="s">
        <v>885</v>
      </c>
      <c r="CG3534" s="245" t="s">
        <v>885</v>
      </c>
      <c r="CH3534" s="245" t="s">
        <v>885</v>
      </c>
      <c r="CI3534" s="245" t="s">
        <v>885</v>
      </c>
      <c r="CJ3534" s="459" t="s">
        <v>885</v>
      </c>
      <c r="CK3534" s="459" t="s">
        <v>885</v>
      </c>
      <c r="CL3534" s="459" t="s">
        <v>885</v>
      </c>
      <c r="CM3534" s="459" t="s">
        <v>885</v>
      </c>
      <c r="CN3534" s="459" t="s">
        <v>885</v>
      </c>
      <c r="CO3534" s="459" t="s">
        <v>885</v>
      </c>
      <c r="CP3534" s="459" t="s">
        <v>885</v>
      </c>
      <c r="CQ3534" s="459" t="s">
        <v>885</v>
      </c>
      <c r="CR3534" s="459" t="s">
        <v>885</v>
      </c>
      <c r="CS3534" s="459" t="s">
        <v>885</v>
      </c>
      <c r="CT3534" s="245" t="s">
        <v>885</v>
      </c>
      <c r="CU3534" s="463" t="s">
        <v>885</v>
      </c>
      <c r="CV3534" s="245" t="s">
        <v>885</v>
      </c>
      <c r="CW3534" s="245" t="s">
        <v>885</v>
      </c>
      <c r="CX3534" s="459" t="s">
        <v>885</v>
      </c>
      <c r="CY3534" s="459" t="s">
        <v>885</v>
      </c>
      <c r="CZ3534" s="459" t="s">
        <v>885</v>
      </c>
      <c r="DA3534" s="459" t="s">
        <v>885</v>
      </c>
      <c r="DB3534" s="459" t="s">
        <v>885</v>
      </c>
      <c r="DC3534" s="459" t="s">
        <v>885</v>
      </c>
      <c r="DD3534" s="459" t="s">
        <v>885</v>
      </c>
      <c r="DE3534" s="459" t="s">
        <v>885</v>
      </c>
      <c r="DF3534" s="459" t="s">
        <v>885</v>
      </c>
      <c r="DG3534" s="459" t="s">
        <v>885</v>
      </c>
      <c r="DH3534" s="459" t="s">
        <v>885</v>
      </c>
      <c r="DI3534" s="459" t="s">
        <v>885</v>
      </c>
      <c r="DJ3534" s="459" t="s">
        <v>885</v>
      </c>
      <c r="DK3534" s="459" t="s">
        <v>885</v>
      </c>
      <c r="DL3534" s="459" t="s">
        <v>885</v>
      </c>
      <c r="DM3534" s="459" t="s">
        <v>885</v>
      </c>
      <c r="DN3534" s="459" t="s">
        <v>885</v>
      </c>
      <c r="DO3534" s="459" t="s">
        <v>885</v>
      </c>
      <c r="DP3534" t="s">
        <v>3075</v>
      </c>
      <c r="DQ3534" s="459" t="s">
        <v>885</v>
      </c>
      <c r="DR3534" s="459" t="s">
        <v>885</v>
      </c>
      <c r="DS3534" s="459" t="s">
        <v>885</v>
      </c>
      <c r="DT3534" s="459" t="s">
        <v>885</v>
      </c>
      <c r="DU3534" s="459" t="s">
        <v>885</v>
      </c>
      <c r="DV3534" s="459" t="s">
        <v>885</v>
      </c>
      <c r="DW3534" s="459" t="s">
        <v>885</v>
      </c>
      <c r="DX3534" s="245" t="s">
        <v>885</v>
      </c>
      <c r="DY3534" s="245"/>
      <c r="DZ3534" s="470" t="str">
        <f t="shared" si="183"/>
        <v/>
      </c>
      <c r="EA3534" s="470" t="str">
        <f t="shared" si="184"/>
        <v/>
      </c>
      <c r="EB3534" s="459" t="s">
        <v>885</v>
      </c>
    </row>
    <row r="3535" spans="1:132" ht="16" hidden="1" x14ac:dyDescent="0.4">
      <c r="A3535" s="813"/>
      <c r="BS3535" s="464" t="str">
        <f>IF($B$265=B$3281,BZ3534,IF($B$265=B$3282,CA3534,IF($B$265=B$3283,CB3534,IF($B$265=B$3284,CC3534,IF($B$265=B$3285,CD3534,IF($B$265=B$3286,CE3534,IF($B$265=B$3287,CF3534,IF($B$265=B$3288,CG3534,IF($B$265=B$3289,CH3534,IF($B$265=B$3290,CI3534,IF($B$265=B$3291,CJ3534,IF($B$265=B$3292,CK3534,IF($B$265=B$3293,CL3534,IF($B$265=B$3294,CM3534,IF($B$265=B$3295,CN3534,IF($B$265=B$3296,C3534,IF($B$265=B$3297,CO3534,IF($B$265=B$3298,CP3534,IF($B$265=B$3299,CQ3534,IF($B$265=B$3300,CR3534,IF($B$265=B$3301,CS3534,IF($B$265=B$3302,CT3534,IF(B$265=B$3303,CU3534,IF($B$265=B$3304,CV3534,IF($B$265=B$3305,CW3534,IF($B$265=B$3306,CX3534,IF($B$265=B$3307,CY3534,IF($B$265=B$3308,CZ3534,IF($B$265=B$3309,DA3534,IF($B$265=B$3310,DB3534,IF($B$265=B$3311,DC3534,IF($B$265=B$3312,DD3534,IF($B$265=B$3313,DE3534,IF($B$265=B$3314,DF3534,IF($B$265=B$3315,DG3534,IF($B$265=B$3316,DH3534,IF($B$265=B$3317,DI3534,IF($B$265=B$3318,DJ3534,IF($B$265=B$3319,DK3534,IF($B$265=B$3320,DL3534,IF($B$265=B$3321,DM3534,IF($B$265=B$3322,DN3534,IF($B$265=B$3323,DO3534,IF($B$265=B$3324,DP3534,IF($B$265=B$3325,DQ3534,IF($B$265=B$3326,DR3534,IF($B$265=B$3327,DS3534,IF($B$265=B$3328,DT3534,IF($B$265=B$3329,DU3534,IF($B$265=B$3330,DV3534,IF($B$265=B$3331,DW3534,IF($B$265=B$3332,DX3534,""))))))))))))))))))))))))))))))))))))))))))))))))))))</f>
        <v/>
      </c>
      <c r="BZ3535" s="245" t="s">
        <v>885</v>
      </c>
      <c r="CA3535" s="245" t="s">
        <v>885</v>
      </c>
      <c r="CC3535" s="245" t="s">
        <v>885</v>
      </c>
      <c r="CD3535" s="459" t="s">
        <v>885</v>
      </c>
      <c r="CE3535" s="459" t="s">
        <v>885</v>
      </c>
      <c r="CF3535" s="245" t="s">
        <v>885</v>
      </c>
      <c r="CG3535" s="245" t="s">
        <v>885</v>
      </c>
      <c r="CH3535" s="245" t="s">
        <v>885</v>
      </c>
      <c r="CI3535" s="245" t="s">
        <v>885</v>
      </c>
      <c r="CJ3535" s="459" t="s">
        <v>885</v>
      </c>
      <c r="CK3535" s="459" t="s">
        <v>885</v>
      </c>
      <c r="CL3535" s="459" t="s">
        <v>885</v>
      </c>
      <c r="CM3535" s="459" t="s">
        <v>885</v>
      </c>
      <c r="CN3535" s="459" t="s">
        <v>885</v>
      </c>
      <c r="CO3535" s="459" t="s">
        <v>885</v>
      </c>
      <c r="CP3535" s="459" t="s">
        <v>885</v>
      </c>
      <c r="CQ3535" s="459" t="s">
        <v>885</v>
      </c>
      <c r="CR3535" s="459" t="s">
        <v>885</v>
      </c>
      <c r="CS3535" s="459" t="s">
        <v>885</v>
      </c>
      <c r="CT3535" s="245" t="s">
        <v>885</v>
      </c>
      <c r="CU3535" s="463" t="s">
        <v>885</v>
      </c>
      <c r="CV3535" s="245" t="s">
        <v>885</v>
      </c>
      <c r="CW3535" s="245" t="s">
        <v>885</v>
      </c>
      <c r="CX3535" s="459" t="s">
        <v>885</v>
      </c>
      <c r="CY3535" s="459" t="s">
        <v>885</v>
      </c>
      <c r="CZ3535" s="459" t="s">
        <v>885</v>
      </c>
      <c r="DA3535" s="459" t="s">
        <v>885</v>
      </c>
      <c r="DB3535" s="459" t="s">
        <v>885</v>
      </c>
      <c r="DC3535" s="459" t="s">
        <v>885</v>
      </c>
      <c r="DD3535" s="459" t="s">
        <v>885</v>
      </c>
      <c r="DE3535" s="459" t="s">
        <v>885</v>
      </c>
      <c r="DF3535" s="459" t="s">
        <v>885</v>
      </c>
      <c r="DG3535" s="459" t="s">
        <v>885</v>
      </c>
      <c r="DH3535" s="459" t="s">
        <v>885</v>
      </c>
      <c r="DI3535" s="459" t="s">
        <v>885</v>
      </c>
      <c r="DJ3535" s="459" t="s">
        <v>885</v>
      </c>
      <c r="DK3535" s="459" t="s">
        <v>885</v>
      </c>
      <c r="DL3535" s="459" t="s">
        <v>885</v>
      </c>
      <c r="DM3535" s="459" t="s">
        <v>885</v>
      </c>
      <c r="DN3535" s="459" t="s">
        <v>885</v>
      </c>
      <c r="DO3535" s="459" t="s">
        <v>885</v>
      </c>
      <c r="DP3535" t="s">
        <v>3076</v>
      </c>
      <c r="DQ3535" s="459" t="s">
        <v>885</v>
      </c>
      <c r="DR3535" s="459" t="s">
        <v>885</v>
      </c>
      <c r="DS3535" s="459" t="s">
        <v>885</v>
      </c>
      <c r="DT3535" s="459" t="s">
        <v>885</v>
      </c>
      <c r="DU3535" s="459" t="s">
        <v>885</v>
      </c>
      <c r="DV3535" s="459" t="s">
        <v>885</v>
      </c>
      <c r="DW3535" s="459" t="s">
        <v>885</v>
      </c>
      <c r="DX3535" s="245" t="s">
        <v>885</v>
      </c>
      <c r="DY3535" s="245"/>
      <c r="DZ3535" s="470" t="str">
        <f t="shared" ref="DZ3535:DZ3557" si="188">IF($B$265=$B$3281,EB3535,IF($B$265=$B$3282,ED3535,IF($B$265=$B$3283,EF3535,IF($B$265=$B$3284,EH3535,IF($B$265=$B$3285,EJ3535,IF($B$265=$B$3286,EL3535,IF($B$265=$B$3287,EN3535,IF($B$265=$B$3288,EP3535,IF($B$265=$B$3289,ER3535,IF($B$265=$B$3290,ET3535,IF($B$265=$B$3291,EV3535,IF($B$265=$B$3292,EX3535,IF($B$265=$B$3293,EZ3535,IF($B$265=$B$3294,FB3535,IF($B$265=$B$3295,FD3535,IF($B$265=$B$3296,BU3535,IF($B$265=$B$3297,FF3535,IF($B$265=$B$3298,FH3535,IF($B$265=$B$3299,FJ3535,IF($B$265=$B$3300,FL3535,IF($B$265=$B$3301,FN3535,IF($B$265=$B$3302,FP3535,IF(BI$265=$B$3303,FR3535,IF($B$265=$B$3304,FT3535,IF($B$265=$B$3305,FV3535,IF($B$265=$B$3306,FX3535,IF($B$265=$B$3307,FZ3535,IF($B$265=$B$3308,GB3535,IF($B$265=$B$3309,GD3535,IF($B$265=$B$3310,GF3535,IF($B$265=$B$3311,GH3535,IF($B$265=$B$3312,GJ3535,IF($B$265=$B$3313,GL3535,IF($B$265=$B$3314,GN3535,IF($B$265=$B$3315,GP3535,IF($B$265=$B$3316,GR3535,IF($B$265=$B$3317,GT3535,IF($B$265=$B$3318,GV3535,IF($B$265=$B$3319,GX3535,IF($B$265=$B$3320,GZ3535,IF($B$265=$B$3321,HB3535,IF($B$265=$B$3322,HD3535,IF($B$265=$B$3323,HF3535,IF($B$265=$B$3324,HH3535,IF($B$265=$B$3325,HJ3535,IF($B$265=$B$3326,HL3535,IF($B$265=$B$3327,HN3535,IF($B$265=$B$3328,HP3535,IF($B$265=$B$3329,HR3535,IF($B$265=$B$3330,HT3535,IF($B$265=$B$3331,HV3535,IF($B$265=$B$3332,HX3535,""))))))))))))))))))))))))))))))))))))))))))))))))))))</f>
        <v/>
      </c>
      <c r="EA3535" s="470" t="str">
        <f t="shared" ref="EA3535:EA3557" si="189">IF($B$265=$B$3281,EC3535,IF($B$265=$B$3282,EE3535,IF($B$265=$B$3283,EG3535,IF($B$265=$B$3284,EI3535,IF($B$265=$B$3285,EK3535,IF($B$265=$B$3286,EM3535,IF($B$265=$B$3287,EO3535,IF($B$265=$B$3288,EQ3535,IF($B$265=$B$3289,ES3535,IF($B$265=$B$3290,EU3535,IF($B$265=$B$3291,EW3535,IF($B$265=$B$3292,EY3535,IF($B$265=$B$3293,FA3535,IF($B$265=$B$3294,FC3535,IF($B$265=$B$3295,FE3535,IF($B$265=$B$3296,BK3535,IF($B$265=$B$3297,FG3535,IF($B$265=$B$3298,FI3535,IF($B$265=$B$3299,FK3535,IF($B$265=$B$3300,FM3535,IF($B$265=$B$3301,FO3535,IF($B$265=$B$3302,FQ3535,IF(BJ$265=$B$3303,FS3535,IF($B$265=$B$3304,FU3535,IF($B$265=$B$3305,FW3535,IF($B$265=$B$3306,FY3535,IF($B$265=$B$3307,GA3535,IF($B$265=$B$3308,GC3535,IF($B$265=$B$3309,GE3535,IF($B$265=$B$3310,GG3535,IF($B$265=$B$3311,GI3535,IF($B$265=$B$3312,GK3535,IF($B$265=$B$3313,GM3535,IF($B$265=$B$3314,GO3535,IF($B$265=$B$3315,GQ3535,IF($B$265=$B$3316,GS3535,IF($B$265=$B$3317,GU3535,IF($B$265=$B$3318,GW3535,IF($B$265=$B$3319,GY3535,IF($B$265=$B$3320,HA3535,IF($B$265=$B$3321,HC3535,IF($B$265=$B$3322,HE3535,IF($B$265=$B$3323,HG3535,IF($B$265=$B$3324,HI3535,IF($B$265=$B$3325,HK3535,IF($B$265=$B$3326,HM3535,IF($B$265=$B$3327,HO3535,IF($B$265=$B$3328,HQ3535,IF($B$265=$B$3329,HS3535,IF($B$265=$B$3330,HU3535,IF($B$265=$B$3331,HW3535,IF($B$265=$B$3332,HY3535,""))))))))))))))))))))))))))))))))))))))))))))))))))))</f>
        <v/>
      </c>
      <c r="EB3535" s="459" t="s">
        <v>885</v>
      </c>
    </row>
    <row r="3536" spans="1:132" ht="16" hidden="1" x14ac:dyDescent="0.4">
      <c r="A3536" s="813"/>
      <c r="BS3536" s="464" t="str">
        <f>IF($B$265=B$3281,BZ3535,IF($B$265=B$3282,CA3535,IF($B$265=B$3283,CB3535,IF($B$265=B$3284,CC3535,IF($B$265=B$3285,CD3535,IF($B$265=B$3286,CE3535,IF($B$265=B$3287,CF3535,IF($B$265=B$3288,CG3535,IF($B$265=B$3289,CH3535,IF($B$265=B$3290,CI3535,IF($B$265=B$3291,CJ3535,IF($B$265=B$3292,CK3535,IF($B$265=B$3293,CL3535,IF($B$265=B$3294,CM3535,IF($B$265=B$3295,CN3535,IF($B$265=B$3296,#REF!,IF($B$265=B$3297,CO3535,IF($B$265=B$3298,CP3535,IF($B$265=B$3299,CQ3535,IF($B$265=B$3300,CR3535,IF($B$265=B$3301,CS3535,IF($B$265=B$3302,CT3535,IF(B$265=B$3303,CU3535,IF($B$265=B$3304,CV3535,IF($B$265=B$3305,CW3535,IF($B$265=B$3306,CX3535,IF($B$265=B$3307,CY3535,IF($B$265=B$3308,CZ3535,IF($B$265=B$3309,DA3535,IF($B$265=B$3310,DB3535,IF($B$265=B$3311,DC3535,IF($B$265=B$3312,DD3535,IF($B$265=B$3313,DE3535,IF($B$265=B$3314,DF3535,IF($B$265=B$3315,DG3535,IF($B$265=B$3316,DH3535,IF($B$265=B$3317,DI3535,IF($B$265=B$3318,DJ3535,IF($B$265=B$3319,DK3535,IF($B$265=B$3320,DL3535,IF($B$265=B$3321,DM3535,IF($B$265=B$3322,DN3535,IF($B$265=B$3323,DO3535,IF($B$265=B$3324,DP3535,IF($B$265=B$3325,DQ3535,IF($B$265=B$3326,DR3535,IF($B$265=B$3327,DS3535,IF($B$265=B$3328,DT3535,IF($B$265=B$3329,DU3535,IF($B$265=B$3330,DV3535,IF($B$265=B$3331,DW3535,IF($B$265=B$3332,DX3535,""))))))))))))))))))))))))))))))))))))))))))))))))))))</f>
        <v/>
      </c>
      <c r="BZ3536" s="245" t="s">
        <v>885</v>
      </c>
      <c r="CA3536" s="245" t="s">
        <v>885</v>
      </c>
      <c r="CC3536" s="245" t="s">
        <v>885</v>
      </c>
      <c r="CD3536" s="459" t="s">
        <v>885</v>
      </c>
      <c r="CE3536" s="459" t="s">
        <v>885</v>
      </c>
      <c r="CF3536" s="245" t="s">
        <v>885</v>
      </c>
      <c r="CG3536" s="245" t="s">
        <v>885</v>
      </c>
      <c r="CH3536" s="245" t="s">
        <v>885</v>
      </c>
      <c r="CI3536" s="245" t="s">
        <v>885</v>
      </c>
      <c r="CJ3536" s="459" t="s">
        <v>885</v>
      </c>
      <c r="CK3536" s="459" t="s">
        <v>885</v>
      </c>
      <c r="CL3536" s="459" t="s">
        <v>885</v>
      </c>
      <c r="CM3536" s="459" t="s">
        <v>885</v>
      </c>
      <c r="CN3536" s="459" t="s">
        <v>885</v>
      </c>
      <c r="CO3536" s="459" t="s">
        <v>885</v>
      </c>
      <c r="CP3536" s="459" t="s">
        <v>885</v>
      </c>
      <c r="CQ3536" s="459" t="s">
        <v>885</v>
      </c>
      <c r="CR3536" s="459" t="s">
        <v>885</v>
      </c>
      <c r="CS3536" s="459" t="s">
        <v>885</v>
      </c>
      <c r="CT3536" s="245" t="s">
        <v>885</v>
      </c>
      <c r="CU3536" s="463" t="s">
        <v>885</v>
      </c>
      <c r="CV3536" s="245" t="s">
        <v>885</v>
      </c>
      <c r="CW3536" s="245" t="s">
        <v>885</v>
      </c>
      <c r="CX3536" s="459" t="s">
        <v>885</v>
      </c>
      <c r="CY3536" s="459" t="s">
        <v>885</v>
      </c>
      <c r="CZ3536" s="459" t="s">
        <v>885</v>
      </c>
      <c r="DA3536" s="459" t="s">
        <v>885</v>
      </c>
      <c r="DB3536" s="459" t="s">
        <v>885</v>
      </c>
      <c r="DC3536" s="459" t="s">
        <v>885</v>
      </c>
      <c r="DD3536" s="459" t="s">
        <v>885</v>
      </c>
      <c r="DE3536" s="459" t="s">
        <v>885</v>
      </c>
      <c r="DF3536" s="459" t="s">
        <v>885</v>
      </c>
      <c r="DG3536" s="459" t="s">
        <v>885</v>
      </c>
      <c r="DH3536" s="459" t="s">
        <v>885</v>
      </c>
      <c r="DI3536" s="459" t="s">
        <v>885</v>
      </c>
      <c r="DJ3536" s="459" t="s">
        <v>885</v>
      </c>
      <c r="DK3536" s="459" t="s">
        <v>885</v>
      </c>
      <c r="DL3536" s="459" t="s">
        <v>885</v>
      </c>
      <c r="DM3536" s="459" t="s">
        <v>885</v>
      </c>
      <c r="DN3536" s="459" t="s">
        <v>885</v>
      </c>
      <c r="DO3536" s="459" t="s">
        <v>885</v>
      </c>
      <c r="DP3536" t="s">
        <v>3077</v>
      </c>
      <c r="DQ3536" s="459" t="s">
        <v>885</v>
      </c>
      <c r="DR3536" s="459" t="s">
        <v>885</v>
      </c>
      <c r="DS3536" s="459" t="s">
        <v>885</v>
      </c>
      <c r="DT3536" s="459" t="s">
        <v>885</v>
      </c>
      <c r="DU3536" s="459" t="s">
        <v>885</v>
      </c>
      <c r="DV3536" s="459" t="s">
        <v>885</v>
      </c>
      <c r="DW3536" s="459" t="s">
        <v>885</v>
      </c>
      <c r="DX3536" s="245" t="s">
        <v>885</v>
      </c>
      <c r="DY3536" s="245"/>
      <c r="DZ3536" s="470" t="str">
        <f t="shared" si="188"/>
        <v/>
      </c>
      <c r="EA3536" s="470" t="str">
        <f t="shared" si="189"/>
        <v/>
      </c>
      <c r="EB3536" s="459" t="s">
        <v>885</v>
      </c>
    </row>
    <row r="3537" spans="1:132" ht="16" hidden="1" x14ac:dyDescent="0.4">
      <c r="A3537" s="813"/>
      <c r="BS3537" s="464" t="str">
        <f>IF($B$265=B$3281,BZ3536,IF($B$265=B$3282,CA3536,IF($B$265=B$3283,CB3536,IF($B$265=B$3284,CC3536,IF($B$265=B$3285,CD3536,IF($B$265=B$3286,CE3536,IF($B$265=B$3287,CF3536,IF($B$265=B$3288,CG3536,IF($B$265=B$3289,CH3536,IF($B$265=B$3290,CI3536,IF($B$265=B$3291,CJ3536,IF($B$265=B$3292,CK3536,IF($B$265=B$3293,CL3536,IF($B$265=B$3294,CM3536,IF($B$265=B$3295,CN3536,IF($B$265=B$3296,#REF!,IF($B$265=B$3297,CO3536,IF($B$265=B$3298,CP3536,IF($B$265=B$3299,CQ3536,IF($B$265=B$3300,CR3536,IF($B$265=B$3301,CS3536,IF($B$265=B$3302,CT3536,IF(B$265=B$3303,CU3536,IF($B$265=B$3304,CV3536,IF($B$265=B$3305,CW3536,IF($B$265=B$3306,CX3536,IF($B$265=B$3307,CY3536,IF($B$265=B$3308,CZ3536,IF($B$265=B$3309,DA3536,IF($B$265=B$3310,DB3536,IF($B$265=B$3311,DC3536,IF($B$265=B$3312,DD3536,IF($B$265=B$3313,DE3536,IF($B$265=B$3314,DF3536,IF($B$265=B$3315,DG3536,IF($B$265=B$3316,DH3536,IF($B$265=B$3317,DI3536,IF($B$265=B$3318,DJ3536,IF($B$265=B$3319,DK3536,IF($B$265=B$3320,DL3536,IF($B$265=B$3321,DM3536,IF($B$265=B$3322,DN3536,IF($B$265=B$3323,DO3536,IF($B$265=B$3324,DP3536,IF($B$265=B$3325,DQ3536,IF($B$265=B$3326,DR3536,IF($B$265=B$3327,DS3536,IF($B$265=B$3328,DT3536,IF($B$265=B$3329,DU3536,IF($B$265=B$3330,DV3536,IF($B$265=B$3331,DW3536,IF($B$265=B$3332,DX3536,""))))))))))))))))))))))))))))))))))))))))))))))))))))</f>
        <v/>
      </c>
      <c r="BZ3537" s="245" t="s">
        <v>885</v>
      </c>
      <c r="CA3537" s="245" t="s">
        <v>885</v>
      </c>
      <c r="CC3537" s="245" t="s">
        <v>885</v>
      </c>
      <c r="CD3537" s="459" t="s">
        <v>885</v>
      </c>
      <c r="CE3537" s="459" t="s">
        <v>885</v>
      </c>
      <c r="CF3537" s="245" t="s">
        <v>885</v>
      </c>
      <c r="CG3537" s="245" t="s">
        <v>885</v>
      </c>
      <c r="CH3537" s="245" t="s">
        <v>885</v>
      </c>
      <c r="CI3537" s="245" t="s">
        <v>885</v>
      </c>
      <c r="CJ3537" s="459" t="s">
        <v>885</v>
      </c>
      <c r="CK3537" s="459" t="s">
        <v>885</v>
      </c>
      <c r="CL3537" s="459" t="s">
        <v>885</v>
      </c>
      <c r="CM3537" s="459" t="s">
        <v>885</v>
      </c>
      <c r="CN3537" s="459" t="s">
        <v>885</v>
      </c>
      <c r="CO3537" s="459" t="s">
        <v>885</v>
      </c>
      <c r="CP3537" s="459" t="s">
        <v>885</v>
      </c>
      <c r="CQ3537" s="459" t="s">
        <v>885</v>
      </c>
      <c r="CR3537" s="459" t="s">
        <v>885</v>
      </c>
      <c r="CS3537" s="459" t="s">
        <v>885</v>
      </c>
      <c r="CT3537" s="245" t="s">
        <v>885</v>
      </c>
      <c r="CU3537" s="463" t="s">
        <v>885</v>
      </c>
      <c r="CV3537" s="245" t="s">
        <v>885</v>
      </c>
      <c r="CW3537" s="245" t="s">
        <v>885</v>
      </c>
      <c r="CX3537" s="459" t="s">
        <v>885</v>
      </c>
      <c r="CY3537" s="459" t="s">
        <v>885</v>
      </c>
      <c r="CZ3537" s="459" t="s">
        <v>885</v>
      </c>
      <c r="DA3537" s="459" t="s">
        <v>885</v>
      </c>
      <c r="DB3537" s="459" t="s">
        <v>885</v>
      </c>
      <c r="DC3537" s="459" t="s">
        <v>885</v>
      </c>
      <c r="DD3537" s="459" t="s">
        <v>885</v>
      </c>
      <c r="DE3537" s="459" t="s">
        <v>885</v>
      </c>
      <c r="DF3537" s="459" t="s">
        <v>885</v>
      </c>
      <c r="DG3537" s="459" t="s">
        <v>885</v>
      </c>
      <c r="DH3537" s="459" t="s">
        <v>885</v>
      </c>
      <c r="DI3537" s="459" t="s">
        <v>885</v>
      </c>
      <c r="DJ3537" s="459" t="s">
        <v>885</v>
      </c>
      <c r="DK3537" s="459" t="s">
        <v>885</v>
      </c>
      <c r="DL3537" s="459" t="s">
        <v>885</v>
      </c>
      <c r="DM3537" s="459" t="s">
        <v>885</v>
      </c>
      <c r="DN3537" s="459" t="s">
        <v>885</v>
      </c>
      <c r="DO3537" s="459" t="s">
        <v>885</v>
      </c>
      <c r="DP3537" t="s">
        <v>3078</v>
      </c>
      <c r="DQ3537" s="459" t="s">
        <v>885</v>
      </c>
      <c r="DR3537" s="459" t="s">
        <v>885</v>
      </c>
      <c r="DS3537" s="459" t="s">
        <v>885</v>
      </c>
      <c r="DT3537" s="459" t="s">
        <v>885</v>
      </c>
      <c r="DU3537" s="459" t="s">
        <v>885</v>
      </c>
      <c r="DV3537" s="459" t="s">
        <v>885</v>
      </c>
      <c r="DW3537" s="459" t="s">
        <v>885</v>
      </c>
      <c r="DX3537" s="245" t="s">
        <v>885</v>
      </c>
      <c r="DY3537" s="245"/>
      <c r="DZ3537" s="470" t="str">
        <f t="shared" si="188"/>
        <v/>
      </c>
      <c r="EA3537" s="470" t="str">
        <f t="shared" si="189"/>
        <v/>
      </c>
      <c r="EB3537" s="459" t="s">
        <v>885</v>
      </c>
    </row>
    <row r="3538" spans="1:132" ht="16" hidden="1" x14ac:dyDescent="0.4">
      <c r="A3538" s="813"/>
      <c r="BS3538" s="464" t="str">
        <f>IF($B$265=B$3281,BZ3537,IF($B$265=B$3282,CA3537,IF($B$265=B$3283,CB3537,IF($B$265=B$3284,CC3537,IF($B$265=B$3285,CD3537,IF($B$265=B$3286,CE3537,IF($B$265=B$3287,CF3537,IF($B$265=B$3288,CG3537,IF($B$265=B$3289,CH3537,IF($B$265=B$3290,CI3537,IF($B$265=B$3291,CJ3537,IF($B$265=B$3292,CK3537,IF($B$265=B$3293,CL3537,IF($B$265=B$3294,CM3537,IF($B$265=B$3295,CN3537,IF($B$265=B$3296,#REF!,IF($B$265=B$3297,CO3537,IF($B$265=B$3298,CP3537,IF($B$265=B$3299,CQ3537,IF($B$265=B$3300,CR3537,IF($B$265=B$3301,CS3537,IF($B$265=B$3302,CT3537,IF(B$265=B$3303,CU3537,IF($B$265=B$3304,CV3537,IF($B$265=B$3305,CW3537,IF($B$265=B$3306,CX3537,IF($B$265=B$3307,CY3537,IF($B$265=B$3308,CZ3537,IF($B$265=B$3309,DA3537,IF($B$265=B$3310,DB3537,IF($B$265=B$3311,DC3537,IF($B$265=B$3312,DD3537,IF($B$265=B$3313,DE3537,IF($B$265=B$3314,DF3537,IF($B$265=B$3315,DG3537,IF($B$265=B$3316,DH3537,IF($B$265=B$3317,DI3537,IF($B$265=B$3318,DJ3537,IF($B$265=B$3319,DK3537,IF($B$265=B$3320,DL3537,IF($B$265=B$3321,DM3537,IF($B$265=B$3322,DN3537,IF($B$265=B$3323,DO3537,IF($B$265=B$3324,DP3537,IF($B$265=B$3325,DQ3537,IF($B$265=B$3326,DR3537,IF($B$265=B$3327,DS3537,IF($B$265=B$3328,DT3537,IF($B$265=B$3329,DU3537,IF($B$265=B$3330,DV3537,IF($B$265=B$3331,DW3537,IF($B$265=B$3332,DX3537,""))))))))))))))))))))))))))))))))))))))))))))))))))))</f>
        <v/>
      </c>
      <c r="BZ3538" s="245" t="s">
        <v>885</v>
      </c>
      <c r="CA3538" s="245" t="s">
        <v>885</v>
      </c>
      <c r="CC3538" s="245" t="s">
        <v>885</v>
      </c>
      <c r="CD3538" s="459" t="s">
        <v>885</v>
      </c>
      <c r="CE3538" s="459" t="s">
        <v>885</v>
      </c>
      <c r="CF3538" s="245" t="s">
        <v>885</v>
      </c>
      <c r="CG3538" s="245" t="s">
        <v>885</v>
      </c>
      <c r="CH3538" s="245" t="s">
        <v>885</v>
      </c>
      <c r="CI3538" s="245" t="s">
        <v>885</v>
      </c>
      <c r="CJ3538" s="459" t="s">
        <v>885</v>
      </c>
      <c r="CK3538" s="459" t="s">
        <v>885</v>
      </c>
      <c r="CL3538" s="459" t="s">
        <v>885</v>
      </c>
      <c r="CM3538" s="459" t="s">
        <v>885</v>
      </c>
      <c r="CN3538" s="459" t="s">
        <v>885</v>
      </c>
      <c r="CO3538" s="459" t="s">
        <v>885</v>
      </c>
      <c r="CP3538" s="459" t="s">
        <v>885</v>
      </c>
      <c r="CQ3538" s="459" t="s">
        <v>885</v>
      </c>
      <c r="CR3538" s="459" t="s">
        <v>885</v>
      </c>
      <c r="CS3538" s="459" t="s">
        <v>885</v>
      </c>
      <c r="CT3538" s="245" t="s">
        <v>885</v>
      </c>
      <c r="CU3538" s="463" t="s">
        <v>885</v>
      </c>
      <c r="CV3538" s="245" t="s">
        <v>885</v>
      </c>
      <c r="CW3538" s="245" t="s">
        <v>885</v>
      </c>
      <c r="CX3538" s="459" t="s">
        <v>885</v>
      </c>
      <c r="CY3538" s="459" t="s">
        <v>885</v>
      </c>
      <c r="CZ3538" s="459" t="s">
        <v>885</v>
      </c>
      <c r="DA3538" s="459" t="s">
        <v>885</v>
      </c>
      <c r="DB3538" s="459" t="s">
        <v>885</v>
      </c>
      <c r="DC3538" s="459" t="s">
        <v>885</v>
      </c>
      <c r="DD3538" s="459" t="s">
        <v>885</v>
      </c>
      <c r="DE3538" s="459" t="s">
        <v>885</v>
      </c>
      <c r="DF3538" s="459" t="s">
        <v>885</v>
      </c>
      <c r="DG3538" s="459" t="s">
        <v>885</v>
      </c>
      <c r="DH3538" s="459" t="s">
        <v>885</v>
      </c>
      <c r="DI3538" s="459" t="s">
        <v>885</v>
      </c>
      <c r="DJ3538" s="459" t="s">
        <v>885</v>
      </c>
      <c r="DK3538" s="459" t="s">
        <v>885</v>
      </c>
      <c r="DL3538" s="459" t="s">
        <v>885</v>
      </c>
      <c r="DM3538" s="459" t="s">
        <v>885</v>
      </c>
      <c r="DN3538" s="459" t="s">
        <v>885</v>
      </c>
      <c r="DO3538" s="459" t="s">
        <v>885</v>
      </c>
      <c r="DP3538" t="s">
        <v>3079</v>
      </c>
      <c r="DQ3538" s="459" t="s">
        <v>885</v>
      </c>
      <c r="DR3538" s="459" t="s">
        <v>885</v>
      </c>
      <c r="DS3538" s="459" t="s">
        <v>885</v>
      </c>
      <c r="DT3538" s="459" t="s">
        <v>885</v>
      </c>
      <c r="DU3538" s="459" t="s">
        <v>885</v>
      </c>
      <c r="DV3538" s="459" t="s">
        <v>885</v>
      </c>
      <c r="DW3538" s="459" t="s">
        <v>885</v>
      </c>
      <c r="DX3538" s="245" t="s">
        <v>885</v>
      </c>
      <c r="DY3538" s="245"/>
      <c r="DZ3538" s="470" t="str">
        <f t="shared" si="188"/>
        <v/>
      </c>
      <c r="EA3538" s="470" t="str">
        <f t="shared" si="189"/>
        <v/>
      </c>
      <c r="EB3538" s="459" t="s">
        <v>885</v>
      </c>
    </row>
    <row r="3539" spans="1:132" ht="16" hidden="1" x14ac:dyDescent="0.4">
      <c r="A3539" s="813"/>
      <c r="BS3539" s="464" t="str">
        <f>IF($B$265=B$3281,BZ3538,IF($B$265=B$3282,CA3538,IF($B$265=B$3283,CB3538,IF($B$265=B$3284,CC3538,IF($B$265=B$3285,CD3538,IF($B$265=B$3286,CE3538,IF($B$265=B$3287,CF3538,IF($B$265=B$3288,CG3538,IF($B$265=B$3289,CH3538,IF($B$265=B$3290,CI3538,IF($B$265=B$3291,CJ3538,IF($B$265=B$3292,CK3538,IF($B$265=B$3293,CL3538,IF($B$265=B$3294,CM3538,IF($B$265=B$3295,CN3538,IF($B$265=B$3296,#REF!,IF($B$265=B$3297,CO3538,IF($B$265=B$3298,CP3538,IF($B$265=B$3299,CQ3538,IF($B$265=B$3300,CR3538,IF($B$265=B$3301,CS3538,IF($B$265=B$3302,CT3538,IF(B$265=B$3303,CU3538,IF($B$265=B$3304,CV3538,IF($B$265=B$3305,CW3538,IF($B$265=B$3306,CX3538,IF($B$265=B$3307,CY3538,IF($B$265=B$3308,CZ3538,IF($B$265=B$3309,DA3538,IF($B$265=B$3310,DB3538,IF($B$265=B$3311,DC3538,IF($B$265=B$3312,DD3538,IF($B$265=B$3313,DE3538,IF($B$265=B$3314,DF3538,IF($B$265=B$3315,DG3538,IF($B$265=B$3316,DH3538,IF($B$265=B$3317,DI3538,IF($B$265=B$3318,DJ3538,IF($B$265=B$3319,DK3538,IF($B$265=B$3320,DL3538,IF($B$265=B$3321,DM3538,IF($B$265=B$3322,DN3538,IF($B$265=B$3323,DO3538,IF($B$265=B$3324,DP3538,IF($B$265=B$3325,DQ3538,IF($B$265=B$3326,DR3538,IF($B$265=B$3327,DS3538,IF($B$265=B$3328,DT3538,IF($B$265=B$3329,DU3538,IF($B$265=B$3330,DV3538,IF($B$265=B$3331,DW3538,IF($B$265=B$3332,DX3538,""))))))))))))))))))))))))))))))))))))))))))))))))))))</f>
        <v/>
      </c>
      <c r="BZ3539" s="245" t="s">
        <v>885</v>
      </c>
      <c r="CA3539" s="245" t="s">
        <v>885</v>
      </c>
      <c r="CC3539" s="245" t="s">
        <v>885</v>
      </c>
      <c r="CD3539" s="459" t="s">
        <v>885</v>
      </c>
      <c r="CE3539" s="459" t="s">
        <v>885</v>
      </c>
      <c r="CF3539" s="245" t="s">
        <v>885</v>
      </c>
      <c r="CG3539" s="245" t="s">
        <v>885</v>
      </c>
      <c r="CH3539" s="245" t="s">
        <v>885</v>
      </c>
      <c r="CI3539" s="245" t="s">
        <v>885</v>
      </c>
      <c r="CJ3539" s="459" t="s">
        <v>885</v>
      </c>
      <c r="CK3539" s="459" t="s">
        <v>885</v>
      </c>
      <c r="CL3539" s="459" t="s">
        <v>885</v>
      </c>
      <c r="CM3539" s="459" t="s">
        <v>885</v>
      </c>
      <c r="CN3539" s="459" t="s">
        <v>885</v>
      </c>
      <c r="CO3539" s="459" t="s">
        <v>885</v>
      </c>
      <c r="CP3539" s="459" t="s">
        <v>885</v>
      </c>
      <c r="CQ3539" s="459" t="s">
        <v>885</v>
      </c>
      <c r="CR3539" s="459" t="s">
        <v>885</v>
      </c>
      <c r="CS3539" s="459" t="s">
        <v>885</v>
      </c>
      <c r="CT3539" s="245" t="s">
        <v>885</v>
      </c>
      <c r="CU3539" s="463" t="s">
        <v>885</v>
      </c>
      <c r="CV3539" s="245" t="s">
        <v>885</v>
      </c>
      <c r="CW3539" s="245" t="s">
        <v>885</v>
      </c>
      <c r="CX3539" s="459" t="s">
        <v>885</v>
      </c>
      <c r="CY3539" s="459" t="s">
        <v>885</v>
      </c>
      <c r="CZ3539" s="459" t="s">
        <v>885</v>
      </c>
      <c r="DA3539" s="459" t="s">
        <v>885</v>
      </c>
      <c r="DB3539" s="459" t="s">
        <v>885</v>
      </c>
      <c r="DC3539" s="459" t="s">
        <v>885</v>
      </c>
      <c r="DD3539" s="459" t="s">
        <v>885</v>
      </c>
      <c r="DE3539" s="459" t="s">
        <v>885</v>
      </c>
      <c r="DF3539" s="459" t="s">
        <v>885</v>
      </c>
      <c r="DG3539" s="459" t="s">
        <v>885</v>
      </c>
      <c r="DH3539" s="459" t="s">
        <v>885</v>
      </c>
      <c r="DI3539" s="459" t="s">
        <v>885</v>
      </c>
      <c r="DJ3539" s="459" t="s">
        <v>885</v>
      </c>
      <c r="DK3539" s="459" t="s">
        <v>885</v>
      </c>
      <c r="DL3539" s="459" t="s">
        <v>885</v>
      </c>
      <c r="DM3539" s="459" t="s">
        <v>885</v>
      </c>
      <c r="DN3539" s="459" t="s">
        <v>885</v>
      </c>
      <c r="DO3539" s="459" t="s">
        <v>885</v>
      </c>
      <c r="DP3539" t="s">
        <v>1494</v>
      </c>
      <c r="DQ3539" s="459" t="s">
        <v>885</v>
      </c>
      <c r="DR3539" s="459" t="s">
        <v>885</v>
      </c>
      <c r="DS3539" s="459" t="s">
        <v>885</v>
      </c>
      <c r="DT3539" s="459" t="s">
        <v>885</v>
      </c>
      <c r="DU3539" s="459" t="s">
        <v>885</v>
      </c>
      <c r="DV3539" s="459" t="s">
        <v>885</v>
      </c>
      <c r="DW3539" s="459" t="s">
        <v>885</v>
      </c>
      <c r="DX3539" s="245" t="s">
        <v>885</v>
      </c>
      <c r="DY3539" s="245"/>
      <c r="DZ3539" s="470" t="str">
        <f t="shared" si="188"/>
        <v/>
      </c>
      <c r="EA3539" s="470" t="str">
        <f t="shared" si="189"/>
        <v/>
      </c>
      <c r="EB3539" s="459" t="s">
        <v>885</v>
      </c>
    </row>
    <row r="3540" spans="1:132" ht="16" hidden="1" x14ac:dyDescent="0.4">
      <c r="A3540" s="813"/>
      <c r="BS3540" s="464" t="str">
        <f>IF($B$265=B$3281,BZ3539,IF($B$265=B$3282,CA3539,IF($B$265=B$3283,CB3539,IF($B$265=B$3284,CC3539,IF($B$265=B$3285,CD3539,IF($B$265=B$3286,CE3539,IF($B$265=B$3287,CF3539,IF($B$265=B$3288,CG3539,IF($B$265=B$3289,CH3539,IF($B$265=B$3290,CI3539,IF($B$265=B$3291,CJ3539,IF($B$265=B$3292,CK3539,IF($B$265=B$3293,CL3539,IF($B$265=B$3294,CM3539,IF($B$265=B$3295,CN3539,IF($B$265=B$3296,#REF!,IF($B$265=B$3297,CO3539,IF($B$265=B$3298,CP3539,IF($B$265=B$3299,CQ3539,IF($B$265=B$3300,CR3539,IF($B$265=B$3301,CS3539,IF($B$265=B$3302,CT3539,IF(B$265=B$3303,CU3539,IF($B$265=B$3304,CV3539,IF($B$265=B$3305,CW3539,IF($B$265=B$3306,CX3539,IF($B$265=B$3307,CY3539,IF($B$265=B$3308,CZ3539,IF($B$265=B$3309,DA3539,IF($B$265=B$3310,DB3539,IF($B$265=B$3311,DC3539,IF($B$265=B$3312,DD3539,IF($B$265=B$3313,DE3539,IF($B$265=B$3314,DF3539,IF($B$265=B$3315,DG3539,IF($B$265=B$3316,DH3539,IF($B$265=B$3317,DI3539,IF($B$265=B$3318,DJ3539,IF($B$265=B$3319,DK3539,IF($B$265=B$3320,DL3539,IF($B$265=B$3321,DM3539,IF($B$265=B$3322,DN3539,IF($B$265=B$3323,DO3539,IF($B$265=B$3324,DP3539,IF($B$265=B$3325,DQ3539,IF($B$265=B$3326,DR3539,IF($B$265=B$3327,DS3539,IF($B$265=B$3328,DT3539,IF($B$265=B$3329,DU3539,IF($B$265=B$3330,DV3539,IF($B$265=B$3331,DW3539,IF($B$265=B$3332,DX3539,""))))))))))))))))))))))))))))))))))))))))))))))))))))</f>
        <v/>
      </c>
      <c r="BZ3540" s="245" t="s">
        <v>885</v>
      </c>
      <c r="CA3540" s="245" t="s">
        <v>885</v>
      </c>
      <c r="CC3540" s="245" t="s">
        <v>885</v>
      </c>
      <c r="CD3540" s="459" t="s">
        <v>885</v>
      </c>
      <c r="CE3540" s="459" t="s">
        <v>885</v>
      </c>
      <c r="CF3540" s="245" t="s">
        <v>885</v>
      </c>
      <c r="CG3540" s="245" t="s">
        <v>885</v>
      </c>
      <c r="CH3540" s="245" t="s">
        <v>885</v>
      </c>
      <c r="CI3540" s="245" t="s">
        <v>885</v>
      </c>
      <c r="CJ3540" s="459" t="s">
        <v>885</v>
      </c>
      <c r="CK3540" s="459" t="s">
        <v>885</v>
      </c>
      <c r="CL3540" s="459" t="s">
        <v>885</v>
      </c>
      <c r="CM3540" s="459" t="s">
        <v>885</v>
      </c>
      <c r="CN3540" s="459" t="s">
        <v>885</v>
      </c>
      <c r="CO3540" s="459" t="s">
        <v>885</v>
      </c>
      <c r="CP3540" s="459" t="s">
        <v>885</v>
      </c>
      <c r="CQ3540" s="459" t="s">
        <v>885</v>
      </c>
      <c r="CR3540" s="459" t="s">
        <v>885</v>
      </c>
      <c r="CS3540" s="459" t="s">
        <v>885</v>
      </c>
      <c r="CT3540" s="245" t="s">
        <v>885</v>
      </c>
      <c r="CU3540" s="463" t="s">
        <v>885</v>
      </c>
      <c r="CV3540" s="245" t="s">
        <v>885</v>
      </c>
      <c r="CW3540" s="245" t="s">
        <v>885</v>
      </c>
      <c r="CX3540" s="459" t="s">
        <v>885</v>
      </c>
      <c r="CY3540" s="459" t="s">
        <v>885</v>
      </c>
      <c r="CZ3540" s="459" t="s">
        <v>885</v>
      </c>
      <c r="DA3540" s="459" t="s">
        <v>885</v>
      </c>
      <c r="DB3540" s="459" t="s">
        <v>885</v>
      </c>
      <c r="DC3540" s="459" t="s">
        <v>885</v>
      </c>
      <c r="DD3540" s="459" t="s">
        <v>885</v>
      </c>
      <c r="DE3540" s="459" t="s">
        <v>885</v>
      </c>
      <c r="DF3540" s="459" t="s">
        <v>885</v>
      </c>
      <c r="DG3540" s="459" t="s">
        <v>885</v>
      </c>
      <c r="DH3540" s="459" t="s">
        <v>885</v>
      </c>
      <c r="DI3540" s="459" t="s">
        <v>885</v>
      </c>
      <c r="DJ3540" s="459" t="s">
        <v>885</v>
      </c>
      <c r="DK3540" s="459" t="s">
        <v>885</v>
      </c>
      <c r="DL3540" s="459" t="s">
        <v>885</v>
      </c>
      <c r="DM3540" s="459" t="s">
        <v>885</v>
      </c>
      <c r="DN3540" s="459" t="s">
        <v>885</v>
      </c>
      <c r="DO3540" s="459" t="s">
        <v>885</v>
      </c>
      <c r="DP3540" t="s">
        <v>3080</v>
      </c>
      <c r="DQ3540" s="459" t="s">
        <v>885</v>
      </c>
      <c r="DR3540" s="459" t="s">
        <v>885</v>
      </c>
      <c r="DS3540" s="459" t="s">
        <v>885</v>
      </c>
      <c r="DT3540" s="459" t="s">
        <v>885</v>
      </c>
      <c r="DU3540" s="459" t="s">
        <v>885</v>
      </c>
      <c r="DV3540" s="459" t="s">
        <v>885</v>
      </c>
      <c r="DW3540" s="459" t="s">
        <v>885</v>
      </c>
      <c r="DX3540" s="245" t="s">
        <v>885</v>
      </c>
      <c r="DY3540" s="245"/>
      <c r="DZ3540" s="470" t="str">
        <f t="shared" si="188"/>
        <v/>
      </c>
      <c r="EA3540" s="470" t="str">
        <f t="shared" si="189"/>
        <v/>
      </c>
      <c r="EB3540" s="459" t="s">
        <v>885</v>
      </c>
    </row>
    <row r="3541" spans="1:132" ht="16" hidden="1" x14ac:dyDescent="0.4">
      <c r="A3541" s="813"/>
      <c r="BS3541" s="464" t="str">
        <f>IF($B$265=B$3281,BZ3540,IF($B$265=B$3282,CA3540,IF($B$265=B$3283,CB3540,IF($B$265=B$3284,CC3540,IF($B$265=B$3285,CD3540,IF($B$265=B$3286,CE3540,IF($B$265=B$3287,CF3540,IF($B$265=B$3288,CG3540,IF($B$265=B$3289,CH3540,IF($B$265=B$3290,CI3540,IF($B$265=B$3291,CJ3540,IF($B$265=B$3292,CK3540,IF($B$265=B$3293,CL3540,IF($B$265=B$3294,CM3540,IF($B$265=B$3295,CN3540,IF($B$265=B$3296,#REF!,IF($B$265=B$3297,CO3540,IF($B$265=B$3298,CP3540,IF($B$265=B$3299,CQ3540,IF($B$265=B$3300,CR3540,IF($B$265=B$3301,CS3540,IF($B$265=B$3302,CT3540,IF(B$265=B$3303,CU3540,IF($B$265=B$3304,CV3540,IF($B$265=B$3305,CW3540,IF($B$265=B$3306,CX3540,IF($B$265=B$3307,CY3540,IF($B$265=B$3308,CZ3540,IF($B$265=B$3309,DA3540,IF($B$265=B$3310,DB3540,IF($B$265=B$3311,DC3540,IF($B$265=B$3312,DD3540,IF($B$265=B$3313,DE3540,IF($B$265=B$3314,DF3540,IF($B$265=B$3315,DG3540,IF($B$265=B$3316,DH3540,IF($B$265=B$3317,DI3540,IF($B$265=B$3318,DJ3540,IF($B$265=B$3319,DK3540,IF($B$265=B$3320,DL3540,IF($B$265=B$3321,DM3540,IF($B$265=B$3322,DN3540,IF($B$265=B$3323,DO3540,IF($B$265=B$3324,DP3540,IF($B$265=B$3325,DQ3540,IF($B$265=B$3326,DR3540,IF($B$265=B$3327,DS3540,IF($B$265=B$3328,DT3540,IF($B$265=B$3329,DU3540,IF($B$265=B$3330,DV3540,IF($B$265=B$3331,DW3540,IF($B$265=B$3332,DX3540,""))))))))))))))))))))))))))))))))))))))))))))))))))))</f>
        <v/>
      </c>
      <c r="BZ3541" s="245" t="s">
        <v>885</v>
      </c>
      <c r="CA3541" s="245" t="s">
        <v>885</v>
      </c>
      <c r="CC3541" s="245" t="s">
        <v>885</v>
      </c>
      <c r="CD3541" s="459" t="s">
        <v>885</v>
      </c>
      <c r="CE3541" s="459" t="s">
        <v>885</v>
      </c>
      <c r="CF3541" s="245" t="s">
        <v>885</v>
      </c>
      <c r="CG3541" s="245" t="s">
        <v>885</v>
      </c>
      <c r="CH3541" s="245" t="s">
        <v>885</v>
      </c>
      <c r="CI3541" s="245" t="s">
        <v>885</v>
      </c>
      <c r="CJ3541" s="459" t="s">
        <v>885</v>
      </c>
      <c r="CK3541" s="459" t="s">
        <v>885</v>
      </c>
      <c r="CL3541" s="459" t="s">
        <v>885</v>
      </c>
      <c r="CM3541" s="459" t="s">
        <v>885</v>
      </c>
      <c r="CN3541" s="459" t="s">
        <v>885</v>
      </c>
      <c r="CO3541" s="459" t="s">
        <v>885</v>
      </c>
      <c r="CP3541" s="459" t="s">
        <v>885</v>
      </c>
      <c r="CQ3541" s="459" t="s">
        <v>885</v>
      </c>
      <c r="CR3541" s="459" t="s">
        <v>885</v>
      </c>
      <c r="CS3541" s="459" t="s">
        <v>885</v>
      </c>
      <c r="CT3541" s="245" t="s">
        <v>885</v>
      </c>
      <c r="CU3541" s="463" t="s">
        <v>885</v>
      </c>
      <c r="CV3541" s="245" t="s">
        <v>885</v>
      </c>
      <c r="CW3541" s="245" t="s">
        <v>885</v>
      </c>
      <c r="CX3541" s="459" t="s">
        <v>885</v>
      </c>
      <c r="CY3541" s="459" t="s">
        <v>885</v>
      </c>
      <c r="CZ3541" s="459" t="s">
        <v>885</v>
      </c>
      <c r="DA3541" s="459" t="s">
        <v>885</v>
      </c>
      <c r="DB3541" s="459" t="s">
        <v>885</v>
      </c>
      <c r="DC3541" s="459" t="s">
        <v>885</v>
      </c>
      <c r="DD3541" s="459" t="s">
        <v>885</v>
      </c>
      <c r="DE3541" s="459" t="s">
        <v>885</v>
      </c>
      <c r="DF3541" s="459" t="s">
        <v>885</v>
      </c>
      <c r="DG3541" s="459" t="s">
        <v>885</v>
      </c>
      <c r="DH3541" s="459" t="s">
        <v>885</v>
      </c>
      <c r="DI3541" s="459" t="s">
        <v>885</v>
      </c>
      <c r="DJ3541" s="459" t="s">
        <v>885</v>
      </c>
      <c r="DK3541" s="459" t="s">
        <v>885</v>
      </c>
      <c r="DL3541" s="459" t="s">
        <v>885</v>
      </c>
      <c r="DM3541" s="459" t="s">
        <v>885</v>
      </c>
      <c r="DN3541" s="459" t="s">
        <v>885</v>
      </c>
      <c r="DO3541" s="459" t="s">
        <v>885</v>
      </c>
      <c r="DP3541" t="s">
        <v>2709</v>
      </c>
      <c r="DQ3541" s="459" t="s">
        <v>885</v>
      </c>
      <c r="DR3541" s="459" t="s">
        <v>885</v>
      </c>
      <c r="DS3541" s="459" t="s">
        <v>885</v>
      </c>
      <c r="DT3541" s="459" t="s">
        <v>885</v>
      </c>
      <c r="DU3541" s="459" t="s">
        <v>885</v>
      </c>
      <c r="DV3541" s="459" t="s">
        <v>885</v>
      </c>
      <c r="DW3541" s="459" t="s">
        <v>885</v>
      </c>
      <c r="DX3541" s="245" t="s">
        <v>885</v>
      </c>
      <c r="DY3541" s="245"/>
      <c r="DZ3541" s="470" t="str">
        <f t="shared" si="188"/>
        <v/>
      </c>
      <c r="EA3541" s="470" t="str">
        <f t="shared" si="189"/>
        <v/>
      </c>
      <c r="EB3541" s="459" t="s">
        <v>885</v>
      </c>
    </row>
    <row r="3542" spans="1:132" ht="16" hidden="1" x14ac:dyDescent="0.4">
      <c r="A3542" s="813"/>
      <c r="BS3542" s="464" t="str">
        <f>IF($B$265=B$3281,BZ3541,IF($B$265=B$3282,CA3541,IF($B$265=B$3283,CB3541,IF($B$265=B$3284,CC3541,IF($B$265=B$3285,CD3541,IF($B$265=B$3286,CE3541,IF($B$265=B$3287,CF3541,IF($B$265=B$3288,CG3541,IF($B$265=B$3289,CH3541,IF($B$265=B$3290,CI3541,IF($B$265=B$3291,CJ3541,IF($B$265=B$3292,CK3541,IF($B$265=B$3293,CL3541,IF($B$265=B$3294,CM3541,IF($B$265=B$3295,CN3541,IF($B$265=B$3296,C2974,IF($B$265=B$3297,CO3541,IF($B$265=B$3298,CP3541,IF($B$265=B$3299,CQ3541,IF($B$265=B$3300,CR3541,IF($B$265=B$3301,CS3541,IF($B$265=B$3302,CT3541,IF(B$265=B$3303,CU3541,IF($B$265=B$3304,CV3541,IF($B$265=B$3305,CW3541,IF($B$265=B$3306,CX3541,IF($B$265=B$3307,CY3541,IF($B$265=B$3308,CZ3541,IF($B$265=B$3309,DA3541,IF($B$265=B$3310,DB3541,IF($B$265=B$3311,DC3541,IF($B$265=B$3312,DD3541,IF($B$265=B$3313,DE3541,IF($B$265=B$3314,DF3541,IF($B$265=B$3315,DG3541,IF($B$265=B$3316,DH3541,IF($B$265=B$3317,DI3541,IF($B$265=B$3318,DJ3541,IF($B$265=B$3319,DK3541,IF($B$265=B$3320,DL3541,IF($B$265=B$3321,DM3541,IF($B$265=B$3322,DN3541,IF($B$265=B$3323,DO3541,IF($B$265=B$3324,DP3541,IF($B$265=B$3325,DQ3541,IF($B$265=B$3326,DR3541,IF($B$265=B$3327,DS3541,IF($B$265=B$3328,DT3541,IF($B$265=B$3329,DU3541,IF($B$265=B$3330,DV3541,IF($B$265=B$3331,DW3541,IF($B$265=B$3332,DX3541,""))))))))))))))))))))))))))))))))))))))))))))))))))))</f>
        <v/>
      </c>
      <c r="BZ3542" s="245" t="s">
        <v>885</v>
      </c>
      <c r="CA3542" s="245" t="s">
        <v>885</v>
      </c>
      <c r="CC3542" s="245" t="s">
        <v>885</v>
      </c>
      <c r="CD3542" s="459" t="s">
        <v>885</v>
      </c>
      <c r="CE3542" s="459" t="s">
        <v>885</v>
      </c>
      <c r="CF3542" s="245" t="s">
        <v>885</v>
      </c>
      <c r="CG3542" s="245" t="s">
        <v>885</v>
      </c>
      <c r="CH3542" s="245" t="s">
        <v>885</v>
      </c>
      <c r="CI3542" s="245" t="s">
        <v>885</v>
      </c>
      <c r="CJ3542" s="459" t="s">
        <v>885</v>
      </c>
      <c r="CK3542" s="459" t="s">
        <v>885</v>
      </c>
      <c r="CL3542" s="459" t="s">
        <v>885</v>
      </c>
      <c r="CM3542" s="459" t="s">
        <v>885</v>
      </c>
      <c r="CN3542" s="459" t="s">
        <v>885</v>
      </c>
      <c r="CO3542" s="459" t="s">
        <v>885</v>
      </c>
      <c r="CP3542" s="459" t="s">
        <v>885</v>
      </c>
      <c r="CQ3542" s="459" t="s">
        <v>885</v>
      </c>
      <c r="CR3542" s="459" t="s">
        <v>885</v>
      </c>
      <c r="CS3542" s="459" t="s">
        <v>885</v>
      </c>
      <c r="CT3542" s="245" t="s">
        <v>885</v>
      </c>
      <c r="CU3542" s="463" t="s">
        <v>885</v>
      </c>
      <c r="CV3542" s="245" t="s">
        <v>885</v>
      </c>
      <c r="CW3542" s="245" t="s">
        <v>885</v>
      </c>
      <c r="CX3542" s="459" t="s">
        <v>885</v>
      </c>
      <c r="CY3542" s="459" t="s">
        <v>885</v>
      </c>
      <c r="CZ3542" s="459" t="s">
        <v>885</v>
      </c>
      <c r="DA3542" s="459" t="s">
        <v>885</v>
      </c>
      <c r="DB3542" s="459" t="s">
        <v>885</v>
      </c>
      <c r="DC3542" s="459" t="s">
        <v>885</v>
      </c>
      <c r="DD3542" s="459" t="s">
        <v>885</v>
      </c>
      <c r="DE3542" s="459" t="s">
        <v>885</v>
      </c>
      <c r="DF3542" s="459" t="s">
        <v>885</v>
      </c>
      <c r="DG3542" s="459" t="s">
        <v>885</v>
      </c>
      <c r="DH3542" s="459" t="s">
        <v>885</v>
      </c>
      <c r="DI3542" s="459" t="s">
        <v>885</v>
      </c>
      <c r="DJ3542" s="459" t="s">
        <v>885</v>
      </c>
      <c r="DK3542" s="459" t="s">
        <v>885</v>
      </c>
      <c r="DL3542" s="459" t="s">
        <v>885</v>
      </c>
      <c r="DM3542" s="459" t="s">
        <v>885</v>
      </c>
      <c r="DN3542" s="459" t="s">
        <v>885</v>
      </c>
      <c r="DO3542" s="459" t="s">
        <v>885</v>
      </c>
      <c r="DP3542" t="s">
        <v>1495</v>
      </c>
      <c r="DQ3542" s="459" t="s">
        <v>885</v>
      </c>
      <c r="DR3542" s="459" t="s">
        <v>885</v>
      </c>
      <c r="DS3542" s="459" t="s">
        <v>885</v>
      </c>
      <c r="DT3542" s="459" t="s">
        <v>885</v>
      </c>
      <c r="DU3542" s="459" t="s">
        <v>885</v>
      </c>
      <c r="DV3542" s="459" t="s">
        <v>885</v>
      </c>
      <c r="DW3542" s="459" t="s">
        <v>885</v>
      </c>
      <c r="DX3542" s="245" t="s">
        <v>885</v>
      </c>
      <c r="DY3542" s="245"/>
      <c r="DZ3542" s="470" t="str">
        <f t="shared" si="188"/>
        <v/>
      </c>
      <c r="EA3542" s="470" t="str">
        <f t="shared" si="189"/>
        <v/>
      </c>
      <c r="EB3542" s="459" t="s">
        <v>885</v>
      </c>
    </row>
    <row r="3543" spans="1:132" ht="16" hidden="1" x14ac:dyDescent="0.4">
      <c r="A3543" s="813"/>
      <c r="BS3543" s="464" t="str">
        <f>IF($B$265=B$3281,BZ3542,IF($B$265=B$3282,CA3542,IF($B$265=B$3283,CB3542,IF($B$265=B$3284,CC3542,IF($B$265=B$3285,CD3542,IF($B$265=B$3286,CE3542,IF($B$265=B$3287,CF3542,IF($B$265=B$3288,CG3542,IF($B$265=B$3289,CH3542,IF($B$265=B$3290,CI3542,IF($B$265=B$3291,CJ3542,IF($B$265=B$3292,CK3542,IF($B$265=B$3293,CL3542,IF($B$265=B$3294,CM3542,IF($B$265=B$3295,CN3542,IF($B$265=B$3296,C2975,IF($B$265=B$3297,CO3542,IF($B$265=B$3298,CP3542,IF($B$265=B$3299,CQ3542,IF($B$265=B$3300,CR3542,IF($B$265=B$3301,CS3542,IF($B$265=B$3302,CT3542,IF(B$265=B$3303,CU3542,IF($B$265=B$3304,CV3542,IF($B$265=B$3305,CW3542,IF($B$265=B$3306,CX3542,IF($B$265=B$3307,CY3542,IF($B$265=B$3308,CZ3542,IF($B$265=B$3309,DA3542,IF($B$265=B$3310,DB3542,IF($B$265=B$3311,DC3542,IF($B$265=B$3312,DD3542,IF($B$265=B$3313,DE3542,IF($B$265=B$3314,DF3542,IF($B$265=B$3315,DG3542,IF($B$265=B$3316,DH3542,IF($B$265=B$3317,DI3542,IF($B$265=B$3318,DJ3542,IF($B$265=B$3319,DK3542,IF($B$265=B$3320,DL3542,IF($B$265=B$3321,DM3542,IF($B$265=B$3322,DN3542,IF($B$265=B$3323,DO3542,IF($B$265=B$3324,DP3542,IF($B$265=B$3325,DQ3542,IF($B$265=B$3326,DR3542,IF($B$265=B$3327,DS3542,IF($B$265=B$3328,DT3542,IF($B$265=B$3329,DU3542,IF($B$265=B$3330,DV3542,IF($B$265=B$3331,DW3542,IF($B$265=B$3332,DX3542,""))))))))))))))))))))))))))))))))))))))))))))))))))))</f>
        <v/>
      </c>
      <c r="BZ3543" s="245" t="s">
        <v>885</v>
      </c>
      <c r="CA3543" s="245" t="s">
        <v>885</v>
      </c>
      <c r="CC3543" s="245" t="s">
        <v>885</v>
      </c>
      <c r="CD3543" s="459" t="s">
        <v>885</v>
      </c>
      <c r="CE3543" s="459" t="s">
        <v>885</v>
      </c>
      <c r="CF3543" s="245" t="s">
        <v>885</v>
      </c>
      <c r="CG3543" s="245" t="s">
        <v>885</v>
      </c>
      <c r="CH3543" s="245" t="s">
        <v>885</v>
      </c>
      <c r="CI3543" s="245" t="s">
        <v>885</v>
      </c>
      <c r="CJ3543" s="459" t="s">
        <v>885</v>
      </c>
      <c r="CK3543" s="459" t="s">
        <v>885</v>
      </c>
      <c r="CL3543" s="459" t="s">
        <v>885</v>
      </c>
      <c r="CM3543" s="459" t="s">
        <v>885</v>
      </c>
      <c r="CN3543" s="459" t="s">
        <v>885</v>
      </c>
      <c r="CO3543" s="459" t="s">
        <v>885</v>
      </c>
      <c r="CP3543" s="459" t="s">
        <v>885</v>
      </c>
      <c r="CQ3543" s="459" t="s">
        <v>885</v>
      </c>
      <c r="CR3543" s="459" t="s">
        <v>885</v>
      </c>
      <c r="CS3543" s="459" t="s">
        <v>885</v>
      </c>
      <c r="CT3543" s="245" t="s">
        <v>885</v>
      </c>
      <c r="CU3543" s="463" t="s">
        <v>885</v>
      </c>
      <c r="CV3543" s="245" t="s">
        <v>885</v>
      </c>
      <c r="CW3543" s="245" t="s">
        <v>885</v>
      </c>
      <c r="CX3543" s="459" t="s">
        <v>885</v>
      </c>
      <c r="CY3543" s="459" t="s">
        <v>885</v>
      </c>
      <c r="CZ3543" s="459" t="s">
        <v>885</v>
      </c>
      <c r="DA3543" s="459" t="s">
        <v>885</v>
      </c>
      <c r="DB3543" s="459" t="s">
        <v>885</v>
      </c>
      <c r="DC3543" s="459" t="s">
        <v>885</v>
      </c>
      <c r="DD3543" s="459" t="s">
        <v>885</v>
      </c>
      <c r="DE3543" s="459" t="s">
        <v>885</v>
      </c>
      <c r="DF3543" s="459" t="s">
        <v>885</v>
      </c>
      <c r="DG3543" s="459" t="s">
        <v>885</v>
      </c>
      <c r="DH3543" s="459" t="s">
        <v>885</v>
      </c>
      <c r="DI3543" s="459" t="s">
        <v>885</v>
      </c>
      <c r="DJ3543" s="459" t="s">
        <v>885</v>
      </c>
      <c r="DK3543" s="459" t="s">
        <v>885</v>
      </c>
      <c r="DL3543" s="459" t="s">
        <v>885</v>
      </c>
      <c r="DM3543" s="459" t="s">
        <v>885</v>
      </c>
      <c r="DN3543" s="459" t="s">
        <v>885</v>
      </c>
      <c r="DO3543" s="459" t="s">
        <v>885</v>
      </c>
      <c r="DP3543" t="s">
        <v>3081</v>
      </c>
      <c r="DQ3543" s="459" t="s">
        <v>885</v>
      </c>
      <c r="DR3543" s="459" t="s">
        <v>885</v>
      </c>
      <c r="DS3543" s="459" t="s">
        <v>885</v>
      </c>
      <c r="DT3543" s="459" t="s">
        <v>885</v>
      </c>
      <c r="DU3543" s="459" t="s">
        <v>885</v>
      </c>
      <c r="DV3543" s="459" t="s">
        <v>885</v>
      </c>
      <c r="DW3543" s="459" t="s">
        <v>885</v>
      </c>
      <c r="DX3543" s="245" t="s">
        <v>885</v>
      </c>
      <c r="DY3543" s="245"/>
      <c r="DZ3543" s="470" t="str">
        <f t="shared" si="188"/>
        <v/>
      </c>
      <c r="EA3543" s="470" t="str">
        <f t="shared" si="189"/>
        <v/>
      </c>
      <c r="EB3543" s="459" t="s">
        <v>885</v>
      </c>
    </row>
    <row r="3544" spans="1:132" ht="16" hidden="1" x14ac:dyDescent="0.4">
      <c r="A3544" s="813"/>
      <c r="BS3544" s="464" t="str">
        <f>IF($B$265=B$3281,BZ3543,IF($B$265=B$3282,CA3543,IF($B$265=B$3283,CB3543,IF($B$265=B$3284,CC3543,IF($B$265=B$3285,CD3543,IF($B$265=B$3286,CE3543,IF($B$265=B$3287,CF3543,IF($B$265=B$3288,CG3543,IF($B$265=B$3289,CH3543,IF($B$265=B$3290,CI3543,IF($B$265=B$3291,CJ3543,IF($B$265=B$3292,CK3543,IF($B$265=B$3293,CL3543,IF($B$265=B$3294,CM3543,IF($B$265=B$3295,CN3543,IF($B$265=B$3296,C2976,IF($B$265=B$3297,CO3543,IF($B$265=B$3298,CP3543,IF($B$265=B$3299,CQ3543,IF($B$265=B$3300,CR3543,IF($B$265=B$3301,CS3543,IF($B$265=B$3302,CT3543,IF(B$265=B$3303,CU3543,IF($B$265=B$3304,CV3543,IF($B$265=B$3305,CW3543,IF($B$265=B$3306,CX3543,IF($B$265=B$3307,CY3543,IF($B$265=B$3308,CZ3543,IF($B$265=B$3309,DA3543,IF($B$265=B$3310,DB3543,IF($B$265=B$3311,DC3543,IF($B$265=B$3312,DD3543,IF($B$265=B$3313,DE3543,IF($B$265=B$3314,DF3543,IF($B$265=B$3315,DG3543,IF($B$265=B$3316,DH3543,IF($B$265=B$3317,DI3543,IF($B$265=B$3318,DJ3543,IF($B$265=B$3319,DK3543,IF($B$265=B$3320,DL3543,IF($B$265=B$3321,DM3543,IF($B$265=B$3322,DN3543,IF($B$265=B$3323,DO3543,IF($B$265=B$3324,DP3543,IF($B$265=B$3325,DQ3543,IF($B$265=B$3326,DR3543,IF($B$265=B$3327,DS3543,IF($B$265=B$3328,DT3543,IF($B$265=B$3329,DU3543,IF($B$265=B$3330,DV3543,IF($B$265=B$3331,DW3543,IF($B$265=B$3332,DX3543,""))))))))))))))))))))))))))))))))))))))))))))))))))))</f>
        <v/>
      </c>
      <c r="BZ3544" s="245" t="s">
        <v>885</v>
      </c>
      <c r="CA3544" s="245" t="s">
        <v>885</v>
      </c>
      <c r="CC3544" s="245" t="s">
        <v>885</v>
      </c>
      <c r="CD3544" s="459" t="s">
        <v>885</v>
      </c>
      <c r="CE3544" s="459" t="s">
        <v>885</v>
      </c>
      <c r="CF3544" s="245" t="s">
        <v>885</v>
      </c>
      <c r="CG3544" s="245" t="s">
        <v>885</v>
      </c>
      <c r="CH3544" s="245" t="s">
        <v>885</v>
      </c>
      <c r="CI3544" s="245" t="s">
        <v>885</v>
      </c>
      <c r="CJ3544" s="459" t="s">
        <v>885</v>
      </c>
      <c r="CK3544" s="459" t="s">
        <v>885</v>
      </c>
      <c r="CL3544" s="459" t="s">
        <v>885</v>
      </c>
      <c r="CM3544" s="459" t="s">
        <v>885</v>
      </c>
      <c r="CN3544" s="459" t="s">
        <v>885</v>
      </c>
      <c r="CO3544" s="459" t="s">
        <v>885</v>
      </c>
      <c r="CP3544" s="459" t="s">
        <v>885</v>
      </c>
      <c r="CQ3544" s="459" t="s">
        <v>885</v>
      </c>
      <c r="CR3544" s="459" t="s">
        <v>885</v>
      </c>
      <c r="CS3544" s="459" t="s">
        <v>885</v>
      </c>
      <c r="CT3544" s="245" t="s">
        <v>885</v>
      </c>
      <c r="CU3544" s="463" t="s">
        <v>885</v>
      </c>
      <c r="CV3544" s="245" t="s">
        <v>885</v>
      </c>
      <c r="CW3544" s="245" t="s">
        <v>885</v>
      </c>
      <c r="CX3544" s="459" t="s">
        <v>885</v>
      </c>
      <c r="CY3544" s="459" t="s">
        <v>885</v>
      </c>
      <c r="CZ3544" s="459" t="s">
        <v>885</v>
      </c>
      <c r="DA3544" s="459" t="s">
        <v>885</v>
      </c>
      <c r="DB3544" s="459" t="s">
        <v>885</v>
      </c>
      <c r="DC3544" s="459" t="s">
        <v>885</v>
      </c>
      <c r="DD3544" s="459" t="s">
        <v>885</v>
      </c>
      <c r="DE3544" s="459" t="s">
        <v>885</v>
      </c>
      <c r="DF3544" s="459" t="s">
        <v>885</v>
      </c>
      <c r="DG3544" s="459" t="s">
        <v>885</v>
      </c>
      <c r="DH3544" s="459" t="s">
        <v>885</v>
      </c>
      <c r="DI3544" s="459" t="s">
        <v>885</v>
      </c>
      <c r="DJ3544" s="459" t="s">
        <v>885</v>
      </c>
      <c r="DK3544" s="459" t="s">
        <v>885</v>
      </c>
      <c r="DL3544" s="459" t="s">
        <v>885</v>
      </c>
      <c r="DM3544" s="459" t="s">
        <v>885</v>
      </c>
      <c r="DN3544" s="459" t="s">
        <v>885</v>
      </c>
      <c r="DO3544" s="459" t="s">
        <v>885</v>
      </c>
      <c r="DP3544" t="s">
        <v>3082</v>
      </c>
      <c r="DQ3544" s="459" t="s">
        <v>885</v>
      </c>
      <c r="DR3544" s="459" t="s">
        <v>885</v>
      </c>
      <c r="DS3544" s="459" t="s">
        <v>885</v>
      </c>
      <c r="DT3544" s="459" t="s">
        <v>885</v>
      </c>
      <c r="DU3544" s="459" t="s">
        <v>885</v>
      </c>
      <c r="DV3544" s="459" t="s">
        <v>885</v>
      </c>
      <c r="DW3544" s="459" t="s">
        <v>885</v>
      </c>
      <c r="DX3544" s="245" t="s">
        <v>885</v>
      </c>
      <c r="DY3544" s="245"/>
      <c r="DZ3544" s="470" t="str">
        <f t="shared" si="188"/>
        <v/>
      </c>
      <c r="EA3544" s="470" t="str">
        <f t="shared" si="189"/>
        <v/>
      </c>
      <c r="EB3544" s="459" t="s">
        <v>885</v>
      </c>
    </row>
    <row r="3545" spans="1:132" ht="16" hidden="1" x14ac:dyDescent="0.4">
      <c r="A3545" s="813"/>
      <c r="BS3545" s="464" t="str">
        <f>IF($B$265=B$3281,BZ3544,IF($B$265=B$3282,CA3544,IF($B$265=B$3283,CB3544,IF($B$265=B$3284,CC3544,IF($B$265=B$3285,CD3544,IF($B$265=B$3286,CE3544,IF($B$265=B$3287,CF3544,IF($B$265=B$3288,CG3544,IF($B$265=B$3289,CH3544,IF($B$265=B$3290,CI3544,IF($B$265=B$3291,CJ3544,IF($B$265=B$3292,CK3544,IF($B$265=B$3293,CL3544,IF($B$265=B$3294,CM3544,IF($B$265=B$3295,CN3544,IF($B$265=B$3296,C2977,IF($B$265=B$3297,CO3544,IF($B$265=B$3298,CP3544,IF($B$265=B$3299,CQ3544,IF($B$265=B$3300,CR3544,IF($B$265=B$3301,CS3544,IF($B$265=B$3302,CT3544,IF(B$265=B$3303,CU3544,IF($B$265=B$3304,CV3544,IF($B$265=B$3305,CW3544,IF($B$265=B$3306,CX3544,IF($B$265=B$3307,CY3544,IF($B$265=B$3308,CZ3544,IF($B$265=B$3309,DA3544,IF($B$265=B$3310,DB3544,IF($B$265=B$3311,DC3544,IF($B$265=B$3312,DD3544,IF($B$265=B$3313,DE3544,IF($B$265=B$3314,DF3544,IF($B$265=B$3315,DG3544,IF($B$265=B$3316,DH3544,IF($B$265=B$3317,DI3544,IF($B$265=B$3318,DJ3544,IF($B$265=B$3319,DK3544,IF($B$265=B$3320,DL3544,IF($B$265=B$3321,DM3544,IF($B$265=B$3322,DN3544,IF($B$265=B$3323,DO3544,IF($B$265=B$3324,DP3544,IF($B$265=B$3325,DQ3544,IF($B$265=B$3326,DR3544,IF($B$265=B$3327,DS3544,IF($B$265=B$3328,DT3544,IF($B$265=B$3329,DU3544,IF($B$265=B$3330,DV3544,IF($B$265=B$3331,DW3544,IF($B$265=B$3332,DX3544,""))))))))))))))))))))))))))))))))))))))))))))))))))))</f>
        <v/>
      </c>
      <c r="BZ3545" s="245" t="s">
        <v>885</v>
      </c>
      <c r="CA3545" s="245" t="s">
        <v>885</v>
      </c>
      <c r="CC3545" s="245" t="s">
        <v>885</v>
      </c>
      <c r="CD3545" s="459" t="s">
        <v>885</v>
      </c>
      <c r="CE3545" s="459" t="s">
        <v>885</v>
      </c>
      <c r="CF3545" s="245" t="s">
        <v>885</v>
      </c>
      <c r="CG3545" s="245" t="s">
        <v>885</v>
      </c>
      <c r="CH3545" s="245" t="s">
        <v>885</v>
      </c>
      <c r="CI3545" s="245" t="s">
        <v>885</v>
      </c>
      <c r="CJ3545" s="459" t="s">
        <v>885</v>
      </c>
      <c r="CK3545" s="459" t="s">
        <v>885</v>
      </c>
      <c r="CL3545" s="459" t="s">
        <v>885</v>
      </c>
      <c r="CM3545" s="459" t="s">
        <v>885</v>
      </c>
      <c r="CN3545" s="459" t="s">
        <v>885</v>
      </c>
      <c r="CO3545" s="459" t="s">
        <v>885</v>
      </c>
      <c r="CP3545" s="459" t="s">
        <v>885</v>
      </c>
      <c r="CQ3545" s="459" t="s">
        <v>885</v>
      </c>
      <c r="CR3545" s="459" t="s">
        <v>885</v>
      </c>
      <c r="CS3545" s="459" t="s">
        <v>885</v>
      </c>
      <c r="CT3545" s="245" t="s">
        <v>885</v>
      </c>
      <c r="CU3545" s="463" t="s">
        <v>885</v>
      </c>
      <c r="CV3545" s="245" t="s">
        <v>885</v>
      </c>
      <c r="CW3545" s="245" t="s">
        <v>885</v>
      </c>
      <c r="CX3545" s="459" t="s">
        <v>885</v>
      </c>
      <c r="CY3545" s="459" t="s">
        <v>885</v>
      </c>
      <c r="CZ3545" s="459" t="s">
        <v>885</v>
      </c>
      <c r="DA3545" s="459" t="s">
        <v>885</v>
      </c>
      <c r="DB3545" s="459" t="s">
        <v>885</v>
      </c>
      <c r="DC3545" s="459" t="s">
        <v>885</v>
      </c>
      <c r="DD3545" s="459" t="s">
        <v>885</v>
      </c>
      <c r="DE3545" s="459" t="s">
        <v>885</v>
      </c>
      <c r="DF3545" s="459" t="s">
        <v>885</v>
      </c>
      <c r="DG3545" s="459" t="s">
        <v>885</v>
      </c>
      <c r="DH3545" s="459" t="s">
        <v>885</v>
      </c>
      <c r="DI3545" s="459" t="s">
        <v>885</v>
      </c>
      <c r="DJ3545" s="459" t="s">
        <v>885</v>
      </c>
      <c r="DK3545" s="459" t="s">
        <v>885</v>
      </c>
      <c r="DL3545" s="459" t="s">
        <v>885</v>
      </c>
      <c r="DM3545" s="459" t="s">
        <v>885</v>
      </c>
      <c r="DN3545" s="459" t="s">
        <v>885</v>
      </c>
      <c r="DO3545" s="459" t="s">
        <v>885</v>
      </c>
      <c r="DP3545" t="s">
        <v>1857</v>
      </c>
      <c r="DQ3545" s="459" t="s">
        <v>885</v>
      </c>
      <c r="DR3545" s="459" t="s">
        <v>885</v>
      </c>
      <c r="DS3545" s="459" t="s">
        <v>885</v>
      </c>
      <c r="DT3545" s="459" t="s">
        <v>885</v>
      </c>
      <c r="DU3545" s="459" t="s">
        <v>885</v>
      </c>
      <c r="DV3545" s="459" t="s">
        <v>885</v>
      </c>
      <c r="DW3545" s="459" t="s">
        <v>885</v>
      </c>
      <c r="DX3545" s="245" t="s">
        <v>885</v>
      </c>
      <c r="DY3545" s="245"/>
      <c r="DZ3545" s="470" t="str">
        <f t="shared" si="188"/>
        <v/>
      </c>
      <c r="EA3545" s="470" t="str">
        <f t="shared" si="189"/>
        <v/>
      </c>
      <c r="EB3545" s="459" t="s">
        <v>885</v>
      </c>
    </row>
    <row r="3546" spans="1:132" ht="16" hidden="1" x14ac:dyDescent="0.4">
      <c r="A3546" s="813"/>
      <c r="BS3546" s="464" t="str">
        <f t="shared" ref="BS3546:BS3551" si="190">IF($B$265=B$3281,BZ3545,IF($B$265=B$3282,CA3545,IF($B$265=B$3283,CB3545,IF($B$265=B$3284,CC3545,IF($B$265=B$3285,CD3545,IF($B$265=B$3286,CE3545,IF($B$265=B$3287,CF3545,IF($B$265=B$3288,CG3545,IF($B$265=B$3289,CH3545,IF($B$265=B$3290,CI3545,IF($B$265=B$3291,CJ3545,IF($B$265=B$3292,CK3545,IF($B$265=B$3293,CL3545,IF($B$265=B$3294,CM3545,IF($B$265=B$3295,CN3545,IF($B$265=B$3296,C3545,IF($B$265=B$3297,CO3545,IF($B$265=B$3298,CP3545,IF($B$265=B$3299,CQ3545,IF($B$265=B$3300,CR3545,IF($B$265=B$3301,CS3545,IF($B$265=B$3302,CT3545,IF(B$265=B$3303,CU3545,IF($B$265=B$3304,CV3545,IF($B$265=B$3305,CW3545,IF($B$265=B$3306,CX3545,IF($B$265=B$3307,CY3545,IF($B$265=B$3308,CZ3545,IF($B$265=B$3309,DA3545,IF($B$265=B$3310,DB3545,IF($B$265=B$3311,DC3545,IF($B$265=B$3312,DD3545,IF($B$265=B$3313,DE3545,IF($B$265=B$3314,DF3545,IF($B$265=B$3315,DG3545,IF($B$265=B$3316,DH3545,IF($B$265=B$3317,DI3545,IF($B$265=B$3318,DJ3545,IF($B$265=B$3319,DK3545,IF($B$265=B$3320,DL3545,IF($B$265=B$3321,DM3545,IF($B$265=B$3322,DN3545,IF($B$265=B$3323,DO3545,IF($B$265=B$3324,DP3545,IF($B$265=B$3325,DQ3545,IF($B$265=B$3326,DR3545,IF($B$265=B$3327,DS3545,IF($B$265=B$3328,DT3545,IF($B$265=B$3329,DU3545,IF($B$265=B$3330,DV3545,IF($B$265=B$3331,DW3545,IF($B$265=B$3332,DX3545,""))))))))))))))))))))))))))))))))))))))))))))))))))))</f>
        <v/>
      </c>
      <c r="BZ3546" s="245" t="s">
        <v>885</v>
      </c>
      <c r="CA3546" s="245" t="s">
        <v>885</v>
      </c>
      <c r="CC3546" s="245" t="s">
        <v>885</v>
      </c>
      <c r="CD3546" s="459" t="s">
        <v>885</v>
      </c>
      <c r="CE3546" s="459" t="s">
        <v>885</v>
      </c>
      <c r="CF3546" s="245" t="s">
        <v>885</v>
      </c>
      <c r="CG3546" s="245" t="s">
        <v>885</v>
      </c>
      <c r="CH3546" s="245" t="s">
        <v>885</v>
      </c>
      <c r="CI3546" s="245" t="s">
        <v>885</v>
      </c>
      <c r="CJ3546" s="459" t="s">
        <v>885</v>
      </c>
      <c r="CK3546" s="459" t="s">
        <v>885</v>
      </c>
      <c r="CL3546" s="459" t="s">
        <v>885</v>
      </c>
      <c r="CM3546" s="459" t="s">
        <v>885</v>
      </c>
      <c r="CN3546" s="459" t="s">
        <v>885</v>
      </c>
      <c r="CO3546" s="459" t="s">
        <v>885</v>
      </c>
      <c r="CP3546" s="459" t="s">
        <v>885</v>
      </c>
      <c r="CQ3546" s="459" t="s">
        <v>885</v>
      </c>
      <c r="CR3546" s="459" t="s">
        <v>885</v>
      </c>
      <c r="CS3546" s="459" t="s">
        <v>885</v>
      </c>
      <c r="CT3546" s="245" t="s">
        <v>885</v>
      </c>
      <c r="CU3546" s="463" t="s">
        <v>885</v>
      </c>
      <c r="CV3546" s="245" t="s">
        <v>885</v>
      </c>
      <c r="CW3546" s="245" t="s">
        <v>885</v>
      </c>
      <c r="CX3546" s="459" t="s">
        <v>885</v>
      </c>
      <c r="CY3546" s="459" t="s">
        <v>885</v>
      </c>
      <c r="CZ3546" s="459" t="s">
        <v>885</v>
      </c>
      <c r="DA3546" s="459" t="s">
        <v>885</v>
      </c>
      <c r="DB3546" s="459" t="s">
        <v>885</v>
      </c>
      <c r="DC3546" s="459" t="s">
        <v>885</v>
      </c>
      <c r="DD3546" s="459" t="s">
        <v>885</v>
      </c>
      <c r="DE3546" s="459" t="s">
        <v>885</v>
      </c>
      <c r="DF3546" s="459" t="s">
        <v>885</v>
      </c>
      <c r="DG3546" s="459" t="s">
        <v>885</v>
      </c>
      <c r="DH3546" s="459" t="s">
        <v>885</v>
      </c>
      <c r="DI3546" s="459" t="s">
        <v>885</v>
      </c>
      <c r="DJ3546" s="459" t="s">
        <v>885</v>
      </c>
      <c r="DK3546" s="459" t="s">
        <v>885</v>
      </c>
      <c r="DL3546" s="459" t="s">
        <v>885</v>
      </c>
      <c r="DM3546" s="459" t="s">
        <v>885</v>
      </c>
      <c r="DN3546" s="459" t="s">
        <v>885</v>
      </c>
      <c r="DO3546" s="459" t="s">
        <v>885</v>
      </c>
      <c r="DP3546" t="s">
        <v>2103</v>
      </c>
      <c r="DQ3546" s="459" t="s">
        <v>885</v>
      </c>
      <c r="DR3546" s="459" t="s">
        <v>885</v>
      </c>
      <c r="DS3546" s="459" t="s">
        <v>885</v>
      </c>
      <c r="DT3546" s="459" t="s">
        <v>885</v>
      </c>
      <c r="DU3546" s="459" t="s">
        <v>885</v>
      </c>
      <c r="DV3546" s="459" t="s">
        <v>885</v>
      </c>
      <c r="DW3546" s="459" t="s">
        <v>885</v>
      </c>
      <c r="DX3546" s="245" t="s">
        <v>885</v>
      </c>
      <c r="DY3546" s="245"/>
      <c r="DZ3546" s="470" t="str">
        <f t="shared" si="188"/>
        <v/>
      </c>
      <c r="EA3546" s="470" t="str">
        <f t="shared" si="189"/>
        <v/>
      </c>
      <c r="EB3546" s="459" t="s">
        <v>885</v>
      </c>
    </row>
    <row r="3547" spans="1:132" ht="16" hidden="1" x14ac:dyDescent="0.4">
      <c r="A3547" s="813"/>
      <c r="BS3547" s="464" t="str">
        <f t="shared" si="190"/>
        <v/>
      </c>
      <c r="BZ3547" s="245" t="s">
        <v>885</v>
      </c>
      <c r="CA3547" s="245" t="s">
        <v>885</v>
      </c>
      <c r="CC3547" s="245" t="s">
        <v>885</v>
      </c>
      <c r="CD3547" s="459" t="s">
        <v>885</v>
      </c>
      <c r="CE3547" s="459" t="s">
        <v>885</v>
      </c>
      <c r="CF3547" s="245" t="s">
        <v>885</v>
      </c>
      <c r="CG3547" s="245" t="s">
        <v>885</v>
      </c>
      <c r="CH3547" s="245" t="s">
        <v>885</v>
      </c>
      <c r="CI3547" s="245" t="s">
        <v>885</v>
      </c>
      <c r="CJ3547" s="459" t="s">
        <v>885</v>
      </c>
      <c r="CK3547" s="459" t="s">
        <v>885</v>
      </c>
      <c r="CL3547" s="459" t="s">
        <v>885</v>
      </c>
      <c r="CM3547" s="459" t="s">
        <v>885</v>
      </c>
      <c r="CN3547" s="459" t="s">
        <v>885</v>
      </c>
      <c r="CO3547" s="459" t="s">
        <v>885</v>
      </c>
      <c r="CP3547" s="459" t="s">
        <v>885</v>
      </c>
      <c r="CQ3547" s="459" t="s">
        <v>885</v>
      </c>
      <c r="CR3547" s="459" t="s">
        <v>885</v>
      </c>
      <c r="CS3547" s="459" t="s">
        <v>885</v>
      </c>
      <c r="CT3547" s="245" t="s">
        <v>885</v>
      </c>
      <c r="CU3547" s="463" t="s">
        <v>885</v>
      </c>
      <c r="CV3547" s="245" t="s">
        <v>885</v>
      </c>
      <c r="CW3547" s="245" t="s">
        <v>885</v>
      </c>
      <c r="CX3547" s="459" t="s">
        <v>885</v>
      </c>
      <c r="CY3547" s="459" t="s">
        <v>885</v>
      </c>
      <c r="CZ3547" s="459" t="s">
        <v>885</v>
      </c>
      <c r="DA3547" s="459" t="s">
        <v>885</v>
      </c>
      <c r="DB3547" s="459" t="s">
        <v>885</v>
      </c>
      <c r="DC3547" s="459" t="s">
        <v>885</v>
      </c>
      <c r="DD3547" s="459" t="s">
        <v>885</v>
      </c>
      <c r="DE3547" s="459" t="s">
        <v>885</v>
      </c>
      <c r="DF3547" s="459" t="s">
        <v>885</v>
      </c>
      <c r="DG3547" s="459" t="s">
        <v>885</v>
      </c>
      <c r="DH3547" s="459" t="s">
        <v>885</v>
      </c>
      <c r="DI3547" s="459" t="s">
        <v>885</v>
      </c>
      <c r="DJ3547" s="459" t="s">
        <v>885</v>
      </c>
      <c r="DK3547" s="459" t="s">
        <v>885</v>
      </c>
      <c r="DL3547" s="459" t="s">
        <v>885</v>
      </c>
      <c r="DM3547" s="459" t="s">
        <v>885</v>
      </c>
      <c r="DN3547" s="459" t="s">
        <v>885</v>
      </c>
      <c r="DO3547" s="459" t="s">
        <v>885</v>
      </c>
      <c r="DP3547" t="s">
        <v>3083</v>
      </c>
      <c r="DQ3547" s="459" t="s">
        <v>885</v>
      </c>
      <c r="DR3547" s="459" t="s">
        <v>885</v>
      </c>
      <c r="DS3547" s="459" t="s">
        <v>885</v>
      </c>
      <c r="DT3547" s="459" t="s">
        <v>885</v>
      </c>
      <c r="DU3547" s="459" t="s">
        <v>885</v>
      </c>
      <c r="DV3547" s="459" t="s">
        <v>885</v>
      </c>
      <c r="DW3547" s="459" t="s">
        <v>885</v>
      </c>
      <c r="DX3547" s="245" t="s">
        <v>885</v>
      </c>
      <c r="DY3547" s="245"/>
      <c r="DZ3547" s="470" t="str">
        <f t="shared" si="188"/>
        <v/>
      </c>
      <c r="EA3547" s="470" t="str">
        <f t="shared" si="189"/>
        <v/>
      </c>
      <c r="EB3547" s="459" t="s">
        <v>885</v>
      </c>
    </row>
    <row r="3548" spans="1:132" ht="16" hidden="1" x14ac:dyDescent="0.4">
      <c r="A3548" s="813"/>
      <c r="BS3548" s="464" t="str">
        <f t="shared" si="190"/>
        <v/>
      </c>
      <c r="BZ3548" s="245" t="s">
        <v>885</v>
      </c>
      <c r="CA3548" s="245" t="s">
        <v>885</v>
      </c>
      <c r="CC3548" s="245" t="s">
        <v>885</v>
      </c>
      <c r="CD3548" s="459" t="s">
        <v>885</v>
      </c>
      <c r="CE3548" s="459" t="s">
        <v>885</v>
      </c>
      <c r="CF3548" s="245" t="s">
        <v>885</v>
      </c>
      <c r="CG3548" s="245" t="s">
        <v>885</v>
      </c>
      <c r="CH3548" s="245" t="s">
        <v>885</v>
      </c>
      <c r="CI3548" s="245" t="s">
        <v>885</v>
      </c>
      <c r="CJ3548" s="459" t="s">
        <v>885</v>
      </c>
      <c r="CK3548" s="459" t="s">
        <v>885</v>
      </c>
      <c r="CL3548" s="459" t="s">
        <v>885</v>
      </c>
      <c r="CM3548" s="459" t="s">
        <v>885</v>
      </c>
      <c r="CN3548" s="459" t="s">
        <v>885</v>
      </c>
      <c r="CO3548" s="459" t="s">
        <v>885</v>
      </c>
      <c r="CP3548" s="459" t="s">
        <v>885</v>
      </c>
      <c r="CQ3548" s="459" t="s">
        <v>885</v>
      </c>
      <c r="CR3548" s="459" t="s">
        <v>885</v>
      </c>
      <c r="CS3548" s="459" t="s">
        <v>885</v>
      </c>
      <c r="CT3548" s="245" t="s">
        <v>885</v>
      </c>
      <c r="CU3548" s="463" t="s">
        <v>885</v>
      </c>
      <c r="CV3548" s="245" t="s">
        <v>885</v>
      </c>
      <c r="CW3548" s="245" t="s">
        <v>885</v>
      </c>
      <c r="CX3548" s="459" t="s">
        <v>885</v>
      </c>
      <c r="CY3548" s="459" t="s">
        <v>885</v>
      </c>
      <c r="CZ3548" s="459" t="s">
        <v>885</v>
      </c>
      <c r="DA3548" s="459" t="s">
        <v>885</v>
      </c>
      <c r="DB3548" s="459" t="s">
        <v>885</v>
      </c>
      <c r="DC3548" s="459" t="s">
        <v>885</v>
      </c>
      <c r="DD3548" s="459" t="s">
        <v>885</v>
      </c>
      <c r="DE3548" s="459" t="s">
        <v>885</v>
      </c>
      <c r="DF3548" s="459" t="s">
        <v>885</v>
      </c>
      <c r="DG3548" s="459" t="s">
        <v>885</v>
      </c>
      <c r="DH3548" s="459" t="s">
        <v>885</v>
      </c>
      <c r="DI3548" s="459" t="s">
        <v>885</v>
      </c>
      <c r="DJ3548" s="459" t="s">
        <v>885</v>
      </c>
      <c r="DK3548" s="459" t="s">
        <v>885</v>
      </c>
      <c r="DL3548" s="459" t="s">
        <v>885</v>
      </c>
      <c r="DM3548" s="459" t="s">
        <v>885</v>
      </c>
      <c r="DN3548" s="459" t="s">
        <v>885</v>
      </c>
      <c r="DO3548" s="459" t="s">
        <v>885</v>
      </c>
      <c r="DP3548" t="s">
        <v>3084</v>
      </c>
      <c r="DQ3548" s="459" t="s">
        <v>885</v>
      </c>
      <c r="DR3548" s="459" t="s">
        <v>885</v>
      </c>
      <c r="DS3548" s="459" t="s">
        <v>885</v>
      </c>
      <c r="DT3548" s="459" t="s">
        <v>885</v>
      </c>
      <c r="DU3548" s="459" t="s">
        <v>885</v>
      </c>
      <c r="DV3548" s="459" t="s">
        <v>885</v>
      </c>
      <c r="DW3548" s="459" t="s">
        <v>885</v>
      </c>
      <c r="DX3548" s="245" t="s">
        <v>885</v>
      </c>
      <c r="DY3548" s="245"/>
      <c r="DZ3548" s="470" t="str">
        <f t="shared" si="188"/>
        <v/>
      </c>
      <c r="EA3548" s="470" t="str">
        <f t="shared" si="189"/>
        <v/>
      </c>
      <c r="EB3548" s="459" t="s">
        <v>885</v>
      </c>
    </row>
    <row r="3549" spans="1:132" ht="16" hidden="1" x14ac:dyDescent="0.4">
      <c r="A3549" s="813"/>
      <c r="BS3549" s="464" t="str">
        <f t="shared" si="190"/>
        <v/>
      </c>
      <c r="BZ3549" s="245" t="s">
        <v>885</v>
      </c>
      <c r="CA3549" s="245" t="s">
        <v>885</v>
      </c>
      <c r="CC3549" s="245" t="s">
        <v>885</v>
      </c>
      <c r="CD3549" s="459" t="s">
        <v>885</v>
      </c>
      <c r="CE3549" s="459" t="s">
        <v>885</v>
      </c>
      <c r="CF3549" s="245" t="s">
        <v>885</v>
      </c>
      <c r="CG3549" s="245" t="s">
        <v>885</v>
      </c>
      <c r="CH3549" s="245" t="s">
        <v>885</v>
      </c>
      <c r="CI3549" s="245" t="s">
        <v>885</v>
      </c>
      <c r="CJ3549" s="459" t="s">
        <v>885</v>
      </c>
      <c r="CK3549" s="459" t="s">
        <v>885</v>
      </c>
      <c r="CL3549" s="459" t="s">
        <v>885</v>
      </c>
      <c r="CM3549" s="459" t="s">
        <v>885</v>
      </c>
      <c r="CN3549" s="459" t="s">
        <v>885</v>
      </c>
      <c r="CO3549" s="459" t="s">
        <v>885</v>
      </c>
      <c r="CP3549" s="459" t="s">
        <v>885</v>
      </c>
      <c r="CQ3549" s="459" t="s">
        <v>885</v>
      </c>
      <c r="CR3549" s="459" t="s">
        <v>885</v>
      </c>
      <c r="CS3549" s="459" t="s">
        <v>885</v>
      </c>
      <c r="CT3549" s="245" t="s">
        <v>885</v>
      </c>
      <c r="CU3549" s="463" t="s">
        <v>885</v>
      </c>
      <c r="CV3549" s="245" t="s">
        <v>885</v>
      </c>
      <c r="CW3549" s="245" t="s">
        <v>885</v>
      </c>
      <c r="CX3549" s="459" t="s">
        <v>885</v>
      </c>
      <c r="CY3549" s="459" t="s">
        <v>885</v>
      </c>
      <c r="CZ3549" s="459" t="s">
        <v>885</v>
      </c>
      <c r="DA3549" s="459" t="s">
        <v>885</v>
      </c>
      <c r="DB3549" s="459" t="s">
        <v>885</v>
      </c>
      <c r="DC3549" s="459" t="s">
        <v>885</v>
      </c>
      <c r="DD3549" s="459" t="s">
        <v>885</v>
      </c>
      <c r="DE3549" s="459" t="s">
        <v>885</v>
      </c>
      <c r="DF3549" s="459" t="s">
        <v>885</v>
      </c>
      <c r="DG3549" s="459" t="s">
        <v>885</v>
      </c>
      <c r="DH3549" s="459" t="s">
        <v>885</v>
      </c>
      <c r="DI3549" s="459" t="s">
        <v>885</v>
      </c>
      <c r="DJ3549" s="459" t="s">
        <v>885</v>
      </c>
      <c r="DK3549" s="459" t="s">
        <v>885</v>
      </c>
      <c r="DL3549" s="459" t="s">
        <v>885</v>
      </c>
      <c r="DM3549" s="459" t="s">
        <v>885</v>
      </c>
      <c r="DN3549" s="459" t="s">
        <v>885</v>
      </c>
      <c r="DO3549" s="459" t="s">
        <v>885</v>
      </c>
      <c r="DP3549" t="s">
        <v>1951</v>
      </c>
      <c r="DQ3549" s="459" t="s">
        <v>885</v>
      </c>
      <c r="DR3549" s="459" t="s">
        <v>885</v>
      </c>
      <c r="DS3549" s="459" t="s">
        <v>885</v>
      </c>
      <c r="DT3549" s="459" t="s">
        <v>885</v>
      </c>
      <c r="DU3549" s="459" t="s">
        <v>885</v>
      </c>
      <c r="DV3549" s="459" t="s">
        <v>885</v>
      </c>
      <c r="DW3549" s="459" t="s">
        <v>885</v>
      </c>
      <c r="DX3549" s="245" t="s">
        <v>885</v>
      </c>
      <c r="DY3549" s="245"/>
      <c r="DZ3549" s="470" t="str">
        <f t="shared" si="188"/>
        <v/>
      </c>
      <c r="EA3549" s="470" t="str">
        <f t="shared" si="189"/>
        <v/>
      </c>
      <c r="EB3549" s="459" t="s">
        <v>885</v>
      </c>
    </row>
    <row r="3550" spans="1:132" ht="16" hidden="1" x14ac:dyDescent="0.4">
      <c r="A3550" s="813"/>
      <c r="BS3550" s="464" t="str">
        <f t="shared" si="190"/>
        <v/>
      </c>
      <c r="BZ3550" s="245" t="s">
        <v>885</v>
      </c>
      <c r="CA3550" s="245" t="s">
        <v>885</v>
      </c>
      <c r="CC3550" s="245" t="s">
        <v>885</v>
      </c>
      <c r="CD3550" s="459" t="s">
        <v>885</v>
      </c>
      <c r="CE3550" s="459" t="s">
        <v>885</v>
      </c>
      <c r="CF3550" s="245" t="s">
        <v>885</v>
      </c>
      <c r="CG3550" s="245" t="s">
        <v>885</v>
      </c>
      <c r="CH3550" s="245" t="s">
        <v>885</v>
      </c>
      <c r="CI3550" s="245" t="s">
        <v>885</v>
      </c>
      <c r="CJ3550" s="459" t="s">
        <v>885</v>
      </c>
      <c r="CK3550" s="459" t="s">
        <v>885</v>
      </c>
      <c r="CL3550" s="459" t="s">
        <v>885</v>
      </c>
      <c r="CM3550" s="459" t="s">
        <v>885</v>
      </c>
      <c r="CN3550" s="459" t="s">
        <v>885</v>
      </c>
      <c r="CO3550" s="459" t="s">
        <v>885</v>
      </c>
      <c r="CP3550" s="459" t="s">
        <v>885</v>
      </c>
      <c r="CQ3550" s="459" t="s">
        <v>885</v>
      </c>
      <c r="CR3550" s="459" t="s">
        <v>885</v>
      </c>
      <c r="CS3550" s="459" t="s">
        <v>885</v>
      </c>
      <c r="CT3550" s="245" t="s">
        <v>885</v>
      </c>
      <c r="CU3550" s="463" t="s">
        <v>885</v>
      </c>
      <c r="CV3550" s="245" t="s">
        <v>885</v>
      </c>
      <c r="CW3550" s="245" t="s">
        <v>885</v>
      </c>
      <c r="CX3550" s="459" t="s">
        <v>885</v>
      </c>
      <c r="CY3550" s="459" t="s">
        <v>885</v>
      </c>
      <c r="CZ3550" s="459" t="s">
        <v>885</v>
      </c>
      <c r="DA3550" s="459" t="s">
        <v>885</v>
      </c>
      <c r="DB3550" s="459" t="s">
        <v>885</v>
      </c>
      <c r="DC3550" s="459" t="s">
        <v>885</v>
      </c>
      <c r="DD3550" s="459" t="s">
        <v>885</v>
      </c>
      <c r="DE3550" s="459" t="s">
        <v>885</v>
      </c>
      <c r="DF3550" s="459" t="s">
        <v>885</v>
      </c>
      <c r="DG3550" s="459" t="s">
        <v>885</v>
      </c>
      <c r="DH3550" s="459" t="s">
        <v>885</v>
      </c>
      <c r="DI3550" s="459" t="s">
        <v>885</v>
      </c>
      <c r="DJ3550" s="459" t="s">
        <v>885</v>
      </c>
      <c r="DK3550" s="459" t="s">
        <v>885</v>
      </c>
      <c r="DL3550" s="459" t="s">
        <v>885</v>
      </c>
      <c r="DM3550" s="459" t="s">
        <v>885</v>
      </c>
      <c r="DN3550" s="459" t="s">
        <v>885</v>
      </c>
      <c r="DO3550" s="459" t="s">
        <v>885</v>
      </c>
      <c r="DP3550" t="s">
        <v>2104</v>
      </c>
      <c r="DQ3550" s="459" t="s">
        <v>885</v>
      </c>
      <c r="DR3550" s="459" t="s">
        <v>885</v>
      </c>
      <c r="DS3550" s="459" t="s">
        <v>885</v>
      </c>
      <c r="DT3550" s="459" t="s">
        <v>885</v>
      </c>
      <c r="DU3550" s="459" t="s">
        <v>885</v>
      </c>
      <c r="DV3550" s="459" t="s">
        <v>885</v>
      </c>
      <c r="DW3550" s="459" t="s">
        <v>885</v>
      </c>
      <c r="DX3550" s="245" t="s">
        <v>885</v>
      </c>
      <c r="DY3550" s="245"/>
      <c r="DZ3550" s="470" t="str">
        <f t="shared" si="188"/>
        <v/>
      </c>
      <c r="EA3550" s="470" t="str">
        <f t="shared" si="189"/>
        <v/>
      </c>
      <c r="EB3550" s="459" t="s">
        <v>885</v>
      </c>
    </row>
    <row r="3551" spans="1:132" ht="16" hidden="1" x14ac:dyDescent="0.4">
      <c r="A3551" s="813"/>
      <c r="BB3551" s="48"/>
      <c r="BS3551" s="464" t="str">
        <f t="shared" si="190"/>
        <v/>
      </c>
      <c r="BZ3551" s="245" t="s">
        <v>885</v>
      </c>
      <c r="CA3551" s="245" t="s">
        <v>885</v>
      </c>
      <c r="CC3551" s="245" t="s">
        <v>885</v>
      </c>
      <c r="CD3551" s="459" t="s">
        <v>885</v>
      </c>
      <c r="CE3551" s="459" t="s">
        <v>885</v>
      </c>
      <c r="CF3551" s="245" t="s">
        <v>885</v>
      </c>
      <c r="CG3551" s="245" t="s">
        <v>885</v>
      </c>
      <c r="CH3551" s="245" t="s">
        <v>885</v>
      </c>
      <c r="CI3551" s="245" t="s">
        <v>885</v>
      </c>
      <c r="CJ3551" s="459" t="s">
        <v>885</v>
      </c>
      <c r="CK3551" s="459" t="s">
        <v>885</v>
      </c>
      <c r="CL3551" s="459" t="s">
        <v>885</v>
      </c>
      <c r="CM3551" s="459" t="s">
        <v>885</v>
      </c>
      <c r="CN3551" s="459" t="s">
        <v>885</v>
      </c>
      <c r="CO3551" s="459" t="s">
        <v>885</v>
      </c>
      <c r="CP3551" s="459" t="s">
        <v>885</v>
      </c>
      <c r="CQ3551" s="459" t="s">
        <v>885</v>
      </c>
      <c r="CR3551" s="459" t="s">
        <v>885</v>
      </c>
      <c r="CS3551" s="459" t="s">
        <v>885</v>
      </c>
      <c r="CT3551" s="245" t="s">
        <v>885</v>
      </c>
      <c r="CU3551" s="463" t="s">
        <v>885</v>
      </c>
      <c r="CV3551" s="245" t="s">
        <v>885</v>
      </c>
      <c r="CW3551" s="245" t="s">
        <v>885</v>
      </c>
      <c r="CX3551" s="459" t="s">
        <v>885</v>
      </c>
      <c r="CY3551" s="459" t="s">
        <v>885</v>
      </c>
      <c r="CZ3551" s="459" t="s">
        <v>885</v>
      </c>
      <c r="DA3551" s="459" t="s">
        <v>885</v>
      </c>
      <c r="DB3551" s="459" t="s">
        <v>885</v>
      </c>
      <c r="DC3551" s="459" t="s">
        <v>885</v>
      </c>
      <c r="DD3551" s="459" t="s">
        <v>885</v>
      </c>
      <c r="DE3551" s="459" t="s">
        <v>885</v>
      </c>
      <c r="DF3551" s="459" t="s">
        <v>885</v>
      </c>
      <c r="DG3551" s="459" t="s">
        <v>885</v>
      </c>
      <c r="DH3551" s="459" t="s">
        <v>885</v>
      </c>
      <c r="DI3551" s="459" t="s">
        <v>885</v>
      </c>
      <c r="DJ3551" s="459" t="s">
        <v>885</v>
      </c>
      <c r="DK3551" s="459" t="s">
        <v>885</v>
      </c>
      <c r="DL3551" s="459" t="s">
        <v>885</v>
      </c>
      <c r="DM3551" s="459" t="s">
        <v>885</v>
      </c>
      <c r="DN3551" s="459" t="s">
        <v>885</v>
      </c>
      <c r="DO3551" s="459" t="s">
        <v>885</v>
      </c>
      <c r="DP3551" t="s">
        <v>3085</v>
      </c>
      <c r="DQ3551" s="459" t="s">
        <v>885</v>
      </c>
      <c r="DR3551" s="459" t="s">
        <v>885</v>
      </c>
      <c r="DS3551" s="459" t="s">
        <v>885</v>
      </c>
      <c r="DT3551" s="459" t="s">
        <v>885</v>
      </c>
      <c r="DU3551" s="459" t="s">
        <v>885</v>
      </c>
      <c r="DV3551" s="459" t="s">
        <v>885</v>
      </c>
      <c r="DW3551" s="459" t="s">
        <v>885</v>
      </c>
      <c r="DX3551" s="245" t="s">
        <v>885</v>
      </c>
      <c r="DY3551" s="245"/>
      <c r="DZ3551" s="470" t="str">
        <f t="shared" si="188"/>
        <v/>
      </c>
      <c r="EA3551" s="470" t="str">
        <f t="shared" si="189"/>
        <v/>
      </c>
      <c r="EB3551" s="459" t="s">
        <v>885</v>
      </c>
    </row>
    <row r="3552" spans="1:132" ht="16" hidden="1" x14ac:dyDescent="0.4">
      <c r="A3552" s="813"/>
      <c r="BB3552" s="48"/>
      <c r="BS3552" s="464" t="str">
        <f>IF($B$265=B$3281,BZ3551,IF($B$265=B$3282,CA3551,IF($B$265=B$3283,CB3551,IF($B$265=B$3284,CC3551,IF($B$265=B$3285,CD3551,IF($B$265=B$3286,CE3551,IF($B$265=B$3287,CF3551,IF($B$265=B$3288,CG3551,IF($B$265=B$3289,CH3551,IF($B$265=B$3290,CI3551,IF($B$265=B$3291,CJ3551,IF($B$265=B$3292,CK3551,IF($B$265=B$3293,CL3551,IF($B$265=B$3294,CM3551,IF($B$265=B$3295,CN3551,IF($B$265=B$3296,D2968,IF($B$265=B$3297,CO3551,IF($B$265=B$3298,CP3551,IF($B$265=B$3299,CQ3551,IF($B$265=B$3300,CR3551,IF($B$265=B$3301,CS3551,IF($B$265=B$3302,CT3551,IF(B$265=B$3303,CU3551,IF($B$265=B$3304,CV3551,IF($B$265=B$3305,CW3551,IF($B$265=B$3306,CX3551,IF($B$265=B$3307,CY3551,IF($B$265=B$3308,CZ3551,IF($B$265=B$3309,DA3551,IF($B$265=B$3310,DB3551,IF($B$265=B$3311,DC3551,IF($B$265=B$3312,DD3551,IF($B$265=B$3313,DE3551,IF($B$265=B$3314,DF3551,IF($B$265=B$3315,DG3551,IF($B$265=B$3316,DH3551,IF($B$265=B$3317,DI3551,IF($B$265=B$3318,DJ3551,IF($B$265=B$3319,DK3551,IF($B$265=B$3320,DL3551,IF($B$265=B$3321,DM3551,IF($B$265=B$3322,DN3551,IF($B$265=B$3323,DO3551,IF($B$265=B$3324,DP3551,IF($B$265=B$3325,DQ3551,IF($B$265=B$3326,DR3551,IF($B$265=B$3327,DS3551,IF($B$265=B$3328,DT3551,IF($B$265=B$3329,DU3551,IF($B$265=B$3330,DV3551,IF($B$265=B$3331,DW3551,IF($B$265=B$3332,DX3551,""))))))))))))))))))))))))))))))))))))))))))))))))))))</f>
        <v/>
      </c>
      <c r="BZ3552" s="245" t="s">
        <v>885</v>
      </c>
      <c r="CA3552" s="245" t="s">
        <v>885</v>
      </c>
      <c r="CC3552" s="245" t="s">
        <v>885</v>
      </c>
      <c r="CD3552" s="459" t="s">
        <v>885</v>
      </c>
      <c r="CE3552" s="459" t="s">
        <v>885</v>
      </c>
      <c r="CF3552" s="245" t="s">
        <v>885</v>
      </c>
      <c r="CG3552" s="245" t="s">
        <v>885</v>
      </c>
      <c r="CH3552" s="245" t="s">
        <v>885</v>
      </c>
      <c r="CI3552" s="245" t="s">
        <v>885</v>
      </c>
      <c r="CJ3552" s="459" t="s">
        <v>885</v>
      </c>
      <c r="CK3552" s="459" t="s">
        <v>885</v>
      </c>
      <c r="CL3552" s="459" t="s">
        <v>885</v>
      </c>
      <c r="CM3552" s="459" t="s">
        <v>885</v>
      </c>
      <c r="CN3552" s="459" t="s">
        <v>885</v>
      </c>
      <c r="CO3552" s="459" t="s">
        <v>885</v>
      </c>
      <c r="CP3552" s="459" t="s">
        <v>885</v>
      </c>
      <c r="CQ3552" s="459" t="s">
        <v>885</v>
      </c>
      <c r="CR3552" s="459" t="s">
        <v>885</v>
      </c>
      <c r="CS3552" s="459" t="s">
        <v>885</v>
      </c>
      <c r="CT3552" s="245" t="s">
        <v>885</v>
      </c>
      <c r="CU3552" s="463" t="s">
        <v>885</v>
      </c>
      <c r="CV3552" s="245" t="s">
        <v>885</v>
      </c>
      <c r="CW3552" s="245" t="s">
        <v>885</v>
      </c>
      <c r="CX3552" s="459" t="s">
        <v>885</v>
      </c>
      <c r="CY3552" s="459" t="s">
        <v>885</v>
      </c>
      <c r="CZ3552" s="459" t="s">
        <v>885</v>
      </c>
      <c r="DA3552" s="459" t="s">
        <v>885</v>
      </c>
      <c r="DB3552" s="459" t="s">
        <v>885</v>
      </c>
      <c r="DC3552" s="459" t="s">
        <v>885</v>
      </c>
      <c r="DD3552" s="459" t="s">
        <v>885</v>
      </c>
      <c r="DE3552" s="459" t="s">
        <v>885</v>
      </c>
      <c r="DF3552" s="459" t="s">
        <v>885</v>
      </c>
      <c r="DG3552" s="459" t="s">
        <v>885</v>
      </c>
      <c r="DH3552" s="459" t="s">
        <v>885</v>
      </c>
      <c r="DI3552" s="459" t="s">
        <v>885</v>
      </c>
      <c r="DJ3552" s="459" t="s">
        <v>885</v>
      </c>
      <c r="DK3552" s="459" t="s">
        <v>885</v>
      </c>
      <c r="DL3552" s="459" t="s">
        <v>885</v>
      </c>
      <c r="DM3552" s="459" t="s">
        <v>885</v>
      </c>
      <c r="DN3552" s="459" t="s">
        <v>885</v>
      </c>
      <c r="DO3552" s="459" t="s">
        <v>885</v>
      </c>
      <c r="DP3552" t="s">
        <v>3086</v>
      </c>
      <c r="DQ3552" s="459" t="s">
        <v>885</v>
      </c>
      <c r="DR3552" s="459" t="s">
        <v>885</v>
      </c>
      <c r="DS3552" s="459" t="s">
        <v>885</v>
      </c>
      <c r="DT3552" s="459" t="s">
        <v>885</v>
      </c>
      <c r="DU3552" s="459" t="s">
        <v>885</v>
      </c>
      <c r="DV3552" s="459" t="s">
        <v>885</v>
      </c>
      <c r="DW3552" s="459" t="s">
        <v>885</v>
      </c>
      <c r="DX3552" s="245" t="s">
        <v>885</v>
      </c>
      <c r="DY3552" s="245"/>
      <c r="DZ3552" s="470" t="str">
        <f t="shared" si="188"/>
        <v/>
      </c>
      <c r="EA3552" s="470" t="str">
        <f t="shared" si="189"/>
        <v/>
      </c>
      <c r="EB3552" s="459" t="s">
        <v>885</v>
      </c>
    </row>
    <row r="3553" spans="1:233" ht="16" hidden="1" x14ac:dyDescent="0.4">
      <c r="A3553" s="813"/>
      <c r="BB3553" s="48"/>
      <c r="BS3553" s="464" t="str">
        <f>IF($B$265=B$3281,BZ3552,IF($B$265=B$3282,CA3552,IF($B$265=B$3283,CB3552,IF($B$265=B$3284,CC3552,IF($B$265=B$3285,CD3552,IF($B$265=B$3286,CE3552,IF($B$265=B$3287,CF3552,IF($B$265=B$3288,CG3552,IF($B$265=B$3289,CH3552,IF($B$265=B$3290,CI3552,IF($B$265=B$3291,CJ3552,IF($B$265=B$3292,CK3552,IF($B$265=B$3293,CL3552,IF($B$265=B$3294,CM3552,IF($B$265=B$3295,CN3552,IF($B$265=B$3296,D2969,IF($B$265=B$3297,CO3552,IF($B$265=B$3298,CP3552,IF($B$265=B$3299,CQ3552,IF($B$265=B$3300,CR3552,IF($B$265=B$3301,CS3552,IF($B$265=B$3302,CT3552,IF(B$265=B$3303,CU3552,IF($B$265=B$3304,CV3552,IF($B$265=B$3305,CW3552,IF($B$265=B$3306,CX3552,IF($B$265=B$3307,CY3552,IF($B$265=B$3308,CZ3552,IF($B$265=B$3309,DA3552,IF($B$265=B$3310,DB3552,IF($B$265=B$3311,DC3552,IF($B$265=B$3312,DD3552,IF($B$265=B$3313,DE3552,IF($B$265=B$3314,DF3552,IF($B$265=B$3315,DG3552,IF($B$265=B$3316,DH3552,IF($B$265=B$3317,DI3552,IF($B$265=B$3318,DJ3552,IF($B$265=B$3319,DK3552,IF($B$265=B$3320,DL3552,IF($B$265=B$3321,DM3552,IF($B$265=B$3322,DN3552,IF($B$265=B$3323,DO3552,IF($B$265=B$3324,DP3552,IF($B$265=B$3325,DQ3552,IF($B$265=B$3326,DR3552,IF($B$265=B$3327,DS3552,IF($B$265=B$3328,DT3552,IF($B$265=B$3329,DU3552,IF($B$265=B$3330,DV3552,IF($B$265=B$3331,DW3552,IF($B$265=B$3332,DX3552,""))))))))))))))))))))))))))))))))))))))))))))))))))))</f>
        <v/>
      </c>
      <c r="BZ3553" s="245" t="s">
        <v>885</v>
      </c>
      <c r="CA3553" s="245" t="s">
        <v>885</v>
      </c>
      <c r="CC3553" s="245" t="s">
        <v>885</v>
      </c>
      <c r="CD3553" s="459" t="s">
        <v>885</v>
      </c>
      <c r="CE3553" s="459" t="s">
        <v>885</v>
      </c>
      <c r="CF3553" s="245" t="s">
        <v>885</v>
      </c>
      <c r="CG3553" s="245" t="s">
        <v>885</v>
      </c>
      <c r="CH3553" s="245" t="s">
        <v>885</v>
      </c>
      <c r="CI3553" s="245" t="s">
        <v>885</v>
      </c>
      <c r="CJ3553" s="459" t="s">
        <v>885</v>
      </c>
      <c r="CK3553" s="459" t="s">
        <v>885</v>
      </c>
      <c r="CL3553" s="459" t="s">
        <v>885</v>
      </c>
      <c r="CM3553" s="459" t="s">
        <v>885</v>
      </c>
      <c r="CN3553" s="459" t="s">
        <v>885</v>
      </c>
      <c r="CO3553" s="459" t="s">
        <v>885</v>
      </c>
      <c r="CP3553" s="459" t="s">
        <v>885</v>
      </c>
      <c r="CQ3553" s="459" t="s">
        <v>885</v>
      </c>
      <c r="CR3553" s="459" t="s">
        <v>885</v>
      </c>
      <c r="CS3553" s="459" t="s">
        <v>885</v>
      </c>
      <c r="CT3553" s="245" t="s">
        <v>885</v>
      </c>
      <c r="CU3553" s="463" t="s">
        <v>885</v>
      </c>
      <c r="CV3553" s="245" t="s">
        <v>885</v>
      </c>
      <c r="CW3553" s="245" t="s">
        <v>885</v>
      </c>
      <c r="CX3553" s="459" t="s">
        <v>885</v>
      </c>
      <c r="CY3553" s="459" t="s">
        <v>885</v>
      </c>
      <c r="CZ3553" s="459" t="s">
        <v>885</v>
      </c>
      <c r="DA3553" s="459" t="s">
        <v>885</v>
      </c>
      <c r="DB3553" s="459" t="s">
        <v>885</v>
      </c>
      <c r="DC3553" s="459" t="s">
        <v>885</v>
      </c>
      <c r="DD3553" s="459" t="s">
        <v>885</v>
      </c>
      <c r="DE3553" s="459" t="s">
        <v>885</v>
      </c>
      <c r="DF3553" s="459" t="s">
        <v>885</v>
      </c>
      <c r="DG3553" s="459" t="s">
        <v>885</v>
      </c>
      <c r="DH3553" s="459" t="s">
        <v>885</v>
      </c>
      <c r="DI3553" s="459" t="s">
        <v>885</v>
      </c>
      <c r="DJ3553" s="459" t="s">
        <v>885</v>
      </c>
      <c r="DK3553" s="459" t="s">
        <v>885</v>
      </c>
      <c r="DL3553" s="459" t="s">
        <v>885</v>
      </c>
      <c r="DM3553" s="459" t="s">
        <v>885</v>
      </c>
      <c r="DN3553" s="459" t="s">
        <v>885</v>
      </c>
      <c r="DO3553" s="459" t="s">
        <v>885</v>
      </c>
      <c r="DP3553" t="s">
        <v>2744</v>
      </c>
      <c r="DQ3553" s="459" t="s">
        <v>885</v>
      </c>
      <c r="DR3553" s="459" t="s">
        <v>885</v>
      </c>
      <c r="DS3553" s="459" t="s">
        <v>885</v>
      </c>
      <c r="DT3553" s="459" t="s">
        <v>885</v>
      </c>
      <c r="DU3553" s="459" t="s">
        <v>885</v>
      </c>
      <c r="DV3553" s="459" t="s">
        <v>885</v>
      </c>
      <c r="DW3553" s="459" t="s">
        <v>885</v>
      </c>
      <c r="DX3553" s="245" t="s">
        <v>885</v>
      </c>
      <c r="DY3553" s="245"/>
      <c r="DZ3553" s="470" t="str">
        <f t="shared" si="188"/>
        <v/>
      </c>
      <c r="EA3553" s="470" t="str">
        <f t="shared" si="189"/>
        <v/>
      </c>
      <c r="EB3553" s="459" t="s">
        <v>885</v>
      </c>
    </row>
    <row r="3554" spans="1:233" ht="16" hidden="1" x14ac:dyDescent="0.4">
      <c r="A3554" s="813"/>
      <c r="BB3554" s="48"/>
      <c r="BS3554" s="464" t="str">
        <f>IF($B$265=B$3281,BZ3553,IF($B$265=B$3282,CA3553,IF($B$265=B$3283,CB3553,IF($B$265=B$3284,CC3553,IF($B$265=B$3285,CD3553,IF($B$265=B$3286,CE3553,IF($B$265=B$3287,CF3553,IF($B$265=B$3288,CG3553,IF($B$265=B$3289,CH3553,IF($B$265=B$3290,CI3553,IF($B$265=B$3291,CJ3553,IF($B$265=B$3292,CK3553,IF($B$265=B$3293,CL3553,IF($B$265=B$3294,CM3553,IF($B$265=B$3295,CN3553,IF($B$265=B$3296,D2970,IF($B$265=B$3297,CO3553,IF($B$265=B$3298,CP3553,IF($B$265=B$3299,CQ3553,IF($B$265=B$3300,CR3553,IF($B$265=B$3301,CS3553,IF($B$265=B$3302,CT3553,IF(B$265=B$3303,CU3553,IF($B$265=B$3304,CV3553,IF($B$265=B$3305,CW3553,IF($B$265=B$3306,CX3553,IF($B$265=B$3307,CY3553,IF($B$265=B$3308,CZ3553,IF($B$265=B$3309,DA3553,IF($B$265=B$3310,DB3553,IF($B$265=B$3311,DC3553,IF($B$265=B$3312,DD3553,IF($B$265=B$3313,DE3553,IF($B$265=B$3314,DF3553,IF($B$265=B$3315,DG3553,IF($B$265=B$3316,DH3553,IF($B$265=B$3317,DI3553,IF($B$265=B$3318,DJ3553,IF($B$265=B$3319,DK3553,IF($B$265=B$3320,DL3553,IF($B$265=B$3321,DM3553,IF($B$265=B$3322,DN3553,IF($B$265=B$3323,DO3553,IF($B$265=B$3324,DP3553,IF($B$265=B$3325,DQ3553,IF($B$265=B$3326,DR3553,IF($B$265=B$3327,DS3553,IF($B$265=B$3328,DT3553,IF($B$265=B$3329,DU3553,IF($B$265=B$3330,DV3553,IF($B$265=B$3331,DW3553,IF($B$265=B$3332,DX3553,""))))))))))))))))))))))))))))))))))))))))))))))))))))</f>
        <v/>
      </c>
      <c r="BZ3554" s="245" t="s">
        <v>885</v>
      </c>
      <c r="CA3554" s="245" t="s">
        <v>885</v>
      </c>
      <c r="CC3554" s="245" t="s">
        <v>885</v>
      </c>
      <c r="CD3554" s="459" t="s">
        <v>885</v>
      </c>
      <c r="CE3554" s="459" t="s">
        <v>885</v>
      </c>
      <c r="CF3554" s="245" t="s">
        <v>885</v>
      </c>
      <c r="CG3554" s="245" t="s">
        <v>885</v>
      </c>
      <c r="CH3554" s="245" t="s">
        <v>885</v>
      </c>
      <c r="CI3554" s="245" t="s">
        <v>885</v>
      </c>
      <c r="CJ3554" s="459" t="s">
        <v>885</v>
      </c>
      <c r="CK3554" s="459" t="s">
        <v>885</v>
      </c>
      <c r="CL3554" s="459" t="s">
        <v>885</v>
      </c>
      <c r="CM3554" s="459" t="s">
        <v>885</v>
      </c>
      <c r="CN3554" s="459" t="s">
        <v>885</v>
      </c>
      <c r="CO3554" s="459" t="s">
        <v>885</v>
      </c>
      <c r="CP3554" s="459" t="s">
        <v>885</v>
      </c>
      <c r="CQ3554" s="459" t="s">
        <v>885</v>
      </c>
      <c r="CR3554" s="459" t="s">
        <v>885</v>
      </c>
      <c r="CS3554" s="459" t="s">
        <v>885</v>
      </c>
      <c r="CT3554" s="245" t="s">
        <v>885</v>
      </c>
      <c r="CU3554" s="463" t="s">
        <v>885</v>
      </c>
      <c r="CV3554" s="245" t="s">
        <v>885</v>
      </c>
      <c r="CW3554" s="245" t="s">
        <v>885</v>
      </c>
      <c r="CX3554" s="459" t="s">
        <v>885</v>
      </c>
      <c r="CY3554" s="459" t="s">
        <v>885</v>
      </c>
      <c r="CZ3554" s="459" t="s">
        <v>885</v>
      </c>
      <c r="DA3554" s="459" t="s">
        <v>885</v>
      </c>
      <c r="DB3554" s="459" t="s">
        <v>885</v>
      </c>
      <c r="DC3554" s="459" t="s">
        <v>885</v>
      </c>
      <c r="DD3554" s="459" t="s">
        <v>885</v>
      </c>
      <c r="DE3554" s="459" t="s">
        <v>885</v>
      </c>
      <c r="DF3554" s="459" t="s">
        <v>885</v>
      </c>
      <c r="DG3554" s="459" t="s">
        <v>885</v>
      </c>
      <c r="DH3554" s="459" t="s">
        <v>885</v>
      </c>
      <c r="DI3554" s="459" t="s">
        <v>885</v>
      </c>
      <c r="DJ3554" s="459" t="s">
        <v>885</v>
      </c>
      <c r="DK3554" s="459" t="s">
        <v>885</v>
      </c>
      <c r="DL3554" s="459" t="s">
        <v>885</v>
      </c>
      <c r="DM3554" s="459" t="s">
        <v>885</v>
      </c>
      <c r="DN3554" s="459" t="s">
        <v>885</v>
      </c>
      <c r="DO3554" s="459" t="s">
        <v>885</v>
      </c>
      <c r="DP3554" t="s">
        <v>3087</v>
      </c>
      <c r="DQ3554" s="459" t="s">
        <v>885</v>
      </c>
      <c r="DR3554" s="459" t="s">
        <v>885</v>
      </c>
      <c r="DS3554" s="459" t="s">
        <v>885</v>
      </c>
      <c r="DT3554" s="459" t="s">
        <v>885</v>
      </c>
      <c r="DU3554" s="459" t="s">
        <v>885</v>
      </c>
      <c r="DV3554" s="459" t="s">
        <v>885</v>
      </c>
      <c r="DW3554" s="459" t="s">
        <v>885</v>
      </c>
      <c r="DX3554" s="245" t="s">
        <v>885</v>
      </c>
      <c r="DY3554" s="245"/>
      <c r="DZ3554" s="470" t="str">
        <f t="shared" si="188"/>
        <v/>
      </c>
      <c r="EA3554" s="470" t="str">
        <f t="shared" si="189"/>
        <v/>
      </c>
      <c r="EB3554" s="459" t="s">
        <v>885</v>
      </c>
    </row>
    <row r="3555" spans="1:233" ht="16" hidden="1" x14ac:dyDescent="0.4">
      <c r="A3555" s="813"/>
      <c r="BB3555" s="48"/>
      <c r="BS3555" s="464" t="str">
        <f>IF($B$265=B$3281,BZ3554,IF($B$265=B$3282,CA3554,IF($B$265=B$3283,CB3554,IF($B$265=B$3284,CC3554,IF($B$265=B$3285,CD3554,IF($B$265=B$3286,CE3554,IF($B$265=B$3287,CF3554,IF($B$265=B$3288,CG3554,IF($B$265=B$3289,CH3554,IF($B$265=B$3290,CI3554,IF($B$265=B$3291,CJ3554,IF($B$265=B$3292,CK3554,IF($B$265=B$3293,CL3554,IF($B$265=B$3294,CM3554,IF($B$265=B$3295,CN3554,IF($B$265=B$3296,D2971,IF($B$265=B$3297,CO3554,IF($B$265=B$3298,CP3554,IF($B$265=B$3299,CQ3554,IF($B$265=B$3300,CR3554,IF($B$265=B$3301,CS3554,IF($B$265=B$3302,CT3554,IF(B$265=B$3303,CU3554,IF($B$265=B$3304,CV3554,IF($B$265=B$3305,CW3554,IF($B$265=B$3306,CX3554,IF($B$265=B$3307,CY3554,IF($B$265=B$3308,CZ3554,IF($B$265=B$3309,DA3554,IF($B$265=B$3310,DB3554,IF($B$265=B$3311,DC3554,IF($B$265=B$3312,DD3554,IF($B$265=B$3313,DE3554,IF($B$265=B$3314,DF3554,IF($B$265=B$3315,DG3554,IF($B$265=B$3316,DH3554,IF($B$265=B$3317,DI3554,IF($B$265=B$3318,DJ3554,IF($B$265=B$3319,DK3554,IF($B$265=B$3320,DL3554,IF($B$265=B$3321,DM3554,IF($B$265=B$3322,DN3554,IF($B$265=B$3323,DO3554,IF($B$265=B$3324,DP3554,IF($B$265=B$3325,DQ3554,IF($B$265=B$3326,DR3554,IF($B$265=B$3327,DS3554,IF($B$265=B$3328,DT3554,IF($B$265=B$3329,DU3554,IF($B$265=B$3330,DV3554,IF($B$265=B$3331,DW3554,IF($B$265=B$3332,DX3554,""))))))))))))))))))))))))))))))))))))))))))))))))))))</f>
        <v/>
      </c>
      <c r="BZ3555" s="245" t="s">
        <v>885</v>
      </c>
      <c r="CA3555" s="245" t="s">
        <v>885</v>
      </c>
      <c r="CC3555" s="245" t="s">
        <v>885</v>
      </c>
      <c r="CD3555" s="459" t="s">
        <v>885</v>
      </c>
      <c r="CE3555" s="459" t="s">
        <v>885</v>
      </c>
      <c r="CF3555" s="245" t="s">
        <v>885</v>
      </c>
      <c r="CG3555" s="245" t="s">
        <v>885</v>
      </c>
      <c r="CH3555" s="245" t="s">
        <v>885</v>
      </c>
      <c r="CI3555" s="245" t="s">
        <v>885</v>
      </c>
      <c r="CJ3555" s="459" t="s">
        <v>885</v>
      </c>
      <c r="CK3555" s="459" t="s">
        <v>885</v>
      </c>
      <c r="CL3555" s="459" t="s">
        <v>885</v>
      </c>
      <c r="CM3555" s="459" t="s">
        <v>885</v>
      </c>
      <c r="CN3555" s="459" t="s">
        <v>885</v>
      </c>
      <c r="CO3555" s="459" t="s">
        <v>885</v>
      </c>
      <c r="CP3555" s="459" t="s">
        <v>885</v>
      </c>
      <c r="CQ3555" s="459" t="s">
        <v>885</v>
      </c>
      <c r="CR3555" s="459" t="s">
        <v>885</v>
      </c>
      <c r="CS3555" s="459" t="s">
        <v>885</v>
      </c>
      <c r="CT3555" s="245" t="s">
        <v>885</v>
      </c>
      <c r="CU3555" s="463" t="s">
        <v>885</v>
      </c>
      <c r="CV3555" s="245" t="s">
        <v>885</v>
      </c>
      <c r="CW3555" s="245" t="s">
        <v>885</v>
      </c>
      <c r="CX3555" s="459" t="s">
        <v>885</v>
      </c>
      <c r="CY3555" s="459" t="s">
        <v>885</v>
      </c>
      <c r="CZ3555" s="459" t="s">
        <v>885</v>
      </c>
      <c r="DA3555" s="459" t="s">
        <v>885</v>
      </c>
      <c r="DB3555" s="459" t="s">
        <v>885</v>
      </c>
      <c r="DC3555" s="459" t="s">
        <v>885</v>
      </c>
      <c r="DD3555" s="459" t="s">
        <v>885</v>
      </c>
      <c r="DE3555" s="459" t="s">
        <v>885</v>
      </c>
      <c r="DF3555" s="459" t="s">
        <v>885</v>
      </c>
      <c r="DG3555" s="459" t="s">
        <v>885</v>
      </c>
      <c r="DH3555" s="459" t="s">
        <v>885</v>
      </c>
      <c r="DI3555" s="459" t="s">
        <v>885</v>
      </c>
      <c r="DJ3555" s="459" t="s">
        <v>885</v>
      </c>
      <c r="DK3555" s="459" t="s">
        <v>885</v>
      </c>
      <c r="DL3555" s="459" t="s">
        <v>885</v>
      </c>
      <c r="DM3555" s="459" t="s">
        <v>885</v>
      </c>
      <c r="DN3555" s="459" t="s">
        <v>885</v>
      </c>
      <c r="DO3555" s="459" t="s">
        <v>885</v>
      </c>
      <c r="DP3555" t="s">
        <v>3088</v>
      </c>
      <c r="DQ3555" s="459" t="s">
        <v>885</v>
      </c>
      <c r="DR3555" s="459" t="s">
        <v>885</v>
      </c>
      <c r="DS3555" s="459" t="s">
        <v>885</v>
      </c>
      <c r="DT3555" s="459" t="s">
        <v>885</v>
      </c>
      <c r="DU3555" s="459" t="s">
        <v>885</v>
      </c>
      <c r="DV3555" s="459" t="s">
        <v>885</v>
      </c>
      <c r="DW3555" s="459" t="s">
        <v>885</v>
      </c>
      <c r="DX3555" s="459" t="s">
        <v>885</v>
      </c>
      <c r="DY3555" s="459"/>
      <c r="DZ3555" s="470" t="str">
        <f t="shared" si="188"/>
        <v/>
      </c>
      <c r="EA3555" s="470" t="str">
        <f t="shared" si="189"/>
        <v/>
      </c>
      <c r="EB3555" s="459" t="s">
        <v>885</v>
      </c>
    </row>
    <row r="3556" spans="1:233" ht="16" hidden="1" x14ac:dyDescent="0.4">
      <c r="A3556" s="813"/>
      <c r="BS3556" s="464" t="str">
        <f>IF($B$265=B$3281,BZ3555,IF($B$265=B$3282,CA3555,IF($B$265=B$3283,CB3555,IF($B$265=B$3284,CC3555,IF($B$265=B$3285,CD3555,IF($B$265=B$3286,CE3555,IF($B$265=B$3287,CF3555,IF($B$265=B$3288,CG3555,IF($B$265=B$3289,CH3555,IF($B$265=B$3290,CI3555,IF($B$265=B$3291,CJ3555,IF($B$265=B$3292,CK3555,IF($B$265=B$3293,CL3555,IF($B$265=B$3294,CM3555,IF($B$265=B$3295,CN3555,IF($B$265=B$3296,D2972,IF($B$265=B$3297,CO3555,IF($B$265=B$3298,CP3555,IF($B$265=B$3299,CQ3555,IF($B$265=B$3300,CR3555,IF($B$265=B$3301,CS3555,IF($B$265=B$3302,CT3555,IF(B$265=B$3303,CU3555,IF($B$265=B$3304,CV3555,IF($B$265=B$3305,CW3555,IF($B$265=B$3306,CX3555,IF($B$265=B$3307,CY3555,IF($B$265=B$3308,CZ3555,IF($B$265=B$3309,DA3555,IF($B$265=B$3310,DB3555,IF($B$265=B$3311,DC3555,IF($B$265=B$3312,DD3555,IF($B$265=B$3313,DE3555,IF($B$265=B$3314,DF3555,IF($B$265=B$3315,DG3555,IF($B$265=B$3316,DH3555,IF($B$265=B$3317,DI3555,IF($B$265=B$3318,DJ3555,IF($B$265=B$3319,DK3555,IF($B$265=B$3320,DL3555,IF($B$265=B$3321,DM3555,IF($B$265=B$3322,DN3555,IF($B$265=B$3323,DO3555,IF($B$265=B$3324,DP3555,IF($B$265=B$3325,DQ3555,IF($B$265=B$3326,DR3555,IF($B$265=B$3327,DS3555,IF($B$265=B$3328,DT3555,IF($B$265=B$3329,DU3555,IF($B$265=B$3330,DV3555,IF($B$265=B$3331,DW3555,IF($B$265=B$3332,DX3555,""))))))))))))))))))))))))))))))))))))))))))))))))))))</f>
        <v/>
      </c>
      <c r="BZ3556" s="245" t="s">
        <v>885</v>
      </c>
      <c r="CA3556" s="245" t="s">
        <v>885</v>
      </c>
      <c r="CC3556" s="245" t="s">
        <v>885</v>
      </c>
      <c r="CD3556" s="459" t="s">
        <v>885</v>
      </c>
      <c r="CE3556" s="459" t="s">
        <v>885</v>
      </c>
      <c r="CF3556" s="245" t="s">
        <v>885</v>
      </c>
      <c r="CG3556" s="245" t="s">
        <v>885</v>
      </c>
      <c r="CH3556" s="245" t="s">
        <v>885</v>
      </c>
      <c r="CI3556" s="245" t="s">
        <v>885</v>
      </c>
      <c r="CJ3556" s="459" t="s">
        <v>885</v>
      </c>
      <c r="CK3556" s="459" t="s">
        <v>885</v>
      </c>
      <c r="CL3556" s="459" t="s">
        <v>885</v>
      </c>
      <c r="CM3556" s="459" t="s">
        <v>885</v>
      </c>
      <c r="CN3556" s="459" t="s">
        <v>885</v>
      </c>
      <c r="CO3556" s="459" t="s">
        <v>885</v>
      </c>
      <c r="CP3556" s="459" t="s">
        <v>885</v>
      </c>
      <c r="CQ3556" s="459" t="s">
        <v>885</v>
      </c>
      <c r="CR3556" s="459" t="s">
        <v>885</v>
      </c>
      <c r="CS3556" s="459" t="s">
        <v>885</v>
      </c>
      <c r="CT3556" s="245" t="s">
        <v>885</v>
      </c>
      <c r="CU3556" s="463" t="s">
        <v>885</v>
      </c>
      <c r="CV3556" s="245" t="s">
        <v>885</v>
      </c>
      <c r="CW3556" s="245" t="s">
        <v>885</v>
      </c>
      <c r="CX3556" s="459" t="s">
        <v>885</v>
      </c>
      <c r="CY3556" s="459" t="s">
        <v>885</v>
      </c>
      <c r="CZ3556" s="459" t="s">
        <v>885</v>
      </c>
      <c r="DA3556" s="459" t="s">
        <v>885</v>
      </c>
      <c r="DB3556" s="459" t="s">
        <v>885</v>
      </c>
      <c r="DC3556" s="459" t="s">
        <v>885</v>
      </c>
      <c r="DD3556" s="459" t="s">
        <v>885</v>
      </c>
      <c r="DE3556" s="459" t="s">
        <v>885</v>
      </c>
      <c r="DF3556" s="459" t="s">
        <v>885</v>
      </c>
      <c r="DG3556" s="459" t="s">
        <v>885</v>
      </c>
      <c r="DH3556" s="459" t="s">
        <v>885</v>
      </c>
      <c r="DI3556" s="459" t="s">
        <v>885</v>
      </c>
      <c r="DJ3556" s="459" t="s">
        <v>885</v>
      </c>
      <c r="DK3556" s="459" t="s">
        <v>885</v>
      </c>
      <c r="DL3556" s="459" t="s">
        <v>885</v>
      </c>
      <c r="DM3556" s="459" t="s">
        <v>885</v>
      </c>
      <c r="DN3556" s="459" t="s">
        <v>885</v>
      </c>
      <c r="DO3556" s="459" t="s">
        <v>885</v>
      </c>
      <c r="DP3556" t="s">
        <v>3089</v>
      </c>
      <c r="DQ3556" s="459" t="s">
        <v>885</v>
      </c>
      <c r="DR3556" s="459" t="s">
        <v>885</v>
      </c>
      <c r="DS3556" s="459" t="s">
        <v>885</v>
      </c>
      <c r="DT3556" s="459" t="s">
        <v>885</v>
      </c>
      <c r="DU3556" s="459" t="s">
        <v>885</v>
      </c>
      <c r="DV3556" s="459" t="s">
        <v>885</v>
      </c>
      <c r="DW3556" s="459" t="s">
        <v>885</v>
      </c>
      <c r="DX3556" s="459" t="s">
        <v>885</v>
      </c>
      <c r="DY3556" s="459"/>
      <c r="DZ3556" s="470" t="str">
        <f t="shared" si="188"/>
        <v/>
      </c>
      <c r="EA3556" s="470" t="str">
        <f t="shared" si="189"/>
        <v/>
      </c>
      <c r="EB3556" s="459" t="s">
        <v>885</v>
      </c>
    </row>
    <row r="3557" spans="1:233" ht="15" hidden="1" thickBot="1" x14ac:dyDescent="0.4">
      <c r="A3557" s="813"/>
      <c r="BS3557" s="464" t="str">
        <f>IF($B$265=B$3281,BZ3556,IF($B$265=B$3282,CA3556,IF($B$265=B$3283,CB3556,IF($B$265=B$3284,CC3556,IF($B$265=B$3285,CD3556,IF($B$265=B$3286,CE3556,IF($B$265=B$3287,CF3556,IF($B$265=B$3288,CG3556,IF($B$265=B$3289,CH3556,IF($B$265=B$3290,CI3556,IF($B$265=B$3291,CJ3556,IF($B$265=B$3292,CK3556,IF($B$265=B$3293,CL3556,IF($B$265=B$3294,CM3556,IF($B$265=B$3295,CN3556,IF($B$265=B$3296,C3556,IF($B$265=B$3297,CO3556,IF($B$265=B$3298,CP3556,IF($B$265=B$3299,CQ3556,IF($B$265=B$3300,CR3556,IF($B$265=B$3301,CS3556,IF($B$265=B$3302,CT3556,IF(B$265=B$3303,CU3556,IF($B$265=B$3304,CV3556,IF($B$265=B$3305,CW3556,IF($B$265=B$3306,CX3556,IF($B$265=B$3307,CY3556,IF($B$265=B$3308,CZ3556,IF($B$265=B$3309,DA3556,IF($B$265=B$3310,DB3556,IF($B$265=B$3311,DC3556,IF($B$265=B$3312,DD3556,IF($B$265=B$3313,DE3556,IF($B$265=B$3314,DF3556,IF($B$265=B$3315,DG3556,IF($B$265=B$3316,DH3556,IF($B$265=B$3317,DI3556,IF($B$265=B$3318,DJ3556,IF($B$265=B$3319,DK3556,IF($B$265=B$3320,DL3556,IF($B$265=B$3321,DM3556,IF($B$265=B$3322,DN3556,IF($B$265=B$3323,DO3556,IF($B$265=B$3324,DP3556,IF($B$265=B$3325,DQ3556,IF($B$265=B$3326,DR3556,IF($B$265=B$3327,DS3556,IF($B$265=B$3328,DT3556,IF($B$265=B$3329,DU3556,IF($B$265=B$3330,DV3556,IF($B$265=B$3331,DW3556,IF($B$265=B$3332,DX3556,""))))))))))))))))))))))))))))))))))))))))))))))))))))</f>
        <v/>
      </c>
      <c r="BT3557" s="458"/>
      <c r="BU3557" s="458"/>
      <c r="BV3557" s="458"/>
      <c r="BW3557" s="458"/>
      <c r="BX3557" s="458"/>
      <c r="BY3557" s="458"/>
      <c r="BZ3557" s="460" t="s">
        <v>885</v>
      </c>
      <c r="CA3557" s="460" t="s">
        <v>885</v>
      </c>
      <c r="CB3557" s="458"/>
      <c r="CC3557" s="460" t="s">
        <v>885</v>
      </c>
      <c r="CD3557" s="461" t="s">
        <v>885</v>
      </c>
      <c r="CE3557" s="461" t="s">
        <v>885</v>
      </c>
      <c r="CF3557" s="460" t="s">
        <v>885</v>
      </c>
      <c r="CG3557" s="460" t="s">
        <v>885</v>
      </c>
      <c r="CH3557" s="460" t="s">
        <v>885</v>
      </c>
      <c r="CI3557" s="460" t="s">
        <v>885</v>
      </c>
      <c r="CJ3557" s="461" t="s">
        <v>885</v>
      </c>
      <c r="CK3557" s="461" t="s">
        <v>885</v>
      </c>
      <c r="CL3557" s="461" t="s">
        <v>885</v>
      </c>
      <c r="CM3557" s="461" t="s">
        <v>885</v>
      </c>
      <c r="CN3557" s="460" t="s">
        <v>885</v>
      </c>
      <c r="CO3557" s="460" t="s">
        <v>885</v>
      </c>
      <c r="CP3557" s="460" t="s">
        <v>885</v>
      </c>
      <c r="CQ3557" s="460" t="s">
        <v>885</v>
      </c>
      <c r="CR3557" s="460" t="s">
        <v>885</v>
      </c>
      <c r="CS3557" s="460" t="s">
        <v>885</v>
      </c>
      <c r="CT3557" s="460" t="s">
        <v>885</v>
      </c>
      <c r="CU3557" s="460" t="s">
        <v>885</v>
      </c>
      <c r="CV3557" s="460" t="s">
        <v>885</v>
      </c>
      <c r="CW3557" s="460" t="s">
        <v>885</v>
      </c>
      <c r="CX3557" s="460" t="s">
        <v>885</v>
      </c>
      <c r="CY3557" s="460" t="s">
        <v>885</v>
      </c>
      <c r="CZ3557" s="460" t="s">
        <v>885</v>
      </c>
      <c r="DA3557" s="460" t="s">
        <v>885</v>
      </c>
      <c r="DB3557" s="460" t="s">
        <v>885</v>
      </c>
      <c r="DC3557" s="460" t="s">
        <v>885</v>
      </c>
      <c r="DD3557" s="460" t="s">
        <v>885</v>
      </c>
      <c r="DE3557" s="460" t="s">
        <v>885</v>
      </c>
      <c r="DF3557" s="460" t="s">
        <v>885</v>
      </c>
      <c r="DG3557" s="460" t="s">
        <v>885</v>
      </c>
      <c r="DH3557" s="460" t="s">
        <v>885</v>
      </c>
      <c r="DI3557" s="460" t="s">
        <v>885</v>
      </c>
      <c r="DJ3557" s="460" t="s">
        <v>885</v>
      </c>
      <c r="DK3557" s="460" t="s">
        <v>885</v>
      </c>
      <c r="DL3557" s="460" t="s">
        <v>885</v>
      </c>
      <c r="DM3557" s="460" t="s">
        <v>885</v>
      </c>
      <c r="DN3557" s="460" t="s">
        <v>885</v>
      </c>
      <c r="DO3557" s="460" t="s">
        <v>885</v>
      </c>
      <c r="DP3557" s="462" t="s">
        <v>3090</v>
      </c>
      <c r="DQ3557" s="460" t="s">
        <v>885</v>
      </c>
      <c r="DR3557" s="460" t="s">
        <v>885</v>
      </c>
      <c r="DS3557" s="460" t="s">
        <v>885</v>
      </c>
      <c r="DT3557" s="460" t="s">
        <v>885</v>
      </c>
      <c r="DU3557" s="460" t="s">
        <v>885</v>
      </c>
      <c r="DV3557" s="460" t="s">
        <v>885</v>
      </c>
      <c r="DW3557" s="460" t="s">
        <v>885</v>
      </c>
      <c r="DX3557" s="460" t="s">
        <v>885</v>
      </c>
      <c r="DY3557" s="245"/>
      <c r="DZ3557" s="472" t="str">
        <f t="shared" si="188"/>
        <v/>
      </c>
      <c r="EA3557" s="472" t="str">
        <f t="shared" si="189"/>
        <v/>
      </c>
      <c r="EB3557" s="460" t="s">
        <v>885</v>
      </c>
      <c r="EC3557" s="460" t="s">
        <v>885</v>
      </c>
      <c r="ED3557" s="460" t="s">
        <v>885</v>
      </c>
      <c r="EE3557" s="460" t="s">
        <v>885</v>
      </c>
      <c r="EF3557" s="460" t="s">
        <v>885</v>
      </c>
      <c r="EG3557" s="460" t="s">
        <v>885</v>
      </c>
      <c r="EH3557" s="460" t="s">
        <v>885</v>
      </c>
      <c r="EI3557" s="460" t="s">
        <v>885</v>
      </c>
      <c r="EJ3557" s="460" t="s">
        <v>885</v>
      </c>
      <c r="EK3557" s="460" t="s">
        <v>885</v>
      </c>
      <c r="EL3557" s="460" t="s">
        <v>885</v>
      </c>
      <c r="EM3557" s="460" t="s">
        <v>885</v>
      </c>
      <c r="EN3557" s="460" t="s">
        <v>885</v>
      </c>
      <c r="EO3557" s="460" t="s">
        <v>885</v>
      </c>
      <c r="EP3557" s="460" t="s">
        <v>885</v>
      </c>
      <c r="EQ3557" s="460" t="s">
        <v>885</v>
      </c>
      <c r="ER3557" s="460" t="s">
        <v>885</v>
      </c>
      <c r="ES3557" s="460" t="s">
        <v>885</v>
      </c>
      <c r="ET3557" s="460" t="s">
        <v>885</v>
      </c>
      <c r="EU3557" s="460" t="s">
        <v>885</v>
      </c>
      <c r="EV3557" s="460" t="s">
        <v>885</v>
      </c>
      <c r="EW3557" s="460" t="s">
        <v>885</v>
      </c>
      <c r="EX3557" s="460" t="s">
        <v>885</v>
      </c>
      <c r="EY3557" s="460" t="s">
        <v>885</v>
      </c>
      <c r="EZ3557" s="460" t="s">
        <v>885</v>
      </c>
      <c r="FA3557" s="460" t="s">
        <v>885</v>
      </c>
      <c r="FB3557" s="460" t="s">
        <v>885</v>
      </c>
      <c r="FC3557" s="460" t="s">
        <v>885</v>
      </c>
      <c r="FD3557" s="460" t="s">
        <v>885</v>
      </c>
      <c r="FE3557" s="460" t="s">
        <v>885</v>
      </c>
      <c r="FF3557" s="460" t="s">
        <v>885</v>
      </c>
      <c r="FG3557" s="460" t="s">
        <v>885</v>
      </c>
      <c r="FH3557" s="460" t="s">
        <v>885</v>
      </c>
      <c r="FI3557" s="460" t="s">
        <v>885</v>
      </c>
      <c r="FJ3557" s="460" t="s">
        <v>885</v>
      </c>
      <c r="FK3557" s="460" t="s">
        <v>885</v>
      </c>
      <c r="FL3557" s="460" t="s">
        <v>885</v>
      </c>
      <c r="FM3557" s="460" t="s">
        <v>885</v>
      </c>
      <c r="FN3557" s="460" t="s">
        <v>885</v>
      </c>
      <c r="FO3557" s="460" t="s">
        <v>885</v>
      </c>
      <c r="FP3557" s="460" t="s">
        <v>885</v>
      </c>
      <c r="FQ3557" s="460" t="s">
        <v>885</v>
      </c>
      <c r="FR3557" s="460" t="s">
        <v>885</v>
      </c>
      <c r="FS3557" s="460" t="s">
        <v>885</v>
      </c>
      <c r="FT3557" s="460" t="s">
        <v>885</v>
      </c>
      <c r="FU3557" s="460" t="s">
        <v>885</v>
      </c>
      <c r="FV3557" s="460" t="s">
        <v>885</v>
      </c>
      <c r="FW3557" s="460" t="s">
        <v>885</v>
      </c>
      <c r="FX3557" s="460" t="s">
        <v>885</v>
      </c>
      <c r="FY3557" s="460" t="s">
        <v>885</v>
      </c>
      <c r="FZ3557" s="460" t="s">
        <v>885</v>
      </c>
      <c r="GA3557" s="460" t="s">
        <v>885</v>
      </c>
      <c r="GB3557" s="460" t="s">
        <v>885</v>
      </c>
      <c r="GC3557" s="460" t="s">
        <v>885</v>
      </c>
      <c r="GD3557" s="460" t="s">
        <v>885</v>
      </c>
      <c r="GE3557" s="460" t="s">
        <v>885</v>
      </c>
      <c r="GF3557" s="460" t="s">
        <v>885</v>
      </c>
      <c r="GG3557" s="460" t="s">
        <v>885</v>
      </c>
      <c r="GH3557" s="460" t="s">
        <v>885</v>
      </c>
      <c r="GI3557" s="460"/>
      <c r="GJ3557" s="460" t="s">
        <v>885</v>
      </c>
      <c r="GK3557" s="460"/>
      <c r="GL3557" s="460" t="s">
        <v>885</v>
      </c>
      <c r="GM3557" s="460"/>
      <c r="GN3557" s="460" t="s">
        <v>885</v>
      </c>
      <c r="GO3557" s="460"/>
      <c r="GP3557" s="460" t="s">
        <v>885</v>
      </c>
      <c r="GQ3557" s="460"/>
      <c r="GR3557" s="460" t="s">
        <v>885</v>
      </c>
      <c r="GS3557" s="460"/>
      <c r="GT3557" s="460" t="s">
        <v>885</v>
      </c>
      <c r="GU3557" s="460"/>
      <c r="GV3557" s="460" t="s">
        <v>885</v>
      </c>
      <c r="GW3557" s="460"/>
      <c r="GX3557" s="460" t="s">
        <v>885</v>
      </c>
      <c r="GY3557" s="460"/>
      <c r="GZ3557" s="460" t="s">
        <v>885</v>
      </c>
      <c r="HA3557" s="460"/>
      <c r="HB3557" s="460" t="s">
        <v>885</v>
      </c>
      <c r="HC3557" s="460"/>
      <c r="HD3557" s="460" t="s">
        <v>885</v>
      </c>
      <c r="HE3557" s="460"/>
      <c r="HF3557" s="460" t="s">
        <v>885</v>
      </c>
      <c r="HG3557" s="460"/>
      <c r="HH3557" s="460" t="s">
        <v>885</v>
      </c>
      <c r="HI3557" s="460"/>
      <c r="HJ3557" s="460" t="s">
        <v>885</v>
      </c>
      <c r="HK3557" s="460"/>
      <c r="HL3557" s="460" t="s">
        <v>885</v>
      </c>
      <c r="HM3557" s="460"/>
      <c r="HN3557" s="460" t="s">
        <v>885</v>
      </c>
      <c r="HO3557" s="460"/>
      <c r="HP3557" s="460" t="s">
        <v>885</v>
      </c>
      <c r="HQ3557" s="460"/>
      <c r="HR3557" s="460" t="s">
        <v>885</v>
      </c>
      <c r="HS3557" s="460"/>
      <c r="HT3557" s="460" t="s">
        <v>885</v>
      </c>
      <c r="HU3557" s="460"/>
      <c r="HV3557" s="460" t="s">
        <v>885</v>
      </c>
      <c r="HW3557" s="460"/>
      <c r="HX3557" s="460" t="s">
        <v>885</v>
      </c>
      <c r="HY3557" s="460" t="s">
        <v>885</v>
      </c>
    </row>
    <row r="3558" spans="1:233" ht="15" hidden="1" thickTop="1" thickBot="1" x14ac:dyDescent="0.35">
      <c r="A3558" s="813"/>
      <c r="BS3558" s="465" t="str">
        <f>IF($B$265=B$3281,BZ3557,IF($B$265=B$3282,CA3557,IF($B$265=B$3283,CB3557,IF($B$265=B$3284,CC3557,IF($B$265=B$3285,CD3557,IF($B$265=B$3286,CE3557,IF($B$265=B$3287,CF3557,IF($B$265=B$3288,CG3557,IF($B$265=B$3289,CH3557,IF($B$265=B$3290,CI3557,IF($B$265=B$3291,CJ3557,IF($B$265=B$3292,CK3557,IF($B$265=B$3293,CL3557,IF($B$265=B$3294,CM3557,IF($B$265=B$3295,CN3557,IF($B$265=B$3296,C3557,IF($B$265=B$3297,CO3557,IF($B$265=B$3298,CP3557,IF($B$265=B$3299,CQ3557,IF($B$265=B$3300,CR3557,IF($B$265=B$3301,CS3557,IF($B$265=B$3302,CT3557,IF(B$265=B$3303,CU3557,IF($B$265=B$3304,CV3557,IF($B$265=B$3305,CW3557,IF($B$265=B$3306,CX3557,IF($B$265=B$3307,CY3557,IF($B$265=B$3308,CZ3557,IF($B$265=B$3309,DA3557,IF($B$265=B$3310,DB3557,IF($B$265=B$3311,DC3557,IF($B$265=B$3312,DD3557,IF($B$265=B$3313,DE3557,IF($B$265=B$3314,DF3557,IF($B$265=B$3315,DG3557,IF($B$265=B$3316,DH3557,IF($B$265=B$3317,DI3557,IF($B$265=B$3318,DJ3557,IF($B$265=B$3319,DK3557,IF($B$265=B$3320,DL3557,IF($B$265=B$3321,DM3557,IF($B$265=B$3322,DN3557,IF($B$265=B$3323,DO3557,IF($B$265=B$3324,DP3557,IF($B$265=B$3325,DQ3557,IF($B$265=B$3326,DR3557,IF($B$265=B$3327,DS3557,IF($B$265=B$3328,DT3557,IF($B$265=B$3329,DU3557,IF($B$265=B$3330,DV3557,IF($B$265=B$3331,DW3557,IF($B$265=B$3332,DX3557,""))))))))))))))))))))))))))))))))))))))))))))))))))))</f>
        <v/>
      </c>
      <c r="DP3558" s="457"/>
    </row>
    <row r="3559" spans="1:233" ht="14.5" hidden="1" thickTop="1" x14ac:dyDescent="0.3">
      <c r="A3559" s="813"/>
      <c r="BB3559" s="48"/>
    </row>
    <row r="3560" spans="1:233" hidden="1" x14ac:dyDescent="0.3">
      <c r="A3560" s="813"/>
      <c r="BB3560" s="48"/>
    </row>
    <row r="3561" spans="1:233" hidden="1" x14ac:dyDescent="0.3">
      <c r="A3561" s="813"/>
      <c r="BB3561" s="48"/>
    </row>
    <row r="3562" spans="1:233" hidden="1" x14ac:dyDescent="0.3">
      <c r="A3562" s="813"/>
      <c r="BB3562" s="48"/>
    </row>
    <row r="3563" spans="1:233" hidden="1" x14ac:dyDescent="0.3">
      <c r="A3563" s="813"/>
    </row>
    <row r="3564" spans="1:233" hidden="1" x14ac:dyDescent="0.3">
      <c r="A3564" s="813"/>
    </row>
    <row r="3565" spans="1:233" hidden="1" x14ac:dyDescent="0.3">
      <c r="A3565" s="813"/>
    </row>
    <row r="3566" spans="1:233" hidden="1" x14ac:dyDescent="0.3">
      <c r="A3566" s="813"/>
    </row>
    <row r="3567" spans="1:233" hidden="1" x14ac:dyDescent="0.3">
      <c r="A3567" s="813"/>
    </row>
    <row r="3568" spans="1:233" hidden="1" x14ac:dyDescent="0.3">
      <c r="A3568" s="813"/>
    </row>
    <row r="3569" spans="1:104" hidden="1" x14ac:dyDescent="0.3">
      <c r="A3569" s="813"/>
      <c r="BB3569" s="48"/>
    </row>
    <row r="3570" spans="1:104" hidden="1" x14ac:dyDescent="0.3">
      <c r="A3570" s="813"/>
      <c r="BB3570" s="48"/>
    </row>
    <row r="3571" spans="1:104" hidden="1" x14ac:dyDescent="0.3">
      <c r="A3571" s="813"/>
      <c r="BB3571" s="48"/>
    </row>
    <row r="3572" spans="1:104" hidden="1" x14ac:dyDescent="0.3">
      <c r="A3572" s="813"/>
      <c r="BB3572" s="48"/>
    </row>
    <row r="3573" spans="1:104" s="4" customFormat="1" hidden="1" x14ac:dyDescent="0.3">
      <c r="A3573" s="813"/>
      <c r="B3573" s="48"/>
      <c r="C3573" s="48"/>
      <c r="D3573" s="48"/>
      <c r="E3573" s="48"/>
      <c r="F3573" s="48"/>
      <c r="AA3573" s="48"/>
      <c r="AB3573" s="48"/>
      <c r="AC3573" s="48"/>
      <c r="AD3573" s="48"/>
      <c r="AE3573" s="48"/>
      <c r="AF3573" s="48"/>
      <c r="AG3573" s="48"/>
      <c r="AH3573" s="48"/>
      <c r="AI3573" s="48"/>
      <c r="AJ3573" s="48"/>
      <c r="AK3573" s="48"/>
      <c r="AL3573" s="48"/>
      <c r="AM3573" s="48"/>
      <c r="AN3573" s="48"/>
      <c r="AO3573" s="48"/>
      <c r="AP3573" s="48"/>
      <c r="AQ3573" s="48"/>
      <c r="AR3573" s="48"/>
      <c r="AS3573" s="48"/>
      <c r="AT3573" s="48"/>
      <c r="AU3573" s="48"/>
      <c r="AV3573" s="48"/>
      <c r="AW3573" s="48"/>
      <c r="AX3573" s="48"/>
      <c r="AY3573" s="48"/>
      <c r="AZ3573" s="48"/>
      <c r="BA3573" s="48"/>
      <c r="BB3573" s="14"/>
      <c r="BC3573" s="48"/>
      <c r="BD3573" s="48"/>
      <c r="BE3573" s="48"/>
      <c r="BF3573" s="48"/>
      <c r="BG3573" s="48"/>
      <c r="BH3573" s="48"/>
      <c r="BI3573" s="48"/>
      <c r="BJ3573" s="48"/>
      <c r="BK3573" s="48"/>
      <c r="BL3573" s="48"/>
      <c r="BM3573" s="48"/>
      <c r="BN3573" s="48"/>
      <c r="BO3573" s="48"/>
      <c r="BP3573" s="48"/>
      <c r="BQ3573" s="48"/>
      <c r="BR3573" s="48"/>
      <c r="BS3573" s="48"/>
      <c r="BT3573" s="48"/>
      <c r="BU3573" s="48"/>
      <c r="BV3573" s="48"/>
      <c r="BW3573" s="48"/>
      <c r="BX3573" s="48"/>
      <c r="BY3573" s="48"/>
      <c r="BZ3573" s="48"/>
      <c r="CA3573" s="48"/>
      <c r="CB3573" s="48"/>
      <c r="CC3573" s="48"/>
      <c r="CD3573" s="48"/>
      <c r="CE3573" s="48"/>
      <c r="CF3573" s="48"/>
      <c r="CG3573" s="48"/>
      <c r="CH3573" s="48"/>
      <c r="CI3573" s="48"/>
      <c r="CJ3573" s="48"/>
      <c r="CK3573" s="48"/>
      <c r="CL3573" s="48"/>
      <c r="CM3573" s="48"/>
      <c r="CN3573" s="48"/>
      <c r="CO3573" s="48"/>
      <c r="CP3573" s="48"/>
      <c r="CQ3573" s="48"/>
      <c r="CR3573" s="48"/>
      <c r="CS3573" s="48"/>
      <c r="CT3573" s="48"/>
      <c r="CU3573" s="48"/>
      <c r="CV3573" s="48"/>
      <c r="CW3573" s="48"/>
      <c r="CX3573" s="48"/>
      <c r="CY3573" s="48"/>
      <c r="CZ3573" s="48"/>
    </row>
    <row r="3574" spans="1:104" s="4" customFormat="1" hidden="1" x14ac:dyDescent="0.3">
      <c r="A3574" s="813"/>
      <c r="B3574" s="48"/>
      <c r="C3574" s="48"/>
      <c r="D3574" s="48"/>
      <c r="E3574" s="48"/>
      <c r="F3574" s="48"/>
      <c r="AA3574" s="48"/>
      <c r="AB3574" s="48"/>
      <c r="AC3574" s="48"/>
      <c r="AD3574" s="48"/>
      <c r="AE3574" s="48"/>
      <c r="AF3574" s="48"/>
      <c r="AG3574" s="48"/>
      <c r="AH3574" s="48"/>
      <c r="AI3574" s="48"/>
      <c r="AJ3574" s="48"/>
      <c r="AK3574" s="48"/>
      <c r="AL3574" s="48"/>
      <c r="AM3574" s="48"/>
      <c r="AN3574" s="48"/>
      <c r="AO3574" s="48"/>
      <c r="AP3574" s="48"/>
      <c r="AQ3574" s="48"/>
      <c r="AR3574" s="48"/>
      <c r="AS3574" s="48"/>
      <c r="AT3574" s="48"/>
      <c r="AU3574" s="48"/>
      <c r="AV3574" s="48"/>
      <c r="AW3574" s="48"/>
      <c r="AX3574" s="48"/>
      <c r="AY3574" s="48"/>
      <c r="AZ3574" s="48"/>
      <c r="BA3574" s="48"/>
      <c r="BB3574" s="14"/>
      <c r="BC3574" s="48"/>
      <c r="BD3574" s="48"/>
      <c r="BE3574" s="48"/>
      <c r="BF3574" s="48"/>
      <c r="BG3574" s="48"/>
      <c r="BH3574" s="48"/>
      <c r="BI3574" s="48"/>
      <c r="BJ3574" s="48"/>
      <c r="BK3574" s="48"/>
      <c r="BL3574" s="48"/>
      <c r="BM3574" s="48"/>
      <c r="BN3574" s="48"/>
      <c r="BO3574" s="48"/>
      <c r="BP3574" s="48"/>
      <c r="BQ3574" s="48"/>
      <c r="BR3574" s="48"/>
      <c r="BS3574" s="48"/>
      <c r="BT3574" s="48"/>
      <c r="BU3574" s="48"/>
      <c r="BV3574" s="48"/>
      <c r="BW3574" s="48"/>
      <c r="BX3574" s="48"/>
      <c r="BY3574" s="48"/>
      <c r="BZ3574" s="48"/>
      <c r="CA3574" s="48"/>
      <c r="CB3574" s="48"/>
      <c r="CC3574" s="48"/>
      <c r="CD3574" s="48"/>
      <c r="CE3574" s="48"/>
      <c r="CF3574" s="48"/>
      <c r="CG3574" s="48"/>
      <c r="CH3574" s="48"/>
      <c r="CI3574" s="48"/>
      <c r="CJ3574" s="48"/>
      <c r="CK3574" s="48"/>
      <c r="CL3574" s="48"/>
      <c r="CM3574" s="48"/>
      <c r="CN3574" s="48"/>
      <c r="CO3574" s="48"/>
      <c r="CP3574" s="48"/>
      <c r="CQ3574" s="48"/>
      <c r="CR3574" s="48"/>
      <c r="CS3574" s="48"/>
      <c r="CT3574" s="48"/>
      <c r="CU3574" s="48"/>
      <c r="CV3574" s="48"/>
      <c r="CW3574" s="48"/>
      <c r="CX3574" s="48"/>
      <c r="CY3574" s="48"/>
      <c r="CZ3574" s="48"/>
    </row>
    <row r="3575" spans="1:104" s="4" customFormat="1" hidden="1" x14ac:dyDescent="0.3">
      <c r="A3575" s="813"/>
      <c r="B3575" s="48"/>
      <c r="C3575" s="48"/>
      <c r="D3575" s="48"/>
      <c r="E3575" s="48"/>
      <c r="F3575" s="48"/>
      <c r="AA3575" s="48"/>
      <c r="AB3575" s="48"/>
      <c r="AC3575" s="48"/>
      <c r="AD3575" s="48"/>
      <c r="AE3575" s="48"/>
      <c r="AF3575" s="48"/>
      <c r="AG3575" s="48"/>
      <c r="AH3575" s="48"/>
      <c r="AI3575" s="48"/>
      <c r="AJ3575" s="48"/>
      <c r="AK3575" s="48"/>
      <c r="AL3575" s="48"/>
      <c r="AM3575" s="48"/>
      <c r="AN3575" s="48"/>
      <c r="AO3575" s="48"/>
      <c r="AP3575" s="48"/>
      <c r="AQ3575" s="48"/>
      <c r="AR3575" s="48"/>
      <c r="AS3575" s="48"/>
      <c r="AT3575" s="48"/>
      <c r="AU3575" s="48"/>
      <c r="AV3575" s="48"/>
      <c r="AW3575" s="48"/>
      <c r="AX3575" s="48"/>
      <c r="AY3575" s="48"/>
      <c r="AZ3575" s="48"/>
      <c r="BA3575" s="48"/>
      <c r="BB3575" s="14"/>
      <c r="BC3575" s="48"/>
      <c r="BD3575" s="48"/>
      <c r="BE3575" s="48"/>
      <c r="BF3575" s="48"/>
      <c r="BG3575" s="48"/>
      <c r="BH3575" s="48"/>
      <c r="BI3575" s="48"/>
      <c r="BJ3575" s="48"/>
      <c r="BK3575" s="48"/>
      <c r="BL3575" s="48"/>
      <c r="BM3575" s="48"/>
      <c r="BN3575" s="48"/>
      <c r="BO3575" s="48"/>
      <c r="BP3575" s="48"/>
      <c r="BQ3575" s="48"/>
      <c r="BR3575" s="48"/>
      <c r="BS3575" s="48"/>
      <c r="BT3575" s="48"/>
      <c r="BU3575" s="48"/>
      <c r="BV3575" s="48"/>
      <c r="BW3575" s="48"/>
      <c r="BX3575" s="48"/>
      <c r="BY3575" s="48"/>
      <c r="BZ3575" s="48"/>
      <c r="CA3575" s="48"/>
      <c r="CB3575" s="48"/>
      <c r="CC3575" s="48"/>
      <c r="CD3575" s="48"/>
      <c r="CE3575" s="48"/>
      <c r="CF3575" s="48"/>
      <c r="CG3575" s="48"/>
      <c r="CH3575" s="48"/>
      <c r="CI3575" s="48"/>
      <c r="CJ3575" s="48"/>
      <c r="CK3575" s="48"/>
      <c r="CL3575" s="48"/>
      <c r="CM3575" s="48"/>
      <c r="CN3575" s="48"/>
      <c r="CO3575" s="48"/>
      <c r="CP3575" s="48"/>
      <c r="CQ3575" s="48"/>
      <c r="CR3575" s="48"/>
      <c r="CS3575" s="48"/>
      <c r="CT3575" s="48"/>
      <c r="CU3575" s="48"/>
      <c r="CV3575" s="48"/>
      <c r="CW3575" s="48"/>
      <c r="CX3575" s="48"/>
      <c r="CY3575" s="48"/>
      <c r="CZ3575" s="48"/>
    </row>
    <row r="3576" spans="1:104" s="4" customFormat="1" hidden="1" x14ac:dyDescent="0.3">
      <c r="A3576" s="362"/>
      <c r="B3576" s="362"/>
      <c r="C3576" s="362"/>
      <c r="D3576" s="362"/>
      <c r="E3576" s="362"/>
      <c r="F3576" s="362"/>
      <c r="AA3576" s="48"/>
      <c r="AB3576" s="48"/>
      <c r="AC3576" s="48"/>
      <c r="AD3576" s="48"/>
      <c r="AE3576" s="48"/>
      <c r="AF3576" s="48"/>
      <c r="AG3576" s="48"/>
      <c r="AH3576" s="48"/>
      <c r="AI3576" s="48"/>
      <c r="AJ3576" s="48"/>
      <c r="AK3576" s="48"/>
      <c r="AL3576" s="48"/>
      <c r="AM3576" s="48"/>
      <c r="AN3576" s="48"/>
      <c r="AO3576" s="48"/>
      <c r="AP3576" s="48"/>
      <c r="AQ3576" s="48"/>
      <c r="AR3576" s="48"/>
      <c r="AS3576" s="48"/>
      <c r="AT3576" s="48"/>
      <c r="AU3576" s="48"/>
      <c r="AV3576" s="48"/>
      <c r="AW3576" s="48"/>
      <c r="AX3576" s="48"/>
      <c r="AY3576" s="48"/>
      <c r="AZ3576" s="48"/>
      <c r="BA3576" s="48"/>
      <c r="BB3576" s="14"/>
      <c r="BC3576" s="48"/>
      <c r="BD3576" s="48"/>
      <c r="BE3576" s="48"/>
      <c r="BF3576" s="48"/>
      <c r="BG3576" s="48"/>
      <c r="BH3576" s="48"/>
      <c r="BI3576" s="48"/>
      <c r="BJ3576" s="48"/>
      <c r="BK3576" s="48"/>
      <c r="BL3576" s="48"/>
      <c r="BM3576" s="48"/>
      <c r="BN3576" s="48"/>
      <c r="BO3576" s="48"/>
      <c r="BP3576" s="48"/>
      <c r="BQ3576" s="48"/>
      <c r="BR3576" s="48"/>
      <c r="BS3576" s="48"/>
      <c r="BT3576" s="48"/>
      <c r="BU3576" s="48"/>
      <c r="BV3576" s="48"/>
      <c r="BW3576" s="48"/>
      <c r="BX3576" s="48"/>
      <c r="BY3576" s="48"/>
      <c r="BZ3576" s="48"/>
      <c r="CA3576" s="48"/>
      <c r="CB3576" s="48"/>
      <c r="CC3576" s="48"/>
      <c r="CD3576" s="48"/>
      <c r="CE3576" s="48"/>
      <c r="CF3576" s="48"/>
      <c r="CG3576" s="48"/>
      <c r="CH3576" s="48"/>
      <c r="CI3576" s="48"/>
      <c r="CJ3576" s="48"/>
      <c r="CK3576" s="48"/>
      <c r="CL3576" s="48"/>
      <c r="CM3576" s="48"/>
      <c r="CN3576" s="48"/>
      <c r="CO3576" s="48"/>
      <c r="CP3576" s="48"/>
      <c r="CQ3576" s="48"/>
      <c r="CR3576" s="48"/>
      <c r="CS3576" s="48"/>
      <c r="CT3576" s="48"/>
      <c r="CU3576" s="48"/>
      <c r="CV3576" s="48"/>
      <c r="CW3576" s="48"/>
      <c r="CX3576" s="48"/>
      <c r="CY3576" s="48"/>
      <c r="CZ3576" s="48"/>
    </row>
    <row r="3577" spans="1:104" s="4" customFormat="1" hidden="1" x14ac:dyDescent="0.3">
      <c r="A3577" s="362"/>
      <c r="B3577" s="362"/>
      <c r="C3577" s="362"/>
      <c r="D3577" s="362"/>
      <c r="E3577" s="362"/>
      <c r="F3577" s="362"/>
      <c r="AA3577" s="48"/>
      <c r="AB3577" s="48"/>
      <c r="AC3577" s="48"/>
      <c r="AD3577" s="48"/>
      <c r="AE3577" s="48"/>
      <c r="AF3577" s="48"/>
      <c r="AG3577" s="48"/>
      <c r="AH3577" s="48"/>
      <c r="AI3577" s="48"/>
      <c r="AJ3577" s="48"/>
      <c r="AK3577" s="48"/>
      <c r="AL3577" s="48"/>
      <c r="AM3577" s="48"/>
      <c r="AN3577" s="48"/>
      <c r="AO3577" s="48"/>
      <c r="AP3577" s="48"/>
      <c r="AQ3577" s="48"/>
      <c r="AR3577" s="48"/>
      <c r="AS3577" s="48"/>
      <c r="AT3577" s="48"/>
      <c r="AU3577" s="48"/>
      <c r="AV3577" s="48"/>
      <c r="AW3577" s="48"/>
      <c r="AX3577" s="48"/>
      <c r="AY3577" s="48"/>
      <c r="AZ3577" s="48"/>
      <c r="BA3577" s="48"/>
      <c r="BB3577" s="14"/>
      <c r="BC3577" s="48"/>
      <c r="BD3577" s="48"/>
      <c r="BE3577" s="48"/>
      <c r="BF3577" s="48"/>
      <c r="BG3577" s="48"/>
      <c r="BH3577" s="48"/>
      <c r="BI3577" s="48"/>
      <c r="BJ3577" s="48"/>
      <c r="BK3577" s="48"/>
      <c r="BL3577" s="48"/>
      <c r="BM3577" s="48"/>
      <c r="BN3577" s="48"/>
      <c r="BO3577" s="48"/>
      <c r="BP3577" s="48"/>
      <c r="BQ3577" s="48"/>
      <c r="BR3577" s="48"/>
      <c r="BS3577" s="48"/>
      <c r="BT3577" s="48"/>
      <c r="BU3577" s="48"/>
      <c r="BV3577" s="48"/>
      <c r="BW3577" s="48"/>
      <c r="BX3577" s="48"/>
      <c r="BY3577" s="48"/>
      <c r="BZ3577" s="48"/>
      <c r="CA3577" s="48"/>
      <c r="CB3577" s="48"/>
      <c r="CC3577" s="48"/>
      <c r="CD3577" s="48"/>
      <c r="CE3577" s="48"/>
      <c r="CF3577" s="48"/>
      <c r="CG3577" s="48"/>
      <c r="CH3577" s="48"/>
      <c r="CI3577" s="48"/>
      <c r="CJ3577" s="48"/>
      <c r="CK3577" s="48"/>
      <c r="CL3577" s="48"/>
      <c r="CM3577" s="48"/>
      <c r="CN3577" s="48"/>
      <c r="CO3577" s="48"/>
      <c r="CP3577" s="48"/>
      <c r="CQ3577" s="48"/>
      <c r="CR3577" s="48"/>
      <c r="CS3577" s="48"/>
      <c r="CT3577" s="48"/>
      <c r="CU3577" s="48"/>
      <c r="CV3577" s="48"/>
      <c r="CW3577" s="48"/>
      <c r="CX3577" s="48"/>
      <c r="CY3577" s="48"/>
      <c r="CZ3577" s="48"/>
    </row>
    <row r="3578" spans="1:104" s="4" customFormat="1" ht="14.5" hidden="1" thickBot="1" x14ac:dyDescent="0.35">
      <c r="A3578" s="435"/>
      <c r="B3578" s="435"/>
      <c r="C3578" s="435"/>
      <c r="D3578" s="435"/>
      <c r="E3578" s="435"/>
      <c r="F3578" s="435"/>
      <c r="AA3578" s="48"/>
      <c r="AB3578" s="48"/>
      <c r="AC3578" s="48"/>
      <c r="AD3578" s="48"/>
      <c r="AE3578" s="48"/>
      <c r="AF3578" s="48"/>
      <c r="AG3578" s="48"/>
      <c r="AH3578" s="48"/>
      <c r="AI3578" s="48"/>
      <c r="AJ3578" s="48"/>
      <c r="AK3578" s="48"/>
      <c r="AL3578" s="48"/>
      <c r="AM3578" s="48"/>
      <c r="AN3578" s="48"/>
      <c r="AO3578" s="48"/>
      <c r="AP3578" s="48"/>
      <c r="AQ3578" s="48"/>
      <c r="AR3578" s="48"/>
      <c r="AS3578" s="48"/>
      <c r="AT3578" s="48"/>
      <c r="AU3578" s="48"/>
      <c r="AV3578" s="48"/>
      <c r="AW3578" s="48"/>
      <c r="AX3578" s="48"/>
      <c r="AY3578" s="48"/>
      <c r="AZ3578" s="48"/>
      <c r="BA3578" s="48"/>
      <c r="BB3578" s="14"/>
      <c r="BC3578" s="48"/>
      <c r="BD3578" s="48"/>
      <c r="BE3578" s="48"/>
      <c r="BF3578" s="48"/>
      <c r="BG3578" s="48"/>
      <c r="BH3578" s="48"/>
      <c r="BI3578" s="48"/>
      <c r="BJ3578" s="48"/>
      <c r="BK3578" s="48"/>
      <c r="BL3578" s="48"/>
      <c r="BM3578" s="48"/>
      <c r="BN3578" s="48"/>
      <c r="BO3578" s="48"/>
      <c r="BP3578" s="48"/>
      <c r="BQ3578" s="48"/>
      <c r="BR3578" s="48"/>
      <c r="BS3578" s="48"/>
      <c r="BT3578" s="48"/>
      <c r="BU3578" s="48"/>
      <c r="BV3578" s="48"/>
      <c r="BW3578" s="48"/>
      <c r="BX3578" s="48"/>
      <c r="BY3578" s="48"/>
      <c r="BZ3578" s="48"/>
      <c r="CA3578" s="48"/>
      <c r="CB3578" s="48"/>
      <c r="CC3578" s="48"/>
      <c r="CD3578" s="48"/>
      <c r="CE3578" s="48"/>
      <c r="CF3578" s="48"/>
      <c r="CG3578" s="48"/>
      <c r="CH3578" s="48"/>
      <c r="CI3578" s="48"/>
      <c r="CJ3578" s="48"/>
      <c r="CK3578" s="48"/>
      <c r="CL3578" s="48"/>
      <c r="CM3578" s="48"/>
      <c r="CN3578" s="48"/>
      <c r="CO3578" s="48"/>
      <c r="CP3578" s="48"/>
      <c r="CQ3578" s="48"/>
      <c r="CR3578" s="48"/>
      <c r="CS3578" s="48"/>
      <c r="CT3578" s="48"/>
      <c r="CU3578" s="48"/>
      <c r="CV3578" s="48"/>
      <c r="CW3578" s="48"/>
      <c r="CX3578" s="48"/>
      <c r="CY3578" s="48"/>
      <c r="CZ3578" s="48"/>
    </row>
    <row r="3579" spans="1:104" s="4" customFormat="1" ht="15" hidden="1" thickTop="1" thickBot="1" x14ac:dyDescent="0.35">
      <c r="A3579" s="390"/>
      <c r="B3579" s="390"/>
      <c r="C3579" s="390"/>
      <c r="D3579" s="390"/>
      <c r="E3579" s="390"/>
      <c r="F3579" s="390"/>
      <c r="AA3579" s="48"/>
      <c r="AB3579" s="48"/>
      <c r="AC3579" s="48"/>
      <c r="AD3579" s="48"/>
      <c r="AE3579" s="48"/>
      <c r="AF3579" s="48"/>
      <c r="AG3579" s="48"/>
      <c r="AH3579" s="48"/>
      <c r="AI3579" s="48"/>
      <c r="AJ3579" s="48"/>
      <c r="AK3579" s="48"/>
      <c r="AL3579" s="48"/>
      <c r="AM3579" s="48"/>
      <c r="AN3579" s="48"/>
      <c r="AO3579" s="48"/>
      <c r="AP3579" s="48"/>
      <c r="AQ3579" s="48"/>
      <c r="AR3579" s="48"/>
      <c r="AS3579" s="48"/>
      <c r="AT3579" s="48"/>
      <c r="AU3579" s="48"/>
      <c r="AV3579" s="48"/>
      <c r="AW3579" s="48"/>
      <c r="AX3579" s="48"/>
      <c r="AY3579" s="48"/>
      <c r="AZ3579" s="48"/>
      <c r="BA3579" s="48"/>
      <c r="BB3579" s="14"/>
      <c r="BC3579" s="48"/>
      <c r="BD3579" s="48"/>
      <c r="BE3579" s="48"/>
      <c r="BF3579" s="48"/>
      <c r="BG3579" s="48"/>
      <c r="BH3579" s="48"/>
      <c r="BI3579" s="48"/>
      <c r="BJ3579" s="48"/>
      <c r="BK3579" s="48"/>
      <c r="BL3579" s="48"/>
      <c r="BM3579" s="48"/>
      <c r="BN3579" s="48"/>
      <c r="BO3579" s="48"/>
      <c r="BP3579" s="48"/>
      <c r="BQ3579" s="48"/>
      <c r="BR3579" s="48"/>
      <c r="BS3579" s="48"/>
      <c r="BT3579" s="48"/>
      <c r="BU3579" s="48"/>
      <c r="BV3579" s="48"/>
      <c r="BW3579" s="48"/>
      <c r="BX3579" s="48"/>
      <c r="BY3579" s="48"/>
      <c r="BZ3579" s="48"/>
      <c r="CA3579" s="48"/>
      <c r="CB3579" s="48"/>
      <c r="CC3579" s="48"/>
      <c r="CD3579" s="48"/>
      <c r="CE3579" s="48"/>
      <c r="CF3579" s="48"/>
      <c r="CG3579" s="48"/>
      <c r="CH3579" s="48"/>
      <c r="CI3579" s="48"/>
      <c r="CJ3579" s="48"/>
      <c r="CK3579" s="48"/>
      <c r="CL3579" s="48"/>
      <c r="CM3579" s="48"/>
      <c r="CN3579" s="48"/>
      <c r="CO3579" s="48"/>
      <c r="CP3579" s="48"/>
      <c r="CQ3579" s="48"/>
      <c r="CR3579" s="48"/>
      <c r="CS3579" s="48"/>
      <c r="CT3579" s="48"/>
      <c r="CU3579" s="48"/>
      <c r="CV3579" s="48"/>
      <c r="CW3579" s="48"/>
      <c r="CX3579" s="48"/>
      <c r="CY3579" s="48"/>
      <c r="CZ3579" s="48"/>
    </row>
    <row r="3580" spans="1:104" s="4" customFormat="1" ht="14.5" thickTop="1" x14ac:dyDescent="0.3">
      <c r="AA3580" s="48"/>
      <c r="AB3580" s="48"/>
      <c r="AC3580" s="48"/>
      <c r="AD3580" s="48"/>
      <c r="AE3580" s="48"/>
      <c r="AF3580" s="48"/>
      <c r="AG3580" s="48"/>
      <c r="AH3580" s="48"/>
      <c r="AI3580" s="48"/>
      <c r="AJ3580" s="48"/>
      <c r="AK3580" s="48"/>
      <c r="AL3580" s="48"/>
      <c r="AM3580" s="48"/>
      <c r="AN3580" s="48"/>
      <c r="AO3580" s="48"/>
      <c r="AP3580" s="48"/>
      <c r="AQ3580" s="48"/>
      <c r="AR3580" s="48"/>
      <c r="AS3580" s="48"/>
      <c r="AT3580" s="48"/>
      <c r="AU3580" s="48"/>
      <c r="AV3580" s="48"/>
      <c r="AW3580" s="48"/>
      <c r="AX3580" s="48"/>
      <c r="AY3580" s="48"/>
      <c r="AZ3580" s="48"/>
      <c r="BA3580" s="48"/>
      <c r="BB3580" s="14"/>
      <c r="BC3580" s="48"/>
      <c r="BD3580" s="48"/>
      <c r="BE3580" s="48"/>
      <c r="BF3580" s="48"/>
      <c r="BG3580" s="48"/>
      <c r="BH3580" s="48"/>
      <c r="BI3580" s="48"/>
      <c r="BJ3580" s="48"/>
      <c r="BK3580" s="48"/>
      <c r="BL3580" s="48"/>
      <c r="BM3580" s="48"/>
      <c r="BN3580" s="48"/>
      <c r="BO3580" s="48"/>
      <c r="BP3580" s="48"/>
      <c r="BQ3580" s="48"/>
      <c r="BR3580" s="48"/>
      <c r="BS3580" s="48"/>
      <c r="BT3580" s="48"/>
      <c r="BU3580" s="48"/>
      <c r="BV3580" s="48"/>
      <c r="BW3580" s="48"/>
      <c r="BX3580" s="48"/>
      <c r="BY3580" s="48"/>
      <c r="BZ3580" s="48"/>
      <c r="CA3580" s="48"/>
      <c r="CB3580" s="48"/>
      <c r="CC3580" s="48"/>
      <c r="CD3580" s="48"/>
      <c r="CE3580" s="48"/>
      <c r="CF3580" s="48"/>
      <c r="CG3580" s="48"/>
      <c r="CH3580" s="48"/>
      <c r="CI3580" s="48"/>
      <c r="CJ3580" s="48"/>
      <c r="CK3580" s="48"/>
      <c r="CL3580" s="48"/>
      <c r="CM3580" s="48"/>
      <c r="CN3580" s="48"/>
      <c r="CO3580" s="48"/>
      <c r="CP3580" s="48"/>
      <c r="CQ3580" s="48"/>
      <c r="CR3580" s="48"/>
      <c r="CS3580" s="48"/>
      <c r="CT3580" s="48"/>
      <c r="CU3580" s="48"/>
      <c r="CV3580" s="48"/>
      <c r="CW3580" s="48"/>
      <c r="CX3580" s="48"/>
      <c r="CY3580" s="48"/>
      <c r="CZ3580" s="48"/>
    </row>
    <row r="3581" spans="1:104" s="4" customFormat="1" x14ac:dyDescent="0.3">
      <c r="AA3581" s="48"/>
      <c r="AB3581" s="48"/>
      <c r="AC3581" s="48"/>
      <c r="AD3581" s="48"/>
      <c r="AE3581" s="48"/>
      <c r="AF3581" s="48"/>
      <c r="AG3581" s="48"/>
      <c r="AH3581" s="48"/>
      <c r="AI3581" s="48"/>
      <c r="AJ3581" s="48"/>
      <c r="AK3581" s="48"/>
      <c r="AL3581" s="48"/>
      <c r="AM3581" s="48"/>
      <c r="AN3581" s="48"/>
      <c r="AO3581" s="48"/>
      <c r="AP3581" s="48"/>
      <c r="AQ3581" s="48"/>
      <c r="AR3581" s="48"/>
      <c r="AS3581" s="48"/>
      <c r="AT3581" s="48"/>
      <c r="AU3581" s="48"/>
      <c r="AV3581" s="48"/>
      <c r="AW3581" s="48"/>
      <c r="AX3581" s="48"/>
      <c r="AY3581" s="48"/>
      <c r="AZ3581" s="48"/>
      <c r="BA3581" s="48"/>
      <c r="BB3581" s="14"/>
      <c r="BC3581" s="48"/>
      <c r="BD3581" s="48"/>
      <c r="BE3581" s="48"/>
      <c r="BF3581" s="48"/>
      <c r="BG3581" s="48"/>
      <c r="BH3581" s="48"/>
      <c r="BI3581" s="48"/>
      <c r="BJ3581" s="48"/>
      <c r="BK3581" s="48"/>
      <c r="BL3581" s="48"/>
      <c r="BM3581" s="48"/>
      <c r="BN3581" s="48"/>
      <c r="BO3581" s="48"/>
      <c r="BP3581" s="48"/>
      <c r="BQ3581" s="48"/>
      <c r="BR3581" s="48"/>
      <c r="BS3581" s="48"/>
      <c r="BT3581" s="48"/>
      <c r="BU3581" s="48"/>
      <c r="BV3581" s="48"/>
      <c r="BW3581" s="48"/>
      <c r="BX3581" s="48"/>
      <c r="BY3581" s="48"/>
      <c r="BZ3581" s="48"/>
      <c r="CA3581" s="48"/>
      <c r="CB3581" s="48"/>
      <c r="CC3581" s="48"/>
      <c r="CD3581" s="48"/>
      <c r="CE3581" s="48"/>
      <c r="CF3581" s="48"/>
      <c r="CG3581" s="48"/>
      <c r="CH3581" s="48"/>
      <c r="CI3581" s="48"/>
      <c r="CJ3581" s="48"/>
      <c r="CK3581" s="48"/>
      <c r="CL3581" s="48"/>
      <c r="CM3581" s="48"/>
      <c r="CN3581" s="48"/>
      <c r="CO3581" s="48"/>
      <c r="CP3581" s="48"/>
      <c r="CQ3581" s="48"/>
      <c r="CR3581" s="48"/>
      <c r="CS3581" s="48"/>
      <c r="CT3581" s="48"/>
      <c r="CU3581" s="48"/>
      <c r="CV3581" s="48"/>
      <c r="CW3581" s="48"/>
      <c r="CX3581" s="48"/>
      <c r="CY3581" s="48"/>
      <c r="CZ3581" s="48"/>
    </row>
    <row r="3582" spans="1:104" s="4" customFormat="1" x14ac:dyDescent="0.3">
      <c r="AA3582" s="48"/>
      <c r="AB3582" s="48"/>
      <c r="AC3582" s="48"/>
      <c r="AD3582" s="48"/>
      <c r="AE3582" s="48"/>
      <c r="AF3582" s="48"/>
      <c r="AG3582" s="48"/>
      <c r="AH3582" s="48"/>
      <c r="AI3582" s="48"/>
      <c r="AJ3582" s="48"/>
      <c r="AK3582" s="48"/>
      <c r="AL3582" s="48"/>
      <c r="AM3582" s="48"/>
      <c r="AN3582" s="48"/>
      <c r="AO3582" s="48"/>
      <c r="AP3582" s="48"/>
      <c r="AQ3582" s="48"/>
      <c r="AR3582" s="48"/>
      <c r="AS3582" s="48"/>
      <c r="AT3582" s="48"/>
      <c r="AU3582" s="48"/>
      <c r="AV3582" s="48"/>
      <c r="AW3582" s="48"/>
      <c r="AX3582" s="48"/>
      <c r="AY3582" s="48"/>
      <c r="AZ3582" s="48"/>
      <c r="BA3582" s="48"/>
      <c r="BB3582" s="14"/>
      <c r="BC3582" s="48"/>
      <c r="BD3582" s="48"/>
      <c r="BE3582" s="48"/>
      <c r="BF3582" s="48"/>
      <c r="BG3582" s="48"/>
      <c r="BH3582" s="48"/>
      <c r="BI3582" s="48"/>
      <c r="BJ3582" s="48"/>
      <c r="BK3582" s="48"/>
      <c r="BL3582" s="48"/>
      <c r="BM3582" s="48"/>
      <c r="BN3582" s="48"/>
      <c r="BO3582" s="48"/>
      <c r="BP3582" s="48"/>
      <c r="BQ3582" s="48"/>
      <c r="BR3582" s="48"/>
      <c r="BS3582" s="48"/>
      <c r="BT3582" s="48"/>
      <c r="BU3582" s="48"/>
      <c r="BV3582" s="48"/>
      <c r="BW3582" s="48"/>
      <c r="BX3582" s="48"/>
      <c r="BY3582" s="48"/>
      <c r="BZ3582" s="48"/>
      <c r="CA3582" s="48"/>
      <c r="CB3582" s="48"/>
      <c r="CC3582" s="48"/>
      <c r="CD3582" s="48"/>
      <c r="CE3582" s="48"/>
      <c r="CF3582" s="48"/>
      <c r="CG3582" s="48"/>
      <c r="CH3582" s="48"/>
      <c r="CI3582" s="48"/>
      <c r="CJ3582" s="48"/>
      <c r="CK3582" s="48"/>
      <c r="CL3582" s="48"/>
      <c r="CM3582" s="48"/>
      <c r="CN3582" s="48"/>
      <c r="CO3582" s="48"/>
      <c r="CP3582" s="48"/>
      <c r="CQ3582" s="48"/>
      <c r="CR3582" s="48"/>
      <c r="CS3582" s="48"/>
      <c r="CT3582" s="48"/>
      <c r="CU3582" s="48"/>
      <c r="CV3582" s="48"/>
      <c r="CW3582" s="48"/>
      <c r="CX3582" s="48"/>
      <c r="CY3582" s="48"/>
      <c r="CZ3582" s="48"/>
    </row>
    <row r="3583" spans="1:104" s="4" customFormat="1" x14ac:dyDescent="0.3">
      <c r="AA3583" s="48"/>
      <c r="AB3583" s="48"/>
      <c r="AC3583" s="48"/>
      <c r="AD3583" s="48"/>
      <c r="AE3583" s="48"/>
      <c r="AF3583" s="48"/>
      <c r="AG3583" s="48"/>
      <c r="AH3583" s="48"/>
      <c r="AI3583" s="48"/>
      <c r="AJ3583" s="48"/>
      <c r="AK3583" s="48"/>
      <c r="AL3583" s="48"/>
      <c r="AM3583" s="48"/>
      <c r="AN3583" s="48"/>
      <c r="AO3583" s="48"/>
      <c r="AP3583" s="48"/>
      <c r="AQ3583" s="48"/>
      <c r="AR3583" s="48"/>
      <c r="AS3583" s="48"/>
      <c r="AT3583" s="48"/>
      <c r="AU3583" s="48"/>
      <c r="AV3583" s="48"/>
      <c r="AW3583" s="48"/>
      <c r="AX3583" s="48"/>
      <c r="AY3583" s="48"/>
      <c r="AZ3583" s="48"/>
      <c r="BA3583" s="48"/>
      <c r="BB3583" s="14"/>
      <c r="BC3583" s="48"/>
      <c r="BD3583" s="48"/>
      <c r="BE3583" s="48"/>
      <c r="BF3583" s="48"/>
      <c r="BG3583" s="48"/>
      <c r="BH3583" s="48"/>
      <c r="BI3583" s="48"/>
      <c r="BJ3583" s="48"/>
      <c r="BK3583" s="48"/>
      <c r="BL3583" s="48"/>
      <c r="BM3583" s="48"/>
      <c r="BN3583" s="48"/>
      <c r="BO3583" s="48"/>
      <c r="BP3583" s="48"/>
      <c r="BQ3583" s="48"/>
      <c r="BR3583" s="48"/>
      <c r="BS3583" s="48"/>
      <c r="BT3583" s="48"/>
      <c r="BU3583" s="48"/>
      <c r="BV3583" s="48"/>
      <c r="BW3583" s="48"/>
      <c r="BX3583" s="48"/>
      <c r="BY3583" s="48"/>
      <c r="BZ3583" s="48"/>
      <c r="CA3583" s="48"/>
      <c r="CB3583" s="48"/>
      <c r="CC3583" s="48"/>
      <c r="CD3583" s="48"/>
      <c r="CE3583" s="48"/>
      <c r="CF3583" s="48"/>
      <c r="CG3583" s="48"/>
      <c r="CH3583" s="48"/>
      <c r="CI3583" s="48"/>
      <c r="CJ3583" s="48"/>
      <c r="CK3583" s="48"/>
      <c r="CL3583" s="48"/>
      <c r="CM3583" s="48"/>
      <c r="CN3583" s="48"/>
      <c r="CO3583" s="48"/>
      <c r="CP3583" s="48"/>
      <c r="CQ3583" s="48"/>
      <c r="CR3583" s="48"/>
      <c r="CS3583" s="48"/>
      <c r="CT3583" s="48"/>
      <c r="CU3583" s="48"/>
      <c r="CV3583" s="48"/>
      <c r="CW3583" s="48"/>
      <c r="CX3583" s="48"/>
      <c r="CY3583" s="48"/>
      <c r="CZ3583" s="48"/>
    </row>
    <row r="3584" spans="1:104" s="4" customFormat="1" x14ac:dyDescent="0.3">
      <c r="AA3584" s="48"/>
      <c r="AB3584" s="48"/>
      <c r="AC3584" s="48"/>
      <c r="AD3584" s="48"/>
      <c r="AE3584" s="48"/>
      <c r="AF3584" s="48"/>
      <c r="AG3584" s="48"/>
      <c r="AH3584" s="48"/>
      <c r="AI3584" s="48"/>
      <c r="AJ3584" s="48"/>
      <c r="AK3584" s="48"/>
      <c r="AL3584" s="48"/>
      <c r="AM3584" s="48"/>
      <c r="AN3584" s="48"/>
      <c r="AO3584" s="48"/>
      <c r="AP3584" s="48"/>
      <c r="AQ3584" s="48"/>
      <c r="AR3584" s="48"/>
      <c r="AS3584" s="48"/>
      <c r="AT3584" s="48"/>
      <c r="AU3584" s="48"/>
      <c r="AV3584" s="48"/>
      <c r="AW3584" s="48"/>
      <c r="AX3584" s="48"/>
      <c r="AY3584" s="48"/>
      <c r="AZ3584" s="48"/>
      <c r="BA3584" s="48"/>
      <c r="BB3584" s="14"/>
      <c r="BC3584" s="48"/>
      <c r="BD3584" s="48"/>
      <c r="BE3584" s="48"/>
      <c r="BF3584" s="48"/>
      <c r="BG3584" s="48"/>
      <c r="BH3584" s="48"/>
      <c r="BI3584" s="48"/>
      <c r="BJ3584" s="48"/>
      <c r="BK3584" s="48"/>
      <c r="BL3584" s="48"/>
      <c r="BM3584" s="48"/>
      <c r="BN3584" s="48"/>
      <c r="BO3584" s="48"/>
      <c r="BP3584" s="48"/>
      <c r="BQ3584" s="48"/>
      <c r="BR3584" s="48"/>
      <c r="BS3584" s="48"/>
      <c r="BT3584" s="48"/>
      <c r="BU3584" s="48"/>
      <c r="BV3584" s="48"/>
      <c r="BW3584" s="48"/>
      <c r="BX3584" s="48"/>
      <c r="BY3584" s="48"/>
      <c r="BZ3584" s="48"/>
      <c r="CA3584" s="48"/>
      <c r="CB3584" s="48"/>
      <c r="CC3584" s="48"/>
      <c r="CD3584" s="48"/>
      <c r="CE3584" s="48"/>
      <c r="CF3584" s="48"/>
      <c r="CG3584" s="48"/>
      <c r="CH3584" s="48"/>
      <c r="CI3584" s="48"/>
      <c r="CJ3584" s="48"/>
      <c r="CK3584" s="48"/>
      <c r="CL3584" s="48"/>
      <c r="CM3584" s="48"/>
      <c r="CN3584" s="48"/>
      <c r="CO3584" s="48"/>
      <c r="CP3584" s="48"/>
      <c r="CQ3584" s="48"/>
      <c r="CR3584" s="48"/>
      <c r="CS3584" s="48"/>
      <c r="CT3584" s="48"/>
      <c r="CU3584" s="48"/>
      <c r="CV3584" s="48"/>
      <c r="CW3584" s="48"/>
      <c r="CX3584" s="48"/>
      <c r="CY3584" s="48"/>
      <c r="CZ3584" s="48"/>
    </row>
    <row r="3585" spans="27:104" s="4" customFormat="1" x14ac:dyDescent="0.3">
      <c r="AA3585" s="48"/>
      <c r="AB3585" s="48"/>
      <c r="AC3585" s="48"/>
      <c r="AD3585" s="48"/>
      <c r="AE3585" s="48"/>
      <c r="AF3585" s="48"/>
      <c r="AG3585" s="48"/>
      <c r="AH3585" s="48"/>
      <c r="AI3585" s="48"/>
      <c r="AJ3585" s="48"/>
      <c r="AK3585" s="48"/>
      <c r="AL3585" s="48"/>
      <c r="AM3585" s="48"/>
      <c r="AN3585" s="48"/>
      <c r="AO3585" s="48"/>
      <c r="AP3585" s="48"/>
      <c r="AQ3585" s="48"/>
      <c r="AR3585" s="48"/>
      <c r="AS3585" s="48"/>
      <c r="AT3585" s="48"/>
      <c r="AU3585" s="48"/>
      <c r="AV3585" s="48"/>
      <c r="AW3585" s="48"/>
      <c r="AX3585" s="48"/>
      <c r="AY3585" s="48"/>
      <c r="AZ3585" s="48"/>
      <c r="BA3585" s="48"/>
      <c r="BB3585" s="14"/>
      <c r="BC3585" s="48"/>
      <c r="BD3585" s="48"/>
      <c r="BE3585" s="48"/>
      <c r="BF3585" s="48"/>
      <c r="BG3585" s="48"/>
      <c r="BH3585" s="48"/>
      <c r="BI3585" s="48"/>
      <c r="BJ3585" s="48"/>
      <c r="BK3585" s="48"/>
      <c r="BL3585" s="48"/>
      <c r="BM3585" s="48"/>
      <c r="BN3585" s="48"/>
      <c r="BO3585" s="48"/>
      <c r="BP3585" s="48"/>
      <c r="BQ3585" s="48"/>
      <c r="BR3585" s="48"/>
      <c r="BS3585" s="48"/>
      <c r="BT3585" s="48"/>
      <c r="BU3585" s="48"/>
      <c r="BV3585" s="48"/>
      <c r="BW3585" s="48"/>
      <c r="BX3585" s="48"/>
      <c r="BY3585" s="48"/>
      <c r="BZ3585" s="48"/>
      <c r="CA3585" s="48"/>
      <c r="CB3585" s="48"/>
      <c r="CC3585" s="48"/>
      <c r="CD3585" s="48"/>
      <c r="CE3585" s="48"/>
      <c r="CF3585" s="48"/>
      <c r="CG3585" s="48"/>
      <c r="CH3585" s="48"/>
      <c r="CI3585" s="48"/>
      <c r="CJ3585" s="48"/>
      <c r="CK3585" s="48"/>
      <c r="CL3585" s="48"/>
      <c r="CM3585" s="48"/>
      <c r="CN3585" s="48"/>
      <c r="CO3585" s="48"/>
      <c r="CP3585" s="48"/>
      <c r="CQ3585" s="48"/>
      <c r="CR3585" s="48"/>
      <c r="CS3585" s="48"/>
      <c r="CT3585" s="48"/>
      <c r="CU3585" s="48"/>
      <c r="CV3585" s="48"/>
      <c r="CW3585" s="48"/>
      <c r="CX3585" s="48"/>
      <c r="CY3585" s="48"/>
      <c r="CZ3585" s="48"/>
    </row>
    <row r="3586" spans="27:104" s="4" customFormat="1" x14ac:dyDescent="0.3">
      <c r="AA3586" s="48"/>
      <c r="AB3586" s="48"/>
      <c r="AC3586" s="48"/>
      <c r="AD3586" s="48"/>
      <c r="AE3586" s="48"/>
      <c r="AF3586" s="48"/>
      <c r="AG3586" s="48"/>
      <c r="AH3586" s="48"/>
      <c r="AI3586" s="48"/>
      <c r="AJ3586" s="48"/>
      <c r="AK3586" s="48"/>
      <c r="AL3586" s="48"/>
      <c r="AM3586" s="48"/>
      <c r="AN3586" s="48"/>
      <c r="AO3586" s="48"/>
      <c r="AP3586" s="48"/>
      <c r="AQ3586" s="48"/>
      <c r="AR3586" s="48"/>
      <c r="AS3586" s="48"/>
      <c r="AT3586" s="48"/>
      <c r="AU3586" s="48"/>
      <c r="AV3586" s="48"/>
      <c r="AW3586" s="48"/>
      <c r="AX3586" s="48"/>
      <c r="AY3586" s="48"/>
      <c r="AZ3586" s="48"/>
      <c r="BA3586" s="48"/>
      <c r="BB3586" s="14"/>
      <c r="BC3586" s="48"/>
      <c r="BD3586" s="48"/>
      <c r="BE3586" s="48"/>
      <c r="BF3586" s="48"/>
      <c r="BG3586" s="48"/>
      <c r="BH3586" s="48"/>
      <c r="BI3586" s="48"/>
      <c r="BJ3586" s="48"/>
      <c r="BK3586" s="48"/>
      <c r="BL3586" s="48"/>
      <c r="BM3586" s="48"/>
      <c r="BN3586" s="48"/>
      <c r="BO3586" s="48"/>
      <c r="BP3586" s="48"/>
      <c r="BQ3586" s="48"/>
      <c r="BR3586" s="48"/>
      <c r="BS3586" s="48"/>
      <c r="BT3586" s="48"/>
      <c r="BU3586" s="48"/>
      <c r="BV3586" s="48"/>
      <c r="BW3586" s="48"/>
      <c r="BX3586" s="48"/>
      <c r="BY3586" s="48"/>
      <c r="BZ3586" s="48"/>
      <c r="CA3586" s="48"/>
      <c r="CB3586" s="48"/>
      <c r="CC3586" s="48"/>
      <c r="CD3586" s="48"/>
      <c r="CE3586" s="48"/>
      <c r="CF3586" s="48"/>
      <c r="CG3586" s="48"/>
      <c r="CH3586" s="48"/>
      <c r="CI3586" s="48"/>
      <c r="CJ3586" s="48"/>
      <c r="CK3586" s="48"/>
      <c r="CL3586" s="48"/>
      <c r="CM3586" s="48"/>
      <c r="CN3586" s="48"/>
      <c r="CO3586" s="48"/>
      <c r="CP3586" s="48"/>
      <c r="CQ3586" s="48"/>
      <c r="CR3586" s="48"/>
      <c r="CS3586" s="48"/>
      <c r="CT3586" s="48"/>
      <c r="CU3586" s="48"/>
      <c r="CV3586" s="48"/>
      <c r="CW3586" s="48"/>
      <c r="CX3586" s="48"/>
      <c r="CY3586" s="48"/>
      <c r="CZ3586" s="48"/>
    </row>
    <row r="3587" spans="27:104" s="4" customFormat="1" x14ac:dyDescent="0.3">
      <c r="AA3587" s="48"/>
      <c r="AB3587" s="48"/>
      <c r="AC3587" s="48"/>
      <c r="AD3587" s="48"/>
      <c r="AE3587" s="48"/>
      <c r="AF3587" s="48"/>
      <c r="AG3587" s="48"/>
      <c r="AH3587" s="48"/>
      <c r="AI3587" s="48"/>
      <c r="AJ3587" s="48"/>
      <c r="AK3587" s="48"/>
      <c r="AL3587" s="48"/>
      <c r="AM3587" s="48"/>
      <c r="AN3587" s="48"/>
      <c r="AO3587" s="48"/>
      <c r="AP3587" s="48"/>
      <c r="AQ3587" s="48"/>
      <c r="AR3587" s="48"/>
      <c r="AS3587" s="48"/>
      <c r="AT3587" s="48"/>
      <c r="AU3587" s="48"/>
      <c r="AV3587" s="48"/>
      <c r="AW3587" s="48"/>
      <c r="AX3587" s="48"/>
      <c r="AY3587" s="48"/>
      <c r="AZ3587" s="48"/>
      <c r="BA3587" s="48"/>
      <c r="BB3587" s="14"/>
      <c r="BC3587" s="48"/>
      <c r="BD3587" s="48"/>
      <c r="BE3587" s="48"/>
      <c r="BF3587" s="48"/>
      <c r="BG3587" s="48"/>
      <c r="BH3587" s="48"/>
      <c r="BI3587" s="48"/>
      <c r="BJ3587" s="48"/>
      <c r="BK3587" s="48"/>
      <c r="BL3587" s="48"/>
      <c r="BM3587" s="48"/>
      <c r="BN3587" s="48"/>
      <c r="BO3587" s="48"/>
      <c r="BP3587" s="48"/>
      <c r="BQ3587" s="48"/>
      <c r="BR3587" s="48"/>
      <c r="BS3587" s="48"/>
      <c r="BT3587" s="48"/>
      <c r="BU3587" s="48"/>
      <c r="BV3587" s="48"/>
      <c r="BW3587" s="48"/>
      <c r="BX3587" s="48"/>
      <c r="BY3587" s="48"/>
      <c r="BZ3587" s="48"/>
      <c r="CA3587" s="48"/>
      <c r="CB3587" s="48"/>
      <c r="CC3587" s="48"/>
      <c r="CD3587" s="48"/>
      <c r="CE3587" s="48"/>
      <c r="CF3587" s="48"/>
      <c r="CG3587" s="48"/>
      <c r="CH3587" s="48"/>
      <c r="CI3587" s="48"/>
      <c r="CJ3587" s="48"/>
      <c r="CK3587" s="48"/>
      <c r="CL3587" s="48"/>
      <c r="CM3587" s="48"/>
      <c r="CN3587" s="48"/>
      <c r="CO3587" s="48"/>
      <c r="CP3587" s="48"/>
      <c r="CQ3587" s="48"/>
      <c r="CR3587" s="48"/>
      <c r="CS3587" s="48"/>
      <c r="CT3587" s="48"/>
      <c r="CU3587" s="48"/>
      <c r="CV3587" s="48"/>
      <c r="CW3587" s="48"/>
      <c r="CX3587" s="48"/>
      <c r="CY3587" s="48"/>
      <c r="CZ3587" s="48"/>
    </row>
    <row r="3588" spans="27:104" s="4" customFormat="1" x14ac:dyDescent="0.3">
      <c r="AA3588" s="48"/>
      <c r="AB3588" s="48"/>
      <c r="AC3588" s="48"/>
      <c r="AD3588" s="48"/>
      <c r="AE3588" s="48"/>
      <c r="AF3588" s="48"/>
      <c r="AG3588" s="48"/>
      <c r="AH3588" s="48"/>
      <c r="AI3588" s="48"/>
      <c r="AJ3588" s="48"/>
      <c r="AK3588" s="48"/>
      <c r="AL3588" s="48"/>
      <c r="AM3588" s="48"/>
      <c r="AN3588" s="48"/>
      <c r="AO3588" s="48"/>
      <c r="AP3588" s="48"/>
      <c r="AQ3588" s="48"/>
      <c r="AR3588" s="48"/>
      <c r="AS3588" s="48"/>
      <c r="AT3588" s="48"/>
      <c r="AU3588" s="48"/>
      <c r="AV3588" s="48"/>
      <c r="AW3588" s="48"/>
      <c r="AX3588" s="48"/>
      <c r="AY3588" s="48"/>
      <c r="AZ3588" s="48"/>
      <c r="BA3588" s="48"/>
      <c r="BB3588" s="14"/>
      <c r="BC3588" s="48"/>
      <c r="BD3588" s="48"/>
      <c r="BE3588" s="48"/>
      <c r="BF3588" s="48"/>
      <c r="BG3588" s="48"/>
      <c r="BH3588" s="48"/>
      <c r="BI3588" s="48"/>
      <c r="BJ3588" s="48"/>
      <c r="BK3588" s="48"/>
      <c r="BL3588" s="48"/>
      <c r="BM3588" s="48"/>
      <c r="BN3588" s="48"/>
      <c r="BO3588" s="48"/>
      <c r="BP3588" s="48"/>
      <c r="BQ3588" s="48"/>
      <c r="BR3588" s="48"/>
      <c r="BS3588" s="48"/>
      <c r="BT3588" s="48"/>
      <c r="BU3588" s="48"/>
      <c r="BV3588" s="48"/>
      <c r="BW3588" s="48"/>
      <c r="BX3588" s="48"/>
      <c r="BY3588" s="48"/>
      <c r="BZ3588" s="48"/>
      <c r="CA3588" s="48"/>
      <c r="CB3588" s="48"/>
      <c r="CC3588" s="48"/>
      <c r="CD3588" s="48"/>
      <c r="CE3588" s="48"/>
      <c r="CF3588" s="48"/>
      <c r="CG3588" s="48"/>
      <c r="CH3588" s="48"/>
      <c r="CI3588" s="48"/>
      <c r="CJ3588" s="48"/>
      <c r="CK3588" s="48"/>
      <c r="CL3588" s="48"/>
      <c r="CM3588" s="48"/>
      <c r="CN3588" s="48"/>
      <c r="CO3588" s="48"/>
      <c r="CP3588" s="48"/>
      <c r="CQ3588" s="48"/>
      <c r="CR3588" s="48"/>
      <c r="CS3588" s="48"/>
      <c r="CT3588" s="48"/>
      <c r="CU3588" s="48"/>
      <c r="CV3588" s="48"/>
      <c r="CW3588" s="48"/>
      <c r="CX3588" s="48"/>
      <c r="CY3588" s="48"/>
      <c r="CZ3588" s="48"/>
    </row>
    <row r="3589" spans="27:104" s="4" customFormat="1" x14ac:dyDescent="0.3">
      <c r="AA3589" s="48"/>
      <c r="AB3589" s="48"/>
      <c r="AC3589" s="48"/>
      <c r="AD3589" s="48"/>
      <c r="AE3589" s="48"/>
      <c r="AF3589" s="48"/>
      <c r="AG3589" s="48"/>
      <c r="AH3589" s="48"/>
      <c r="AI3589" s="48"/>
      <c r="AJ3589" s="48"/>
      <c r="AK3589" s="48"/>
      <c r="AL3589" s="48"/>
      <c r="AM3589" s="48"/>
      <c r="AN3589" s="48"/>
      <c r="AO3589" s="48"/>
      <c r="AP3589" s="48"/>
      <c r="AQ3589" s="48"/>
      <c r="AR3589" s="48"/>
      <c r="AS3589" s="48"/>
      <c r="AT3589" s="48"/>
      <c r="AU3589" s="48"/>
      <c r="AV3589" s="48"/>
      <c r="AW3589" s="48"/>
      <c r="AX3589" s="48"/>
      <c r="AY3589" s="48"/>
      <c r="AZ3589" s="48"/>
      <c r="BA3589" s="48"/>
      <c r="BB3589" s="14"/>
      <c r="BC3589" s="48"/>
      <c r="BD3589" s="48"/>
      <c r="BE3589" s="48"/>
      <c r="BF3589" s="48"/>
      <c r="BG3589" s="48"/>
      <c r="BH3589" s="48"/>
      <c r="BI3589" s="48"/>
      <c r="BJ3589" s="48"/>
      <c r="BK3589" s="48"/>
      <c r="BL3589" s="48"/>
      <c r="BM3589" s="48"/>
      <c r="BN3589" s="48"/>
      <c r="BO3589" s="48"/>
      <c r="BP3589" s="48"/>
      <c r="BQ3589" s="48"/>
      <c r="BR3589" s="48"/>
      <c r="BS3589" s="48"/>
      <c r="BT3589" s="48"/>
      <c r="BU3589" s="48"/>
      <c r="BV3589" s="48"/>
      <c r="BW3589" s="48"/>
      <c r="BX3589" s="48"/>
      <c r="BY3589" s="48"/>
      <c r="BZ3589" s="48"/>
      <c r="CA3589" s="48"/>
      <c r="CB3589" s="48"/>
      <c r="CC3589" s="48"/>
      <c r="CD3589" s="48"/>
      <c r="CE3589" s="48"/>
      <c r="CF3589" s="48"/>
      <c r="CG3589" s="48"/>
      <c r="CH3589" s="48"/>
      <c r="CI3589" s="48"/>
      <c r="CJ3589" s="48"/>
      <c r="CK3589" s="48"/>
      <c r="CL3589" s="48"/>
      <c r="CM3589" s="48"/>
      <c r="CN3589" s="48"/>
      <c r="CO3589" s="48"/>
      <c r="CP3589" s="48"/>
      <c r="CQ3589" s="48"/>
      <c r="CR3589" s="48"/>
      <c r="CS3589" s="48"/>
      <c r="CT3589" s="48"/>
      <c r="CU3589" s="48"/>
      <c r="CV3589" s="48"/>
      <c r="CW3589" s="48"/>
      <c r="CX3589" s="48"/>
      <c r="CY3589" s="48"/>
      <c r="CZ3589" s="48"/>
    </row>
    <row r="3590" spans="27:104" s="4" customFormat="1" x14ac:dyDescent="0.3">
      <c r="AA3590" s="48"/>
      <c r="AB3590" s="48"/>
      <c r="AC3590" s="48"/>
      <c r="AD3590" s="48"/>
      <c r="AE3590" s="48"/>
      <c r="AF3590" s="48"/>
      <c r="AG3590" s="48"/>
      <c r="AH3590" s="48"/>
      <c r="AI3590" s="48"/>
      <c r="AJ3590" s="48"/>
      <c r="AK3590" s="48"/>
      <c r="AL3590" s="48"/>
      <c r="AM3590" s="48"/>
      <c r="AN3590" s="48"/>
      <c r="AO3590" s="48"/>
      <c r="AP3590" s="48"/>
      <c r="AQ3590" s="48"/>
      <c r="AR3590" s="48"/>
      <c r="AS3590" s="48"/>
      <c r="AT3590" s="48"/>
      <c r="AU3590" s="48"/>
      <c r="AV3590" s="48"/>
      <c r="AW3590" s="48"/>
      <c r="AX3590" s="48"/>
      <c r="AY3590" s="48"/>
      <c r="AZ3590" s="48"/>
      <c r="BA3590" s="48"/>
      <c r="BB3590" s="14"/>
      <c r="BC3590" s="48"/>
      <c r="BD3590" s="48"/>
      <c r="BE3590" s="48"/>
      <c r="BF3590" s="48"/>
      <c r="BG3590" s="48"/>
      <c r="BH3590" s="48"/>
      <c r="BI3590" s="48"/>
      <c r="BJ3590" s="48"/>
      <c r="BK3590" s="48"/>
      <c r="BL3590" s="48"/>
      <c r="BM3590" s="48"/>
      <c r="BN3590" s="48"/>
      <c r="BO3590" s="48"/>
      <c r="BP3590" s="48"/>
      <c r="BQ3590" s="48"/>
      <c r="BR3590" s="48"/>
      <c r="BS3590" s="48"/>
      <c r="BT3590" s="48"/>
      <c r="BU3590" s="48"/>
      <c r="BV3590" s="48"/>
      <c r="BW3590" s="48"/>
      <c r="BX3590" s="48"/>
      <c r="BY3590" s="48"/>
      <c r="BZ3590" s="48"/>
      <c r="CA3590" s="48"/>
      <c r="CB3590" s="48"/>
      <c r="CC3590" s="48"/>
      <c r="CD3590" s="48"/>
      <c r="CE3590" s="48"/>
      <c r="CF3590" s="48"/>
      <c r="CG3590" s="48"/>
      <c r="CH3590" s="48"/>
      <c r="CI3590" s="48"/>
      <c r="CJ3590" s="48"/>
      <c r="CK3590" s="48"/>
      <c r="CL3590" s="48"/>
      <c r="CM3590" s="48"/>
      <c r="CN3590" s="48"/>
      <c r="CO3590" s="48"/>
      <c r="CP3590" s="48"/>
      <c r="CQ3590" s="48"/>
      <c r="CR3590" s="48"/>
      <c r="CS3590" s="48"/>
      <c r="CT3590" s="48"/>
      <c r="CU3590" s="48"/>
      <c r="CV3590" s="48"/>
      <c r="CW3590" s="48"/>
      <c r="CX3590" s="48"/>
      <c r="CY3590" s="48"/>
      <c r="CZ3590" s="48"/>
    </row>
    <row r="3591" spans="27:104" s="4" customFormat="1" x14ac:dyDescent="0.3">
      <c r="AA3591" s="48"/>
      <c r="AB3591" s="48"/>
      <c r="AC3591" s="48"/>
      <c r="AD3591" s="48"/>
      <c r="AE3591" s="48"/>
      <c r="AF3591" s="48"/>
      <c r="AG3591" s="48"/>
      <c r="AH3591" s="48"/>
      <c r="AI3591" s="48"/>
      <c r="AJ3591" s="48"/>
      <c r="AK3591" s="48"/>
      <c r="AL3591" s="48"/>
      <c r="AM3591" s="48"/>
      <c r="AN3591" s="48"/>
      <c r="AO3591" s="48"/>
      <c r="AP3591" s="48"/>
      <c r="AQ3591" s="48"/>
      <c r="AR3591" s="48"/>
      <c r="AS3591" s="48"/>
      <c r="AT3591" s="48"/>
      <c r="AU3591" s="48"/>
      <c r="AV3591" s="48"/>
      <c r="AW3591" s="48"/>
      <c r="AX3591" s="48"/>
      <c r="AY3591" s="48"/>
      <c r="AZ3591" s="48"/>
      <c r="BA3591" s="48"/>
      <c r="BB3591" s="14"/>
      <c r="BC3591" s="48"/>
      <c r="BD3591" s="48"/>
      <c r="BE3591" s="48"/>
      <c r="BF3591" s="48"/>
      <c r="BG3591" s="48"/>
      <c r="BH3591" s="48"/>
      <c r="BI3591" s="48"/>
      <c r="BJ3591" s="48"/>
      <c r="BK3591" s="48"/>
      <c r="BL3591" s="48"/>
      <c r="BM3591" s="48"/>
      <c r="BN3591" s="48"/>
      <c r="BO3591" s="48"/>
      <c r="BP3591" s="48"/>
      <c r="BQ3591" s="48"/>
      <c r="BR3591" s="48"/>
      <c r="BS3591" s="48"/>
      <c r="BT3591" s="48"/>
      <c r="BU3591" s="48"/>
      <c r="BV3591" s="48"/>
      <c r="BW3591" s="48"/>
      <c r="BX3591" s="48"/>
      <c r="BY3591" s="48"/>
      <c r="BZ3591" s="48"/>
      <c r="CA3591" s="48"/>
      <c r="CB3591" s="48"/>
      <c r="CC3591" s="48"/>
      <c r="CD3591" s="48"/>
      <c r="CE3591" s="48"/>
      <c r="CF3591" s="48"/>
      <c r="CG3591" s="48"/>
      <c r="CH3591" s="48"/>
      <c r="CI3591" s="48"/>
      <c r="CJ3591" s="48"/>
      <c r="CK3591" s="48"/>
      <c r="CL3591" s="48"/>
      <c r="CM3591" s="48"/>
      <c r="CN3591" s="48"/>
      <c r="CO3591" s="48"/>
      <c r="CP3591" s="48"/>
      <c r="CQ3591" s="48"/>
      <c r="CR3591" s="48"/>
      <c r="CS3591" s="48"/>
      <c r="CT3591" s="48"/>
      <c r="CU3591" s="48"/>
      <c r="CV3591" s="48"/>
      <c r="CW3591" s="48"/>
      <c r="CX3591" s="48"/>
      <c r="CY3591" s="48"/>
      <c r="CZ3591" s="48"/>
    </row>
    <row r="3592" spans="27:104" s="4" customFormat="1" x14ac:dyDescent="0.3">
      <c r="AA3592" s="48"/>
      <c r="AB3592" s="48"/>
      <c r="AC3592" s="48"/>
      <c r="AD3592" s="48"/>
      <c r="AE3592" s="48"/>
      <c r="AF3592" s="48"/>
      <c r="AG3592" s="48"/>
      <c r="AH3592" s="48"/>
      <c r="AI3592" s="48"/>
      <c r="AJ3592" s="48"/>
      <c r="AK3592" s="48"/>
      <c r="AL3592" s="48"/>
      <c r="AM3592" s="48"/>
      <c r="AN3592" s="48"/>
      <c r="AO3592" s="48"/>
      <c r="AP3592" s="48"/>
      <c r="AQ3592" s="48"/>
      <c r="AR3592" s="48"/>
      <c r="AS3592" s="48"/>
      <c r="AT3592" s="48"/>
      <c r="AU3592" s="48"/>
      <c r="AV3592" s="48"/>
      <c r="AW3592" s="48"/>
      <c r="AX3592" s="48"/>
      <c r="AY3592" s="48"/>
      <c r="AZ3592" s="48"/>
      <c r="BA3592" s="48"/>
      <c r="BB3592" s="14"/>
      <c r="BC3592" s="48"/>
      <c r="BD3592" s="48"/>
      <c r="BE3592" s="48"/>
      <c r="BF3592" s="48"/>
      <c r="BG3592" s="48"/>
      <c r="BH3592" s="48"/>
      <c r="BI3592" s="48"/>
      <c r="BJ3592" s="48"/>
      <c r="BK3592" s="48"/>
      <c r="BL3592" s="48"/>
      <c r="BM3592" s="48"/>
      <c r="BN3592" s="48"/>
      <c r="BO3592" s="48"/>
      <c r="BP3592" s="48"/>
      <c r="BQ3592" s="48"/>
      <c r="BR3592" s="48"/>
      <c r="BS3592" s="48"/>
      <c r="BT3592" s="48"/>
      <c r="BU3592" s="48"/>
      <c r="BV3592" s="48"/>
      <c r="BW3592" s="48"/>
      <c r="BX3592" s="48"/>
      <c r="BY3592" s="48"/>
      <c r="BZ3592" s="48"/>
      <c r="CA3592" s="48"/>
      <c r="CB3592" s="48"/>
      <c r="CC3592" s="48"/>
      <c r="CD3592" s="48"/>
      <c r="CE3592" s="48"/>
      <c r="CF3592" s="48"/>
      <c r="CG3592" s="48"/>
      <c r="CH3592" s="48"/>
      <c r="CI3592" s="48"/>
      <c r="CJ3592" s="48"/>
      <c r="CK3592" s="48"/>
      <c r="CL3592" s="48"/>
      <c r="CM3592" s="48"/>
      <c r="CN3592" s="48"/>
      <c r="CO3592" s="48"/>
      <c r="CP3592" s="48"/>
      <c r="CQ3592" s="48"/>
      <c r="CR3592" s="48"/>
      <c r="CS3592" s="48"/>
      <c r="CT3592" s="48"/>
      <c r="CU3592" s="48"/>
      <c r="CV3592" s="48"/>
      <c r="CW3592" s="48"/>
      <c r="CX3592" s="48"/>
      <c r="CY3592" s="48"/>
      <c r="CZ3592" s="48"/>
    </row>
    <row r="3593" spans="27:104" s="4" customFormat="1" x14ac:dyDescent="0.3">
      <c r="AA3593" s="48"/>
      <c r="AB3593" s="48"/>
      <c r="AC3593" s="48"/>
      <c r="AD3593" s="48"/>
      <c r="AE3593" s="48"/>
      <c r="AF3593" s="48"/>
      <c r="AG3593" s="48"/>
      <c r="AH3593" s="48"/>
      <c r="AI3593" s="48"/>
      <c r="AJ3593" s="48"/>
      <c r="AK3593" s="48"/>
      <c r="AL3593" s="48"/>
      <c r="AM3593" s="48"/>
      <c r="AN3593" s="48"/>
      <c r="AO3593" s="48"/>
      <c r="AP3593" s="48"/>
      <c r="AQ3593" s="48"/>
      <c r="AR3593" s="48"/>
      <c r="AS3593" s="48"/>
      <c r="AT3593" s="48"/>
      <c r="AU3593" s="48"/>
      <c r="AV3593" s="48"/>
      <c r="AW3593" s="48"/>
      <c r="AX3593" s="48"/>
      <c r="AY3593" s="48"/>
      <c r="AZ3593" s="48"/>
      <c r="BA3593" s="48"/>
      <c r="BB3593" s="14"/>
      <c r="BC3593" s="48"/>
      <c r="BD3593" s="48"/>
      <c r="BE3593" s="48"/>
      <c r="BF3593" s="48"/>
      <c r="BG3593" s="48"/>
      <c r="BH3593" s="48"/>
      <c r="BI3593" s="48"/>
      <c r="BJ3593" s="48"/>
      <c r="BK3593" s="48"/>
      <c r="BL3593" s="48"/>
      <c r="BM3593" s="48"/>
      <c r="BN3593" s="48"/>
      <c r="BO3593" s="48"/>
      <c r="BP3593" s="48"/>
      <c r="BQ3593" s="48"/>
      <c r="BR3593" s="48"/>
      <c r="BS3593" s="48"/>
      <c r="BT3593" s="48"/>
      <c r="BU3593" s="48"/>
      <c r="BV3593" s="48"/>
      <c r="BW3593" s="48"/>
      <c r="BX3593" s="48"/>
      <c r="BY3593" s="48"/>
      <c r="BZ3593" s="48"/>
      <c r="CA3593" s="48"/>
      <c r="CB3593" s="48"/>
      <c r="CC3593" s="48"/>
      <c r="CD3593" s="48"/>
      <c r="CE3593" s="48"/>
      <c r="CF3593" s="48"/>
      <c r="CG3593" s="48"/>
      <c r="CH3593" s="48"/>
      <c r="CI3593" s="48"/>
      <c r="CJ3593" s="48"/>
      <c r="CK3593" s="48"/>
      <c r="CL3593" s="48"/>
      <c r="CM3593" s="48"/>
      <c r="CN3593" s="48"/>
      <c r="CO3593" s="48"/>
      <c r="CP3593" s="48"/>
      <c r="CQ3593" s="48"/>
      <c r="CR3593" s="48"/>
      <c r="CS3593" s="48"/>
      <c r="CT3593" s="48"/>
      <c r="CU3593" s="48"/>
      <c r="CV3593" s="48"/>
      <c r="CW3593" s="48"/>
      <c r="CX3593" s="48"/>
      <c r="CY3593" s="48"/>
      <c r="CZ3593" s="48"/>
    </row>
    <row r="3594" spans="27:104" s="4" customFormat="1" x14ac:dyDescent="0.3">
      <c r="AA3594" s="48"/>
      <c r="AB3594" s="48"/>
      <c r="AC3594" s="48"/>
      <c r="AD3594" s="48"/>
      <c r="AE3594" s="48"/>
      <c r="AF3594" s="48"/>
      <c r="AG3594" s="48"/>
      <c r="AH3594" s="48"/>
      <c r="AI3594" s="48"/>
      <c r="AJ3594" s="48"/>
      <c r="AK3594" s="48"/>
      <c r="AL3594" s="48"/>
      <c r="AM3594" s="48"/>
      <c r="AN3594" s="48"/>
      <c r="AO3594" s="48"/>
      <c r="AP3594" s="48"/>
      <c r="AQ3594" s="48"/>
      <c r="AR3594" s="48"/>
      <c r="AS3594" s="48"/>
      <c r="AT3594" s="48"/>
      <c r="AU3594" s="48"/>
      <c r="AV3594" s="48"/>
      <c r="AW3594" s="48"/>
      <c r="AX3594" s="48"/>
      <c r="AY3594" s="48"/>
      <c r="AZ3594" s="48"/>
      <c r="BA3594" s="48"/>
      <c r="BB3594" s="14"/>
      <c r="BC3594" s="48"/>
      <c r="BD3594" s="48"/>
      <c r="BE3594" s="48"/>
      <c r="BF3594" s="48"/>
      <c r="BG3594" s="48"/>
      <c r="BH3594" s="48"/>
      <c r="BI3594" s="48"/>
      <c r="BJ3594" s="48"/>
      <c r="BK3594" s="48"/>
      <c r="BL3594" s="48"/>
      <c r="BM3594" s="48"/>
      <c r="BN3594" s="48"/>
      <c r="BO3594" s="48"/>
      <c r="BP3594" s="48"/>
      <c r="BQ3594" s="48"/>
      <c r="BR3594" s="48"/>
      <c r="BS3594" s="48"/>
      <c r="BT3594" s="48"/>
      <c r="BU3594" s="48"/>
      <c r="BV3594" s="48"/>
      <c r="BW3594" s="48"/>
      <c r="BX3594" s="48"/>
      <c r="BY3594" s="48"/>
      <c r="BZ3594" s="48"/>
      <c r="CA3594" s="48"/>
      <c r="CB3594" s="48"/>
      <c r="CC3594" s="48"/>
      <c r="CD3594" s="48"/>
      <c r="CE3594" s="48"/>
      <c r="CF3594" s="48"/>
      <c r="CG3594" s="48"/>
      <c r="CH3594" s="48"/>
      <c r="CI3594" s="48"/>
      <c r="CJ3594" s="48"/>
      <c r="CK3594" s="48"/>
      <c r="CL3594" s="48"/>
      <c r="CM3594" s="48"/>
      <c r="CN3594" s="48"/>
      <c r="CO3594" s="48"/>
      <c r="CP3594" s="48"/>
      <c r="CQ3594" s="48"/>
      <c r="CR3594" s="48"/>
      <c r="CS3594" s="48"/>
      <c r="CT3594" s="48"/>
      <c r="CU3594" s="48"/>
      <c r="CV3594" s="48"/>
      <c r="CW3594" s="48"/>
      <c r="CX3594" s="48"/>
      <c r="CY3594" s="48"/>
      <c r="CZ3594" s="48"/>
    </row>
    <row r="3595" spans="27:104" s="4" customFormat="1" x14ac:dyDescent="0.3">
      <c r="AA3595" s="48"/>
      <c r="AB3595" s="48"/>
      <c r="AC3595" s="48"/>
      <c r="AD3595" s="48"/>
      <c r="AE3595" s="48"/>
      <c r="AF3595" s="48"/>
      <c r="AG3595" s="48"/>
      <c r="AH3595" s="48"/>
      <c r="AI3595" s="48"/>
      <c r="AJ3595" s="48"/>
      <c r="AK3595" s="48"/>
      <c r="AL3595" s="48"/>
      <c r="AM3595" s="48"/>
      <c r="AN3595" s="48"/>
      <c r="AO3595" s="48"/>
      <c r="AP3595" s="48"/>
      <c r="AQ3595" s="48"/>
      <c r="AR3595" s="48"/>
      <c r="AS3595" s="48"/>
      <c r="AT3595" s="48"/>
      <c r="AU3595" s="48"/>
      <c r="AV3595" s="48"/>
      <c r="AW3595" s="48"/>
      <c r="AX3595" s="48"/>
      <c r="AY3595" s="48"/>
      <c r="AZ3595" s="48"/>
      <c r="BA3595" s="48"/>
      <c r="BB3595" s="14"/>
      <c r="BC3595" s="48"/>
      <c r="BD3595" s="48"/>
      <c r="BE3595" s="48"/>
      <c r="BF3595" s="48"/>
      <c r="BG3595" s="48"/>
      <c r="BH3595" s="48"/>
      <c r="BI3595" s="48"/>
      <c r="BJ3595" s="48"/>
      <c r="BK3595" s="48"/>
      <c r="BL3595" s="48"/>
      <c r="BM3595" s="48"/>
      <c r="BN3595" s="48"/>
      <c r="BO3595" s="48"/>
      <c r="BP3595" s="48"/>
      <c r="BQ3595" s="48"/>
      <c r="BR3595" s="48"/>
      <c r="BS3595" s="48"/>
      <c r="BT3595" s="48"/>
      <c r="BU3595" s="48"/>
      <c r="BV3595" s="48"/>
      <c r="BW3595" s="48"/>
      <c r="BX3595" s="48"/>
      <c r="BY3595" s="48"/>
      <c r="BZ3595" s="48"/>
      <c r="CA3595" s="48"/>
      <c r="CB3595" s="48"/>
      <c r="CC3595" s="48"/>
      <c r="CD3595" s="48"/>
      <c r="CE3595" s="48"/>
      <c r="CF3595" s="48"/>
      <c r="CG3595" s="48"/>
      <c r="CH3595" s="48"/>
      <c r="CI3595" s="48"/>
      <c r="CJ3595" s="48"/>
      <c r="CK3595" s="48"/>
      <c r="CL3595" s="48"/>
      <c r="CM3595" s="48"/>
      <c r="CN3595" s="48"/>
      <c r="CO3595" s="48"/>
      <c r="CP3595" s="48"/>
      <c r="CQ3595" s="48"/>
      <c r="CR3595" s="48"/>
      <c r="CS3595" s="48"/>
      <c r="CT3595" s="48"/>
      <c r="CU3595" s="48"/>
      <c r="CV3595" s="48"/>
      <c r="CW3595" s="48"/>
      <c r="CX3595" s="48"/>
      <c r="CY3595" s="48"/>
      <c r="CZ3595" s="48"/>
    </row>
    <row r="3596" spans="27:104" s="4" customFormat="1" x14ac:dyDescent="0.3">
      <c r="AA3596" s="48"/>
      <c r="AB3596" s="48"/>
      <c r="AC3596" s="48"/>
      <c r="AD3596" s="48"/>
      <c r="AE3596" s="48"/>
      <c r="AF3596" s="48"/>
      <c r="AG3596" s="48"/>
      <c r="AH3596" s="48"/>
      <c r="AI3596" s="48"/>
      <c r="AJ3596" s="48"/>
      <c r="AK3596" s="48"/>
      <c r="AL3596" s="48"/>
      <c r="AM3596" s="48"/>
      <c r="AN3596" s="48"/>
      <c r="AO3596" s="48"/>
      <c r="AP3596" s="48"/>
      <c r="AQ3596" s="48"/>
      <c r="AR3596" s="48"/>
      <c r="AS3596" s="48"/>
      <c r="AT3596" s="48"/>
      <c r="AU3596" s="48"/>
      <c r="AV3596" s="48"/>
      <c r="AW3596" s="48"/>
      <c r="AX3596" s="48"/>
      <c r="AY3596" s="48"/>
      <c r="AZ3596" s="48"/>
      <c r="BA3596" s="48"/>
      <c r="BB3596" s="14"/>
      <c r="BC3596" s="48"/>
      <c r="BD3596" s="48"/>
      <c r="BE3596" s="48"/>
      <c r="BF3596" s="48"/>
      <c r="BG3596" s="48"/>
      <c r="BH3596" s="48"/>
      <c r="BI3596" s="48"/>
      <c r="BJ3596" s="48"/>
      <c r="BK3596" s="48"/>
      <c r="BL3596" s="48"/>
      <c r="BM3596" s="48"/>
      <c r="BN3596" s="48"/>
      <c r="BO3596" s="48"/>
      <c r="BP3596" s="48"/>
      <c r="BQ3596" s="48"/>
      <c r="BR3596" s="48"/>
      <c r="BS3596" s="48"/>
      <c r="BT3596" s="48"/>
      <c r="BU3596" s="48"/>
      <c r="BV3596" s="48"/>
      <c r="BW3596" s="48"/>
      <c r="BX3596" s="48"/>
      <c r="BY3596" s="48"/>
      <c r="BZ3596" s="48"/>
      <c r="CA3596" s="48"/>
      <c r="CB3596" s="48"/>
      <c r="CC3596" s="48"/>
      <c r="CD3596" s="48"/>
      <c r="CE3596" s="48"/>
      <c r="CF3596" s="48"/>
      <c r="CG3596" s="48"/>
      <c r="CH3596" s="48"/>
      <c r="CI3596" s="48"/>
      <c r="CJ3596" s="48"/>
      <c r="CK3596" s="48"/>
      <c r="CL3596" s="48"/>
      <c r="CM3596" s="48"/>
      <c r="CN3596" s="48"/>
      <c r="CO3596" s="48"/>
      <c r="CP3596" s="48"/>
      <c r="CQ3596" s="48"/>
      <c r="CR3596" s="48"/>
      <c r="CS3596" s="48"/>
      <c r="CT3596" s="48"/>
      <c r="CU3596" s="48"/>
      <c r="CV3596" s="48"/>
      <c r="CW3596" s="48"/>
      <c r="CX3596" s="48"/>
      <c r="CY3596" s="48"/>
      <c r="CZ3596" s="48"/>
    </row>
    <row r="3597" spans="27:104" s="4" customFormat="1" x14ac:dyDescent="0.3">
      <c r="AA3597" s="48"/>
      <c r="AB3597" s="48"/>
      <c r="AC3597" s="48"/>
      <c r="AD3597" s="48"/>
      <c r="AE3597" s="48"/>
      <c r="AF3597" s="48"/>
      <c r="AG3597" s="48"/>
      <c r="AH3597" s="48"/>
      <c r="AI3597" s="48"/>
      <c r="AJ3597" s="48"/>
      <c r="AK3597" s="48"/>
      <c r="AL3597" s="48"/>
      <c r="AM3597" s="48"/>
      <c r="AN3597" s="48"/>
      <c r="AO3597" s="48"/>
      <c r="AP3597" s="48"/>
      <c r="AQ3597" s="48"/>
      <c r="AR3597" s="48"/>
      <c r="AS3597" s="48"/>
      <c r="AT3597" s="48"/>
      <c r="AU3597" s="48"/>
      <c r="AV3597" s="48"/>
      <c r="AW3597" s="48"/>
      <c r="AX3597" s="48"/>
      <c r="AY3597" s="48"/>
      <c r="AZ3597" s="48"/>
      <c r="BA3597" s="48"/>
      <c r="BB3597" s="14"/>
      <c r="BC3597" s="48"/>
      <c r="BD3597" s="48"/>
      <c r="BE3597" s="48"/>
      <c r="BF3597" s="48"/>
      <c r="BG3597" s="48"/>
      <c r="BH3597" s="48"/>
      <c r="BI3597" s="48"/>
      <c r="BJ3597" s="48"/>
      <c r="BK3597" s="48"/>
      <c r="BL3597" s="48"/>
      <c r="BM3597" s="48"/>
      <c r="BN3597" s="48"/>
      <c r="BO3597" s="48"/>
      <c r="BP3597" s="48"/>
      <c r="BQ3597" s="48"/>
      <c r="BR3597" s="48"/>
      <c r="BS3597" s="48"/>
      <c r="BT3597" s="48"/>
      <c r="BU3597" s="48"/>
      <c r="BV3597" s="48"/>
      <c r="BW3597" s="48"/>
      <c r="BX3597" s="48"/>
      <c r="BY3597" s="48"/>
      <c r="BZ3597" s="48"/>
      <c r="CA3597" s="48"/>
      <c r="CB3597" s="48"/>
      <c r="CC3597" s="48"/>
      <c r="CD3597" s="48"/>
      <c r="CE3597" s="48"/>
      <c r="CF3597" s="48"/>
      <c r="CG3597" s="48"/>
      <c r="CH3597" s="48"/>
      <c r="CI3597" s="48"/>
      <c r="CJ3597" s="48"/>
      <c r="CK3597" s="48"/>
      <c r="CL3597" s="48"/>
      <c r="CM3597" s="48"/>
      <c r="CN3597" s="48"/>
      <c r="CO3597" s="48"/>
      <c r="CP3597" s="48"/>
      <c r="CQ3597" s="48"/>
      <c r="CR3597" s="48"/>
      <c r="CS3597" s="48"/>
      <c r="CT3597" s="48"/>
      <c r="CU3597" s="48"/>
      <c r="CV3597" s="48"/>
      <c r="CW3597" s="48"/>
      <c r="CX3597" s="48"/>
      <c r="CY3597" s="48"/>
      <c r="CZ3597" s="48"/>
    </row>
    <row r="3598" spans="27:104" s="4" customFormat="1" x14ac:dyDescent="0.3">
      <c r="AA3598" s="48"/>
      <c r="AB3598" s="48"/>
      <c r="AC3598" s="48"/>
      <c r="AD3598" s="48"/>
      <c r="AE3598" s="48"/>
      <c r="AF3598" s="48"/>
      <c r="AG3598" s="48"/>
      <c r="AH3598" s="48"/>
      <c r="AI3598" s="48"/>
      <c r="AJ3598" s="48"/>
      <c r="AK3598" s="48"/>
      <c r="AL3598" s="48"/>
      <c r="AM3598" s="48"/>
      <c r="AN3598" s="48"/>
      <c r="AO3598" s="48"/>
      <c r="AP3598" s="48"/>
      <c r="AQ3598" s="48"/>
      <c r="AR3598" s="48"/>
      <c r="AS3598" s="48"/>
      <c r="AT3598" s="48"/>
      <c r="AU3598" s="48"/>
      <c r="AV3598" s="48"/>
      <c r="AW3598" s="48"/>
      <c r="AX3598" s="48"/>
      <c r="AY3598" s="48"/>
      <c r="AZ3598" s="48"/>
      <c r="BA3598" s="48"/>
      <c r="BB3598" s="14"/>
      <c r="BC3598" s="48"/>
      <c r="BD3598" s="48"/>
      <c r="BE3598" s="48"/>
      <c r="BF3598" s="48"/>
      <c r="BG3598" s="48"/>
      <c r="BH3598" s="48"/>
      <c r="BI3598" s="48"/>
      <c r="BJ3598" s="48"/>
      <c r="BK3598" s="48"/>
      <c r="BL3598" s="48"/>
      <c r="BM3598" s="48"/>
      <c r="BN3598" s="48"/>
      <c r="BO3598" s="48"/>
      <c r="BP3598" s="48"/>
      <c r="BQ3598" s="48"/>
      <c r="BR3598" s="48"/>
      <c r="BS3598" s="48"/>
      <c r="BT3598" s="48"/>
      <c r="BU3598" s="48"/>
      <c r="BV3598" s="48"/>
      <c r="BW3598" s="48"/>
      <c r="BX3598" s="48"/>
      <c r="BY3598" s="48"/>
      <c r="BZ3598" s="48"/>
      <c r="CA3598" s="48"/>
      <c r="CB3598" s="48"/>
      <c r="CC3598" s="48"/>
      <c r="CD3598" s="48"/>
      <c r="CE3598" s="48"/>
      <c r="CF3598" s="48"/>
      <c r="CG3598" s="48"/>
      <c r="CH3598" s="48"/>
      <c r="CI3598" s="48"/>
      <c r="CJ3598" s="48"/>
      <c r="CK3598" s="48"/>
      <c r="CL3598" s="48"/>
      <c r="CM3598" s="48"/>
      <c r="CN3598" s="48"/>
      <c r="CO3598" s="48"/>
      <c r="CP3598" s="48"/>
      <c r="CQ3598" s="48"/>
      <c r="CR3598" s="48"/>
      <c r="CS3598" s="48"/>
      <c r="CT3598" s="48"/>
      <c r="CU3598" s="48"/>
      <c r="CV3598" s="48"/>
      <c r="CW3598" s="48"/>
      <c r="CX3598" s="48"/>
      <c r="CY3598" s="48"/>
      <c r="CZ3598" s="48"/>
    </row>
    <row r="3599" spans="27:104" s="4" customFormat="1" x14ac:dyDescent="0.3">
      <c r="AA3599" s="48"/>
      <c r="AB3599" s="48"/>
      <c r="AC3599" s="48"/>
      <c r="AD3599" s="48"/>
      <c r="AE3599" s="48"/>
      <c r="AF3599" s="48"/>
      <c r="AG3599" s="48"/>
      <c r="AH3599" s="48"/>
      <c r="AI3599" s="48"/>
      <c r="AJ3599" s="48"/>
      <c r="AK3599" s="48"/>
      <c r="AL3599" s="48"/>
      <c r="AM3599" s="48"/>
      <c r="AN3599" s="48"/>
      <c r="AO3599" s="48"/>
      <c r="AP3599" s="48"/>
      <c r="AQ3599" s="48"/>
      <c r="AR3599" s="48"/>
      <c r="AS3599" s="48"/>
      <c r="AT3599" s="48"/>
      <c r="AU3599" s="48"/>
      <c r="AV3599" s="48"/>
      <c r="AW3599" s="48"/>
      <c r="AX3599" s="48"/>
      <c r="AY3599" s="48"/>
      <c r="AZ3599" s="48"/>
      <c r="BA3599" s="48"/>
      <c r="BB3599" s="14"/>
      <c r="BC3599" s="48"/>
      <c r="BD3599" s="48"/>
      <c r="BE3599" s="48"/>
      <c r="BF3599" s="48"/>
      <c r="BG3599" s="48"/>
      <c r="BH3599" s="48"/>
      <c r="BI3599" s="48"/>
      <c r="BJ3599" s="48"/>
      <c r="BK3599" s="48"/>
      <c r="BL3599" s="48"/>
      <c r="BM3599" s="48"/>
      <c r="BN3599" s="48"/>
      <c r="BO3599" s="48"/>
      <c r="BP3599" s="48"/>
      <c r="BQ3599" s="48"/>
      <c r="BR3599" s="48"/>
      <c r="BS3599" s="48"/>
      <c r="BT3599" s="48"/>
      <c r="BU3599" s="48"/>
      <c r="BV3599" s="48"/>
      <c r="BW3599" s="48"/>
      <c r="BX3599" s="48"/>
      <c r="BY3599" s="48"/>
      <c r="BZ3599" s="48"/>
      <c r="CA3599" s="48"/>
      <c r="CB3599" s="48"/>
      <c r="CC3599" s="48"/>
      <c r="CD3599" s="48"/>
      <c r="CE3599" s="48"/>
      <c r="CF3599" s="48"/>
      <c r="CG3599" s="48"/>
      <c r="CH3599" s="48"/>
      <c r="CI3599" s="48"/>
      <c r="CJ3599" s="48"/>
      <c r="CK3599" s="48"/>
      <c r="CL3599" s="48"/>
      <c r="CM3599" s="48"/>
      <c r="CN3599" s="48"/>
      <c r="CO3599" s="48"/>
      <c r="CP3599" s="48"/>
      <c r="CQ3599" s="48"/>
      <c r="CR3599" s="48"/>
      <c r="CS3599" s="48"/>
      <c r="CT3599" s="48"/>
      <c r="CU3599" s="48"/>
      <c r="CV3599" s="48"/>
      <c r="CW3599" s="48"/>
      <c r="CX3599" s="48"/>
      <c r="CY3599" s="48"/>
      <c r="CZ3599" s="48"/>
    </row>
    <row r="3600" spans="27:104" s="4" customFormat="1" x14ac:dyDescent="0.3">
      <c r="AA3600" s="48"/>
      <c r="AB3600" s="48"/>
      <c r="AC3600" s="48"/>
      <c r="AD3600" s="48"/>
      <c r="AE3600" s="48"/>
      <c r="AF3600" s="48"/>
      <c r="AG3600" s="48"/>
      <c r="AH3600" s="48"/>
      <c r="AI3600" s="48"/>
      <c r="AJ3600" s="48"/>
      <c r="AK3600" s="48"/>
      <c r="AL3600" s="48"/>
      <c r="AM3600" s="48"/>
      <c r="AN3600" s="48"/>
      <c r="AO3600" s="48"/>
      <c r="AP3600" s="48"/>
      <c r="AQ3600" s="48"/>
      <c r="AR3600" s="48"/>
      <c r="AS3600" s="48"/>
      <c r="AT3600" s="48"/>
      <c r="AU3600" s="48"/>
      <c r="AV3600" s="48"/>
      <c r="AW3600" s="48"/>
      <c r="AX3600" s="48"/>
      <c r="AY3600" s="48"/>
      <c r="AZ3600" s="48"/>
      <c r="BA3600" s="48"/>
      <c r="BB3600" s="14"/>
      <c r="BC3600" s="48"/>
      <c r="BD3600" s="48"/>
      <c r="BE3600" s="48"/>
      <c r="BF3600" s="48"/>
      <c r="BG3600" s="48"/>
      <c r="BH3600" s="48"/>
      <c r="BI3600" s="48"/>
      <c r="BJ3600" s="48"/>
      <c r="BK3600" s="48"/>
      <c r="BL3600" s="48"/>
      <c r="BM3600" s="48"/>
      <c r="BN3600" s="48"/>
      <c r="BO3600" s="48"/>
      <c r="BP3600" s="48"/>
      <c r="BQ3600" s="48"/>
      <c r="BR3600" s="48"/>
      <c r="BS3600" s="48"/>
      <c r="BT3600" s="48"/>
      <c r="BU3600" s="48"/>
      <c r="BV3600" s="48"/>
      <c r="BW3600" s="48"/>
      <c r="BX3600" s="48"/>
      <c r="BY3600" s="48"/>
      <c r="BZ3600" s="48"/>
      <c r="CA3600" s="48"/>
      <c r="CB3600" s="48"/>
      <c r="CC3600" s="48"/>
      <c r="CD3600" s="48"/>
      <c r="CE3600" s="48"/>
      <c r="CF3600" s="48"/>
      <c r="CG3600" s="48"/>
      <c r="CH3600" s="48"/>
      <c r="CI3600" s="48"/>
      <c r="CJ3600" s="48"/>
      <c r="CK3600" s="48"/>
      <c r="CL3600" s="48"/>
      <c r="CM3600" s="48"/>
      <c r="CN3600" s="48"/>
      <c r="CO3600" s="48"/>
      <c r="CP3600" s="48"/>
      <c r="CQ3600" s="48"/>
      <c r="CR3600" s="48"/>
      <c r="CS3600" s="48"/>
      <c r="CT3600" s="48"/>
      <c r="CU3600" s="48"/>
      <c r="CV3600" s="48"/>
      <c r="CW3600" s="48"/>
      <c r="CX3600" s="48"/>
      <c r="CY3600" s="48"/>
      <c r="CZ3600" s="48"/>
    </row>
    <row r="3601" spans="27:104" s="4" customFormat="1" x14ac:dyDescent="0.3">
      <c r="AA3601" s="48"/>
      <c r="AB3601" s="48"/>
      <c r="AC3601" s="48"/>
      <c r="AD3601" s="48"/>
      <c r="AE3601" s="48"/>
      <c r="AF3601" s="48"/>
      <c r="AG3601" s="48"/>
      <c r="AH3601" s="48"/>
      <c r="AI3601" s="48"/>
      <c r="AJ3601" s="48"/>
      <c r="AK3601" s="48"/>
      <c r="AL3601" s="48"/>
      <c r="AM3601" s="48"/>
      <c r="AN3601" s="48"/>
      <c r="AO3601" s="48"/>
      <c r="AP3601" s="48"/>
      <c r="AQ3601" s="48"/>
      <c r="AR3601" s="48"/>
      <c r="AS3601" s="48"/>
      <c r="AT3601" s="48"/>
      <c r="AU3601" s="48"/>
      <c r="AV3601" s="48"/>
      <c r="AW3601" s="48"/>
      <c r="AX3601" s="48"/>
      <c r="AY3601" s="48"/>
      <c r="AZ3601" s="48"/>
      <c r="BA3601" s="48"/>
      <c r="BB3601" s="14"/>
      <c r="BC3601" s="48"/>
      <c r="BD3601" s="48"/>
      <c r="BE3601" s="48"/>
      <c r="BF3601" s="48"/>
      <c r="BG3601" s="48"/>
      <c r="BH3601" s="48"/>
      <c r="BI3601" s="48"/>
      <c r="BJ3601" s="48"/>
      <c r="BK3601" s="48"/>
      <c r="BL3601" s="48"/>
      <c r="BM3601" s="48"/>
      <c r="BN3601" s="48"/>
      <c r="BO3601" s="48"/>
      <c r="BP3601" s="48"/>
      <c r="BQ3601" s="48"/>
      <c r="BR3601" s="48"/>
      <c r="BS3601" s="48"/>
      <c r="BT3601" s="48"/>
      <c r="BU3601" s="48"/>
      <c r="BV3601" s="48"/>
      <c r="BW3601" s="48"/>
      <c r="BX3601" s="48"/>
      <c r="BY3601" s="48"/>
      <c r="BZ3601" s="48"/>
      <c r="CA3601" s="48"/>
      <c r="CB3601" s="48"/>
      <c r="CC3601" s="48"/>
      <c r="CD3601" s="48"/>
      <c r="CE3601" s="48"/>
      <c r="CF3601" s="48"/>
      <c r="CG3601" s="48"/>
      <c r="CH3601" s="48"/>
      <c r="CI3601" s="48"/>
      <c r="CJ3601" s="48"/>
      <c r="CK3601" s="48"/>
      <c r="CL3601" s="48"/>
      <c r="CM3601" s="48"/>
      <c r="CN3601" s="48"/>
      <c r="CO3601" s="48"/>
      <c r="CP3601" s="48"/>
      <c r="CQ3601" s="48"/>
      <c r="CR3601" s="48"/>
      <c r="CS3601" s="48"/>
      <c r="CT3601" s="48"/>
      <c r="CU3601" s="48"/>
      <c r="CV3601" s="48"/>
      <c r="CW3601" s="48"/>
      <c r="CX3601" s="48"/>
      <c r="CY3601" s="48"/>
      <c r="CZ3601" s="48"/>
    </row>
    <row r="3602" spans="27:104" s="4" customFormat="1" x14ac:dyDescent="0.3">
      <c r="AA3602" s="48"/>
      <c r="AB3602" s="48"/>
      <c r="AC3602" s="48"/>
      <c r="AD3602" s="48"/>
      <c r="AE3602" s="48"/>
      <c r="AF3602" s="48"/>
      <c r="AG3602" s="48"/>
      <c r="AH3602" s="48"/>
      <c r="AI3602" s="48"/>
      <c r="AJ3602" s="48"/>
      <c r="AK3602" s="48"/>
      <c r="AL3602" s="48"/>
      <c r="AM3602" s="48"/>
      <c r="AN3602" s="48"/>
      <c r="AO3602" s="48"/>
      <c r="AP3602" s="48"/>
      <c r="AQ3602" s="48"/>
      <c r="AR3602" s="48"/>
      <c r="AS3602" s="48"/>
      <c r="AT3602" s="48"/>
      <c r="AU3602" s="48"/>
      <c r="AV3602" s="48"/>
      <c r="AW3602" s="48"/>
      <c r="AX3602" s="48"/>
      <c r="AY3602" s="48"/>
      <c r="AZ3602" s="48"/>
      <c r="BA3602" s="48"/>
      <c r="BB3602" s="14"/>
      <c r="BC3602" s="48"/>
      <c r="BD3602" s="48"/>
      <c r="BE3602" s="48"/>
      <c r="BF3602" s="48"/>
      <c r="BG3602" s="48"/>
      <c r="BH3602" s="48"/>
      <c r="BI3602" s="48"/>
      <c r="BJ3602" s="48"/>
      <c r="BK3602" s="48"/>
      <c r="BL3602" s="48"/>
      <c r="BM3602" s="48"/>
      <c r="BN3602" s="48"/>
      <c r="BO3602" s="48"/>
      <c r="BP3602" s="48"/>
      <c r="BQ3602" s="48"/>
      <c r="BR3602" s="48"/>
      <c r="BS3602" s="48"/>
      <c r="BT3602" s="48"/>
      <c r="BU3602" s="48"/>
      <c r="BV3602" s="48"/>
      <c r="BW3602" s="48"/>
      <c r="BX3602" s="48"/>
      <c r="BY3602" s="48"/>
      <c r="BZ3602" s="48"/>
      <c r="CA3602" s="48"/>
      <c r="CB3602" s="48"/>
      <c r="CC3602" s="48"/>
      <c r="CD3602" s="48"/>
      <c r="CE3602" s="48"/>
      <c r="CF3602" s="48"/>
      <c r="CG3602" s="48"/>
      <c r="CH3602" s="48"/>
      <c r="CI3602" s="48"/>
      <c r="CJ3602" s="48"/>
      <c r="CK3602" s="48"/>
      <c r="CL3602" s="48"/>
      <c r="CM3602" s="48"/>
      <c r="CN3602" s="48"/>
      <c r="CO3602" s="48"/>
      <c r="CP3602" s="48"/>
      <c r="CQ3602" s="48"/>
      <c r="CR3602" s="48"/>
      <c r="CS3602" s="48"/>
      <c r="CT3602" s="48"/>
      <c r="CU3602" s="48"/>
      <c r="CV3602" s="48"/>
      <c r="CW3602" s="48"/>
      <c r="CX3602" s="48"/>
      <c r="CY3602" s="48"/>
      <c r="CZ3602" s="48"/>
    </row>
    <row r="3603" spans="27:104" s="4" customFormat="1" x14ac:dyDescent="0.3">
      <c r="AA3603" s="48"/>
      <c r="AB3603" s="48"/>
      <c r="AC3603" s="48"/>
      <c r="AD3603" s="48"/>
      <c r="AE3603" s="48"/>
      <c r="AF3603" s="48"/>
      <c r="AG3603" s="48"/>
      <c r="AH3603" s="48"/>
      <c r="AI3603" s="48"/>
      <c r="AJ3603" s="48"/>
      <c r="AK3603" s="48"/>
      <c r="AL3603" s="48"/>
      <c r="AM3603" s="48"/>
      <c r="AN3603" s="48"/>
      <c r="AO3603" s="48"/>
      <c r="AP3603" s="48"/>
      <c r="AQ3603" s="48"/>
      <c r="AR3603" s="48"/>
      <c r="AS3603" s="48"/>
      <c r="AT3603" s="48"/>
      <c r="AU3603" s="48"/>
      <c r="AV3603" s="48"/>
      <c r="AW3603" s="48"/>
      <c r="AX3603" s="48"/>
      <c r="AY3603" s="48"/>
      <c r="AZ3603" s="48"/>
      <c r="BA3603" s="48"/>
      <c r="BB3603" s="14"/>
      <c r="BC3603" s="48"/>
      <c r="BD3603" s="48"/>
      <c r="BE3603" s="48"/>
      <c r="BF3603" s="48"/>
      <c r="BG3603" s="48"/>
      <c r="BH3603" s="48"/>
      <c r="BI3603" s="48"/>
      <c r="BJ3603" s="48"/>
      <c r="BK3603" s="48"/>
      <c r="BL3603" s="48"/>
      <c r="BM3603" s="48"/>
      <c r="BN3603" s="48"/>
      <c r="BO3603" s="48"/>
      <c r="BP3603" s="48"/>
      <c r="BQ3603" s="48"/>
      <c r="BR3603" s="48"/>
      <c r="BS3603" s="48"/>
      <c r="BT3603" s="48"/>
      <c r="BU3603" s="48"/>
      <c r="BV3603" s="48"/>
      <c r="BW3603" s="48"/>
      <c r="BX3603" s="48"/>
      <c r="BY3603" s="48"/>
      <c r="BZ3603" s="48"/>
      <c r="CA3603" s="48"/>
      <c r="CB3603" s="48"/>
      <c r="CC3603" s="48"/>
      <c r="CD3603" s="48"/>
      <c r="CE3603" s="48"/>
      <c r="CF3603" s="48"/>
      <c r="CG3603" s="48"/>
      <c r="CH3603" s="48"/>
      <c r="CI3603" s="48"/>
      <c r="CJ3603" s="48"/>
      <c r="CK3603" s="48"/>
      <c r="CL3603" s="48"/>
      <c r="CM3603" s="48"/>
      <c r="CN3603" s="48"/>
      <c r="CO3603" s="48"/>
      <c r="CP3603" s="48"/>
      <c r="CQ3603" s="48"/>
      <c r="CR3603" s="48"/>
      <c r="CS3603" s="48"/>
      <c r="CT3603" s="48"/>
      <c r="CU3603" s="48"/>
      <c r="CV3603" s="48"/>
      <c r="CW3603" s="48"/>
      <c r="CX3603" s="48"/>
      <c r="CY3603" s="48"/>
      <c r="CZ3603" s="48"/>
    </row>
    <row r="3604" spans="27:104" s="4" customFormat="1" x14ac:dyDescent="0.3">
      <c r="AA3604" s="48"/>
      <c r="AB3604" s="48"/>
      <c r="AC3604" s="48"/>
      <c r="AD3604" s="48"/>
      <c r="AE3604" s="48"/>
      <c r="AF3604" s="48"/>
      <c r="AG3604" s="48"/>
      <c r="AH3604" s="48"/>
      <c r="AI3604" s="48"/>
      <c r="AJ3604" s="48"/>
      <c r="AK3604" s="48"/>
      <c r="AL3604" s="48"/>
      <c r="AM3604" s="48"/>
      <c r="AN3604" s="48"/>
      <c r="AO3604" s="48"/>
      <c r="AP3604" s="48"/>
      <c r="AQ3604" s="48"/>
      <c r="AR3604" s="48"/>
      <c r="AS3604" s="48"/>
      <c r="AT3604" s="48"/>
      <c r="AU3604" s="48"/>
      <c r="AV3604" s="48"/>
      <c r="AW3604" s="48"/>
      <c r="AX3604" s="48"/>
      <c r="AY3604" s="48"/>
      <c r="AZ3604" s="48"/>
      <c r="BA3604" s="48"/>
      <c r="BB3604" s="14"/>
      <c r="BC3604" s="48"/>
      <c r="BD3604" s="48"/>
      <c r="BE3604" s="48"/>
      <c r="BF3604" s="48"/>
      <c r="BG3604" s="48"/>
      <c r="BH3604" s="48"/>
      <c r="BI3604" s="48"/>
      <c r="BJ3604" s="48"/>
      <c r="BK3604" s="48"/>
      <c r="BL3604" s="48"/>
      <c r="BM3604" s="48"/>
      <c r="BN3604" s="48"/>
      <c r="BO3604" s="48"/>
      <c r="BP3604" s="48"/>
      <c r="BQ3604" s="48"/>
      <c r="BR3604" s="48"/>
      <c r="BS3604" s="48"/>
      <c r="BT3604" s="48"/>
      <c r="BU3604" s="48"/>
      <c r="BV3604" s="48"/>
      <c r="BW3604" s="48"/>
      <c r="BX3604" s="48"/>
      <c r="BY3604" s="48"/>
      <c r="BZ3604" s="48"/>
      <c r="CA3604" s="48"/>
      <c r="CB3604" s="48"/>
      <c r="CC3604" s="48"/>
      <c r="CD3604" s="48"/>
      <c r="CE3604" s="48"/>
      <c r="CF3604" s="48"/>
      <c r="CG3604" s="48"/>
      <c r="CH3604" s="48"/>
      <c r="CI3604" s="48"/>
      <c r="CJ3604" s="48"/>
      <c r="CK3604" s="48"/>
      <c r="CL3604" s="48"/>
      <c r="CM3604" s="48"/>
      <c r="CN3604" s="48"/>
      <c r="CO3604" s="48"/>
      <c r="CP3604" s="48"/>
      <c r="CQ3604" s="48"/>
      <c r="CR3604" s="48"/>
      <c r="CS3604" s="48"/>
      <c r="CT3604" s="48"/>
      <c r="CU3604" s="48"/>
      <c r="CV3604" s="48"/>
      <c r="CW3604" s="48"/>
      <c r="CX3604" s="48"/>
      <c r="CY3604" s="48"/>
      <c r="CZ3604" s="48"/>
    </row>
    <row r="3605" spans="27:104" s="4" customFormat="1" x14ac:dyDescent="0.3">
      <c r="AA3605" s="48"/>
      <c r="AB3605" s="48"/>
      <c r="AC3605" s="48"/>
      <c r="AD3605" s="48"/>
      <c r="AE3605" s="48"/>
      <c r="AF3605" s="48"/>
      <c r="AG3605" s="48"/>
      <c r="AH3605" s="48"/>
      <c r="AI3605" s="48"/>
      <c r="AJ3605" s="48"/>
      <c r="AK3605" s="48"/>
      <c r="AL3605" s="48"/>
      <c r="AM3605" s="48"/>
      <c r="AN3605" s="48"/>
      <c r="AO3605" s="48"/>
      <c r="AP3605" s="48"/>
      <c r="AQ3605" s="48"/>
      <c r="AR3605" s="48"/>
      <c r="AS3605" s="48"/>
      <c r="AT3605" s="48"/>
      <c r="AU3605" s="48"/>
      <c r="AV3605" s="48"/>
      <c r="AW3605" s="48"/>
      <c r="AX3605" s="48"/>
      <c r="AY3605" s="48"/>
      <c r="AZ3605" s="48"/>
      <c r="BA3605" s="48"/>
      <c r="BB3605" s="14"/>
      <c r="BC3605" s="48"/>
      <c r="BD3605" s="48"/>
      <c r="BE3605" s="48"/>
      <c r="BF3605" s="48"/>
      <c r="BG3605" s="48"/>
      <c r="BH3605" s="48"/>
      <c r="BI3605" s="48"/>
      <c r="BJ3605" s="48"/>
      <c r="BK3605" s="48"/>
      <c r="BL3605" s="48"/>
      <c r="BM3605" s="48"/>
      <c r="BN3605" s="48"/>
      <c r="BO3605" s="48"/>
      <c r="BP3605" s="48"/>
      <c r="BQ3605" s="48"/>
      <c r="BR3605" s="48"/>
      <c r="BS3605" s="48"/>
      <c r="BT3605" s="48"/>
      <c r="BU3605" s="48"/>
      <c r="BV3605" s="48"/>
      <c r="BW3605" s="48"/>
      <c r="BX3605" s="48"/>
      <c r="BY3605" s="48"/>
      <c r="BZ3605" s="48"/>
      <c r="CA3605" s="48"/>
      <c r="CB3605" s="48"/>
      <c r="CC3605" s="48"/>
      <c r="CD3605" s="48"/>
      <c r="CE3605" s="48"/>
      <c r="CF3605" s="48"/>
      <c r="CG3605" s="48"/>
      <c r="CH3605" s="48"/>
      <c r="CI3605" s="48"/>
      <c r="CJ3605" s="48"/>
      <c r="CK3605" s="48"/>
      <c r="CL3605" s="48"/>
      <c r="CM3605" s="48"/>
      <c r="CN3605" s="48"/>
      <c r="CO3605" s="48"/>
      <c r="CP3605" s="48"/>
      <c r="CQ3605" s="48"/>
      <c r="CR3605" s="48"/>
      <c r="CS3605" s="48"/>
      <c r="CT3605" s="48"/>
      <c r="CU3605" s="48"/>
      <c r="CV3605" s="48"/>
      <c r="CW3605" s="48"/>
      <c r="CX3605" s="48"/>
      <c r="CY3605" s="48"/>
      <c r="CZ3605" s="48"/>
    </row>
    <row r="3606" spans="27:104" s="4" customFormat="1" x14ac:dyDescent="0.3">
      <c r="AA3606" s="48"/>
      <c r="AB3606" s="48"/>
      <c r="AC3606" s="48"/>
      <c r="AD3606" s="48"/>
      <c r="AE3606" s="48"/>
      <c r="AF3606" s="48"/>
      <c r="AG3606" s="48"/>
      <c r="AH3606" s="48"/>
      <c r="AI3606" s="48"/>
      <c r="AJ3606" s="48"/>
      <c r="AK3606" s="48"/>
      <c r="AL3606" s="48"/>
      <c r="AM3606" s="48"/>
      <c r="AN3606" s="48"/>
      <c r="AO3606" s="48"/>
      <c r="AP3606" s="48"/>
      <c r="AQ3606" s="48"/>
      <c r="AR3606" s="48"/>
      <c r="AS3606" s="48"/>
      <c r="AT3606" s="48"/>
      <c r="AU3606" s="48"/>
      <c r="AV3606" s="48"/>
      <c r="AW3606" s="48"/>
      <c r="AX3606" s="48"/>
      <c r="AY3606" s="48"/>
      <c r="AZ3606" s="48"/>
      <c r="BA3606" s="48"/>
      <c r="BB3606" s="14"/>
      <c r="BC3606" s="48"/>
      <c r="BD3606" s="48"/>
      <c r="BE3606" s="48"/>
      <c r="BF3606" s="48"/>
      <c r="BG3606" s="48"/>
      <c r="BH3606" s="48"/>
      <c r="BI3606" s="48"/>
      <c r="BJ3606" s="48"/>
      <c r="BK3606" s="48"/>
      <c r="BL3606" s="48"/>
      <c r="BM3606" s="48"/>
      <c r="BN3606" s="48"/>
      <c r="BO3606" s="48"/>
      <c r="BP3606" s="48"/>
      <c r="BQ3606" s="48"/>
      <c r="BR3606" s="48"/>
      <c r="BS3606" s="48"/>
      <c r="BT3606" s="48"/>
      <c r="BU3606" s="48"/>
      <c r="BV3606" s="48"/>
      <c r="BW3606" s="48"/>
      <c r="BX3606" s="48"/>
      <c r="BY3606" s="48"/>
      <c r="BZ3606" s="48"/>
      <c r="CA3606" s="48"/>
      <c r="CB3606" s="48"/>
      <c r="CC3606" s="48"/>
      <c r="CD3606" s="48"/>
      <c r="CE3606" s="48"/>
      <c r="CF3606" s="48"/>
      <c r="CG3606" s="48"/>
      <c r="CH3606" s="48"/>
      <c r="CI3606" s="48"/>
      <c r="CJ3606" s="48"/>
      <c r="CK3606" s="48"/>
      <c r="CL3606" s="48"/>
      <c r="CM3606" s="48"/>
      <c r="CN3606" s="48"/>
      <c r="CO3606" s="48"/>
      <c r="CP3606" s="48"/>
      <c r="CQ3606" s="48"/>
      <c r="CR3606" s="48"/>
      <c r="CS3606" s="48"/>
      <c r="CT3606" s="48"/>
      <c r="CU3606" s="48"/>
      <c r="CV3606" s="48"/>
      <c r="CW3606" s="48"/>
      <c r="CX3606" s="48"/>
      <c r="CY3606" s="48"/>
      <c r="CZ3606" s="48"/>
    </row>
    <row r="3607" spans="27:104" s="4" customFormat="1" x14ac:dyDescent="0.3">
      <c r="AA3607" s="48"/>
      <c r="AB3607" s="48"/>
      <c r="AC3607" s="48"/>
      <c r="AD3607" s="48"/>
      <c r="AE3607" s="48"/>
      <c r="AF3607" s="48"/>
      <c r="AG3607" s="48"/>
      <c r="AH3607" s="48"/>
      <c r="AI3607" s="48"/>
      <c r="AJ3607" s="48"/>
      <c r="AK3607" s="48"/>
      <c r="AL3607" s="48"/>
      <c r="AM3607" s="48"/>
      <c r="AN3607" s="48"/>
      <c r="AO3607" s="48"/>
      <c r="AP3607" s="48"/>
      <c r="AQ3607" s="48"/>
      <c r="AR3607" s="48"/>
      <c r="AS3607" s="48"/>
      <c r="AT3607" s="48"/>
      <c r="AU3607" s="48"/>
      <c r="AV3607" s="48"/>
      <c r="AW3607" s="48"/>
      <c r="AX3607" s="48"/>
      <c r="AY3607" s="48"/>
      <c r="AZ3607" s="48"/>
      <c r="BA3607" s="48"/>
      <c r="BB3607" s="14"/>
      <c r="BC3607" s="48"/>
      <c r="BD3607" s="48"/>
      <c r="BE3607" s="48"/>
      <c r="BF3607" s="48"/>
      <c r="BG3607" s="48"/>
      <c r="BH3607" s="48"/>
      <c r="BI3607" s="48"/>
      <c r="BJ3607" s="48"/>
      <c r="BK3607" s="48"/>
      <c r="BL3607" s="48"/>
      <c r="BM3607" s="48"/>
      <c r="BN3607" s="48"/>
      <c r="BO3607" s="48"/>
      <c r="BP3607" s="48"/>
      <c r="BQ3607" s="48"/>
      <c r="BR3607" s="48"/>
      <c r="BS3607" s="48"/>
      <c r="BT3607" s="48"/>
      <c r="BU3607" s="48"/>
      <c r="BV3607" s="48"/>
      <c r="BW3607" s="48"/>
      <c r="BX3607" s="48"/>
      <c r="BY3607" s="48"/>
      <c r="BZ3607" s="48"/>
      <c r="CA3607" s="48"/>
      <c r="CB3607" s="48"/>
      <c r="CC3607" s="48"/>
      <c r="CD3607" s="48"/>
      <c r="CE3607" s="48"/>
      <c r="CF3607" s="48"/>
      <c r="CG3607" s="48"/>
      <c r="CH3607" s="48"/>
      <c r="CI3607" s="48"/>
      <c r="CJ3607" s="48"/>
      <c r="CK3607" s="48"/>
      <c r="CL3607" s="48"/>
      <c r="CM3607" s="48"/>
      <c r="CN3607" s="48"/>
      <c r="CO3607" s="48"/>
      <c r="CP3607" s="48"/>
      <c r="CQ3607" s="48"/>
      <c r="CR3607" s="48"/>
      <c r="CS3607" s="48"/>
      <c r="CT3607" s="48"/>
      <c r="CU3607" s="48"/>
      <c r="CV3607" s="48"/>
      <c r="CW3607" s="48"/>
      <c r="CX3607" s="48"/>
      <c r="CY3607" s="48"/>
      <c r="CZ3607" s="48"/>
    </row>
    <row r="3608" spans="27:104" s="4" customFormat="1" x14ac:dyDescent="0.3">
      <c r="AA3608" s="48"/>
      <c r="AB3608" s="48"/>
      <c r="AC3608" s="48"/>
      <c r="AD3608" s="48"/>
      <c r="AE3608" s="48"/>
      <c r="AF3608" s="48"/>
      <c r="AG3608" s="48"/>
      <c r="AH3608" s="48"/>
      <c r="AI3608" s="48"/>
      <c r="AJ3608" s="48"/>
      <c r="AK3608" s="48"/>
      <c r="AL3608" s="48"/>
      <c r="AM3608" s="48"/>
      <c r="AN3608" s="48"/>
      <c r="AO3608" s="48"/>
      <c r="AP3608" s="48"/>
      <c r="AQ3608" s="48"/>
      <c r="AR3608" s="48"/>
      <c r="AS3608" s="48"/>
      <c r="AT3608" s="48"/>
      <c r="AU3608" s="48"/>
      <c r="AV3608" s="48"/>
      <c r="AW3608" s="48"/>
      <c r="AX3608" s="48"/>
      <c r="AY3608" s="48"/>
      <c r="AZ3608" s="48"/>
      <c r="BA3608" s="48"/>
      <c r="BB3608" s="14"/>
      <c r="BC3608" s="48"/>
      <c r="BD3608" s="48"/>
      <c r="BE3608" s="48"/>
      <c r="BF3608" s="48"/>
      <c r="BG3608" s="48"/>
      <c r="BH3608" s="48"/>
      <c r="BI3608" s="48"/>
      <c r="BJ3608" s="48"/>
      <c r="BK3608" s="48"/>
      <c r="BL3608" s="48"/>
      <c r="BM3608" s="48"/>
      <c r="BN3608" s="48"/>
      <c r="BO3608" s="48"/>
      <c r="BP3608" s="48"/>
      <c r="BQ3608" s="48"/>
      <c r="BR3608" s="48"/>
      <c r="BS3608" s="48"/>
      <c r="BT3608" s="48"/>
      <c r="BU3608" s="48"/>
      <c r="BV3608" s="48"/>
      <c r="BW3608" s="48"/>
      <c r="BX3608" s="48"/>
      <c r="BY3608" s="48"/>
      <c r="BZ3608" s="48"/>
      <c r="CA3608" s="48"/>
      <c r="CB3608" s="48"/>
      <c r="CC3608" s="48"/>
      <c r="CD3608" s="48"/>
      <c r="CE3608" s="48"/>
      <c r="CF3608" s="48"/>
      <c r="CG3608" s="48"/>
      <c r="CH3608" s="48"/>
      <c r="CI3608" s="48"/>
      <c r="CJ3608" s="48"/>
      <c r="CK3608" s="48"/>
      <c r="CL3608" s="48"/>
      <c r="CM3608" s="48"/>
      <c r="CN3608" s="48"/>
      <c r="CO3608" s="48"/>
      <c r="CP3608" s="48"/>
      <c r="CQ3608" s="48"/>
      <c r="CR3608" s="48"/>
      <c r="CS3608" s="48"/>
      <c r="CT3608" s="48"/>
      <c r="CU3608" s="48"/>
      <c r="CV3608" s="48"/>
      <c r="CW3608" s="48"/>
      <c r="CX3608" s="48"/>
      <c r="CY3608" s="48"/>
      <c r="CZ3608" s="48"/>
    </row>
    <row r="3609" spans="27:104" s="4" customFormat="1" x14ac:dyDescent="0.3">
      <c r="AA3609" s="48"/>
      <c r="AB3609" s="48"/>
      <c r="AC3609" s="48"/>
      <c r="AD3609" s="48"/>
      <c r="AE3609" s="48"/>
      <c r="AF3609" s="48"/>
      <c r="AG3609" s="48"/>
      <c r="AH3609" s="48"/>
      <c r="AI3609" s="48"/>
      <c r="AJ3609" s="48"/>
      <c r="AK3609" s="48"/>
      <c r="AL3609" s="48"/>
      <c r="AM3609" s="48"/>
      <c r="AN3609" s="48"/>
      <c r="AO3609" s="48"/>
      <c r="AP3609" s="48"/>
      <c r="AQ3609" s="48"/>
      <c r="AR3609" s="48"/>
      <c r="AS3609" s="48"/>
      <c r="AT3609" s="48"/>
      <c r="AU3609" s="48"/>
      <c r="AV3609" s="48"/>
      <c r="AW3609" s="48"/>
      <c r="AX3609" s="48"/>
      <c r="AY3609" s="48"/>
      <c r="AZ3609" s="48"/>
      <c r="BA3609" s="48"/>
      <c r="BB3609" s="14"/>
      <c r="BC3609" s="48"/>
      <c r="BD3609" s="48"/>
      <c r="BE3609" s="48"/>
      <c r="BF3609" s="48"/>
      <c r="BG3609" s="48"/>
      <c r="BH3609" s="48"/>
      <c r="BI3609" s="48"/>
      <c r="BJ3609" s="48"/>
      <c r="BK3609" s="48"/>
      <c r="BL3609" s="48"/>
      <c r="BM3609" s="48"/>
      <c r="BN3609" s="48"/>
      <c r="BO3609" s="48"/>
      <c r="BP3609" s="48"/>
      <c r="BQ3609" s="48"/>
      <c r="BR3609" s="48"/>
      <c r="BS3609" s="48"/>
      <c r="BT3609" s="48"/>
      <c r="BU3609" s="48"/>
      <c r="BV3609" s="48"/>
      <c r="BW3609" s="48"/>
      <c r="BX3609" s="48"/>
      <c r="BY3609" s="48"/>
      <c r="BZ3609" s="48"/>
      <c r="CA3609" s="48"/>
      <c r="CB3609" s="48"/>
      <c r="CC3609" s="48"/>
      <c r="CD3609" s="48"/>
      <c r="CE3609" s="48"/>
      <c r="CF3609" s="48"/>
      <c r="CG3609" s="48"/>
      <c r="CH3609" s="48"/>
      <c r="CI3609" s="48"/>
      <c r="CJ3609" s="48"/>
      <c r="CK3609" s="48"/>
      <c r="CL3609" s="48"/>
      <c r="CM3609" s="48"/>
      <c r="CN3609" s="48"/>
      <c r="CO3609" s="48"/>
      <c r="CP3609" s="48"/>
      <c r="CQ3609" s="48"/>
      <c r="CR3609" s="48"/>
      <c r="CS3609" s="48"/>
      <c r="CT3609" s="48"/>
      <c r="CU3609" s="48"/>
      <c r="CV3609" s="48"/>
      <c r="CW3609" s="48"/>
      <c r="CX3609" s="48"/>
      <c r="CY3609" s="48"/>
      <c r="CZ3609" s="48"/>
    </row>
    <row r="3610" spans="27:104" s="4" customFormat="1" x14ac:dyDescent="0.3">
      <c r="AA3610" s="48"/>
      <c r="AB3610" s="48"/>
      <c r="AC3610" s="48"/>
      <c r="AD3610" s="48"/>
      <c r="AE3610" s="48"/>
      <c r="AF3610" s="48"/>
      <c r="AG3610" s="48"/>
      <c r="AH3610" s="48"/>
      <c r="AI3610" s="48"/>
      <c r="AJ3610" s="48"/>
      <c r="AK3610" s="48"/>
      <c r="AL3610" s="48"/>
      <c r="AM3610" s="48"/>
      <c r="AN3610" s="48"/>
      <c r="AO3610" s="48"/>
      <c r="AP3610" s="48"/>
      <c r="AQ3610" s="48"/>
      <c r="AR3610" s="48"/>
      <c r="AS3610" s="48"/>
      <c r="AT3610" s="48"/>
      <c r="AU3610" s="48"/>
      <c r="AV3610" s="48"/>
      <c r="AW3610" s="48"/>
      <c r="AX3610" s="48"/>
      <c r="AY3610" s="48"/>
      <c r="AZ3610" s="48"/>
      <c r="BA3610" s="48"/>
      <c r="BB3610" s="14"/>
      <c r="BC3610" s="48"/>
      <c r="BD3610" s="48"/>
      <c r="BE3610" s="48"/>
      <c r="BF3610" s="48"/>
      <c r="BG3610" s="48"/>
      <c r="BH3610" s="48"/>
      <c r="BI3610" s="48"/>
      <c r="BJ3610" s="48"/>
      <c r="BK3610" s="48"/>
      <c r="BL3610" s="48"/>
      <c r="BM3610" s="48"/>
      <c r="BN3610" s="48"/>
      <c r="BO3610" s="48"/>
      <c r="BP3610" s="48"/>
      <c r="BQ3610" s="48"/>
      <c r="BR3610" s="48"/>
      <c r="BS3610" s="48"/>
      <c r="BT3610" s="48"/>
      <c r="BU3610" s="48"/>
      <c r="BV3610" s="48"/>
      <c r="BW3610" s="48"/>
      <c r="BX3610" s="48"/>
      <c r="BY3610" s="48"/>
      <c r="BZ3610" s="48"/>
      <c r="CA3610" s="48"/>
      <c r="CB3610" s="48"/>
      <c r="CC3610" s="48"/>
      <c r="CD3610" s="48"/>
      <c r="CE3610" s="48"/>
      <c r="CF3610" s="48"/>
      <c r="CG3610" s="48"/>
      <c r="CH3610" s="48"/>
      <c r="CI3610" s="48"/>
      <c r="CJ3610" s="48"/>
      <c r="CK3610" s="48"/>
      <c r="CL3610" s="48"/>
      <c r="CM3610" s="48"/>
      <c r="CN3610" s="48"/>
      <c r="CO3610" s="48"/>
      <c r="CP3610" s="48"/>
      <c r="CQ3610" s="48"/>
      <c r="CR3610" s="48"/>
      <c r="CS3610" s="48"/>
      <c r="CT3610" s="48"/>
      <c r="CU3610" s="48"/>
      <c r="CV3610" s="48"/>
      <c r="CW3610" s="48"/>
      <c r="CX3610" s="48"/>
      <c r="CY3610" s="48"/>
      <c r="CZ3610" s="48"/>
    </row>
    <row r="3611" spans="27:104" s="4" customFormat="1" x14ac:dyDescent="0.3">
      <c r="AA3611" s="48"/>
      <c r="AB3611" s="48"/>
      <c r="AC3611" s="48"/>
      <c r="AD3611" s="48"/>
      <c r="AE3611" s="48"/>
      <c r="AF3611" s="48"/>
      <c r="AG3611" s="48"/>
      <c r="AH3611" s="48"/>
      <c r="AI3611" s="48"/>
      <c r="AJ3611" s="48"/>
      <c r="AK3611" s="48"/>
      <c r="AL3611" s="48"/>
      <c r="AM3611" s="48"/>
      <c r="AN3611" s="48"/>
      <c r="AO3611" s="48"/>
      <c r="AP3611" s="48"/>
      <c r="AQ3611" s="48"/>
      <c r="AR3611" s="48"/>
      <c r="AS3611" s="48"/>
      <c r="AT3611" s="48"/>
      <c r="AU3611" s="48"/>
      <c r="AV3611" s="48"/>
      <c r="AW3611" s="48"/>
      <c r="AX3611" s="48"/>
      <c r="AY3611" s="48"/>
      <c r="AZ3611" s="48"/>
      <c r="BA3611" s="48"/>
      <c r="BB3611" s="14"/>
      <c r="BC3611" s="48"/>
      <c r="BD3611" s="48"/>
      <c r="BE3611" s="48"/>
      <c r="BF3611" s="48"/>
      <c r="BG3611" s="48"/>
      <c r="BH3611" s="48"/>
      <c r="BI3611" s="48"/>
      <c r="BJ3611" s="48"/>
      <c r="BK3611" s="48"/>
      <c r="BL3611" s="48"/>
      <c r="BM3611" s="48"/>
      <c r="BN3611" s="48"/>
      <c r="BO3611" s="48"/>
      <c r="BP3611" s="48"/>
      <c r="BQ3611" s="48"/>
      <c r="BR3611" s="48"/>
      <c r="BS3611" s="48"/>
      <c r="BT3611" s="48"/>
      <c r="BU3611" s="48"/>
      <c r="BV3611" s="48"/>
      <c r="BW3611" s="48"/>
      <c r="BX3611" s="48"/>
      <c r="BY3611" s="48"/>
      <c r="BZ3611" s="48"/>
      <c r="CA3611" s="48"/>
      <c r="CB3611" s="48"/>
      <c r="CC3611" s="48"/>
      <c r="CD3611" s="48"/>
      <c r="CE3611" s="48"/>
      <c r="CF3611" s="48"/>
      <c r="CG3611" s="48"/>
      <c r="CH3611" s="48"/>
      <c r="CI3611" s="48"/>
      <c r="CJ3611" s="48"/>
      <c r="CK3611" s="48"/>
      <c r="CL3611" s="48"/>
      <c r="CM3611" s="48"/>
      <c r="CN3611" s="48"/>
      <c r="CO3611" s="48"/>
      <c r="CP3611" s="48"/>
      <c r="CQ3611" s="48"/>
      <c r="CR3611" s="48"/>
      <c r="CS3611" s="48"/>
      <c r="CT3611" s="48"/>
      <c r="CU3611" s="48"/>
      <c r="CV3611" s="48"/>
      <c r="CW3611" s="48"/>
      <c r="CX3611" s="48"/>
      <c r="CY3611" s="48"/>
      <c r="CZ3611" s="48"/>
    </row>
    <row r="3612" spans="27:104" s="4" customFormat="1" x14ac:dyDescent="0.3">
      <c r="AA3612" s="48"/>
      <c r="AB3612" s="48"/>
      <c r="AC3612" s="48"/>
      <c r="AD3612" s="48"/>
      <c r="AE3612" s="48"/>
      <c r="AF3612" s="48"/>
      <c r="AG3612" s="48"/>
      <c r="AH3612" s="48"/>
      <c r="AI3612" s="48"/>
      <c r="AJ3612" s="48"/>
      <c r="AK3612" s="48"/>
      <c r="AL3612" s="48"/>
      <c r="AM3612" s="48"/>
      <c r="AN3612" s="48"/>
      <c r="AO3612" s="48"/>
      <c r="AP3612" s="48"/>
      <c r="AQ3612" s="48"/>
      <c r="AR3612" s="48"/>
      <c r="AS3612" s="48"/>
      <c r="AT3612" s="48"/>
      <c r="AU3612" s="48"/>
      <c r="AV3612" s="48"/>
      <c r="AW3612" s="48"/>
      <c r="AX3612" s="48"/>
      <c r="AY3612" s="48"/>
      <c r="AZ3612" s="48"/>
      <c r="BA3612" s="48"/>
      <c r="BB3612" s="14"/>
      <c r="BC3612" s="48"/>
      <c r="BD3612" s="48"/>
      <c r="BE3612" s="48"/>
      <c r="BF3612" s="48"/>
      <c r="BG3612" s="48"/>
      <c r="BH3612" s="48"/>
      <c r="BI3612" s="48"/>
      <c r="BJ3612" s="48"/>
      <c r="BK3612" s="48"/>
      <c r="BL3612" s="48"/>
      <c r="BM3612" s="48"/>
      <c r="BN3612" s="48"/>
      <c r="BO3612" s="48"/>
      <c r="BP3612" s="48"/>
      <c r="BQ3612" s="48"/>
      <c r="BR3612" s="48"/>
      <c r="BS3612" s="48"/>
      <c r="BT3612" s="48"/>
      <c r="BU3612" s="48"/>
      <c r="BV3612" s="48"/>
      <c r="BW3612" s="48"/>
      <c r="BX3612" s="48"/>
      <c r="BY3612" s="48"/>
      <c r="BZ3612" s="48"/>
      <c r="CA3612" s="48"/>
      <c r="CB3612" s="48"/>
      <c r="CC3612" s="48"/>
      <c r="CD3612" s="48"/>
      <c r="CE3612" s="48"/>
      <c r="CF3612" s="48"/>
      <c r="CG3612" s="48"/>
      <c r="CH3612" s="48"/>
      <c r="CI3612" s="48"/>
      <c r="CJ3612" s="48"/>
      <c r="CK3612" s="48"/>
      <c r="CL3612" s="48"/>
      <c r="CM3612" s="48"/>
      <c r="CN3612" s="48"/>
      <c r="CO3612" s="48"/>
      <c r="CP3612" s="48"/>
      <c r="CQ3612" s="48"/>
      <c r="CR3612" s="48"/>
      <c r="CS3612" s="48"/>
      <c r="CT3612" s="48"/>
      <c r="CU3612" s="48"/>
      <c r="CV3612" s="48"/>
      <c r="CW3612" s="48"/>
      <c r="CX3612" s="48"/>
      <c r="CY3612" s="48"/>
      <c r="CZ3612" s="48"/>
    </row>
    <row r="3613" spans="27:104" s="4" customFormat="1" x14ac:dyDescent="0.3">
      <c r="AA3613" s="48"/>
      <c r="AB3613" s="48"/>
      <c r="AC3613" s="48"/>
      <c r="AD3613" s="48"/>
      <c r="AE3613" s="48"/>
      <c r="AF3613" s="48"/>
      <c r="AG3613" s="48"/>
      <c r="AH3613" s="48"/>
      <c r="AI3613" s="48"/>
      <c r="AJ3613" s="48"/>
      <c r="AK3613" s="48"/>
      <c r="AL3613" s="48"/>
      <c r="AM3613" s="48"/>
      <c r="AN3613" s="48"/>
      <c r="AO3613" s="48"/>
      <c r="AP3613" s="48"/>
      <c r="AQ3613" s="48"/>
      <c r="AR3613" s="48"/>
      <c r="AS3613" s="48"/>
      <c r="AT3613" s="48"/>
      <c r="AU3613" s="48"/>
      <c r="AV3613" s="48"/>
      <c r="AW3613" s="48"/>
      <c r="AX3613" s="48"/>
      <c r="AY3613" s="48"/>
      <c r="AZ3613" s="48"/>
      <c r="BA3613" s="48"/>
      <c r="BB3613" s="14"/>
      <c r="BC3613" s="48"/>
      <c r="BD3613" s="48"/>
      <c r="BE3613" s="48"/>
      <c r="BF3613" s="48"/>
      <c r="BG3613" s="48"/>
      <c r="BH3613" s="48"/>
      <c r="BI3613" s="48"/>
      <c r="BJ3613" s="48"/>
      <c r="BK3613" s="48"/>
      <c r="BL3613" s="48"/>
      <c r="BM3613" s="48"/>
      <c r="BN3613" s="48"/>
      <c r="BO3613" s="48"/>
      <c r="BP3613" s="48"/>
      <c r="BQ3613" s="48"/>
      <c r="BR3613" s="48"/>
      <c r="BS3613" s="48"/>
      <c r="BT3613" s="48"/>
      <c r="BU3613" s="48"/>
      <c r="BV3613" s="48"/>
      <c r="BW3613" s="48"/>
      <c r="BX3613" s="48"/>
      <c r="BY3613" s="48"/>
      <c r="BZ3613" s="48"/>
      <c r="CA3613" s="48"/>
      <c r="CB3613" s="48"/>
      <c r="CC3613" s="48"/>
      <c r="CD3613" s="48"/>
      <c r="CE3613" s="48"/>
      <c r="CF3613" s="48"/>
      <c r="CG3613" s="48"/>
      <c r="CH3613" s="48"/>
      <c r="CI3613" s="48"/>
      <c r="CJ3613" s="48"/>
      <c r="CK3613" s="48"/>
      <c r="CL3613" s="48"/>
      <c r="CM3613" s="48"/>
      <c r="CN3613" s="48"/>
      <c r="CO3613" s="48"/>
      <c r="CP3613" s="48"/>
      <c r="CQ3613" s="48"/>
      <c r="CR3613" s="48"/>
      <c r="CS3613" s="48"/>
      <c r="CT3613" s="48"/>
      <c r="CU3613" s="48"/>
      <c r="CV3613" s="48"/>
      <c r="CW3613" s="48"/>
      <c r="CX3613" s="48"/>
      <c r="CY3613" s="48"/>
      <c r="CZ3613" s="48"/>
    </row>
    <row r="3614" spans="27:104" s="4" customFormat="1" x14ac:dyDescent="0.3">
      <c r="AA3614" s="48"/>
      <c r="AB3614" s="48"/>
      <c r="AC3614" s="48"/>
      <c r="AD3614" s="48"/>
      <c r="AE3614" s="48"/>
      <c r="AF3614" s="48"/>
      <c r="AG3614" s="48"/>
      <c r="AH3614" s="48"/>
      <c r="AI3614" s="48"/>
      <c r="AJ3614" s="48"/>
      <c r="AK3614" s="48"/>
      <c r="AL3614" s="48"/>
      <c r="AM3614" s="48"/>
      <c r="AN3614" s="48"/>
      <c r="AO3614" s="48"/>
      <c r="AP3614" s="48"/>
      <c r="AQ3614" s="48"/>
      <c r="AR3614" s="48"/>
      <c r="AS3614" s="48"/>
      <c r="AT3614" s="48"/>
      <c r="AU3614" s="48"/>
      <c r="AV3614" s="48"/>
      <c r="AW3614" s="48"/>
      <c r="AX3614" s="48"/>
      <c r="AY3614" s="48"/>
      <c r="AZ3614" s="48"/>
      <c r="BA3614" s="48"/>
      <c r="BB3614" s="14"/>
      <c r="BC3614" s="48"/>
      <c r="BD3614" s="48"/>
      <c r="BE3614" s="48"/>
      <c r="BF3614" s="48"/>
      <c r="BG3614" s="48"/>
      <c r="BH3614" s="48"/>
      <c r="BI3614" s="48"/>
      <c r="BJ3614" s="48"/>
      <c r="BK3614" s="48"/>
      <c r="BL3614" s="48"/>
      <c r="BM3614" s="48"/>
      <c r="BN3614" s="48"/>
      <c r="BO3614" s="48"/>
      <c r="BP3614" s="48"/>
      <c r="BQ3614" s="48"/>
      <c r="BR3614" s="48"/>
      <c r="BS3614" s="48"/>
      <c r="BT3614" s="48"/>
      <c r="BU3614" s="48"/>
      <c r="BV3614" s="48"/>
      <c r="BW3614" s="48"/>
      <c r="BX3614" s="48"/>
      <c r="BY3614" s="48"/>
      <c r="BZ3614" s="48"/>
      <c r="CA3614" s="48"/>
      <c r="CB3614" s="48"/>
      <c r="CC3614" s="48"/>
      <c r="CD3614" s="48"/>
      <c r="CE3614" s="48"/>
      <c r="CF3614" s="48"/>
      <c r="CG3614" s="48"/>
      <c r="CH3614" s="48"/>
      <c r="CI3614" s="48"/>
      <c r="CJ3614" s="48"/>
      <c r="CK3614" s="48"/>
      <c r="CL3614" s="48"/>
      <c r="CM3614" s="48"/>
      <c r="CN3614" s="48"/>
      <c r="CO3614" s="48"/>
      <c r="CP3614" s="48"/>
      <c r="CQ3614" s="48"/>
      <c r="CR3614" s="48"/>
      <c r="CS3614" s="48"/>
      <c r="CT3614" s="48"/>
      <c r="CU3614" s="48"/>
      <c r="CV3614" s="48"/>
      <c r="CW3614" s="48"/>
      <c r="CX3614" s="48"/>
      <c r="CY3614" s="48"/>
      <c r="CZ3614" s="48"/>
    </row>
    <row r="3615" spans="27:104" s="4" customFormat="1" x14ac:dyDescent="0.3">
      <c r="AA3615" s="48"/>
      <c r="AB3615" s="48"/>
      <c r="AC3615" s="48"/>
      <c r="AD3615" s="48"/>
      <c r="AE3615" s="48"/>
      <c r="AF3615" s="48"/>
      <c r="AG3615" s="48"/>
      <c r="AH3615" s="48"/>
      <c r="AI3615" s="48"/>
      <c r="AJ3615" s="48"/>
      <c r="AK3615" s="48"/>
      <c r="AL3615" s="48"/>
      <c r="AM3615" s="48"/>
      <c r="AN3615" s="48"/>
      <c r="AO3615" s="48"/>
      <c r="AP3615" s="48"/>
      <c r="AQ3615" s="48"/>
      <c r="AR3615" s="48"/>
      <c r="AS3615" s="48"/>
      <c r="AT3615" s="48"/>
      <c r="AU3615" s="48"/>
      <c r="AV3615" s="48"/>
      <c r="AW3615" s="48"/>
      <c r="AX3615" s="48"/>
      <c r="AY3615" s="48"/>
      <c r="AZ3615" s="48"/>
      <c r="BA3615" s="48"/>
      <c r="BB3615" s="14"/>
      <c r="BC3615" s="48"/>
      <c r="BD3615" s="48"/>
      <c r="BE3615" s="48"/>
      <c r="BF3615" s="48"/>
      <c r="BG3615" s="48"/>
      <c r="BH3615" s="48"/>
      <c r="BI3615" s="48"/>
      <c r="BJ3615" s="48"/>
      <c r="BK3615" s="48"/>
      <c r="BL3615" s="48"/>
      <c r="BM3615" s="48"/>
      <c r="BN3615" s="48"/>
      <c r="BO3615" s="48"/>
      <c r="BP3615" s="48"/>
      <c r="BQ3615" s="48"/>
      <c r="BR3615" s="48"/>
      <c r="BS3615" s="48"/>
      <c r="BT3615" s="48"/>
      <c r="BU3615" s="48"/>
      <c r="BV3615" s="48"/>
      <c r="BW3615" s="48"/>
      <c r="BX3615" s="48"/>
      <c r="BY3615" s="48"/>
      <c r="BZ3615" s="48"/>
      <c r="CA3615" s="48"/>
      <c r="CB3615" s="48"/>
      <c r="CC3615" s="48"/>
      <c r="CD3615" s="48"/>
      <c r="CE3615" s="48"/>
      <c r="CF3615" s="48"/>
      <c r="CG3615" s="48"/>
      <c r="CH3615" s="48"/>
      <c r="CI3615" s="48"/>
      <c r="CJ3615" s="48"/>
      <c r="CK3615" s="48"/>
      <c r="CL3615" s="48"/>
      <c r="CM3615" s="48"/>
      <c r="CN3615" s="48"/>
      <c r="CO3615" s="48"/>
      <c r="CP3615" s="48"/>
      <c r="CQ3615" s="48"/>
      <c r="CR3615" s="48"/>
      <c r="CS3615" s="48"/>
      <c r="CT3615" s="48"/>
      <c r="CU3615" s="48"/>
      <c r="CV3615" s="48"/>
      <c r="CW3615" s="48"/>
      <c r="CX3615" s="48"/>
      <c r="CY3615" s="48"/>
      <c r="CZ3615" s="48"/>
    </row>
    <row r="3616" spans="27:104" s="4" customFormat="1" x14ac:dyDescent="0.3">
      <c r="AA3616" s="48"/>
      <c r="AB3616" s="48"/>
      <c r="AC3616" s="48"/>
      <c r="AD3616" s="48"/>
      <c r="AE3616" s="48"/>
      <c r="AF3616" s="48"/>
      <c r="AG3616" s="48"/>
      <c r="AH3616" s="48"/>
      <c r="AI3616" s="48"/>
      <c r="AJ3616" s="48"/>
      <c r="AK3616" s="48"/>
      <c r="AL3616" s="48"/>
      <c r="AM3616" s="48"/>
      <c r="AN3616" s="48"/>
      <c r="AO3616" s="48"/>
      <c r="AP3616" s="48"/>
      <c r="AQ3616" s="48"/>
      <c r="AR3616" s="48"/>
      <c r="AS3616" s="48"/>
      <c r="AT3616" s="48"/>
      <c r="AU3616" s="48"/>
      <c r="AV3616" s="48"/>
      <c r="AW3616" s="48"/>
      <c r="AX3616" s="48"/>
      <c r="AY3616" s="48"/>
      <c r="AZ3616" s="48"/>
      <c r="BA3616" s="48"/>
      <c r="BB3616" s="14"/>
      <c r="BC3616" s="48"/>
      <c r="BD3616" s="48"/>
      <c r="BE3616" s="48"/>
      <c r="BF3616" s="48"/>
      <c r="BG3616" s="48"/>
      <c r="BH3616" s="48"/>
      <c r="BI3616" s="48"/>
      <c r="BJ3616" s="48"/>
      <c r="BK3616" s="48"/>
      <c r="BL3616" s="48"/>
      <c r="BM3616" s="48"/>
      <c r="BN3616" s="48"/>
      <c r="BO3616" s="48"/>
      <c r="BP3616" s="48"/>
      <c r="BQ3616" s="48"/>
      <c r="BR3616" s="48"/>
      <c r="BS3616" s="48"/>
      <c r="BT3616" s="48"/>
      <c r="BU3616" s="48"/>
      <c r="BV3616" s="48"/>
      <c r="BW3616" s="48"/>
      <c r="BX3616" s="48"/>
      <c r="BY3616" s="48"/>
      <c r="BZ3616" s="48"/>
      <c r="CA3616" s="48"/>
      <c r="CB3616" s="48"/>
      <c r="CC3616" s="48"/>
      <c r="CD3616" s="48"/>
      <c r="CE3616" s="48"/>
      <c r="CF3616" s="48"/>
      <c r="CG3616" s="48"/>
      <c r="CH3616" s="48"/>
      <c r="CI3616" s="48"/>
      <c r="CJ3616" s="48"/>
      <c r="CK3616" s="48"/>
      <c r="CL3616" s="48"/>
      <c r="CM3616" s="48"/>
      <c r="CN3616" s="48"/>
      <c r="CO3616" s="48"/>
      <c r="CP3616" s="48"/>
      <c r="CQ3616" s="48"/>
      <c r="CR3616" s="48"/>
      <c r="CS3616" s="48"/>
      <c r="CT3616" s="48"/>
      <c r="CU3616" s="48"/>
      <c r="CV3616" s="48"/>
      <c r="CW3616" s="48"/>
      <c r="CX3616" s="48"/>
      <c r="CY3616" s="48"/>
      <c r="CZ3616" s="48"/>
    </row>
    <row r="3617" spans="27:104" s="4" customFormat="1" x14ac:dyDescent="0.3">
      <c r="AA3617" s="48"/>
      <c r="AB3617" s="48"/>
      <c r="AC3617" s="48"/>
      <c r="AD3617" s="48"/>
      <c r="AE3617" s="48"/>
      <c r="AF3617" s="48"/>
      <c r="AG3617" s="48"/>
      <c r="AH3617" s="48"/>
      <c r="AI3617" s="48"/>
      <c r="AJ3617" s="48"/>
      <c r="AK3617" s="48"/>
      <c r="AL3617" s="48"/>
      <c r="AM3617" s="48"/>
      <c r="AN3617" s="48"/>
      <c r="AO3617" s="48"/>
      <c r="AP3617" s="48"/>
      <c r="AQ3617" s="48"/>
      <c r="AR3617" s="48"/>
      <c r="AS3617" s="48"/>
      <c r="AT3617" s="48"/>
      <c r="AU3617" s="48"/>
      <c r="AV3617" s="48"/>
      <c r="AW3617" s="48"/>
      <c r="AX3617" s="48"/>
      <c r="AY3617" s="48"/>
      <c r="AZ3617" s="48"/>
      <c r="BA3617" s="48"/>
      <c r="BB3617" s="14"/>
      <c r="BC3617" s="48"/>
      <c r="BD3617" s="48"/>
      <c r="BE3617" s="48"/>
      <c r="BF3617" s="48"/>
      <c r="BG3617" s="48"/>
      <c r="BH3617" s="48"/>
      <c r="BI3617" s="48"/>
      <c r="BJ3617" s="48"/>
      <c r="BK3617" s="48"/>
      <c r="BL3617" s="48"/>
      <c r="BM3617" s="48"/>
      <c r="BN3617" s="48"/>
      <c r="BO3617" s="48"/>
      <c r="BP3617" s="48"/>
      <c r="BQ3617" s="48"/>
      <c r="BR3617" s="48"/>
      <c r="BS3617" s="48"/>
      <c r="BT3617" s="48"/>
      <c r="BU3617" s="48"/>
      <c r="BV3617" s="48"/>
      <c r="BW3617" s="48"/>
      <c r="BX3617" s="48"/>
      <c r="BY3617" s="48"/>
      <c r="BZ3617" s="48"/>
      <c r="CA3617" s="48"/>
      <c r="CB3617" s="48"/>
      <c r="CC3617" s="48"/>
      <c r="CD3617" s="48"/>
      <c r="CE3617" s="48"/>
      <c r="CF3617" s="48"/>
      <c r="CG3617" s="48"/>
      <c r="CH3617" s="48"/>
      <c r="CI3617" s="48"/>
      <c r="CJ3617" s="48"/>
      <c r="CK3617" s="48"/>
      <c r="CL3617" s="48"/>
      <c r="CM3617" s="48"/>
      <c r="CN3617" s="48"/>
      <c r="CO3617" s="48"/>
      <c r="CP3617" s="48"/>
      <c r="CQ3617" s="48"/>
      <c r="CR3617" s="48"/>
      <c r="CS3617" s="48"/>
      <c r="CT3617" s="48"/>
      <c r="CU3617" s="48"/>
      <c r="CV3617" s="48"/>
      <c r="CW3617" s="48"/>
      <c r="CX3617" s="48"/>
      <c r="CY3617" s="48"/>
      <c r="CZ3617" s="48"/>
    </row>
    <row r="3618" spans="27:104" s="4" customFormat="1" x14ac:dyDescent="0.3">
      <c r="AA3618" s="48"/>
      <c r="AB3618" s="48"/>
      <c r="AC3618" s="48"/>
      <c r="AD3618" s="48"/>
      <c r="AE3618" s="48"/>
      <c r="AF3618" s="48"/>
      <c r="AG3618" s="48"/>
      <c r="AH3618" s="48"/>
      <c r="AI3618" s="48"/>
      <c r="AJ3618" s="48"/>
      <c r="AK3618" s="48"/>
      <c r="AL3618" s="48"/>
      <c r="AM3618" s="48"/>
      <c r="AN3618" s="48"/>
      <c r="AO3618" s="48"/>
      <c r="AP3618" s="48"/>
      <c r="AQ3618" s="48"/>
      <c r="AR3618" s="48"/>
      <c r="AS3618" s="48"/>
      <c r="AT3618" s="48"/>
      <c r="AU3618" s="48"/>
      <c r="AV3618" s="48"/>
      <c r="AW3618" s="48"/>
      <c r="AX3618" s="48"/>
      <c r="AY3618" s="48"/>
      <c r="AZ3618" s="48"/>
      <c r="BA3618" s="48"/>
      <c r="BB3618" s="14"/>
      <c r="BC3618" s="48"/>
      <c r="BD3618" s="48"/>
      <c r="BE3618" s="48"/>
      <c r="BF3618" s="48"/>
      <c r="BG3618" s="48"/>
      <c r="BH3618" s="48"/>
      <c r="BI3618" s="48"/>
      <c r="BJ3618" s="48"/>
      <c r="BK3618" s="48"/>
      <c r="BL3618" s="48"/>
      <c r="BM3618" s="48"/>
      <c r="BN3618" s="48"/>
      <c r="BO3618" s="48"/>
      <c r="BP3618" s="48"/>
      <c r="BQ3618" s="48"/>
      <c r="BR3618" s="48"/>
      <c r="BS3618" s="48"/>
      <c r="BT3618" s="48"/>
      <c r="BU3618" s="48"/>
      <c r="BV3618" s="48"/>
      <c r="BW3618" s="48"/>
      <c r="BX3618" s="48"/>
      <c r="BY3618" s="48"/>
      <c r="BZ3618" s="48"/>
      <c r="CA3618" s="48"/>
      <c r="CB3618" s="48"/>
      <c r="CC3618" s="48"/>
      <c r="CD3618" s="48"/>
      <c r="CE3618" s="48"/>
      <c r="CF3618" s="48"/>
      <c r="CG3618" s="48"/>
      <c r="CH3618" s="48"/>
      <c r="CI3618" s="48"/>
      <c r="CJ3618" s="48"/>
      <c r="CK3618" s="48"/>
      <c r="CL3618" s="48"/>
      <c r="CM3618" s="48"/>
      <c r="CN3618" s="48"/>
      <c r="CO3618" s="48"/>
      <c r="CP3618" s="48"/>
      <c r="CQ3618" s="48"/>
      <c r="CR3618" s="48"/>
      <c r="CS3618" s="48"/>
      <c r="CT3618" s="48"/>
      <c r="CU3618" s="48"/>
      <c r="CV3618" s="48"/>
      <c r="CW3618" s="48"/>
      <c r="CX3618" s="48"/>
      <c r="CY3618" s="48"/>
      <c r="CZ3618" s="48"/>
    </row>
    <row r="3619" spans="27:104" s="4" customFormat="1" x14ac:dyDescent="0.3">
      <c r="AA3619" s="48"/>
      <c r="AB3619" s="48"/>
      <c r="AC3619" s="48"/>
      <c r="AD3619" s="48"/>
      <c r="AE3619" s="48"/>
      <c r="AF3619" s="48"/>
      <c r="AG3619" s="48"/>
      <c r="AH3619" s="48"/>
      <c r="AI3619" s="48"/>
      <c r="AJ3619" s="48"/>
      <c r="AK3619" s="48"/>
      <c r="AL3619" s="48"/>
      <c r="AM3619" s="48"/>
      <c r="AN3619" s="48"/>
      <c r="AO3619" s="48"/>
      <c r="AP3619" s="48"/>
      <c r="AQ3619" s="48"/>
      <c r="AR3619" s="48"/>
      <c r="AS3619" s="48"/>
      <c r="AT3619" s="48"/>
      <c r="AU3619" s="48"/>
      <c r="AV3619" s="48"/>
      <c r="AW3619" s="48"/>
      <c r="AX3619" s="48"/>
      <c r="AY3619" s="48"/>
      <c r="AZ3619" s="48"/>
      <c r="BA3619" s="48"/>
      <c r="BB3619" s="14"/>
      <c r="BC3619" s="48"/>
      <c r="BD3619" s="48"/>
      <c r="BE3619" s="48"/>
      <c r="BF3619" s="48"/>
      <c r="BG3619" s="48"/>
      <c r="BH3619" s="48"/>
      <c r="BI3619" s="48"/>
      <c r="BJ3619" s="48"/>
      <c r="BK3619" s="48"/>
      <c r="BL3619" s="48"/>
      <c r="BM3619" s="48"/>
      <c r="BN3619" s="48"/>
      <c r="BO3619" s="48"/>
      <c r="BP3619" s="48"/>
      <c r="BQ3619" s="48"/>
      <c r="BR3619" s="48"/>
      <c r="BS3619" s="48"/>
      <c r="BT3619" s="48"/>
      <c r="BU3619" s="48"/>
      <c r="BV3619" s="48"/>
      <c r="BW3619" s="48"/>
      <c r="BX3619" s="48"/>
      <c r="BY3619" s="48"/>
      <c r="BZ3619" s="48"/>
      <c r="CA3619" s="48"/>
      <c r="CB3619" s="48"/>
      <c r="CC3619" s="48"/>
      <c r="CD3619" s="48"/>
      <c r="CE3619" s="48"/>
      <c r="CF3619" s="48"/>
      <c r="CG3619" s="48"/>
      <c r="CH3619" s="48"/>
      <c r="CI3619" s="48"/>
      <c r="CJ3619" s="48"/>
      <c r="CK3619" s="48"/>
      <c r="CL3619" s="48"/>
      <c r="CM3619" s="48"/>
      <c r="CN3619" s="48"/>
      <c r="CO3619" s="48"/>
      <c r="CP3619" s="48"/>
      <c r="CQ3619" s="48"/>
      <c r="CR3619" s="48"/>
      <c r="CS3619" s="48"/>
      <c r="CT3619" s="48"/>
      <c r="CU3619" s="48"/>
      <c r="CV3619" s="48"/>
      <c r="CW3619" s="48"/>
      <c r="CX3619" s="48"/>
      <c r="CY3619" s="48"/>
      <c r="CZ3619" s="48"/>
    </row>
    <row r="3620" spans="27:104" s="4" customFormat="1" x14ac:dyDescent="0.3">
      <c r="AA3620" s="48"/>
      <c r="AB3620" s="48"/>
      <c r="AC3620" s="48"/>
      <c r="AD3620" s="48"/>
      <c r="AE3620" s="48"/>
      <c r="AF3620" s="48"/>
      <c r="AG3620" s="48"/>
      <c r="AH3620" s="48"/>
      <c r="AI3620" s="48"/>
      <c r="AJ3620" s="48"/>
      <c r="AK3620" s="48"/>
      <c r="AL3620" s="48"/>
      <c r="AM3620" s="48"/>
      <c r="AN3620" s="48"/>
      <c r="AO3620" s="48"/>
      <c r="AP3620" s="48"/>
      <c r="AQ3620" s="48"/>
      <c r="AR3620" s="48"/>
      <c r="AS3620" s="48"/>
      <c r="AT3620" s="48"/>
      <c r="AU3620" s="48"/>
      <c r="AV3620" s="48"/>
      <c r="AW3620" s="48"/>
      <c r="AX3620" s="48"/>
      <c r="AY3620" s="48"/>
      <c r="AZ3620" s="48"/>
      <c r="BA3620" s="48"/>
      <c r="BB3620" s="14"/>
      <c r="BC3620" s="48"/>
      <c r="BD3620" s="48"/>
      <c r="BE3620" s="48"/>
      <c r="BF3620" s="48"/>
      <c r="BG3620" s="48"/>
      <c r="BH3620" s="48"/>
      <c r="BI3620" s="48"/>
      <c r="BJ3620" s="48"/>
      <c r="BK3620" s="48"/>
      <c r="BL3620" s="48"/>
      <c r="BM3620" s="48"/>
      <c r="BN3620" s="48"/>
      <c r="BO3620" s="48"/>
      <c r="BP3620" s="48"/>
      <c r="BQ3620" s="48"/>
      <c r="BR3620" s="48"/>
      <c r="BS3620" s="48"/>
      <c r="BT3620" s="48"/>
      <c r="BU3620" s="48"/>
      <c r="BV3620" s="48"/>
      <c r="BW3620" s="48"/>
      <c r="BX3620" s="48"/>
      <c r="BY3620" s="48"/>
      <c r="BZ3620" s="48"/>
      <c r="CA3620" s="48"/>
      <c r="CB3620" s="48"/>
      <c r="CC3620" s="48"/>
      <c r="CD3620" s="48"/>
      <c r="CE3620" s="48"/>
      <c r="CF3620" s="48"/>
      <c r="CG3620" s="48"/>
      <c r="CH3620" s="48"/>
      <c r="CI3620" s="48"/>
      <c r="CJ3620" s="48"/>
      <c r="CK3620" s="48"/>
      <c r="CL3620" s="48"/>
      <c r="CM3620" s="48"/>
      <c r="CN3620" s="48"/>
      <c r="CO3620" s="48"/>
      <c r="CP3620" s="48"/>
      <c r="CQ3620" s="48"/>
      <c r="CR3620" s="48"/>
      <c r="CS3620" s="48"/>
      <c r="CT3620" s="48"/>
      <c r="CU3620" s="48"/>
      <c r="CV3620" s="48"/>
      <c r="CW3620" s="48"/>
      <c r="CX3620" s="48"/>
      <c r="CY3620" s="48"/>
      <c r="CZ3620" s="48"/>
    </row>
    <row r="3621" spans="27:104" s="4" customFormat="1" x14ac:dyDescent="0.3">
      <c r="AA3621" s="48"/>
      <c r="AB3621" s="48"/>
      <c r="AC3621" s="48"/>
      <c r="AD3621" s="48"/>
      <c r="AE3621" s="48"/>
      <c r="AF3621" s="48"/>
      <c r="AG3621" s="48"/>
      <c r="AH3621" s="48"/>
      <c r="AI3621" s="48"/>
      <c r="AJ3621" s="48"/>
      <c r="AK3621" s="48"/>
      <c r="AL3621" s="48"/>
      <c r="AM3621" s="48"/>
      <c r="AN3621" s="48"/>
      <c r="AO3621" s="48"/>
      <c r="AP3621" s="48"/>
      <c r="AQ3621" s="48"/>
      <c r="AR3621" s="48"/>
      <c r="AS3621" s="48"/>
      <c r="AT3621" s="48"/>
      <c r="AU3621" s="48"/>
      <c r="AV3621" s="48"/>
      <c r="AW3621" s="48"/>
      <c r="AX3621" s="48"/>
      <c r="AY3621" s="48"/>
      <c r="AZ3621" s="48"/>
      <c r="BA3621" s="48"/>
      <c r="BB3621" s="14"/>
      <c r="BC3621" s="48"/>
      <c r="BD3621" s="48"/>
      <c r="BE3621" s="48"/>
      <c r="BF3621" s="48"/>
      <c r="BG3621" s="48"/>
      <c r="BH3621" s="48"/>
      <c r="BI3621" s="48"/>
      <c r="BJ3621" s="48"/>
      <c r="BK3621" s="48"/>
      <c r="BL3621" s="48"/>
      <c r="BM3621" s="48"/>
      <c r="BN3621" s="48"/>
      <c r="BO3621" s="48"/>
      <c r="BP3621" s="48"/>
      <c r="BQ3621" s="48"/>
      <c r="BR3621" s="48"/>
      <c r="BS3621" s="48"/>
      <c r="BT3621" s="48"/>
      <c r="BU3621" s="48"/>
      <c r="BV3621" s="48"/>
      <c r="BW3621" s="48"/>
      <c r="BX3621" s="48"/>
      <c r="BY3621" s="48"/>
      <c r="BZ3621" s="48"/>
      <c r="CA3621" s="48"/>
      <c r="CB3621" s="48"/>
      <c r="CC3621" s="48"/>
      <c r="CD3621" s="48"/>
      <c r="CE3621" s="48"/>
      <c r="CF3621" s="48"/>
      <c r="CG3621" s="48"/>
      <c r="CH3621" s="48"/>
      <c r="CI3621" s="48"/>
      <c r="CJ3621" s="48"/>
      <c r="CK3621" s="48"/>
      <c r="CL3621" s="48"/>
      <c r="CM3621" s="48"/>
      <c r="CN3621" s="48"/>
      <c r="CO3621" s="48"/>
      <c r="CP3621" s="48"/>
      <c r="CQ3621" s="48"/>
      <c r="CR3621" s="48"/>
      <c r="CS3621" s="48"/>
      <c r="CT3621" s="48"/>
      <c r="CU3621" s="48"/>
      <c r="CV3621" s="48"/>
      <c r="CW3621" s="48"/>
      <c r="CX3621" s="48"/>
      <c r="CY3621" s="48"/>
      <c r="CZ3621" s="48"/>
    </row>
    <row r="3622" spans="27:104" s="4" customFormat="1" x14ac:dyDescent="0.3">
      <c r="AA3622" s="48"/>
      <c r="AB3622" s="48"/>
      <c r="AC3622" s="48"/>
      <c r="AD3622" s="48"/>
      <c r="AE3622" s="48"/>
      <c r="AF3622" s="48"/>
      <c r="AG3622" s="48"/>
      <c r="AH3622" s="48"/>
      <c r="AI3622" s="48"/>
      <c r="AJ3622" s="48"/>
      <c r="AK3622" s="48"/>
      <c r="AL3622" s="48"/>
      <c r="AM3622" s="48"/>
      <c r="AN3622" s="48"/>
      <c r="AO3622" s="48"/>
      <c r="AP3622" s="48"/>
      <c r="AQ3622" s="48"/>
      <c r="AR3622" s="48"/>
      <c r="AS3622" s="48"/>
      <c r="AT3622" s="48"/>
      <c r="AU3622" s="48"/>
      <c r="AV3622" s="48"/>
      <c r="AW3622" s="48"/>
      <c r="AX3622" s="48"/>
      <c r="AY3622" s="48"/>
      <c r="AZ3622" s="48"/>
      <c r="BA3622" s="48"/>
      <c r="BB3622" s="14"/>
      <c r="BC3622" s="48"/>
      <c r="BD3622" s="48"/>
      <c r="BE3622" s="48"/>
      <c r="BF3622" s="48"/>
      <c r="BG3622" s="48"/>
      <c r="BH3622" s="48"/>
      <c r="BI3622" s="48"/>
      <c r="BJ3622" s="48"/>
      <c r="BK3622" s="48"/>
      <c r="BL3622" s="48"/>
      <c r="BM3622" s="48"/>
      <c r="BN3622" s="48"/>
      <c r="BO3622" s="48"/>
      <c r="BP3622" s="48"/>
      <c r="BQ3622" s="48"/>
      <c r="BR3622" s="48"/>
      <c r="BS3622" s="48"/>
      <c r="BT3622" s="48"/>
      <c r="BU3622" s="48"/>
      <c r="BV3622" s="48"/>
      <c r="BW3622" s="48"/>
      <c r="BX3622" s="48"/>
      <c r="BY3622" s="48"/>
      <c r="BZ3622" s="48"/>
      <c r="CA3622" s="48"/>
      <c r="CB3622" s="48"/>
      <c r="CC3622" s="48"/>
      <c r="CD3622" s="48"/>
      <c r="CE3622" s="48"/>
      <c r="CF3622" s="48"/>
      <c r="CG3622" s="48"/>
      <c r="CH3622" s="48"/>
      <c r="CI3622" s="48"/>
      <c r="CJ3622" s="48"/>
      <c r="CK3622" s="48"/>
      <c r="CL3622" s="48"/>
      <c r="CM3622" s="48"/>
      <c r="CN3622" s="48"/>
      <c r="CO3622" s="48"/>
      <c r="CP3622" s="48"/>
      <c r="CQ3622" s="48"/>
      <c r="CR3622" s="48"/>
      <c r="CS3622" s="48"/>
      <c r="CT3622" s="48"/>
      <c r="CU3622" s="48"/>
      <c r="CV3622" s="48"/>
      <c r="CW3622" s="48"/>
      <c r="CX3622" s="48"/>
      <c r="CY3622" s="48"/>
      <c r="CZ3622" s="48"/>
    </row>
    <row r="3623" spans="27:104" s="4" customFormat="1" x14ac:dyDescent="0.3">
      <c r="AA3623" s="48"/>
      <c r="AB3623" s="48"/>
      <c r="AC3623" s="48"/>
      <c r="AD3623" s="48"/>
      <c r="AE3623" s="48"/>
      <c r="AF3623" s="48"/>
      <c r="AG3623" s="48"/>
      <c r="AH3623" s="48"/>
      <c r="AI3623" s="48"/>
      <c r="AJ3623" s="48"/>
      <c r="AK3623" s="48"/>
      <c r="AL3623" s="48"/>
      <c r="AM3623" s="48"/>
      <c r="AN3623" s="48"/>
      <c r="AO3623" s="48"/>
      <c r="AP3623" s="48"/>
      <c r="AQ3623" s="48"/>
      <c r="AR3623" s="48"/>
      <c r="AS3623" s="48"/>
      <c r="AT3623" s="48"/>
      <c r="AU3623" s="48"/>
      <c r="AV3623" s="48"/>
      <c r="AW3623" s="48"/>
      <c r="AX3623" s="48"/>
      <c r="AY3623" s="48"/>
      <c r="AZ3623" s="48"/>
      <c r="BA3623" s="48"/>
      <c r="BB3623" s="14"/>
      <c r="BC3623" s="48"/>
      <c r="BD3623" s="48"/>
      <c r="BE3623" s="48"/>
      <c r="BF3623" s="48"/>
      <c r="BG3623" s="48"/>
      <c r="BH3623" s="48"/>
      <c r="BI3623" s="48"/>
      <c r="BJ3623" s="48"/>
      <c r="BK3623" s="48"/>
      <c r="BL3623" s="48"/>
      <c r="BM3623" s="48"/>
      <c r="BN3623" s="48"/>
      <c r="BO3623" s="48"/>
      <c r="BP3623" s="48"/>
      <c r="BQ3623" s="48"/>
      <c r="BR3623" s="48"/>
      <c r="BS3623" s="48"/>
      <c r="BT3623" s="48"/>
      <c r="BU3623" s="48"/>
      <c r="BV3623" s="48"/>
      <c r="BW3623" s="48"/>
      <c r="BX3623" s="48"/>
      <c r="BY3623" s="48"/>
      <c r="BZ3623" s="48"/>
      <c r="CA3623" s="48"/>
      <c r="CB3623" s="48"/>
      <c r="CC3623" s="48"/>
      <c r="CD3623" s="48"/>
      <c r="CE3623" s="48"/>
      <c r="CF3623" s="48"/>
      <c r="CG3623" s="48"/>
      <c r="CH3623" s="48"/>
      <c r="CI3623" s="48"/>
      <c r="CJ3623" s="48"/>
      <c r="CK3623" s="48"/>
      <c r="CL3623" s="48"/>
      <c r="CM3623" s="48"/>
      <c r="CN3623" s="48"/>
      <c r="CO3623" s="48"/>
      <c r="CP3623" s="48"/>
      <c r="CQ3623" s="48"/>
      <c r="CR3623" s="48"/>
      <c r="CS3623" s="48"/>
      <c r="CT3623" s="48"/>
      <c r="CU3623" s="48"/>
      <c r="CV3623" s="48"/>
      <c r="CW3623" s="48"/>
      <c r="CX3623" s="48"/>
      <c r="CY3623" s="48"/>
      <c r="CZ3623" s="48"/>
    </row>
    <row r="3624" spans="27:104" s="4" customFormat="1" x14ac:dyDescent="0.3">
      <c r="AA3624" s="48"/>
      <c r="AB3624" s="48"/>
      <c r="AC3624" s="48"/>
      <c r="AD3624" s="48"/>
      <c r="AE3624" s="48"/>
      <c r="AF3624" s="48"/>
      <c r="AG3624" s="48"/>
      <c r="AH3624" s="48"/>
      <c r="AI3624" s="48"/>
      <c r="AJ3624" s="48"/>
      <c r="AK3624" s="48"/>
      <c r="AL3624" s="48"/>
      <c r="AM3624" s="48"/>
      <c r="AN3624" s="48"/>
      <c r="AO3624" s="48"/>
      <c r="AP3624" s="48"/>
      <c r="AQ3624" s="48"/>
      <c r="AR3624" s="48"/>
      <c r="AS3624" s="48"/>
      <c r="AT3624" s="48"/>
      <c r="AU3624" s="48"/>
      <c r="AV3624" s="48"/>
      <c r="AW3624" s="48"/>
      <c r="AX3624" s="48"/>
      <c r="AY3624" s="48"/>
      <c r="AZ3624" s="48"/>
      <c r="BA3624" s="48"/>
      <c r="BB3624" s="14"/>
      <c r="BC3624" s="48"/>
      <c r="BD3624" s="48"/>
      <c r="BE3624" s="48"/>
      <c r="BF3624" s="48"/>
      <c r="BG3624" s="48"/>
      <c r="BH3624" s="48"/>
      <c r="BI3624" s="48"/>
      <c r="BJ3624" s="48"/>
      <c r="BK3624" s="48"/>
      <c r="BL3624" s="48"/>
      <c r="BM3624" s="48"/>
      <c r="BN3624" s="48"/>
      <c r="BO3624" s="48"/>
      <c r="BP3624" s="48"/>
      <c r="BQ3624" s="48"/>
      <c r="BR3624" s="48"/>
      <c r="BS3624" s="48"/>
      <c r="BT3624" s="48"/>
      <c r="BU3624" s="48"/>
      <c r="BV3624" s="48"/>
      <c r="BW3624" s="48"/>
      <c r="BX3624" s="48"/>
      <c r="BY3624" s="48"/>
      <c r="BZ3624" s="48"/>
      <c r="CA3624" s="48"/>
      <c r="CB3624" s="48"/>
      <c r="CC3624" s="48"/>
      <c r="CD3624" s="48"/>
      <c r="CE3624" s="48"/>
      <c r="CF3624" s="48"/>
      <c r="CG3624" s="48"/>
      <c r="CH3624" s="48"/>
      <c r="CI3624" s="48"/>
      <c r="CJ3624" s="48"/>
      <c r="CK3624" s="48"/>
      <c r="CL3624" s="48"/>
      <c r="CM3624" s="48"/>
      <c r="CN3624" s="48"/>
      <c r="CO3624" s="48"/>
      <c r="CP3624" s="48"/>
      <c r="CQ3624" s="48"/>
      <c r="CR3624" s="48"/>
      <c r="CS3624" s="48"/>
      <c r="CT3624" s="48"/>
      <c r="CU3624" s="48"/>
      <c r="CV3624" s="48"/>
      <c r="CW3624" s="48"/>
      <c r="CX3624" s="48"/>
      <c r="CY3624" s="48"/>
      <c r="CZ3624" s="48"/>
    </row>
    <row r="3625" spans="27:104" s="4" customFormat="1" x14ac:dyDescent="0.3">
      <c r="AA3625" s="48"/>
      <c r="AB3625" s="48"/>
      <c r="AC3625" s="48"/>
      <c r="AD3625" s="48"/>
      <c r="AE3625" s="48"/>
      <c r="AF3625" s="48"/>
      <c r="AG3625" s="48"/>
      <c r="AH3625" s="48"/>
      <c r="AI3625" s="48"/>
      <c r="AJ3625" s="48"/>
      <c r="AK3625" s="48"/>
      <c r="AL3625" s="48"/>
      <c r="AM3625" s="48"/>
      <c r="AN3625" s="48"/>
      <c r="AO3625" s="48"/>
      <c r="AP3625" s="48"/>
      <c r="AQ3625" s="48"/>
      <c r="AR3625" s="48"/>
      <c r="AS3625" s="48"/>
      <c r="AT3625" s="48"/>
      <c r="AU3625" s="48"/>
      <c r="AV3625" s="48"/>
      <c r="AW3625" s="48"/>
      <c r="AX3625" s="48"/>
      <c r="AY3625" s="48"/>
      <c r="AZ3625" s="48"/>
      <c r="BA3625" s="48"/>
      <c r="BB3625" s="14"/>
      <c r="BC3625" s="48"/>
      <c r="BD3625" s="48"/>
      <c r="BE3625" s="48"/>
      <c r="BF3625" s="48"/>
      <c r="BG3625" s="48"/>
      <c r="BH3625" s="48"/>
      <c r="BI3625" s="48"/>
      <c r="BJ3625" s="48"/>
      <c r="BK3625" s="48"/>
      <c r="BL3625" s="48"/>
      <c r="BM3625" s="48"/>
      <c r="BN3625" s="48"/>
      <c r="BO3625" s="48"/>
      <c r="BP3625" s="48"/>
      <c r="BQ3625" s="48"/>
      <c r="BR3625" s="48"/>
      <c r="BS3625" s="48"/>
      <c r="BT3625" s="48"/>
      <c r="BU3625" s="48"/>
      <c r="BV3625" s="48"/>
      <c r="BW3625" s="48"/>
      <c r="BX3625" s="48"/>
      <c r="BY3625" s="48"/>
      <c r="BZ3625" s="48"/>
      <c r="CA3625" s="48"/>
      <c r="CB3625" s="48"/>
      <c r="CC3625" s="48"/>
      <c r="CD3625" s="48"/>
      <c r="CE3625" s="48"/>
      <c r="CF3625" s="48"/>
      <c r="CG3625" s="48"/>
      <c r="CH3625" s="48"/>
      <c r="CI3625" s="48"/>
      <c r="CJ3625" s="48"/>
      <c r="CK3625" s="48"/>
      <c r="CL3625" s="48"/>
      <c r="CM3625" s="48"/>
      <c r="CN3625" s="48"/>
      <c r="CO3625" s="48"/>
      <c r="CP3625" s="48"/>
      <c r="CQ3625" s="48"/>
      <c r="CR3625" s="48"/>
      <c r="CS3625" s="48"/>
      <c r="CT3625" s="48"/>
      <c r="CU3625" s="48"/>
      <c r="CV3625" s="48"/>
      <c r="CW3625" s="48"/>
      <c r="CX3625" s="48"/>
      <c r="CY3625" s="48"/>
      <c r="CZ3625" s="48"/>
    </row>
    <row r="3626" spans="27:104" s="4" customFormat="1" x14ac:dyDescent="0.3">
      <c r="AA3626" s="48"/>
      <c r="AB3626" s="48"/>
      <c r="AC3626" s="48"/>
      <c r="AD3626" s="48"/>
      <c r="AE3626" s="48"/>
      <c r="AF3626" s="48"/>
      <c r="AG3626" s="48"/>
      <c r="AH3626" s="48"/>
      <c r="AI3626" s="48"/>
      <c r="AJ3626" s="48"/>
      <c r="AK3626" s="48"/>
      <c r="AL3626" s="48"/>
      <c r="AM3626" s="48"/>
      <c r="AN3626" s="48"/>
      <c r="AO3626" s="48"/>
      <c r="AP3626" s="48"/>
      <c r="AQ3626" s="48"/>
      <c r="AR3626" s="48"/>
      <c r="AS3626" s="48"/>
      <c r="AT3626" s="48"/>
      <c r="AU3626" s="48"/>
      <c r="AV3626" s="48"/>
      <c r="AW3626" s="48"/>
      <c r="AX3626" s="48"/>
      <c r="AY3626" s="48"/>
      <c r="AZ3626" s="48"/>
      <c r="BA3626" s="48"/>
      <c r="BB3626" s="14"/>
      <c r="BC3626" s="48"/>
      <c r="BD3626" s="48"/>
      <c r="BE3626" s="48"/>
      <c r="BF3626" s="48"/>
      <c r="BG3626" s="48"/>
      <c r="BH3626" s="48"/>
      <c r="BI3626" s="48"/>
      <c r="BJ3626" s="48"/>
      <c r="BK3626" s="48"/>
      <c r="BL3626" s="48"/>
      <c r="BM3626" s="48"/>
      <c r="BN3626" s="48"/>
      <c r="BO3626" s="48"/>
      <c r="BP3626" s="48"/>
      <c r="BQ3626" s="48"/>
      <c r="BR3626" s="48"/>
      <c r="BS3626" s="48"/>
      <c r="BT3626" s="48"/>
      <c r="BU3626" s="48"/>
      <c r="BV3626" s="48"/>
      <c r="BW3626" s="48"/>
      <c r="BX3626" s="48"/>
      <c r="BY3626" s="48"/>
      <c r="BZ3626" s="48"/>
      <c r="CA3626" s="48"/>
      <c r="CB3626" s="48"/>
      <c r="CC3626" s="48"/>
      <c r="CD3626" s="48"/>
      <c r="CE3626" s="48"/>
      <c r="CF3626" s="48"/>
      <c r="CG3626" s="48"/>
      <c r="CH3626" s="48"/>
      <c r="CI3626" s="48"/>
      <c r="CJ3626" s="48"/>
      <c r="CK3626" s="48"/>
      <c r="CL3626" s="48"/>
      <c r="CM3626" s="48"/>
      <c r="CN3626" s="48"/>
      <c r="CO3626" s="48"/>
      <c r="CP3626" s="48"/>
      <c r="CQ3626" s="48"/>
      <c r="CR3626" s="48"/>
      <c r="CS3626" s="48"/>
      <c r="CT3626" s="48"/>
      <c r="CU3626" s="48"/>
      <c r="CV3626" s="48"/>
      <c r="CW3626" s="48"/>
      <c r="CX3626" s="48"/>
      <c r="CY3626" s="48"/>
      <c r="CZ3626" s="48"/>
    </row>
    <row r="3627" spans="27:104" s="4" customFormat="1" x14ac:dyDescent="0.3">
      <c r="AA3627" s="48"/>
      <c r="AB3627" s="48"/>
      <c r="AC3627" s="48"/>
      <c r="AD3627" s="48"/>
      <c r="AE3627" s="48"/>
      <c r="AF3627" s="48"/>
      <c r="AG3627" s="48"/>
      <c r="AH3627" s="48"/>
      <c r="AI3627" s="48"/>
      <c r="AJ3627" s="48"/>
      <c r="AK3627" s="48"/>
      <c r="AL3627" s="48"/>
      <c r="AM3627" s="48"/>
      <c r="AN3627" s="48"/>
      <c r="AO3627" s="48"/>
      <c r="AP3627" s="48"/>
      <c r="AQ3627" s="48"/>
      <c r="AR3627" s="48"/>
      <c r="AS3627" s="48"/>
      <c r="AT3627" s="48"/>
      <c r="AU3627" s="48"/>
      <c r="AV3627" s="48"/>
      <c r="AW3627" s="48"/>
      <c r="AX3627" s="48"/>
      <c r="AY3627" s="48"/>
      <c r="AZ3627" s="48"/>
      <c r="BA3627" s="48"/>
      <c r="BB3627" s="14"/>
      <c r="BC3627" s="48"/>
      <c r="BD3627" s="48"/>
      <c r="BE3627" s="48"/>
      <c r="BF3627" s="48"/>
      <c r="BG3627" s="48"/>
      <c r="BH3627" s="48"/>
      <c r="BI3627" s="48"/>
      <c r="BJ3627" s="48"/>
      <c r="BK3627" s="48"/>
      <c r="BL3627" s="48"/>
      <c r="BM3627" s="48"/>
      <c r="BN3627" s="48"/>
      <c r="BO3627" s="48"/>
      <c r="BP3627" s="48"/>
      <c r="BQ3627" s="48"/>
      <c r="BR3627" s="48"/>
      <c r="BS3627" s="48"/>
      <c r="BT3627" s="48"/>
      <c r="BU3627" s="48"/>
      <c r="BV3627" s="48"/>
      <c r="BW3627" s="48"/>
      <c r="BX3627" s="48"/>
      <c r="BY3627" s="48"/>
      <c r="BZ3627" s="48"/>
      <c r="CA3627" s="48"/>
      <c r="CB3627" s="48"/>
      <c r="CC3627" s="48"/>
      <c r="CD3627" s="48"/>
      <c r="CE3627" s="48"/>
      <c r="CF3627" s="48"/>
      <c r="CG3627" s="48"/>
      <c r="CH3627" s="48"/>
      <c r="CI3627" s="48"/>
      <c r="CJ3627" s="48"/>
      <c r="CK3627" s="48"/>
      <c r="CL3627" s="48"/>
      <c r="CM3627" s="48"/>
      <c r="CN3627" s="48"/>
      <c r="CO3627" s="48"/>
      <c r="CP3627" s="48"/>
      <c r="CQ3627" s="48"/>
      <c r="CR3627" s="48"/>
      <c r="CS3627" s="48"/>
      <c r="CT3627" s="48"/>
      <c r="CU3627" s="48"/>
      <c r="CV3627" s="48"/>
      <c r="CW3627" s="48"/>
      <c r="CX3627" s="48"/>
      <c r="CY3627" s="48"/>
      <c r="CZ3627" s="48"/>
    </row>
    <row r="3628" spans="27:104" s="4" customFormat="1" x14ac:dyDescent="0.3">
      <c r="AA3628" s="48"/>
      <c r="AB3628" s="48"/>
      <c r="AC3628" s="48"/>
      <c r="AD3628" s="48"/>
      <c r="AE3628" s="48"/>
      <c r="AF3628" s="48"/>
      <c r="AG3628" s="48"/>
      <c r="AH3628" s="48"/>
      <c r="AI3628" s="48"/>
      <c r="AJ3628" s="48"/>
      <c r="AK3628" s="48"/>
      <c r="AL3628" s="48"/>
      <c r="AM3628" s="48"/>
      <c r="AN3628" s="48"/>
      <c r="AO3628" s="48"/>
      <c r="AP3628" s="48"/>
      <c r="AQ3628" s="48"/>
      <c r="AR3628" s="48"/>
      <c r="AS3628" s="48"/>
      <c r="AT3628" s="48"/>
      <c r="AU3628" s="48"/>
      <c r="AV3628" s="48"/>
      <c r="AW3628" s="48"/>
      <c r="AX3628" s="48"/>
      <c r="AY3628" s="48"/>
      <c r="AZ3628" s="48"/>
      <c r="BA3628" s="48"/>
      <c r="BB3628" s="14"/>
      <c r="BC3628" s="48"/>
      <c r="BD3628" s="48"/>
      <c r="BE3628" s="48"/>
      <c r="BF3628" s="48"/>
      <c r="BG3628" s="48"/>
      <c r="BH3628" s="48"/>
      <c r="BI3628" s="48"/>
      <c r="BJ3628" s="48"/>
      <c r="BK3628" s="48"/>
      <c r="BL3628" s="48"/>
      <c r="BM3628" s="48"/>
      <c r="BN3628" s="48"/>
      <c r="BO3628" s="48"/>
      <c r="BP3628" s="48"/>
      <c r="BQ3628" s="48"/>
      <c r="BR3628" s="48"/>
      <c r="BS3628" s="48"/>
      <c r="BT3628" s="48"/>
      <c r="BU3628" s="48"/>
      <c r="BV3628" s="48"/>
      <c r="BW3628" s="48"/>
      <c r="BX3628" s="48"/>
      <c r="BY3628" s="48"/>
      <c r="BZ3628" s="48"/>
      <c r="CA3628" s="48"/>
      <c r="CB3628" s="48"/>
      <c r="CC3628" s="48"/>
      <c r="CD3628" s="48"/>
      <c r="CE3628" s="48"/>
      <c r="CF3628" s="48"/>
      <c r="CG3628" s="48"/>
      <c r="CH3628" s="48"/>
      <c r="CI3628" s="48"/>
      <c r="CJ3628" s="48"/>
      <c r="CK3628" s="48"/>
      <c r="CL3628" s="48"/>
      <c r="CM3628" s="48"/>
      <c r="CN3628" s="48"/>
      <c r="CO3628" s="48"/>
      <c r="CP3628" s="48"/>
      <c r="CQ3628" s="48"/>
      <c r="CR3628" s="48"/>
      <c r="CS3628" s="48"/>
      <c r="CT3628" s="48"/>
      <c r="CU3628" s="48"/>
      <c r="CV3628" s="48"/>
      <c r="CW3628" s="48"/>
      <c r="CX3628" s="48"/>
      <c r="CY3628" s="48"/>
      <c r="CZ3628" s="48"/>
    </row>
    <row r="3629" spans="27:104" s="4" customFormat="1" x14ac:dyDescent="0.3">
      <c r="AA3629" s="48"/>
      <c r="AB3629" s="48"/>
      <c r="AC3629" s="48"/>
      <c r="AD3629" s="48"/>
      <c r="AE3629" s="48"/>
      <c r="AF3629" s="48"/>
      <c r="AG3629" s="48"/>
      <c r="AH3629" s="48"/>
      <c r="AI3629" s="48"/>
      <c r="AJ3629" s="48"/>
      <c r="AK3629" s="48"/>
      <c r="AL3629" s="48"/>
      <c r="AM3629" s="48"/>
      <c r="AN3629" s="48"/>
      <c r="AO3629" s="48"/>
      <c r="AP3629" s="48"/>
      <c r="AQ3629" s="48"/>
      <c r="AR3629" s="48"/>
      <c r="AS3629" s="48"/>
      <c r="AT3629" s="48"/>
      <c r="AU3629" s="48"/>
      <c r="AV3629" s="48"/>
      <c r="AW3629" s="48"/>
      <c r="AX3629" s="48"/>
      <c r="AY3629" s="48"/>
      <c r="AZ3629" s="48"/>
      <c r="BA3629" s="48"/>
      <c r="BB3629" s="14"/>
      <c r="BC3629" s="48"/>
      <c r="BD3629" s="48"/>
      <c r="BE3629" s="48"/>
      <c r="BF3629" s="48"/>
      <c r="BG3629" s="48"/>
      <c r="BH3629" s="48"/>
      <c r="BI3629" s="48"/>
      <c r="BJ3629" s="48"/>
      <c r="BK3629" s="48"/>
      <c r="BL3629" s="48"/>
      <c r="BM3629" s="48"/>
      <c r="BN3629" s="48"/>
      <c r="BO3629" s="48"/>
      <c r="BP3629" s="48"/>
      <c r="BQ3629" s="48"/>
      <c r="BR3629" s="48"/>
      <c r="BS3629" s="48"/>
      <c r="BT3629" s="48"/>
      <c r="BU3629" s="48"/>
      <c r="BV3629" s="48"/>
      <c r="BW3629" s="48"/>
      <c r="BX3629" s="48"/>
      <c r="BY3629" s="48"/>
      <c r="BZ3629" s="48"/>
      <c r="CA3629" s="48"/>
      <c r="CB3629" s="48"/>
      <c r="CC3629" s="48"/>
      <c r="CD3629" s="48"/>
      <c r="CE3629" s="48"/>
      <c r="CF3629" s="48"/>
      <c r="CG3629" s="48"/>
      <c r="CH3629" s="48"/>
      <c r="CI3629" s="48"/>
      <c r="CJ3629" s="48"/>
      <c r="CK3629" s="48"/>
      <c r="CL3629" s="48"/>
      <c r="CM3629" s="48"/>
      <c r="CN3629" s="48"/>
      <c r="CO3629" s="48"/>
      <c r="CP3629" s="48"/>
      <c r="CQ3629" s="48"/>
      <c r="CR3629" s="48"/>
      <c r="CS3629" s="48"/>
      <c r="CT3629" s="48"/>
      <c r="CU3629" s="48"/>
      <c r="CV3629" s="48"/>
      <c r="CW3629" s="48"/>
      <c r="CX3629" s="48"/>
      <c r="CY3629" s="48"/>
      <c r="CZ3629" s="48"/>
    </row>
    <row r="3630" spans="27:104" s="4" customFormat="1" x14ac:dyDescent="0.3">
      <c r="AA3630" s="48"/>
      <c r="AB3630" s="48"/>
      <c r="AC3630" s="48"/>
      <c r="AD3630" s="48"/>
      <c r="AE3630" s="48"/>
      <c r="AF3630" s="48"/>
      <c r="AG3630" s="48"/>
      <c r="AH3630" s="48"/>
      <c r="AI3630" s="48"/>
      <c r="AJ3630" s="48"/>
      <c r="AK3630" s="48"/>
      <c r="AL3630" s="48"/>
      <c r="AM3630" s="48"/>
      <c r="AN3630" s="48"/>
      <c r="AO3630" s="48"/>
      <c r="AP3630" s="48"/>
      <c r="AQ3630" s="48"/>
      <c r="AR3630" s="48"/>
      <c r="AS3630" s="48"/>
      <c r="AT3630" s="48"/>
      <c r="AU3630" s="48"/>
      <c r="AV3630" s="48"/>
      <c r="AW3630" s="48"/>
      <c r="AX3630" s="48"/>
      <c r="AY3630" s="48"/>
      <c r="AZ3630" s="48"/>
      <c r="BA3630" s="48"/>
      <c r="BB3630" s="14"/>
      <c r="BC3630" s="48"/>
      <c r="BD3630" s="48"/>
      <c r="BE3630" s="48"/>
      <c r="BF3630" s="48"/>
      <c r="BG3630" s="48"/>
      <c r="BH3630" s="48"/>
      <c r="BI3630" s="48"/>
      <c r="BJ3630" s="48"/>
      <c r="BK3630" s="48"/>
      <c r="BL3630" s="48"/>
      <c r="BM3630" s="48"/>
      <c r="BN3630" s="48"/>
      <c r="BO3630" s="48"/>
      <c r="BP3630" s="48"/>
      <c r="BQ3630" s="48"/>
      <c r="BR3630" s="48"/>
      <c r="BS3630" s="48"/>
      <c r="BT3630" s="48"/>
      <c r="BU3630" s="48"/>
      <c r="BV3630" s="48"/>
      <c r="BW3630" s="48"/>
      <c r="BX3630" s="48"/>
      <c r="BY3630" s="48"/>
      <c r="BZ3630" s="48"/>
      <c r="CA3630" s="48"/>
      <c r="CB3630" s="48"/>
      <c r="CC3630" s="48"/>
      <c r="CD3630" s="48"/>
      <c r="CE3630" s="48"/>
      <c r="CF3630" s="48"/>
      <c r="CG3630" s="48"/>
      <c r="CH3630" s="48"/>
      <c r="CI3630" s="48"/>
      <c r="CJ3630" s="48"/>
      <c r="CK3630" s="48"/>
      <c r="CL3630" s="48"/>
      <c r="CM3630" s="48"/>
      <c r="CN3630" s="48"/>
      <c r="CO3630" s="48"/>
      <c r="CP3630" s="48"/>
      <c r="CQ3630" s="48"/>
      <c r="CR3630" s="48"/>
      <c r="CS3630" s="48"/>
      <c r="CT3630" s="48"/>
      <c r="CU3630" s="48"/>
      <c r="CV3630" s="48"/>
      <c r="CW3630" s="48"/>
      <c r="CX3630" s="48"/>
      <c r="CY3630" s="48"/>
      <c r="CZ3630" s="48"/>
    </row>
    <row r="3631" spans="27:104" s="4" customFormat="1" x14ac:dyDescent="0.3">
      <c r="AA3631" s="48"/>
      <c r="AB3631" s="48"/>
      <c r="AC3631" s="48"/>
      <c r="AD3631" s="48"/>
      <c r="AE3631" s="48"/>
      <c r="AF3631" s="48"/>
      <c r="AG3631" s="48"/>
      <c r="AH3631" s="48"/>
      <c r="AI3631" s="48"/>
      <c r="AJ3631" s="48"/>
      <c r="AK3631" s="48"/>
      <c r="AL3631" s="48"/>
      <c r="AM3631" s="48"/>
      <c r="AN3631" s="48"/>
      <c r="AO3631" s="48"/>
      <c r="AP3631" s="48"/>
      <c r="AQ3631" s="48"/>
      <c r="AR3631" s="48"/>
      <c r="AS3631" s="48"/>
      <c r="AT3631" s="48"/>
      <c r="AU3631" s="48"/>
      <c r="AV3631" s="48"/>
      <c r="AW3631" s="48"/>
      <c r="AX3631" s="48"/>
      <c r="AY3631" s="48"/>
      <c r="AZ3631" s="48"/>
      <c r="BA3631" s="48"/>
      <c r="BB3631" s="14"/>
      <c r="BC3631" s="48"/>
      <c r="BD3631" s="48"/>
      <c r="BE3631" s="48"/>
      <c r="BF3631" s="48"/>
      <c r="BG3631" s="48"/>
      <c r="BH3631" s="48"/>
      <c r="BI3631" s="48"/>
      <c r="BJ3631" s="48"/>
      <c r="BK3631" s="48"/>
      <c r="BL3631" s="48"/>
      <c r="BM3631" s="48"/>
      <c r="BN3631" s="48"/>
      <c r="BO3631" s="48"/>
      <c r="BP3631" s="48"/>
      <c r="BQ3631" s="48"/>
      <c r="BR3631" s="48"/>
      <c r="BS3631" s="48"/>
      <c r="BT3631" s="48"/>
      <c r="BU3631" s="48"/>
      <c r="BV3631" s="48"/>
      <c r="BW3631" s="48"/>
      <c r="BX3631" s="48"/>
      <c r="BY3631" s="48"/>
      <c r="BZ3631" s="48"/>
      <c r="CA3631" s="48"/>
      <c r="CB3631" s="48"/>
      <c r="CC3631" s="48"/>
      <c r="CD3631" s="48"/>
      <c r="CE3631" s="48"/>
      <c r="CF3631" s="48"/>
      <c r="CG3631" s="48"/>
      <c r="CH3631" s="48"/>
      <c r="CI3631" s="48"/>
      <c r="CJ3631" s="48"/>
      <c r="CK3631" s="48"/>
      <c r="CL3631" s="48"/>
      <c r="CM3631" s="48"/>
      <c r="CN3631" s="48"/>
      <c r="CO3631" s="48"/>
      <c r="CP3631" s="48"/>
      <c r="CQ3631" s="48"/>
      <c r="CR3631" s="48"/>
      <c r="CS3631" s="48"/>
      <c r="CT3631" s="48"/>
      <c r="CU3631" s="48"/>
      <c r="CV3631" s="48"/>
      <c r="CW3631" s="48"/>
      <c r="CX3631" s="48"/>
      <c r="CY3631" s="48"/>
      <c r="CZ3631" s="48"/>
    </row>
    <row r="3632" spans="27:104" s="4" customFormat="1" x14ac:dyDescent="0.3">
      <c r="AA3632" s="48"/>
      <c r="AB3632" s="48"/>
      <c r="AC3632" s="48"/>
      <c r="AD3632" s="48"/>
      <c r="AE3632" s="48"/>
      <c r="AF3632" s="48"/>
      <c r="AG3632" s="48"/>
      <c r="AH3632" s="48"/>
      <c r="AI3632" s="48"/>
      <c r="AJ3632" s="48"/>
      <c r="AK3632" s="48"/>
      <c r="AL3632" s="48"/>
      <c r="AM3632" s="48"/>
      <c r="AN3632" s="48"/>
      <c r="AO3632" s="48"/>
      <c r="AP3632" s="48"/>
      <c r="AQ3632" s="48"/>
      <c r="AR3632" s="48"/>
      <c r="AS3632" s="48"/>
      <c r="AT3632" s="48"/>
      <c r="AU3632" s="48"/>
      <c r="AV3632" s="48"/>
      <c r="AW3632" s="48"/>
      <c r="AX3632" s="48"/>
      <c r="AY3632" s="48"/>
      <c r="AZ3632" s="48"/>
      <c r="BA3632" s="48"/>
      <c r="BB3632" s="14"/>
      <c r="BC3632" s="48"/>
      <c r="BD3632" s="48"/>
      <c r="BE3632" s="48"/>
      <c r="BF3632" s="48"/>
      <c r="BG3632" s="48"/>
      <c r="BH3632" s="48"/>
      <c r="BI3632" s="48"/>
      <c r="BJ3632" s="48"/>
      <c r="BK3632" s="48"/>
      <c r="BL3632" s="48"/>
      <c r="BM3632" s="48"/>
      <c r="BN3632" s="48"/>
      <c r="BO3632" s="48"/>
      <c r="BP3632" s="48"/>
      <c r="BQ3632" s="48"/>
      <c r="BR3632" s="48"/>
      <c r="BS3632" s="48"/>
      <c r="BT3632" s="48"/>
      <c r="BU3632" s="48"/>
      <c r="BV3632" s="48"/>
      <c r="BW3632" s="48"/>
      <c r="BX3632" s="48"/>
      <c r="BY3632" s="48"/>
      <c r="BZ3632" s="48"/>
      <c r="CA3632" s="48"/>
      <c r="CB3632" s="48"/>
      <c r="CC3632" s="48"/>
      <c r="CD3632" s="48"/>
      <c r="CE3632" s="48"/>
      <c r="CF3632" s="48"/>
      <c r="CG3632" s="48"/>
      <c r="CH3632" s="48"/>
      <c r="CI3632" s="48"/>
      <c r="CJ3632" s="48"/>
      <c r="CK3632" s="48"/>
      <c r="CL3632" s="48"/>
      <c r="CM3632" s="48"/>
      <c r="CN3632" s="48"/>
      <c r="CO3632" s="48"/>
      <c r="CP3632" s="48"/>
      <c r="CQ3632" s="48"/>
      <c r="CR3632" s="48"/>
      <c r="CS3632" s="48"/>
      <c r="CT3632" s="48"/>
      <c r="CU3632" s="48"/>
      <c r="CV3632" s="48"/>
      <c r="CW3632" s="48"/>
      <c r="CX3632" s="48"/>
      <c r="CY3632" s="48"/>
      <c r="CZ3632" s="48"/>
    </row>
    <row r="3633" spans="27:104" s="4" customFormat="1" x14ac:dyDescent="0.3">
      <c r="AA3633" s="48"/>
      <c r="AB3633" s="48"/>
      <c r="AC3633" s="48"/>
      <c r="AD3633" s="48"/>
      <c r="AE3633" s="48"/>
      <c r="AF3633" s="48"/>
      <c r="AG3633" s="48"/>
      <c r="AH3633" s="48"/>
      <c r="AI3633" s="48"/>
      <c r="AJ3633" s="48"/>
      <c r="AK3633" s="48"/>
      <c r="AL3633" s="48"/>
      <c r="AM3633" s="48"/>
      <c r="AN3633" s="48"/>
      <c r="AO3633" s="48"/>
      <c r="AP3633" s="48"/>
      <c r="AQ3633" s="48"/>
      <c r="AR3633" s="48"/>
      <c r="AS3633" s="48"/>
      <c r="AT3633" s="48"/>
      <c r="AU3633" s="48"/>
      <c r="AV3633" s="48"/>
      <c r="AW3633" s="48"/>
      <c r="AX3633" s="48"/>
      <c r="AY3633" s="48"/>
      <c r="AZ3633" s="48"/>
      <c r="BA3633" s="48"/>
      <c r="BB3633" s="14"/>
      <c r="BC3633" s="48"/>
      <c r="BD3633" s="48"/>
      <c r="BE3633" s="48"/>
      <c r="BF3633" s="48"/>
      <c r="BG3633" s="48"/>
      <c r="BH3633" s="48"/>
      <c r="BI3633" s="48"/>
      <c r="BJ3633" s="48"/>
      <c r="BK3633" s="48"/>
      <c r="BL3633" s="48"/>
      <c r="BM3633" s="48"/>
      <c r="BN3633" s="48"/>
      <c r="BO3633" s="48"/>
      <c r="BP3633" s="48"/>
      <c r="BQ3633" s="48"/>
      <c r="BR3633" s="48"/>
      <c r="BS3633" s="48"/>
      <c r="BT3633" s="48"/>
      <c r="BU3633" s="48"/>
      <c r="BV3633" s="48"/>
      <c r="BW3633" s="48"/>
      <c r="BX3633" s="48"/>
      <c r="BY3633" s="48"/>
      <c r="BZ3633" s="48"/>
      <c r="CA3633" s="48"/>
      <c r="CB3633" s="48"/>
      <c r="CC3633" s="48"/>
      <c r="CD3633" s="48"/>
      <c r="CE3633" s="48"/>
      <c r="CF3633" s="48"/>
      <c r="CG3633" s="48"/>
      <c r="CH3633" s="48"/>
      <c r="CI3633" s="48"/>
      <c r="CJ3633" s="48"/>
      <c r="CK3633" s="48"/>
      <c r="CL3633" s="48"/>
      <c r="CM3633" s="48"/>
      <c r="CN3633" s="48"/>
      <c r="CO3633" s="48"/>
      <c r="CP3633" s="48"/>
      <c r="CQ3633" s="48"/>
      <c r="CR3633" s="48"/>
      <c r="CS3633" s="48"/>
      <c r="CT3633" s="48"/>
      <c r="CU3633" s="48"/>
      <c r="CV3633" s="48"/>
      <c r="CW3633" s="48"/>
      <c r="CX3633" s="48"/>
      <c r="CY3633" s="48"/>
      <c r="CZ3633" s="48"/>
    </row>
    <row r="3634" spans="27:104" s="4" customFormat="1" x14ac:dyDescent="0.3">
      <c r="AA3634" s="48"/>
      <c r="AB3634" s="48"/>
      <c r="AC3634" s="48"/>
      <c r="AD3634" s="48"/>
      <c r="AE3634" s="48"/>
      <c r="AF3634" s="48"/>
      <c r="AG3634" s="48"/>
      <c r="AH3634" s="48"/>
      <c r="AI3634" s="48"/>
      <c r="AJ3634" s="48"/>
      <c r="AK3634" s="48"/>
      <c r="AL3634" s="48"/>
      <c r="AM3634" s="48"/>
      <c r="AN3634" s="48"/>
      <c r="AO3634" s="48"/>
      <c r="AP3634" s="48"/>
      <c r="AQ3634" s="48"/>
      <c r="AR3634" s="48"/>
      <c r="AS3634" s="48"/>
      <c r="AT3634" s="48"/>
      <c r="AU3634" s="48"/>
      <c r="AV3634" s="48"/>
      <c r="AW3634" s="48"/>
      <c r="AX3634" s="48"/>
      <c r="AY3634" s="48"/>
      <c r="AZ3634" s="48"/>
      <c r="BA3634" s="48"/>
      <c r="BB3634" s="14"/>
      <c r="BC3634" s="48"/>
      <c r="BD3634" s="48"/>
      <c r="BE3634" s="48"/>
      <c r="BF3634" s="48"/>
      <c r="BG3634" s="48"/>
      <c r="BH3634" s="48"/>
      <c r="BI3634" s="48"/>
      <c r="BJ3634" s="48"/>
      <c r="BK3634" s="48"/>
      <c r="BL3634" s="48"/>
      <c r="BM3634" s="48"/>
      <c r="BN3634" s="48"/>
      <c r="BO3634" s="48"/>
      <c r="BP3634" s="48"/>
      <c r="BQ3634" s="48"/>
      <c r="BR3634" s="48"/>
      <c r="BS3634" s="48"/>
      <c r="BT3634" s="48"/>
      <c r="BU3634" s="48"/>
      <c r="BV3634" s="48"/>
      <c r="BW3634" s="48"/>
      <c r="BX3634" s="48"/>
      <c r="BY3634" s="48"/>
      <c r="BZ3634" s="48"/>
      <c r="CA3634" s="48"/>
      <c r="CB3634" s="48"/>
      <c r="CC3634" s="48"/>
      <c r="CD3634" s="48"/>
      <c r="CE3634" s="48"/>
      <c r="CF3634" s="48"/>
      <c r="CG3634" s="48"/>
      <c r="CH3634" s="48"/>
      <c r="CI3634" s="48"/>
      <c r="CJ3634" s="48"/>
      <c r="CK3634" s="48"/>
      <c r="CL3634" s="48"/>
      <c r="CM3634" s="48"/>
      <c r="CN3634" s="48"/>
      <c r="CO3634" s="48"/>
      <c r="CP3634" s="48"/>
      <c r="CQ3634" s="48"/>
      <c r="CR3634" s="48"/>
      <c r="CS3634" s="48"/>
      <c r="CT3634" s="48"/>
      <c r="CU3634" s="48"/>
      <c r="CV3634" s="48"/>
      <c r="CW3634" s="48"/>
      <c r="CX3634" s="48"/>
      <c r="CY3634" s="48"/>
      <c r="CZ3634" s="48"/>
    </row>
    <row r="3635" spans="27:104" s="4" customFormat="1" x14ac:dyDescent="0.3">
      <c r="AA3635" s="48"/>
      <c r="AB3635" s="48"/>
      <c r="AC3635" s="48"/>
      <c r="AD3635" s="48"/>
      <c r="AE3635" s="48"/>
      <c r="AF3635" s="48"/>
      <c r="AG3635" s="48"/>
      <c r="AH3635" s="48"/>
      <c r="AI3635" s="48"/>
      <c r="AJ3635" s="48"/>
      <c r="AK3635" s="48"/>
      <c r="AL3635" s="48"/>
      <c r="AM3635" s="48"/>
      <c r="AN3635" s="48"/>
      <c r="AO3635" s="48"/>
      <c r="AP3635" s="48"/>
      <c r="AQ3635" s="48"/>
      <c r="AR3635" s="48"/>
      <c r="AS3635" s="48"/>
      <c r="AT3635" s="48"/>
      <c r="AU3635" s="48"/>
      <c r="AV3635" s="48"/>
      <c r="AW3635" s="48"/>
      <c r="AX3635" s="48"/>
      <c r="AY3635" s="48"/>
      <c r="AZ3635" s="48"/>
      <c r="BA3635" s="48"/>
      <c r="BB3635" s="14"/>
      <c r="BC3635" s="48"/>
      <c r="BD3635" s="48"/>
      <c r="BE3635" s="48"/>
      <c r="BF3635" s="48"/>
      <c r="BG3635" s="48"/>
      <c r="BH3635" s="48"/>
      <c r="BI3635" s="48"/>
      <c r="BJ3635" s="48"/>
      <c r="BK3635" s="48"/>
      <c r="BL3635" s="48"/>
      <c r="BM3635" s="48"/>
      <c r="BN3635" s="48"/>
      <c r="BO3635" s="48"/>
      <c r="BP3635" s="48"/>
      <c r="BQ3635" s="48"/>
      <c r="BR3635" s="48"/>
      <c r="BS3635" s="48"/>
      <c r="BT3635" s="48"/>
      <c r="BU3635" s="48"/>
      <c r="BV3635" s="48"/>
      <c r="BW3635" s="48"/>
      <c r="BX3635" s="48"/>
      <c r="BY3635" s="48"/>
      <c r="BZ3635" s="48"/>
      <c r="CA3635" s="48"/>
      <c r="CB3635" s="48"/>
      <c r="CC3635" s="48"/>
      <c r="CD3635" s="48"/>
      <c r="CE3635" s="48"/>
      <c r="CF3635" s="48"/>
      <c r="CG3635" s="48"/>
      <c r="CH3635" s="48"/>
      <c r="CI3635" s="48"/>
      <c r="CJ3635" s="48"/>
      <c r="CK3635" s="48"/>
      <c r="CL3635" s="48"/>
      <c r="CM3635" s="48"/>
      <c r="CN3635" s="48"/>
      <c r="CO3635" s="48"/>
      <c r="CP3635" s="48"/>
      <c r="CQ3635" s="48"/>
      <c r="CR3635" s="48"/>
      <c r="CS3635" s="48"/>
      <c r="CT3635" s="48"/>
      <c r="CU3635" s="48"/>
      <c r="CV3635" s="48"/>
      <c r="CW3635" s="48"/>
      <c r="CX3635" s="48"/>
      <c r="CY3635" s="48"/>
      <c r="CZ3635" s="48"/>
    </row>
    <row r="3636" spans="27:104" s="4" customFormat="1" x14ac:dyDescent="0.3">
      <c r="AA3636" s="48"/>
      <c r="AB3636" s="48"/>
      <c r="AC3636" s="48"/>
      <c r="AD3636" s="48"/>
      <c r="AE3636" s="48"/>
      <c r="AF3636" s="48"/>
      <c r="AG3636" s="48"/>
      <c r="AH3636" s="48"/>
      <c r="AI3636" s="48"/>
      <c r="AJ3636" s="48"/>
      <c r="AK3636" s="48"/>
      <c r="AL3636" s="48"/>
      <c r="AM3636" s="48"/>
      <c r="AN3636" s="48"/>
      <c r="AO3636" s="48"/>
      <c r="AP3636" s="48"/>
      <c r="AQ3636" s="48"/>
      <c r="AR3636" s="48"/>
      <c r="AS3636" s="48"/>
      <c r="AT3636" s="48"/>
      <c r="AU3636" s="48"/>
      <c r="AV3636" s="48"/>
      <c r="AW3636" s="48"/>
      <c r="AX3636" s="48"/>
      <c r="AY3636" s="48"/>
      <c r="AZ3636" s="48"/>
      <c r="BA3636" s="48"/>
      <c r="BB3636" s="14"/>
      <c r="BC3636" s="48"/>
      <c r="BD3636" s="48"/>
      <c r="BE3636" s="48"/>
      <c r="BF3636" s="48"/>
      <c r="BG3636" s="48"/>
      <c r="BH3636" s="48"/>
      <c r="BI3636" s="48"/>
      <c r="BJ3636" s="48"/>
      <c r="BK3636" s="48"/>
      <c r="BL3636" s="48"/>
      <c r="BM3636" s="48"/>
      <c r="BN3636" s="48"/>
      <c r="BO3636" s="48"/>
      <c r="BP3636" s="48"/>
      <c r="BQ3636" s="48"/>
      <c r="BR3636" s="48"/>
      <c r="BS3636" s="48"/>
      <c r="BT3636" s="48"/>
      <c r="BU3636" s="48"/>
      <c r="BV3636" s="48"/>
      <c r="BW3636" s="48"/>
      <c r="BX3636" s="48"/>
      <c r="BY3636" s="48"/>
      <c r="BZ3636" s="48"/>
      <c r="CA3636" s="48"/>
      <c r="CB3636" s="48"/>
      <c r="CC3636" s="48"/>
      <c r="CD3636" s="48"/>
      <c r="CE3636" s="48"/>
      <c r="CF3636" s="48"/>
      <c r="CG3636" s="48"/>
      <c r="CH3636" s="48"/>
      <c r="CI3636" s="48"/>
      <c r="CJ3636" s="48"/>
      <c r="CK3636" s="48"/>
      <c r="CL3636" s="48"/>
      <c r="CM3636" s="48"/>
      <c r="CN3636" s="48"/>
      <c r="CO3636" s="48"/>
      <c r="CP3636" s="48"/>
      <c r="CQ3636" s="48"/>
      <c r="CR3636" s="48"/>
      <c r="CS3636" s="48"/>
      <c r="CT3636" s="48"/>
      <c r="CU3636" s="48"/>
      <c r="CV3636" s="48"/>
      <c r="CW3636" s="48"/>
      <c r="CX3636" s="48"/>
      <c r="CY3636" s="48"/>
      <c r="CZ3636" s="48"/>
    </row>
    <row r="3637" spans="27:104" s="4" customFormat="1" x14ac:dyDescent="0.3">
      <c r="AA3637" s="48"/>
      <c r="AB3637" s="48"/>
      <c r="AC3637" s="48"/>
      <c r="AD3637" s="48"/>
      <c r="AE3637" s="48"/>
      <c r="AF3637" s="48"/>
      <c r="AG3637" s="48"/>
      <c r="AH3637" s="48"/>
      <c r="AI3637" s="48"/>
      <c r="AJ3637" s="48"/>
      <c r="AK3637" s="48"/>
      <c r="AL3637" s="48"/>
      <c r="AM3637" s="48"/>
      <c r="AN3637" s="48"/>
      <c r="AO3637" s="48"/>
      <c r="AP3637" s="48"/>
      <c r="AQ3637" s="48"/>
      <c r="AR3637" s="48"/>
      <c r="AS3637" s="48"/>
      <c r="AT3637" s="48"/>
      <c r="AU3637" s="48"/>
      <c r="AV3637" s="48"/>
      <c r="AW3637" s="48"/>
      <c r="AX3637" s="48"/>
      <c r="AY3637" s="48"/>
      <c r="AZ3637" s="48"/>
      <c r="BA3637" s="48"/>
      <c r="BB3637" s="14"/>
      <c r="BC3637" s="48"/>
      <c r="BD3637" s="48"/>
      <c r="BE3637" s="48"/>
      <c r="BF3637" s="48"/>
      <c r="BG3637" s="48"/>
      <c r="BH3637" s="48"/>
      <c r="BI3637" s="48"/>
      <c r="BJ3637" s="48"/>
      <c r="BK3637" s="48"/>
      <c r="BL3637" s="48"/>
      <c r="BM3637" s="48"/>
      <c r="BN3637" s="48"/>
      <c r="BO3637" s="48"/>
      <c r="BP3637" s="48"/>
      <c r="BQ3637" s="48"/>
      <c r="BR3637" s="48"/>
      <c r="BS3637" s="48"/>
      <c r="BT3637" s="48"/>
      <c r="BU3637" s="48"/>
      <c r="BV3637" s="48"/>
      <c r="BW3637" s="48"/>
      <c r="BX3637" s="48"/>
      <c r="BY3637" s="48"/>
      <c r="BZ3637" s="48"/>
      <c r="CA3637" s="48"/>
      <c r="CB3637" s="48"/>
      <c r="CC3637" s="48"/>
      <c r="CD3637" s="48"/>
      <c r="CE3637" s="48"/>
      <c r="CF3637" s="48"/>
      <c r="CG3637" s="48"/>
      <c r="CH3637" s="48"/>
      <c r="CI3637" s="48"/>
      <c r="CJ3637" s="48"/>
      <c r="CK3637" s="48"/>
      <c r="CL3637" s="48"/>
      <c r="CM3637" s="48"/>
      <c r="CN3637" s="48"/>
      <c r="CO3637" s="48"/>
      <c r="CP3637" s="48"/>
      <c r="CQ3637" s="48"/>
      <c r="CR3637" s="48"/>
      <c r="CS3637" s="48"/>
      <c r="CT3637" s="48"/>
      <c r="CU3637" s="48"/>
      <c r="CV3637" s="48"/>
      <c r="CW3637" s="48"/>
      <c r="CX3637" s="48"/>
      <c r="CY3637" s="48"/>
      <c r="CZ3637" s="48"/>
    </row>
    <row r="3638" spans="27:104" s="4" customFormat="1" x14ac:dyDescent="0.3">
      <c r="AA3638" s="48"/>
      <c r="AB3638" s="48"/>
      <c r="AC3638" s="48"/>
      <c r="AD3638" s="48"/>
      <c r="AE3638" s="48"/>
      <c r="AF3638" s="48"/>
      <c r="AG3638" s="48"/>
      <c r="AH3638" s="48"/>
      <c r="AI3638" s="48"/>
      <c r="AJ3638" s="48"/>
      <c r="AK3638" s="48"/>
      <c r="AL3638" s="48"/>
      <c r="AM3638" s="48"/>
      <c r="AN3638" s="48"/>
      <c r="AO3638" s="48"/>
      <c r="AP3638" s="48"/>
      <c r="AQ3638" s="48"/>
      <c r="AR3638" s="48"/>
      <c r="AS3638" s="48"/>
      <c r="AT3638" s="48"/>
      <c r="AU3638" s="48"/>
      <c r="AV3638" s="48"/>
      <c r="AW3638" s="48"/>
      <c r="AX3638" s="48"/>
      <c r="AY3638" s="48"/>
      <c r="AZ3638" s="48"/>
      <c r="BA3638" s="48"/>
      <c r="BB3638" s="14"/>
      <c r="BC3638" s="48"/>
      <c r="BD3638" s="48"/>
      <c r="BE3638" s="48"/>
      <c r="BF3638" s="48"/>
      <c r="BG3638" s="48"/>
      <c r="BH3638" s="48"/>
      <c r="BI3638" s="48"/>
      <c r="BJ3638" s="48"/>
      <c r="BK3638" s="48"/>
      <c r="BL3638" s="48"/>
      <c r="BM3638" s="48"/>
      <c r="BN3638" s="48"/>
      <c r="BO3638" s="48"/>
      <c r="BP3638" s="48"/>
      <c r="BQ3638" s="48"/>
      <c r="BR3638" s="48"/>
      <c r="BS3638" s="48"/>
      <c r="BT3638" s="48"/>
      <c r="BU3638" s="48"/>
      <c r="BV3638" s="48"/>
      <c r="BW3638" s="48"/>
      <c r="BX3638" s="48"/>
      <c r="BY3638" s="48"/>
      <c r="BZ3638" s="48"/>
      <c r="CA3638" s="48"/>
      <c r="CB3638" s="48"/>
      <c r="CC3638" s="48"/>
      <c r="CD3638" s="48"/>
      <c r="CE3638" s="48"/>
      <c r="CF3638" s="48"/>
      <c r="CG3638" s="48"/>
      <c r="CH3638" s="48"/>
      <c r="CI3638" s="48"/>
      <c r="CJ3638" s="48"/>
      <c r="CK3638" s="48"/>
      <c r="CL3638" s="48"/>
      <c r="CM3638" s="48"/>
      <c r="CN3638" s="48"/>
      <c r="CO3638" s="48"/>
      <c r="CP3638" s="48"/>
      <c r="CQ3638" s="48"/>
      <c r="CR3638" s="48"/>
      <c r="CS3638" s="48"/>
      <c r="CT3638" s="48"/>
      <c r="CU3638" s="48"/>
      <c r="CV3638" s="48"/>
      <c r="CW3638" s="48"/>
      <c r="CX3638" s="48"/>
      <c r="CY3638" s="48"/>
      <c r="CZ3638" s="48"/>
    </row>
    <row r="3639" spans="27:104" s="4" customFormat="1" x14ac:dyDescent="0.3">
      <c r="AA3639" s="48"/>
      <c r="AB3639" s="48"/>
      <c r="AC3639" s="48"/>
      <c r="AD3639" s="48"/>
      <c r="AE3639" s="48"/>
      <c r="AF3639" s="48"/>
      <c r="AG3639" s="48"/>
      <c r="AH3639" s="48"/>
      <c r="AI3639" s="48"/>
      <c r="AJ3639" s="48"/>
      <c r="AK3639" s="48"/>
      <c r="AL3639" s="48"/>
      <c r="AM3639" s="48"/>
      <c r="AN3639" s="48"/>
      <c r="AO3639" s="48"/>
      <c r="AP3639" s="48"/>
      <c r="AQ3639" s="48"/>
      <c r="AR3639" s="48"/>
      <c r="AS3639" s="48"/>
      <c r="AT3639" s="48"/>
      <c r="AU3639" s="48"/>
      <c r="AV3639" s="48"/>
      <c r="AW3639" s="48"/>
      <c r="AX3639" s="48"/>
      <c r="AY3639" s="48"/>
      <c r="AZ3639" s="48"/>
      <c r="BA3639" s="48"/>
      <c r="BB3639" s="14"/>
      <c r="BC3639" s="48"/>
      <c r="BD3639" s="48"/>
      <c r="BE3639" s="48"/>
      <c r="BF3639" s="48"/>
      <c r="BG3639" s="48"/>
      <c r="BH3639" s="48"/>
      <c r="BI3639" s="48"/>
      <c r="BJ3639" s="48"/>
      <c r="BK3639" s="48"/>
      <c r="BL3639" s="48"/>
      <c r="BM3639" s="48"/>
      <c r="BN3639" s="48"/>
      <c r="BO3639" s="48"/>
      <c r="BP3639" s="48"/>
      <c r="BQ3639" s="48"/>
      <c r="BR3639" s="48"/>
      <c r="BS3639" s="48"/>
      <c r="BT3639" s="48"/>
      <c r="BU3639" s="48"/>
      <c r="BV3639" s="48"/>
      <c r="BW3639" s="48"/>
      <c r="BX3639" s="48"/>
      <c r="BY3639" s="48"/>
      <c r="BZ3639" s="48"/>
      <c r="CA3639" s="48"/>
      <c r="CB3639" s="48"/>
      <c r="CC3639" s="48"/>
      <c r="CD3639" s="48"/>
      <c r="CE3639" s="48"/>
      <c r="CF3639" s="48"/>
      <c r="CG3639" s="48"/>
      <c r="CH3639" s="48"/>
      <c r="CI3639" s="48"/>
      <c r="CJ3639" s="48"/>
      <c r="CK3639" s="48"/>
      <c r="CL3639" s="48"/>
      <c r="CM3639" s="48"/>
      <c r="CN3639" s="48"/>
      <c r="CO3639" s="48"/>
      <c r="CP3639" s="48"/>
      <c r="CQ3639" s="48"/>
      <c r="CR3639" s="48"/>
      <c r="CS3639" s="48"/>
      <c r="CT3639" s="48"/>
      <c r="CU3639" s="48"/>
      <c r="CV3639" s="48"/>
      <c r="CW3639" s="48"/>
      <c r="CX3639" s="48"/>
      <c r="CY3639" s="48"/>
      <c r="CZ3639" s="48"/>
    </row>
    <row r="3640" spans="27:104" s="4" customFormat="1" x14ac:dyDescent="0.3">
      <c r="AA3640" s="48"/>
      <c r="AB3640" s="48"/>
      <c r="AC3640" s="48"/>
      <c r="AD3640" s="48"/>
      <c r="AE3640" s="48"/>
      <c r="AF3640" s="48"/>
      <c r="AG3640" s="48"/>
      <c r="AH3640" s="48"/>
      <c r="AI3640" s="48"/>
      <c r="AJ3640" s="48"/>
      <c r="AK3640" s="48"/>
      <c r="AL3640" s="48"/>
      <c r="AM3640" s="48"/>
      <c r="AN3640" s="48"/>
      <c r="AO3640" s="48"/>
      <c r="AP3640" s="48"/>
      <c r="AQ3640" s="48"/>
      <c r="AR3640" s="48"/>
      <c r="AS3640" s="48"/>
      <c r="AT3640" s="48"/>
      <c r="AU3640" s="48"/>
      <c r="AV3640" s="48"/>
      <c r="AW3640" s="48"/>
      <c r="AX3640" s="48"/>
      <c r="AY3640" s="48"/>
      <c r="AZ3640" s="48"/>
      <c r="BA3640" s="48"/>
      <c r="BB3640" s="14"/>
      <c r="BC3640" s="48"/>
      <c r="BD3640" s="48"/>
      <c r="BE3640" s="48"/>
      <c r="BF3640" s="48"/>
      <c r="BG3640" s="48"/>
      <c r="BH3640" s="48"/>
      <c r="BI3640" s="48"/>
      <c r="BJ3640" s="48"/>
      <c r="BK3640" s="48"/>
      <c r="BL3640" s="48"/>
      <c r="BM3640" s="48"/>
      <c r="BN3640" s="48"/>
      <c r="BO3640" s="48"/>
      <c r="BP3640" s="48"/>
      <c r="BQ3640" s="48"/>
      <c r="BR3640" s="48"/>
      <c r="BS3640" s="48"/>
      <c r="BT3640" s="48"/>
      <c r="BU3640" s="48"/>
      <c r="BV3640" s="48"/>
      <c r="BW3640" s="48"/>
      <c r="BX3640" s="48"/>
      <c r="BY3640" s="48"/>
      <c r="BZ3640" s="48"/>
      <c r="CA3640" s="48"/>
      <c r="CB3640" s="48"/>
      <c r="CC3640" s="48"/>
      <c r="CD3640" s="48"/>
      <c r="CE3640" s="48"/>
      <c r="CF3640" s="48"/>
      <c r="CG3640" s="48"/>
      <c r="CH3640" s="48"/>
      <c r="CI3640" s="48"/>
      <c r="CJ3640" s="48"/>
      <c r="CK3640" s="48"/>
      <c r="CL3640" s="48"/>
      <c r="CM3640" s="48"/>
      <c r="CN3640" s="48"/>
      <c r="CO3640" s="48"/>
      <c r="CP3640" s="48"/>
      <c r="CQ3640" s="48"/>
      <c r="CR3640" s="48"/>
      <c r="CS3640" s="48"/>
      <c r="CT3640" s="48"/>
      <c r="CU3640" s="48"/>
      <c r="CV3640" s="48"/>
      <c r="CW3640" s="48"/>
      <c r="CX3640" s="48"/>
      <c r="CY3640" s="48"/>
      <c r="CZ3640" s="48"/>
    </row>
    <row r="3641" spans="27:104" s="4" customFormat="1" x14ac:dyDescent="0.3">
      <c r="AA3641" s="48"/>
      <c r="AB3641" s="48"/>
      <c r="AC3641" s="48"/>
      <c r="AD3641" s="48"/>
      <c r="AE3641" s="48"/>
      <c r="AF3641" s="48"/>
      <c r="AG3641" s="48"/>
      <c r="AH3641" s="48"/>
      <c r="AI3641" s="48"/>
      <c r="AJ3641" s="48"/>
      <c r="AK3641" s="48"/>
      <c r="AL3641" s="48"/>
      <c r="AM3641" s="48"/>
      <c r="AN3641" s="48"/>
      <c r="AO3641" s="48"/>
      <c r="AP3641" s="48"/>
      <c r="AQ3641" s="48"/>
      <c r="AR3641" s="48"/>
      <c r="AS3641" s="48"/>
      <c r="AT3641" s="48"/>
      <c r="AU3641" s="48"/>
      <c r="AV3641" s="48"/>
      <c r="AW3641" s="48"/>
      <c r="AX3641" s="48"/>
      <c r="AY3641" s="48"/>
      <c r="AZ3641" s="48"/>
      <c r="BA3641" s="48"/>
      <c r="BB3641" s="14"/>
      <c r="BC3641" s="48"/>
      <c r="BD3641" s="48"/>
      <c r="BE3641" s="48"/>
      <c r="BF3641" s="48"/>
      <c r="BG3641" s="48"/>
      <c r="BH3641" s="48"/>
      <c r="BI3641" s="48"/>
      <c r="BJ3641" s="48"/>
      <c r="BK3641" s="48"/>
      <c r="BL3641" s="48"/>
      <c r="BM3641" s="48"/>
      <c r="BN3641" s="48"/>
      <c r="BO3641" s="48"/>
      <c r="BP3641" s="48"/>
      <c r="BQ3641" s="48"/>
      <c r="BR3641" s="48"/>
      <c r="BS3641" s="48"/>
      <c r="BT3641" s="48"/>
      <c r="BU3641" s="48"/>
      <c r="BV3641" s="48"/>
      <c r="BW3641" s="48"/>
      <c r="BX3641" s="48"/>
      <c r="BY3641" s="48"/>
      <c r="BZ3641" s="48"/>
      <c r="CA3641" s="48"/>
      <c r="CB3641" s="48"/>
      <c r="CC3641" s="48"/>
      <c r="CD3641" s="48"/>
      <c r="CE3641" s="48"/>
      <c r="CF3641" s="48"/>
      <c r="CG3641" s="48"/>
      <c r="CH3641" s="48"/>
      <c r="CI3641" s="48"/>
      <c r="CJ3641" s="48"/>
      <c r="CK3641" s="48"/>
      <c r="CL3641" s="48"/>
      <c r="CM3641" s="48"/>
      <c r="CN3641" s="48"/>
      <c r="CO3641" s="48"/>
      <c r="CP3641" s="48"/>
      <c r="CQ3641" s="48"/>
      <c r="CR3641" s="48"/>
      <c r="CS3641" s="48"/>
      <c r="CT3641" s="48"/>
      <c r="CU3641" s="48"/>
      <c r="CV3641" s="48"/>
      <c r="CW3641" s="48"/>
      <c r="CX3641" s="48"/>
      <c r="CY3641" s="48"/>
      <c r="CZ3641" s="48"/>
    </row>
    <row r="3642" spans="27:104" s="4" customFormat="1" x14ac:dyDescent="0.3">
      <c r="AA3642" s="48"/>
      <c r="AB3642" s="48"/>
      <c r="AC3642" s="48"/>
      <c r="AD3642" s="48"/>
      <c r="AE3642" s="48"/>
      <c r="AF3642" s="48"/>
      <c r="AG3642" s="48"/>
      <c r="AH3642" s="48"/>
      <c r="AI3642" s="48"/>
      <c r="AJ3642" s="48"/>
      <c r="AK3642" s="48"/>
      <c r="AL3642" s="48"/>
      <c r="AM3642" s="48"/>
      <c r="AN3642" s="48"/>
      <c r="AO3642" s="48"/>
      <c r="AP3642" s="48"/>
      <c r="AQ3642" s="48"/>
      <c r="AR3642" s="48"/>
      <c r="AS3642" s="48"/>
      <c r="AT3642" s="48"/>
      <c r="AU3642" s="48"/>
      <c r="AV3642" s="48"/>
      <c r="AW3642" s="48"/>
      <c r="AX3642" s="48"/>
      <c r="AY3642" s="48"/>
      <c r="AZ3642" s="48"/>
      <c r="BA3642" s="48"/>
      <c r="BB3642" s="14"/>
      <c r="BC3642" s="48"/>
      <c r="BD3642" s="48"/>
      <c r="BE3642" s="48"/>
      <c r="BF3642" s="48"/>
      <c r="BG3642" s="48"/>
      <c r="BH3642" s="48"/>
      <c r="BI3642" s="48"/>
      <c r="BJ3642" s="48"/>
      <c r="BK3642" s="48"/>
      <c r="BL3642" s="48"/>
      <c r="BM3642" s="48"/>
      <c r="BN3642" s="48"/>
      <c r="BO3642" s="48"/>
      <c r="BP3642" s="48"/>
      <c r="BQ3642" s="48"/>
      <c r="BR3642" s="48"/>
      <c r="BS3642" s="48"/>
      <c r="BT3642" s="48"/>
      <c r="BU3642" s="48"/>
      <c r="BV3642" s="48"/>
      <c r="BW3642" s="48"/>
      <c r="BX3642" s="48"/>
      <c r="BY3642" s="48"/>
      <c r="BZ3642" s="48"/>
      <c r="CA3642" s="48"/>
      <c r="CB3642" s="48"/>
      <c r="CC3642" s="48"/>
      <c r="CD3642" s="48"/>
      <c r="CE3642" s="48"/>
      <c r="CF3642" s="48"/>
      <c r="CG3642" s="48"/>
      <c r="CH3642" s="48"/>
      <c r="CI3642" s="48"/>
      <c r="CJ3642" s="48"/>
      <c r="CK3642" s="48"/>
      <c r="CL3642" s="48"/>
      <c r="CM3642" s="48"/>
      <c r="CN3642" s="48"/>
      <c r="CO3642" s="48"/>
      <c r="CP3642" s="48"/>
      <c r="CQ3642" s="48"/>
      <c r="CR3642" s="48"/>
      <c r="CS3642" s="48"/>
      <c r="CT3642" s="48"/>
      <c r="CU3642" s="48"/>
      <c r="CV3642" s="48"/>
      <c r="CW3642" s="48"/>
      <c r="CX3642" s="48"/>
      <c r="CY3642" s="48"/>
      <c r="CZ3642" s="48"/>
    </row>
    <row r="3643" spans="27:104" s="4" customFormat="1" x14ac:dyDescent="0.3">
      <c r="AA3643" s="48"/>
      <c r="AB3643" s="48"/>
      <c r="AC3643" s="48"/>
      <c r="AD3643" s="48"/>
      <c r="AE3643" s="48"/>
      <c r="AF3643" s="48"/>
      <c r="AG3643" s="48"/>
      <c r="AH3643" s="48"/>
      <c r="AI3643" s="48"/>
      <c r="AJ3643" s="48"/>
      <c r="AK3643" s="48"/>
      <c r="AL3643" s="48"/>
      <c r="AM3643" s="48"/>
      <c r="AN3643" s="48"/>
      <c r="AO3643" s="48"/>
      <c r="AP3643" s="48"/>
      <c r="AQ3643" s="48"/>
      <c r="AR3643" s="48"/>
      <c r="AS3643" s="48"/>
      <c r="AT3643" s="48"/>
      <c r="AU3643" s="48"/>
      <c r="AV3643" s="48"/>
      <c r="AW3643" s="48"/>
      <c r="AX3643" s="48"/>
      <c r="AY3643" s="48"/>
      <c r="AZ3643" s="48"/>
      <c r="BA3643" s="48"/>
      <c r="BB3643" s="14"/>
      <c r="BC3643" s="48"/>
      <c r="BD3643" s="48"/>
      <c r="BE3643" s="48"/>
      <c r="BF3643" s="48"/>
      <c r="BG3643" s="48"/>
      <c r="BH3643" s="48"/>
      <c r="BI3643" s="48"/>
      <c r="BJ3643" s="48"/>
      <c r="BK3643" s="48"/>
      <c r="BL3643" s="48"/>
      <c r="BM3643" s="48"/>
      <c r="BN3643" s="48"/>
      <c r="BO3643" s="48"/>
      <c r="BP3643" s="48"/>
      <c r="BQ3643" s="48"/>
      <c r="BR3643" s="48"/>
      <c r="BS3643" s="48"/>
      <c r="BT3643" s="48"/>
      <c r="BU3643" s="48"/>
      <c r="BV3643" s="48"/>
      <c r="BW3643" s="48"/>
      <c r="BX3643" s="48"/>
      <c r="BY3643" s="48"/>
      <c r="BZ3643" s="48"/>
      <c r="CA3643" s="48"/>
      <c r="CB3643" s="48"/>
      <c r="CC3643" s="48"/>
      <c r="CD3643" s="48"/>
      <c r="CE3643" s="48"/>
      <c r="CF3643" s="48"/>
      <c r="CG3643" s="48"/>
      <c r="CH3643" s="48"/>
      <c r="CI3643" s="48"/>
      <c r="CJ3643" s="48"/>
      <c r="CK3643" s="48"/>
      <c r="CL3643" s="48"/>
      <c r="CM3643" s="48"/>
      <c r="CN3643" s="48"/>
      <c r="CO3643" s="48"/>
      <c r="CP3643" s="48"/>
      <c r="CQ3643" s="48"/>
      <c r="CR3643" s="48"/>
      <c r="CS3643" s="48"/>
      <c r="CT3643" s="48"/>
      <c r="CU3643" s="48"/>
      <c r="CV3643" s="48"/>
      <c r="CW3643" s="48"/>
      <c r="CX3643" s="48"/>
      <c r="CY3643" s="48"/>
      <c r="CZ3643" s="48"/>
    </row>
    <row r="3644" spans="27:104" s="4" customFormat="1" x14ac:dyDescent="0.3">
      <c r="AA3644" s="48"/>
      <c r="AB3644" s="48"/>
      <c r="AC3644" s="48"/>
      <c r="AD3644" s="48"/>
      <c r="AE3644" s="48"/>
      <c r="AF3644" s="48"/>
      <c r="AG3644" s="48"/>
      <c r="AH3644" s="48"/>
      <c r="AI3644" s="48"/>
      <c r="AJ3644" s="48"/>
      <c r="AK3644" s="48"/>
      <c r="AL3644" s="48"/>
      <c r="AM3644" s="48"/>
      <c r="AN3644" s="48"/>
      <c r="AO3644" s="48"/>
      <c r="AP3644" s="48"/>
      <c r="AQ3644" s="48"/>
      <c r="AR3644" s="48"/>
      <c r="AS3644" s="48"/>
      <c r="AT3644" s="48"/>
      <c r="AU3644" s="48"/>
      <c r="AV3644" s="48"/>
      <c r="AW3644" s="48"/>
      <c r="AX3644" s="48"/>
      <c r="AY3644" s="48"/>
      <c r="AZ3644" s="48"/>
      <c r="BA3644" s="48"/>
      <c r="BB3644" s="14"/>
      <c r="BC3644" s="48"/>
      <c r="BD3644" s="48"/>
      <c r="BE3644" s="48"/>
      <c r="BF3644" s="48"/>
      <c r="BG3644" s="48"/>
      <c r="BH3644" s="48"/>
      <c r="BI3644" s="48"/>
      <c r="BJ3644" s="48"/>
      <c r="BK3644" s="48"/>
      <c r="BL3644" s="48"/>
      <c r="BM3644" s="48"/>
      <c r="BN3644" s="48"/>
      <c r="BO3644" s="48"/>
      <c r="BP3644" s="48"/>
      <c r="BQ3644" s="48"/>
      <c r="BR3644" s="48"/>
      <c r="BS3644" s="48"/>
      <c r="BT3644" s="48"/>
      <c r="BU3644" s="48"/>
      <c r="BV3644" s="48"/>
      <c r="BW3644" s="48"/>
      <c r="BX3644" s="48"/>
      <c r="BY3644" s="48"/>
      <c r="BZ3644" s="48"/>
      <c r="CA3644" s="48"/>
      <c r="CB3644" s="48"/>
      <c r="CC3644" s="48"/>
      <c r="CD3644" s="48"/>
      <c r="CE3644" s="48"/>
      <c r="CF3644" s="48"/>
      <c r="CG3644" s="48"/>
      <c r="CH3644" s="48"/>
      <c r="CI3644" s="48"/>
      <c r="CJ3644" s="48"/>
      <c r="CK3644" s="48"/>
      <c r="CL3644" s="48"/>
      <c r="CM3644" s="48"/>
      <c r="CN3644" s="48"/>
      <c r="CO3644" s="48"/>
      <c r="CP3644" s="48"/>
      <c r="CQ3644" s="48"/>
      <c r="CR3644" s="48"/>
      <c r="CS3644" s="48"/>
      <c r="CT3644" s="48"/>
      <c r="CU3644" s="48"/>
      <c r="CV3644" s="48"/>
      <c r="CW3644" s="48"/>
      <c r="CX3644" s="48"/>
      <c r="CY3644" s="48"/>
      <c r="CZ3644" s="48"/>
    </row>
    <row r="3645" spans="27:104" s="4" customFormat="1" x14ac:dyDescent="0.3">
      <c r="AA3645" s="48"/>
      <c r="AB3645" s="48"/>
      <c r="AC3645" s="48"/>
      <c r="AD3645" s="48"/>
      <c r="AE3645" s="48"/>
      <c r="AF3645" s="48"/>
      <c r="AG3645" s="48"/>
      <c r="AH3645" s="48"/>
      <c r="AI3645" s="48"/>
      <c r="AJ3645" s="48"/>
      <c r="AK3645" s="48"/>
      <c r="AL3645" s="48"/>
      <c r="AM3645" s="48"/>
      <c r="AN3645" s="48"/>
      <c r="AO3645" s="48"/>
      <c r="AP3645" s="48"/>
      <c r="AQ3645" s="48"/>
      <c r="AR3645" s="48"/>
      <c r="AS3645" s="48"/>
      <c r="AT3645" s="48"/>
      <c r="AU3645" s="48"/>
      <c r="AV3645" s="48"/>
      <c r="AW3645" s="48"/>
      <c r="AX3645" s="48"/>
      <c r="AY3645" s="48"/>
      <c r="AZ3645" s="48"/>
      <c r="BA3645" s="48"/>
      <c r="BB3645" s="14"/>
      <c r="BC3645" s="48"/>
      <c r="BD3645" s="48"/>
      <c r="BE3645" s="48"/>
      <c r="BF3645" s="48"/>
      <c r="BG3645" s="48"/>
      <c r="BH3645" s="48"/>
      <c r="BI3645" s="48"/>
      <c r="BJ3645" s="48"/>
      <c r="BK3645" s="48"/>
      <c r="BL3645" s="48"/>
      <c r="BM3645" s="48"/>
      <c r="BN3645" s="48"/>
      <c r="BO3645" s="48"/>
      <c r="BP3645" s="48"/>
      <c r="BQ3645" s="48"/>
      <c r="BR3645" s="48"/>
      <c r="BS3645" s="48"/>
      <c r="BT3645" s="48"/>
      <c r="BU3645" s="48"/>
      <c r="BV3645" s="48"/>
      <c r="BW3645" s="48"/>
      <c r="BX3645" s="48"/>
      <c r="BY3645" s="48"/>
      <c r="BZ3645" s="48"/>
      <c r="CA3645" s="48"/>
      <c r="CB3645" s="48"/>
      <c r="CC3645" s="48"/>
      <c r="CD3645" s="48"/>
      <c r="CE3645" s="48"/>
      <c r="CF3645" s="48"/>
      <c r="CG3645" s="48"/>
      <c r="CH3645" s="48"/>
      <c r="CI3645" s="48"/>
      <c r="CJ3645" s="48"/>
      <c r="CK3645" s="48"/>
      <c r="CL3645" s="48"/>
      <c r="CM3645" s="48"/>
      <c r="CN3645" s="48"/>
      <c r="CO3645" s="48"/>
      <c r="CP3645" s="48"/>
      <c r="CQ3645" s="48"/>
      <c r="CR3645" s="48"/>
      <c r="CS3645" s="48"/>
      <c r="CT3645" s="48"/>
      <c r="CU3645" s="48"/>
      <c r="CV3645" s="48"/>
      <c r="CW3645" s="48"/>
      <c r="CX3645" s="48"/>
      <c r="CY3645" s="48"/>
      <c r="CZ3645" s="48"/>
    </row>
    <row r="3646" spans="27:104" s="4" customFormat="1" x14ac:dyDescent="0.3">
      <c r="AA3646" s="48"/>
      <c r="AB3646" s="48"/>
      <c r="AC3646" s="48"/>
      <c r="AD3646" s="48"/>
      <c r="AE3646" s="48"/>
      <c r="AF3646" s="48"/>
      <c r="AG3646" s="48"/>
      <c r="AH3646" s="48"/>
      <c r="AI3646" s="48"/>
      <c r="AJ3646" s="48"/>
      <c r="AK3646" s="48"/>
      <c r="AL3646" s="48"/>
      <c r="AM3646" s="48"/>
      <c r="AN3646" s="48"/>
      <c r="AO3646" s="48"/>
      <c r="AP3646" s="48"/>
      <c r="AQ3646" s="48"/>
      <c r="AR3646" s="48"/>
      <c r="AS3646" s="48"/>
      <c r="AT3646" s="48"/>
      <c r="AU3646" s="48"/>
      <c r="AV3646" s="48"/>
      <c r="AW3646" s="48"/>
      <c r="AX3646" s="48"/>
      <c r="AY3646" s="48"/>
      <c r="AZ3646" s="48"/>
      <c r="BA3646" s="48"/>
      <c r="BB3646" s="14"/>
      <c r="BC3646" s="48"/>
      <c r="BD3646" s="48"/>
      <c r="BE3646" s="48"/>
      <c r="BF3646" s="48"/>
      <c r="BG3646" s="48"/>
      <c r="BH3646" s="48"/>
      <c r="BI3646" s="48"/>
      <c r="BJ3646" s="48"/>
      <c r="BK3646" s="48"/>
      <c r="BL3646" s="48"/>
      <c r="BM3646" s="48"/>
      <c r="BN3646" s="48"/>
      <c r="BO3646" s="48"/>
      <c r="BP3646" s="48"/>
      <c r="BQ3646" s="48"/>
      <c r="BR3646" s="48"/>
      <c r="BS3646" s="48"/>
      <c r="BT3646" s="48"/>
      <c r="BU3646" s="48"/>
      <c r="BV3646" s="48"/>
      <c r="BW3646" s="48"/>
      <c r="BX3646" s="48"/>
      <c r="BY3646" s="48"/>
      <c r="BZ3646" s="48"/>
      <c r="CA3646" s="48"/>
      <c r="CB3646" s="48"/>
      <c r="CC3646" s="48"/>
      <c r="CD3646" s="48"/>
      <c r="CE3646" s="48"/>
      <c r="CF3646" s="48"/>
      <c r="CG3646" s="48"/>
      <c r="CH3646" s="48"/>
      <c r="CI3646" s="48"/>
      <c r="CJ3646" s="48"/>
      <c r="CK3646" s="48"/>
      <c r="CL3646" s="48"/>
      <c r="CM3646" s="48"/>
      <c r="CN3646" s="48"/>
      <c r="CO3646" s="48"/>
      <c r="CP3646" s="48"/>
      <c r="CQ3646" s="48"/>
      <c r="CR3646" s="48"/>
      <c r="CS3646" s="48"/>
      <c r="CT3646" s="48"/>
      <c r="CU3646" s="48"/>
      <c r="CV3646" s="48"/>
      <c r="CW3646" s="48"/>
      <c r="CX3646" s="48"/>
      <c r="CY3646" s="48"/>
      <c r="CZ3646" s="48"/>
    </row>
    <row r="3647" spans="27:104" s="4" customFormat="1" x14ac:dyDescent="0.3">
      <c r="AA3647" s="48"/>
      <c r="AB3647" s="48"/>
      <c r="AC3647" s="48"/>
      <c r="AD3647" s="48"/>
      <c r="AE3647" s="48"/>
      <c r="AF3647" s="48"/>
      <c r="AG3647" s="48"/>
      <c r="AH3647" s="48"/>
      <c r="AI3647" s="48"/>
      <c r="AJ3647" s="48"/>
      <c r="AK3647" s="48"/>
      <c r="AL3647" s="48"/>
      <c r="AM3647" s="48"/>
      <c r="AN3647" s="48"/>
      <c r="AO3647" s="48"/>
      <c r="AP3647" s="48"/>
      <c r="AQ3647" s="48"/>
      <c r="AR3647" s="48"/>
      <c r="AS3647" s="48"/>
      <c r="AT3647" s="48"/>
      <c r="AU3647" s="48"/>
      <c r="AV3647" s="48"/>
      <c r="AW3647" s="48"/>
      <c r="AX3647" s="48"/>
      <c r="AY3647" s="48"/>
      <c r="AZ3647" s="48"/>
      <c r="BA3647" s="48"/>
      <c r="BB3647" s="14"/>
      <c r="BC3647" s="48"/>
      <c r="BD3647" s="48"/>
      <c r="BE3647" s="48"/>
      <c r="BF3647" s="48"/>
      <c r="BG3647" s="48"/>
      <c r="BH3647" s="48"/>
      <c r="BI3647" s="48"/>
      <c r="BJ3647" s="48"/>
      <c r="BK3647" s="48"/>
      <c r="BL3647" s="48"/>
      <c r="BM3647" s="48"/>
      <c r="BN3647" s="48"/>
      <c r="BO3647" s="48"/>
      <c r="BP3647" s="48"/>
      <c r="BQ3647" s="48"/>
      <c r="BR3647" s="48"/>
      <c r="BS3647" s="48"/>
      <c r="BT3647" s="48"/>
      <c r="BU3647" s="48"/>
      <c r="BV3647" s="48"/>
      <c r="BW3647" s="48"/>
      <c r="BX3647" s="48"/>
      <c r="BY3647" s="48"/>
      <c r="BZ3647" s="48"/>
      <c r="CA3647" s="48"/>
      <c r="CB3647" s="48"/>
      <c r="CC3647" s="48"/>
      <c r="CD3647" s="48"/>
      <c r="CE3647" s="48"/>
      <c r="CF3647" s="48"/>
      <c r="CG3647" s="48"/>
      <c r="CH3647" s="48"/>
      <c r="CI3647" s="48"/>
      <c r="CJ3647" s="48"/>
      <c r="CK3647" s="48"/>
      <c r="CL3647" s="48"/>
      <c r="CM3647" s="48"/>
      <c r="CN3647" s="48"/>
      <c r="CO3647" s="48"/>
      <c r="CP3647" s="48"/>
      <c r="CQ3647" s="48"/>
      <c r="CR3647" s="48"/>
      <c r="CS3647" s="48"/>
      <c r="CT3647" s="48"/>
      <c r="CU3647" s="48"/>
      <c r="CV3647" s="48"/>
      <c r="CW3647" s="48"/>
      <c r="CX3647" s="48"/>
      <c r="CY3647" s="48"/>
      <c r="CZ3647" s="48"/>
    </row>
    <row r="3648" spans="27:104" s="4" customFormat="1" x14ac:dyDescent="0.3">
      <c r="AA3648" s="48"/>
      <c r="AB3648" s="48"/>
      <c r="AC3648" s="48"/>
      <c r="AD3648" s="48"/>
      <c r="AE3648" s="48"/>
      <c r="AF3648" s="48"/>
      <c r="AG3648" s="48"/>
      <c r="AH3648" s="48"/>
      <c r="AI3648" s="48"/>
      <c r="AJ3648" s="48"/>
      <c r="AK3648" s="48"/>
      <c r="AL3648" s="48"/>
      <c r="AM3648" s="48"/>
      <c r="AN3648" s="48"/>
      <c r="AO3648" s="48"/>
      <c r="AP3648" s="48"/>
      <c r="AQ3648" s="48"/>
      <c r="AR3648" s="48"/>
      <c r="AS3648" s="48"/>
      <c r="AT3648" s="48"/>
      <c r="AU3648" s="48"/>
      <c r="AV3648" s="48"/>
      <c r="AW3648" s="48"/>
      <c r="AX3648" s="48"/>
      <c r="AY3648" s="48"/>
      <c r="AZ3648" s="48"/>
      <c r="BA3648" s="48"/>
      <c r="BB3648" s="14"/>
      <c r="BC3648" s="48"/>
      <c r="BD3648" s="48"/>
      <c r="BE3648" s="48"/>
      <c r="BF3648" s="48"/>
      <c r="BG3648" s="48"/>
      <c r="BH3648" s="48"/>
      <c r="BI3648" s="48"/>
      <c r="BJ3648" s="48"/>
      <c r="BK3648" s="48"/>
      <c r="BL3648" s="48"/>
      <c r="BM3648" s="48"/>
      <c r="BN3648" s="48"/>
      <c r="BO3648" s="48"/>
      <c r="BP3648" s="48"/>
      <c r="BQ3648" s="48"/>
      <c r="BR3648" s="48"/>
      <c r="BS3648" s="48"/>
      <c r="BT3648" s="48"/>
      <c r="BU3648" s="48"/>
      <c r="BV3648" s="48"/>
      <c r="BW3648" s="48"/>
      <c r="BX3648" s="48"/>
      <c r="BY3648" s="48"/>
      <c r="BZ3648" s="48"/>
      <c r="CA3648" s="48"/>
      <c r="CB3648" s="48"/>
      <c r="CC3648" s="48"/>
      <c r="CD3648" s="48"/>
      <c r="CE3648" s="48"/>
      <c r="CF3648" s="48"/>
      <c r="CG3648" s="48"/>
      <c r="CH3648" s="48"/>
      <c r="CI3648" s="48"/>
      <c r="CJ3648" s="48"/>
      <c r="CK3648" s="48"/>
      <c r="CL3648" s="48"/>
      <c r="CM3648" s="48"/>
      <c r="CN3648" s="48"/>
      <c r="CO3648" s="48"/>
      <c r="CP3648" s="48"/>
      <c r="CQ3648" s="48"/>
      <c r="CR3648" s="48"/>
      <c r="CS3648" s="48"/>
      <c r="CT3648" s="48"/>
      <c r="CU3648" s="48"/>
      <c r="CV3648" s="48"/>
      <c r="CW3648" s="48"/>
      <c r="CX3648" s="48"/>
      <c r="CY3648" s="48"/>
      <c r="CZ3648" s="48"/>
    </row>
    <row r="3649" spans="27:104" s="4" customFormat="1" x14ac:dyDescent="0.3">
      <c r="AA3649" s="48"/>
      <c r="AB3649" s="48"/>
      <c r="AC3649" s="48"/>
      <c r="AD3649" s="48"/>
      <c r="AE3649" s="48"/>
      <c r="AF3649" s="48"/>
      <c r="AG3649" s="48"/>
      <c r="AH3649" s="48"/>
      <c r="AI3649" s="48"/>
      <c r="AJ3649" s="48"/>
      <c r="AK3649" s="48"/>
      <c r="AL3649" s="48"/>
      <c r="AM3649" s="48"/>
      <c r="AN3649" s="48"/>
      <c r="AO3649" s="48"/>
      <c r="AP3649" s="48"/>
      <c r="AQ3649" s="48"/>
      <c r="AR3649" s="48"/>
      <c r="AS3649" s="48"/>
      <c r="AT3649" s="48"/>
      <c r="AU3649" s="48"/>
      <c r="AV3649" s="48"/>
      <c r="AW3649" s="48"/>
      <c r="AX3649" s="48"/>
      <c r="AY3649" s="48"/>
      <c r="AZ3649" s="48"/>
      <c r="BA3649" s="48"/>
      <c r="BB3649" s="14"/>
      <c r="BC3649" s="48"/>
      <c r="BD3649" s="48"/>
      <c r="BE3649" s="48"/>
      <c r="BF3649" s="48"/>
      <c r="BG3649" s="48"/>
      <c r="BH3649" s="48"/>
      <c r="BI3649" s="48"/>
      <c r="BJ3649" s="48"/>
      <c r="BK3649" s="48"/>
      <c r="BL3649" s="48"/>
      <c r="BM3649" s="48"/>
      <c r="BN3649" s="48"/>
      <c r="BO3649" s="48"/>
      <c r="BP3649" s="48"/>
      <c r="BQ3649" s="48"/>
      <c r="BR3649" s="48"/>
      <c r="BS3649" s="48"/>
      <c r="BT3649" s="48"/>
      <c r="BU3649" s="48"/>
      <c r="BV3649" s="48"/>
      <c r="BW3649" s="48"/>
      <c r="BX3649" s="48"/>
      <c r="BY3649" s="48"/>
      <c r="BZ3649" s="48"/>
      <c r="CA3649" s="48"/>
      <c r="CB3649" s="48"/>
      <c r="CC3649" s="48"/>
      <c r="CD3649" s="48"/>
      <c r="CE3649" s="48"/>
      <c r="CF3649" s="48"/>
      <c r="CG3649" s="48"/>
      <c r="CH3649" s="48"/>
      <c r="CI3649" s="48"/>
      <c r="CJ3649" s="48"/>
      <c r="CK3649" s="48"/>
      <c r="CL3649" s="48"/>
      <c r="CM3649" s="48"/>
      <c r="CN3649" s="48"/>
      <c r="CO3649" s="48"/>
      <c r="CP3649" s="48"/>
      <c r="CQ3649" s="48"/>
      <c r="CR3649" s="48"/>
      <c r="CS3649" s="48"/>
      <c r="CT3649" s="48"/>
      <c r="CU3649" s="48"/>
      <c r="CV3649" s="48"/>
      <c r="CW3649" s="48"/>
      <c r="CX3649" s="48"/>
      <c r="CY3649" s="48"/>
      <c r="CZ3649" s="48"/>
    </row>
    <row r="3650" spans="27:104" s="4" customFormat="1" x14ac:dyDescent="0.3">
      <c r="AA3650" s="48"/>
      <c r="AB3650" s="48"/>
      <c r="AC3650" s="48"/>
      <c r="AD3650" s="48"/>
      <c r="AE3650" s="48"/>
      <c r="AF3650" s="48"/>
      <c r="AG3650" s="48"/>
      <c r="AH3650" s="48"/>
      <c r="AI3650" s="48"/>
      <c r="AJ3650" s="48"/>
      <c r="AK3650" s="48"/>
      <c r="AL3650" s="48"/>
      <c r="AM3650" s="48"/>
      <c r="AN3650" s="48"/>
      <c r="AO3650" s="48"/>
      <c r="AP3650" s="48"/>
      <c r="AQ3650" s="48"/>
      <c r="AR3650" s="48"/>
      <c r="AS3650" s="48"/>
      <c r="AT3650" s="48"/>
      <c r="AU3650" s="48"/>
      <c r="AV3650" s="48"/>
      <c r="AW3650" s="48"/>
      <c r="AX3650" s="48"/>
      <c r="AY3650" s="48"/>
      <c r="AZ3650" s="48"/>
      <c r="BA3650" s="48"/>
      <c r="BB3650" s="14"/>
      <c r="BC3650" s="48"/>
      <c r="BD3650" s="48"/>
      <c r="BE3650" s="48"/>
      <c r="BF3650" s="48"/>
      <c r="BG3650" s="48"/>
      <c r="BH3650" s="48"/>
      <c r="BI3650" s="48"/>
      <c r="BJ3650" s="48"/>
      <c r="BK3650" s="48"/>
      <c r="BL3650" s="48"/>
      <c r="BM3650" s="48"/>
      <c r="BN3650" s="48"/>
      <c r="BO3650" s="48"/>
      <c r="BP3650" s="48"/>
      <c r="BQ3650" s="48"/>
      <c r="BR3650" s="48"/>
      <c r="BS3650" s="48"/>
      <c r="BT3650" s="48"/>
      <c r="BU3650" s="48"/>
      <c r="BV3650" s="48"/>
      <c r="BW3650" s="48"/>
      <c r="BX3650" s="48"/>
      <c r="BY3650" s="48"/>
      <c r="BZ3650" s="48"/>
      <c r="CA3650" s="48"/>
      <c r="CB3650" s="48"/>
      <c r="CC3650" s="48"/>
      <c r="CD3650" s="48"/>
      <c r="CE3650" s="48"/>
      <c r="CF3650" s="48"/>
      <c r="CG3650" s="48"/>
      <c r="CH3650" s="48"/>
      <c r="CI3650" s="48"/>
      <c r="CJ3650" s="48"/>
      <c r="CK3650" s="48"/>
      <c r="CL3650" s="48"/>
      <c r="CM3650" s="48"/>
      <c r="CN3650" s="48"/>
      <c r="CO3650" s="48"/>
      <c r="CP3650" s="48"/>
      <c r="CQ3650" s="48"/>
      <c r="CR3650" s="48"/>
      <c r="CS3650" s="48"/>
      <c r="CT3650" s="48"/>
      <c r="CU3650" s="48"/>
      <c r="CV3650" s="48"/>
      <c r="CW3650" s="48"/>
      <c r="CX3650" s="48"/>
      <c r="CY3650" s="48"/>
      <c r="CZ3650" s="48"/>
    </row>
    <row r="3651" spans="27:104" s="4" customFormat="1" x14ac:dyDescent="0.3">
      <c r="AA3651" s="48"/>
      <c r="AB3651" s="48"/>
      <c r="AC3651" s="48"/>
      <c r="AD3651" s="48"/>
      <c r="AE3651" s="48"/>
      <c r="AF3651" s="48"/>
      <c r="AG3651" s="48"/>
      <c r="AH3651" s="48"/>
      <c r="AI3651" s="48"/>
      <c r="AJ3651" s="48"/>
      <c r="AK3651" s="48"/>
      <c r="AL3651" s="48"/>
      <c r="AM3651" s="48"/>
      <c r="AN3651" s="48"/>
      <c r="AO3651" s="48"/>
      <c r="AP3651" s="48"/>
      <c r="AQ3651" s="48"/>
      <c r="AR3651" s="48"/>
      <c r="AS3651" s="48"/>
      <c r="AT3651" s="48"/>
      <c r="AU3651" s="48"/>
      <c r="AV3651" s="48"/>
      <c r="AW3651" s="48"/>
      <c r="AX3651" s="48"/>
      <c r="AY3651" s="48"/>
      <c r="AZ3651" s="48"/>
      <c r="BA3651" s="48"/>
      <c r="BB3651" s="14"/>
      <c r="BC3651" s="48"/>
      <c r="BD3651" s="48"/>
      <c r="BE3651" s="48"/>
      <c r="BF3651" s="48"/>
      <c r="BG3651" s="48"/>
      <c r="BH3651" s="48"/>
      <c r="BI3651" s="48"/>
      <c r="BJ3651" s="48"/>
      <c r="BK3651" s="48"/>
      <c r="BL3651" s="48"/>
      <c r="BM3651" s="48"/>
      <c r="BN3651" s="48"/>
      <c r="BO3651" s="48"/>
      <c r="BP3651" s="48"/>
      <c r="BQ3651" s="48"/>
      <c r="BR3651" s="48"/>
      <c r="BS3651" s="48"/>
      <c r="BT3651" s="48"/>
      <c r="BU3651" s="48"/>
      <c r="BV3651" s="48"/>
      <c r="BW3651" s="48"/>
      <c r="BX3651" s="48"/>
      <c r="BY3651" s="48"/>
      <c r="BZ3651" s="48"/>
      <c r="CA3651" s="48"/>
      <c r="CB3651" s="48"/>
      <c r="CC3651" s="48"/>
      <c r="CD3651" s="48"/>
      <c r="CE3651" s="48"/>
      <c r="CF3651" s="48"/>
      <c r="CG3651" s="48"/>
      <c r="CH3651" s="48"/>
      <c r="CI3651" s="48"/>
      <c r="CJ3651" s="48"/>
      <c r="CK3651" s="48"/>
      <c r="CL3651" s="48"/>
      <c r="CM3651" s="48"/>
      <c r="CN3651" s="48"/>
      <c r="CO3651" s="48"/>
      <c r="CP3651" s="48"/>
      <c r="CQ3651" s="48"/>
      <c r="CR3651" s="48"/>
      <c r="CS3651" s="48"/>
      <c r="CT3651" s="48"/>
      <c r="CU3651" s="48"/>
      <c r="CV3651" s="48"/>
      <c r="CW3651" s="48"/>
      <c r="CX3651" s="48"/>
      <c r="CY3651" s="48"/>
      <c r="CZ3651" s="48"/>
    </row>
    <row r="3652" spans="27:104" s="4" customFormat="1" x14ac:dyDescent="0.3">
      <c r="AA3652" s="48"/>
      <c r="AB3652" s="48"/>
      <c r="AC3652" s="48"/>
      <c r="AD3652" s="48"/>
      <c r="AE3652" s="48"/>
      <c r="AF3652" s="48"/>
      <c r="AG3652" s="48"/>
      <c r="AH3652" s="48"/>
      <c r="AI3652" s="48"/>
      <c r="AJ3652" s="48"/>
      <c r="AK3652" s="48"/>
      <c r="AL3652" s="48"/>
      <c r="AM3652" s="48"/>
      <c r="AN3652" s="48"/>
      <c r="AO3652" s="48"/>
      <c r="AP3652" s="48"/>
      <c r="AQ3652" s="48"/>
      <c r="AR3652" s="48"/>
      <c r="AS3652" s="48"/>
      <c r="AT3652" s="48"/>
      <c r="AU3652" s="48"/>
      <c r="AV3652" s="48"/>
      <c r="AW3652" s="48"/>
      <c r="AX3652" s="48"/>
      <c r="AY3652" s="48"/>
      <c r="AZ3652" s="48"/>
      <c r="BA3652" s="48"/>
      <c r="BB3652" s="14"/>
      <c r="BC3652" s="48"/>
      <c r="BD3652" s="48"/>
      <c r="BE3652" s="48"/>
      <c r="BF3652" s="48"/>
      <c r="BG3652" s="48"/>
      <c r="BH3652" s="48"/>
      <c r="BI3652" s="48"/>
      <c r="BJ3652" s="48"/>
      <c r="BK3652" s="48"/>
      <c r="BL3652" s="48"/>
      <c r="BM3652" s="48"/>
      <c r="BN3652" s="48"/>
      <c r="BO3652" s="48"/>
      <c r="BP3652" s="48"/>
      <c r="BQ3652" s="48"/>
      <c r="BR3652" s="48"/>
      <c r="BS3652" s="48"/>
      <c r="BT3652" s="48"/>
      <c r="BU3652" s="48"/>
      <c r="BV3652" s="48"/>
      <c r="BW3652" s="48"/>
      <c r="BX3652" s="48"/>
      <c r="BY3652" s="48"/>
      <c r="BZ3652" s="48"/>
      <c r="CA3652" s="48"/>
      <c r="CB3652" s="48"/>
      <c r="CC3652" s="48"/>
      <c r="CD3652" s="48"/>
      <c r="CE3652" s="48"/>
      <c r="CF3652" s="48"/>
      <c r="CG3652" s="48"/>
      <c r="CH3652" s="48"/>
      <c r="CI3652" s="48"/>
      <c r="CJ3652" s="48"/>
      <c r="CK3652" s="48"/>
      <c r="CL3652" s="48"/>
      <c r="CM3652" s="48"/>
      <c r="CN3652" s="48"/>
      <c r="CO3652" s="48"/>
      <c r="CP3652" s="48"/>
      <c r="CQ3652" s="48"/>
      <c r="CR3652" s="48"/>
      <c r="CS3652" s="48"/>
      <c r="CT3652" s="48"/>
      <c r="CU3652" s="48"/>
      <c r="CV3652" s="48"/>
      <c r="CW3652" s="48"/>
      <c r="CX3652" s="48"/>
      <c r="CY3652" s="48"/>
      <c r="CZ3652" s="48"/>
    </row>
    <row r="3653" spans="27:104" s="4" customFormat="1" x14ac:dyDescent="0.3">
      <c r="AA3653" s="48"/>
      <c r="AB3653" s="48"/>
      <c r="AC3653" s="48"/>
      <c r="AD3653" s="48"/>
      <c r="AE3653" s="48"/>
      <c r="AF3653" s="48"/>
      <c r="AG3653" s="48"/>
      <c r="AH3653" s="48"/>
      <c r="AI3653" s="48"/>
      <c r="AJ3653" s="48"/>
      <c r="AK3653" s="48"/>
      <c r="AL3653" s="48"/>
      <c r="AM3653" s="48"/>
      <c r="AN3653" s="48"/>
      <c r="AO3653" s="48"/>
      <c r="AP3653" s="48"/>
      <c r="AQ3653" s="48"/>
      <c r="AR3653" s="48"/>
      <c r="AS3653" s="48"/>
      <c r="AT3653" s="48"/>
      <c r="AU3653" s="48"/>
      <c r="AV3653" s="48"/>
      <c r="AW3653" s="48"/>
      <c r="AX3653" s="48"/>
      <c r="AY3653" s="48"/>
      <c r="AZ3653" s="48"/>
      <c r="BA3653" s="48"/>
      <c r="BB3653" s="14"/>
      <c r="BC3653" s="48"/>
      <c r="BD3653" s="48"/>
      <c r="BE3653" s="48"/>
      <c r="BF3653" s="48"/>
      <c r="BG3653" s="48"/>
      <c r="BH3653" s="48"/>
      <c r="BI3653" s="48"/>
      <c r="BJ3653" s="48"/>
      <c r="BK3653" s="48"/>
      <c r="BL3653" s="48"/>
      <c r="BM3653" s="48"/>
      <c r="BN3653" s="48"/>
      <c r="BO3653" s="48"/>
      <c r="BP3653" s="48"/>
      <c r="BQ3653" s="48"/>
      <c r="BR3653" s="48"/>
      <c r="BS3653" s="48"/>
      <c r="BT3653" s="48"/>
      <c r="BU3653" s="48"/>
      <c r="BV3653" s="48"/>
      <c r="BW3653" s="48"/>
      <c r="BX3653" s="48"/>
      <c r="BY3653" s="48"/>
      <c r="BZ3653" s="48"/>
      <c r="CA3653" s="48"/>
      <c r="CB3653" s="48"/>
      <c r="CC3653" s="48"/>
      <c r="CD3653" s="48"/>
      <c r="CE3653" s="48"/>
      <c r="CF3653" s="48"/>
      <c r="CG3653" s="48"/>
      <c r="CH3653" s="48"/>
      <c r="CI3653" s="48"/>
      <c r="CJ3653" s="48"/>
      <c r="CK3653" s="48"/>
      <c r="CL3653" s="48"/>
      <c r="CM3653" s="48"/>
      <c r="CN3653" s="48"/>
      <c r="CO3653" s="48"/>
      <c r="CP3653" s="48"/>
      <c r="CQ3653" s="48"/>
      <c r="CR3653" s="48"/>
      <c r="CS3653" s="48"/>
      <c r="CT3653" s="48"/>
      <c r="CU3653" s="48"/>
      <c r="CV3653" s="48"/>
      <c r="CW3653" s="48"/>
      <c r="CX3653" s="48"/>
      <c r="CY3653" s="48"/>
      <c r="CZ3653" s="48"/>
    </row>
    <row r="3654" spans="27:104" s="4" customFormat="1" x14ac:dyDescent="0.3">
      <c r="AA3654" s="48"/>
      <c r="AB3654" s="48"/>
      <c r="AC3654" s="48"/>
      <c r="AD3654" s="48"/>
      <c r="AE3654" s="48"/>
      <c r="AF3654" s="48"/>
      <c r="AG3654" s="48"/>
      <c r="AH3654" s="48"/>
      <c r="AI3654" s="48"/>
      <c r="AJ3654" s="48"/>
      <c r="AK3654" s="48"/>
      <c r="AL3654" s="48"/>
      <c r="AM3654" s="48"/>
      <c r="AN3654" s="48"/>
      <c r="AO3654" s="48"/>
      <c r="AP3654" s="48"/>
      <c r="AQ3654" s="48"/>
      <c r="AR3654" s="48"/>
      <c r="AS3654" s="48"/>
      <c r="AT3654" s="48"/>
      <c r="AU3654" s="48"/>
      <c r="AV3654" s="48"/>
      <c r="AW3654" s="48"/>
      <c r="AX3654" s="48"/>
      <c r="AY3654" s="48"/>
      <c r="AZ3654" s="48"/>
      <c r="BA3654" s="48"/>
      <c r="BB3654" s="14"/>
      <c r="BC3654" s="48"/>
      <c r="BD3654" s="48"/>
      <c r="BE3654" s="48"/>
      <c r="BF3654" s="48"/>
      <c r="BG3654" s="48"/>
      <c r="BH3654" s="48"/>
      <c r="BI3654" s="48"/>
      <c r="BJ3654" s="48"/>
      <c r="BK3654" s="48"/>
      <c r="BL3654" s="48"/>
      <c r="BM3654" s="48"/>
      <c r="BN3654" s="48"/>
      <c r="BO3654" s="48"/>
      <c r="BP3654" s="48"/>
      <c r="BQ3654" s="48"/>
      <c r="BR3654" s="48"/>
      <c r="BS3654" s="48"/>
      <c r="BT3654" s="48"/>
      <c r="BU3654" s="48"/>
      <c r="BV3654" s="48"/>
      <c r="BW3654" s="48"/>
      <c r="BX3654" s="48"/>
      <c r="BY3654" s="48"/>
      <c r="BZ3654" s="48"/>
      <c r="CA3654" s="48"/>
      <c r="CB3654" s="48"/>
      <c r="CC3654" s="48"/>
      <c r="CD3654" s="48"/>
      <c r="CE3654" s="48"/>
      <c r="CF3654" s="48"/>
      <c r="CG3654" s="48"/>
      <c r="CH3654" s="48"/>
      <c r="CI3654" s="48"/>
      <c r="CJ3654" s="48"/>
      <c r="CK3654" s="48"/>
      <c r="CL3654" s="48"/>
      <c r="CM3654" s="48"/>
      <c r="CN3654" s="48"/>
      <c r="CO3654" s="48"/>
      <c r="CP3654" s="48"/>
      <c r="CQ3654" s="48"/>
      <c r="CR3654" s="48"/>
      <c r="CS3654" s="48"/>
      <c r="CT3654" s="48"/>
      <c r="CU3654" s="48"/>
      <c r="CV3654" s="48"/>
      <c r="CW3654" s="48"/>
      <c r="CX3654" s="48"/>
      <c r="CY3654" s="48"/>
      <c r="CZ3654" s="48"/>
    </row>
    <row r="3655" spans="27:104" s="4" customFormat="1" x14ac:dyDescent="0.3">
      <c r="AA3655" s="48"/>
      <c r="AB3655" s="48"/>
      <c r="AC3655" s="48"/>
      <c r="AD3655" s="48"/>
      <c r="AE3655" s="48"/>
      <c r="AF3655" s="48"/>
      <c r="AG3655" s="48"/>
      <c r="AH3655" s="48"/>
      <c r="AI3655" s="48"/>
      <c r="AJ3655" s="48"/>
      <c r="AK3655" s="48"/>
      <c r="AL3655" s="48"/>
      <c r="AM3655" s="48"/>
      <c r="AN3655" s="48"/>
      <c r="AO3655" s="48"/>
      <c r="AP3655" s="48"/>
      <c r="AQ3655" s="48"/>
      <c r="AR3655" s="48"/>
      <c r="AS3655" s="48"/>
      <c r="AT3655" s="48"/>
      <c r="AU3655" s="48"/>
      <c r="AV3655" s="48"/>
      <c r="AW3655" s="48"/>
      <c r="AX3655" s="48"/>
      <c r="AY3655" s="48"/>
      <c r="AZ3655" s="48"/>
      <c r="BA3655" s="48"/>
      <c r="BB3655" s="14"/>
      <c r="BC3655" s="48"/>
      <c r="BD3655" s="48"/>
      <c r="BE3655" s="48"/>
      <c r="BF3655" s="48"/>
      <c r="BG3655" s="48"/>
      <c r="BH3655" s="48"/>
      <c r="BI3655" s="48"/>
      <c r="BJ3655" s="48"/>
      <c r="BK3655" s="48"/>
      <c r="BL3655" s="48"/>
      <c r="BM3655" s="48"/>
      <c r="BN3655" s="48"/>
      <c r="BO3655" s="48"/>
      <c r="BP3655" s="48"/>
      <c r="BQ3655" s="48"/>
      <c r="BR3655" s="48"/>
      <c r="BS3655" s="48"/>
      <c r="BT3655" s="48"/>
      <c r="BU3655" s="48"/>
      <c r="BV3655" s="48"/>
      <c r="BW3655" s="48"/>
      <c r="BX3655" s="48"/>
      <c r="BY3655" s="48"/>
      <c r="BZ3655" s="48"/>
      <c r="CA3655" s="48"/>
      <c r="CB3655" s="48"/>
      <c r="CC3655" s="48"/>
      <c r="CD3655" s="48"/>
      <c r="CE3655" s="48"/>
      <c r="CF3655" s="48"/>
      <c r="CG3655" s="48"/>
      <c r="CH3655" s="48"/>
      <c r="CI3655" s="48"/>
      <c r="CJ3655" s="48"/>
      <c r="CK3655" s="48"/>
      <c r="CL3655" s="48"/>
      <c r="CM3655" s="48"/>
      <c r="CN3655" s="48"/>
      <c r="CO3655" s="48"/>
      <c r="CP3655" s="48"/>
      <c r="CQ3655" s="48"/>
      <c r="CR3655" s="48"/>
      <c r="CS3655" s="48"/>
      <c r="CT3655" s="48"/>
      <c r="CU3655" s="48"/>
      <c r="CV3655" s="48"/>
      <c r="CW3655" s="48"/>
      <c r="CX3655" s="48"/>
      <c r="CY3655" s="48"/>
      <c r="CZ3655" s="48"/>
    </row>
    <row r="3656" spans="27:104" s="4" customFormat="1" x14ac:dyDescent="0.3">
      <c r="AA3656" s="48"/>
      <c r="AB3656" s="48"/>
      <c r="AC3656" s="48"/>
      <c r="AD3656" s="48"/>
      <c r="AE3656" s="48"/>
      <c r="AF3656" s="48"/>
      <c r="AG3656" s="48"/>
      <c r="AH3656" s="48"/>
      <c r="AI3656" s="48"/>
      <c r="AJ3656" s="48"/>
      <c r="AK3656" s="48"/>
      <c r="AL3656" s="48"/>
      <c r="AM3656" s="48"/>
      <c r="AN3656" s="48"/>
      <c r="AO3656" s="48"/>
      <c r="AP3656" s="48"/>
      <c r="AQ3656" s="48"/>
      <c r="AR3656" s="48"/>
      <c r="AS3656" s="48"/>
      <c r="AT3656" s="48"/>
      <c r="AU3656" s="48"/>
      <c r="AV3656" s="48"/>
      <c r="AW3656" s="48"/>
      <c r="AX3656" s="48"/>
      <c r="AY3656" s="48"/>
      <c r="AZ3656" s="48"/>
      <c r="BA3656" s="48"/>
      <c r="BB3656" s="14"/>
      <c r="BC3656" s="48"/>
      <c r="BD3656" s="48"/>
      <c r="BE3656" s="48"/>
      <c r="BF3656" s="48"/>
      <c r="BG3656" s="48"/>
      <c r="BH3656" s="48"/>
      <c r="BI3656" s="48"/>
      <c r="BJ3656" s="48"/>
      <c r="BK3656" s="48"/>
      <c r="BL3656" s="48"/>
      <c r="BM3656" s="48"/>
      <c r="BN3656" s="48"/>
      <c r="BO3656" s="48"/>
      <c r="BP3656" s="48"/>
      <c r="BQ3656" s="48"/>
      <c r="BR3656" s="48"/>
      <c r="BS3656" s="48"/>
      <c r="BT3656" s="48"/>
      <c r="BU3656" s="48"/>
      <c r="BV3656" s="48"/>
      <c r="BW3656" s="48"/>
      <c r="BX3656" s="48"/>
      <c r="BY3656" s="48"/>
      <c r="BZ3656" s="48"/>
      <c r="CA3656" s="48"/>
      <c r="CB3656" s="48"/>
      <c r="CC3656" s="48"/>
      <c r="CD3656" s="48"/>
      <c r="CE3656" s="48"/>
      <c r="CF3656" s="48"/>
      <c r="CG3656" s="48"/>
      <c r="CH3656" s="48"/>
      <c r="CI3656" s="48"/>
      <c r="CJ3656" s="48"/>
      <c r="CK3656" s="48"/>
      <c r="CL3656" s="48"/>
      <c r="CM3656" s="48"/>
      <c r="CN3656" s="48"/>
      <c r="CO3656" s="48"/>
      <c r="CP3656" s="48"/>
      <c r="CQ3656" s="48"/>
      <c r="CR3656" s="48"/>
      <c r="CS3656" s="48"/>
      <c r="CT3656" s="48"/>
      <c r="CU3656" s="48"/>
      <c r="CV3656" s="48"/>
      <c r="CW3656" s="48"/>
      <c r="CX3656" s="48"/>
      <c r="CY3656" s="48"/>
      <c r="CZ3656" s="48"/>
    </row>
    <row r="3657" spans="27:104" s="4" customFormat="1" x14ac:dyDescent="0.3">
      <c r="AA3657" s="48"/>
      <c r="AB3657" s="48"/>
      <c r="AC3657" s="48"/>
      <c r="AD3657" s="48"/>
      <c r="AE3657" s="48"/>
      <c r="AF3657" s="48"/>
      <c r="AG3657" s="48"/>
      <c r="AH3657" s="48"/>
      <c r="AI3657" s="48"/>
      <c r="AJ3657" s="48"/>
      <c r="AK3657" s="48"/>
      <c r="AL3657" s="48"/>
      <c r="AM3657" s="48"/>
      <c r="AN3657" s="48"/>
      <c r="AO3657" s="48"/>
      <c r="AP3657" s="48"/>
      <c r="AQ3657" s="48"/>
      <c r="AR3657" s="48"/>
      <c r="AS3657" s="48"/>
      <c r="AT3657" s="48"/>
      <c r="AU3657" s="48"/>
      <c r="AV3657" s="48"/>
      <c r="AW3657" s="48"/>
      <c r="AX3657" s="48"/>
      <c r="AY3657" s="48"/>
      <c r="AZ3657" s="48"/>
      <c r="BA3657" s="48"/>
      <c r="BB3657" s="14"/>
      <c r="BC3657" s="48"/>
      <c r="BD3657" s="48"/>
      <c r="BE3657" s="48"/>
      <c r="BF3657" s="48"/>
      <c r="BG3657" s="48"/>
      <c r="BH3657" s="48"/>
      <c r="BI3657" s="48"/>
      <c r="BJ3657" s="48"/>
      <c r="BK3657" s="48"/>
      <c r="BL3657" s="48"/>
      <c r="BM3657" s="48"/>
      <c r="BN3657" s="48"/>
      <c r="BO3657" s="48"/>
      <c r="BP3657" s="48"/>
      <c r="BQ3657" s="48"/>
      <c r="BR3657" s="48"/>
      <c r="BS3657" s="48"/>
      <c r="BT3657" s="48"/>
      <c r="BU3657" s="48"/>
      <c r="BV3657" s="48"/>
      <c r="BW3657" s="48"/>
      <c r="BX3657" s="48"/>
      <c r="BY3657" s="48"/>
      <c r="BZ3657" s="48"/>
      <c r="CA3657" s="48"/>
      <c r="CB3657" s="48"/>
      <c r="CC3657" s="48"/>
      <c r="CD3657" s="48"/>
      <c r="CE3657" s="48"/>
      <c r="CF3657" s="48"/>
      <c r="CG3657" s="48"/>
      <c r="CH3657" s="48"/>
      <c r="CI3657" s="48"/>
      <c r="CJ3657" s="48"/>
      <c r="CK3657" s="48"/>
      <c r="CL3657" s="48"/>
      <c r="CM3657" s="48"/>
      <c r="CN3657" s="48"/>
      <c r="CO3657" s="48"/>
      <c r="CP3657" s="48"/>
      <c r="CQ3657" s="48"/>
      <c r="CR3657" s="48"/>
      <c r="CS3657" s="48"/>
      <c r="CT3657" s="48"/>
      <c r="CU3657" s="48"/>
      <c r="CV3657" s="48"/>
      <c r="CW3657" s="48"/>
      <c r="CX3657" s="48"/>
      <c r="CY3657" s="48"/>
      <c r="CZ3657" s="48"/>
    </row>
    <row r="3658" spans="27:104" s="4" customFormat="1" x14ac:dyDescent="0.3">
      <c r="AA3658" s="48"/>
      <c r="AB3658" s="48"/>
      <c r="AC3658" s="48"/>
      <c r="AD3658" s="48"/>
      <c r="AE3658" s="48"/>
      <c r="AF3658" s="48"/>
      <c r="AG3658" s="48"/>
      <c r="AH3658" s="48"/>
      <c r="AI3658" s="48"/>
      <c r="AJ3658" s="48"/>
      <c r="AK3658" s="48"/>
      <c r="AL3658" s="48"/>
      <c r="AM3658" s="48"/>
      <c r="AN3658" s="48"/>
      <c r="AO3658" s="48"/>
      <c r="AP3658" s="48"/>
      <c r="AQ3658" s="48"/>
      <c r="AR3658" s="48"/>
      <c r="AS3658" s="48"/>
      <c r="AT3658" s="48"/>
      <c r="AU3658" s="48"/>
      <c r="AV3658" s="48"/>
      <c r="AW3658" s="48"/>
      <c r="AX3658" s="48"/>
      <c r="AY3658" s="48"/>
      <c r="AZ3658" s="48"/>
      <c r="BA3658" s="48"/>
      <c r="BB3658" s="14"/>
      <c r="BC3658" s="48"/>
      <c r="BD3658" s="48"/>
      <c r="BE3658" s="48"/>
      <c r="BF3658" s="48"/>
      <c r="BG3658" s="48"/>
      <c r="BH3658" s="48"/>
      <c r="BI3658" s="48"/>
      <c r="BJ3658" s="48"/>
      <c r="BK3658" s="48"/>
      <c r="BL3658" s="48"/>
      <c r="BM3658" s="48"/>
      <c r="BN3658" s="48"/>
      <c r="BO3658" s="48"/>
      <c r="BP3658" s="48"/>
      <c r="BQ3658" s="48"/>
      <c r="BR3658" s="48"/>
      <c r="BS3658" s="48"/>
      <c r="BT3658" s="48"/>
      <c r="BU3658" s="48"/>
      <c r="BV3658" s="48"/>
      <c r="BW3658" s="48"/>
      <c r="BX3658" s="48"/>
      <c r="BY3658" s="48"/>
      <c r="BZ3658" s="48"/>
      <c r="CA3658" s="48"/>
      <c r="CB3658" s="48"/>
      <c r="CC3658" s="48"/>
      <c r="CD3658" s="48"/>
      <c r="CE3658" s="48"/>
      <c r="CF3658" s="48"/>
      <c r="CG3658" s="48"/>
      <c r="CH3658" s="48"/>
      <c r="CI3658" s="48"/>
      <c r="CJ3658" s="48"/>
      <c r="CK3658" s="48"/>
      <c r="CL3658" s="48"/>
      <c r="CM3658" s="48"/>
      <c r="CN3658" s="48"/>
      <c r="CO3658" s="48"/>
      <c r="CP3658" s="48"/>
      <c r="CQ3658" s="48"/>
      <c r="CR3658" s="48"/>
      <c r="CS3658" s="48"/>
      <c r="CT3658" s="48"/>
      <c r="CU3658" s="48"/>
      <c r="CV3658" s="48"/>
      <c r="CW3658" s="48"/>
      <c r="CX3658" s="48"/>
      <c r="CY3658" s="48"/>
      <c r="CZ3658" s="48"/>
    </row>
    <row r="3659" spans="27:104" s="4" customFormat="1" x14ac:dyDescent="0.3">
      <c r="AA3659" s="48"/>
      <c r="AB3659" s="48"/>
      <c r="AC3659" s="48"/>
      <c r="AD3659" s="48"/>
      <c r="AE3659" s="48"/>
      <c r="AF3659" s="48"/>
      <c r="AG3659" s="48"/>
      <c r="AH3659" s="48"/>
      <c r="AI3659" s="48"/>
      <c r="AJ3659" s="48"/>
      <c r="AK3659" s="48"/>
      <c r="AL3659" s="48"/>
      <c r="AM3659" s="48"/>
      <c r="AN3659" s="48"/>
      <c r="AO3659" s="48"/>
      <c r="AP3659" s="48"/>
      <c r="AQ3659" s="48"/>
      <c r="AR3659" s="48"/>
      <c r="AS3659" s="48"/>
      <c r="AT3659" s="48"/>
      <c r="AU3659" s="48"/>
      <c r="AV3659" s="48"/>
      <c r="AW3659" s="48"/>
      <c r="AX3659" s="48"/>
      <c r="AY3659" s="48"/>
      <c r="AZ3659" s="48"/>
      <c r="BA3659" s="48"/>
      <c r="BB3659" s="14"/>
      <c r="BC3659" s="48"/>
      <c r="BD3659" s="48"/>
      <c r="BE3659" s="48"/>
      <c r="BF3659" s="48"/>
      <c r="BG3659" s="48"/>
      <c r="BH3659" s="48"/>
      <c r="BI3659" s="48"/>
      <c r="BJ3659" s="48"/>
      <c r="BK3659" s="48"/>
      <c r="BL3659" s="48"/>
      <c r="BM3659" s="48"/>
      <c r="BN3659" s="48"/>
      <c r="BO3659" s="48"/>
      <c r="BP3659" s="48"/>
      <c r="BQ3659" s="48"/>
      <c r="BR3659" s="48"/>
      <c r="BS3659" s="48"/>
      <c r="BT3659" s="48"/>
      <c r="BU3659" s="48"/>
      <c r="BV3659" s="48"/>
      <c r="BW3659" s="48"/>
      <c r="BX3659" s="48"/>
      <c r="BY3659" s="48"/>
      <c r="BZ3659" s="48"/>
      <c r="CA3659" s="48"/>
      <c r="CB3659" s="48"/>
      <c r="CC3659" s="48"/>
      <c r="CD3659" s="48"/>
      <c r="CE3659" s="48"/>
      <c r="CF3659" s="48"/>
      <c r="CG3659" s="48"/>
      <c r="CH3659" s="48"/>
      <c r="CI3659" s="48"/>
      <c r="CJ3659" s="48"/>
      <c r="CK3659" s="48"/>
      <c r="CL3659" s="48"/>
      <c r="CM3659" s="48"/>
      <c r="CN3659" s="48"/>
      <c r="CO3659" s="48"/>
      <c r="CP3659" s="48"/>
      <c r="CQ3659" s="48"/>
      <c r="CR3659" s="48"/>
      <c r="CS3659" s="48"/>
      <c r="CT3659" s="48"/>
      <c r="CU3659" s="48"/>
      <c r="CV3659" s="48"/>
      <c r="CW3659" s="48"/>
      <c r="CX3659" s="48"/>
      <c r="CY3659" s="48"/>
      <c r="CZ3659" s="48"/>
    </row>
    <row r="3660" spans="27:104" s="4" customFormat="1" x14ac:dyDescent="0.3">
      <c r="AA3660" s="48"/>
      <c r="AB3660" s="48"/>
      <c r="AC3660" s="48"/>
      <c r="AD3660" s="48"/>
      <c r="AE3660" s="48"/>
      <c r="AF3660" s="48"/>
      <c r="AG3660" s="48"/>
      <c r="AH3660" s="48"/>
      <c r="AI3660" s="48"/>
      <c r="AJ3660" s="48"/>
      <c r="AK3660" s="48"/>
      <c r="AL3660" s="48"/>
      <c r="AM3660" s="48"/>
      <c r="AN3660" s="48"/>
      <c r="AO3660" s="48"/>
      <c r="AP3660" s="48"/>
      <c r="AQ3660" s="48"/>
      <c r="AR3660" s="48"/>
      <c r="AS3660" s="48"/>
      <c r="AT3660" s="48"/>
      <c r="AU3660" s="48"/>
      <c r="AV3660" s="48"/>
      <c r="AW3660" s="48"/>
      <c r="AX3660" s="48"/>
      <c r="AY3660" s="48"/>
      <c r="AZ3660" s="48"/>
      <c r="BA3660" s="48"/>
      <c r="BB3660" s="14"/>
      <c r="BC3660" s="48"/>
      <c r="BD3660" s="48"/>
      <c r="BE3660" s="48"/>
      <c r="BF3660" s="48"/>
      <c r="BG3660" s="48"/>
      <c r="BH3660" s="48"/>
      <c r="BI3660" s="48"/>
      <c r="BJ3660" s="48"/>
      <c r="BK3660" s="48"/>
      <c r="BL3660" s="48"/>
      <c r="BM3660" s="48"/>
      <c r="BN3660" s="48"/>
      <c r="BO3660" s="48"/>
      <c r="BP3660" s="48"/>
      <c r="BQ3660" s="48"/>
      <c r="BR3660" s="48"/>
      <c r="BS3660" s="48"/>
      <c r="BT3660" s="48"/>
      <c r="BU3660" s="48"/>
      <c r="BV3660" s="48"/>
      <c r="BW3660" s="48"/>
      <c r="BX3660" s="48"/>
      <c r="BY3660" s="48"/>
      <c r="BZ3660" s="48"/>
      <c r="CA3660" s="48"/>
      <c r="CB3660" s="48"/>
      <c r="CC3660" s="48"/>
      <c r="CD3660" s="48"/>
      <c r="CE3660" s="48"/>
      <c r="CF3660" s="48"/>
      <c r="CG3660" s="48"/>
      <c r="CH3660" s="48"/>
      <c r="CI3660" s="48"/>
      <c r="CJ3660" s="48"/>
      <c r="CK3660" s="48"/>
      <c r="CL3660" s="48"/>
      <c r="CM3660" s="48"/>
      <c r="CN3660" s="48"/>
      <c r="CO3660" s="48"/>
      <c r="CP3660" s="48"/>
      <c r="CQ3660" s="48"/>
      <c r="CR3660" s="48"/>
      <c r="CS3660" s="48"/>
      <c r="CT3660" s="48"/>
      <c r="CU3660" s="48"/>
      <c r="CV3660" s="48"/>
      <c r="CW3660" s="48"/>
      <c r="CX3660" s="48"/>
      <c r="CY3660" s="48"/>
      <c r="CZ3660" s="48"/>
    </row>
    <row r="3661" spans="27:104" s="4" customFormat="1" x14ac:dyDescent="0.3">
      <c r="AA3661" s="48"/>
      <c r="AB3661" s="48"/>
      <c r="AC3661" s="48"/>
      <c r="AD3661" s="48"/>
      <c r="AE3661" s="48"/>
      <c r="AF3661" s="48"/>
      <c r="AG3661" s="48"/>
      <c r="AH3661" s="48"/>
      <c r="AI3661" s="48"/>
      <c r="AJ3661" s="48"/>
      <c r="AK3661" s="48"/>
      <c r="AL3661" s="48"/>
      <c r="AM3661" s="48"/>
      <c r="AN3661" s="48"/>
      <c r="AO3661" s="48"/>
      <c r="AP3661" s="48"/>
      <c r="AQ3661" s="48"/>
      <c r="AR3661" s="48"/>
      <c r="AS3661" s="48"/>
      <c r="AT3661" s="48"/>
      <c r="AU3661" s="48"/>
      <c r="AV3661" s="48"/>
      <c r="AW3661" s="48"/>
      <c r="AX3661" s="48"/>
      <c r="AY3661" s="48"/>
      <c r="AZ3661" s="48"/>
      <c r="BA3661" s="48"/>
      <c r="BB3661" s="14"/>
      <c r="BC3661" s="48"/>
      <c r="BD3661" s="48"/>
      <c r="BE3661" s="48"/>
      <c r="BF3661" s="48"/>
      <c r="BG3661" s="48"/>
      <c r="BH3661" s="48"/>
      <c r="BI3661" s="48"/>
      <c r="BJ3661" s="48"/>
      <c r="BK3661" s="48"/>
      <c r="BL3661" s="48"/>
      <c r="BM3661" s="48"/>
      <c r="BN3661" s="48"/>
      <c r="BO3661" s="48"/>
      <c r="BP3661" s="48"/>
      <c r="BQ3661" s="48"/>
      <c r="BR3661" s="48"/>
      <c r="BS3661" s="48"/>
      <c r="BT3661" s="48"/>
      <c r="BU3661" s="48"/>
      <c r="BV3661" s="48"/>
      <c r="BW3661" s="48"/>
      <c r="BX3661" s="48"/>
      <c r="BY3661" s="48"/>
      <c r="BZ3661" s="48"/>
      <c r="CA3661" s="48"/>
      <c r="CB3661" s="48"/>
      <c r="CC3661" s="48"/>
      <c r="CD3661" s="48"/>
      <c r="CE3661" s="48"/>
      <c r="CF3661" s="48"/>
      <c r="CG3661" s="48"/>
      <c r="CH3661" s="48"/>
      <c r="CI3661" s="48"/>
      <c r="CJ3661" s="48"/>
      <c r="CK3661" s="48"/>
      <c r="CL3661" s="48"/>
      <c r="CM3661" s="48"/>
      <c r="CN3661" s="48"/>
      <c r="CO3661" s="48"/>
      <c r="CP3661" s="48"/>
      <c r="CQ3661" s="48"/>
      <c r="CR3661" s="48"/>
      <c r="CS3661" s="48"/>
      <c r="CT3661" s="48"/>
      <c r="CU3661" s="48"/>
      <c r="CV3661" s="48"/>
      <c r="CW3661" s="48"/>
      <c r="CX3661" s="48"/>
      <c r="CY3661" s="48"/>
      <c r="CZ3661" s="48"/>
    </row>
    <row r="3662" spans="27:104" s="4" customFormat="1" x14ac:dyDescent="0.3">
      <c r="AA3662" s="48"/>
      <c r="AB3662" s="48"/>
      <c r="AC3662" s="48"/>
      <c r="AD3662" s="48"/>
      <c r="AE3662" s="48"/>
      <c r="AF3662" s="48"/>
      <c r="AG3662" s="48"/>
      <c r="AH3662" s="48"/>
      <c r="AI3662" s="48"/>
      <c r="AJ3662" s="48"/>
      <c r="AK3662" s="48"/>
      <c r="AL3662" s="48"/>
      <c r="AM3662" s="48"/>
      <c r="AN3662" s="48"/>
      <c r="AO3662" s="48"/>
      <c r="AP3662" s="48"/>
      <c r="AQ3662" s="48"/>
      <c r="AR3662" s="48"/>
      <c r="AS3662" s="48"/>
      <c r="AT3662" s="48"/>
      <c r="AU3662" s="48"/>
      <c r="AV3662" s="48"/>
      <c r="AW3662" s="48"/>
      <c r="AX3662" s="48"/>
      <c r="AY3662" s="48"/>
      <c r="AZ3662" s="48"/>
      <c r="BA3662" s="48"/>
      <c r="BB3662" s="14"/>
      <c r="BC3662" s="48"/>
      <c r="BD3662" s="48"/>
      <c r="BE3662" s="48"/>
      <c r="BF3662" s="48"/>
      <c r="BG3662" s="48"/>
      <c r="BH3662" s="48"/>
      <c r="BI3662" s="48"/>
      <c r="BJ3662" s="48"/>
      <c r="BK3662" s="48"/>
      <c r="BL3662" s="48"/>
      <c r="BM3662" s="48"/>
      <c r="BN3662" s="48"/>
      <c r="BO3662" s="48"/>
      <c r="BP3662" s="48"/>
      <c r="BQ3662" s="48"/>
      <c r="BR3662" s="48"/>
      <c r="BS3662" s="48"/>
      <c r="BT3662" s="48"/>
      <c r="BU3662" s="48"/>
      <c r="BV3662" s="48"/>
      <c r="BW3662" s="48"/>
      <c r="BX3662" s="48"/>
      <c r="BY3662" s="48"/>
      <c r="BZ3662" s="48"/>
      <c r="CA3662" s="48"/>
      <c r="CB3662" s="48"/>
      <c r="CC3662" s="48"/>
      <c r="CD3662" s="48"/>
      <c r="CE3662" s="48"/>
      <c r="CF3662" s="48"/>
      <c r="CG3662" s="48"/>
      <c r="CH3662" s="48"/>
      <c r="CI3662" s="48"/>
      <c r="CJ3662" s="48"/>
      <c r="CK3662" s="48"/>
      <c r="CL3662" s="48"/>
      <c r="CM3662" s="48"/>
      <c r="CN3662" s="48"/>
      <c r="CO3662" s="48"/>
      <c r="CP3662" s="48"/>
      <c r="CQ3662" s="48"/>
      <c r="CR3662" s="48"/>
      <c r="CS3662" s="48"/>
      <c r="CT3662" s="48"/>
      <c r="CU3662" s="48"/>
      <c r="CV3662" s="48"/>
      <c r="CW3662" s="48"/>
      <c r="CX3662" s="48"/>
      <c r="CY3662" s="48"/>
      <c r="CZ3662" s="48"/>
    </row>
    <row r="3663" spans="27:104" s="4" customFormat="1" x14ac:dyDescent="0.3">
      <c r="AA3663" s="48"/>
      <c r="AB3663" s="48"/>
      <c r="AC3663" s="48"/>
      <c r="AD3663" s="48"/>
      <c r="AE3663" s="48"/>
      <c r="AF3663" s="48"/>
      <c r="AG3663" s="48"/>
      <c r="AH3663" s="48"/>
      <c r="AI3663" s="48"/>
      <c r="AJ3663" s="48"/>
      <c r="AK3663" s="48"/>
      <c r="AL3663" s="48"/>
      <c r="AM3663" s="48"/>
      <c r="AN3663" s="48"/>
      <c r="AO3663" s="48"/>
      <c r="AP3663" s="48"/>
      <c r="AQ3663" s="48"/>
      <c r="AR3663" s="48"/>
      <c r="AS3663" s="48"/>
      <c r="AT3663" s="48"/>
      <c r="AU3663" s="48"/>
      <c r="AV3663" s="48"/>
      <c r="AW3663" s="48"/>
      <c r="AX3663" s="48"/>
      <c r="AY3663" s="48"/>
      <c r="AZ3663" s="48"/>
      <c r="BA3663" s="48"/>
      <c r="BB3663" s="14"/>
      <c r="BC3663" s="48"/>
      <c r="BD3663" s="48"/>
      <c r="BE3663" s="48"/>
      <c r="BF3663" s="48"/>
      <c r="BG3663" s="48"/>
      <c r="BH3663" s="48"/>
      <c r="BI3663" s="48"/>
      <c r="BJ3663" s="48"/>
      <c r="BK3663" s="48"/>
      <c r="BL3663" s="48"/>
      <c r="BM3663" s="48"/>
      <c r="BN3663" s="48"/>
      <c r="BO3663" s="48"/>
      <c r="BP3663" s="48"/>
      <c r="BQ3663" s="48"/>
      <c r="BR3663" s="48"/>
      <c r="BS3663" s="48"/>
      <c r="BT3663" s="48"/>
      <c r="BU3663" s="48"/>
      <c r="BV3663" s="48"/>
      <c r="BW3663" s="48"/>
      <c r="BX3663" s="48"/>
      <c r="BY3663" s="48"/>
      <c r="BZ3663" s="48"/>
      <c r="CA3663" s="48"/>
      <c r="CB3663" s="48"/>
      <c r="CC3663" s="48"/>
      <c r="CD3663" s="48"/>
      <c r="CE3663" s="48"/>
      <c r="CF3663" s="48"/>
      <c r="CG3663" s="48"/>
      <c r="CH3663" s="48"/>
      <c r="CI3663" s="48"/>
      <c r="CJ3663" s="48"/>
      <c r="CK3663" s="48"/>
      <c r="CL3663" s="48"/>
      <c r="CM3663" s="48"/>
      <c r="CN3663" s="48"/>
      <c r="CO3663" s="48"/>
      <c r="CP3663" s="48"/>
      <c r="CQ3663" s="48"/>
      <c r="CR3663" s="48"/>
      <c r="CS3663" s="48"/>
      <c r="CT3663" s="48"/>
      <c r="CU3663" s="48"/>
      <c r="CV3663" s="48"/>
      <c r="CW3663" s="48"/>
      <c r="CX3663" s="48"/>
      <c r="CY3663" s="48"/>
      <c r="CZ3663" s="48"/>
    </row>
    <row r="3664" spans="27:104" s="4" customFormat="1" x14ac:dyDescent="0.3">
      <c r="AA3664" s="48"/>
      <c r="AB3664" s="48"/>
      <c r="AC3664" s="48"/>
      <c r="AD3664" s="48"/>
      <c r="AE3664" s="48"/>
      <c r="AF3664" s="48"/>
      <c r="AG3664" s="48"/>
      <c r="AH3664" s="48"/>
      <c r="AI3664" s="48"/>
      <c r="AJ3664" s="48"/>
      <c r="AK3664" s="48"/>
      <c r="AL3664" s="48"/>
      <c r="AM3664" s="48"/>
      <c r="AN3664" s="48"/>
      <c r="AO3664" s="48"/>
      <c r="AP3664" s="48"/>
      <c r="AQ3664" s="48"/>
      <c r="AR3664" s="48"/>
      <c r="AS3664" s="48"/>
      <c r="AT3664" s="48"/>
      <c r="AU3664" s="48"/>
      <c r="AV3664" s="48"/>
      <c r="AW3664" s="48"/>
      <c r="AX3664" s="48"/>
      <c r="AY3664" s="48"/>
      <c r="AZ3664" s="48"/>
      <c r="BA3664" s="48"/>
      <c r="BB3664" s="14"/>
      <c r="BC3664" s="48"/>
      <c r="BD3664" s="48"/>
      <c r="BE3664" s="48"/>
      <c r="BF3664" s="48"/>
      <c r="BG3664" s="48"/>
      <c r="BH3664" s="48"/>
      <c r="BI3664" s="48"/>
      <c r="BJ3664" s="48"/>
      <c r="BK3664" s="48"/>
      <c r="BL3664" s="48"/>
      <c r="BM3664" s="48"/>
      <c r="BN3664" s="48"/>
      <c r="BO3664" s="48"/>
      <c r="BP3664" s="48"/>
      <c r="BQ3664" s="48"/>
      <c r="BR3664" s="48"/>
      <c r="BS3664" s="48"/>
      <c r="BT3664" s="48"/>
      <c r="BU3664" s="48"/>
      <c r="BV3664" s="48"/>
      <c r="BW3664" s="48"/>
      <c r="BX3664" s="48"/>
      <c r="BY3664" s="48"/>
      <c r="BZ3664" s="48"/>
      <c r="CA3664" s="48"/>
      <c r="CB3664" s="48"/>
      <c r="CC3664" s="48"/>
      <c r="CD3664" s="48"/>
      <c r="CE3664" s="48"/>
      <c r="CF3664" s="48"/>
      <c r="CG3664" s="48"/>
      <c r="CH3664" s="48"/>
      <c r="CI3664" s="48"/>
      <c r="CJ3664" s="48"/>
      <c r="CK3664" s="48"/>
      <c r="CL3664" s="48"/>
      <c r="CM3664" s="48"/>
      <c r="CN3664" s="48"/>
      <c r="CO3664" s="48"/>
      <c r="CP3664" s="48"/>
      <c r="CQ3664" s="48"/>
      <c r="CR3664" s="48"/>
      <c r="CS3664" s="48"/>
      <c r="CT3664" s="48"/>
      <c r="CU3664" s="48"/>
      <c r="CV3664" s="48"/>
      <c r="CW3664" s="48"/>
      <c r="CX3664" s="48"/>
      <c r="CY3664" s="48"/>
      <c r="CZ3664" s="48"/>
    </row>
    <row r="3665" spans="27:104" s="4" customFormat="1" x14ac:dyDescent="0.3">
      <c r="AA3665" s="48"/>
      <c r="AB3665" s="48"/>
      <c r="AC3665" s="48"/>
      <c r="AD3665" s="48"/>
      <c r="AE3665" s="48"/>
      <c r="AF3665" s="48"/>
      <c r="AG3665" s="48"/>
      <c r="AH3665" s="48"/>
      <c r="AI3665" s="48"/>
      <c r="AJ3665" s="48"/>
      <c r="AK3665" s="48"/>
      <c r="AL3665" s="48"/>
      <c r="AM3665" s="48"/>
      <c r="AN3665" s="48"/>
      <c r="AO3665" s="48"/>
      <c r="AP3665" s="48"/>
      <c r="AQ3665" s="48"/>
      <c r="AR3665" s="48"/>
      <c r="AS3665" s="48"/>
      <c r="AT3665" s="48"/>
      <c r="AU3665" s="48"/>
      <c r="AV3665" s="48"/>
      <c r="AW3665" s="48"/>
      <c r="AX3665" s="48"/>
      <c r="AY3665" s="48"/>
      <c r="AZ3665" s="48"/>
      <c r="BA3665" s="48"/>
      <c r="BB3665" s="14"/>
      <c r="BC3665" s="48"/>
      <c r="BD3665" s="48"/>
      <c r="BE3665" s="48"/>
      <c r="BF3665" s="48"/>
      <c r="BG3665" s="48"/>
      <c r="BH3665" s="48"/>
      <c r="BI3665" s="48"/>
      <c r="BJ3665" s="48"/>
      <c r="BK3665" s="48"/>
      <c r="BL3665" s="48"/>
      <c r="BM3665" s="48"/>
      <c r="BN3665" s="48"/>
      <c r="BO3665" s="48"/>
      <c r="BP3665" s="48"/>
      <c r="BQ3665" s="48"/>
      <c r="BR3665" s="48"/>
      <c r="BS3665" s="48"/>
      <c r="BT3665" s="48"/>
      <c r="BU3665" s="48"/>
      <c r="BV3665" s="48"/>
      <c r="BW3665" s="48"/>
      <c r="BX3665" s="48"/>
      <c r="BY3665" s="48"/>
      <c r="BZ3665" s="48"/>
      <c r="CA3665" s="48"/>
      <c r="CB3665" s="48"/>
      <c r="CC3665" s="48"/>
      <c r="CD3665" s="48"/>
      <c r="CE3665" s="48"/>
      <c r="CF3665" s="48"/>
      <c r="CG3665" s="48"/>
      <c r="CH3665" s="48"/>
      <c r="CI3665" s="48"/>
      <c r="CJ3665" s="48"/>
      <c r="CK3665" s="48"/>
      <c r="CL3665" s="48"/>
      <c r="CM3665" s="48"/>
      <c r="CN3665" s="48"/>
      <c r="CO3665" s="48"/>
      <c r="CP3665" s="48"/>
      <c r="CQ3665" s="48"/>
      <c r="CR3665" s="48"/>
      <c r="CS3665" s="48"/>
      <c r="CT3665" s="48"/>
      <c r="CU3665" s="48"/>
      <c r="CV3665" s="48"/>
      <c r="CW3665" s="48"/>
      <c r="CX3665" s="48"/>
      <c r="CY3665" s="48"/>
      <c r="CZ3665" s="48"/>
    </row>
    <row r="3666" spans="27:104" s="4" customFormat="1" x14ac:dyDescent="0.3">
      <c r="AA3666" s="48"/>
      <c r="AB3666" s="48"/>
      <c r="AC3666" s="48"/>
      <c r="AD3666" s="48"/>
      <c r="AE3666" s="48"/>
      <c r="AF3666" s="48"/>
      <c r="AG3666" s="48"/>
      <c r="AH3666" s="48"/>
      <c r="AI3666" s="48"/>
      <c r="AJ3666" s="48"/>
      <c r="AK3666" s="48"/>
      <c r="AL3666" s="48"/>
      <c r="AM3666" s="48"/>
      <c r="AN3666" s="48"/>
      <c r="AO3666" s="48"/>
      <c r="AP3666" s="48"/>
      <c r="AQ3666" s="48"/>
      <c r="AR3666" s="48"/>
      <c r="AS3666" s="48"/>
      <c r="AT3666" s="48"/>
      <c r="AU3666" s="48"/>
      <c r="AV3666" s="48"/>
      <c r="AW3666" s="48"/>
      <c r="AX3666" s="48"/>
      <c r="AY3666" s="48"/>
      <c r="AZ3666" s="48"/>
      <c r="BA3666" s="48"/>
      <c r="BB3666" s="14"/>
      <c r="BC3666" s="48"/>
      <c r="BD3666" s="48"/>
      <c r="BE3666" s="48"/>
      <c r="BF3666" s="48"/>
      <c r="BG3666" s="48"/>
      <c r="BH3666" s="48"/>
      <c r="BI3666" s="48"/>
      <c r="BJ3666" s="48"/>
      <c r="BK3666" s="48"/>
      <c r="BL3666" s="48"/>
      <c r="BM3666" s="48"/>
      <c r="BN3666" s="48"/>
      <c r="BO3666" s="48"/>
      <c r="BP3666" s="48"/>
      <c r="BQ3666" s="48"/>
      <c r="BR3666" s="48"/>
      <c r="BS3666" s="48"/>
      <c r="BT3666" s="48"/>
      <c r="BU3666" s="48"/>
      <c r="BV3666" s="48"/>
      <c r="BW3666" s="48"/>
      <c r="BX3666" s="48"/>
      <c r="BY3666" s="48"/>
      <c r="BZ3666" s="48"/>
      <c r="CA3666" s="48"/>
      <c r="CB3666" s="48"/>
      <c r="CC3666" s="48"/>
      <c r="CD3666" s="48"/>
      <c r="CE3666" s="48"/>
      <c r="CF3666" s="48"/>
      <c r="CG3666" s="48"/>
      <c r="CH3666" s="48"/>
      <c r="CI3666" s="48"/>
      <c r="CJ3666" s="48"/>
      <c r="CK3666" s="48"/>
      <c r="CL3666" s="48"/>
      <c r="CM3666" s="48"/>
      <c r="CN3666" s="48"/>
      <c r="CO3666" s="48"/>
      <c r="CP3666" s="48"/>
      <c r="CQ3666" s="48"/>
      <c r="CR3666" s="48"/>
      <c r="CS3666" s="48"/>
      <c r="CT3666" s="48"/>
      <c r="CU3666" s="48"/>
      <c r="CV3666" s="48"/>
      <c r="CW3666" s="48"/>
      <c r="CX3666" s="48"/>
      <c r="CY3666" s="48"/>
      <c r="CZ3666" s="48"/>
    </row>
    <row r="3667" spans="27:104" s="4" customFormat="1" x14ac:dyDescent="0.3">
      <c r="AA3667" s="48"/>
      <c r="AB3667" s="48"/>
      <c r="AC3667" s="48"/>
      <c r="AD3667" s="48"/>
      <c r="AE3667" s="48"/>
      <c r="AF3667" s="48"/>
      <c r="AG3667" s="48"/>
      <c r="AH3667" s="48"/>
      <c r="AI3667" s="48"/>
      <c r="AJ3667" s="48"/>
      <c r="AK3667" s="48"/>
      <c r="AL3667" s="48"/>
      <c r="AM3667" s="48"/>
      <c r="AN3667" s="48"/>
      <c r="AO3667" s="48"/>
      <c r="AP3667" s="48"/>
      <c r="AQ3667" s="48"/>
      <c r="AR3667" s="48"/>
      <c r="AS3667" s="48"/>
      <c r="AT3667" s="48"/>
      <c r="AU3667" s="48"/>
      <c r="AV3667" s="48"/>
      <c r="AW3667" s="48"/>
      <c r="AX3667" s="48"/>
      <c r="AY3667" s="48"/>
      <c r="AZ3667" s="48"/>
      <c r="BA3667" s="48"/>
      <c r="BB3667" s="14"/>
      <c r="BC3667" s="48"/>
      <c r="BD3667" s="48"/>
      <c r="BE3667" s="48"/>
      <c r="BF3667" s="48"/>
      <c r="BG3667" s="48"/>
      <c r="BH3667" s="48"/>
      <c r="BI3667" s="48"/>
      <c r="BJ3667" s="48"/>
      <c r="BK3667" s="48"/>
      <c r="BL3667" s="48"/>
      <c r="BM3667" s="48"/>
      <c r="BN3667" s="48"/>
      <c r="BO3667" s="48"/>
      <c r="BP3667" s="48"/>
      <c r="BQ3667" s="48"/>
      <c r="BR3667" s="48"/>
      <c r="BS3667" s="48"/>
      <c r="BT3667" s="48"/>
      <c r="BU3667" s="48"/>
      <c r="BV3667" s="48"/>
      <c r="BW3667" s="48"/>
      <c r="BX3667" s="48"/>
      <c r="BY3667" s="48"/>
      <c r="BZ3667" s="48"/>
      <c r="CA3667" s="48"/>
      <c r="CB3667" s="48"/>
      <c r="CC3667" s="48"/>
      <c r="CD3667" s="48"/>
      <c r="CE3667" s="48"/>
      <c r="CF3667" s="48"/>
      <c r="CG3667" s="48"/>
      <c r="CH3667" s="48"/>
      <c r="CI3667" s="48"/>
      <c r="CJ3667" s="48"/>
      <c r="CK3667" s="48"/>
      <c r="CL3667" s="48"/>
      <c r="CM3667" s="48"/>
      <c r="CN3667" s="48"/>
      <c r="CO3667" s="48"/>
      <c r="CP3667" s="48"/>
      <c r="CQ3667" s="48"/>
      <c r="CR3667" s="48"/>
      <c r="CS3667" s="48"/>
      <c r="CT3667" s="48"/>
      <c r="CU3667" s="48"/>
      <c r="CV3667" s="48"/>
      <c r="CW3667" s="48"/>
      <c r="CX3667" s="48"/>
      <c r="CY3667" s="48"/>
      <c r="CZ3667" s="48"/>
    </row>
    <row r="3668" spans="27:104" s="4" customFormat="1" x14ac:dyDescent="0.3">
      <c r="AA3668" s="48"/>
      <c r="AB3668" s="48"/>
      <c r="AC3668" s="48"/>
      <c r="AD3668" s="48"/>
      <c r="AE3668" s="48"/>
      <c r="AF3668" s="48"/>
      <c r="AG3668" s="48"/>
      <c r="AH3668" s="48"/>
      <c r="AI3668" s="48"/>
      <c r="AJ3668" s="48"/>
      <c r="AK3668" s="48"/>
      <c r="AL3668" s="48"/>
      <c r="AM3668" s="48"/>
      <c r="AN3668" s="48"/>
      <c r="AO3668" s="48"/>
      <c r="AP3668" s="48"/>
      <c r="AQ3668" s="48"/>
      <c r="AR3668" s="48"/>
      <c r="AS3668" s="48"/>
      <c r="AT3668" s="48"/>
      <c r="AU3668" s="48"/>
      <c r="AV3668" s="48"/>
      <c r="AW3668" s="48"/>
      <c r="AX3668" s="48"/>
      <c r="AY3668" s="48"/>
      <c r="AZ3668" s="48"/>
      <c r="BA3668" s="48"/>
      <c r="BB3668" s="14"/>
      <c r="BC3668" s="48"/>
      <c r="BD3668" s="48"/>
      <c r="BE3668" s="48"/>
      <c r="BF3668" s="48"/>
      <c r="BG3668" s="48"/>
      <c r="BH3668" s="48"/>
      <c r="BI3668" s="48"/>
      <c r="BJ3668" s="48"/>
      <c r="BK3668" s="48"/>
      <c r="BL3668" s="48"/>
      <c r="BM3668" s="48"/>
      <c r="BN3668" s="48"/>
      <c r="BO3668" s="48"/>
      <c r="BP3668" s="48"/>
      <c r="BQ3668" s="48"/>
      <c r="BR3668" s="48"/>
      <c r="BS3668" s="48"/>
      <c r="BT3668" s="48"/>
      <c r="BU3668" s="48"/>
      <c r="BV3668" s="48"/>
      <c r="BW3668" s="48"/>
      <c r="BX3668" s="48"/>
      <c r="BY3668" s="48"/>
      <c r="BZ3668" s="48"/>
      <c r="CA3668" s="48"/>
      <c r="CB3668" s="48"/>
      <c r="CC3668" s="48"/>
      <c r="CD3668" s="48"/>
      <c r="CE3668" s="48"/>
      <c r="CF3668" s="48"/>
      <c r="CG3668" s="48"/>
      <c r="CH3668" s="48"/>
      <c r="CI3668" s="48"/>
      <c r="CJ3668" s="48"/>
      <c r="CK3668" s="48"/>
      <c r="CL3668" s="48"/>
      <c r="CM3668" s="48"/>
      <c r="CN3668" s="48"/>
      <c r="CO3668" s="48"/>
      <c r="CP3668" s="48"/>
      <c r="CQ3668" s="48"/>
      <c r="CR3668" s="48"/>
      <c r="CS3668" s="48"/>
      <c r="CT3668" s="48"/>
      <c r="CU3668" s="48"/>
      <c r="CV3668" s="48"/>
      <c r="CW3668" s="48"/>
      <c r="CX3668" s="48"/>
      <c r="CY3668" s="48"/>
      <c r="CZ3668" s="48"/>
    </row>
    <row r="3669" spans="27:104" s="4" customFormat="1" x14ac:dyDescent="0.3">
      <c r="AA3669" s="48"/>
      <c r="AB3669" s="48"/>
      <c r="AC3669" s="48"/>
      <c r="AD3669" s="48"/>
      <c r="AE3669" s="48"/>
      <c r="AF3669" s="48"/>
      <c r="AG3669" s="48"/>
      <c r="AH3669" s="48"/>
      <c r="AI3669" s="48"/>
      <c r="AJ3669" s="48"/>
      <c r="AK3669" s="48"/>
      <c r="AL3669" s="48"/>
      <c r="AM3669" s="48"/>
      <c r="AN3669" s="48"/>
      <c r="AO3669" s="48"/>
      <c r="AP3669" s="48"/>
      <c r="AQ3669" s="48"/>
      <c r="AR3669" s="48"/>
      <c r="AS3669" s="48"/>
      <c r="AT3669" s="48"/>
      <c r="AU3669" s="48"/>
      <c r="AV3669" s="48"/>
      <c r="AW3669" s="48"/>
      <c r="AX3669" s="48"/>
      <c r="AY3669" s="48"/>
      <c r="AZ3669" s="48"/>
      <c r="BA3669" s="48"/>
      <c r="BB3669" s="14"/>
      <c r="BC3669" s="48"/>
      <c r="BD3669" s="48"/>
      <c r="BE3669" s="48"/>
      <c r="BF3669" s="48"/>
      <c r="BG3669" s="48"/>
      <c r="BH3669" s="48"/>
      <c r="BI3669" s="48"/>
      <c r="BJ3669" s="48"/>
      <c r="BK3669" s="48"/>
      <c r="BL3669" s="48"/>
      <c r="BM3669" s="48"/>
      <c r="BN3669" s="48"/>
      <c r="BO3669" s="48"/>
      <c r="BP3669" s="48"/>
      <c r="BQ3669" s="48"/>
      <c r="BR3669" s="48"/>
      <c r="BS3669" s="48"/>
      <c r="BT3669" s="48"/>
      <c r="BU3669" s="48"/>
      <c r="BV3669" s="48"/>
      <c r="BW3669" s="48"/>
      <c r="BX3669" s="48"/>
      <c r="BY3669" s="48"/>
      <c r="BZ3669" s="48"/>
      <c r="CA3669" s="48"/>
      <c r="CB3669" s="48"/>
      <c r="CC3669" s="48"/>
      <c r="CD3669" s="48"/>
      <c r="CE3669" s="48"/>
      <c r="CF3669" s="48"/>
      <c r="CG3669" s="48"/>
      <c r="CH3669" s="48"/>
      <c r="CI3669" s="48"/>
      <c r="CJ3669" s="48"/>
      <c r="CK3669" s="48"/>
      <c r="CL3669" s="48"/>
      <c r="CM3669" s="48"/>
      <c r="CN3669" s="48"/>
      <c r="CO3669" s="48"/>
      <c r="CP3669" s="48"/>
      <c r="CQ3669" s="48"/>
      <c r="CR3669" s="48"/>
      <c r="CS3669" s="48"/>
      <c r="CT3669" s="48"/>
      <c r="CU3669" s="48"/>
      <c r="CV3669" s="48"/>
      <c r="CW3669" s="48"/>
      <c r="CX3669" s="48"/>
      <c r="CY3669" s="48"/>
      <c r="CZ3669" s="48"/>
    </row>
    <row r="3670" spans="27:104" s="4" customFormat="1" x14ac:dyDescent="0.3">
      <c r="AA3670" s="48"/>
      <c r="AB3670" s="48"/>
      <c r="AC3670" s="48"/>
      <c r="AD3670" s="48"/>
      <c r="AE3670" s="48"/>
      <c r="AF3670" s="48"/>
      <c r="AG3670" s="48"/>
      <c r="AH3670" s="48"/>
      <c r="AI3670" s="48"/>
      <c r="AJ3670" s="48"/>
      <c r="AK3670" s="48"/>
      <c r="AL3670" s="48"/>
      <c r="AM3670" s="48"/>
      <c r="AN3670" s="48"/>
      <c r="AO3670" s="48"/>
      <c r="AP3670" s="48"/>
      <c r="AQ3670" s="48"/>
      <c r="AR3670" s="48"/>
      <c r="AS3670" s="48"/>
      <c r="AT3670" s="48"/>
      <c r="AU3670" s="48"/>
      <c r="AV3670" s="48"/>
      <c r="AW3670" s="48"/>
      <c r="AX3670" s="48"/>
      <c r="AY3670" s="48"/>
      <c r="AZ3670" s="48"/>
      <c r="BA3670" s="48"/>
      <c r="BB3670" s="14"/>
      <c r="BC3670" s="48"/>
      <c r="BD3670" s="48"/>
      <c r="BE3670" s="48"/>
      <c r="BF3670" s="48"/>
      <c r="BG3670" s="48"/>
      <c r="BH3670" s="48"/>
      <c r="BI3670" s="48"/>
      <c r="BJ3670" s="48"/>
      <c r="BK3670" s="48"/>
      <c r="BL3670" s="48"/>
      <c r="BM3670" s="48"/>
      <c r="BN3670" s="48"/>
      <c r="BO3670" s="48"/>
      <c r="BP3670" s="48"/>
      <c r="BQ3670" s="48"/>
      <c r="BR3670" s="48"/>
      <c r="BS3670" s="48"/>
      <c r="BT3670" s="48"/>
      <c r="BU3670" s="48"/>
      <c r="BV3670" s="48"/>
      <c r="BW3670" s="48"/>
      <c r="BX3670" s="48"/>
      <c r="BY3670" s="48"/>
      <c r="BZ3670" s="48"/>
      <c r="CA3670" s="48"/>
      <c r="CB3670" s="48"/>
      <c r="CC3670" s="48"/>
      <c r="CD3670" s="48"/>
      <c r="CE3670" s="48"/>
      <c r="CF3670" s="48"/>
      <c r="CG3670" s="48"/>
      <c r="CH3670" s="48"/>
      <c r="CI3670" s="48"/>
      <c r="CJ3670" s="48"/>
      <c r="CK3670" s="48"/>
      <c r="CL3670" s="48"/>
      <c r="CM3670" s="48"/>
      <c r="CN3670" s="48"/>
      <c r="CO3670" s="48"/>
      <c r="CP3670" s="48"/>
      <c r="CQ3670" s="48"/>
      <c r="CR3670" s="48"/>
      <c r="CS3670" s="48"/>
      <c r="CT3670" s="48"/>
      <c r="CU3670" s="48"/>
      <c r="CV3670" s="48"/>
      <c r="CW3670" s="48"/>
      <c r="CX3670" s="48"/>
      <c r="CY3670" s="48"/>
      <c r="CZ3670" s="48"/>
    </row>
    <row r="3671" spans="27:104" s="4" customFormat="1" x14ac:dyDescent="0.3">
      <c r="AA3671" s="48"/>
      <c r="AB3671" s="48"/>
      <c r="AC3671" s="48"/>
      <c r="AD3671" s="48"/>
      <c r="AE3671" s="48"/>
      <c r="AF3671" s="48"/>
      <c r="AG3671" s="48"/>
      <c r="AH3671" s="48"/>
      <c r="AI3671" s="48"/>
      <c r="AJ3671" s="48"/>
      <c r="AK3671" s="48"/>
      <c r="AL3671" s="48"/>
      <c r="AM3671" s="48"/>
      <c r="AN3671" s="48"/>
      <c r="AO3671" s="48"/>
      <c r="AP3671" s="48"/>
      <c r="AQ3671" s="48"/>
      <c r="AR3671" s="48"/>
      <c r="AS3671" s="48"/>
      <c r="AT3671" s="48"/>
      <c r="AU3671" s="48"/>
      <c r="AV3671" s="48"/>
      <c r="AW3671" s="48"/>
      <c r="AX3671" s="48"/>
      <c r="AY3671" s="48"/>
      <c r="AZ3671" s="48"/>
      <c r="BA3671" s="48"/>
      <c r="BB3671" s="14"/>
      <c r="BC3671" s="48"/>
      <c r="BD3671" s="48"/>
      <c r="BE3671" s="48"/>
      <c r="BF3671" s="48"/>
      <c r="BG3671" s="48"/>
      <c r="BH3671" s="48"/>
      <c r="BI3671" s="48"/>
      <c r="BJ3671" s="48"/>
      <c r="BK3671" s="48"/>
      <c r="BL3671" s="48"/>
      <c r="BM3671" s="48"/>
      <c r="BN3671" s="48"/>
      <c r="BO3671" s="48"/>
      <c r="BP3671" s="48"/>
      <c r="BQ3671" s="48"/>
      <c r="BR3671" s="48"/>
      <c r="BS3671" s="48"/>
      <c r="BT3671" s="48"/>
      <c r="BU3671" s="48"/>
      <c r="BV3671" s="48"/>
      <c r="BW3671" s="48"/>
      <c r="BX3671" s="48"/>
      <c r="BY3671" s="48"/>
      <c r="BZ3671" s="48"/>
      <c r="CA3671" s="48"/>
      <c r="CB3671" s="48"/>
      <c r="CC3671" s="48"/>
      <c r="CD3671" s="48"/>
      <c r="CE3671" s="48"/>
      <c r="CF3671" s="48"/>
      <c r="CG3671" s="48"/>
      <c r="CH3671" s="48"/>
      <c r="CI3671" s="48"/>
      <c r="CJ3671" s="48"/>
      <c r="CK3671" s="48"/>
      <c r="CL3671" s="48"/>
      <c r="CM3671" s="48"/>
      <c r="CN3671" s="48"/>
      <c r="CO3671" s="48"/>
      <c r="CP3671" s="48"/>
      <c r="CQ3671" s="48"/>
      <c r="CR3671" s="48"/>
      <c r="CS3671" s="48"/>
      <c r="CT3671" s="48"/>
      <c r="CU3671" s="48"/>
      <c r="CV3671" s="48"/>
      <c r="CW3671" s="48"/>
      <c r="CX3671" s="48"/>
      <c r="CY3671" s="48"/>
      <c r="CZ3671" s="48"/>
    </row>
    <row r="3672" spans="27:104" s="4" customFormat="1" x14ac:dyDescent="0.3">
      <c r="AA3672" s="48"/>
      <c r="AB3672" s="48"/>
      <c r="AC3672" s="48"/>
      <c r="AD3672" s="48"/>
      <c r="AE3672" s="48"/>
      <c r="AF3672" s="48"/>
      <c r="AG3672" s="48"/>
      <c r="AH3672" s="48"/>
      <c r="AI3672" s="48"/>
      <c r="AJ3672" s="48"/>
      <c r="AK3672" s="48"/>
      <c r="AL3672" s="48"/>
      <c r="AM3672" s="48"/>
      <c r="AN3672" s="48"/>
      <c r="AO3672" s="48"/>
      <c r="AP3672" s="48"/>
      <c r="AQ3672" s="48"/>
      <c r="AR3672" s="48"/>
      <c r="AS3672" s="48"/>
      <c r="AT3672" s="48"/>
      <c r="AU3672" s="48"/>
      <c r="AV3672" s="48"/>
      <c r="AW3672" s="48"/>
      <c r="AX3672" s="48"/>
      <c r="AY3672" s="48"/>
      <c r="AZ3672" s="48"/>
      <c r="BA3672" s="48"/>
      <c r="BB3672" s="14"/>
      <c r="BC3672" s="48"/>
      <c r="BD3672" s="48"/>
      <c r="BE3672" s="48"/>
      <c r="BF3672" s="48"/>
      <c r="BG3672" s="48"/>
      <c r="BH3672" s="48"/>
      <c r="BI3672" s="48"/>
      <c r="BJ3672" s="48"/>
      <c r="BK3672" s="48"/>
      <c r="BL3672" s="48"/>
      <c r="BM3672" s="48"/>
      <c r="BN3672" s="48"/>
      <c r="BO3672" s="48"/>
      <c r="BP3672" s="48"/>
      <c r="BQ3672" s="48"/>
      <c r="BR3672" s="48"/>
      <c r="BS3672" s="48"/>
      <c r="BT3672" s="48"/>
      <c r="BU3672" s="48"/>
      <c r="BV3672" s="48"/>
      <c r="BW3672" s="48"/>
      <c r="BX3672" s="48"/>
      <c r="BY3672" s="48"/>
      <c r="BZ3672" s="48"/>
      <c r="CA3672" s="48"/>
      <c r="CB3672" s="48"/>
      <c r="CC3672" s="48"/>
      <c r="CD3672" s="48"/>
      <c r="CE3672" s="48"/>
      <c r="CF3672" s="48"/>
      <c r="CG3672" s="48"/>
      <c r="CH3672" s="48"/>
      <c r="CI3672" s="48"/>
      <c r="CJ3672" s="48"/>
      <c r="CK3672" s="48"/>
      <c r="CL3672" s="48"/>
      <c r="CM3672" s="48"/>
      <c r="CN3672" s="48"/>
      <c r="CO3672" s="48"/>
      <c r="CP3672" s="48"/>
      <c r="CQ3672" s="48"/>
      <c r="CR3672" s="48"/>
      <c r="CS3672" s="48"/>
      <c r="CT3672" s="48"/>
      <c r="CU3672" s="48"/>
      <c r="CV3672" s="48"/>
      <c r="CW3672" s="48"/>
      <c r="CX3672" s="48"/>
      <c r="CY3672" s="48"/>
      <c r="CZ3672" s="48"/>
    </row>
    <row r="3673" spans="27:104" s="4" customFormat="1" x14ac:dyDescent="0.3">
      <c r="AA3673" s="48"/>
      <c r="AB3673" s="48"/>
      <c r="AC3673" s="48"/>
      <c r="AD3673" s="48"/>
      <c r="AE3673" s="48"/>
      <c r="AF3673" s="48"/>
      <c r="AG3673" s="48"/>
      <c r="AH3673" s="48"/>
      <c r="AI3673" s="48"/>
      <c r="AJ3673" s="48"/>
      <c r="AK3673" s="48"/>
      <c r="AL3673" s="48"/>
      <c r="AM3673" s="48"/>
      <c r="AN3673" s="48"/>
      <c r="AO3673" s="48"/>
      <c r="AP3673" s="48"/>
      <c r="AQ3673" s="48"/>
      <c r="AR3673" s="48"/>
      <c r="AS3673" s="48"/>
      <c r="AT3673" s="48"/>
      <c r="AU3673" s="48"/>
      <c r="AV3673" s="48"/>
      <c r="AW3673" s="48"/>
      <c r="AX3673" s="48"/>
      <c r="AY3673" s="48"/>
      <c r="AZ3673" s="48"/>
      <c r="BA3673" s="48"/>
      <c r="BB3673" s="14"/>
      <c r="BC3673" s="48"/>
      <c r="BD3673" s="48"/>
      <c r="BE3673" s="48"/>
      <c r="BF3673" s="48"/>
      <c r="BG3673" s="48"/>
      <c r="BH3673" s="48"/>
      <c r="BI3673" s="48"/>
      <c r="BJ3673" s="48"/>
      <c r="BK3673" s="48"/>
      <c r="BL3673" s="48"/>
      <c r="BM3673" s="48"/>
      <c r="BN3673" s="48"/>
      <c r="BO3673" s="48"/>
      <c r="BP3673" s="48"/>
      <c r="BQ3673" s="48"/>
      <c r="BR3673" s="48"/>
      <c r="BS3673" s="48"/>
      <c r="BT3673" s="48"/>
      <c r="BU3673" s="48"/>
      <c r="BV3673" s="48"/>
      <c r="BW3673" s="48"/>
      <c r="BX3673" s="48"/>
      <c r="BY3673" s="48"/>
      <c r="BZ3673" s="48"/>
      <c r="CA3673" s="48"/>
      <c r="CB3673" s="48"/>
      <c r="CC3673" s="48"/>
      <c r="CD3673" s="48"/>
      <c r="CE3673" s="48"/>
      <c r="CF3673" s="48"/>
      <c r="CG3673" s="48"/>
      <c r="CH3673" s="48"/>
      <c r="CI3673" s="48"/>
      <c r="CJ3673" s="48"/>
      <c r="CK3673" s="48"/>
      <c r="CL3673" s="48"/>
      <c r="CM3673" s="48"/>
      <c r="CN3673" s="48"/>
      <c r="CO3673" s="48"/>
      <c r="CP3673" s="48"/>
      <c r="CQ3673" s="48"/>
      <c r="CR3673" s="48"/>
      <c r="CS3673" s="48"/>
      <c r="CT3673" s="48"/>
      <c r="CU3673" s="48"/>
      <c r="CV3673" s="48"/>
      <c r="CW3673" s="48"/>
      <c r="CX3673" s="48"/>
      <c r="CY3673" s="48"/>
      <c r="CZ3673" s="48"/>
    </row>
    <row r="3674" spans="27:104" s="4" customFormat="1" x14ac:dyDescent="0.3">
      <c r="AA3674" s="48"/>
      <c r="AB3674" s="48"/>
      <c r="AC3674" s="48"/>
      <c r="AD3674" s="48"/>
      <c r="AE3674" s="48"/>
      <c r="AF3674" s="48"/>
      <c r="AG3674" s="48"/>
      <c r="AH3674" s="48"/>
      <c r="AI3674" s="48"/>
      <c r="AJ3674" s="48"/>
      <c r="AK3674" s="48"/>
      <c r="AL3674" s="48"/>
      <c r="AM3674" s="48"/>
      <c r="AN3674" s="48"/>
      <c r="AO3674" s="48"/>
      <c r="AP3674" s="48"/>
      <c r="AQ3674" s="48"/>
      <c r="AR3674" s="48"/>
      <c r="AS3674" s="48"/>
      <c r="AT3674" s="48"/>
      <c r="AU3674" s="48"/>
      <c r="AV3674" s="48"/>
      <c r="AW3674" s="48"/>
      <c r="AX3674" s="48"/>
      <c r="AY3674" s="48"/>
      <c r="AZ3674" s="48"/>
      <c r="BA3674" s="48"/>
      <c r="BB3674" s="14"/>
      <c r="BC3674" s="48"/>
      <c r="BD3674" s="48"/>
      <c r="BE3674" s="48"/>
      <c r="BF3674" s="48"/>
      <c r="BG3674" s="48"/>
      <c r="BH3674" s="48"/>
      <c r="BI3674" s="48"/>
      <c r="BJ3674" s="48"/>
      <c r="BK3674" s="48"/>
      <c r="BL3674" s="48"/>
      <c r="BM3674" s="48"/>
      <c r="BN3674" s="48"/>
      <c r="BO3674" s="48"/>
      <c r="BP3674" s="48"/>
      <c r="BQ3674" s="48"/>
      <c r="BR3674" s="48"/>
      <c r="BS3674" s="48"/>
      <c r="BT3674" s="48"/>
      <c r="BU3674" s="48"/>
      <c r="BV3674" s="48"/>
      <c r="BW3674" s="48"/>
      <c r="BX3674" s="48"/>
      <c r="BY3674" s="48"/>
      <c r="BZ3674" s="48"/>
      <c r="CA3674" s="48"/>
      <c r="CB3674" s="48"/>
      <c r="CC3674" s="48"/>
      <c r="CD3674" s="48"/>
      <c r="CE3674" s="48"/>
      <c r="CF3674" s="48"/>
      <c r="CG3674" s="48"/>
      <c r="CH3674" s="48"/>
      <c r="CI3674" s="48"/>
      <c r="CJ3674" s="48"/>
      <c r="CK3674" s="48"/>
      <c r="CL3674" s="48"/>
      <c r="CM3674" s="48"/>
      <c r="CN3674" s="48"/>
      <c r="CO3674" s="48"/>
      <c r="CP3674" s="48"/>
      <c r="CQ3674" s="48"/>
      <c r="CR3674" s="48"/>
      <c r="CS3674" s="48"/>
      <c r="CT3674" s="48"/>
      <c r="CU3674" s="48"/>
      <c r="CV3674" s="48"/>
      <c r="CW3674" s="48"/>
      <c r="CX3674" s="48"/>
      <c r="CY3674" s="48"/>
      <c r="CZ3674" s="48"/>
    </row>
    <row r="3675" spans="27:104" s="4" customFormat="1" x14ac:dyDescent="0.3">
      <c r="AA3675" s="48"/>
      <c r="AB3675" s="48"/>
      <c r="AC3675" s="48"/>
      <c r="AD3675" s="48"/>
      <c r="AE3675" s="48"/>
      <c r="AF3675" s="48"/>
      <c r="AG3675" s="48"/>
      <c r="AH3675" s="48"/>
      <c r="AI3675" s="48"/>
      <c r="AJ3675" s="48"/>
      <c r="AK3675" s="48"/>
      <c r="AL3675" s="48"/>
      <c r="AM3675" s="48"/>
      <c r="AN3675" s="48"/>
      <c r="AO3675" s="48"/>
      <c r="AP3675" s="48"/>
      <c r="AQ3675" s="48"/>
      <c r="AR3675" s="48"/>
      <c r="AS3675" s="48"/>
      <c r="AT3675" s="48"/>
      <c r="AU3675" s="48"/>
      <c r="AV3675" s="48"/>
      <c r="AW3675" s="48"/>
      <c r="AX3675" s="48"/>
      <c r="AY3675" s="48"/>
      <c r="AZ3675" s="48"/>
      <c r="BA3675" s="48"/>
      <c r="BB3675" s="14"/>
      <c r="BC3675" s="48"/>
      <c r="BD3675" s="48"/>
      <c r="BE3675" s="48"/>
      <c r="BF3675" s="48"/>
      <c r="BG3675" s="48"/>
      <c r="BH3675" s="48"/>
      <c r="BI3675" s="48"/>
      <c r="BJ3675" s="48"/>
      <c r="BK3675" s="48"/>
      <c r="BL3675" s="48"/>
      <c r="BM3675" s="48"/>
      <c r="BN3675" s="48"/>
      <c r="BO3675" s="48"/>
      <c r="BP3675" s="48"/>
      <c r="BQ3675" s="48"/>
      <c r="BR3675" s="48"/>
      <c r="BS3675" s="48"/>
      <c r="BT3675" s="48"/>
      <c r="BU3675" s="48"/>
      <c r="BV3675" s="48"/>
      <c r="BW3675" s="48"/>
      <c r="BX3675" s="48"/>
      <c r="BY3675" s="48"/>
      <c r="BZ3675" s="48"/>
      <c r="CA3675" s="48"/>
      <c r="CB3675" s="48"/>
      <c r="CC3675" s="48"/>
      <c r="CD3675" s="48"/>
      <c r="CE3675" s="48"/>
      <c r="CF3675" s="48"/>
      <c r="CG3675" s="48"/>
      <c r="CH3675" s="48"/>
      <c r="CI3675" s="48"/>
      <c r="CJ3675" s="48"/>
      <c r="CK3675" s="48"/>
      <c r="CL3675" s="48"/>
      <c r="CM3675" s="48"/>
      <c r="CN3675" s="48"/>
      <c r="CO3675" s="48"/>
      <c r="CP3675" s="48"/>
      <c r="CQ3675" s="48"/>
      <c r="CR3675" s="48"/>
      <c r="CS3675" s="48"/>
      <c r="CT3675" s="48"/>
      <c r="CU3675" s="48"/>
      <c r="CV3675" s="48"/>
      <c r="CW3675" s="48"/>
      <c r="CX3675" s="48"/>
      <c r="CY3675" s="48"/>
      <c r="CZ3675" s="48"/>
    </row>
    <row r="3676" spans="27:104" s="4" customFormat="1" x14ac:dyDescent="0.3">
      <c r="AA3676" s="48"/>
      <c r="AB3676" s="48"/>
      <c r="AC3676" s="48"/>
      <c r="AD3676" s="48"/>
      <c r="AE3676" s="48"/>
      <c r="AF3676" s="48"/>
      <c r="AG3676" s="48"/>
      <c r="AH3676" s="48"/>
      <c r="AI3676" s="48"/>
      <c r="AJ3676" s="48"/>
      <c r="AK3676" s="48"/>
      <c r="AL3676" s="48"/>
      <c r="AM3676" s="48"/>
      <c r="AN3676" s="48"/>
      <c r="AO3676" s="48"/>
      <c r="AP3676" s="48"/>
      <c r="AQ3676" s="48"/>
      <c r="AR3676" s="48"/>
      <c r="AS3676" s="48"/>
      <c r="AT3676" s="48"/>
      <c r="AU3676" s="48"/>
      <c r="AV3676" s="48"/>
      <c r="AW3676" s="48"/>
      <c r="AX3676" s="48"/>
      <c r="AY3676" s="48"/>
      <c r="AZ3676" s="48"/>
      <c r="BA3676" s="48"/>
      <c r="BB3676" s="14"/>
      <c r="BC3676" s="48"/>
      <c r="BD3676" s="48"/>
      <c r="BE3676" s="48"/>
      <c r="BF3676" s="48"/>
      <c r="BG3676" s="48"/>
      <c r="BH3676" s="48"/>
      <c r="BI3676" s="48"/>
      <c r="BJ3676" s="48"/>
      <c r="BK3676" s="48"/>
      <c r="BL3676" s="48"/>
      <c r="BM3676" s="48"/>
      <c r="BN3676" s="48"/>
      <c r="BO3676" s="48"/>
      <c r="BP3676" s="48"/>
      <c r="BQ3676" s="48"/>
      <c r="BR3676" s="48"/>
      <c r="BS3676" s="48"/>
      <c r="BT3676" s="48"/>
      <c r="BU3676" s="48"/>
      <c r="BV3676" s="48"/>
      <c r="BW3676" s="48"/>
      <c r="BX3676" s="48"/>
      <c r="BY3676" s="48"/>
      <c r="BZ3676" s="48"/>
      <c r="CA3676" s="48"/>
      <c r="CB3676" s="48"/>
      <c r="CC3676" s="48"/>
      <c r="CD3676" s="48"/>
      <c r="CE3676" s="48"/>
      <c r="CF3676" s="48"/>
      <c r="CG3676" s="48"/>
      <c r="CH3676" s="48"/>
      <c r="CI3676" s="48"/>
      <c r="CJ3676" s="48"/>
      <c r="CK3676" s="48"/>
      <c r="CL3676" s="48"/>
      <c r="CM3676" s="48"/>
      <c r="CN3676" s="48"/>
      <c r="CO3676" s="48"/>
      <c r="CP3676" s="48"/>
      <c r="CQ3676" s="48"/>
      <c r="CR3676" s="48"/>
      <c r="CS3676" s="48"/>
      <c r="CT3676" s="48"/>
      <c r="CU3676" s="48"/>
      <c r="CV3676" s="48"/>
      <c r="CW3676" s="48"/>
      <c r="CX3676" s="48"/>
      <c r="CY3676" s="48"/>
      <c r="CZ3676" s="48"/>
    </row>
    <row r="3677" spans="27:104" s="4" customFormat="1" x14ac:dyDescent="0.3">
      <c r="AA3677" s="48"/>
      <c r="AB3677" s="48"/>
      <c r="AC3677" s="48"/>
      <c r="AD3677" s="48"/>
      <c r="AE3677" s="48"/>
      <c r="AF3677" s="48"/>
      <c r="AG3677" s="48"/>
      <c r="AH3677" s="48"/>
      <c r="AI3677" s="48"/>
      <c r="AJ3677" s="48"/>
      <c r="AK3677" s="48"/>
      <c r="AL3677" s="48"/>
      <c r="AM3677" s="48"/>
      <c r="AN3677" s="48"/>
      <c r="AO3677" s="48"/>
      <c r="AP3677" s="48"/>
      <c r="AQ3677" s="48"/>
      <c r="AR3677" s="48"/>
      <c r="AS3677" s="48"/>
      <c r="AT3677" s="48"/>
      <c r="AU3677" s="48"/>
      <c r="AV3677" s="48"/>
      <c r="AW3677" s="48"/>
      <c r="AX3677" s="48"/>
      <c r="AY3677" s="48"/>
      <c r="AZ3677" s="48"/>
      <c r="BA3677" s="48"/>
      <c r="BB3677" s="14"/>
      <c r="BC3677" s="48"/>
      <c r="BD3677" s="48"/>
      <c r="BE3677" s="48"/>
      <c r="BF3677" s="48"/>
      <c r="BG3677" s="48"/>
      <c r="BH3677" s="48"/>
      <c r="BI3677" s="48"/>
      <c r="BJ3677" s="48"/>
      <c r="BK3677" s="48"/>
      <c r="BL3677" s="48"/>
      <c r="BM3677" s="48"/>
      <c r="BN3677" s="48"/>
      <c r="BO3677" s="48"/>
      <c r="BP3677" s="48"/>
      <c r="BQ3677" s="48"/>
      <c r="BR3677" s="48"/>
      <c r="BS3677" s="48"/>
      <c r="BT3677" s="48"/>
      <c r="BU3677" s="48"/>
      <c r="BV3677" s="48"/>
      <c r="BW3677" s="48"/>
      <c r="BX3677" s="48"/>
      <c r="BY3677" s="48"/>
      <c r="BZ3677" s="48"/>
      <c r="CA3677" s="48"/>
      <c r="CB3677" s="48"/>
      <c r="CC3677" s="48"/>
      <c r="CD3677" s="48"/>
      <c r="CE3677" s="48"/>
      <c r="CF3677" s="48"/>
      <c r="CG3677" s="48"/>
      <c r="CH3677" s="48"/>
      <c r="CI3677" s="48"/>
      <c r="CJ3677" s="48"/>
      <c r="CK3677" s="48"/>
      <c r="CL3677" s="48"/>
      <c r="CM3677" s="48"/>
      <c r="CN3677" s="48"/>
      <c r="CO3677" s="48"/>
      <c r="CP3677" s="48"/>
      <c r="CQ3677" s="48"/>
      <c r="CR3677" s="48"/>
      <c r="CS3677" s="48"/>
      <c r="CT3677" s="48"/>
      <c r="CU3677" s="48"/>
      <c r="CV3677" s="48"/>
      <c r="CW3677" s="48"/>
      <c r="CX3677" s="48"/>
      <c r="CY3677" s="48"/>
      <c r="CZ3677" s="48"/>
    </row>
    <row r="3678" spans="27:104" s="4" customFormat="1" x14ac:dyDescent="0.3">
      <c r="AA3678" s="48"/>
      <c r="AB3678" s="48"/>
      <c r="AC3678" s="48"/>
      <c r="AD3678" s="48"/>
      <c r="AE3678" s="48"/>
      <c r="AF3678" s="48"/>
      <c r="AG3678" s="48"/>
      <c r="AH3678" s="48"/>
      <c r="AI3678" s="48"/>
      <c r="AJ3678" s="48"/>
      <c r="AK3678" s="48"/>
      <c r="AL3678" s="48"/>
      <c r="AM3678" s="48"/>
      <c r="AN3678" s="48"/>
      <c r="AO3678" s="48"/>
      <c r="AP3678" s="48"/>
      <c r="AQ3678" s="48"/>
      <c r="AR3678" s="48"/>
      <c r="AS3678" s="48"/>
      <c r="AT3678" s="48"/>
      <c r="AU3678" s="48"/>
      <c r="AV3678" s="48"/>
      <c r="AW3678" s="48"/>
      <c r="AX3678" s="48"/>
      <c r="AY3678" s="48"/>
      <c r="AZ3678" s="48"/>
      <c r="BA3678" s="48"/>
      <c r="BB3678" s="14"/>
      <c r="BC3678" s="48"/>
      <c r="BD3678" s="48"/>
      <c r="BE3678" s="48"/>
      <c r="BF3678" s="48"/>
      <c r="BG3678" s="48"/>
      <c r="BH3678" s="48"/>
      <c r="BI3678" s="48"/>
      <c r="BJ3678" s="48"/>
      <c r="BK3678" s="48"/>
      <c r="BL3678" s="48"/>
      <c r="BM3678" s="48"/>
      <c r="BN3678" s="48"/>
      <c r="BO3678" s="48"/>
      <c r="BP3678" s="48"/>
      <c r="BQ3678" s="48"/>
      <c r="BR3678" s="48"/>
      <c r="BS3678" s="48"/>
      <c r="BT3678" s="48"/>
      <c r="BU3678" s="48"/>
      <c r="BV3678" s="48"/>
      <c r="BW3678" s="48"/>
      <c r="BX3678" s="48"/>
      <c r="BY3678" s="48"/>
      <c r="BZ3678" s="48"/>
      <c r="CA3678" s="48"/>
      <c r="CB3678" s="48"/>
      <c r="CC3678" s="48"/>
      <c r="CD3678" s="48"/>
      <c r="CE3678" s="48"/>
      <c r="CF3678" s="48"/>
      <c r="CG3678" s="48"/>
      <c r="CH3678" s="48"/>
      <c r="CI3678" s="48"/>
      <c r="CJ3678" s="48"/>
      <c r="CK3678" s="48"/>
      <c r="CL3678" s="48"/>
      <c r="CM3678" s="48"/>
      <c r="CN3678" s="48"/>
      <c r="CO3678" s="48"/>
      <c r="CP3678" s="48"/>
      <c r="CQ3678" s="48"/>
      <c r="CR3678" s="48"/>
      <c r="CS3678" s="48"/>
      <c r="CT3678" s="48"/>
      <c r="CU3678" s="48"/>
      <c r="CV3678" s="48"/>
      <c r="CW3678" s="48"/>
      <c r="CX3678" s="48"/>
      <c r="CY3678" s="48"/>
      <c r="CZ3678" s="48"/>
    </row>
    <row r="3679" spans="27:104" s="4" customFormat="1" x14ac:dyDescent="0.3">
      <c r="AA3679" s="48"/>
      <c r="AB3679" s="48"/>
      <c r="AC3679" s="48"/>
      <c r="AD3679" s="48"/>
      <c r="AE3679" s="48"/>
      <c r="AF3679" s="48"/>
      <c r="AG3679" s="48"/>
      <c r="AH3679" s="48"/>
      <c r="AI3679" s="48"/>
      <c r="AJ3679" s="48"/>
      <c r="AK3679" s="48"/>
      <c r="AL3679" s="48"/>
      <c r="AM3679" s="48"/>
      <c r="AN3679" s="48"/>
      <c r="AO3679" s="48"/>
      <c r="AP3679" s="48"/>
      <c r="AQ3679" s="48"/>
      <c r="AR3679" s="48"/>
      <c r="AS3679" s="48"/>
      <c r="AT3679" s="48"/>
      <c r="AU3679" s="48"/>
      <c r="AV3679" s="48"/>
      <c r="AW3679" s="48"/>
      <c r="AX3679" s="48"/>
      <c r="AY3679" s="48"/>
      <c r="AZ3679" s="48"/>
      <c r="BA3679" s="48"/>
      <c r="BB3679" s="14"/>
      <c r="BC3679" s="48"/>
      <c r="BD3679" s="48"/>
      <c r="BE3679" s="48"/>
      <c r="BF3679" s="48"/>
      <c r="BG3679" s="48"/>
      <c r="BH3679" s="48"/>
      <c r="BI3679" s="48"/>
      <c r="BJ3679" s="48"/>
      <c r="BK3679" s="48"/>
      <c r="BL3679" s="48"/>
      <c r="BM3679" s="48"/>
      <c r="BN3679" s="48"/>
      <c r="BO3679" s="48"/>
      <c r="BP3679" s="48"/>
      <c r="BQ3679" s="48"/>
      <c r="BR3679" s="48"/>
      <c r="BS3679" s="48"/>
      <c r="BT3679" s="48"/>
      <c r="BU3679" s="48"/>
      <c r="BV3679" s="48"/>
      <c r="BW3679" s="48"/>
      <c r="BX3679" s="48"/>
      <c r="BY3679" s="48"/>
      <c r="BZ3679" s="48"/>
      <c r="CA3679" s="48"/>
      <c r="CB3679" s="48"/>
      <c r="CC3679" s="48"/>
      <c r="CD3679" s="48"/>
      <c r="CE3679" s="48"/>
      <c r="CF3679" s="48"/>
      <c r="CG3679" s="48"/>
      <c r="CH3679" s="48"/>
      <c r="CI3679" s="48"/>
      <c r="CJ3679" s="48"/>
      <c r="CK3679" s="48"/>
      <c r="CL3679" s="48"/>
      <c r="CM3679" s="48"/>
      <c r="CN3679" s="48"/>
      <c r="CO3679" s="48"/>
      <c r="CP3679" s="48"/>
      <c r="CQ3679" s="48"/>
      <c r="CR3679" s="48"/>
      <c r="CS3679" s="48"/>
      <c r="CT3679" s="48"/>
      <c r="CU3679" s="48"/>
      <c r="CV3679" s="48"/>
      <c r="CW3679" s="48"/>
      <c r="CX3679" s="48"/>
      <c r="CY3679" s="48"/>
      <c r="CZ3679" s="48"/>
    </row>
    <row r="3680" spans="27:104" s="4" customFormat="1" x14ac:dyDescent="0.3">
      <c r="AA3680" s="48"/>
      <c r="AB3680" s="48"/>
      <c r="AC3680" s="48"/>
      <c r="AD3680" s="48"/>
      <c r="AE3680" s="48"/>
      <c r="AF3680" s="48"/>
      <c r="AG3680" s="48"/>
      <c r="AH3680" s="48"/>
      <c r="AI3680" s="48"/>
      <c r="AJ3680" s="48"/>
      <c r="AK3680" s="48"/>
      <c r="AL3680" s="48"/>
      <c r="AM3680" s="48"/>
      <c r="AN3680" s="48"/>
      <c r="AO3680" s="48"/>
      <c r="AP3680" s="48"/>
      <c r="AQ3680" s="48"/>
      <c r="AR3680" s="48"/>
      <c r="AS3680" s="48"/>
      <c r="AT3680" s="48"/>
      <c r="AU3680" s="48"/>
      <c r="AV3680" s="48"/>
      <c r="AW3680" s="48"/>
      <c r="AX3680" s="48"/>
      <c r="AY3680" s="48"/>
      <c r="AZ3680" s="48"/>
      <c r="BA3680" s="48"/>
      <c r="BB3680" s="14"/>
      <c r="BC3680" s="48"/>
      <c r="BD3680" s="48"/>
      <c r="BE3680" s="48"/>
      <c r="BF3680" s="48"/>
      <c r="BG3680" s="48"/>
      <c r="BH3680" s="48"/>
      <c r="BI3680" s="48"/>
      <c r="BJ3680" s="48"/>
      <c r="BK3680" s="48"/>
      <c r="BL3680" s="48"/>
      <c r="BM3680" s="48"/>
      <c r="BN3680" s="48"/>
      <c r="BO3680" s="48"/>
      <c r="BP3680" s="48"/>
      <c r="BQ3680" s="48"/>
      <c r="BR3680" s="48"/>
      <c r="BS3680" s="48"/>
      <c r="BT3680" s="48"/>
      <c r="BU3680" s="48"/>
      <c r="BV3680" s="48"/>
      <c r="BW3680" s="48"/>
      <c r="BX3680" s="48"/>
      <c r="BY3680" s="48"/>
      <c r="BZ3680" s="48"/>
      <c r="CA3680" s="48"/>
      <c r="CB3680" s="48"/>
      <c r="CC3680" s="48"/>
      <c r="CD3680" s="48"/>
      <c r="CE3680" s="48"/>
      <c r="CF3680" s="48"/>
      <c r="CG3680" s="48"/>
      <c r="CH3680" s="48"/>
      <c r="CI3680" s="48"/>
      <c r="CJ3680" s="48"/>
      <c r="CK3680" s="48"/>
      <c r="CL3680" s="48"/>
      <c r="CM3680" s="48"/>
      <c r="CN3680" s="48"/>
      <c r="CO3680" s="48"/>
      <c r="CP3680" s="48"/>
      <c r="CQ3680" s="48"/>
      <c r="CR3680" s="48"/>
      <c r="CS3680" s="48"/>
      <c r="CT3680" s="48"/>
      <c r="CU3680" s="48"/>
      <c r="CV3680" s="48"/>
      <c r="CW3680" s="48"/>
      <c r="CX3680" s="48"/>
      <c r="CY3680" s="48"/>
      <c r="CZ3680" s="48"/>
    </row>
    <row r="3681" spans="27:104" s="4" customFormat="1" x14ac:dyDescent="0.3">
      <c r="AA3681" s="48"/>
      <c r="AB3681" s="48"/>
      <c r="AC3681" s="48"/>
      <c r="AD3681" s="48"/>
      <c r="AE3681" s="48"/>
      <c r="AF3681" s="48"/>
      <c r="AG3681" s="48"/>
      <c r="AH3681" s="48"/>
      <c r="AI3681" s="48"/>
      <c r="AJ3681" s="48"/>
      <c r="AK3681" s="48"/>
      <c r="AL3681" s="48"/>
      <c r="AM3681" s="48"/>
      <c r="AN3681" s="48"/>
      <c r="AO3681" s="48"/>
      <c r="AP3681" s="48"/>
      <c r="AQ3681" s="48"/>
      <c r="AR3681" s="48"/>
      <c r="AS3681" s="48"/>
      <c r="AT3681" s="48"/>
      <c r="AU3681" s="48"/>
      <c r="AV3681" s="48"/>
      <c r="AW3681" s="48"/>
      <c r="AX3681" s="48"/>
      <c r="AY3681" s="48"/>
      <c r="AZ3681" s="48"/>
      <c r="BA3681" s="48"/>
      <c r="BB3681" s="14"/>
      <c r="BC3681" s="48"/>
      <c r="BD3681" s="48"/>
      <c r="BE3681" s="48"/>
      <c r="BF3681" s="48"/>
      <c r="BG3681" s="48"/>
      <c r="BH3681" s="48"/>
      <c r="BI3681" s="48"/>
      <c r="BJ3681" s="48"/>
      <c r="BK3681" s="48"/>
      <c r="BL3681" s="48"/>
      <c r="BM3681" s="48"/>
      <c r="BN3681" s="48"/>
      <c r="BO3681" s="48"/>
      <c r="BP3681" s="48"/>
      <c r="BQ3681" s="48"/>
      <c r="BR3681" s="48"/>
      <c r="BS3681" s="48"/>
      <c r="BT3681" s="48"/>
      <c r="BU3681" s="48"/>
      <c r="BV3681" s="48"/>
      <c r="BW3681" s="48"/>
      <c r="BX3681" s="48"/>
      <c r="BY3681" s="48"/>
      <c r="BZ3681" s="48"/>
      <c r="CA3681" s="48"/>
      <c r="CB3681" s="48"/>
      <c r="CC3681" s="48"/>
      <c r="CD3681" s="48"/>
      <c r="CE3681" s="48"/>
      <c r="CF3681" s="48"/>
      <c r="CG3681" s="48"/>
      <c r="CH3681" s="48"/>
      <c r="CI3681" s="48"/>
      <c r="CJ3681" s="48"/>
      <c r="CK3681" s="48"/>
      <c r="CL3681" s="48"/>
      <c r="CM3681" s="48"/>
      <c r="CN3681" s="48"/>
      <c r="CO3681" s="48"/>
      <c r="CP3681" s="48"/>
      <c r="CQ3681" s="48"/>
      <c r="CR3681" s="48"/>
      <c r="CS3681" s="48"/>
      <c r="CT3681" s="48"/>
      <c r="CU3681" s="48"/>
      <c r="CV3681" s="48"/>
      <c r="CW3681" s="48"/>
      <c r="CX3681" s="48"/>
      <c r="CY3681" s="48"/>
      <c r="CZ3681" s="48"/>
    </row>
    <row r="3682" spans="27:104" s="4" customFormat="1" x14ac:dyDescent="0.3">
      <c r="AA3682" s="48"/>
      <c r="AB3682" s="48"/>
      <c r="AC3682" s="48"/>
      <c r="AD3682" s="48"/>
      <c r="AE3682" s="48"/>
      <c r="AF3682" s="48"/>
      <c r="AG3682" s="48"/>
      <c r="AH3682" s="48"/>
      <c r="AI3682" s="48"/>
      <c r="AJ3682" s="48"/>
      <c r="AK3682" s="48"/>
      <c r="AL3682" s="48"/>
      <c r="AM3682" s="48"/>
      <c r="AN3682" s="48"/>
      <c r="AO3682" s="48"/>
      <c r="AP3682" s="48"/>
      <c r="AQ3682" s="48"/>
      <c r="AR3682" s="48"/>
      <c r="AS3682" s="48"/>
      <c r="AT3682" s="48"/>
      <c r="AU3682" s="48"/>
      <c r="AV3682" s="48"/>
      <c r="AW3682" s="48"/>
      <c r="AX3682" s="48"/>
      <c r="AY3682" s="48"/>
      <c r="AZ3682" s="48"/>
      <c r="BA3682" s="48"/>
      <c r="BB3682" s="14"/>
      <c r="BC3682" s="48"/>
      <c r="BD3682" s="48"/>
      <c r="BE3682" s="48"/>
      <c r="BF3682" s="48"/>
      <c r="BG3682" s="48"/>
      <c r="BH3682" s="48"/>
      <c r="BI3682" s="48"/>
      <c r="BJ3682" s="48"/>
      <c r="BK3682" s="48"/>
      <c r="BL3682" s="48"/>
      <c r="BM3682" s="48"/>
      <c r="BN3682" s="48"/>
      <c r="BO3682" s="48"/>
      <c r="BP3682" s="48"/>
      <c r="BQ3682" s="48"/>
      <c r="BR3682" s="48"/>
      <c r="BS3682" s="48"/>
      <c r="BT3682" s="48"/>
      <c r="BU3682" s="48"/>
      <c r="BV3682" s="48"/>
      <c r="BW3682" s="48"/>
      <c r="BX3682" s="48"/>
      <c r="BY3682" s="48"/>
      <c r="BZ3682" s="48"/>
      <c r="CA3682" s="48"/>
      <c r="CB3682" s="48"/>
      <c r="CC3682" s="48"/>
      <c r="CD3682" s="48"/>
      <c r="CE3682" s="48"/>
      <c r="CF3682" s="48"/>
      <c r="CG3682" s="48"/>
      <c r="CH3682" s="48"/>
      <c r="CI3682" s="48"/>
      <c r="CJ3682" s="48"/>
      <c r="CK3682" s="48"/>
      <c r="CL3682" s="48"/>
      <c r="CM3682" s="48"/>
      <c r="CN3682" s="48"/>
      <c r="CO3682" s="48"/>
      <c r="CP3682" s="48"/>
      <c r="CQ3682" s="48"/>
      <c r="CR3682" s="48"/>
      <c r="CS3682" s="48"/>
      <c r="CT3682" s="48"/>
      <c r="CU3682" s="48"/>
      <c r="CV3682" s="48"/>
      <c r="CW3682" s="48"/>
      <c r="CX3682" s="48"/>
      <c r="CY3682" s="48"/>
      <c r="CZ3682" s="48"/>
    </row>
    <row r="3683" spans="27:104" s="4" customFormat="1" x14ac:dyDescent="0.3">
      <c r="AA3683" s="48"/>
      <c r="AB3683" s="48"/>
      <c r="AC3683" s="48"/>
      <c r="AD3683" s="48"/>
      <c r="AE3683" s="48"/>
      <c r="AF3683" s="48"/>
      <c r="AG3683" s="48"/>
      <c r="AH3683" s="48"/>
      <c r="AI3683" s="48"/>
      <c r="AJ3683" s="48"/>
      <c r="AK3683" s="48"/>
      <c r="AL3683" s="48"/>
      <c r="AM3683" s="48"/>
      <c r="AN3683" s="48"/>
      <c r="AO3683" s="48"/>
      <c r="AP3683" s="48"/>
      <c r="AQ3683" s="48"/>
      <c r="AR3683" s="48"/>
      <c r="AS3683" s="48"/>
      <c r="AT3683" s="48"/>
      <c r="AU3683" s="48"/>
      <c r="AV3683" s="48"/>
      <c r="AW3683" s="48"/>
      <c r="AX3683" s="48"/>
      <c r="AY3683" s="48"/>
      <c r="AZ3683" s="48"/>
      <c r="BA3683" s="48"/>
      <c r="BB3683" s="14"/>
      <c r="BC3683" s="48"/>
      <c r="BD3683" s="48"/>
      <c r="BE3683" s="48"/>
      <c r="BF3683" s="48"/>
      <c r="BG3683" s="48"/>
      <c r="BH3683" s="48"/>
      <c r="BI3683" s="48"/>
      <c r="BJ3683" s="48"/>
      <c r="BK3683" s="48"/>
      <c r="BL3683" s="48"/>
      <c r="BM3683" s="48"/>
      <c r="BN3683" s="48"/>
      <c r="BO3683" s="48"/>
      <c r="BP3683" s="48"/>
      <c r="BQ3683" s="48"/>
      <c r="BR3683" s="48"/>
      <c r="BS3683" s="48"/>
      <c r="BT3683" s="48"/>
      <c r="BU3683" s="48"/>
      <c r="BV3683" s="48"/>
      <c r="BW3683" s="48"/>
      <c r="BX3683" s="48"/>
      <c r="BY3683" s="48"/>
      <c r="BZ3683" s="48"/>
      <c r="CA3683" s="48"/>
      <c r="CB3683" s="48"/>
      <c r="CC3683" s="48"/>
      <c r="CD3683" s="48"/>
      <c r="CE3683" s="48"/>
      <c r="CF3683" s="48"/>
      <c r="CG3683" s="48"/>
      <c r="CH3683" s="48"/>
      <c r="CI3683" s="48"/>
      <c r="CJ3683" s="48"/>
      <c r="CK3683" s="48"/>
      <c r="CL3683" s="48"/>
      <c r="CM3683" s="48"/>
      <c r="CN3683" s="48"/>
      <c r="CO3683" s="48"/>
      <c r="CP3683" s="48"/>
      <c r="CQ3683" s="48"/>
      <c r="CR3683" s="48"/>
      <c r="CS3683" s="48"/>
      <c r="CT3683" s="48"/>
      <c r="CU3683" s="48"/>
      <c r="CV3683" s="48"/>
      <c r="CW3683" s="48"/>
      <c r="CX3683" s="48"/>
      <c r="CY3683" s="48"/>
      <c r="CZ3683" s="48"/>
    </row>
    <row r="3684" spans="27:104" s="4" customFormat="1" x14ac:dyDescent="0.3">
      <c r="AA3684" s="48"/>
      <c r="AB3684" s="48"/>
      <c r="AC3684" s="48"/>
      <c r="AD3684" s="48"/>
      <c r="AE3684" s="48"/>
      <c r="AF3684" s="48"/>
      <c r="AG3684" s="48"/>
      <c r="AH3684" s="48"/>
      <c r="AI3684" s="48"/>
      <c r="AJ3684" s="48"/>
      <c r="AK3684" s="48"/>
      <c r="AL3684" s="48"/>
      <c r="AM3684" s="48"/>
      <c r="AN3684" s="48"/>
      <c r="AO3684" s="48"/>
      <c r="AP3684" s="48"/>
      <c r="AQ3684" s="48"/>
      <c r="AR3684" s="48"/>
      <c r="AS3684" s="48"/>
      <c r="AT3684" s="48"/>
      <c r="AU3684" s="48"/>
      <c r="AV3684" s="48"/>
      <c r="AW3684" s="48"/>
      <c r="AX3684" s="48"/>
      <c r="AY3684" s="48"/>
      <c r="AZ3684" s="48"/>
      <c r="BA3684" s="48"/>
      <c r="BB3684" s="14"/>
      <c r="BC3684" s="48"/>
      <c r="BD3684" s="48"/>
      <c r="BE3684" s="48"/>
      <c r="BF3684" s="48"/>
      <c r="BG3684" s="48"/>
      <c r="BH3684" s="48"/>
      <c r="BI3684" s="48"/>
      <c r="BJ3684" s="48"/>
      <c r="BK3684" s="48"/>
      <c r="BL3684" s="48"/>
      <c r="BM3684" s="48"/>
      <c r="BN3684" s="48"/>
      <c r="BO3684" s="48"/>
      <c r="BP3684" s="48"/>
      <c r="BQ3684" s="48"/>
      <c r="BR3684" s="48"/>
      <c r="BS3684" s="48"/>
      <c r="BT3684" s="48"/>
      <c r="BU3684" s="48"/>
      <c r="BV3684" s="48"/>
      <c r="BW3684" s="48"/>
      <c r="BX3684" s="48"/>
      <c r="BY3684" s="48"/>
      <c r="BZ3684" s="48"/>
      <c r="CA3684" s="48"/>
      <c r="CB3684" s="48"/>
      <c r="CC3684" s="48"/>
      <c r="CD3684" s="48"/>
      <c r="CE3684" s="48"/>
      <c r="CF3684" s="48"/>
      <c r="CG3684" s="48"/>
      <c r="CH3684" s="48"/>
      <c r="CI3684" s="48"/>
      <c r="CJ3684" s="48"/>
      <c r="CK3684" s="48"/>
      <c r="CL3684" s="48"/>
      <c r="CM3684" s="48"/>
      <c r="CN3684" s="48"/>
      <c r="CO3684" s="48"/>
      <c r="CP3684" s="48"/>
      <c r="CQ3684" s="48"/>
      <c r="CR3684" s="48"/>
      <c r="CS3684" s="48"/>
      <c r="CT3684" s="48"/>
      <c r="CU3684" s="48"/>
      <c r="CV3684" s="48"/>
      <c r="CW3684" s="48"/>
      <c r="CX3684" s="48"/>
      <c r="CY3684" s="48"/>
      <c r="CZ3684" s="48"/>
    </row>
    <row r="3685" spans="27:104" s="4" customFormat="1" x14ac:dyDescent="0.3">
      <c r="AA3685" s="48"/>
      <c r="AB3685" s="48"/>
      <c r="AC3685" s="48"/>
      <c r="AD3685" s="48"/>
      <c r="AE3685" s="48"/>
      <c r="AF3685" s="48"/>
      <c r="AG3685" s="48"/>
      <c r="AH3685" s="48"/>
      <c r="AI3685" s="48"/>
      <c r="AJ3685" s="48"/>
      <c r="AK3685" s="48"/>
      <c r="AL3685" s="48"/>
      <c r="AM3685" s="48"/>
      <c r="AN3685" s="48"/>
      <c r="AO3685" s="48"/>
      <c r="AP3685" s="48"/>
      <c r="AQ3685" s="48"/>
      <c r="AR3685" s="48"/>
      <c r="AS3685" s="48"/>
      <c r="AT3685" s="48"/>
      <c r="AU3685" s="48"/>
      <c r="AV3685" s="48"/>
      <c r="AW3685" s="48"/>
      <c r="AX3685" s="48"/>
      <c r="AY3685" s="48"/>
      <c r="AZ3685" s="48"/>
      <c r="BA3685" s="48"/>
      <c r="BB3685" s="14"/>
      <c r="BC3685" s="48"/>
      <c r="BD3685" s="48"/>
      <c r="BE3685" s="48"/>
      <c r="BF3685" s="48"/>
      <c r="BG3685" s="48"/>
      <c r="BH3685" s="48"/>
      <c r="BI3685" s="48"/>
      <c r="BJ3685" s="48"/>
      <c r="BK3685" s="48"/>
      <c r="BL3685" s="48"/>
      <c r="BM3685" s="48"/>
      <c r="BN3685" s="48"/>
      <c r="BO3685" s="48"/>
      <c r="BP3685" s="48"/>
      <c r="BQ3685" s="48"/>
      <c r="BR3685" s="48"/>
      <c r="BS3685" s="48"/>
      <c r="BT3685" s="48"/>
      <c r="BU3685" s="48"/>
      <c r="BV3685" s="48"/>
      <c r="BW3685" s="48"/>
      <c r="BX3685" s="48"/>
      <c r="BY3685" s="48"/>
      <c r="BZ3685" s="48"/>
      <c r="CA3685" s="48"/>
      <c r="CB3685" s="48"/>
      <c r="CC3685" s="48"/>
      <c r="CD3685" s="48"/>
      <c r="CE3685" s="48"/>
      <c r="CF3685" s="48"/>
      <c r="CG3685" s="48"/>
      <c r="CH3685" s="48"/>
      <c r="CI3685" s="48"/>
      <c r="CJ3685" s="48"/>
      <c r="CK3685" s="48"/>
      <c r="CL3685" s="48"/>
      <c r="CM3685" s="48"/>
      <c r="CN3685" s="48"/>
      <c r="CO3685" s="48"/>
      <c r="CP3685" s="48"/>
      <c r="CQ3685" s="48"/>
      <c r="CR3685" s="48"/>
      <c r="CS3685" s="48"/>
      <c r="CT3685" s="48"/>
      <c r="CU3685" s="48"/>
      <c r="CV3685" s="48"/>
      <c r="CW3685" s="48"/>
      <c r="CX3685" s="48"/>
      <c r="CY3685" s="48"/>
      <c r="CZ3685" s="48"/>
    </row>
    <row r="3686" spans="27:104" s="4" customFormat="1" x14ac:dyDescent="0.3">
      <c r="AA3686" s="48"/>
      <c r="AB3686" s="48"/>
      <c r="AC3686" s="48"/>
      <c r="AD3686" s="48"/>
      <c r="AE3686" s="48"/>
      <c r="AF3686" s="48"/>
      <c r="AG3686" s="48"/>
      <c r="AH3686" s="48"/>
      <c r="AI3686" s="48"/>
      <c r="AJ3686" s="48"/>
      <c r="AK3686" s="48"/>
      <c r="AL3686" s="48"/>
      <c r="AM3686" s="48"/>
      <c r="AN3686" s="48"/>
      <c r="AO3686" s="48"/>
      <c r="AP3686" s="48"/>
      <c r="AQ3686" s="48"/>
      <c r="AR3686" s="48"/>
      <c r="AS3686" s="48"/>
      <c r="AT3686" s="48"/>
      <c r="AU3686" s="48"/>
      <c r="AV3686" s="48"/>
      <c r="AW3686" s="48"/>
      <c r="AX3686" s="48"/>
      <c r="AY3686" s="48"/>
      <c r="AZ3686" s="48"/>
      <c r="BA3686" s="48"/>
      <c r="BB3686" s="14"/>
      <c r="BC3686" s="48"/>
      <c r="BD3686" s="48"/>
      <c r="BE3686" s="48"/>
      <c r="BF3686" s="48"/>
      <c r="BG3686" s="48"/>
      <c r="BH3686" s="48"/>
      <c r="BI3686" s="48"/>
      <c r="BJ3686" s="48"/>
      <c r="BK3686" s="48"/>
      <c r="BL3686" s="48"/>
      <c r="BM3686" s="48"/>
      <c r="BN3686" s="48"/>
      <c r="BO3686" s="48"/>
      <c r="BP3686" s="48"/>
      <c r="BQ3686" s="48"/>
      <c r="BR3686" s="48"/>
      <c r="BS3686" s="48"/>
      <c r="BT3686" s="48"/>
      <c r="BU3686" s="48"/>
      <c r="BV3686" s="48"/>
      <c r="BW3686" s="48"/>
      <c r="BX3686" s="48"/>
      <c r="BY3686" s="48"/>
      <c r="BZ3686" s="48"/>
      <c r="CA3686" s="48"/>
      <c r="CB3686" s="48"/>
      <c r="CC3686" s="48"/>
      <c r="CD3686" s="48"/>
      <c r="CE3686" s="48"/>
      <c r="CF3686" s="48"/>
      <c r="CG3686" s="48"/>
      <c r="CH3686" s="48"/>
      <c r="CI3686" s="48"/>
      <c r="CJ3686" s="48"/>
      <c r="CK3686" s="48"/>
      <c r="CL3686" s="48"/>
      <c r="CM3686" s="48"/>
      <c r="CN3686" s="48"/>
      <c r="CO3686" s="48"/>
      <c r="CP3686" s="48"/>
      <c r="CQ3686" s="48"/>
      <c r="CR3686" s="48"/>
      <c r="CS3686" s="48"/>
      <c r="CT3686" s="48"/>
      <c r="CU3686" s="48"/>
      <c r="CV3686" s="48"/>
      <c r="CW3686" s="48"/>
      <c r="CX3686" s="48"/>
      <c r="CY3686" s="48"/>
      <c r="CZ3686" s="48"/>
    </row>
    <row r="3687" spans="27:104" s="4" customFormat="1" x14ac:dyDescent="0.3">
      <c r="AA3687" s="48"/>
      <c r="AB3687" s="48"/>
      <c r="AC3687" s="48"/>
      <c r="AD3687" s="48"/>
      <c r="AE3687" s="48"/>
      <c r="AF3687" s="48"/>
      <c r="AG3687" s="48"/>
      <c r="AH3687" s="48"/>
      <c r="AI3687" s="48"/>
      <c r="AJ3687" s="48"/>
      <c r="AK3687" s="48"/>
      <c r="AL3687" s="48"/>
      <c r="AM3687" s="48"/>
      <c r="AN3687" s="48"/>
      <c r="AO3687" s="48"/>
      <c r="AP3687" s="48"/>
      <c r="AQ3687" s="48"/>
      <c r="AR3687" s="48"/>
      <c r="AS3687" s="48"/>
      <c r="AT3687" s="48"/>
      <c r="AU3687" s="48"/>
      <c r="AV3687" s="48"/>
      <c r="AW3687" s="48"/>
      <c r="AX3687" s="48"/>
      <c r="AY3687" s="48"/>
      <c r="AZ3687" s="48"/>
      <c r="BA3687" s="48"/>
      <c r="BB3687" s="14"/>
      <c r="BC3687" s="48"/>
      <c r="BD3687" s="48"/>
      <c r="BE3687" s="48"/>
      <c r="BF3687" s="48"/>
      <c r="BG3687" s="48"/>
      <c r="BH3687" s="48"/>
      <c r="BI3687" s="48"/>
      <c r="BJ3687" s="48"/>
      <c r="BK3687" s="48"/>
      <c r="BL3687" s="48"/>
      <c r="BM3687" s="48"/>
      <c r="BN3687" s="48"/>
      <c r="BO3687" s="48"/>
      <c r="BP3687" s="48"/>
      <c r="BQ3687" s="48"/>
      <c r="BR3687" s="48"/>
      <c r="BS3687" s="48"/>
      <c r="BT3687" s="48"/>
      <c r="BU3687" s="48"/>
      <c r="BV3687" s="48"/>
      <c r="BW3687" s="48"/>
      <c r="BX3687" s="48"/>
      <c r="BY3687" s="48"/>
      <c r="BZ3687" s="48"/>
      <c r="CA3687" s="48"/>
      <c r="CB3687" s="48"/>
      <c r="CC3687" s="48"/>
      <c r="CD3687" s="48"/>
      <c r="CE3687" s="48"/>
      <c r="CF3687" s="48"/>
      <c r="CG3687" s="48"/>
      <c r="CH3687" s="48"/>
      <c r="CI3687" s="48"/>
      <c r="CJ3687" s="48"/>
      <c r="CK3687" s="48"/>
      <c r="CL3687" s="48"/>
      <c r="CM3687" s="48"/>
      <c r="CN3687" s="48"/>
      <c r="CO3687" s="48"/>
      <c r="CP3687" s="48"/>
      <c r="CQ3687" s="48"/>
      <c r="CR3687" s="48"/>
      <c r="CS3687" s="48"/>
      <c r="CT3687" s="48"/>
      <c r="CU3687" s="48"/>
      <c r="CV3687" s="48"/>
      <c r="CW3687" s="48"/>
      <c r="CX3687" s="48"/>
      <c r="CY3687" s="48"/>
      <c r="CZ3687" s="48"/>
    </row>
    <row r="3688" spans="27:104" s="4" customFormat="1" x14ac:dyDescent="0.3">
      <c r="AA3688" s="48"/>
      <c r="AB3688" s="48"/>
      <c r="AC3688" s="48"/>
      <c r="AD3688" s="48"/>
      <c r="AE3688" s="48"/>
      <c r="AF3688" s="48"/>
      <c r="AG3688" s="48"/>
      <c r="AH3688" s="48"/>
      <c r="AI3688" s="48"/>
      <c r="AJ3688" s="48"/>
      <c r="AK3688" s="48"/>
      <c r="AL3688" s="48"/>
      <c r="AM3688" s="48"/>
      <c r="AN3688" s="48"/>
      <c r="AO3688" s="48"/>
      <c r="AP3688" s="48"/>
      <c r="AQ3688" s="48"/>
      <c r="AR3688" s="48"/>
      <c r="AS3688" s="48"/>
      <c r="AT3688" s="48"/>
      <c r="AU3688" s="48"/>
      <c r="AV3688" s="48"/>
      <c r="AW3688" s="48"/>
      <c r="AX3688" s="48"/>
      <c r="AY3688" s="48"/>
      <c r="AZ3688" s="48"/>
      <c r="BA3688" s="48"/>
      <c r="BB3688" s="14"/>
      <c r="BC3688" s="48"/>
      <c r="BD3688" s="48"/>
      <c r="BE3688" s="48"/>
      <c r="BF3688" s="48"/>
      <c r="BG3688" s="48"/>
      <c r="BH3688" s="48"/>
      <c r="BI3688" s="48"/>
      <c r="BJ3688" s="48"/>
      <c r="BK3688" s="48"/>
      <c r="BL3688" s="48"/>
      <c r="BM3688" s="48"/>
      <c r="BN3688" s="48"/>
      <c r="BO3688" s="48"/>
      <c r="BP3688" s="48"/>
      <c r="BQ3688" s="48"/>
      <c r="BR3688" s="48"/>
      <c r="BS3688" s="48"/>
      <c r="BT3688" s="48"/>
      <c r="BU3688" s="48"/>
      <c r="BV3688" s="48"/>
      <c r="BW3688" s="48"/>
      <c r="BX3688" s="48"/>
      <c r="BY3688" s="48"/>
      <c r="BZ3688" s="48"/>
      <c r="CA3688" s="48"/>
      <c r="CB3688" s="48"/>
      <c r="CC3688" s="48"/>
      <c r="CD3688" s="48"/>
      <c r="CE3688" s="48"/>
      <c r="CF3688" s="48"/>
      <c r="CG3688" s="48"/>
      <c r="CH3688" s="48"/>
      <c r="CI3688" s="48"/>
      <c r="CJ3688" s="48"/>
      <c r="CK3688" s="48"/>
      <c r="CL3688" s="48"/>
      <c r="CM3688" s="48"/>
      <c r="CN3688" s="48"/>
      <c r="CO3688" s="48"/>
      <c r="CP3688" s="48"/>
      <c r="CQ3688" s="48"/>
      <c r="CR3688" s="48"/>
      <c r="CS3688" s="48"/>
      <c r="CT3688" s="48"/>
      <c r="CU3688" s="48"/>
      <c r="CV3688" s="48"/>
      <c r="CW3688" s="48"/>
      <c r="CX3688" s="48"/>
      <c r="CY3688" s="48"/>
      <c r="CZ3688" s="48"/>
    </row>
    <row r="3689" spans="27:104" s="4" customFormat="1" x14ac:dyDescent="0.3">
      <c r="AA3689" s="48"/>
      <c r="AB3689" s="48"/>
      <c r="AC3689" s="48"/>
      <c r="AD3689" s="48"/>
      <c r="AE3689" s="48"/>
      <c r="AF3689" s="48"/>
      <c r="AG3689" s="48"/>
      <c r="AH3689" s="48"/>
      <c r="AI3689" s="48"/>
      <c r="AJ3689" s="48"/>
      <c r="AK3689" s="48"/>
      <c r="AL3689" s="48"/>
      <c r="AM3689" s="48"/>
      <c r="AN3689" s="48"/>
      <c r="AO3689" s="48"/>
      <c r="AP3689" s="48"/>
      <c r="AQ3689" s="48"/>
      <c r="AR3689" s="48"/>
      <c r="AS3689" s="48"/>
      <c r="AT3689" s="48"/>
      <c r="AU3689" s="48"/>
      <c r="AV3689" s="48"/>
      <c r="AW3689" s="48"/>
      <c r="AX3689" s="48"/>
      <c r="AY3689" s="48"/>
      <c r="AZ3689" s="48"/>
      <c r="BA3689" s="48"/>
      <c r="BB3689" s="14"/>
      <c r="BC3689" s="48"/>
      <c r="BD3689" s="48"/>
      <c r="BE3689" s="48"/>
      <c r="BF3689" s="48"/>
      <c r="BG3689" s="48"/>
      <c r="BH3689" s="48"/>
      <c r="BI3689" s="48"/>
      <c r="BJ3689" s="48"/>
      <c r="BK3689" s="48"/>
      <c r="BL3689" s="48"/>
      <c r="BM3689" s="48"/>
      <c r="BN3689" s="48"/>
      <c r="BO3689" s="48"/>
      <c r="BP3689" s="48"/>
      <c r="BQ3689" s="48"/>
      <c r="BR3689" s="48"/>
      <c r="BS3689" s="48"/>
      <c r="BT3689" s="48"/>
      <c r="BU3689" s="48"/>
      <c r="BV3689" s="48"/>
      <c r="BW3689" s="48"/>
      <c r="BX3689" s="48"/>
      <c r="BY3689" s="48"/>
      <c r="BZ3689" s="48"/>
      <c r="CA3689" s="48"/>
      <c r="CB3689" s="48"/>
      <c r="CC3689" s="48"/>
      <c r="CD3689" s="48"/>
      <c r="CE3689" s="48"/>
      <c r="CF3689" s="48"/>
      <c r="CG3689" s="48"/>
      <c r="CH3689" s="48"/>
      <c r="CI3689" s="48"/>
      <c r="CJ3689" s="48"/>
      <c r="CK3689" s="48"/>
      <c r="CL3689" s="48"/>
      <c r="CM3689" s="48"/>
      <c r="CN3689" s="48"/>
      <c r="CO3689" s="48"/>
      <c r="CP3689" s="48"/>
      <c r="CQ3689" s="48"/>
      <c r="CR3689" s="48"/>
      <c r="CS3689" s="48"/>
      <c r="CT3689" s="48"/>
      <c r="CU3689" s="48"/>
      <c r="CV3689" s="48"/>
      <c r="CW3689" s="48"/>
      <c r="CX3689" s="48"/>
      <c r="CY3689" s="48"/>
      <c r="CZ3689" s="48"/>
    </row>
    <row r="3690" spans="27:104" s="4" customFormat="1" x14ac:dyDescent="0.3">
      <c r="AA3690" s="48"/>
      <c r="AB3690" s="48"/>
      <c r="AC3690" s="48"/>
      <c r="AD3690" s="48"/>
      <c r="AE3690" s="48"/>
      <c r="AF3690" s="48"/>
      <c r="AG3690" s="48"/>
      <c r="AH3690" s="48"/>
      <c r="AI3690" s="48"/>
      <c r="AJ3690" s="48"/>
      <c r="AK3690" s="48"/>
      <c r="AL3690" s="48"/>
      <c r="AM3690" s="48"/>
      <c r="AN3690" s="48"/>
      <c r="AO3690" s="48"/>
      <c r="AP3690" s="48"/>
      <c r="AQ3690" s="48"/>
      <c r="AR3690" s="48"/>
      <c r="AS3690" s="48"/>
      <c r="AT3690" s="48"/>
      <c r="AU3690" s="48"/>
      <c r="AV3690" s="48"/>
      <c r="AW3690" s="48"/>
      <c r="AX3690" s="48"/>
      <c r="AY3690" s="48"/>
      <c r="AZ3690" s="48"/>
      <c r="BA3690" s="48"/>
      <c r="BB3690" s="14"/>
      <c r="BC3690" s="48"/>
      <c r="BD3690" s="48"/>
      <c r="BE3690" s="48"/>
      <c r="BF3690" s="48"/>
      <c r="BG3690" s="48"/>
      <c r="BH3690" s="48"/>
      <c r="BI3690" s="48"/>
      <c r="BJ3690" s="48"/>
      <c r="BK3690" s="48"/>
      <c r="BL3690" s="48"/>
      <c r="BM3690" s="48"/>
      <c r="BN3690" s="48"/>
      <c r="BO3690" s="48"/>
      <c r="BP3690" s="48"/>
      <c r="BQ3690" s="48"/>
      <c r="BR3690" s="48"/>
      <c r="BS3690" s="48"/>
      <c r="BT3690" s="48"/>
      <c r="BU3690" s="48"/>
      <c r="BV3690" s="48"/>
      <c r="BW3690" s="48"/>
      <c r="BX3690" s="48"/>
      <c r="BY3690" s="48"/>
      <c r="BZ3690" s="48"/>
      <c r="CA3690" s="48"/>
      <c r="CB3690" s="48"/>
      <c r="CC3690" s="48"/>
      <c r="CD3690" s="48"/>
      <c r="CE3690" s="48"/>
      <c r="CF3690" s="48"/>
      <c r="CG3690" s="48"/>
      <c r="CH3690" s="48"/>
      <c r="CI3690" s="48"/>
      <c r="CJ3690" s="48"/>
      <c r="CK3690" s="48"/>
      <c r="CL3690" s="48"/>
      <c r="CM3690" s="48"/>
      <c r="CN3690" s="48"/>
      <c r="CO3690" s="48"/>
      <c r="CP3690" s="48"/>
      <c r="CQ3690" s="48"/>
      <c r="CR3690" s="48"/>
      <c r="CS3690" s="48"/>
      <c r="CT3690" s="48"/>
      <c r="CU3690" s="48"/>
      <c r="CV3690" s="48"/>
      <c r="CW3690" s="48"/>
      <c r="CX3690" s="48"/>
      <c r="CY3690" s="48"/>
      <c r="CZ3690" s="48"/>
    </row>
    <row r="3691" spans="27:104" s="4" customFormat="1" x14ac:dyDescent="0.3">
      <c r="AA3691" s="48"/>
      <c r="AB3691" s="48"/>
      <c r="AC3691" s="48"/>
      <c r="AD3691" s="48"/>
      <c r="AE3691" s="48"/>
      <c r="AF3691" s="48"/>
      <c r="AG3691" s="48"/>
      <c r="AH3691" s="48"/>
      <c r="AI3691" s="48"/>
      <c r="AJ3691" s="48"/>
      <c r="AK3691" s="48"/>
      <c r="AL3691" s="48"/>
      <c r="AM3691" s="48"/>
      <c r="AN3691" s="48"/>
      <c r="AO3691" s="48"/>
      <c r="AP3691" s="48"/>
      <c r="AQ3691" s="48"/>
      <c r="AR3691" s="48"/>
      <c r="AS3691" s="48"/>
      <c r="AT3691" s="48"/>
      <c r="AU3691" s="48"/>
      <c r="AV3691" s="48"/>
      <c r="AW3691" s="48"/>
      <c r="AX3691" s="48"/>
      <c r="AY3691" s="48"/>
      <c r="AZ3691" s="48"/>
      <c r="BA3691" s="48"/>
      <c r="BB3691" s="14"/>
      <c r="BC3691" s="48"/>
      <c r="BD3691" s="48"/>
      <c r="BE3691" s="48"/>
      <c r="BF3691" s="48"/>
      <c r="BG3691" s="48"/>
      <c r="BH3691" s="48"/>
      <c r="BI3691" s="48"/>
      <c r="BJ3691" s="48"/>
      <c r="BK3691" s="48"/>
      <c r="BL3691" s="48"/>
      <c r="BM3691" s="48"/>
      <c r="BN3691" s="48"/>
      <c r="BO3691" s="48"/>
      <c r="BP3691" s="48"/>
      <c r="BQ3691" s="48"/>
      <c r="BR3691" s="48"/>
      <c r="BS3691" s="48"/>
      <c r="BT3691" s="48"/>
      <c r="BU3691" s="48"/>
      <c r="BV3691" s="48"/>
      <c r="BW3691" s="48"/>
      <c r="BX3691" s="48"/>
      <c r="BY3691" s="48"/>
      <c r="BZ3691" s="48"/>
      <c r="CA3691" s="48"/>
      <c r="CB3691" s="48"/>
      <c r="CC3691" s="48"/>
      <c r="CD3691" s="48"/>
      <c r="CE3691" s="48"/>
      <c r="CF3691" s="48"/>
      <c r="CG3691" s="48"/>
      <c r="CH3691" s="48"/>
      <c r="CI3691" s="48"/>
      <c r="CJ3691" s="48"/>
      <c r="CK3691" s="48"/>
      <c r="CL3691" s="48"/>
      <c r="CM3691" s="48"/>
      <c r="CN3691" s="48"/>
      <c r="CO3691" s="48"/>
      <c r="CP3691" s="48"/>
      <c r="CQ3691" s="48"/>
      <c r="CR3691" s="48"/>
      <c r="CS3691" s="48"/>
      <c r="CT3691" s="48"/>
      <c r="CU3691" s="48"/>
      <c r="CV3691" s="48"/>
      <c r="CW3691" s="48"/>
      <c r="CX3691" s="48"/>
      <c r="CY3691" s="48"/>
      <c r="CZ3691" s="48"/>
    </row>
    <row r="3692" spans="27:104" s="4" customFormat="1" x14ac:dyDescent="0.3">
      <c r="AA3692" s="48"/>
      <c r="AB3692" s="48"/>
      <c r="AC3692" s="48"/>
      <c r="AD3692" s="48"/>
      <c r="AE3692" s="48"/>
      <c r="AF3692" s="48"/>
      <c r="AG3692" s="48"/>
      <c r="AH3692" s="48"/>
      <c r="AI3692" s="48"/>
      <c r="AJ3692" s="48"/>
      <c r="AK3692" s="48"/>
      <c r="AL3692" s="48"/>
      <c r="AM3692" s="48"/>
      <c r="AN3692" s="48"/>
      <c r="AO3692" s="48"/>
      <c r="AP3692" s="48"/>
      <c r="AQ3692" s="48"/>
      <c r="AR3692" s="48"/>
      <c r="AS3692" s="48"/>
      <c r="AT3692" s="48"/>
      <c r="AU3692" s="48"/>
      <c r="AV3692" s="48"/>
      <c r="AW3692" s="48"/>
      <c r="AX3692" s="48"/>
      <c r="AY3692" s="48"/>
      <c r="AZ3692" s="48"/>
      <c r="BA3692" s="48"/>
      <c r="BB3692" s="14"/>
      <c r="BC3692" s="48"/>
      <c r="BD3692" s="48"/>
      <c r="BE3692" s="48"/>
      <c r="BF3692" s="48"/>
      <c r="BG3692" s="48"/>
      <c r="BH3692" s="48"/>
      <c r="BI3692" s="48"/>
      <c r="BJ3692" s="48"/>
      <c r="BK3692" s="48"/>
      <c r="BL3692" s="48"/>
      <c r="BM3692" s="48"/>
      <c r="BN3692" s="48"/>
      <c r="BO3692" s="48"/>
      <c r="BP3692" s="48"/>
      <c r="BQ3692" s="48"/>
      <c r="BR3692" s="48"/>
      <c r="BS3692" s="48"/>
      <c r="BT3692" s="48"/>
      <c r="BU3692" s="48"/>
      <c r="BV3692" s="48"/>
      <c r="BW3692" s="48"/>
      <c r="BX3692" s="48"/>
      <c r="BY3692" s="48"/>
      <c r="BZ3692" s="48"/>
      <c r="CA3692" s="48"/>
      <c r="CB3692" s="48"/>
      <c r="CC3692" s="48"/>
      <c r="CD3692" s="48"/>
      <c r="CE3692" s="48"/>
      <c r="CF3692" s="48"/>
      <c r="CG3692" s="48"/>
      <c r="CH3692" s="48"/>
      <c r="CI3692" s="48"/>
      <c r="CJ3692" s="48"/>
      <c r="CK3692" s="48"/>
      <c r="CL3692" s="48"/>
      <c r="CM3692" s="48"/>
      <c r="CN3692" s="48"/>
      <c r="CO3692" s="48"/>
      <c r="CP3692" s="48"/>
      <c r="CQ3692" s="48"/>
      <c r="CR3692" s="48"/>
      <c r="CS3692" s="48"/>
      <c r="CT3692" s="48"/>
      <c r="CU3692" s="48"/>
      <c r="CV3692" s="48"/>
      <c r="CW3692" s="48"/>
      <c r="CX3692" s="48"/>
      <c r="CY3692" s="48"/>
      <c r="CZ3692" s="48"/>
    </row>
    <row r="3693" spans="27:104" s="4" customFormat="1" x14ac:dyDescent="0.3">
      <c r="AA3693" s="48"/>
      <c r="AB3693" s="48"/>
      <c r="AC3693" s="48"/>
      <c r="AD3693" s="48"/>
      <c r="AE3693" s="48"/>
      <c r="AF3693" s="48"/>
      <c r="AG3693" s="48"/>
      <c r="AH3693" s="48"/>
      <c r="AI3693" s="48"/>
      <c r="AJ3693" s="48"/>
      <c r="AK3693" s="48"/>
      <c r="AL3693" s="48"/>
      <c r="AM3693" s="48"/>
      <c r="AN3693" s="48"/>
      <c r="AO3693" s="48"/>
      <c r="AP3693" s="48"/>
      <c r="AQ3693" s="48"/>
      <c r="AR3693" s="48"/>
      <c r="AS3693" s="48"/>
      <c r="AT3693" s="48"/>
      <c r="AU3693" s="48"/>
      <c r="AV3693" s="48"/>
      <c r="AW3693" s="48"/>
      <c r="AX3693" s="48"/>
      <c r="AY3693" s="48"/>
      <c r="AZ3693" s="48"/>
      <c r="BA3693" s="48"/>
      <c r="BB3693" s="14"/>
      <c r="BC3693" s="48"/>
      <c r="BD3693" s="48"/>
      <c r="BE3693" s="48"/>
      <c r="BF3693" s="48"/>
      <c r="BG3693" s="48"/>
      <c r="BH3693" s="48"/>
      <c r="BI3693" s="48"/>
      <c r="BJ3693" s="48"/>
      <c r="BK3693" s="48"/>
      <c r="BL3693" s="48"/>
      <c r="BM3693" s="48"/>
      <c r="BN3693" s="48"/>
      <c r="BO3693" s="48"/>
      <c r="BP3693" s="48"/>
      <c r="BQ3693" s="48"/>
      <c r="BR3693" s="48"/>
      <c r="BS3693" s="48"/>
      <c r="BT3693" s="48"/>
      <c r="BU3693" s="48"/>
      <c r="BV3693" s="48"/>
      <c r="BW3693" s="48"/>
      <c r="BX3693" s="48"/>
      <c r="BY3693" s="48"/>
      <c r="BZ3693" s="48"/>
      <c r="CA3693" s="48"/>
      <c r="CB3693" s="48"/>
      <c r="CC3693" s="48"/>
      <c r="CD3693" s="48"/>
      <c r="CE3693" s="48"/>
      <c r="CF3693" s="48"/>
      <c r="CG3693" s="48"/>
      <c r="CH3693" s="48"/>
      <c r="CI3693" s="48"/>
      <c r="CJ3693" s="48"/>
      <c r="CK3693" s="48"/>
      <c r="CL3693" s="48"/>
      <c r="CM3693" s="48"/>
      <c r="CN3693" s="48"/>
      <c r="CO3693" s="48"/>
      <c r="CP3693" s="48"/>
      <c r="CQ3693" s="48"/>
      <c r="CR3693" s="48"/>
      <c r="CS3693" s="48"/>
      <c r="CT3693" s="48"/>
      <c r="CU3693" s="48"/>
      <c r="CV3693" s="48"/>
      <c r="CW3693" s="48"/>
      <c r="CX3693" s="48"/>
      <c r="CY3693" s="48"/>
      <c r="CZ3693" s="48"/>
    </row>
    <row r="3694" spans="27:104" s="4" customFormat="1" x14ac:dyDescent="0.3">
      <c r="AA3694" s="48"/>
      <c r="AB3694" s="48"/>
      <c r="AC3694" s="48"/>
      <c r="AD3694" s="48"/>
      <c r="AE3694" s="48"/>
      <c r="AF3694" s="48"/>
      <c r="AG3694" s="48"/>
      <c r="AH3694" s="48"/>
      <c r="AI3694" s="48"/>
      <c r="AJ3694" s="48"/>
      <c r="AK3694" s="48"/>
      <c r="AL3694" s="48"/>
      <c r="AM3694" s="48"/>
      <c r="AN3694" s="48"/>
      <c r="AO3694" s="48"/>
      <c r="AP3694" s="48"/>
      <c r="AQ3694" s="48"/>
      <c r="AR3694" s="48"/>
      <c r="AS3694" s="48"/>
      <c r="AT3694" s="48"/>
      <c r="AU3694" s="48"/>
      <c r="AV3694" s="48"/>
      <c r="AW3694" s="48"/>
      <c r="AX3694" s="48"/>
      <c r="AY3694" s="48"/>
      <c r="AZ3694" s="48"/>
      <c r="BA3694" s="48"/>
      <c r="BB3694" s="14"/>
      <c r="BC3694" s="48"/>
      <c r="BD3694" s="48"/>
      <c r="BE3694" s="48"/>
      <c r="BF3694" s="48"/>
      <c r="BG3694" s="48"/>
      <c r="BH3694" s="48"/>
      <c r="BI3694" s="48"/>
      <c r="BJ3694" s="48"/>
      <c r="BK3694" s="48"/>
      <c r="BL3694" s="48"/>
      <c r="BM3694" s="48"/>
      <c r="BN3694" s="48"/>
      <c r="BO3694" s="48"/>
      <c r="BP3694" s="48"/>
      <c r="BQ3694" s="48"/>
      <c r="BR3694" s="48"/>
      <c r="BS3694" s="48"/>
      <c r="BT3694" s="48"/>
      <c r="BU3694" s="48"/>
      <c r="BV3694" s="48"/>
      <c r="BW3694" s="48"/>
      <c r="BX3694" s="48"/>
      <c r="BY3694" s="48"/>
      <c r="BZ3694" s="48"/>
      <c r="CA3694" s="48"/>
      <c r="CB3694" s="48"/>
      <c r="CC3694" s="48"/>
      <c r="CD3694" s="48"/>
      <c r="CE3694" s="48"/>
      <c r="CF3694" s="48"/>
      <c r="CG3694" s="48"/>
      <c r="CH3694" s="48"/>
      <c r="CI3694" s="48"/>
      <c r="CJ3694" s="48"/>
      <c r="CK3694" s="48"/>
      <c r="CL3694" s="48"/>
      <c r="CM3694" s="48"/>
      <c r="CN3694" s="48"/>
      <c r="CO3694" s="48"/>
      <c r="CP3694" s="48"/>
      <c r="CQ3694" s="48"/>
      <c r="CR3694" s="48"/>
      <c r="CS3694" s="48"/>
      <c r="CT3694" s="48"/>
      <c r="CU3694" s="48"/>
      <c r="CV3694" s="48"/>
      <c r="CW3694" s="48"/>
      <c r="CX3694" s="48"/>
      <c r="CY3694" s="48"/>
      <c r="CZ3694" s="48"/>
    </row>
    <row r="3695" spans="27:104" s="4" customFormat="1" x14ac:dyDescent="0.3">
      <c r="AA3695" s="48"/>
      <c r="AB3695" s="48"/>
      <c r="AC3695" s="48"/>
      <c r="AD3695" s="48"/>
      <c r="AE3695" s="48"/>
      <c r="AF3695" s="48"/>
      <c r="AG3695" s="48"/>
      <c r="AH3695" s="48"/>
      <c r="AI3695" s="48"/>
      <c r="AJ3695" s="48"/>
      <c r="AK3695" s="48"/>
      <c r="AL3695" s="48"/>
      <c r="AM3695" s="48"/>
      <c r="AN3695" s="48"/>
      <c r="AO3695" s="48"/>
      <c r="AP3695" s="48"/>
      <c r="AQ3695" s="48"/>
      <c r="AR3695" s="48"/>
      <c r="AS3695" s="48"/>
      <c r="AT3695" s="48"/>
      <c r="AU3695" s="48"/>
      <c r="AV3695" s="48"/>
      <c r="AW3695" s="48"/>
      <c r="AX3695" s="48"/>
      <c r="AY3695" s="48"/>
      <c r="AZ3695" s="48"/>
      <c r="BA3695" s="48"/>
      <c r="BB3695" s="14"/>
      <c r="BC3695" s="48"/>
      <c r="BD3695" s="48"/>
      <c r="BE3695" s="48"/>
      <c r="BF3695" s="48"/>
      <c r="BG3695" s="48"/>
      <c r="BH3695" s="48"/>
      <c r="BI3695" s="48"/>
      <c r="BJ3695" s="48"/>
      <c r="BK3695" s="48"/>
      <c r="BL3695" s="48"/>
      <c r="BM3695" s="48"/>
      <c r="BN3695" s="48"/>
      <c r="BO3695" s="48"/>
      <c r="BP3695" s="48"/>
      <c r="BQ3695" s="48"/>
      <c r="BR3695" s="48"/>
      <c r="BS3695" s="48"/>
      <c r="BT3695" s="48"/>
      <c r="BU3695" s="48"/>
      <c r="BV3695" s="48"/>
      <c r="BW3695" s="48"/>
      <c r="BX3695" s="48"/>
      <c r="BY3695" s="48"/>
      <c r="BZ3695" s="48"/>
      <c r="CA3695" s="48"/>
      <c r="CB3695" s="48"/>
      <c r="CC3695" s="48"/>
      <c r="CD3695" s="48"/>
      <c r="CE3695" s="48"/>
      <c r="CF3695" s="48"/>
      <c r="CG3695" s="48"/>
      <c r="CH3695" s="48"/>
      <c r="CI3695" s="48"/>
      <c r="CJ3695" s="48"/>
      <c r="CK3695" s="48"/>
      <c r="CL3695" s="48"/>
      <c r="CM3695" s="48"/>
      <c r="CN3695" s="48"/>
      <c r="CO3695" s="48"/>
      <c r="CP3695" s="48"/>
      <c r="CQ3695" s="48"/>
      <c r="CR3695" s="48"/>
      <c r="CS3695" s="48"/>
      <c r="CT3695" s="48"/>
      <c r="CU3695" s="48"/>
      <c r="CV3695" s="48"/>
      <c r="CW3695" s="48"/>
      <c r="CX3695" s="48"/>
      <c r="CY3695" s="48"/>
      <c r="CZ3695" s="48"/>
    </row>
    <row r="3696" spans="27:104" s="4" customFormat="1" x14ac:dyDescent="0.3">
      <c r="AA3696" s="48"/>
      <c r="AB3696" s="48"/>
      <c r="AC3696" s="48"/>
      <c r="AD3696" s="48"/>
      <c r="AE3696" s="48"/>
      <c r="AF3696" s="48"/>
      <c r="AG3696" s="48"/>
      <c r="AH3696" s="48"/>
      <c r="AI3696" s="48"/>
      <c r="AJ3696" s="48"/>
      <c r="AK3696" s="48"/>
      <c r="AL3696" s="48"/>
      <c r="AM3696" s="48"/>
      <c r="AN3696" s="48"/>
      <c r="AO3696" s="48"/>
      <c r="AP3696" s="48"/>
      <c r="AQ3696" s="48"/>
      <c r="AR3696" s="48"/>
      <c r="AS3696" s="48"/>
      <c r="AT3696" s="48"/>
      <c r="AU3696" s="48"/>
      <c r="AV3696" s="48"/>
      <c r="AW3696" s="48"/>
      <c r="AX3696" s="48"/>
      <c r="AY3696" s="48"/>
      <c r="AZ3696" s="48"/>
      <c r="BA3696" s="48"/>
      <c r="BB3696" s="14"/>
      <c r="BC3696" s="48"/>
      <c r="BD3696" s="48"/>
      <c r="BE3696" s="48"/>
      <c r="BF3696" s="48"/>
      <c r="BG3696" s="48"/>
      <c r="BH3696" s="48"/>
      <c r="BI3696" s="48"/>
      <c r="BJ3696" s="48"/>
      <c r="BK3696" s="48"/>
      <c r="BL3696" s="48"/>
      <c r="BM3696" s="48"/>
      <c r="BN3696" s="48"/>
      <c r="BO3696" s="48"/>
      <c r="BP3696" s="48"/>
      <c r="BQ3696" s="48"/>
      <c r="BR3696" s="48"/>
      <c r="BS3696" s="48"/>
      <c r="BT3696" s="48"/>
      <c r="BU3696" s="48"/>
      <c r="BV3696" s="48"/>
      <c r="BW3696" s="48"/>
      <c r="BX3696" s="48"/>
      <c r="BY3696" s="48"/>
      <c r="BZ3696" s="48"/>
      <c r="CA3696" s="48"/>
      <c r="CB3696" s="48"/>
      <c r="CC3696" s="48"/>
      <c r="CD3696" s="48"/>
      <c r="CE3696" s="48"/>
      <c r="CF3696" s="48"/>
      <c r="CG3696" s="48"/>
      <c r="CH3696" s="48"/>
      <c r="CI3696" s="48"/>
      <c r="CJ3696" s="48"/>
      <c r="CK3696" s="48"/>
      <c r="CL3696" s="48"/>
      <c r="CM3696" s="48"/>
      <c r="CN3696" s="48"/>
      <c r="CO3696" s="48"/>
      <c r="CP3696" s="48"/>
      <c r="CQ3696" s="48"/>
      <c r="CR3696" s="48"/>
      <c r="CS3696" s="48"/>
      <c r="CT3696" s="48"/>
      <c r="CU3696" s="48"/>
      <c r="CV3696" s="48"/>
      <c r="CW3696" s="48"/>
      <c r="CX3696" s="48"/>
      <c r="CY3696" s="48"/>
      <c r="CZ3696" s="48"/>
    </row>
    <row r="3697" spans="27:104" s="4" customFormat="1" x14ac:dyDescent="0.3">
      <c r="AA3697" s="48"/>
      <c r="AB3697" s="48"/>
      <c r="AC3697" s="48"/>
      <c r="AD3697" s="48"/>
      <c r="AE3697" s="48"/>
      <c r="AF3697" s="48"/>
      <c r="AG3697" s="48"/>
      <c r="AH3697" s="48"/>
      <c r="AI3697" s="48"/>
      <c r="AJ3697" s="48"/>
      <c r="AK3697" s="48"/>
      <c r="AL3697" s="48"/>
      <c r="AM3697" s="48"/>
      <c r="AN3697" s="48"/>
      <c r="AO3697" s="48"/>
      <c r="AP3697" s="48"/>
      <c r="AQ3697" s="48"/>
      <c r="AR3697" s="48"/>
      <c r="AS3697" s="48"/>
      <c r="AT3697" s="48"/>
      <c r="AU3697" s="48"/>
      <c r="AV3697" s="48"/>
      <c r="AW3697" s="48"/>
      <c r="AX3697" s="48"/>
      <c r="AY3697" s="48"/>
      <c r="AZ3697" s="48"/>
      <c r="BA3697" s="48"/>
      <c r="BB3697" s="14"/>
      <c r="BC3697" s="48"/>
      <c r="BD3697" s="48"/>
      <c r="BE3697" s="48"/>
      <c r="BF3697" s="48"/>
      <c r="BG3697" s="48"/>
      <c r="BH3697" s="48"/>
      <c r="BI3697" s="48"/>
      <c r="BJ3697" s="48"/>
      <c r="BK3697" s="48"/>
      <c r="BL3697" s="48"/>
      <c r="BM3697" s="48"/>
      <c r="BN3697" s="48"/>
      <c r="BO3697" s="48"/>
      <c r="BP3697" s="48"/>
      <c r="BQ3697" s="48"/>
      <c r="BR3697" s="48"/>
      <c r="BS3697" s="48"/>
      <c r="BT3697" s="48"/>
      <c r="BU3697" s="48"/>
      <c r="BV3697" s="48"/>
      <c r="BW3697" s="48"/>
      <c r="BX3697" s="48"/>
      <c r="BY3697" s="48"/>
      <c r="BZ3697" s="48"/>
      <c r="CA3697" s="48"/>
      <c r="CB3697" s="48"/>
      <c r="CC3697" s="48"/>
      <c r="CD3697" s="48"/>
      <c r="CE3697" s="48"/>
      <c r="CF3697" s="48"/>
      <c r="CG3697" s="48"/>
      <c r="CH3697" s="48"/>
      <c r="CI3697" s="48"/>
      <c r="CJ3697" s="48"/>
      <c r="CK3697" s="48"/>
      <c r="CL3697" s="48"/>
      <c r="CM3697" s="48"/>
      <c r="CN3697" s="48"/>
      <c r="CO3697" s="48"/>
      <c r="CP3697" s="48"/>
      <c r="CQ3697" s="48"/>
      <c r="CR3697" s="48"/>
      <c r="CS3697" s="48"/>
      <c r="CT3697" s="48"/>
      <c r="CU3697" s="48"/>
      <c r="CV3697" s="48"/>
      <c r="CW3697" s="48"/>
      <c r="CX3697" s="48"/>
      <c r="CY3697" s="48"/>
      <c r="CZ3697" s="48"/>
    </row>
    <row r="3698" spans="27:104" s="4" customFormat="1" x14ac:dyDescent="0.3">
      <c r="AA3698" s="48"/>
      <c r="AB3698" s="48"/>
      <c r="AC3698" s="48"/>
      <c r="AD3698" s="48"/>
      <c r="AE3698" s="48"/>
      <c r="AF3698" s="48"/>
      <c r="AG3698" s="48"/>
      <c r="AH3698" s="48"/>
      <c r="AI3698" s="48"/>
      <c r="AJ3698" s="48"/>
      <c r="AK3698" s="48"/>
      <c r="AL3698" s="48"/>
      <c r="AM3698" s="48"/>
      <c r="AN3698" s="48"/>
      <c r="AO3698" s="48"/>
      <c r="AP3698" s="48"/>
      <c r="AQ3698" s="48"/>
      <c r="AR3698" s="48"/>
      <c r="AS3698" s="48"/>
      <c r="AT3698" s="48"/>
      <c r="AU3698" s="48"/>
      <c r="AV3698" s="48"/>
      <c r="AW3698" s="48"/>
      <c r="AX3698" s="48"/>
      <c r="AY3698" s="48"/>
      <c r="AZ3698" s="48"/>
      <c r="BA3698" s="48"/>
      <c r="BB3698" s="14"/>
      <c r="BC3698" s="48"/>
      <c r="BD3698" s="48"/>
      <c r="BE3698" s="48"/>
      <c r="BF3698" s="48"/>
      <c r="BG3698" s="48"/>
      <c r="BH3698" s="48"/>
      <c r="BI3698" s="48"/>
      <c r="BJ3698" s="48"/>
      <c r="BK3698" s="48"/>
      <c r="BL3698" s="48"/>
      <c r="BM3698" s="48"/>
      <c r="BN3698" s="48"/>
      <c r="BO3698" s="48"/>
      <c r="BP3698" s="48"/>
      <c r="BQ3698" s="48"/>
      <c r="BR3698" s="48"/>
      <c r="BS3698" s="48"/>
      <c r="BT3698" s="48"/>
      <c r="BU3698" s="48"/>
      <c r="BV3698" s="48"/>
      <c r="BW3698" s="48"/>
      <c r="BX3698" s="48"/>
      <c r="BY3698" s="48"/>
      <c r="BZ3698" s="48"/>
      <c r="CA3698" s="48"/>
      <c r="CB3698" s="48"/>
      <c r="CC3698" s="48"/>
      <c r="CD3698" s="48"/>
      <c r="CE3698" s="48"/>
      <c r="CF3698" s="48"/>
      <c r="CG3698" s="48"/>
      <c r="CH3698" s="48"/>
      <c r="CI3698" s="48"/>
      <c r="CJ3698" s="48"/>
      <c r="CK3698" s="48"/>
      <c r="CL3698" s="48"/>
      <c r="CM3698" s="48"/>
      <c r="CN3698" s="48"/>
      <c r="CO3698" s="48"/>
      <c r="CP3698" s="48"/>
      <c r="CQ3698" s="48"/>
      <c r="CR3698" s="48"/>
      <c r="CS3698" s="48"/>
      <c r="CT3698" s="48"/>
      <c r="CU3698" s="48"/>
      <c r="CV3698" s="48"/>
      <c r="CW3698" s="48"/>
      <c r="CX3698" s="48"/>
      <c r="CY3698" s="48"/>
      <c r="CZ3698" s="48"/>
    </row>
    <row r="3699" spans="27:104" s="4" customFormat="1" x14ac:dyDescent="0.3">
      <c r="AA3699" s="48"/>
      <c r="AB3699" s="48"/>
      <c r="AC3699" s="48"/>
      <c r="AD3699" s="48"/>
      <c r="AE3699" s="48"/>
      <c r="AF3699" s="48"/>
      <c r="AG3699" s="48"/>
      <c r="AH3699" s="48"/>
      <c r="AI3699" s="48"/>
      <c r="AJ3699" s="48"/>
      <c r="AK3699" s="48"/>
      <c r="AL3699" s="48"/>
      <c r="AM3699" s="48"/>
      <c r="AN3699" s="48"/>
      <c r="AO3699" s="48"/>
      <c r="AP3699" s="48"/>
      <c r="AQ3699" s="48"/>
      <c r="AR3699" s="48"/>
      <c r="AS3699" s="48"/>
      <c r="AT3699" s="48"/>
      <c r="AU3699" s="48"/>
      <c r="AV3699" s="48"/>
      <c r="AW3699" s="48"/>
      <c r="AX3699" s="48"/>
      <c r="AY3699" s="48"/>
      <c r="AZ3699" s="48"/>
      <c r="BA3699" s="48"/>
      <c r="BB3699" s="14"/>
      <c r="BC3699" s="48"/>
      <c r="BD3699" s="48"/>
      <c r="BE3699" s="48"/>
      <c r="BF3699" s="48"/>
      <c r="BG3699" s="48"/>
      <c r="BH3699" s="48"/>
      <c r="BI3699" s="48"/>
      <c r="BJ3699" s="48"/>
      <c r="BK3699" s="48"/>
      <c r="BL3699" s="48"/>
      <c r="BM3699" s="48"/>
      <c r="BN3699" s="48"/>
      <c r="BO3699" s="48"/>
      <c r="BP3699" s="48"/>
      <c r="BQ3699" s="48"/>
      <c r="BR3699" s="48"/>
      <c r="BS3699" s="48"/>
      <c r="BT3699" s="48"/>
      <c r="BU3699" s="48"/>
      <c r="BV3699" s="48"/>
      <c r="BW3699" s="48"/>
      <c r="BX3699" s="48"/>
      <c r="BY3699" s="48"/>
      <c r="BZ3699" s="48"/>
      <c r="CA3699" s="48"/>
      <c r="CB3699" s="48"/>
      <c r="CC3699" s="48"/>
      <c r="CD3699" s="48"/>
      <c r="CE3699" s="48"/>
      <c r="CF3699" s="48"/>
      <c r="CG3699" s="48"/>
      <c r="CH3699" s="48"/>
      <c r="CI3699" s="48"/>
      <c r="CJ3699" s="48"/>
      <c r="CK3699" s="48"/>
      <c r="CL3699" s="48"/>
      <c r="CM3699" s="48"/>
      <c r="CN3699" s="48"/>
      <c r="CO3699" s="48"/>
      <c r="CP3699" s="48"/>
      <c r="CQ3699" s="48"/>
      <c r="CR3699" s="48"/>
      <c r="CS3699" s="48"/>
      <c r="CT3699" s="48"/>
      <c r="CU3699" s="48"/>
      <c r="CV3699" s="48"/>
      <c r="CW3699" s="48"/>
      <c r="CX3699" s="48"/>
      <c r="CY3699" s="48"/>
      <c r="CZ3699" s="48"/>
    </row>
    <row r="3700" spans="27:104" s="4" customFormat="1" x14ac:dyDescent="0.3">
      <c r="AA3700" s="48"/>
      <c r="AB3700" s="48"/>
      <c r="AC3700" s="48"/>
      <c r="AD3700" s="48"/>
      <c r="AE3700" s="48"/>
      <c r="AF3700" s="48"/>
      <c r="AG3700" s="48"/>
      <c r="AH3700" s="48"/>
      <c r="AI3700" s="48"/>
      <c r="AJ3700" s="48"/>
      <c r="AK3700" s="48"/>
      <c r="AL3700" s="48"/>
      <c r="AM3700" s="48"/>
      <c r="AN3700" s="48"/>
      <c r="AO3700" s="48"/>
      <c r="AP3700" s="48"/>
      <c r="AQ3700" s="48"/>
      <c r="AR3700" s="48"/>
      <c r="AS3700" s="48"/>
      <c r="AT3700" s="48"/>
      <c r="AU3700" s="48"/>
      <c r="AV3700" s="48"/>
      <c r="AW3700" s="48"/>
      <c r="AX3700" s="48"/>
      <c r="AY3700" s="48"/>
      <c r="AZ3700" s="48"/>
      <c r="BA3700" s="48"/>
      <c r="BB3700" s="14"/>
      <c r="BC3700" s="48"/>
      <c r="BD3700" s="48"/>
      <c r="BE3700" s="48"/>
      <c r="BF3700" s="48"/>
      <c r="BG3700" s="48"/>
      <c r="BH3700" s="48"/>
      <c r="BI3700" s="48"/>
      <c r="BJ3700" s="48"/>
      <c r="BK3700" s="48"/>
      <c r="BL3700" s="48"/>
      <c r="BM3700" s="48"/>
      <c r="BN3700" s="48"/>
      <c r="BO3700" s="48"/>
      <c r="BP3700" s="48"/>
      <c r="BQ3700" s="48"/>
      <c r="BR3700" s="48"/>
      <c r="BS3700" s="48"/>
      <c r="BT3700" s="48"/>
      <c r="BU3700" s="48"/>
      <c r="BV3700" s="48"/>
      <c r="BW3700" s="48"/>
      <c r="BX3700" s="48"/>
      <c r="BY3700" s="48"/>
      <c r="BZ3700" s="48"/>
      <c r="CA3700" s="48"/>
      <c r="CB3700" s="48"/>
      <c r="CC3700" s="48"/>
      <c r="CD3700" s="48"/>
      <c r="CE3700" s="48"/>
      <c r="CF3700" s="48"/>
      <c r="CG3700" s="48"/>
      <c r="CH3700" s="48"/>
      <c r="CI3700" s="48"/>
      <c r="CJ3700" s="48"/>
      <c r="CK3700" s="48"/>
      <c r="CL3700" s="48"/>
      <c r="CM3700" s="48"/>
      <c r="CN3700" s="48"/>
      <c r="CO3700" s="48"/>
      <c r="CP3700" s="48"/>
      <c r="CQ3700" s="48"/>
      <c r="CR3700" s="48"/>
      <c r="CS3700" s="48"/>
      <c r="CT3700" s="48"/>
      <c r="CU3700" s="48"/>
      <c r="CV3700" s="48"/>
      <c r="CW3700" s="48"/>
      <c r="CX3700" s="48"/>
      <c r="CY3700" s="48"/>
      <c r="CZ3700" s="48"/>
    </row>
    <row r="3701" spans="27:104" s="4" customFormat="1" x14ac:dyDescent="0.3">
      <c r="AA3701" s="48"/>
      <c r="AB3701" s="48"/>
      <c r="AC3701" s="48"/>
      <c r="AD3701" s="48"/>
      <c r="AE3701" s="48"/>
      <c r="AF3701" s="48"/>
      <c r="AG3701" s="48"/>
      <c r="AH3701" s="48"/>
      <c r="AI3701" s="48"/>
      <c r="AJ3701" s="48"/>
      <c r="AK3701" s="48"/>
      <c r="AL3701" s="48"/>
      <c r="AM3701" s="48"/>
      <c r="AN3701" s="48"/>
      <c r="AO3701" s="48"/>
      <c r="AP3701" s="48"/>
      <c r="AQ3701" s="48"/>
      <c r="AR3701" s="48"/>
      <c r="AS3701" s="48"/>
      <c r="AT3701" s="48"/>
      <c r="AU3701" s="48"/>
      <c r="AV3701" s="48"/>
      <c r="AW3701" s="48"/>
      <c r="AX3701" s="48"/>
      <c r="AY3701" s="48"/>
      <c r="AZ3701" s="48"/>
      <c r="BA3701" s="48"/>
      <c r="BB3701" s="14"/>
      <c r="BC3701" s="48"/>
      <c r="BD3701" s="48"/>
      <c r="BE3701" s="48"/>
      <c r="BF3701" s="48"/>
      <c r="BG3701" s="48"/>
      <c r="BH3701" s="48"/>
      <c r="BI3701" s="48"/>
      <c r="BJ3701" s="48"/>
      <c r="BK3701" s="48"/>
      <c r="BL3701" s="48"/>
      <c r="BM3701" s="48"/>
      <c r="BN3701" s="48"/>
      <c r="BO3701" s="48"/>
      <c r="BP3701" s="48"/>
      <c r="BQ3701" s="48"/>
      <c r="BR3701" s="48"/>
      <c r="BS3701" s="48"/>
      <c r="BT3701" s="48"/>
      <c r="BU3701" s="48"/>
      <c r="BV3701" s="48"/>
      <c r="BW3701" s="48"/>
      <c r="BX3701" s="48"/>
      <c r="BY3701" s="48"/>
      <c r="BZ3701" s="48"/>
      <c r="CA3701" s="48"/>
      <c r="CB3701" s="48"/>
      <c r="CC3701" s="48"/>
      <c r="CD3701" s="48"/>
      <c r="CE3701" s="48"/>
      <c r="CF3701" s="48"/>
      <c r="CG3701" s="48"/>
      <c r="CH3701" s="48"/>
      <c r="CI3701" s="48"/>
      <c r="CJ3701" s="48"/>
      <c r="CK3701" s="48"/>
      <c r="CL3701" s="48"/>
      <c r="CM3701" s="48"/>
      <c r="CN3701" s="48"/>
      <c r="CO3701" s="48"/>
      <c r="CP3701" s="48"/>
      <c r="CQ3701" s="48"/>
      <c r="CR3701" s="48"/>
      <c r="CS3701" s="48"/>
      <c r="CT3701" s="48"/>
      <c r="CU3701" s="48"/>
      <c r="CV3701" s="48"/>
      <c r="CW3701" s="48"/>
      <c r="CX3701" s="48"/>
      <c r="CY3701" s="48"/>
      <c r="CZ3701" s="48"/>
    </row>
    <row r="3702" spans="27:104" s="4" customFormat="1" x14ac:dyDescent="0.3">
      <c r="AA3702" s="48"/>
      <c r="AB3702" s="48"/>
      <c r="AC3702" s="48"/>
      <c r="AD3702" s="48"/>
      <c r="AE3702" s="48"/>
      <c r="AF3702" s="48"/>
      <c r="AG3702" s="48"/>
      <c r="AH3702" s="48"/>
      <c r="AI3702" s="48"/>
      <c r="AJ3702" s="48"/>
      <c r="AK3702" s="48"/>
      <c r="AL3702" s="48"/>
      <c r="AM3702" s="48"/>
      <c r="AN3702" s="48"/>
      <c r="AO3702" s="48"/>
      <c r="AP3702" s="48"/>
      <c r="AQ3702" s="48"/>
      <c r="AR3702" s="48"/>
      <c r="AS3702" s="48"/>
      <c r="AT3702" s="48"/>
      <c r="AU3702" s="48"/>
      <c r="AV3702" s="48"/>
      <c r="AW3702" s="48"/>
      <c r="AX3702" s="48"/>
      <c r="AY3702" s="48"/>
      <c r="AZ3702" s="48"/>
      <c r="BA3702" s="48"/>
      <c r="BB3702" s="14"/>
      <c r="BC3702" s="48"/>
      <c r="BD3702" s="48"/>
      <c r="BE3702" s="48"/>
      <c r="BF3702" s="48"/>
      <c r="BG3702" s="48"/>
      <c r="BH3702" s="48"/>
      <c r="BI3702" s="48"/>
      <c r="BJ3702" s="48"/>
      <c r="BK3702" s="48"/>
      <c r="BL3702" s="48"/>
      <c r="BM3702" s="48"/>
      <c r="BN3702" s="48"/>
      <c r="BO3702" s="48"/>
      <c r="BP3702" s="48"/>
      <c r="BQ3702" s="48"/>
      <c r="BR3702" s="48"/>
      <c r="BS3702" s="48"/>
      <c r="BT3702" s="48"/>
      <c r="BU3702" s="48"/>
      <c r="BV3702" s="48"/>
      <c r="BW3702" s="48"/>
      <c r="BX3702" s="48"/>
      <c r="BY3702" s="48"/>
      <c r="BZ3702" s="48"/>
      <c r="CA3702" s="48"/>
      <c r="CB3702" s="48"/>
      <c r="CC3702" s="48"/>
      <c r="CD3702" s="48"/>
      <c r="CE3702" s="48"/>
      <c r="CF3702" s="48"/>
      <c r="CG3702" s="48"/>
      <c r="CH3702" s="48"/>
      <c r="CI3702" s="48"/>
      <c r="CJ3702" s="48"/>
      <c r="CK3702" s="48"/>
      <c r="CL3702" s="48"/>
      <c r="CM3702" s="48"/>
      <c r="CN3702" s="48"/>
      <c r="CO3702" s="48"/>
      <c r="CP3702" s="48"/>
      <c r="CQ3702" s="48"/>
      <c r="CR3702" s="48"/>
      <c r="CS3702" s="48"/>
      <c r="CT3702" s="48"/>
      <c r="CU3702" s="48"/>
      <c r="CV3702" s="48"/>
      <c r="CW3702" s="48"/>
      <c r="CX3702" s="48"/>
      <c r="CY3702" s="48"/>
      <c r="CZ3702" s="48"/>
    </row>
    <row r="3703" spans="27:104" s="4" customFormat="1" x14ac:dyDescent="0.3">
      <c r="AA3703" s="48"/>
      <c r="AB3703" s="48"/>
      <c r="AC3703" s="48"/>
      <c r="AD3703" s="48"/>
      <c r="AE3703" s="48"/>
      <c r="AF3703" s="48"/>
      <c r="AG3703" s="48"/>
      <c r="AH3703" s="48"/>
      <c r="AI3703" s="48"/>
      <c r="AJ3703" s="48"/>
      <c r="AK3703" s="48"/>
      <c r="AL3703" s="48"/>
      <c r="AM3703" s="48"/>
      <c r="AN3703" s="48"/>
      <c r="AO3703" s="48"/>
      <c r="AP3703" s="48"/>
      <c r="AQ3703" s="48"/>
      <c r="AR3703" s="48"/>
      <c r="AS3703" s="48"/>
      <c r="AT3703" s="48"/>
      <c r="AU3703" s="48"/>
      <c r="AV3703" s="48"/>
      <c r="AW3703" s="48"/>
      <c r="AX3703" s="48"/>
      <c r="AY3703" s="48"/>
      <c r="AZ3703" s="48"/>
      <c r="BA3703" s="48"/>
      <c r="BB3703" s="14"/>
      <c r="BC3703" s="48"/>
      <c r="BD3703" s="48"/>
      <c r="BE3703" s="48"/>
      <c r="BF3703" s="48"/>
      <c r="BG3703" s="48"/>
      <c r="BH3703" s="48"/>
      <c r="BI3703" s="48"/>
      <c r="BJ3703" s="48"/>
      <c r="BK3703" s="48"/>
      <c r="BL3703" s="48"/>
      <c r="BM3703" s="48"/>
      <c r="BN3703" s="48"/>
      <c r="BO3703" s="48"/>
      <c r="BP3703" s="48"/>
      <c r="BQ3703" s="48"/>
      <c r="BR3703" s="48"/>
      <c r="BS3703" s="48"/>
      <c r="BT3703" s="48"/>
      <c r="BU3703" s="48"/>
      <c r="BV3703" s="48"/>
      <c r="BW3703" s="48"/>
      <c r="BX3703" s="48"/>
      <c r="BY3703" s="48"/>
      <c r="BZ3703" s="48"/>
      <c r="CA3703" s="48"/>
      <c r="CB3703" s="48"/>
      <c r="CC3703" s="48"/>
      <c r="CD3703" s="48"/>
      <c r="CE3703" s="48"/>
      <c r="CF3703" s="48"/>
      <c r="CG3703" s="48"/>
      <c r="CH3703" s="48"/>
      <c r="CI3703" s="48"/>
      <c r="CJ3703" s="48"/>
      <c r="CK3703" s="48"/>
      <c r="CL3703" s="48"/>
      <c r="CM3703" s="48"/>
      <c r="CN3703" s="48"/>
      <c r="CO3703" s="48"/>
      <c r="CP3703" s="48"/>
      <c r="CQ3703" s="48"/>
      <c r="CR3703" s="48"/>
      <c r="CS3703" s="48"/>
      <c r="CT3703" s="48"/>
      <c r="CU3703" s="48"/>
      <c r="CV3703" s="48"/>
      <c r="CW3703" s="48"/>
      <c r="CX3703" s="48"/>
      <c r="CY3703" s="48"/>
      <c r="CZ3703" s="48"/>
    </row>
    <row r="3704" spans="27:104" s="4" customFormat="1" x14ac:dyDescent="0.3">
      <c r="AA3704" s="48"/>
      <c r="AB3704" s="48"/>
      <c r="AC3704" s="48"/>
      <c r="AD3704" s="48"/>
      <c r="AE3704" s="48"/>
      <c r="AF3704" s="48"/>
      <c r="AG3704" s="48"/>
      <c r="AH3704" s="48"/>
      <c r="AI3704" s="48"/>
      <c r="AJ3704" s="48"/>
      <c r="AK3704" s="48"/>
      <c r="AL3704" s="48"/>
      <c r="AM3704" s="48"/>
      <c r="AN3704" s="48"/>
      <c r="AO3704" s="48"/>
      <c r="AP3704" s="48"/>
      <c r="AQ3704" s="48"/>
      <c r="AR3704" s="48"/>
      <c r="AS3704" s="48"/>
      <c r="AT3704" s="48"/>
      <c r="AU3704" s="48"/>
      <c r="AV3704" s="48"/>
      <c r="AW3704" s="48"/>
      <c r="AX3704" s="48"/>
      <c r="AY3704" s="48"/>
      <c r="AZ3704" s="48"/>
      <c r="BA3704" s="48"/>
      <c r="BB3704" s="14"/>
      <c r="BC3704" s="48"/>
      <c r="BD3704" s="48"/>
      <c r="BE3704" s="48"/>
      <c r="BF3704" s="48"/>
      <c r="BG3704" s="48"/>
      <c r="BH3704" s="48"/>
      <c r="BI3704" s="48"/>
      <c r="BJ3704" s="48"/>
      <c r="BK3704" s="48"/>
      <c r="BL3704" s="48"/>
      <c r="BM3704" s="48"/>
      <c r="BN3704" s="48"/>
      <c r="BO3704" s="48"/>
      <c r="BP3704" s="48"/>
      <c r="BQ3704" s="48"/>
      <c r="BR3704" s="48"/>
      <c r="BS3704" s="48"/>
      <c r="BT3704" s="48"/>
      <c r="BU3704" s="48"/>
      <c r="BV3704" s="48"/>
      <c r="BW3704" s="48"/>
      <c r="BX3704" s="48"/>
      <c r="BY3704" s="48"/>
      <c r="BZ3704" s="48"/>
      <c r="CA3704" s="48"/>
      <c r="CB3704" s="48"/>
      <c r="CC3704" s="48"/>
      <c r="CD3704" s="48"/>
      <c r="CE3704" s="48"/>
      <c r="CF3704" s="48"/>
      <c r="CG3704" s="48"/>
      <c r="CH3704" s="48"/>
      <c r="CI3704" s="48"/>
      <c r="CJ3704" s="48"/>
      <c r="CK3704" s="48"/>
      <c r="CL3704" s="48"/>
      <c r="CM3704" s="48"/>
      <c r="CN3704" s="48"/>
      <c r="CO3704" s="48"/>
      <c r="CP3704" s="48"/>
      <c r="CQ3704" s="48"/>
      <c r="CR3704" s="48"/>
      <c r="CS3704" s="48"/>
      <c r="CT3704" s="48"/>
      <c r="CU3704" s="48"/>
      <c r="CV3704" s="48"/>
      <c r="CW3704" s="48"/>
      <c r="CX3704" s="48"/>
      <c r="CY3704" s="48"/>
      <c r="CZ3704" s="48"/>
    </row>
    <row r="3705" spans="27:104" s="4" customFormat="1" x14ac:dyDescent="0.3">
      <c r="AA3705" s="48"/>
      <c r="AB3705" s="48"/>
      <c r="AC3705" s="48"/>
      <c r="AD3705" s="48"/>
      <c r="AE3705" s="48"/>
      <c r="AF3705" s="48"/>
      <c r="AG3705" s="48"/>
      <c r="AH3705" s="48"/>
      <c r="AI3705" s="48"/>
      <c r="AJ3705" s="48"/>
      <c r="AK3705" s="48"/>
      <c r="AL3705" s="48"/>
      <c r="AM3705" s="48"/>
      <c r="AN3705" s="48"/>
      <c r="AO3705" s="48"/>
      <c r="AP3705" s="48"/>
      <c r="AQ3705" s="48"/>
      <c r="AR3705" s="48"/>
      <c r="AS3705" s="48"/>
      <c r="AT3705" s="48"/>
      <c r="AU3705" s="48"/>
      <c r="AV3705" s="48"/>
      <c r="AW3705" s="48"/>
      <c r="AX3705" s="48"/>
      <c r="AY3705" s="48"/>
      <c r="AZ3705" s="48"/>
      <c r="BA3705" s="48"/>
      <c r="BB3705" s="14"/>
      <c r="BC3705" s="48"/>
      <c r="BD3705" s="48"/>
      <c r="BE3705" s="48"/>
      <c r="BF3705" s="48"/>
      <c r="BG3705" s="48"/>
      <c r="BH3705" s="48"/>
      <c r="BI3705" s="48"/>
      <c r="BJ3705" s="48"/>
      <c r="BK3705" s="48"/>
      <c r="BL3705" s="48"/>
      <c r="BM3705" s="48"/>
      <c r="BN3705" s="48"/>
      <c r="BO3705" s="48"/>
      <c r="BP3705" s="48"/>
      <c r="BQ3705" s="48"/>
      <c r="BR3705" s="48"/>
      <c r="BS3705" s="48"/>
      <c r="BT3705" s="48"/>
      <c r="BU3705" s="48"/>
      <c r="BV3705" s="48"/>
      <c r="BW3705" s="48"/>
      <c r="BX3705" s="48"/>
      <c r="BY3705" s="48"/>
      <c r="BZ3705" s="48"/>
      <c r="CA3705" s="48"/>
      <c r="CB3705" s="48"/>
      <c r="CC3705" s="48"/>
      <c r="CD3705" s="48"/>
      <c r="CE3705" s="48"/>
      <c r="CF3705" s="48"/>
      <c r="CG3705" s="48"/>
      <c r="CH3705" s="48"/>
      <c r="CI3705" s="48"/>
      <c r="CJ3705" s="48"/>
      <c r="CK3705" s="48"/>
      <c r="CL3705" s="48"/>
      <c r="CM3705" s="48"/>
      <c r="CN3705" s="48"/>
      <c r="CO3705" s="48"/>
      <c r="CP3705" s="48"/>
      <c r="CQ3705" s="48"/>
      <c r="CR3705" s="48"/>
      <c r="CS3705" s="48"/>
      <c r="CT3705" s="48"/>
      <c r="CU3705" s="48"/>
      <c r="CV3705" s="48"/>
      <c r="CW3705" s="48"/>
      <c r="CX3705" s="48"/>
      <c r="CY3705" s="48"/>
      <c r="CZ3705" s="48"/>
    </row>
    <row r="3706" spans="27:104" s="4" customFormat="1" x14ac:dyDescent="0.3">
      <c r="AA3706" s="48"/>
      <c r="AB3706" s="48"/>
      <c r="AC3706" s="48"/>
      <c r="AD3706" s="48"/>
      <c r="AE3706" s="48"/>
      <c r="AF3706" s="48"/>
      <c r="AG3706" s="48"/>
      <c r="AH3706" s="48"/>
      <c r="AI3706" s="48"/>
      <c r="AJ3706" s="48"/>
      <c r="AK3706" s="48"/>
      <c r="AL3706" s="48"/>
      <c r="AM3706" s="48"/>
      <c r="AN3706" s="48"/>
      <c r="AO3706" s="48"/>
      <c r="AP3706" s="48"/>
      <c r="AQ3706" s="48"/>
      <c r="AR3706" s="48"/>
      <c r="AS3706" s="48"/>
      <c r="AT3706" s="48"/>
      <c r="AU3706" s="48"/>
      <c r="AV3706" s="48"/>
      <c r="AW3706" s="48"/>
      <c r="AX3706" s="48"/>
      <c r="AY3706" s="48"/>
      <c r="AZ3706" s="48"/>
      <c r="BA3706" s="48"/>
      <c r="BB3706" s="14"/>
      <c r="BC3706" s="48"/>
      <c r="BD3706" s="48"/>
      <c r="BE3706" s="48"/>
      <c r="BF3706" s="48"/>
      <c r="BG3706" s="48"/>
      <c r="BH3706" s="48"/>
      <c r="BI3706" s="48"/>
      <c r="BJ3706" s="48"/>
      <c r="BK3706" s="48"/>
      <c r="BL3706" s="48"/>
      <c r="BM3706" s="48"/>
      <c r="BN3706" s="48"/>
      <c r="BO3706" s="48"/>
      <c r="BP3706" s="48"/>
      <c r="BQ3706" s="48"/>
      <c r="BR3706" s="48"/>
      <c r="BS3706" s="48"/>
      <c r="BT3706" s="48"/>
      <c r="BU3706" s="48"/>
      <c r="BV3706" s="48"/>
      <c r="BW3706" s="48"/>
      <c r="BX3706" s="48"/>
      <c r="BY3706" s="48"/>
      <c r="BZ3706" s="48"/>
      <c r="CA3706" s="48"/>
      <c r="CB3706" s="48"/>
      <c r="CC3706" s="48"/>
      <c r="CD3706" s="48"/>
      <c r="CE3706" s="48"/>
      <c r="CF3706" s="48"/>
      <c r="CG3706" s="48"/>
      <c r="CH3706" s="48"/>
      <c r="CI3706" s="48"/>
      <c r="CJ3706" s="48"/>
      <c r="CK3706" s="48"/>
      <c r="CL3706" s="48"/>
      <c r="CM3706" s="48"/>
      <c r="CN3706" s="48"/>
      <c r="CO3706" s="48"/>
      <c r="CP3706" s="48"/>
      <c r="CQ3706" s="48"/>
      <c r="CR3706" s="48"/>
      <c r="CS3706" s="48"/>
      <c r="CT3706" s="48"/>
      <c r="CU3706" s="48"/>
      <c r="CV3706" s="48"/>
      <c r="CW3706" s="48"/>
      <c r="CX3706" s="48"/>
      <c r="CY3706" s="48"/>
      <c r="CZ3706" s="48"/>
    </row>
    <row r="3707" spans="27:104" s="4" customFormat="1" x14ac:dyDescent="0.3">
      <c r="AA3707" s="48"/>
      <c r="AB3707" s="48"/>
      <c r="AC3707" s="48"/>
      <c r="AD3707" s="48"/>
      <c r="AE3707" s="48"/>
      <c r="AF3707" s="48"/>
      <c r="AG3707" s="48"/>
      <c r="AH3707" s="48"/>
      <c r="AI3707" s="48"/>
      <c r="AJ3707" s="48"/>
      <c r="AK3707" s="48"/>
      <c r="AL3707" s="48"/>
      <c r="AM3707" s="48"/>
      <c r="AN3707" s="48"/>
      <c r="AO3707" s="48"/>
      <c r="AP3707" s="48"/>
      <c r="AQ3707" s="48"/>
      <c r="AR3707" s="48"/>
      <c r="AS3707" s="48"/>
      <c r="AT3707" s="48"/>
      <c r="AU3707" s="48"/>
      <c r="AV3707" s="48"/>
      <c r="AW3707" s="48"/>
      <c r="AX3707" s="48"/>
      <c r="AY3707" s="48"/>
      <c r="AZ3707" s="48"/>
      <c r="BA3707" s="48"/>
      <c r="BB3707" s="14"/>
      <c r="BC3707" s="48"/>
      <c r="BD3707" s="48"/>
      <c r="BE3707" s="48"/>
      <c r="BF3707" s="48"/>
      <c r="BG3707" s="48"/>
      <c r="BH3707" s="48"/>
      <c r="BI3707" s="48"/>
      <c r="BJ3707" s="48"/>
      <c r="BK3707" s="48"/>
      <c r="BL3707" s="48"/>
      <c r="BM3707" s="48"/>
      <c r="BN3707" s="48"/>
      <c r="BO3707" s="48"/>
      <c r="BP3707" s="48"/>
      <c r="BQ3707" s="48"/>
      <c r="BR3707" s="48"/>
      <c r="BS3707" s="48"/>
      <c r="BT3707" s="48"/>
      <c r="BU3707" s="48"/>
      <c r="BV3707" s="48"/>
      <c r="BW3707" s="48"/>
      <c r="BX3707" s="48"/>
      <c r="BY3707" s="48"/>
      <c r="BZ3707" s="48"/>
      <c r="CA3707" s="48"/>
      <c r="CB3707" s="48"/>
      <c r="CC3707" s="48"/>
      <c r="CD3707" s="48"/>
      <c r="CE3707" s="48"/>
      <c r="CF3707" s="48"/>
      <c r="CG3707" s="48"/>
      <c r="CH3707" s="48"/>
      <c r="CI3707" s="48"/>
      <c r="CJ3707" s="48"/>
      <c r="CK3707" s="48"/>
      <c r="CL3707" s="48"/>
      <c r="CM3707" s="48"/>
      <c r="CN3707" s="48"/>
      <c r="CO3707" s="48"/>
      <c r="CP3707" s="48"/>
      <c r="CQ3707" s="48"/>
      <c r="CR3707" s="48"/>
      <c r="CS3707" s="48"/>
      <c r="CT3707" s="48"/>
      <c r="CU3707" s="48"/>
      <c r="CV3707" s="48"/>
      <c r="CW3707" s="48"/>
      <c r="CX3707" s="48"/>
      <c r="CY3707" s="48"/>
      <c r="CZ3707" s="48"/>
    </row>
    <row r="3708" spans="27:104" s="4" customFormat="1" x14ac:dyDescent="0.3">
      <c r="AA3708" s="48"/>
      <c r="AB3708" s="48"/>
      <c r="AC3708" s="48"/>
      <c r="AD3708" s="48"/>
      <c r="AE3708" s="48"/>
      <c r="AF3708" s="48"/>
      <c r="AG3708" s="48"/>
      <c r="AH3708" s="48"/>
      <c r="AI3708" s="48"/>
      <c r="AJ3708" s="48"/>
      <c r="AK3708" s="48"/>
      <c r="AL3708" s="48"/>
      <c r="AM3708" s="48"/>
      <c r="AN3708" s="48"/>
      <c r="AO3708" s="48"/>
      <c r="AP3708" s="48"/>
      <c r="AQ3708" s="48"/>
      <c r="AR3708" s="48"/>
      <c r="AS3708" s="48"/>
      <c r="AT3708" s="48"/>
      <c r="AU3708" s="48"/>
      <c r="AV3708" s="48"/>
      <c r="AW3708" s="48"/>
      <c r="AX3708" s="48"/>
      <c r="AY3708" s="48"/>
      <c r="AZ3708" s="48"/>
      <c r="BA3708" s="48"/>
      <c r="BB3708" s="14"/>
      <c r="BC3708" s="48"/>
      <c r="BD3708" s="48"/>
      <c r="BE3708" s="48"/>
      <c r="BF3708" s="48"/>
      <c r="BG3708" s="48"/>
      <c r="BH3708" s="48"/>
      <c r="BI3708" s="48"/>
      <c r="BJ3708" s="48"/>
      <c r="BK3708" s="48"/>
      <c r="BL3708" s="48"/>
      <c r="BM3708" s="48"/>
      <c r="BN3708" s="48"/>
      <c r="BO3708" s="48"/>
      <c r="BP3708" s="48"/>
      <c r="BQ3708" s="48"/>
      <c r="BR3708" s="48"/>
      <c r="BS3708" s="48"/>
      <c r="BT3708" s="48"/>
      <c r="BU3708" s="48"/>
      <c r="BV3708" s="48"/>
      <c r="BW3708" s="48"/>
      <c r="BX3708" s="48"/>
      <c r="BY3708" s="48"/>
      <c r="BZ3708" s="48"/>
      <c r="CA3708" s="48"/>
      <c r="CB3708" s="48"/>
      <c r="CC3708" s="48"/>
      <c r="CD3708" s="48"/>
      <c r="CE3708" s="48"/>
      <c r="CF3708" s="48"/>
      <c r="CG3708" s="48"/>
      <c r="CH3708" s="48"/>
      <c r="CI3708" s="48"/>
      <c r="CJ3708" s="48"/>
      <c r="CK3708" s="48"/>
      <c r="CL3708" s="48"/>
      <c r="CM3708" s="48"/>
      <c r="CN3708" s="48"/>
      <c r="CO3708" s="48"/>
      <c r="CP3708" s="48"/>
      <c r="CQ3708" s="48"/>
      <c r="CR3708" s="48"/>
      <c r="CS3708" s="48"/>
      <c r="CT3708" s="48"/>
      <c r="CU3708" s="48"/>
      <c r="CV3708" s="48"/>
      <c r="CW3708" s="48"/>
      <c r="CX3708" s="48"/>
      <c r="CY3708" s="48"/>
      <c r="CZ3708" s="48"/>
    </row>
    <row r="3709" spans="27:104" s="4" customFormat="1" x14ac:dyDescent="0.3">
      <c r="AA3709" s="48"/>
      <c r="AB3709" s="48"/>
      <c r="AC3709" s="48"/>
      <c r="AD3709" s="48"/>
      <c r="AE3709" s="48"/>
      <c r="AF3709" s="48"/>
      <c r="AG3709" s="48"/>
      <c r="AH3709" s="48"/>
      <c r="AI3709" s="48"/>
      <c r="AJ3709" s="48"/>
      <c r="AK3709" s="48"/>
      <c r="AL3709" s="48"/>
      <c r="AM3709" s="48"/>
      <c r="AN3709" s="48"/>
      <c r="AO3709" s="48"/>
      <c r="AP3709" s="48"/>
      <c r="AQ3709" s="48"/>
      <c r="AR3709" s="48"/>
      <c r="AS3709" s="48"/>
      <c r="AT3709" s="48"/>
      <c r="AU3709" s="48"/>
      <c r="AV3709" s="48"/>
      <c r="AW3709" s="48"/>
      <c r="AX3709" s="48"/>
      <c r="AY3709" s="48"/>
      <c r="AZ3709" s="48"/>
      <c r="BA3709" s="48"/>
      <c r="BB3709" s="14"/>
      <c r="BC3709" s="48"/>
      <c r="BD3709" s="48"/>
      <c r="BE3709" s="48"/>
      <c r="BF3709" s="48"/>
      <c r="BG3709" s="48"/>
      <c r="BH3709" s="48"/>
      <c r="BI3709" s="48"/>
      <c r="BJ3709" s="48"/>
      <c r="BK3709" s="48"/>
      <c r="BL3709" s="48"/>
      <c r="BM3709" s="48"/>
      <c r="BN3709" s="48"/>
      <c r="BO3709" s="48"/>
      <c r="BP3709" s="48"/>
      <c r="BQ3709" s="48"/>
      <c r="BR3709" s="48"/>
      <c r="BS3709" s="48"/>
      <c r="BT3709" s="48"/>
      <c r="BU3709" s="48"/>
      <c r="BV3709" s="48"/>
      <c r="BW3709" s="48"/>
      <c r="BX3709" s="48"/>
      <c r="BY3709" s="48"/>
      <c r="BZ3709" s="48"/>
      <c r="CA3709" s="48"/>
      <c r="CB3709" s="48"/>
      <c r="CC3709" s="48"/>
      <c r="CD3709" s="48"/>
      <c r="CE3709" s="48"/>
      <c r="CF3709" s="48"/>
      <c r="CG3709" s="48"/>
      <c r="CH3709" s="48"/>
      <c r="CI3709" s="48"/>
      <c r="CJ3709" s="48"/>
      <c r="CK3709" s="48"/>
      <c r="CL3709" s="48"/>
      <c r="CM3709" s="48"/>
      <c r="CN3709" s="48"/>
      <c r="CO3709" s="48"/>
      <c r="CP3709" s="48"/>
      <c r="CQ3709" s="48"/>
      <c r="CR3709" s="48"/>
      <c r="CS3709" s="48"/>
      <c r="CT3709" s="48"/>
      <c r="CU3709" s="48"/>
      <c r="CV3709" s="48"/>
      <c r="CW3709" s="48"/>
      <c r="CX3709" s="48"/>
      <c r="CY3709" s="48"/>
      <c r="CZ3709" s="48"/>
    </row>
    <row r="3710" spans="27:104" s="4" customFormat="1" x14ac:dyDescent="0.3">
      <c r="AA3710" s="48"/>
      <c r="AB3710" s="48"/>
      <c r="AC3710" s="48"/>
      <c r="AD3710" s="48"/>
      <c r="AE3710" s="48"/>
      <c r="AF3710" s="48"/>
      <c r="AG3710" s="48"/>
      <c r="AH3710" s="48"/>
      <c r="AI3710" s="48"/>
      <c r="AJ3710" s="48"/>
      <c r="AK3710" s="48"/>
      <c r="AL3710" s="48"/>
      <c r="AM3710" s="48"/>
      <c r="AN3710" s="48"/>
      <c r="AO3710" s="48"/>
      <c r="AP3710" s="48"/>
      <c r="AQ3710" s="48"/>
      <c r="AR3710" s="48"/>
      <c r="AS3710" s="48"/>
      <c r="AT3710" s="48"/>
      <c r="AU3710" s="48"/>
      <c r="AV3710" s="48"/>
      <c r="AW3710" s="48"/>
      <c r="AX3710" s="48"/>
      <c r="AY3710" s="48"/>
      <c r="AZ3710" s="48"/>
      <c r="BA3710" s="48"/>
      <c r="BB3710" s="14"/>
      <c r="BC3710" s="48"/>
      <c r="BD3710" s="48"/>
      <c r="BE3710" s="48"/>
      <c r="BF3710" s="48"/>
      <c r="BG3710" s="48"/>
      <c r="BH3710" s="48"/>
      <c r="BI3710" s="48"/>
      <c r="BJ3710" s="48"/>
      <c r="BK3710" s="48"/>
      <c r="BL3710" s="48"/>
      <c r="BM3710" s="48"/>
      <c r="BN3710" s="48"/>
      <c r="BO3710" s="48"/>
      <c r="BP3710" s="48"/>
      <c r="BQ3710" s="48"/>
      <c r="BR3710" s="48"/>
      <c r="BS3710" s="48"/>
      <c r="BT3710" s="48"/>
      <c r="BU3710" s="48"/>
      <c r="BV3710" s="48"/>
      <c r="BW3710" s="48"/>
      <c r="BX3710" s="48"/>
      <c r="BY3710" s="48"/>
      <c r="BZ3710" s="48"/>
      <c r="CA3710" s="48"/>
      <c r="CB3710" s="48"/>
      <c r="CC3710" s="48"/>
      <c r="CD3710" s="48"/>
      <c r="CE3710" s="48"/>
      <c r="CF3710" s="48"/>
      <c r="CG3710" s="48"/>
      <c r="CH3710" s="48"/>
      <c r="CI3710" s="48"/>
      <c r="CJ3710" s="48"/>
      <c r="CK3710" s="48"/>
      <c r="CL3710" s="48"/>
      <c r="CM3710" s="48"/>
      <c r="CN3710" s="48"/>
      <c r="CO3710" s="48"/>
      <c r="CP3710" s="48"/>
      <c r="CQ3710" s="48"/>
      <c r="CR3710" s="48"/>
      <c r="CS3710" s="48"/>
      <c r="CT3710" s="48"/>
      <c r="CU3710" s="48"/>
      <c r="CV3710" s="48"/>
      <c r="CW3710" s="48"/>
      <c r="CX3710" s="48"/>
      <c r="CY3710" s="48"/>
      <c r="CZ3710" s="48"/>
    </row>
    <row r="3711" spans="27:104" s="4" customFormat="1" x14ac:dyDescent="0.3">
      <c r="AA3711" s="48"/>
      <c r="AB3711" s="48"/>
      <c r="AC3711" s="48"/>
      <c r="AD3711" s="48"/>
      <c r="AE3711" s="48"/>
      <c r="AF3711" s="48"/>
      <c r="AG3711" s="48"/>
      <c r="AH3711" s="48"/>
      <c r="AI3711" s="48"/>
      <c r="AJ3711" s="48"/>
      <c r="AK3711" s="48"/>
      <c r="AL3711" s="48"/>
      <c r="AM3711" s="48"/>
      <c r="AN3711" s="48"/>
      <c r="AO3711" s="48"/>
      <c r="AP3711" s="48"/>
      <c r="AQ3711" s="48"/>
      <c r="AR3711" s="48"/>
      <c r="AS3711" s="48"/>
      <c r="AT3711" s="48"/>
      <c r="AU3711" s="48"/>
      <c r="AV3711" s="48"/>
      <c r="AW3711" s="48"/>
      <c r="AX3711" s="48"/>
      <c r="AY3711" s="48"/>
      <c r="AZ3711" s="48"/>
      <c r="BA3711" s="48"/>
      <c r="BB3711" s="14"/>
      <c r="BC3711" s="48"/>
      <c r="BD3711" s="48"/>
      <c r="BE3711" s="48"/>
      <c r="BF3711" s="48"/>
      <c r="BG3711" s="48"/>
      <c r="BH3711" s="48"/>
      <c r="BI3711" s="48"/>
      <c r="BJ3711" s="48"/>
      <c r="BK3711" s="48"/>
      <c r="BL3711" s="48"/>
      <c r="BM3711" s="48"/>
      <c r="BN3711" s="48"/>
      <c r="BO3711" s="48"/>
      <c r="BP3711" s="48"/>
      <c r="BQ3711" s="48"/>
      <c r="BR3711" s="48"/>
      <c r="BS3711" s="48"/>
      <c r="BT3711" s="48"/>
      <c r="BU3711" s="48"/>
      <c r="BV3711" s="48"/>
      <c r="BW3711" s="48"/>
      <c r="BX3711" s="48"/>
      <c r="BY3711" s="48"/>
      <c r="BZ3711" s="48"/>
      <c r="CA3711" s="48"/>
      <c r="CB3711" s="48"/>
      <c r="CC3711" s="48"/>
      <c r="CD3711" s="48"/>
      <c r="CE3711" s="48"/>
      <c r="CF3711" s="48"/>
      <c r="CG3711" s="48"/>
      <c r="CH3711" s="48"/>
      <c r="CI3711" s="48"/>
      <c r="CJ3711" s="48"/>
      <c r="CK3711" s="48"/>
      <c r="CL3711" s="48"/>
      <c r="CM3711" s="48"/>
      <c r="CN3711" s="48"/>
      <c r="CO3711" s="48"/>
      <c r="CP3711" s="48"/>
      <c r="CQ3711" s="48"/>
      <c r="CR3711" s="48"/>
      <c r="CS3711" s="48"/>
      <c r="CT3711" s="48"/>
      <c r="CU3711" s="48"/>
      <c r="CV3711" s="48"/>
      <c r="CW3711" s="48"/>
      <c r="CX3711" s="48"/>
      <c r="CY3711" s="48"/>
      <c r="CZ3711" s="48"/>
    </row>
    <row r="3712" spans="27:104" s="4" customFormat="1" x14ac:dyDescent="0.3">
      <c r="AA3712" s="48"/>
      <c r="AB3712" s="48"/>
      <c r="AC3712" s="48"/>
      <c r="AD3712" s="48"/>
      <c r="AE3712" s="48"/>
      <c r="AF3712" s="48"/>
      <c r="AG3712" s="48"/>
      <c r="AH3712" s="48"/>
      <c r="AI3712" s="48"/>
      <c r="AJ3712" s="48"/>
      <c r="AK3712" s="48"/>
      <c r="AL3712" s="48"/>
      <c r="AM3712" s="48"/>
      <c r="AN3712" s="48"/>
      <c r="AO3712" s="48"/>
      <c r="AP3712" s="48"/>
      <c r="AQ3712" s="48"/>
      <c r="AR3712" s="48"/>
      <c r="AS3712" s="48"/>
      <c r="AT3712" s="48"/>
      <c r="AU3712" s="48"/>
      <c r="AV3712" s="48"/>
      <c r="AW3712" s="48"/>
      <c r="AX3712" s="48"/>
      <c r="AY3712" s="48"/>
      <c r="AZ3712" s="48"/>
      <c r="BA3712" s="48"/>
      <c r="BB3712" s="14"/>
      <c r="BC3712" s="48"/>
      <c r="BD3712" s="48"/>
      <c r="BE3712" s="48"/>
      <c r="BF3712" s="48"/>
      <c r="BG3712" s="48"/>
      <c r="BH3712" s="48"/>
      <c r="BI3712" s="48"/>
      <c r="BJ3712" s="48"/>
      <c r="BK3712" s="48"/>
      <c r="BL3712" s="48"/>
      <c r="BM3712" s="48"/>
      <c r="BN3712" s="48"/>
      <c r="BO3712" s="48"/>
      <c r="BP3712" s="48"/>
      <c r="BQ3712" s="48"/>
      <c r="BR3712" s="48"/>
      <c r="BS3712" s="48"/>
      <c r="BT3712" s="48"/>
      <c r="BU3712" s="48"/>
      <c r="BV3712" s="48"/>
      <c r="BW3712" s="48"/>
      <c r="BX3712" s="48"/>
      <c r="BY3712" s="48"/>
      <c r="BZ3712" s="48"/>
      <c r="CA3712" s="48"/>
      <c r="CB3712" s="48"/>
      <c r="CC3712" s="48"/>
      <c r="CD3712" s="48"/>
      <c r="CE3712" s="48"/>
      <c r="CF3712" s="48"/>
      <c r="CG3712" s="48"/>
      <c r="CH3712" s="48"/>
      <c r="CI3712" s="48"/>
      <c r="CJ3712" s="48"/>
      <c r="CK3712" s="48"/>
      <c r="CL3712" s="48"/>
      <c r="CM3712" s="48"/>
      <c r="CN3712" s="48"/>
      <c r="CO3712" s="48"/>
      <c r="CP3712" s="48"/>
      <c r="CQ3712" s="48"/>
      <c r="CR3712" s="48"/>
      <c r="CS3712" s="48"/>
      <c r="CT3712" s="48"/>
      <c r="CU3712" s="48"/>
      <c r="CV3712" s="48"/>
      <c r="CW3712" s="48"/>
      <c r="CX3712" s="48"/>
      <c r="CY3712" s="48"/>
      <c r="CZ3712" s="48"/>
    </row>
    <row r="3713" spans="27:104" s="4" customFormat="1" x14ac:dyDescent="0.3">
      <c r="AA3713" s="48"/>
      <c r="AB3713" s="48"/>
      <c r="AC3713" s="48"/>
      <c r="AD3713" s="48"/>
      <c r="AE3713" s="48"/>
      <c r="AF3713" s="48"/>
      <c r="AG3713" s="48"/>
      <c r="AH3713" s="48"/>
      <c r="AI3713" s="48"/>
      <c r="AJ3713" s="48"/>
      <c r="AK3713" s="48"/>
      <c r="AL3713" s="48"/>
      <c r="AM3713" s="48"/>
      <c r="AN3713" s="48"/>
      <c r="AO3713" s="48"/>
      <c r="AP3713" s="48"/>
      <c r="AQ3713" s="48"/>
      <c r="AR3713" s="48"/>
      <c r="AS3713" s="48"/>
      <c r="AT3713" s="48"/>
      <c r="AU3713" s="48"/>
      <c r="AV3713" s="48"/>
      <c r="AW3713" s="48"/>
      <c r="AX3713" s="48"/>
      <c r="AY3713" s="48"/>
      <c r="AZ3713" s="48"/>
      <c r="BA3713" s="48"/>
      <c r="BB3713" s="14"/>
      <c r="BC3713" s="48"/>
      <c r="BD3713" s="48"/>
      <c r="BE3713" s="48"/>
      <c r="BF3713" s="48"/>
      <c r="BG3713" s="48"/>
      <c r="BH3713" s="48"/>
      <c r="BI3713" s="48"/>
      <c r="BJ3713" s="48"/>
      <c r="BK3713" s="48"/>
      <c r="BL3713" s="48"/>
      <c r="BM3713" s="48"/>
      <c r="BN3713" s="48"/>
      <c r="BO3713" s="48"/>
      <c r="BP3713" s="48"/>
      <c r="BQ3713" s="48"/>
      <c r="BR3713" s="48"/>
      <c r="BS3713" s="48"/>
      <c r="BT3713" s="48"/>
      <c r="BU3713" s="48"/>
      <c r="BV3713" s="48"/>
      <c r="BW3713" s="48"/>
      <c r="BX3713" s="48"/>
      <c r="BY3713" s="48"/>
      <c r="BZ3713" s="48"/>
      <c r="CA3713" s="48"/>
      <c r="CB3713" s="48"/>
      <c r="CC3713" s="48"/>
      <c r="CD3713" s="48"/>
      <c r="CE3713" s="48"/>
      <c r="CF3713" s="48"/>
      <c r="CG3713" s="48"/>
      <c r="CH3713" s="48"/>
      <c r="CI3713" s="48"/>
      <c r="CJ3713" s="48"/>
      <c r="CK3713" s="48"/>
      <c r="CL3713" s="48"/>
      <c r="CM3713" s="48"/>
      <c r="CN3713" s="48"/>
      <c r="CO3713" s="48"/>
      <c r="CP3713" s="48"/>
      <c r="CQ3713" s="48"/>
      <c r="CR3713" s="48"/>
      <c r="CS3713" s="48"/>
      <c r="CT3713" s="48"/>
      <c r="CU3713" s="48"/>
      <c r="CV3713" s="48"/>
      <c r="CW3713" s="48"/>
      <c r="CX3713" s="48"/>
      <c r="CY3713" s="48"/>
      <c r="CZ3713" s="48"/>
    </row>
    <row r="3714" spans="27:104" s="4" customFormat="1" x14ac:dyDescent="0.3">
      <c r="AA3714" s="48"/>
      <c r="AB3714" s="48"/>
      <c r="AC3714" s="48"/>
      <c r="AD3714" s="48"/>
      <c r="AE3714" s="48"/>
      <c r="AF3714" s="48"/>
      <c r="AG3714" s="48"/>
      <c r="AH3714" s="48"/>
      <c r="AI3714" s="48"/>
      <c r="AJ3714" s="48"/>
      <c r="AK3714" s="48"/>
      <c r="AL3714" s="48"/>
      <c r="AM3714" s="48"/>
      <c r="AN3714" s="48"/>
      <c r="AO3714" s="48"/>
      <c r="AP3714" s="48"/>
      <c r="AQ3714" s="48"/>
      <c r="AR3714" s="48"/>
      <c r="AS3714" s="48"/>
      <c r="AT3714" s="48"/>
      <c r="AU3714" s="48"/>
      <c r="AV3714" s="48"/>
      <c r="AW3714" s="48"/>
      <c r="AX3714" s="48"/>
      <c r="AY3714" s="48"/>
      <c r="AZ3714" s="48"/>
      <c r="BA3714" s="48"/>
      <c r="BB3714" s="14"/>
      <c r="BC3714" s="48"/>
      <c r="BD3714" s="48"/>
      <c r="BE3714" s="48"/>
      <c r="BF3714" s="48"/>
      <c r="BG3714" s="48"/>
      <c r="BH3714" s="48"/>
      <c r="BI3714" s="48"/>
      <c r="BJ3714" s="48"/>
      <c r="BK3714" s="48"/>
      <c r="BL3714" s="48"/>
      <c r="BM3714" s="48"/>
      <c r="BN3714" s="48"/>
      <c r="BO3714" s="48"/>
      <c r="BP3714" s="48"/>
      <c r="BQ3714" s="48"/>
      <c r="BR3714" s="48"/>
      <c r="BS3714" s="48"/>
      <c r="BT3714" s="48"/>
      <c r="BU3714" s="48"/>
      <c r="BV3714" s="48"/>
      <c r="BW3714" s="48"/>
      <c r="BX3714" s="48"/>
      <c r="BY3714" s="48"/>
      <c r="BZ3714" s="48"/>
      <c r="CA3714" s="48"/>
      <c r="CB3714" s="48"/>
      <c r="CC3714" s="48"/>
      <c r="CD3714" s="48"/>
      <c r="CE3714" s="48"/>
      <c r="CF3714" s="48"/>
      <c r="CG3714" s="48"/>
      <c r="CH3714" s="48"/>
      <c r="CI3714" s="48"/>
      <c r="CJ3714" s="48"/>
      <c r="CK3714" s="48"/>
      <c r="CL3714" s="48"/>
      <c r="CM3714" s="48"/>
      <c r="CN3714" s="48"/>
      <c r="CO3714" s="48"/>
      <c r="CP3714" s="48"/>
      <c r="CQ3714" s="48"/>
      <c r="CR3714" s="48"/>
      <c r="CS3714" s="48"/>
      <c r="CT3714" s="48"/>
      <c r="CU3714" s="48"/>
      <c r="CV3714" s="48"/>
      <c r="CW3714" s="48"/>
      <c r="CX3714" s="48"/>
      <c r="CY3714" s="48"/>
      <c r="CZ3714" s="48"/>
    </row>
    <row r="3715" spans="27:104" s="4" customFormat="1" x14ac:dyDescent="0.3">
      <c r="AA3715" s="48"/>
      <c r="AB3715" s="48"/>
      <c r="AC3715" s="48"/>
      <c r="AD3715" s="48"/>
      <c r="AE3715" s="48"/>
      <c r="AF3715" s="48"/>
      <c r="AG3715" s="48"/>
      <c r="AH3715" s="48"/>
      <c r="AI3715" s="48"/>
      <c r="AJ3715" s="48"/>
      <c r="AK3715" s="48"/>
      <c r="AL3715" s="48"/>
      <c r="AM3715" s="48"/>
      <c r="AN3715" s="48"/>
      <c r="AO3715" s="48"/>
      <c r="AP3715" s="48"/>
      <c r="AQ3715" s="48"/>
      <c r="AR3715" s="48"/>
      <c r="AS3715" s="48"/>
      <c r="AT3715" s="48"/>
      <c r="AU3715" s="48"/>
      <c r="AV3715" s="48"/>
      <c r="AW3715" s="48"/>
      <c r="AX3715" s="48"/>
      <c r="AY3715" s="48"/>
      <c r="AZ3715" s="48"/>
      <c r="BA3715" s="48"/>
      <c r="BB3715" s="14"/>
      <c r="BC3715" s="48"/>
      <c r="BD3715" s="48"/>
      <c r="BE3715" s="48"/>
      <c r="BF3715" s="48"/>
      <c r="BG3715" s="48"/>
      <c r="BH3715" s="48"/>
      <c r="BI3715" s="48"/>
      <c r="BJ3715" s="48"/>
      <c r="BK3715" s="48"/>
      <c r="BL3715" s="48"/>
      <c r="BM3715" s="48"/>
      <c r="BN3715" s="48"/>
      <c r="BO3715" s="48"/>
      <c r="BP3715" s="48"/>
      <c r="BQ3715" s="48"/>
      <c r="BR3715" s="48"/>
      <c r="BS3715" s="48"/>
      <c r="BT3715" s="48"/>
      <c r="BU3715" s="48"/>
      <c r="BV3715" s="48"/>
      <c r="BW3715" s="48"/>
      <c r="BX3715" s="48"/>
      <c r="BY3715" s="48"/>
      <c r="BZ3715" s="48"/>
      <c r="CA3715" s="48"/>
      <c r="CB3715" s="48"/>
      <c r="CC3715" s="48"/>
      <c r="CD3715" s="48"/>
      <c r="CE3715" s="48"/>
      <c r="CF3715" s="48"/>
      <c r="CG3715" s="48"/>
      <c r="CH3715" s="48"/>
      <c r="CI3715" s="48"/>
      <c r="CJ3715" s="48"/>
      <c r="CK3715" s="48"/>
      <c r="CL3715" s="48"/>
      <c r="CM3715" s="48"/>
      <c r="CN3715" s="48"/>
      <c r="CO3715" s="48"/>
      <c r="CP3715" s="48"/>
      <c r="CQ3715" s="48"/>
      <c r="CR3715" s="48"/>
      <c r="CS3715" s="48"/>
      <c r="CT3715" s="48"/>
      <c r="CU3715" s="48"/>
      <c r="CV3715" s="48"/>
      <c r="CW3715" s="48"/>
      <c r="CX3715" s="48"/>
      <c r="CY3715" s="48"/>
      <c r="CZ3715" s="48"/>
    </row>
    <row r="3716" spans="27:104" s="4" customFormat="1" x14ac:dyDescent="0.3">
      <c r="AA3716" s="48"/>
      <c r="AB3716" s="48"/>
      <c r="AC3716" s="48"/>
      <c r="AD3716" s="48"/>
      <c r="AE3716" s="48"/>
      <c r="AF3716" s="48"/>
      <c r="AG3716" s="48"/>
      <c r="AH3716" s="48"/>
      <c r="AI3716" s="48"/>
      <c r="AJ3716" s="48"/>
      <c r="AK3716" s="48"/>
      <c r="AL3716" s="48"/>
      <c r="AM3716" s="48"/>
      <c r="AN3716" s="48"/>
      <c r="AO3716" s="48"/>
      <c r="AP3716" s="48"/>
      <c r="AQ3716" s="48"/>
      <c r="AR3716" s="48"/>
      <c r="AS3716" s="48"/>
      <c r="AT3716" s="48"/>
      <c r="AU3716" s="48"/>
      <c r="AV3716" s="48"/>
      <c r="AW3716" s="48"/>
      <c r="AX3716" s="48"/>
      <c r="AY3716" s="48"/>
      <c r="AZ3716" s="48"/>
      <c r="BA3716" s="48"/>
      <c r="BB3716" s="14"/>
      <c r="BC3716" s="48"/>
      <c r="BD3716" s="48"/>
      <c r="BE3716" s="48"/>
      <c r="BF3716" s="48"/>
      <c r="BG3716" s="48"/>
      <c r="BH3716" s="48"/>
      <c r="BI3716" s="48"/>
      <c r="BJ3716" s="48"/>
      <c r="BK3716" s="48"/>
      <c r="BL3716" s="48"/>
      <c r="BM3716" s="48"/>
      <c r="BN3716" s="48"/>
      <c r="BO3716" s="48"/>
      <c r="BP3716" s="48"/>
      <c r="BQ3716" s="48"/>
      <c r="BR3716" s="48"/>
      <c r="BS3716" s="48"/>
      <c r="BT3716" s="48"/>
      <c r="BU3716" s="48"/>
      <c r="BV3716" s="48"/>
      <c r="BW3716" s="48"/>
      <c r="BX3716" s="48"/>
      <c r="BY3716" s="48"/>
      <c r="BZ3716" s="48"/>
      <c r="CA3716" s="48"/>
      <c r="CB3716" s="48"/>
      <c r="CC3716" s="48"/>
      <c r="CD3716" s="48"/>
      <c r="CE3716" s="48"/>
      <c r="CF3716" s="48"/>
      <c r="CG3716" s="48"/>
      <c r="CH3716" s="48"/>
      <c r="CI3716" s="48"/>
      <c r="CJ3716" s="48"/>
      <c r="CK3716" s="48"/>
      <c r="CL3716" s="48"/>
      <c r="CM3716" s="48"/>
      <c r="CN3716" s="48"/>
      <c r="CO3716" s="48"/>
      <c r="CP3716" s="48"/>
      <c r="CQ3716" s="48"/>
      <c r="CR3716" s="48"/>
      <c r="CS3716" s="48"/>
      <c r="CT3716" s="48"/>
      <c r="CU3716" s="48"/>
      <c r="CV3716" s="48"/>
      <c r="CW3716" s="48"/>
      <c r="CX3716" s="48"/>
      <c r="CY3716" s="48"/>
      <c r="CZ3716" s="48"/>
    </row>
    <row r="3717" spans="27:104" s="4" customFormat="1" x14ac:dyDescent="0.3">
      <c r="AA3717" s="48"/>
      <c r="AB3717" s="48"/>
      <c r="AC3717" s="48"/>
      <c r="AD3717" s="48"/>
      <c r="AE3717" s="48"/>
      <c r="AF3717" s="48"/>
      <c r="AG3717" s="48"/>
      <c r="AH3717" s="48"/>
      <c r="AI3717" s="48"/>
      <c r="AJ3717" s="48"/>
      <c r="AK3717" s="48"/>
      <c r="AL3717" s="48"/>
      <c r="AM3717" s="48"/>
      <c r="AN3717" s="48"/>
      <c r="AO3717" s="48"/>
      <c r="AP3717" s="48"/>
      <c r="AQ3717" s="48"/>
      <c r="AR3717" s="48"/>
      <c r="AS3717" s="48"/>
      <c r="AT3717" s="48"/>
      <c r="AU3717" s="48"/>
      <c r="AV3717" s="48"/>
      <c r="AW3717" s="48"/>
      <c r="AX3717" s="48"/>
      <c r="AY3717" s="48"/>
      <c r="AZ3717" s="48"/>
      <c r="BA3717" s="48"/>
      <c r="BB3717" s="14"/>
      <c r="BC3717" s="48"/>
      <c r="BD3717" s="48"/>
      <c r="BE3717" s="48"/>
      <c r="BF3717" s="48"/>
      <c r="BG3717" s="48"/>
      <c r="BH3717" s="48"/>
      <c r="BI3717" s="48"/>
      <c r="BJ3717" s="48"/>
      <c r="BK3717" s="48"/>
      <c r="BL3717" s="48"/>
      <c r="BM3717" s="48"/>
      <c r="BN3717" s="48"/>
      <c r="BO3717" s="48"/>
      <c r="BP3717" s="48"/>
      <c r="BQ3717" s="48"/>
      <c r="BR3717" s="48"/>
      <c r="BS3717" s="48"/>
      <c r="BT3717" s="48"/>
      <c r="BU3717" s="48"/>
      <c r="BV3717" s="48"/>
      <c r="BW3717" s="48"/>
      <c r="BX3717" s="48"/>
      <c r="BY3717" s="48"/>
      <c r="BZ3717" s="48"/>
      <c r="CA3717" s="48"/>
      <c r="CB3717" s="48"/>
      <c r="CC3717" s="48"/>
      <c r="CD3717" s="48"/>
      <c r="CE3717" s="48"/>
      <c r="CF3717" s="48"/>
      <c r="CG3717" s="48"/>
      <c r="CH3717" s="48"/>
      <c r="CI3717" s="48"/>
      <c r="CJ3717" s="48"/>
      <c r="CK3717" s="48"/>
      <c r="CL3717" s="48"/>
      <c r="CM3717" s="48"/>
      <c r="CN3717" s="48"/>
      <c r="CO3717" s="48"/>
      <c r="CP3717" s="48"/>
      <c r="CQ3717" s="48"/>
      <c r="CR3717" s="48"/>
      <c r="CS3717" s="48"/>
      <c r="CT3717" s="48"/>
      <c r="CU3717" s="48"/>
      <c r="CV3717" s="48"/>
      <c r="CW3717" s="48"/>
      <c r="CX3717" s="48"/>
      <c r="CY3717" s="48"/>
      <c r="CZ3717" s="48"/>
    </row>
    <row r="3718" spans="27:104" s="4" customFormat="1" x14ac:dyDescent="0.3">
      <c r="AA3718" s="48"/>
      <c r="AB3718" s="48"/>
      <c r="AC3718" s="48"/>
      <c r="AD3718" s="48"/>
      <c r="AE3718" s="48"/>
      <c r="AF3718" s="48"/>
      <c r="AG3718" s="48"/>
      <c r="AH3718" s="48"/>
      <c r="AI3718" s="48"/>
      <c r="AJ3718" s="48"/>
      <c r="AK3718" s="48"/>
      <c r="AL3718" s="48"/>
      <c r="AM3718" s="48"/>
      <c r="AN3718" s="48"/>
      <c r="AO3718" s="48"/>
      <c r="AP3718" s="48"/>
      <c r="AQ3718" s="48"/>
      <c r="AR3718" s="48"/>
      <c r="AS3718" s="48"/>
      <c r="AT3718" s="48"/>
      <c r="AU3718" s="48"/>
      <c r="AV3718" s="48"/>
      <c r="AW3718" s="48"/>
      <c r="AX3718" s="48"/>
      <c r="AY3718" s="48"/>
      <c r="AZ3718" s="48"/>
      <c r="BA3718" s="48"/>
      <c r="BB3718" s="14"/>
      <c r="BC3718" s="48"/>
      <c r="BD3718" s="48"/>
      <c r="BE3718" s="48"/>
      <c r="BF3718" s="48"/>
      <c r="BG3718" s="48"/>
      <c r="BH3718" s="48"/>
      <c r="BI3718" s="48"/>
      <c r="BJ3718" s="48"/>
      <c r="BK3718" s="48"/>
      <c r="BL3718" s="48"/>
      <c r="BM3718" s="48"/>
      <c r="BN3718" s="48"/>
      <c r="BO3718" s="48"/>
      <c r="BP3718" s="48"/>
      <c r="BQ3718" s="48"/>
      <c r="BR3718" s="48"/>
      <c r="BS3718" s="48"/>
      <c r="BT3718" s="48"/>
      <c r="BU3718" s="48"/>
      <c r="BV3718" s="48"/>
      <c r="BW3718" s="48"/>
      <c r="BX3718" s="48"/>
      <c r="BY3718" s="48"/>
      <c r="BZ3718" s="48"/>
      <c r="CA3718" s="48"/>
      <c r="CB3718" s="48"/>
      <c r="CC3718" s="48"/>
      <c r="CD3718" s="48"/>
      <c r="CE3718" s="48"/>
      <c r="CF3718" s="48"/>
      <c r="CG3718" s="48"/>
      <c r="CH3718" s="48"/>
      <c r="CI3718" s="48"/>
      <c r="CJ3718" s="48"/>
      <c r="CK3718" s="48"/>
      <c r="CL3718" s="48"/>
      <c r="CM3718" s="48"/>
      <c r="CN3718" s="48"/>
      <c r="CO3718" s="48"/>
      <c r="CP3718" s="48"/>
      <c r="CQ3718" s="48"/>
      <c r="CR3718" s="48"/>
      <c r="CS3718" s="48"/>
      <c r="CT3718" s="48"/>
      <c r="CU3718" s="48"/>
      <c r="CV3718" s="48"/>
      <c r="CW3718" s="48"/>
      <c r="CX3718" s="48"/>
      <c r="CY3718" s="48"/>
      <c r="CZ3718" s="48"/>
    </row>
    <row r="3719" spans="27:104" s="4" customFormat="1" x14ac:dyDescent="0.3">
      <c r="AA3719" s="48"/>
      <c r="AB3719" s="48"/>
      <c r="AC3719" s="48"/>
      <c r="AD3719" s="48"/>
      <c r="AE3719" s="48"/>
      <c r="AF3719" s="48"/>
      <c r="AG3719" s="48"/>
      <c r="AH3719" s="48"/>
      <c r="AI3719" s="48"/>
      <c r="AJ3719" s="48"/>
      <c r="AK3719" s="48"/>
      <c r="AL3719" s="48"/>
      <c r="AM3719" s="48"/>
      <c r="AN3719" s="48"/>
      <c r="AO3719" s="48"/>
      <c r="AP3719" s="48"/>
      <c r="AQ3719" s="48"/>
      <c r="AR3719" s="48"/>
      <c r="AS3719" s="48"/>
      <c r="AT3719" s="48"/>
      <c r="AU3719" s="48"/>
      <c r="AV3719" s="48"/>
      <c r="AW3719" s="48"/>
      <c r="AX3719" s="48"/>
      <c r="AY3719" s="48"/>
      <c r="AZ3719" s="48"/>
      <c r="BA3719" s="48"/>
      <c r="BB3719" s="14"/>
      <c r="BC3719" s="48"/>
      <c r="BD3719" s="48"/>
      <c r="BE3719" s="48"/>
      <c r="BF3719" s="48"/>
      <c r="BG3719" s="48"/>
      <c r="BH3719" s="48"/>
      <c r="BI3719" s="48"/>
      <c r="BJ3719" s="48"/>
      <c r="BK3719" s="48"/>
      <c r="BL3719" s="48"/>
      <c r="BM3719" s="48"/>
      <c r="BN3719" s="48"/>
      <c r="BO3719" s="48"/>
      <c r="BP3719" s="48"/>
      <c r="BQ3719" s="48"/>
      <c r="BR3719" s="48"/>
      <c r="BS3719" s="48"/>
      <c r="BT3719" s="48"/>
      <c r="BU3719" s="48"/>
      <c r="BV3719" s="48"/>
      <c r="BW3719" s="48"/>
      <c r="BX3719" s="48"/>
      <c r="BY3719" s="48"/>
      <c r="BZ3719" s="48"/>
      <c r="CA3719" s="48"/>
      <c r="CB3719" s="48"/>
      <c r="CC3719" s="48"/>
      <c r="CD3719" s="48"/>
      <c r="CE3719" s="48"/>
      <c r="CF3719" s="48"/>
      <c r="CG3719" s="48"/>
      <c r="CH3719" s="48"/>
      <c r="CI3719" s="48"/>
      <c r="CJ3719" s="48"/>
      <c r="CK3719" s="48"/>
      <c r="CL3719" s="48"/>
      <c r="CM3719" s="48"/>
      <c r="CN3719" s="48"/>
      <c r="CO3719" s="48"/>
      <c r="CP3719" s="48"/>
      <c r="CQ3719" s="48"/>
      <c r="CR3719" s="48"/>
      <c r="CS3719" s="48"/>
      <c r="CT3719" s="48"/>
      <c r="CU3719" s="48"/>
      <c r="CV3719" s="48"/>
      <c r="CW3719" s="48"/>
      <c r="CX3719" s="48"/>
      <c r="CY3719" s="48"/>
      <c r="CZ3719" s="48"/>
    </row>
    <row r="3720" spans="27:104" s="4" customFormat="1" x14ac:dyDescent="0.3">
      <c r="AA3720" s="48"/>
      <c r="AB3720" s="48"/>
      <c r="AC3720" s="48"/>
      <c r="AD3720" s="48"/>
      <c r="AE3720" s="48"/>
      <c r="AF3720" s="48"/>
      <c r="AG3720" s="48"/>
      <c r="AH3720" s="48"/>
      <c r="AI3720" s="48"/>
      <c r="AJ3720" s="48"/>
      <c r="AK3720" s="48"/>
      <c r="AL3720" s="48"/>
      <c r="AM3720" s="48"/>
      <c r="AN3720" s="48"/>
      <c r="AO3720" s="48"/>
      <c r="AP3720" s="48"/>
      <c r="AQ3720" s="48"/>
      <c r="AR3720" s="48"/>
      <c r="AS3720" s="48"/>
      <c r="AT3720" s="48"/>
      <c r="AU3720" s="48"/>
      <c r="AV3720" s="48"/>
      <c r="AW3720" s="48"/>
      <c r="AX3720" s="48"/>
      <c r="AY3720" s="48"/>
      <c r="AZ3720" s="48"/>
      <c r="BA3720" s="48"/>
      <c r="BB3720" s="14"/>
      <c r="BC3720" s="48"/>
      <c r="BD3720" s="48"/>
      <c r="BE3720" s="48"/>
      <c r="BF3720" s="48"/>
      <c r="BG3720" s="48"/>
      <c r="BH3720" s="48"/>
      <c r="BI3720" s="48"/>
      <c r="BJ3720" s="48"/>
      <c r="BK3720" s="48"/>
      <c r="BL3720" s="48"/>
      <c r="BM3720" s="48"/>
      <c r="BN3720" s="48"/>
      <c r="BO3720" s="48"/>
      <c r="BP3720" s="48"/>
      <c r="BQ3720" s="48"/>
      <c r="BR3720" s="48"/>
      <c r="BS3720" s="48"/>
      <c r="BT3720" s="48"/>
      <c r="BU3720" s="48"/>
      <c r="BV3720" s="48"/>
      <c r="BW3720" s="48"/>
      <c r="BX3720" s="48"/>
      <c r="BY3720" s="48"/>
      <c r="BZ3720" s="48"/>
      <c r="CA3720" s="48"/>
      <c r="CB3720" s="48"/>
      <c r="CC3720" s="48"/>
      <c r="CD3720" s="48"/>
      <c r="CE3720" s="48"/>
      <c r="CF3720" s="48"/>
      <c r="CG3720" s="48"/>
      <c r="CH3720" s="48"/>
      <c r="CI3720" s="48"/>
      <c r="CJ3720" s="48"/>
      <c r="CK3720" s="48"/>
      <c r="CL3720" s="48"/>
      <c r="CM3720" s="48"/>
      <c r="CN3720" s="48"/>
      <c r="CO3720" s="48"/>
      <c r="CP3720" s="48"/>
      <c r="CQ3720" s="48"/>
      <c r="CR3720" s="48"/>
      <c r="CS3720" s="48"/>
      <c r="CT3720" s="48"/>
      <c r="CU3720" s="48"/>
      <c r="CV3720" s="48"/>
      <c r="CW3720" s="48"/>
      <c r="CX3720" s="48"/>
      <c r="CY3720" s="48"/>
      <c r="CZ3720" s="48"/>
    </row>
    <row r="3721" spans="27:104" s="4" customFormat="1" x14ac:dyDescent="0.3">
      <c r="AA3721" s="48"/>
      <c r="AB3721" s="48"/>
      <c r="AC3721" s="48"/>
      <c r="AD3721" s="48"/>
      <c r="AE3721" s="48"/>
      <c r="AF3721" s="48"/>
      <c r="AG3721" s="48"/>
      <c r="AH3721" s="48"/>
      <c r="AI3721" s="48"/>
      <c r="AJ3721" s="48"/>
      <c r="AK3721" s="48"/>
      <c r="AL3721" s="48"/>
      <c r="AM3721" s="48"/>
      <c r="AN3721" s="48"/>
      <c r="AO3721" s="48"/>
      <c r="AP3721" s="48"/>
      <c r="AQ3721" s="48"/>
      <c r="AR3721" s="48"/>
      <c r="AS3721" s="48"/>
      <c r="AT3721" s="48"/>
      <c r="AU3721" s="48"/>
      <c r="AV3721" s="48"/>
      <c r="AW3721" s="48"/>
      <c r="AX3721" s="48"/>
      <c r="AY3721" s="48"/>
      <c r="AZ3721" s="48"/>
      <c r="BA3721" s="48"/>
      <c r="BB3721" s="14"/>
      <c r="BC3721" s="48"/>
      <c r="BD3721" s="48"/>
      <c r="BE3721" s="48"/>
      <c r="BF3721" s="48"/>
      <c r="BG3721" s="48"/>
      <c r="BH3721" s="48"/>
      <c r="BI3721" s="48"/>
      <c r="BJ3721" s="48"/>
      <c r="BK3721" s="48"/>
      <c r="BL3721" s="48"/>
      <c r="BM3721" s="48"/>
      <c r="BN3721" s="48"/>
      <c r="BO3721" s="48"/>
      <c r="BP3721" s="48"/>
      <c r="BQ3721" s="48"/>
      <c r="BR3721" s="48"/>
      <c r="BS3721" s="48"/>
      <c r="BT3721" s="48"/>
      <c r="BU3721" s="48"/>
      <c r="BV3721" s="48"/>
      <c r="BW3721" s="48"/>
      <c r="BX3721" s="48"/>
      <c r="BY3721" s="48"/>
      <c r="BZ3721" s="48"/>
      <c r="CA3721" s="48"/>
      <c r="CB3721" s="48"/>
      <c r="CC3721" s="48"/>
      <c r="CD3721" s="48"/>
      <c r="CE3721" s="48"/>
      <c r="CF3721" s="48"/>
      <c r="CG3721" s="48"/>
      <c r="CH3721" s="48"/>
      <c r="CI3721" s="48"/>
      <c r="CJ3721" s="48"/>
      <c r="CK3721" s="48"/>
      <c r="CL3721" s="48"/>
      <c r="CM3721" s="48"/>
      <c r="CN3721" s="48"/>
      <c r="CO3721" s="48"/>
      <c r="CP3721" s="48"/>
      <c r="CQ3721" s="48"/>
      <c r="CR3721" s="48"/>
      <c r="CS3721" s="48"/>
      <c r="CT3721" s="48"/>
      <c r="CU3721" s="48"/>
      <c r="CV3721" s="48"/>
      <c r="CW3721" s="48"/>
      <c r="CX3721" s="48"/>
      <c r="CY3721" s="48"/>
      <c r="CZ3721" s="48"/>
    </row>
    <row r="3722" spans="27:104" s="4" customFormat="1" x14ac:dyDescent="0.3">
      <c r="AA3722" s="48"/>
      <c r="AB3722" s="48"/>
      <c r="AC3722" s="48"/>
      <c r="AD3722" s="48"/>
      <c r="AE3722" s="48"/>
      <c r="AF3722" s="48"/>
      <c r="AG3722" s="48"/>
      <c r="AH3722" s="48"/>
      <c r="AI3722" s="48"/>
      <c r="AJ3722" s="48"/>
      <c r="AK3722" s="48"/>
      <c r="AL3722" s="48"/>
      <c r="AM3722" s="48"/>
      <c r="AN3722" s="48"/>
      <c r="AO3722" s="48"/>
      <c r="AP3722" s="48"/>
      <c r="AQ3722" s="48"/>
      <c r="AR3722" s="48"/>
      <c r="AS3722" s="48"/>
      <c r="AT3722" s="48"/>
      <c r="AU3722" s="48"/>
      <c r="AV3722" s="48"/>
      <c r="AW3722" s="48"/>
      <c r="AX3722" s="48"/>
      <c r="AY3722" s="48"/>
      <c r="AZ3722" s="48"/>
      <c r="BA3722" s="48"/>
      <c r="BB3722" s="14"/>
      <c r="BC3722" s="48"/>
      <c r="BD3722" s="48"/>
      <c r="BE3722" s="48"/>
      <c r="BF3722" s="48"/>
      <c r="BG3722" s="48"/>
      <c r="BH3722" s="48"/>
      <c r="BI3722" s="48"/>
      <c r="BJ3722" s="48"/>
      <c r="BK3722" s="48"/>
      <c r="BL3722" s="48"/>
      <c r="BM3722" s="48"/>
      <c r="BN3722" s="48"/>
      <c r="BO3722" s="48"/>
      <c r="BP3722" s="48"/>
      <c r="BQ3722" s="48"/>
      <c r="BR3722" s="48"/>
      <c r="BS3722" s="48"/>
      <c r="BT3722" s="48"/>
      <c r="BU3722" s="48"/>
      <c r="BV3722" s="48"/>
      <c r="BW3722" s="48"/>
      <c r="BX3722" s="48"/>
      <c r="BY3722" s="48"/>
      <c r="BZ3722" s="48"/>
      <c r="CA3722" s="48"/>
      <c r="CB3722" s="48"/>
      <c r="CC3722" s="48"/>
      <c r="CD3722" s="48"/>
      <c r="CE3722" s="48"/>
      <c r="CF3722" s="48"/>
      <c r="CG3722" s="48"/>
      <c r="CH3722" s="48"/>
      <c r="CI3722" s="48"/>
      <c r="CJ3722" s="48"/>
      <c r="CK3722" s="48"/>
      <c r="CL3722" s="48"/>
      <c r="CM3722" s="48"/>
      <c r="CN3722" s="48"/>
      <c r="CO3722" s="48"/>
      <c r="CP3722" s="48"/>
      <c r="CQ3722" s="48"/>
      <c r="CR3722" s="48"/>
      <c r="CS3722" s="48"/>
      <c r="CT3722" s="48"/>
      <c r="CU3722" s="48"/>
      <c r="CV3722" s="48"/>
      <c r="CW3722" s="48"/>
      <c r="CX3722" s="48"/>
      <c r="CY3722" s="48"/>
      <c r="CZ3722" s="48"/>
    </row>
    <row r="3723" spans="27:104" s="4" customFormat="1" x14ac:dyDescent="0.3">
      <c r="AA3723" s="48"/>
      <c r="AB3723" s="48"/>
      <c r="AC3723" s="48"/>
      <c r="AD3723" s="48"/>
      <c r="AE3723" s="48"/>
      <c r="AF3723" s="48"/>
      <c r="AG3723" s="48"/>
      <c r="AH3723" s="48"/>
      <c r="AI3723" s="48"/>
      <c r="AJ3723" s="48"/>
      <c r="AK3723" s="48"/>
      <c r="AL3723" s="48"/>
      <c r="AM3723" s="48"/>
      <c r="AN3723" s="48"/>
      <c r="AO3723" s="48"/>
      <c r="AP3723" s="48"/>
      <c r="AQ3723" s="48"/>
      <c r="AR3723" s="48"/>
      <c r="AS3723" s="48"/>
      <c r="AT3723" s="48"/>
      <c r="AU3723" s="48"/>
      <c r="AV3723" s="48"/>
      <c r="AW3723" s="48"/>
      <c r="AX3723" s="48"/>
      <c r="AY3723" s="48"/>
      <c r="AZ3723" s="48"/>
      <c r="BA3723" s="48"/>
      <c r="BB3723" s="14"/>
      <c r="BC3723" s="48"/>
      <c r="BD3723" s="48"/>
      <c r="BE3723" s="48"/>
      <c r="BF3723" s="48"/>
      <c r="BG3723" s="48"/>
      <c r="BH3723" s="48"/>
      <c r="BI3723" s="48"/>
      <c r="BJ3723" s="48"/>
      <c r="BK3723" s="48"/>
      <c r="BL3723" s="48"/>
      <c r="BM3723" s="48"/>
      <c r="BN3723" s="48"/>
      <c r="BO3723" s="48"/>
      <c r="BP3723" s="48"/>
      <c r="BQ3723" s="48"/>
      <c r="BR3723" s="48"/>
      <c r="BS3723" s="48"/>
      <c r="BT3723" s="48"/>
      <c r="BU3723" s="48"/>
      <c r="BV3723" s="48"/>
      <c r="BW3723" s="48"/>
      <c r="BX3723" s="48"/>
      <c r="BY3723" s="48"/>
      <c r="BZ3723" s="48"/>
      <c r="CA3723" s="48"/>
      <c r="CB3723" s="48"/>
      <c r="CC3723" s="48"/>
      <c r="CD3723" s="48"/>
      <c r="CE3723" s="48"/>
      <c r="CF3723" s="48"/>
      <c r="CG3723" s="48"/>
      <c r="CH3723" s="48"/>
      <c r="CI3723" s="48"/>
      <c r="CJ3723" s="48"/>
      <c r="CK3723" s="48"/>
      <c r="CL3723" s="48"/>
      <c r="CM3723" s="48"/>
      <c r="CN3723" s="48"/>
      <c r="CO3723" s="48"/>
      <c r="CP3723" s="48"/>
      <c r="CQ3723" s="48"/>
      <c r="CR3723" s="48"/>
      <c r="CS3723" s="48"/>
      <c r="CT3723" s="48"/>
      <c r="CU3723" s="48"/>
      <c r="CV3723" s="48"/>
      <c r="CW3723" s="48"/>
      <c r="CX3723" s="48"/>
      <c r="CY3723" s="48"/>
      <c r="CZ3723" s="48"/>
    </row>
    <row r="3724" spans="27:104" s="4" customFormat="1" x14ac:dyDescent="0.3">
      <c r="AA3724" s="48"/>
      <c r="AB3724" s="48"/>
      <c r="AC3724" s="48"/>
      <c r="AD3724" s="48"/>
      <c r="AE3724" s="48"/>
      <c r="AF3724" s="48"/>
      <c r="AG3724" s="48"/>
      <c r="AH3724" s="48"/>
      <c r="AI3724" s="48"/>
      <c r="AJ3724" s="48"/>
      <c r="AK3724" s="48"/>
      <c r="AL3724" s="48"/>
      <c r="AM3724" s="48"/>
      <c r="AN3724" s="48"/>
      <c r="AO3724" s="48"/>
      <c r="AP3724" s="48"/>
      <c r="AQ3724" s="48"/>
      <c r="AR3724" s="48"/>
      <c r="AS3724" s="48"/>
      <c r="AT3724" s="48"/>
      <c r="AU3724" s="48"/>
      <c r="AV3724" s="48"/>
      <c r="AW3724" s="48"/>
      <c r="AX3724" s="48"/>
      <c r="AY3724" s="48"/>
      <c r="AZ3724" s="48"/>
      <c r="BA3724" s="48"/>
      <c r="BB3724" s="14"/>
      <c r="BC3724" s="48"/>
      <c r="BD3724" s="48"/>
      <c r="BE3724" s="48"/>
      <c r="BF3724" s="48"/>
      <c r="BG3724" s="48"/>
      <c r="BH3724" s="48"/>
      <c r="BI3724" s="48"/>
      <c r="BJ3724" s="48"/>
      <c r="BK3724" s="48"/>
      <c r="BL3724" s="48"/>
      <c r="BM3724" s="48"/>
      <c r="BN3724" s="48"/>
      <c r="BO3724" s="48"/>
      <c r="BP3724" s="48"/>
      <c r="BQ3724" s="48"/>
      <c r="BR3724" s="48"/>
      <c r="BS3724" s="48"/>
      <c r="BT3724" s="48"/>
      <c r="BU3724" s="48"/>
      <c r="BV3724" s="48"/>
      <c r="BW3724" s="48"/>
      <c r="BX3724" s="48"/>
      <c r="BY3724" s="48"/>
      <c r="BZ3724" s="48"/>
      <c r="CA3724" s="48"/>
      <c r="CB3724" s="48"/>
      <c r="CC3724" s="48"/>
      <c r="CD3724" s="48"/>
      <c r="CE3724" s="48"/>
      <c r="CF3724" s="48"/>
      <c r="CG3724" s="48"/>
      <c r="CH3724" s="48"/>
      <c r="CI3724" s="48"/>
      <c r="CJ3724" s="48"/>
      <c r="CK3724" s="48"/>
      <c r="CL3724" s="48"/>
      <c r="CM3724" s="48"/>
      <c r="CN3724" s="48"/>
      <c r="CO3724" s="48"/>
      <c r="CP3724" s="48"/>
      <c r="CQ3724" s="48"/>
      <c r="CR3724" s="48"/>
      <c r="CS3724" s="48"/>
      <c r="CT3724" s="48"/>
      <c r="CU3724" s="48"/>
      <c r="CV3724" s="48"/>
      <c r="CW3724" s="48"/>
      <c r="CX3724" s="48"/>
      <c r="CY3724" s="48"/>
      <c r="CZ3724" s="48"/>
    </row>
    <row r="3725" spans="27:104" s="4" customFormat="1" x14ac:dyDescent="0.3">
      <c r="AA3725" s="48"/>
      <c r="AB3725" s="48"/>
      <c r="AC3725" s="48"/>
      <c r="AD3725" s="48"/>
      <c r="AE3725" s="48"/>
      <c r="AF3725" s="48"/>
      <c r="AG3725" s="48"/>
      <c r="AH3725" s="48"/>
      <c r="AI3725" s="48"/>
      <c r="AJ3725" s="48"/>
      <c r="AK3725" s="48"/>
      <c r="AL3725" s="48"/>
      <c r="AM3725" s="48"/>
      <c r="AN3725" s="48"/>
      <c r="AO3725" s="48"/>
      <c r="AP3725" s="48"/>
      <c r="AQ3725" s="48"/>
      <c r="AR3725" s="48"/>
      <c r="AS3725" s="48"/>
      <c r="AT3725" s="48"/>
      <c r="AU3725" s="48"/>
      <c r="AV3725" s="48"/>
      <c r="AW3725" s="48"/>
      <c r="AX3725" s="48"/>
      <c r="AY3725" s="48"/>
      <c r="AZ3725" s="48"/>
      <c r="BA3725" s="48"/>
      <c r="BB3725" s="14"/>
      <c r="BC3725" s="48"/>
      <c r="BD3725" s="48"/>
      <c r="BE3725" s="48"/>
      <c r="BF3725" s="48"/>
      <c r="BG3725" s="48"/>
      <c r="BH3725" s="48"/>
      <c r="BI3725" s="48"/>
      <c r="BJ3725" s="48"/>
      <c r="BK3725" s="48"/>
      <c r="BL3725" s="48"/>
      <c r="BM3725" s="48"/>
      <c r="BN3725" s="48"/>
      <c r="BO3725" s="48"/>
      <c r="BP3725" s="48"/>
      <c r="BQ3725" s="48"/>
      <c r="BR3725" s="48"/>
      <c r="BS3725" s="48"/>
      <c r="BT3725" s="48"/>
      <c r="BU3725" s="48"/>
      <c r="BV3725" s="48"/>
      <c r="BW3725" s="48"/>
      <c r="BX3725" s="48"/>
      <c r="BY3725" s="48"/>
      <c r="BZ3725" s="48"/>
      <c r="CA3725" s="48"/>
      <c r="CB3725" s="48"/>
      <c r="CC3725" s="48"/>
      <c r="CD3725" s="48"/>
      <c r="CE3725" s="48"/>
      <c r="CF3725" s="48"/>
      <c r="CG3725" s="48"/>
      <c r="CH3725" s="48"/>
      <c r="CI3725" s="48"/>
      <c r="CJ3725" s="48"/>
      <c r="CK3725" s="48"/>
      <c r="CL3725" s="48"/>
      <c r="CM3725" s="48"/>
      <c r="CN3725" s="48"/>
      <c r="CO3725" s="48"/>
      <c r="CP3725" s="48"/>
      <c r="CQ3725" s="48"/>
      <c r="CR3725" s="48"/>
      <c r="CS3725" s="48"/>
      <c r="CT3725" s="48"/>
      <c r="CU3725" s="48"/>
      <c r="CV3725" s="48"/>
      <c r="CW3725" s="48"/>
      <c r="CX3725" s="48"/>
      <c r="CY3725" s="48"/>
      <c r="CZ3725" s="48"/>
    </row>
    <row r="3726" spans="27:104" s="4" customFormat="1" x14ac:dyDescent="0.3">
      <c r="AA3726" s="48"/>
      <c r="AB3726" s="48"/>
      <c r="AC3726" s="48"/>
      <c r="AD3726" s="48"/>
      <c r="AE3726" s="48"/>
      <c r="AF3726" s="48"/>
      <c r="AG3726" s="48"/>
      <c r="AH3726" s="48"/>
      <c r="AI3726" s="48"/>
      <c r="AJ3726" s="48"/>
      <c r="AK3726" s="48"/>
      <c r="AL3726" s="48"/>
      <c r="AM3726" s="48"/>
      <c r="AN3726" s="48"/>
      <c r="AO3726" s="48"/>
      <c r="AP3726" s="48"/>
      <c r="AQ3726" s="48"/>
      <c r="AR3726" s="48"/>
      <c r="AS3726" s="48"/>
      <c r="AT3726" s="48"/>
      <c r="AU3726" s="48"/>
      <c r="AV3726" s="48"/>
      <c r="AW3726" s="48"/>
      <c r="AX3726" s="48"/>
      <c r="AY3726" s="48"/>
      <c r="AZ3726" s="48"/>
      <c r="BA3726" s="48"/>
      <c r="BB3726" s="14"/>
      <c r="BC3726" s="48"/>
      <c r="BD3726" s="48"/>
      <c r="BE3726" s="48"/>
      <c r="BF3726" s="48"/>
      <c r="BG3726" s="48"/>
      <c r="BH3726" s="48"/>
      <c r="BI3726" s="48"/>
      <c r="BJ3726" s="48"/>
      <c r="BK3726" s="48"/>
      <c r="BL3726" s="48"/>
      <c r="BM3726" s="48"/>
      <c r="BN3726" s="48"/>
      <c r="BO3726" s="48"/>
      <c r="BP3726" s="48"/>
      <c r="BQ3726" s="48"/>
      <c r="BR3726" s="48"/>
      <c r="BS3726" s="48"/>
      <c r="BT3726" s="48"/>
      <c r="BU3726" s="48"/>
      <c r="BV3726" s="48"/>
      <c r="BW3726" s="48"/>
      <c r="BX3726" s="48"/>
      <c r="BY3726" s="48"/>
      <c r="BZ3726" s="48"/>
      <c r="CA3726" s="48"/>
      <c r="CB3726" s="48"/>
      <c r="CC3726" s="48"/>
      <c r="CD3726" s="48"/>
      <c r="CE3726" s="48"/>
      <c r="CF3726" s="48"/>
      <c r="CG3726" s="48"/>
      <c r="CH3726" s="48"/>
      <c r="CI3726" s="48"/>
      <c r="CJ3726" s="48"/>
      <c r="CK3726" s="48"/>
      <c r="CL3726" s="48"/>
      <c r="CM3726" s="48"/>
      <c r="CN3726" s="48"/>
      <c r="CO3726" s="48"/>
      <c r="CP3726" s="48"/>
      <c r="CQ3726" s="48"/>
      <c r="CR3726" s="48"/>
      <c r="CS3726" s="48"/>
      <c r="CT3726" s="48"/>
      <c r="CU3726" s="48"/>
      <c r="CV3726" s="48"/>
      <c r="CW3726" s="48"/>
      <c r="CX3726" s="48"/>
      <c r="CY3726" s="48"/>
      <c r="CZ3726" s="48"/>
    </row>
    <row r="3727" spans="27:104" s="4" customFormat="1" x14ac:dyDescent="0.3">
      <c r="AA3727" s="48"/>
      <c r="AB3727" s="48"/>
      <c r="AC3727" s="48"/>
      <c r="AD3727" s="48"/>
      <c r="AE3727" s="48"/>
      <c r="AF3727" s="48"/>
      <c r="AG3727" s="48"/>
      <c r="AH3727" s="48"/>
      <c r="AI3727" s="48"/>
      <c r="AJ3727" s="48"/>
      <c r="AK3727" s="48"/>
      <c r="AL3727" s="48"/>
      <c r="AM3727" s="48"/>
      <c r="AN3727" s="48"/>
      <c r="AO3727" s="48"/>
      <c r="AP3727" s="48"/>
      <c r="AQ3727" s="48"/>
      <c r="AR3727" s="48"/>
      <c r="AS3727" s="48"/>
      <c r="AT3727" s="48"/>
      <c r="AU3727" s="48"/>
      <c r="AV3727" s="48"/>
      <c r="AW3727" s="48"/>
      <c r="AX3727" s="48"/>
      <c r="AY3727" s="48"/>
      <c r="AZ3727" s="48"/>
      <c r="BA3727" s="48"/>
      <c r="BB3727" s="14"/>
      <c r="BC3727" s="48"/>
      <c r="BD3727" s="48"/>
      <c r="BE3727" s="48"/>
      <c r="BF3727" s="48"/>
      <c r="BG3727" s="48"/>
      <c r="BH3727" s="48"/>
      <c r="BI3727" s="48"/>
      <c r="BJ3727" s="48"/>
      <c r="BK3727" s="48"/>
      <c r="BL3727" s="48"/>
      <c r="BM3727" s="48"/>
      <c r="BN3727" s="48"/>
      <c r="BO3727" s="48"/>
      <c r="BP3727" s="48"/>
      <c r="BQ3727" s="48"/>
      <c r="BR3727" s="48"/>
      <c r="BS3727" s="48"/>
      <c r="BT3727" s="48"/>
      <c r="BU3727" s="48"/>
      <c r="BV3727" s="48"/>
      <c r="BW3727" s="48"/>
      <c r="BX3727" s="48"/>
      <c r="BY3727" s="48"/>
      <c r="BZ3727" s="48"/>
      <c r="CA3727" s="48"/>
      <c r="CB3727" s="48"/>
      <c r="CC3727" s="48"/>
      <c r="CD3727" s="48"/>
      <c r="CE3727" s="48"/>
      <c r="CF3727" s="48"/>
      <c r="CG3727" s="48"/>
      <c r="CH3727" s="48"/>
      <c r="CI3727" s="48"/>
      <c r="CJ3727" s="48"/>
      <c r="CK3727" s="48"/>
      <c r="CL3727" s="48"/>
      <c r="CM3727" s="48"/>
      <c r="CN3727" s="48"/>
      <c r="CO3727" s="48"/>
      <c r="CP3727" s="48"/>
      <c r="CQ3727" s="48"/>
      <c r="CR3727" s="48"/>
      <c r="CS3727" s="48"/>
      <c r="CT3727" s="48"/>
      <c r="CU3727" s="48"/>
      <c r="CV3727" s="48"/>
      <c r="CW3727" s="48"/>
      <c r="CX3727" s="48"/>
      <c r="CY3727" s="48"/>
      <c r="CZ3727" s="48"/>
    </row>
    <row r="3728" spans="27:104" s="4" customFormat="1" x14ac:dyDescent="0.3">
      <c r="AA3728" s="48"/>
      <c r="AB3728" s="48"/>
      <c r="AC3728" s="48"/>
      <c r="AD3728" s="48"/>
      <c r="AE3728" s="48"/>
      <c r="AF3728" s="48"/>
      <c r="AG3728" s="48"/>
      <c r="AH3728" s="48"/>
      <c r="AI3728" s="48"/>
      <c r="AJ3728" s="48"/>
      <c r="AK3728" s="48"/>
      <c r="AL3728" s="48"/>
      <c r="AM3728" s="48"/>
      <c r="AN3728" s="48"/>
      <c r="AO3728" s="48"/>
      <c r="AP3728" s="48"/>
      <c r="AQ3728" s="48"/>
      <c r="AR3728" s="48"/>
      <c r="AS3728" s="48"/>
      <c r="AT3728" s="48"/>
      <c r="AU3728" s="48"/>
      <c r="AV3728" s="48"/>
      <c r="AW3728" s="48"/>
      <c r="AX3728" s="48"/>
      <c r="AY3728" s="48"/>
      <c r="AZ3728" s="48"/>
      <c r="BA3728" s="48"/>
      <c r="BB3728" s="14"/>
      <c r="BC3728" s="48"/>
      <c r="BD3728" s="48"/>
      <c r="BE3728" s="48"/>
      <c r="BF3728" s="48"/>
      <c r="BG3728" s="48"/>
      <c r="BH3728" s="48"/>
      <c r="BI3728" s="48"/>
      <c r="BJ3728" s="48"/>
      <c r="BK3728" s="48"/>
      <c r="BL3728" s="48"/>
      <c r="BM3728" s="48"/>
      <c r="BN3728" s="48"/>
      <c r="BO3728" s="48"/>
      <c r="BP3728" s="48"/>
      <c r="BQ3728" s="48"/>
      <c r="BR3728" s="48"/>
      <c r="BS3728" s="48"/>
      <c r="BT3728" s="48"/>
      <c r="BU3728" s="48"/>
      <c r="BV3728" s="48"/>
      <c r="BW3728" s="48"/>
      <c r="BX3728" s="48"/>
      <c r="BY3728" s="48"/>
      <c r="BZ3728" s="48"/>
      <c r="CA3728" s="48"/>
      <c r="CB3728" s="48"/>
      <c r="CC3728" s="48"/>
      <c r="CD3728" s="48"/>
      <c r="CE3728" s="48"/>
      <c r="CF3728" s="48"/>
      <c r="CG3728" s="48"/>
      <c r="CH3728" s="48"/>
      <c r="CI3728" s="48"/>
      <c r="CJ3728" s="48"/>
      <c r="CK3728" s="48"/>
      <c r="CL3728" s="48"/>
      <c r="CM3728" s="48"/>
      <c r="CN3728" s="48"/>
      <c r="CO3728" s="48"/>
      <c r="CP3728" s="48"/>
      <c r="CQ3728" s="48"/>
      <c r="CR3728" s="48"/>
      <c r="CS3728" s="48"/>
      <c r="CT3728" s="48"/>
      <c r="CU3728" s="48"/>
      <c r="CV3728" s="48"/>
      <c r="CW3728" s="48"/>
      <c r="CX3728" s="48"/>
      <c r="CY3728" s="48"/>
      <c r="CZ3728" s="48"/>
    </row>
    <row r="3729" spans="27:104" s="4" customFormat="1" x14ac:dyDescent="0.3">
      <c r="AA3729" s="48"/>
      <c r="AB3729" s="48"/>
      <c r="AC3729" s="48"/>
      <c r="AD3729" s="48"/>
      <c r="AE3729" s="48"/>
      <c r="AF3729" s="48"/>
      <c r="AG3729" s="48"/>
      <c r="AH3729" s="48"/>
      <c r="AI3729" s="48"/>
      <c r="AJ3729" s="48"/>
      <c r="AK3729" s="48"/>
      <c r="AL3729" s="48"/>
      <c r="AM3729" s="48"/>
      <c r="AN3729" s="48"/>
      <c r="AO3729" s="48"/>
      <c r="AP3729" s="48"/>
      <c r="AQ3729" s="48"/>
      <c r="AR3729" s="48"/>
      <c r="AS3729" s="48"/>
      <c r="AT3729" s="48"/>
      <c r="AU3729" s="48"/>
      <c r="AV3729" s="48"/>
      <c r="AW3729" s="48"/>
      <c r="AX3729" s="48"/>
      <c r="AY3729" s="48"/>
      <c r="AZ3729" s="48"/>
      <c r="BA3729" s="48"/>
      <c r="BB3729" s="14"/>
      <c r="BC3729" s="48"/>
      <c r="BD3729" s="48"/>
      <c r="BE3729" s="48"/>
      <c r="BF3729" s="48"/>
      <c r="BG3729" s="48"/>
      <c r="BH3729" s="48"/>
      <c r="BI3729" s="48"/>
      <c r="BJ3729" s="48"/>
      <c r="BK3729" s="48"/>
      <c r="BL3729" s="48"/>
      <c r="BM3729" s="48"/>
      <c r="BN3729" s="48"/>
      <c r="BO3729" s="48"/>
      <c r="BP3729" s="48"/>
      <c r="BQ3729" s="48"/>
      <c r="BR3729" s="48"/>
      <c r="BS3729" s="48"/>
      <c r="BT3729" s="48"/>
      <c r="BU3729" s="48"/>
      <c r="BV3729" s="48"/>
      <c r="BW3729" s="48"/>
      <c r="BX3729" s="48"/>
      <c r="BY3729" s="48"/>
      <c r="BZ3729" s="48"/>
      <c r="CA3729" s="48"/>
      <c r="CB3729" s="48"/>
      <c r="CC3729" s="48"/>
      <c r="CD3729" s="48"/>
      <c r="CE3729" s="48"/>
      <c r="CF3729" s="48"/>
      <c r="CG3729" s="48"/>
      <c r="CH3729" s="48"/>
      <c r="CI3729" s="48"/>
      <c r="CJ3729" s="48"/>
      <c r="CK3729" s="48"/>
      <c r="CL3729" s="48"/>
      <c r="CM3729" s="48"/>
      <c r="CN3729" s="48"/>
      <c r="CO3729" s="48"/>
      <c r="CP3729" s="48"/>
      <c r="CQ3729" s="48"/>
      <c r="CR3729" s="48"/>
      <c r="CS3729" s="48"/>
      <c r="CT3729" s="48"/>
      <c r="CU3729" s="48"/>
      <c r="CV3729" s="48"/>
      <c r="CW3729" s="48"/>
      <c r="CX3729" s="48"/>
      <c r="CY3729" s="48"/>
      <c r="CZ3729" s="48"/>
    </row>
    <row r="3730" spans="27:104" s="4" customFormat="1" x14ac:dyDescent="0.3">
      <c r="AA3730" s="48"/>
      <c r="AB3730" s="48"/>
      <c r="AC3730" s="48"/>
      <c r="AD3730" s="48"/>
      <c r="AE3730" s="48"/>
      <c r="AF3730" s="48"/>
      <c r="AG3730" s="48"/>
      <c r="AH3730" s="48"/>
      <c r="AI3730" s="48"/>
      <c r="AJ3730" s="48"/>
      <c r="AK3730" s="48"/>
      <c r="AL3730" s="48"/>
      <c r="AM3730" s="48"/>
      <c r="AN3730" s="48"/>
      <c r="AO3730" s="48"/>
      <c r="AP3730" s="48"/>
      <c r="AQ3730" s="48"/>
      <c r="AR3730" s="48"/>
      <c r="AS3730" s="48"/>
      <c r="AT3730" s="48"/>
      <c r="AU3730" s="48"/>
      <c r="AV3730" s="48"/>
      <c r="AW3730" s="48"/>
      <c r="AX3730" s="48"/>
      <c r="AY3730" s="48"/>
      <c r="AZ3730" s="48"/>
      <c r="BA3730" s="48"/>
      <c r="BB3730" s="14"/>
      <c r="BC3730" s="48"/>
      <c r="BD3730" s="48"/>
      <c r="BE3730" s="48"/>
      <c r="BF3730" s="48"/>
      <c r="BG3730" s="48"/>
      <c r="BH3730" s="48"/>
      <c r="BI3730" s="48"/>
      <c r="BJ3730" s="48"/>
      <c r="BK3730" s="48"/>
      <c r="BL3730" s="48"/>
      <c r="BM3730" s="48"/>
      <c r="BN3730" s="48"/>
      <c r="BO3730" s="48"/>
      <c r="BP3730" s="48"/>
      <c r="BQ3730" s="48"/>
      <c r="BR3730" s="48"/>
      <c r="BS3730" s="48"/>
      <c r="BT3730" s="48"/>
      <c r="BU3730" s="48"/>
      <c r="BV3730" s="48"/>
      <c r="BW3730" s="48"/>
      <c r="BX3730" s="48"/>
      <c r="BY3730" s="48"/>
      <c r="BZ3730" s="48"/>
      <c r="CA3730" s="48"/>
      <c r="CB3730" s="48"/>
      <c r="CC3730" s="48"/>
      <c r="CD3730" s="48"/>
      <c r="CE3730" s="48"/>
      <c r="CF3730" s="48"/>
      <c r="CG3730" s="48"/>
      <c r="CH3730" s="48"/>
      <c r="CI3730" s="48"/>
      <c r="CJ3730" s="48"/>
      <c r="CK3730" s="48"/>
      <c r="CL3730" s="48"/>
      <c r="CM3730" s="48"/>
      <c r="CN3730" s="48"/>
      <c r="CO3730" s="48"/>
      <c r="CP3730" s="48"/>
      <c r="CQ3730" s="48"/>
      <c r="CR3730" s="48"/>
      <c r="CS3730" s="48"/>
      <c r="CT3730" s="48"/>
      <c r="CU3730" s="48"/>
      <c r="CV3730" s="48"/>
      <c r="CW3730" s="48"/>
      <c r="CX3730" s="48"/>
      <c r="CY3730" s="48"/>
      <c r="CZ3730" s="48"/>
    </row>
    <row r="3731" spans="27:104" s="4" customFormat="1" x14ac:dyDescent="0.3">
      <c r="AA3731" s="48"/>
      <c r="AB3731" s="48"/>
      <c r="AC3731" s="48"/>
      <c r="AD3731" s="48"/>
      <c r="AE3731" s="48"/>
      <c r="AF3731" s="48"/>
      <c r="AG3731" s="48"/>
      <c r="AH3731" s="48"/>
      <c r="AI3731" s="48"/>
      <c r="AJ3731" s="48"/>
      <c r="AK3731" s="48"/>
      <c r="AL3731" s="48"/>
      <c r="AM3731" s="48"/>
      <c r="AN3731" s="48"/>
      <c r="AO3731" s="48"/>
      <c r="AP3731" s="48"/>
      <c r="AQ3731" s="48"/>
      <c r="AR3731" s="48"/>
      <c r="AS3731" s="48"/>
      <c r="AT3731" s="48"/>
      <c r="AU3731" s="48"/>
      <c r="AV3731" s="48"/>
      <c r="AW3731" s="48"/>
      <c r="AX3731" s="48"/>
      <c r="AY3731" s="48"/>
      <c r="AZ3731" s="48"/>
      <c r="BA3731" s="48"/>
      <c r="BB3731" s="14"/>
      <c r="BC3731" s="48"/>
      <c r="BD3731" s="48"/>
      <c r="BE3731" s="48"/>
      <c r="BF3731" s="48"/>
      <c r="BG3731" s="48"/>
      <c r="BH3731" s="48"/>
      <c r="BI3731" s="48"/>
      <c r="BJ3731" s="48"/>
      <c r="BK3731" s="48"/>
      <c r="BL3731" s="48"/>
      <c r="BM3731" s="48"/>
      <c r="BN3731" s="48"/>
      <c r="BO3731" s="48"/>
      <c r="BP3731" s="48"/>
      <c r="BQ3731" s="48"/>
      <c r="BR3731" s="48"/>
      <c r="BS3731" s="48"/>
      <c r="BT3731" s="48"/>
      <c r="BU3731" s="48"/>
      <c r="BV3731" s="48"/>
      <c r="BW3731" s="48"/>
      <c r="BX3731" s="48"/>
      <c r="BY3731" s="48"/>
      <c r="BZ3731" s="48"/>
      <c r="CA3731" s="48"/>
      <c r="CB3731" s="48"/>
      <c r="CC3731" s="48"/>
      <c r="CD3731" s="48"/>
      <c r="CE3731" s="48"/>
      <c r="CF3731" s="48"/>
      <c r="CG3731" s="48"/>
      <c r="CH3731" s="48"/>
      <c r="CI3731" s="48"/>
      <c r="CJ3731" s="48"/>
      <c r="CK3731" s="48"/>
      <c r="CL3731" s="48"/>
      <c r="CM3731" s="48"/>
      <c r="CN3731" s="48"/>
      <c r="CO3731" s="48"/>
      <c r="CP3731" s="48"/>
      <c r="CQ3731" s="48"/>
      <c r="CR3731" s="48"/>
      <c r="CS3731" s="48"/>
      <c r="CT3731" s="48"/>
      <c r="CU3731" s="48"/>
      <c r="CV3731" s="48"/>
      <c r="CW3731" s="48"/>
      <c r="CX3731" s="48"/>
      <c r="CY3731" s="48"/>
      <c r="CZ3731" s="48"/>
    </row>
    <row r="3732" spans="27:104" s="4" customFormat="1" x14ac:dyDescent="0.3">
      <c r="AA3732" s="48"/>
      <c r="AB3732" s="48"/>
      <c r="AC3732" s="48"/>
      <c r="AD3732" s="48"/>
      <c r="AE3732" s="48"/>
      <c r="AF3732" s="48"/>
      <c r="AG3732" s="48"/>
      <c r="AH3732" s="48"/>
      <c r="AI3732" s="48"/>
      <c r="AJ3732" s="48"/>
      <c r="AK3732" s="48"/>
      <c r="AL3732" s="48"/>
      <c r="AM3732" s="48"/>
      <c r="AN3732" s="48"/>
      <c r="AO3732" s="48"/>
      <c r="AP3732" s="48"/>
      <c r="AQ3732" s="48"/>
      <c r="AR3732" s="48"/>
      <c r="AS3732" s="48"/>
      <c r="AT3732" s="48"/>
      <c r="AU3732" s="48"/>
      <c r="AV3732" s="48"/>
      <c r="AW3732" s="48"/>
      <c r="AX3732" s="48"/>
      <c r="AY3732" s="48"/>
      <c r="AZ3732" s="48"/>
      <c r="BA3732" s="48"/>
      <c r="BB3732" s="14"/>
      <c r="BC3732" s="48"/>
      <c r="BD3732" s="48"/>
      <c r="BE3732" s="48"/>
      <c r="BF3732" s="48"/>
      <c r="BG3732" s="48"/>
      <c r="BH3732" s="48"/>
      <c r="BI3732" s="48"/>
      <c r="BJ3732" s="48"/>
      <c r="BK3732" s="48"/>
      <c r="BL3732" s="48"/>
      <c r="BM3732" s="48"/>
      <c r="BN3732" s="48"/>
      <c r="BO3732" s="48"/>
      <c r="BP3732" s="48"/>
      <c r="BQ3732" s="48"/>
      <c r="BR3732" s="48"/>
      <c r="BS3732" s="48"/>
      <c r="BT3732" s="48"/>
      <c r="BU3732" s="48"/>
      <c r="BV3732" s="48"/>
      <c r="BW3732" s="48"/>
      <c r="BX3732" s="48"/>
      <c r="BY3732" s="48"/>
      <c r="BZ3732" s="48"/>
      <c r="CA3732" s="48"/>
      <c r="CB3732" s="48"/>
      <c r="CC3732" s="48"/>
      <c r="CD3732" s="48"/>
      <c r="CE3732" s="48"/>
      <c r="CF3732" s="48"/>
      <c r="CG3732" s="48"/>
      <c r="CH3732" s="48"/>
      <c r="CI3732" s="48"/>
      <c r="CJ3732" s="48"/>
      <c r="CK3732" s="48"/>
      <c r="CL3732" s="48"/>
      <c r="CM3732" s="48"/>
      <c r="CN3732" s="48"/>
      <c r="CO3732" s="48"/>
      <c r="CP3732" s="48"/>
      <c r="CQ3732" s="48"/>
      <c r="CR3732" s="48"/>
      <c r="CS3732" s="48"/>
      <c r="CT3732" s="48"/>
      <c r="CU3732" s="48"/>
      <c r="CV3732" s="48"/>
      <c r="CW3732" s="48"/>
      <c r="CX3732" s="48"/>
      <c r="CY3732" s="48"/>
      <c r="CZ3732" s="48"/>
    </row>
    <row r="3733" spans="27:104" s="4" customFormat="1" x14ac:dyDescent="0.3">
      <c r="AA3733" s="48"/>
      <c r="AB3733" s="48"/>
      <c r="AC3733" s="48"/>
      <c r="AD3733" s="48"/>
      <c r="AE3733" s="48"/>
      <c r="AF3733" s="48"/>
      <c r="AG3733" s="48"/>
      <c r="AH3733" s="48"/>
      <c r="AI3733" s="48"/>
      <c r="AJ3733" s="48"/>
      <c r="AK3733" s="48"/>
      <c r="AL3733" s="48"/>
      <c r="AM3733" s="48"/>
      <c r="AN3733" s="48"/>
      <c r="AO3733" s="48"/>
      <c r="AP3733" s="48"/>
      <c r="AQ3733" s="48"/>
      <c r="AR3733" s="48"/>
      <c r="AS3733" s="48"/>
      <c r="AT3733" s="48"/>
      <c r="AU3733" s="48"/>
      <c r="AV3733" s="48"/>
      <c r="AW3733" s="48"/>
      <c r="AX3733" s="48"/>
      <c r="AY3733" s="48"/>
      <c r="AZ3733" s="48"/>
      <c r="BA3733" s="48"/>
      <c r="BB3733" s="14"/>
      <c r="BC3733" s="48"/>
      <c r="BD3733" s="48"/>
      <c r="BE3733" s="48"/>
      <c r="BF3733" s="48"/>
      <c r="BG3733" s="48"/>
      <c r="BH3733" s="48"/>
      <c r="BI3733" s="48"/>
      <c r="BJ3733" s="48"/>
      <c r="BK3733" s="48"/>
      <c r="BL3733" s="48"/>
      <c r="BM3733" s="48"/>
      <c r="BN3733" s="48"/>
      <c r="BO3733" s="48"/>
      <c r="BP3733" s="48"/>
      <c r="BQ3733" s="48"/>
      <c r="BR3733" s="48"/>
      <c r="BS3733" s="48"/>
      <c r="BT3733" s="48"/>
      <c r="BU3733" s="48"/>
      <c r="BV3733" s="48"/>
      <c r="BW3733" s="48"/>
      <c r="BX3733" s="48"/>
      <c r="BY3733" s="48"/>
      <c r="BZ3733" s="48"/>
      <c r="CA3733" s="48"/>
      <c r="CB3733" s="48"/>
      <c r="CC3733" s="48"/>
      <c r="CD3733" s="48"/>
      <c r="CE3733" s="48"/>
      <c r="CF3733" s="48"/>
      <c r="CG3733" s="48"/>
      <c r="CH3733" s="48"/>
      <c r="CI3733" s="48"/>
      <c r="CJ3733" s="48"/>
      <c r="CK3733" s="48"/>
      <c r="CL3733" s="48"/>
      <c r="CM3733" s="48"/>
      <c r="CN3733" s="48"/>
      <c r="CO3733" s="48"/>
      <c r="CP3733" s="48"/>
      <c r="CQ3733" s="48"/>
      <c r="CR3733" s="48"/>
      <c r="CS3733" s="48"/>
      <c r="CT3733" s="48"/>
      <c r="CU3733" s="48"/>
      <c r="CV3733" s="48"/>
      <c r="CW3733" s="48"/>
      <c r="CX3733" s="48"/>
      <c r="CY3733" s="48"/>
      <c r="CZ3733" s="48"/>
    </row>
    <row r="3734" spans="27:104" s="4" customFormat="1" x14ac:dyDescent="0.3">
      <c r="AA3734" s="48"/>
      <c r="AB3734" s="48"/>
      <c r="AC3734" s="48"/>
      <c r="AD3734" s="48"/>
      <c r="AE3734" s="48"/>
      <c r="AF3734" s="48"/>
      <c r="AG3734" s="48"/>
      <c r="AH3734" s="48"/>
      <c r="AI3734" s="48"/>
      <c r="AJ3734" s="48"/>
      <c r="AK3734" s="48"/>
      <c r="AL3734" s="48"/>
      <c r="AM3734" s="48"/>
      <c r="AN3734" s="48"/>
      <c r="AO3734" s="48"/>
      <c r="AP3734" s="48"/>
      <c r="AQ3734" s="48"/>
      <c r="AR3734" s="48"/>
      <c r="AS3734" s="48"/>
      <c r="AT3734" s="48"/>
      <c r="AU3734" s="48"/>
      <c r="AV3734" s="48"/>
      <c r="AW3734" s="48"/>
      <c r="AX3734" s="48"/>
      <c r="AY3734" s="48"/>
      <c r="AZ3734" s="48"/>
      <c r="BA3734" s="48"/>
      <c r="BB3734" s="14"/>
      <c r="BC3734" s="48"/>
      <c r="BD3734" s="48"/>
      <c r="BE3734" s="48"/>
      <c r="BF3734" s="48"/>
      <c r="BG3734" s="48"/>
      <c r="BH3734" s="48"/>
      <c r="BI3734" s="48"/>
      <c r="BJ3734" s="48"/>
      <c r="BK3734" s="48"/>
      <c r="BL3734" s="48"/>
      <c r="BM3734" s="48"/>
      <c r="BN3734" s="48"/>
      <c r="BO3734" s="48"/>
      <c r="BP3734" s="48"/>
      <c r="BQ3734" s="48"/>
      <c r="BR3734" s="48"/>
      <c r="BS3734" s="48"/>
      <c r="BT3734" s="48"/>
      <c r="BU3734" s="48"/>
      <c r="BV3734" s="48"/>
      <c r="BW3734" s="48"/>
      <c r="BX3734" s="48"/>
      <c r="BY3734" s="48"/>
      <c r="BZ3734" s="48"/>
      <c r="CA3734" s="48"/>
      <c r="CB3734" s="48"/>
      <c r="CC3734" s="48"/>
      <c r="CD3734" s="48"/>
      <c r="CE3734" s="48"/>
      <c r="CF3734" s="48"/>
      <c r="CG3734" s="48"/>
      <c r="CH3734" s="48"/>
      <c r="CI3734" s="48"/>
      <c r="CJ3734" s="48"/>
      <c r="CK3734" s="48"/>
      <c r="CL3734" s="48"/>
      <c r="CM3734" s="48"/>
      <c r="CN3734" s="48"/>
      <c r="CO3734" s="48"/>
      <c r="CP3734" s="48"/>
      <c r="CQ3734" s="48"/>
      <c r="CR3734" s="48"/>
      <c r="CS3734" s="48"/>
      <c r="CT3734" s="48"/>
      <c r="CU3734" s="48"/>
      <c r="CV3734" s="48"/>
      <c r="CW3734" s="48"/>
      <c r="CX3734" s="48"/>
      <c r="CY3734" s="48"/>
      <c r="CZ3734" s="48"/>
    </row>
    <row r="3735" spans="27:104" s="4" customFormat="1" x14ac:dyDescent="0.3">
      <c r="AA3735" s="48"/>
      <c r="AB3735" s="48"/>
      <c r="AC3735" s="48"/>
      <c r="AD3735" s="48"/>
      <c r="AE3735" s="48"/>
      <c r="AF3735" s="48"/>
      <c r="AG3735" s="48"/>
      <c r="AH3735" s="48"/>
      <c r="AI3735" s="48"/>
      <c r="AJ3735" s="48"/>
      <c r="AK3735" s="48"/>
      <c r="AL3735" s="48"/>
      <c r="AM3735" s="48"/>
      <c r="AN3735" s="48"/>
      <c r="AO3735" s="48"/>
      <c r="AP3735" s="48"/>
      <c r="AQ3735" s="48"/>
      <c r="AR3735" s="48"/>
      <c r="AS3735" s="48"/>
      <c r="AT3735" s="48"/>
      <c r="AU3735" s="48"/>
      <c r="AV3735" s="48"/>
      <c r="AW3735" s="48"/>
      <c r="AX3735" s="48"/>
      <c r="AY3735" s="48"/>
      <c r="AZ3735" s="48"/>
      <c r="BA3735" s="48"/>
      <c r="BB3735" s="14"/>
      <c r="BC3735" s="48"/>
      <c r="BD3735" s="48"/>
      <c r="BE3735" s="48"/>
      <c r="BF3735" s="48"/>
      <c r="BG3735" s="48"/>
      <c r="BH3735" s="48"/>
      <c r="BI3735" s="48"/>
      <c r="BJ3735" s="48"/>
      <c r="BK3735" s="48"/>
      <c r="BL3735" s="48"/>
      <c r="BM3735" s="48"/>
      <c r="BN3735" s="48"/>
      <c r="BO3735" s="48"/>
      <c r="BP3735" s="48"/>
      <c r="BQ3735" s="48"/>
      <c r="BR3735" s="48"/>
      <c r="BS3735" s="48"/>
      <c r="BT3735" s="48"/>
      <c r="BU3735" s="48"/>
      <c r="BV3735" s="48"/>
      <c r="BW3735" s="48"/>
      <c r="BX3735" s="48"/>
      <c r="BY3735" s="48"/>
      <c r="BZ3735" s="48"/>
      <c r="CA3735" s="48"/>
      <c r="CB3735" s="48"/>
      <c r="CC3735" s="48"/>
      <c r="CD3735" s="48"/>
      <c r="CE3735" s="48"/>
      <c r="CF3735" s="48"/>
      <c r="CG3735" s="48"/>
      <c r="CH3735" s="48"/>
      <c r="CI3735" s="48"/>
      <c r="CJ3735" s="48"/>
      <c r="CK3735" s="48"/>
      <c r="CL3735" s="48"/>
      <c r="CM3735" s="48"/>
      <c r="CN3735" s="48"/>
      <c r="CO3735" s="48"/>
      <c r="CP3735" s="48"/>
      <c r="CQ3735" s="48"/>
      <c r="CR3735" s="48"/>
      <c r="CS3735" s="48"/>
      <c r="CT3735" s="48"/>
      <c r="CU3735" s="48"/>
      <c r="CV3735" s="48"/>
      <c r="CW3735" s="48"/>
      <c r="CX3735" s="48"/>
      <c r="CY3735" s="48"/>
      <c r="CZ3735" s="48"/>
    </row>
    <row r="3736" spans="27:104" s="4" customFormat="1" x14ac:dyDescent="0.3">
      <c r="AA3736" s="48"/>
      <c r="AB3736" s="48"/>
      <c r="AC3736" s="48"/>
      <c r="AD3736" s="48"/>
      <c r="AE3736" s="48"/>
      <c r="AF3736" s="48"/>
      <c r="AG3736" s="48"/>
      <c r="AH3736" s="48"/>
      <c r="AI3736" s="48"/>
      <c r="AJ3736" s="48"/>
      <c r="AK3736" s="48"/>
      <c r="AL3736" s="48"/>
      <c r="AM3736" s="48"/>
      <c r="AN3736" s="48"/>
      <c r="AO3736" s="48"/>
      <c r="AP3736" s="48"/>
      <c r="AQ3736" s="48"/>
      <c r="AR3736" s="48"/>
      <c r="AS3736" s="48"/>
      <c r="AT3736" s="48"/>
      <c r="AU3736" s="48"/>
      <c r="AV3736" s="48"/>
      <c r="AW3736" s="48"/>
      <c r="AX3736" s="48"/>
      <c r="AY3736" s="48"/>
      <c r="AZ3736" s="48"/>
      <c r="BA3736" s="48"/>
      <c r="BB3736" s="14"/>
      <c r="BC3736" s="48"/>
      <c r="BD3736" s="48"/>
      <c r="BE3736" s="48"/>
      <c r="BF3736" s="48"/>
      <c r="BG3736" s="48"/>
      <c r="BH3736" s="48"/>
      <c r="BI3736" s="48"/>
      <c r="BJ3736" s="48"/>
      <c r="BK3736" s="48"/>
      <c r="BL3736" s="48"/>
      <c r="BM3736" s="48"/>
      <c r="BN3736" s="48"/>
      <c r="BO3736" s="48"/>
      <c r="BP3736" s="48"/>
      <c r="BQ3736" s="48"/>
      <c r="BR3736" s="48"/>
      <c r="BS3736" s="48"/>
      <c r="BT3736" s="48"/>
      <c r="BU3736" s="48"/>
      <c r="BV3736" s="48"/>
      <c r="BW3736" s="48"/>
      <c r="BX3736" s="48"/>
      <c r="BY3736" s="48"/>
      <c r="BZ3736" s="48"/>
      <c r="CA3736" s="48"/>
      <c r="CB3736" s="48"/>
      <c r="CC3736" s="48"/>
      <c r="CD3736" s="48"/>
      <c r="CE3736" s="48"/>
      <c r="CF3736" s="48"/>
      <c r="CG3736" s="48"/>
      <c r="CH3736" s="48"/>
      <c r="CI3736" s="48"/>
      <c r="CJ3736" s="48"/>
      <c r="CK3736" s="48"/>
      <c r="CL3736" s="48"/>
      <c r="CM3736" s="48"/>
      <c r="CN3736" s="48"/>
      <c r="CO3736" s="48"/>
      <c r="CP3736" s="48"/>
      <c r="CQ3736" s="48"/>
      <c r="CR3736" s="48"/>
      <c r="CS3736" s="48"/>
      <c r="CT3736" s="48"/>
      <c r="CU3736" s="48"/>
      <c r="CV3736" s="48"/>
      <c r="CW3736" s="48"/>
      <c r="CX3736" s="48"/>
      <c r="CY3736" s="48"/>
      <c r="CZ3736" s="48"/>
    </row>
    <row r="3737" spans="27:104" s="4" customFormat="1" x14ac:dyDescent="0.3">
      <c r="AA3737" s="48"/>
      <c r="AB3737" s="48"/>
      <c r="AC3737" s="48"/>
      <c r="AD3737" s="48"/>
      <c r="AE3737" s="48"/>
      <c r="AF3737" s="48"/>
      <c r="AG3737" s="48"/>
      <c r="AH3737" s="48"/>
      <c r="AI3737" s="48"/>
      <c r="AJ3737" s="48"/>
      <c r="AK3737" s="48"/>
      <c r="AL3737" s="48"/>
      <c r="AM3737" s="48"/>
      <c r="AN3737" s="48"/>
      <c r="AO3737" s="48"/>
      <c r="AP3737" s="48"/>
      <c r="AQ3737" s="48"/>
      <c r="AR3737" s="48"/>
      <c r="AS3737" s="48"/>
      <c r="AT3737" s="48"/>
      <c r="AU3737" s="48"/>
      <c r="AV3737" s="48"/>
      <c r="AW3737" s="48"/>
      <c r="AX3737" s="48"/>
      <c r="AY3737" s="48"/>
      <c r="AZ3737" s="48"/>
      <c r="BA3737" s="48"/>
      <c r="BB3737" s="14"/>
      <c r="BC3737" s="48"/>
      <c r="BD3737" s="48"/>
      <c r="BE3737" s="48"/>
      <c r="BF3737" s="48"/>
      <c r="BG3737" s="48"/>
      <c r="BH3737" s="48"/>
      <c r="BI3737" s="48"/>
      <c r="BJ3737" s="48"/>
      <c r="BK3737" s="48"/>
      <c r="BL3737" s="48"/>
      <c r="BM3737" s="48"/>
      <c r="BN3737" s="48"/>
      <c r="BO3737" s="48"/>
      <c r="BP3737" s="48"/>
      <c r="BQ3737" s="48"/>
      <c r="BR3737" s="48"/>
      <c r="BS3737" s="48"/>
      <c r="BT3737" s="48"/>
      <c r="BU3737" s="48"/>
      <c r="BV3737" s="48"/>
      <c r="BW3737" s="48"/>
      <c r="BX3737" s="48"/>
      <c r="BY3737" s="48"/>
      <c r="BZ3737" s="48"/>
      <c r="CA3737" s="48"/>
      <c r="CB3737" s="48"/>
      <c r="CC3737" s="48"/>
      <c r="CD3737" s="48"/>
      <c r="CE3737" s="48"/>
      <c r="CF3737" s="48"/>
      <c r="CG3737" s="48"/>
      <c r="CH3737" s="48"/>
      <c r="CI3737" s="48"/>
      <c r="CJ3737" s="48"/>
      <c r="CK3737" s="48"/>
      <c r="CL3737" s="48"/>
      <c r="CM3737" s="48"/>
      <c r="CN3737" s="48"/>
      <c r="CO3737" s="48"/>
      <c r="CP3737" s="48"/>
      <c r="CQ3737" s="48"/>
      <c r="CR3737" s="48"/>
      <c r="CS3737" s="48"/>
      <c r="CT3737" s="48"/>
      <c r="CU3737" s="48"/>
      <c r="CV3737" s="48"/>
      <c r="CW3737" s="48"/>
      <c r="CX3737" s="48"/>
      <c r="CY3737" s="48"/>
      <c r="CZ3737" s="48"/>
    </row>
    <row r="3738" spans="27:104" s="4" customFormat="1" x14ac:dyDescent="0.3">
      <c r="AA3738" s="48"/>
      <c r="AB3738" s="48"/>
      <c r="AC3738" s="48"/>
      <c r="AD3738" s="48"/>
      <c r="AE3738" s="48"/>
      <c r="AF3738" s="48"/>
      <c r="AG3738" s="48"/>
      <c r="AH3738" s="48"/>
      <c r="AI3738" s="48"/>
      <c r="AJ3738" s="48"/>
      <c r="AK3738" s="48"/>
      <c r="AL3738" s="48"/>
      <c r="AM3738" s="48"/>
      <c r="AN3738" s="48"/>
      <c r="AO3738" s="48"/>
      <c r="AP3738" s="48"/>
      <c r="AQ3738" s="48"/>
      <c r="AR3738" s="48"/>
      <c r="AS3738" s="48"/>
      <c r="AT3738" s="48"/>
      <c r="AU3738" s="48"/>
      <c r="AV3738" s="48"/>
      <c r="AW3738" s="48"/>
      <c r="AX3738" s="48"/>
      <c r="AY3738" s="48"/>
      <c r="AZ3738" s="48"/>
      <c r="BA3738" s="48"/>
      <c r="BB3738" s="14"/>
      <c r="BC3738" s="48"/>
      <c r="BD3738" s="48"/>
      <c r="BE3738" s="48"/>
      <c r="BF3738" s="48"/>
      <c r="BG3738" s="48"/>
      <c r="BH3738" s="48"/>
      <c r="BI3738" s="48"/>
      <c r="BJ3738" s="48"/>
      <c r="BK3738" s="48"/>
      <c r="BL3738" s="48"/>
      <c r="BM3738" s="48"/>
      <c r="BN3738" s="48"/>
      <c r="BO3738" s="48"/>
      <c r="BP3738" s="48"/>
      <c r="BQ3738" s="48"/>
      <c r="BR3738" s="48"/>
      <c r="BS3738" s="48"/>
      <c r="BT3738" s="48"/>
      <c r="BU3738" s="48"/>
      <c r="BV3738" s="48"/>
      <c r="BW3738" s="48"/>
      <c r="BX3738" s="48"/>
      <c r="BY3738" s="48"/>
      <c r="BZ3738" s="48"/>
      <c r="CA3738" s="48"/>
      <c r="CB3738" s="48"/>
      <c r="CC3738" s="48"/>
      <c r="CD3738" s="48"/>
      <c r="CE3738" s="48"/>
      <c r="CF3738" s="48"/>
      <c r="CG3738" s="48"/>
      <c r="CH3738" s="48"/>
      <c r="CI3738" s="48"/>
      <c r="CJ3738" s="48"/>
      <c r="CK3738" s="48"/>
      <c r="CL3738" s="48"/>
      <c r="CM3738" s="48"/>
      <c r="CN3738" s="48"/>
      <c r="CO3738" s="48"/>
      <c r="CP3738" s="48"/>
      <c r="CQ3738" s="48"/>
      <c r="CR3738" s="48"/>
      <c r="CS3738" s="48"/>
      <c r="CT3738" s="48"/>
      <c r="CU3738" s="48"/>
      <c r="CV3738" s="48"/>
      <c r="CW3738" s="48"/>
      <c r="CX3738" s="48"/>
      <c r="CY3738" s="48"/>
      <c r="CZ3738" s="48"/>
    </row>
    <row r="3739" spans="27:104" s="4" customFormat="1" x14ac:dyDescent="0.3">
      <c r="AA3739" s="48"/>
      <c r="AB3739" s="48"/>
      <c r="AC3739" s="48"/>
      <c r="AD3739" s="48"/>
      <c r="AE3739" s="48"/>
      <c r="AF3739" s="48"/>
      <c r="AG3739" s="48"/>
      <c r="AH3739" s="48"/>
      <c r="AI3739" s="48"/>
      <c r="AJ3739" s="48"/>
      <c r="AK3739" s="48"/>
      <c r="AL3739" s="48"/>
      <c r="AM3739" s="48"/>
      <c r="AN3739" s="48"/>
      <c r="AO3739" s="48"/>
      <c r="AP3739" s="48"/>
      <c r="AQ3739" s="48"/>
      <c r="AR3739" s="48"/>
      <c r="AS3739" s="48"/>
      <c r="AT3739" s="48"/>
      <c r="AU3739" s="48"/>
      <c r="AV3739" s="48"/>
      <c r="AW3739" s="48"/>
      <c r="AX3739" s="48"/>
      <c r="AY3739" s="48"/>
      <c r="AZ3739" s="48"/>
      <c r="BA3739" s="48"/>
      <c r="BB3739" s="14"/>
      <c r="BC3739" s="48"/>
      <c r="BD3739" s="48"/>
      <c r="BE3739" s="48"/>
      <c r="BF3739" s="48"/>
      <c r="BG3739" s="48"/>
      <c r="BH3739" s="48"/>
      <c r="BI3739" s="48"/>
      <c r="BJ3739" s="48"/>
      <c r="BK3739" s="48"/>
      <c r="BL3739" s="48"/>
      <c r="BM3739" s="48"/>
      <c r="BN3739" s="48"/>
      <c r="BO3739" s="48"/>
      <c r="BP3739" s="48"/>
      <c r="BQ3739" s="48"/>
      <c r="BR3739" s="48"/>
      <c r="BS3739" s="48"/>
      <c r="BT3739" s="48"/>
      <c r="BU3739" s="48"/>
      <c r="BV3739" s="48"/>
      <c r="BW3739" s="48"/>
      <c r="BX3739" s="48"/>
      <c r="BY3739" s="48"/>
      <c r="BZ3739" s="48"/>
      <c r="CA3739" s="48"/>
      <c r="CB3739" s="48"/>
      <c r="CC3739" s="48"/>
      <c r="CD3739" s="48"/>
      <c r="CE3739" s="48"/>
      <c r="CF3739" s="48"/>
      <c r="CG3739" s="48"/>
      <c r="CH3739" s="48"/>
      <c r="CI3739" s="48"/>
      <c r="CJ3739" s="48"/>
      <c r="CK3739" s="48"/>
      <c r="CL3739" s="48"/>
      <c r="CM3739" s="48"/>
      <c r="CN3739" s="48"/>
      <c r="CO3739" s="48"/>
      <c r="CP3739" s="48"/>
      <c r="CQ3739" s="48"/>
      <c r="CR3739" s="48"/>
      <c r="CS3739" s="48"/>
      <c r="CT3739" s="48"/>
      <c r="CU3739" s="48"/>
      <c r="CV3739" s="48"/>
      <c r="CW3739" s="48"/>
      <c r="CX3739" s="48"/>
      <c r="CY3739" s="48"/>
      <c r="CZ3739" s="48"/>
    </row>
    <row r="3740" spans="27:104" s="4" customFormat="1" x14ac:dyDescent="0.3">
      <c r="AA3740" s="48"/>
      <c r="AB3740" s="48"/>
      <c r="AC3740" s="48"/>
      <c r="AD3740" s="48"/>
      <c r="AE3740" s="48"/>
      <c r="AF3740" s="48"/>
      <c r="AG3740" s="48"/>
      <c r="AH3740" s="48"/>
      <c r="AI3740" s="48"/>
      <c r="AJ3740" s="48"/>
      <c r="AK3740" s="48"/>
      <c r="AL3740" s="48"/>
      <c r="AM3740" s="48"/>
      <c r="AN3740" s="48"/>
      <c r="AO3740" s="48"/>
      <c r="AP3740" s="48"/>
      <c r="AQ3740" s="48"/>
      <c r="AR3740" s="48"/>
      <c r="AS3740" s="48"/>
      <c r="AT3740" s="48"/>
      <c r="AU3740" s="48"/>
      <c r="AV3740" s="48"/>
      <c r="AW3740" s="48"/>
      <c r="AX3740" s="48"/>
      <c r="AY3740" s="48"/>
      <c r="AZ3740" s="48"/>
      <c r="BA3740" s="48"/>
      <c r="BB3740" s="14"/>
      <c r="BC3740" s="48"/>
      <c r="BD3740" s="48"/>
      <c r="BE3740" s="48"/>
      <c r="BF3740" s="48"/>
      <c r="BG3740" s="48"/>
      <c r="BH3740" s="48"/>
      <c r="BI3740" s="48"/>
      <c r="BJ3740" s="48"/>
      <c r="BK3740" s="48"/>
      <c r="BL3740" s="48"/>
      <c r="BM3740" s="48"/>
      <c r="BN3740" s="48"/>
      <c r="BO3740" s="48"/>
      <c r="BP3740" s="48"/>
      <c r="BQ3740" s="48"/>
      <c r="BR3740" s="48"/>
      <c r="BS3740" s="48"/>
      <c r="BT3740" s="48"/>
      <c r="BU3740" s="48"/>
      <c r="BV3740" s="48"/>
      <c r="BW3740" s="48"/>
      <c r="BX3740" s="48"/>
      <c r="BY3740" s="48"/>
      <c r="BZ3740" s="48"/>
      <c r="CA3740" s="48"/>
      <c r="CB3740" s="48"/>
      <c r="CC3740" s="48"/>
      <c r="CD3740" s="48"/>
      <c r="CE3740" s="48"/>
      <c r="CF3740" s="48"/>
      <c r="CG3740" s="48"/>
      <c r="CH3740" s="48"/>
      <c r="CI3740" s="48"/>
      <c r="CJ3740" s="48"/>
      <c r="CK3740" s="48"/>
      <c r="CL3740" s="48"/>
      <c r="CM3740" s="48"/>
      <c r="CN3740" s="48"/>
      <c r="CO3740" s="48"/>
      <c r="CP3740" s="48"/>
      <c r="CQ3740" s="48"/>
      <c r="CR3740" s="48"/>
      <c r="CS3740" s="48"/>
      <c r="CT3740" s="48"/>
      <c r="CU3740" s="48"/>
      <c r="CV3740" s="48"/>
      <c r="CW3740" s="48"/>
      <c r="CX3740" s="48"/>
      <c r="CY3740" s="48"/>
      <c r="CZ3740" s="48"/>
    </row>
    <row r="3741" spans="27:104" s="4" customFormat="1" x14ac:dyDescent="0.3">
      <c r="AA3741" s="48"/>
      <c r="AB3741" s="48"/>
      <c r="AC3741" s="48"/>
      <c r="AD3741" s="48"/>
      <c r="AE3741" s="48"/>
      <c r="AF3741" s="48"/>
      <c r="AG3741" s="48"/>
      <c r="AH3741" s="48"/>
      <c r="AI3741" s="48"/>
      <c r="AJ3741" s="48"/>
      <c r="AK3741" s="48"/>
      <c r="AL3741" s="48"/>
      <c r="AM3741" s="48"/>
      <c r="AN3741" s="48"/>
      <c r="AO3741" s="48"/>
      <c r="AP3741" s="48"/>
      <c r="AQ3741" s="48"/>
      <c r="AR3741" s="48"/>
      <c r="AS3741" s="48"/>
      <c r="AT3741" s="48"/>
      <c r="AU3741" s="48"/>
      <c r="AV3741" s="48"/>
      <c r="AW3741" s="48"/>
      <c r="AX3741" s="48"/>
      <c r="AY3741" s="48"/>
      <c r="AZ3741" s="48"/>
      <c r="BA3741" s="48"/>
      <c r="BB3741" s="14"/>
      <c r="BC3741" s="48"/>
      <c r="BD3741" s="48"/>
      <c r="BE3741" s="48"/>
      <c r="BF3741" s="48"/>
      <c r="BG3741" s="48"/>
      <c r="BH3741" s="48"/>
      <c r="BI3741" s="48"/>
      <c r="BJ3741" s="48"/>
      <c r="BK3741" s="48"/>
      <c r="BL3741" s="48"/>
      <c r="BM3741" s="48"/>
      <c r="BN3741" s="48"/>
      <c r="BO3741" s="48"/>
      <c r="BP3741" s="48"/>
      <c r="BQ3741" s="48"/>
      <c r="BR3741" s="48"/>
      <c r="BS3741" s="48"/>
      <c r="BT3741" s="48"/>
      <c r="BU3741" s="48"/>
      <c r="BV3741" s="48"/>
      <c r="BW3741" s="48"/>
      <c r="BX3741" s="48"/>
      <c r="BY3741" s="48"/>
      <c r="BZ3741" s="48"/>
      <c r="CA3741" s="48"/>
      <c r="CB3741" s="48"/>
      <c r="CC3741" s="48"/>
      <c r="CD3741" s="48"/>
      <c r="CE3741" s="48"/>
      <c r="CF3741" s="48"/>
      <c r="CG3741" s="48"/>
      <c r="CH3741" s="48"/>
      <c r="CI3741" s="48"/>
      <c r="CJ3741" s="48"/>
      <c r="CK3741" s="48"/>
      <c r="CL3741" s="48"/>
      <c r="CM3741" s="48"/>
      <c r="CN3741" s="48"/>
      <c r="CO3741" s="48"/>
      <c r="CP3741" s="48"/>
      <c r="CQ3741" s="48"/>
      <c r="CR3741" s="48"/>
      <c r="CS3741" s="48"/>
      <c r="CT3741" s="48"/>
      <c r="CU3741" s="48"/>
      <c r="CV3741" s="48"/>
      <c r="CW3741" s="48"/>
      <c r="CX3741" s="48"/>
      <c r="CY3741" s="48"/>
      <c r="CZ3741" s="48"/>
    </row>
    <row r="3742" spans="27:104" s="4" customFormat="1" x14ac:dyDescent="0.3">
      <c r="AA3742" s="48"/>
      <c r="AB3742" s="48"/>
      <c r="AC3742" s="48"/>
      <c r="AD3742" s="48"/>
      <c r="AE3742" s="48"/>
      <c r="AF3742" s="48"/>
      <c r="AG3742" s="48"/>
      <c r="AH3742" s="48"/>
      <c r="AI3742" s="48"/>
      <c r="AJ3742" s="48"/>
      <c r="AK3742" s="48"/>
      <c r="AL3742" s="48"/>
      <c r="AM3742" s="48"/>
      <c r="AN3742" s="48"/>
      <c r="AO3742" s="48"/>
      <c r="AP3742" s="48"/>
      <c r="AQ3742" s="48"/>
      <c r="AR3742" s="48"/>
      <c r="AS3742" s="48"/>
      <c r="AT3742" s="48"/>
      <c r="AU3742" s="48"/>
      <c r="AV3742" s="48"/>
      <c r="AW3742" s="48"/>
      <c r="AX3742" s="48"/>
      <c r="AY3742" s="48"/>
      <c r="AZ3742" s="48"/>
      <c r="BA3742" s="48"/>
      <c r="BB3742" s="14"/>
      <c r="BC3742" s="48"/>
      <c r="BD3742" s="48"/>
      <c r="BE3742" s="48"/>
      <c r="BF3742" s="48"/>
      <c r="BG3742" s="48"/>
      <c r="BH3742" s="48"/>
      <c r="BI3742" s="48"/>
      <c r="BJ3742" s="48"/>
      <c r="BK3742" s="48"/>
      <c r="BL3742" s="48"/>
      <c r="BM3742" s="48"/>
      <c r="BN3742" s="48"/>
      <c r="BO3742" s="48"/>
      <c r="BP3742" s="48"/>
      <c r="BQ3742" s="48"/>
      <c r="BR3742" s="48"/>
      <c r="BS3742" s="48"/>
      <c r="BT3742" s="48"/>
      <c r="BU3742" s="48"/>
      <c r="BV3742" s="48"/>
      <c r="BW3742" s="48"/>
      <c r="BX3742" s="48"/>
      <c r="BY3742" s="48"/>
      <c r="BZ3742" s="48"/>
      <c r="CA3742" s="48"/>
      <c r="CB3742" s="48"/>
      <c r="CC3742" s="48"/>
      <c r="CD3742" s="48"/>
      <c r="CE3742" s="48"/>
      <c r="CF3742" s="48"/>
      <c r="CG3742" s="48"/>
      <c r="CH3742" s="48"/>
      <c r="CI3742" s="48"/>
      <c r="CJ3742" s="48"/>
      <c r="CK3742" s="48"/>
      <c r="CL3742" s="48"/>
      <c r="CM3742" s="48"/>
      <c r="CN3742" s="48"/>
      <c r="CO3742" s="48"/>
      <c r="CP3742" s="48"/>
      <c r="CQ3742" s="48"/>
      <c r="CR3742" s="48"/>
      <c r="CS3742" s="48"/>
      <c r="CT3742" s="48"/>
      <c r="CU3742" s="48"/>
      <c r="CV3742" s="48"/>
      <c r="CW3742" s="48"/>
      <c r="CX3742" s="48"/>
      <c r="CY3742" s="48"/>
      <c r="CZ3742" s="48"/>
    </row>
    <row r="3743" spans="27:104" s="4" customFormat="1" x14ac:dyDescent="0.3">
      <c r="AA3743" s="48"/>
      <c r="AB3743" s="48"/>
      <c r="AC3743" s="48"/>
      <c r="AD3743" s="48"/>
      <c r="AE3743" s="48"/>
      <c r="AF3743" s="48"/>
      <c r="AG3743" s="48"/>
      <c r="AH3743" s="48"/>
      <c r="AI3743" s="48"/>
      <c r="AJ3743" s="48"/>
      <c r="AK3743" s="48"/>
      <c r="AL3743" s="48"/>
      <c r="AM3743" s="48"/>
      <c r="AN3743" s="48"/>
      <c r="AO3743" s="48"/>
      <c r="AP3743" s="48"/>
      <c r="AQ3743" s="48"/>
      <c r="AR3743" s="48"/>
      <c r="AS3743" s="48"/>
      <c r="AT3743" s="48"/>
      <c r="AU3743" s="48"/>
      <c r="AV3743" s="48"/>
      <c r="AW3743" s="48"/>
      <c r="AX3743" s="48"/>
      <c r="AY3743" s="48"/>
      <c r="AZ3743" s="48"/>
      <c r="BA3743" s="48"/>
      <c r="BB3743" s="14"/>
      <c r="BC3743" s="48"/>
      <c r="BD3743" s="48"/>
      <c r="BE3743" s="48"/>
      <c r="BF3743" s="48"/>
      <c r="BG3743" s="48"/>
      <c r="BH3743" s="48"/>
      <c r="BI3743" s="48"/>
      <c r="BJ3743" s="48"/>
      <c r="BK3743" s="48"/>
      <c r="BL3743" s="48"/>
      <c r="BM3743" s="48"/>
      <c r="BN3743" s="48"/>
      <c r="BO3743" s="48"/>
      <c r="BP3743" s="48"/>
      <c r="BQ3743" s="48"/>
      <c r="BR3743" s="48"/>
      <c r="BS3743" s="48"/>
      <c r="BT3743" s="48"/>
      <c r="BU3743" s="48"/>
      <c r="BV3743" s="48"/>
      <c r="BW3743" s="48"/>
      <c r="BX3743" s="48"/>
      <c r="BY3743" s="48"/>
      <c r="BZ3743" s="48"/>
      <c r="CA3743" s="48"/>
      <c r="CB3743" s="48"/>
      <c r="CC3743" s="48"/>
      <c r="CD3743" s="48"/>
      <c r="CE3743" s="48"/>
      <c r="CF3743" s="48"/>
      <c r="CG3743" s="48"/>
      <c r="CH3743" s="48"/>
      <c r="CI3743" s="48"/>
      <c r="CJ3743" s="48"/>
      <c r="CK3743" s="48"/>
      <c r="CL3743" s="48"/>
      <c r="CM3743" s="48"/>
      <c r="CN3743" s="48"/>
      <c r="CO3743" s="48"/>
      <c r="CP3743" s="48"/>
      <c r="CQ3743" s="48"/>
      <c r="CR3743" s="48"/>
      <c r="CS3743" s="48"/>
      <c r="CT3743" s="48"/>
      <c r="CU3743" s="48"/>
      <c r="CV3743" s="48"/>
      <c r="CW3743" s="48"/>
      <c r="CX3743" s="48"/>
      <c r="CY3743" s="48"/>
      <c r="CZ3743" s="48"/>
    </row>
    <row r="3744" spans="27:104" s="4" customFormat="1" x14ac:dyDescent="0.3">
      <c r="AA3744" s="48"/>
      <c r="AB3744" s="48"/>
      <c r="AC3744" s="48"/>
      <c r="AD3744" s="48"/>
      <c r="AE3744" s="48"/>
      <c r="AF3744" s="48"/>
      <c r="AG3744" s="48"/>
      <c r="AH3744" s="48"/>
      <c r="AI3744" s="48"/>
      <c r="AJ3744" s="48"/>
      <c r="AK3744" s="48"/>
      <c r="AL3744" s="48"/>
      <c r="AM3744" s="48"/>
      <c r="AN3744" s="48"/>
      <c r="AO3744" s="48"/>
      <c r="AP3744" s="48"/>
      <c r="AQ3744" s="48"/>
      <c r="AR3744" s="48"/>
      <c r="AS3744" s="48"/>
      <c r="AT3744" s="48"/>
      <c r="AU3744" s="48"/>
      <c r="AV3744" s="48"/>
      <c r="AW3744" s="48"/>
      <c r="AX3744" s="48"/>
      <c r="AY3744" s="48"/>
      <c r="AZ3744" s="48"/>
      <c r="BA3744" s="48"/>
      <c r="BB3744" s="14"/>
      <c r="BC3744" s="48"/>
      <c r="BD3744" s="48"/>
      <c r="BE3744" s="48"/>
      <c r="BF3744" s="48"/>
      <c r="BG3744" s="48"/>
      <c r="BH3744" s="48"/>
      <c r="BI3744" s="48"/>
      <c r="BJ3744" s="48"/>
      <c r="BK3744" s="48"/>
      <c r="BL3744" s="48"/>
      <c r="BM3744" s="48"/>
      <c r="BN3744" s="48"/>
      <c r="BO3744" s="48"/>
      <c r="BP3744" s="48"/>
      <c r="BQ3744" s="48"/>
      <c r="BR3744" s="48"/>
      <c r="BS3744" s="48"/>
      <c r="BT3744" s="48"/>
      <c r="BU3744" s="48"/>
      <c r="BV3744" s="48"/>
      <c r="BW3744" s="48"/>
      <c r="BX3744" s="48"/>
      <c r="BY3744" s="48"/>
      <c r="BZ3744" s="48"/>
      <c r="CA3744" s="48"/>
      <c r="CB3744" s="48"/>
      <c r="CC3744" s="48"/>
      <c r="CD3744" s="48"/>
      <c r="CE3744" s="48"/>
      <c r="CF3744" s="48"/>
      <c r="CG3744" s="48"/>
      <c r="CH3744" s="48"/>
      <c r="CI3744" s="48"/>
      <c r="CJ3744" s="48"/>
      <c r="CK3744" s="48"/>
      <c r="CL3744" s="48"/>
      <c r="CM3744" s="48"/>
      <c r="CN3744" s="48"/>
      <c r="CO3744" s="48"/>
      <c r="CP3744" s="48"/>
      <c r="CQ3744" s="48"/>
      <c r="CR3744" s="48"/>
      <c r="CS3744" s="48"/>
      <c r="CT3744" s="48"/>
      <c r="CU3744" s="48"/>
      <c r="CV3744" s="48"/>
      <c r="CW3744" s="48"/>
      <c r="CX3744" s="48"/>
      <c r="CY3744" s="48"/>
      <c r="CZ3744" s="48"/>
    </row>
    <row r="3745" spans="27:104" s="4" customFormat="1" x14ac:dyDescent="0.3">
      <c r="AA3745" s="48"/>
      <c r="AB3745" s="48"/>
      <c r="AC3745" s="48"/>
      <c r="AD3745" s="48"/>
      <c r="AE3745" s="48"/>
      <c r="AF3745" s="48"/>
      <c r="AG3745" s="48"/>
      <c r="AH3745" s="48"/>
      <c r="AI3745" s="48"/>
      <c r="AJ3745" s="48"/>
      <c r="AK3745" s="48"/>
      <c r="AL3745" s="48"/>
      <c r="AM3745" s="48"/>
      <c r="AN3745" s="48"/>
      <c r="AO3745" s="48"/>
      <c r="AP3745" s="48"/>
      <c r="AQ3745" s="48"/>
      <c r="AR3745" s="48"/>
      <c r="AS3745" s="48"/>
      <c r="AT3745" s="48"/>
      <c r="AU3745" s="48"/>
      <c r="AV3745" s="48"/>
      <c r="AW3745" s="48"/>
      <c r="AX3745" s="48"/>
      <c r="AY3745" s="48"/>
      <c r="AZ3745" s="48"/>
      <c r="BA3745" s="48"/>
      <c r="BB3745" s="14"/>
      <c r="BC3745" s="48"/>
      <c r="BD3745" s="48"/>
      <c r="BE3745" s="48"/>
      <c r="BF3745" s="48"/>
      <c r="BG3745" s="48"/>
      <c r="BH3745" s="48"/>
      <c r="BI3745" s="48"/>
      <c r="BJ3745" s="48"/>
      <c r="BK3745" s="48"/>
      <c r="BL3745" s="48"/>
      <c r="BM3745" s="48"/>
      <c r="BN3745" s="48"/>
      <c r="BO3745" s="48"/>
      <c r="BP3745" s="48"/>
      <c r="BQ3745" s="48"/>
      <c r="BR3745" s="48"/>
      <c r="BS3745" s="48"/>
      <c r="BT3745" s="48"/>
      <c r="BU3745" s="48"/>
      <c r="BV3745" s="48"/>
      <c r="BW3745" s="48"/>
      <c r="BX3745" s="48"/>
      <c r="BY3745" s="48"/>
      <c r="BZ3745" s="48"/>
      <c r="CA3745" s="48"/>
      <c r="CB3745" s="48"/>
      <c r="CC3745" s="48"/>
      <c r="CD3745" s="48"/>
      <c r="CE3745" s="48"/>
      <c r="CF3745" s="48"/>
      <c r="CG3745" s="48"/>
      <c r="CH3745" s="48"/>
      <c r="CI3745" s="48"/>
      <c r="CJ3745" s="48"/>
      <c r="CK3745" s="48"/>
      <c r="CL3745" s="48"/>
      <c r="CM3745" s="48"/>
      <c r="CN3745" s="48"/>
      <c r="CO3745" s="48"/>
      <c r="CP3745" s="48"/>
      <c r="CQ3745" s="48"/>
      <c r="CR3745" s="48"/>
      <c r="CS3745" s="48"/>
      <c r="CT3745" s="48"/>
      <c r="CU3745" s="48"/>
      <c r="CV3745" s="48"/>
      <c r="CW3745" s="48"/>
      <c r="CX3745" s="48"/>
      <c r="CY3745" s="48"/>
      <c r="CZ3745" s="48"/>
    </row>
    <row r="3746" spans="27:104" s="4" customFormat="1" x14ac:dyDescent="0.3">
      <c r="AA3746" s="48"/>
      <c r="AB3746" s="48"/>
      <c r="AC3746" s="48"/>
      <c r="AD3746" s="48"/>
      <c r="AE3746" s="48"/>
      <c r="AF3746" s="48"/>
      <c r="AG3746" s="48"/>
      <c r="AH3746" s="48"/>
      <c r="AI3746" s="48"/>
      <c r="AJ3746" s="48"/>
      <c r="AK3746" s="48"/>
      <c r="AL3746" s="48"/>
      <c r="AM3746" s="48"/>
      <c r="AN3746" s="48"/>
      <c r="AO3746" s="48"/>
      <c r="AP3746" s="48"/>
      <c r="AQ3746" s="48"/>
      <c r="AR3746" s="48"/>
      <c r="AS3746" s="48"/>
      <c r="AT3746" s="48"/>
      <c r="AU3746" s="48"/>
      <c r="AV3746" s="48"/>
      <c r="AW3746" s="48"/>
      <c r="AX3746" s="48"/>
      <c r="AY3746" s="48"/>
      <c r="AZ3746" s="48"/>
      <c r="BA3746" s="48"/>
      <c r="BB3746" s="14"/>
      <c r="BC3746" s="48"/>
      <c r="BD3746" s="48"/>
      <c r="BE3746" s="48"/>
      <c r="BF3746" s="48"/>
      <c r="BG3746" s="48"/>
      <c r="BH3746" s="48"/>
      <c r="BI3746" s="48"/>
      <c r="BJ3746" s="48"/>
      <c r="BK3746" s="48"/>
      <c r="BL3746" s="48"/>
      <c r="BM3746" s="48"/>
      <c r="BN3746" s="48"/>
      <c r="BO3746" s="48"/>
      <c r="BP3746" s="48"/>
      <c r="BQ3746" s="48"/>
      <c r="BR3746" s="48"/>
      <c r="BS3746" s="48"/>
      <c r="BT3746" s="48"/>
      <c r="BU3746" s="48"/>
      <c r="BV3746" s="48"/>
      <c r="BW3746" s="48"/>
      <c r="BX3746" s="48"/>
      <c r="BY3746" s="48"/>
      <c r="BZ3746" s="48"/>
      <c r="CA3746" s="48"/>
      <c r="CB3746" s="48"/>
      <c r="CC3746" s="48"/>
      <c r="CD3746" s="48"/>
      <c r="CE3746" s="48"/>
      <c r="CF3746" s="48"/>
      <c r="CG3746" s="48"/>
      <c r="CH3746" s="48"/>
      <c r="CI3746" s="48"/>
      <c r="CJ3746" s="48"/>
      <c r="CK3746" s="48"/>
      <c r="CL3746" s="48"/>
      <c r="CM3746" s="48"/>
      <c r="CN3746" s="48"/>
      <c r="CO3746" s="48"/>
      <c r="CP3746" s="48"/>
      <c r="CQ3746" s="48"/>
      <c r="CR3746" s="48"/>
      <c r="CS3746" s="48"/>
      <c r="CT3746" s="48"/>
      <c r="CU3746" s="48"/>
      <c r="CV3746" s="48"/>
      <c r="CW3746" s="48"/>
      <c r="CX3746" s="48"/>
      <c r="CY3746" s="48"/>
      <c r="CZ3746" s="48"/>
    </row>
    <row r="3747" spans="27:104" s="4" customFormat="1" x14ac:dyDescent="0.3">
      <c r="AA3747" s="48"/>
      <c r="AB3747" s="48"/>
      <c r="AC3747" s="48"/>
      <c r="AD3747" s="48"/>
      <c r="AE3747" s="48"/>
      <c r="AF3747" s="48"/>
      <c r="AG3747" s="48"/>
      <c r="AH3747" s="48"/>
      <c r="AI3747" s="48"/>
      <c r="AJ3747" s="48"/>
      <c r="AK3747" s="48"/>
      <c r="AL3747" s="48"/>
      <c r="AM3747" s="48"/>
      <c r="AN3747" s="48"/>
      <c r="AO3747" s="48"/>
      <c r="AP3747" s="48"/>
      <c r="AQ3747" s="48"/>
      <c r="AR3747" s="48"/>
      <c r="AS3747" s="48"/>
      <c r="AT3747" s="48"/>
      <c r="AU3747" s="48"/>
      <c r="AV3747" s="48"/>
      <c r="AW3747" s="48"/>
      <c r="AX3747" s="48"/>
      <c r="AY3747" s="48"/>
      <c r="AZ3747" s="48"/>
      <c r="BA3747" s="48"/>
      <c r="BB3747" s="14"/>
      <c r="BC3747" s="48"/>
      <c r="BD3747" s="48"/>
      <c r="BE3747" s="48"/>
      <c r="BF3747" s="48"/>
      <c r="BG3747" s="48"/>
      <c r="BH3747" s="48"/>
      <c r="BI3747" s="48"/>
      <c r="BJ3747" s="48"/>
      <c r="BK3747" s="48"/>
      <c r="BL3747" s="48"/>
      <c r="BM3747" s="48"/>
      <c r="BN3747" s="48"/>
      <c r="BO3747" s="48"/>
      <c r="BP3747" s="48"/>
      <c r="BQ3747" s="48"/>
      <c r="BR3747" s="48"/>
      <c r="BS3747" s="48"/>
      <c r="BT3747" s="48"/>
      <c r="BU3747" s="48"/>
      <c r="BV3747" s="48"/>
      <c r="BW3747" s="48"/>
      <c r="BX3747" s="48"/>
      <c r="BY3747" s="48"/>
      <c r="BZ3747" s="48"/>
      <c r="CA3747" s="48"/>
      <c r="CB3747" s="48"/>
      <c r="CC3747" s="48"/>
      <c r="CD3747" s="48"/>
      <c r="CE3747" s="48"/>
      <c r="CF3747" s="48"/>
      <c r="CG3747" s="48"/>
      <c r="CH3747" s="48"/>
      <c r="CI3747" s="48"/>
      <c r="CJ3747" s="48"/>
      <c r="CK3747" s="48"/>
      <c r="CL3747" s="48"/>
      <c r="CM3747" s="48"/>
      <c r="CN3747" s="48"/>
      <c r="CO3747" s="48"/>
      <c r="CP3747" s="48"/>
      <c r="CQ3747" s="48"/>
      <c r="CR3747" s="48"/>
      <c r="CS3747" s="48"/>
      <c r="CT3747" s="48"/>
      <c r="CU3747" s="48"/>
      <c r="CV3747" s="48"/>
      <c r="CW3747" s="48"/>
      <c r="CX3747" s="48"/>
      <c r="CY3747" s="48"/>
      <c r="CZ3747" s="48"/>
    </row>
    <row r="3748" spans="27:104" s="4" customFormat="1" x14ac:dyDescent="0.3">
      <c r="AA3748" s="48"/>
      <c r="AB3748" s="48"/>
      <c r="AC3748" s="48"/>
      <c r="AD3748" s="48"/>
      <c r="AE3748" s="48"/>
      <c r="AF3748" s="48"/>
      <c r="AG3748" s="48"/>
      <c r="AH3748" s="48"/>
      <c r="AI3748" s="48"/>
      <c r="AJ3748" s="48"/>
      <c r="AK3748" s="48"/>
      <c r="AL3748" s="48"/>
      <c r="AM3748" s="48"/>
      <c r="AN3748" s="48"/>
      <c r="AO3748" s="48"/>
      <c r="AP3748" s="48"/>
      <c r="AQ3748" s="48"/>
      <c r="AR3748" s="48"/>
      <c r="AS3748" s="48"/>
      <c r="AT3748" s="48"/>
      <c r="AU3748" s="48"/>
      <c r="AV3748" s="48"/>
      <c r="AW3748" s="48"/>
      <c r="AX3748" s="48"/>
      <c r="AY3748" s="48"/>
      <c r="AZ3748" s="48"/>
      <c r="BA3748" s="48"/>
      <c r="BB3748" s="14"/>
      <c r="BC3748" s="48"/>
      <c r="BD3748" s="48"/>
      <c r="BE3748" s="48"/>
      <c r="BF3748" s="48"/>
      <c r="BG3748" s="48"/>
      <c r="BH3748" s="48"/>
      <c r="BI3748" s="48"/>
      <c r="BJ3748" s="48"/>
      <c r="BK3748" s="48"/>
      <c r="BL3748" s="48"/>
      <c r="BM3748" s="48"/>
      <c r="BN3748" s="48"/>
      <c r="BO3748" s="48"/>
      <c r="BP3748" s="48"/>
      <c r="BQ3748" s="48"/>
      <c r="BR3748" s="48"/>
      <c r="BS3748" s="48"/>
      <c r="BT3748" s="48"/>
      <c r="BU3748" s="48"/>
      <c r="BV3748" s="48"/>
      <c r="BW3748" s="48"/>
      <c r="BX3748" s="48"/>
      <c r="BY3748" s="48"/>
      <c r="BZ3748" s="48"/>
      <c r="CA3748" s="48"/>
      <c r="CB3748" s="48"/>
      <c r="CC3748" s="48"/>
      <c r="CD3748" s="48"/>
      <c r="CE3748" s="48"/>
      <c r="CF3748" s="48"/>
      <c r="CG3748" s="48"/>
      <c r="CH3748" s="48"/>
      <c r="CI3748" s="48"/>
      <c r="CJ3748" s="48"/>
      <c r="CK3748" s="48"/>
      <c r="CL3748" s="48"/>
      <c r="CM3748" s="48"/>
      <c r="CN3748" s="48"/>
      <c r="CO3748" s="48"/>
      <c r="CP3748" s="48"/>
      <c r="CQ3748" s="48"/>
      <c r="CR3748" s="48"/>
      <c r="CS3748" s="48"/>
      <c r="CT3748" s="48"/>
      <c r="CU3748" s="48"/>
      <c r="CV3748" s="48"/>
      <c r="CW3748" s="48"/>
      <c r="CX3748" s="48"/>
      <c r="CY3748" s="48"/>
      <c r="CZ3748" s="48"/>
    </row>
    <row r="3749" spans="27:104" s="4" customFormat="1" x14ac:dyDescent="0.3">
      <c r="AA3749" s="48"/>
      <c r="AB3749" s="48"/>
      <c r="AC3749" s="48"/>
      <c r="AD3749" s="48"/>
      <c r="AE3749" s="48"/>
      <c r="AF3749" s="48"/>
      <c r="AG3749" s="48"/>
      <c r="AH3749" s="48"/>
      <c r="AI3749" s="48"/>
      <c r="AJ3749" s="48"/>
      <c r="AK3749" s="48"/>
      <c r="AL3749" s="48"/>
      <c r="AM3749" s="48"/>
      <c r="AN3749" s="48"/>
      <c r="AO3749" s="48"/>
      <c r="AP3749" s="48"/>
      <c r="AQ3749" s="48"/>
      <c r="AR3749" s="48"/>
      <c r="AS3749" s="48"/>
      <c r="AT3749" s="48"/>
      <c r="AU3749" s="48"/>
      <c r="AV3749" s="48"/>
      <c r="AW3749" s="48"/>
      <c r="AX3749" s="48"/>
      <c r="AY3749" s="48"/>
      <c r="AZ3749" s="48"/>
      <c r="BA3749" s="48"/>
      <c r="BB3749" s="14"/>
      <c r="BC3749" s="48"/>
      <c r="BD3749" s="48"/>
      <c r="BE3749" s="48"/>
      <c r="BF3749" s="48"/>
      <c r="BG3749" s="48"/>
      <c r="BH3749" s="48"/>
      <c r="BI3749" s="48"/>
      <c r="BJ3749" s="48"/>
      <c r="BK3749" s="48"/>
      <c r="BL3749" s="48"/>
      <c r="BM3749" s="48"/>
      <c r="BN3749" s="48"/>
      <c r="BO3749" s="48"/>
      <c r="BP3749" s="48"/>
      <c r="BQ3749" s="48"/>
      <c r="BR3749" s="48"/>
      <c r="BS3749" s="48"/>
      <c r="BT3749" s="48"/>
      <c r="BU3749" s="48"/>
      <c r="BV3749" s="48"/>
      <c r="BW3749" s="48"/>
      <c r="BX3749" s="48"/>
      <c r="BY3749" s="48"/>
      <c r="BZ3749" s="48"/>
      <c r="CA3749" s="48"/>
      <c r="CB3749" s="48"/>
      <c r="CC3749" s="48"/>
      <c r="CD3749" s="48"/>
      <c r="CE3749" s="48"/>
      <c r="CF3749" s="48"/>
      <c r="CG3749" s="48"/>
      <c r="CH3749" s="48"/>
      <c r="CI3749" s="48"/>
      <c r="CJ3749" s="48"/>
      <c r="CK3749" s="48"/>
      <c r="CL3749" s="48"/>
      <c r="CM3749" s="48"/>
      <c r="CN3749" s="48"/>
      <c r="CO3749" s="48"/>
      <c r="CP3749" s="48"/>
      <c r="CQ3749" s="48"/>
      <c r="CR3749" s="48"/>
      <c r="CS3749" s="48"/>
      <c r="CT3749" s="48"/>
      <c r="CU3749" s="48"/>
      <c r="CV3749" s="48"/>
      <c r="CW3749" s="48"/>
      <c r="CX3749" s="48"/>
      <c r="CY3749" s="48"/>
      <c r="CZ3749" s="48"/>
    </row>
    <row r="3750" spans="27:104" s="4" customFormat="1" x14ac:dyDescent="0.3">
      <c r="AA3750" s="48"/>
      <c r="AB3750" s="48"/>
      <c r="AC3750" s="48"/>
      <c r="AD3750" s="48"/>
      <c r="AE3750" s="48"/>
      <c r="AF3750" s="48"/>
      <c r="AG3750" s="48"/>
      <c r="AH3750" s="48"/>
      <c r="AI3750" s="48"/>
      <c r="AJ3750" s="48"/>
      <c r="AK3750" s="48"/>
      <c r="AL3750" s="48"/>
      <c r="AM3750" s="48"/>
      <c r="AN3750" s="48"/>
      <c r="AO3750" s="48"/>
      <c r="AP3750" s="48"/>
      <c r="AQ3750" s="48"/>
      <c r="AR3750" s="48"/>
      <c r="AS3750" s="48"/>
      <c r="AT3750" s="48"/>
      <c r="AU3750" s="48"/>
      <c r="AV3750" s="48"/>
      <c r="AW3750" s="48"/>
      <c r="AX3750" s="48"/>
      <c r="AY3750" s="48"/>
      <c r="AZ3750" s="48"/>
      <c r="BA3750" s="48"/>
      <c r="BB3750" s="14"/>
      <c r="BC3750" s="48"/>
      <c r="BD3750" s="48"/>
      <c r="BE3750" s="48"/>
      <c r="BF3750" s="48"/>
      <c r="BG3750" s="48"/>
      <c r="BH3750" s="48"/>
      <c r="BI3750" s="48"/>
      <c r="BJ3750" s="48"/>
      <c r="BK3750" s="48"/>
      <c r="BL3750" s="48"/>
      <c r="BM3750" s="48"/>
      <c r="BN3750" s="48"/>
      <c r="BO3750" s="48"/>
      <c r="BP3750" s="48"/>
      <c r="BQ3750" s="48"/>
      <c r="BR3750" s="48"/>
      <c r="BS3750" s="48"/>
      <c r="BT3750" s="48"/>
      <c r="BU3750" s="48"/>
      <c r="BV3750" s="48"/>
      <c r="BW3750" s="48"/>
      <c r="BX3750" s="48"/>
      <c r="BY3750" s="48"/>
      <c r="BZ3750" s="48"/>
      <c r="CA3750" s="48"/>
      <c r="CB3750" s="48"/>
      <c r="CC3750" s="48"/>
      <c r="CD3750" s="48"/>
      <c r="CE3750" s="48"/>
      <c r="CF3750" s="48"/>
      <c r="CG3750" s="48"/>
      <c r="CH3750" s="48"/>
      <c r="CI3750" s="48"/>
      <c r="CJ3750" s="48"/>
      <c r="CK3750" s="48"/>
      <c r="CL3750" s="48"/>
      <c r="CM3750" s="48"/>
      <c r="CN3750" s="48"/>
      <c r="CO3750" s="48"/>
      <c r="CP3750" s="48"/>
      <c r="CQ3750" s="48"/>
      <c r="CR3750" s="48"/>
      <c r="CS3750" s="48"/>
      <c r="CT3750" s="48"/>
      <c r="CU3750" s="48"/>
      <c r="CV3750" s="48"/>
      <c r="CW3750" s="48"/>
      <c r="CX3750" s="48"/>
      <c r="CY3750" s="48"/>
      <c r="CZ3750" s="48"/>
    </row>
    <row r="3751" spans="27:104" s="4" customFormat="1" x14ac:dyDescent="0.3">
      <c r="AA3751" s="48"/>
      <c r="AB3751" s="48"/>
      <c r="AC3751" s="48"/>
      <c r="AD3751" s="48"/>
      <c r="AE3751" s="48"/>
      <c r="AF3751" s="48"/>
      <c r="AG3751" s="48"/>
      <c r="AH3751" s="48"/>
      <c r="AI3751" s="48"/>
      <c r="AJ3751" s="48"/>
      <c r="AK3751" s="48"/>
      <c r="AL3751" s="48"/>
      <c r="AM3751" s="48"/>
      <c r="AN3751" s="48"/>
      <c r="AO3751" s="48"/>
      <c r="AP3751" s="48"/>
      <c r="AQ3751" s="48"/>
      <c r="AR3751" s="48"/>
      <c r="AS3751" s="48"/>
      <c r="AT3751" s="48"/>
      <c r="AU3751" s="48"/>
      <c r="AV3751" s="48"/>
      <c r="AW3751" s="48"/>
      <c r="AX3751" s="48"/>
      <c r="AY3751" s="48"/>
      <c r="AZ3751" s="48"/>
      <c r="BA3751" s="48"/>
      <c r="BB3751" s="14"/>
      <c r="BC3751" s="48"/>
      <c r="BD3751" s="48"/>
      <c r="BE3751" s="48"/>
      <c r="BF3751" s="48"/>
      <c r="BG3751" s="48"/>
      <c r="BH3751" s="48"/>
      <c r="BI3751" s="48"/>
      <c r="BJ3751" s="48"/>
      <c r="BK3751" s="48"/>
      <c r="BL3751" s="48"/>
      <c r="BM3751" s="48"/>
      <c r="BN3751" s="48"/>
      <c r="BO3751" s="48"/>
      <c r="BP3751" s="48"/>
      <c r="BQ3751" s="48"/>
      <c r="BR3751" s="48"/>
      <c r="BS3751" s="48"/>
      <c r="BT3751" s="48"/>
      <c r="BU3751" s="48"/>
      <c r="BV3751" s="48"/>
      <c r="BW3751" s="48"/>
      <c r="BX3751" s="48"/>
      <c r="BY3751" s="48"/>
      <c r="BZ3751" s="48"/>
      <c r="CA3751" s="48"/>
      <c r="CB3751" s="48"/>
      <c r="CC3751" s="48"/>
      <c r="CD3751" s="48"/>
      <c r="CE3751" s="48"/>
      <c r="CF3751" s="48"/>
      <c r="CG3751" s="48"/>
      <c r="CH3751" s="48"/>
      <c r="CI3751" s="48"/>
      <c r="CJ3751" s="48"/>
      <c r="CK3751" s="48"/>
      <c r="CL3751" s="48"/>
      <c r="CM3751" s="48"/>
      <c r="CN3751" s="48"/>
      <c r="CO3751" s="48"/>
      <c r="CP3751" s="48"/>
      <c r="CQ3751" s="48"/>
      <c r="CR3751" s="48"/>
      <c r="CS3751" s="48"/>
      <c r="CT3751" s="48"/>
      <c r="CU3751" s="48"/>
      <c r="CV3751" s="48"/>
      <c r="CW3751" s="48"/>
      <c r="CX3751" s="48"/>
      <c r="CY3751" s="48"/>
      <c r="CZ3751" s="48"/>
    </row>
    <row r="3752" spans="27:104" s="4" customFormat="1" x14ac:dyDescent="0.3">
      <c r="AA3752" s="48"/>
      <c r="AB3752" s="48"/>
      <c r="AC3752" s="48"/>
      <c r="AD3752" s="48"/>
      <c r="AE3752" s="48"/>
      <c r="AF3752" s="48"/>
      <c r="AG3752" s="48"/>
      <c r="AH3752" s="48"/>
      <c r="AI3752" s="48"/>
      <c r="AJ3752" s="48"/>
      <c r="AK3752" s="48"/>
      <c r="AL3752" s="48"/>
      <c r="AM3752" s="48"/>
      <c r="AN3752" s="48"/>
      <c r="AO3752" s="48"/>
      <c r="AP3752" s="48"/>
      <c r="AQ3752" s="48"/>
      <c r="AR3752" s="48"/>
      <c r="AS3752" s="48"/>
      <c r="AT3752" s="48"/>
      <c r="AU3752" s="48"/>
      <c r="AV3752" s="48"/>
      <c r="AW3752" s="48"/>
      <c r="AX3752" s="48"/>
      <c r="AY3752" s="48"/>
      <c r="AZ3752" s="48"/>
      <c r="BA3752" s="48"/>
      <c r="BB3752" s="14"/>
      <c r="BC3752" s="48"/>
      <c r="BD3752" s="48"/>
      <c r="BE3752" s="48"/>
      <c r="BF3752" s="48"/>
      <c r="BG3752" s="48"/>
      <c r="BH3752" s="48"/>
      <c r="BI3752" s="48"/>
      <c r="BJ3752" s="48"/>
      <c r="BK3752" s="48"/>
      <c r="BL3752" s="48"/>
      <c r="BM3752" s="48"/>
      <c r="BN3752" s="48"/>
      <c r="BO3752" s="48"/>
      <c r="BP3752" s="48"/>
      <c r="BQ3752" s="48"/>
      <c r="BR3752" s="48"/>
      <c r="BS3752" s="48"/>
      <c r="BT3752" s="48"/>
      <c r="BU3752" s="48"/>
      <c r="BV3752" s="48"/>
      <c r="BW3752" s="48"/>
      <c r="BX3752" s="48"/>
      <c r="BY3752" s="48"/>
      <c r="BZ3752" s="48"/>
      <c r="CA3752" s="48"/>
      <c r="CB3752" s="48"/>
      <c r="CC3752" s="48"/>
      <c r="CD3752" s="48"/>
      <c r="CE3752" s="48"/>
      <c r="CF3752" s="48"/>
      <c r="CG3752" s="48"/>
      <c r="CH3752" s="48"/>
      <c r="CI3752" s="48"/>
      <c r="CJ3752" s="48"/>
      <c r="CK3752" s="48"/>
      <c r="CL3752" s="48"/>
      <c r="CM3752" s="48"/>
      <c r="CN3752" s="48"/>
      <c r="CO3752" s="48"/>
      <c r="CP3752" s="48"/>
      <c r="CQ3752" s="48"/>
      <c r="CR3752" s="48"/>
      <c r="CS3752" s="48"/>
      <c r="CT3752" s="48"/>
      <c r="CU3752" s="48"/>
      <c r="CV3752" s="48"/>
      <c r="CW3752" s="48"/>
      <c r="CX3752" s="48"/>
      <c r="CY3752" s="48"/>
      <c r="CZ3752" s="48"/>
    </row>
    <row r="3753" spans="27:104" s="4" customFormat="1" x14ac:dyDescent="0.3">
      <c r="AA3753" s="48"/>
      <c r="AB3753" s="48"/>
      <c r="AC3753" s="48"/>
      <c r="AD3753" s="48"/>
      <c r="AE3753" s="48"/>
      <c r="AF3753" s="48"/>
      <c r="AG3753" s="48"/>
      <c r="AH3753" s="48"/>
      <c r="AI3753" s="48"/>
      <c r="AJ3753" s="48"/>
      <c r="AK3753" s="48"/>
      <c r="AL3753" s="48"/>
      <c r="AM3753" s="48"/>
      <c r="AN3753" s="48"/>
      <c r="AO3753" s="48"/>
      <c r="AP3753" s="48"/>
      <c r="AQ3753" s="48"/>
      <c r="AR3753" s="48"/>
      <c r="AS3753" s="48"/>
      <c r="AT3753" s="48"/>
      <c r="AU3753" s="48"/>
      <c r="AV3753" s="48"/>
      <c r="AW3753" s="48"/>
      <c r="AX3753" s="48"/>
      <c r="AY3753" s="48"/>
      <c r="AZ3753" s="48"/>
      <c r="BA3753" s="48"/>
      <c r="BB3753" s="14"/>
      <c r="BC3753" s="48"/>
      <c r="BD3753" s="48"/>
      <c r="BE3753" s="48"/>
      <c r="BF3753" s="48"/>
      <c r="BG3753" s="48"/>
      <c r="BH3753" s="48"/>
      <c r="BI3753" s="48"/>
      <c r="BJ3753" s="48"/>
      <c r="BK3753" s="48"/>
      <c r="BL3753" s="48"/>
      <c r="BM3753" s="48"/>
      <c r="BN3753" s="48"/>
      <c r="BO3753" s="48"/>
      <c r="BP3753" s="48"/>
      <c r="BQ3753" s="48"/>
      <c r="BR3753" s="48"/>
      <c r="BS3753" s="48"/>
      <c r="BT3753" s="48"/>
      <c r="BU3753" s="48"/>
      <c r="BV3753" s="48"/>
      <c r="BW3753" s="48"/>
      <c r="BX3753" s="48"/>
      <c r="BY3753" s="48"/>
      <c r="BZ3753" s="48"/>
      <c r="CA3753" s="48"/>
      <c r="CB3753" s="48"/>
      <c r="CC3753" s="48"/>
      <c r="CD3753" s="48"/>
      <c r="CE3753" s="48"/>
      <c r="CF3753" s="48"/>
      <c r="CG3753" s="48"/>
      <c r="CH3753" s="48"/>
      <c r="CI3753" s="48"/>
      <c r="CJ3753" s="48"/>
      <c r="CK3753" s="48"/>
      <c r="CL3753" s="48"/>
      <c r="CM3753" s="48"/>
      <c r="CN3753" s="48"/>
      <c r="CO3753" s="48"/>
      <c r="CP3753" s="48"/>
      <c r="CQ3753" s="48"/>
      <c r="CR3753" s="48"/>
      <c r="CS3753" s="48"/>
      <c r="CT3753" s="48"/>
      <c r="CU3753" s="48"/>
      <c r="CV3753" s="48"/>
      <c r="CW3753" s="48"/>
      <c r="CX3753" s="48"/>
      <c r="CY3753" s="48"/>
      <c r="CZ3753" s="48"/>
    </row>
    <row r="3754" spans="27:104" s="4" customFormat="1" x14ac:dyDescent="0.3">
      <c r="AA3754" s="48"/>
      <c r="AB3754" s="48"/>
      <c r="AC3754" s="48"/>
      <c r="AD3754" s="48"/>
      <c r="AE3754" s="48"/>
      <c r="AF3754" s="48"/>
      <c r="AG3754" s="48"/>
      <c r="AH3754" s="48"/>
      <c r="AI3754" s="48"/>
      <c r="AJ3754" s="48"/>
      <c r="AK3754" s="48"/>
      <c r="AL3754" s="48"/>
      <c r="AM3754" s="48"/>
      <c r="AN3754" s="48"/>
      <c r="AO3754" s="48"/>
      <c r="AP3754" s="48"/>
      <c r="AQ3754" s="48"/>
      <c r="AR3754" s="48"/>
      <c r="AS3754" s="48"/>
      <c r="AT3754" s="48"/>
      <c r="AU3754" s="48"/>
      <c r="AV3754" s="48"/>
      <c r="AW3754" s="48"/>
      <c r="AX3754" s="48"/>
      <c r="AY3754" s="48"/>
      <c r="AZ3754" s="48"/>
      <c r="BA3754" s="48"/>
      <c r="BB3754" s="14"/>
      <c r="BC3754" s="48"/>
      <c r="BD3754" s="48"/>
      <c r="BE3754" s="48"/>
      <c r="BF3754" s="48"/>
      <c r="BG3754" s="48"/>
      <c r="BH3754" s="48"/>
      <c r="BI3754" s="48"/>
      <c r="BJ3754" s="48"/>
      <c r="BK3754" s="48"/>
      <c r="BL3754" s="48"/>
      <c r="BM3754" s="48"/>
      <c r="BN3754" s="48"/>
      <c r="BO3754" s="48"/>
      <c r="BP3754" s="48"/>
      <c r="BQ3754" s="48"/>
      <c r="BR3754" s="48"/>
      <c r="BS3754" s="48"/>
      <c r="BT3754" s="48"/>
      <c r="BU3754" s="48"/>
      <c r="BV3754" s="48"/>
      <c r="BW3754" s="48"/>
      <c r="BX3754" s="48"/>
      <c r="BY3754" s="48"/>
      <c r="BZ3754" s="48"/>
      <c r="CA3754" s="48"/>
      <c r="CB3754" s="48"/>
      <c r="CC3754" s="48"/>
      <c r="CD3754" s="48"/>
      <c r="CE3754" s="48"/>
      <c r="CF3754" s="48"/>
      <c r="CG3754" s="48"/>
      <c r="CH3754" s="48"/>
      <c r="CI3754" s="48"/>
      <c r="CJ3754" s="48"/>
      <c r="CK3754" s="48"/>
      <c r="CL3754" s="48"/>
      <c r="CM3754" s="48"/>
      <c r="CN3754" s="48"/>
      <c r="CO3754" s="48"/>
      <c r="CP3754" s="48"/>
      <c r="CQ3754" s="48"/>
      <c r="CR3754" s="48"/>
      <c r="CS3754" s="48"/>
      <c r="CT3754" s="48"/>
      <c r="CU3754" s="48"/>
      <c r="CV3754" s="48"/>
      <c r="CW3754" s="48"/>
      <c r="CX3754" s="48"/>
      <c r="CY3754" s="48"/>
      <c r="CZ3754" s="48"/>
    </row>
    <row r="3755" spans="27:104" s="4" customFormat="1" x14ac:dyDescent="0.3">
      <c r="AA3755" s="48"/>
      <c r="AB3755" s="48"/>
      <c r="AC3755" s="48"/>
      <c r="AD3755" s="48"/>
      <c r="AE3755" s="48"/>
      <c r="AF3755" s="48"/>
      <c r="AG3755" s="48"/>
      <c r="AH3755" s="48"/>
      <c r="AI3755" s="48"/>
      <c r="AJ3755" s="48"/>
      <c r="AK3755" s="48"/>
      <c r="AL3755" s="48"/>
      <c r="AM3755" s="48"/>
      <c r="AN3755" s="48"/>
      <c r="AO3755" s="48"/>
      <c r="AP3755" s="48"/>
      <c r="AQ3755" s="48"/>
      <c r="AR3755" s="48"/>
      <c r="AS3755" s="48"/>
      <c r="AT3755" s="48"/>
      <c r="AU3755" s="48"/>
      <c r="AV3755" s="48"/>
      <c r="AW3755" s="48"/>
      <c r="AX3755" s="48"/>
      <c r="AY3755" s="48"/>
      <c r="AZ3755" s="48"/>
      <c r="BA3755" s="48"/>
      <c r="BB3755" s="14"/>
      <c r="BC3755" s="48"/>
      <c r="BD3755" s="48"/>
      <c r="BE3755" s="48"/>
      <c r="BF3755" s="48"/>
      <c r="BG3755" s="48"/>
      <c r="BH3755" s="48"/>
      <c r="BI3755" s="48"/>
      <c r="BJ3755" s="48"/>
      <c r="BK3755" s="48"/>
      <c r="BL3755" s="48"/>
      <c r="BM3755" s="48"/>
      <c r="BN3755" s="48"/>
      <c r="BO3755" s="48"/>
      <c r="BP3755" s="48"/>
      <c r="BQ3755" s="48"/>
      <c r="BR3755" s="48"/>
      <c r="BS3755" s="48"/>
      <c r="BT3755" s="48"/>
      <c r="BU3755" s="48"/>
      <c r="BV3755" s="48"/>
      <c r="BW3755" s="48"/>
      <c r="BX3755" s="48"/>
      <c r="BY3755" s="48"/>
      <c r="BZ3755" s="48"/>
      <c r="CA3755" s="48"/>
      <c r="CB3755" s="48"/>
      <c r="CC3755" s="48"/>
      <c r="CD3755" s="48"/>
      <c r="CE3755" s="48"/>
      <c r="CF3755" s="48"/>
      <c r="CG3755" s="48"/>
      <c r="CH3755" s="48"/>
      <c r="CI3755" s="48"/>
      <c r="CJ3755" s="48"/>
      <c r="CK3755" s="48"/>
      <c r="CL3755" s="48"/>
      <c r="CM3755" s="48"/>
      <c r="CN3755" s="48"/>
      <c r="CO3755" s="48"/>
      <c r="CP3755" s="48"/>
      <c r="CQ3755" s="48"/>
      <c r="CR3755" s="48"/>
      <c r="CS3755" s="48"/>
      <c r="CT3755" s="48"/>
      <c r="CU3755" s="48"/>
      <c r="CV3755" s="48"/>
      <c r="CW3755" s="48"/>
      <c r="CX3755" s="48"/>
      <c r="CY3755" s="48"/>
      <c r="CZ3755" s="48"/>
    </row>
    <row r="3756" spans="27:104" s="4" customFormat="1" x14ac:dyDescent="0.3">
      <c r="AA3756" s="48"/>
      <c r="AB3756" s="48"/>
      <c r="AC3756" s="48"/>
      <c r="AD3756" s="48"/>
      <c r="AE3756" s="48"/>
      <c r="AF3756" s="48"/>
      <c r="AG3756" s="48"/>
      <c r="AH3756" s="48"/>
      <c r="AI3756" s="48"/>
      <c r="AJ3756" s="48"/>
      <c r="AK3756" s="48"/>
      <c r="AL3756" s="48"/>
      <c r="AM3756" s="48"/>
      <c r="AN3756" s="48"/>
      <c r="AO3756" s="48"/>
      <c r="AP3756" s="48"/>
      <c r="AQ3756" s="48"/>
      <c r="AR3756" s="48"/>
      <c r="AS3756" s="48"/>
      <c r="AT3756" s="48"/>
      <c r="AU3756" s="48"/>
      <c r="AV3756" s="48"/>
      <c r="AW3756" s="48"/>
      <c r="AX3756" s="48"/>
      <c r="AY3756" s="48"/>
      <c r="AZ3756" s="48"/>
      <c r="BA3756" s="48"/>
      <c r="BB3756" s="14"/>
      <c r="BC3756" s="48"/>
      <c r="BD3756" s="48"/>
      <c r="BE3756" s="48"/>
      <c r="BF3756" s="48"/>
      <c r="BG3756" s="48"/>
      <c r="BH3756" s="48"/>
      <c r="BI3756" s="48"/>
      <c r="BJ3756" s="48"/>
      <c r="BK3756" s="48"/>
      <c r="BL3756" s="48"/>
      <c r="BM3756" s="48"/>
      <c r="BN3756" s="48"/>
      <c r="BO3756" s="48"/>
      <c r="BP3756" s="48"/>
      <c r="BQ3756" s="48"/>
      <c r="BR3756" s="48"/>
      <c r="BS3756" s="48"/>
      <c r="BT3756" s="48"/>
      <c r="BU3756" s="48"/>
      <c r="BV3756" s="48"/>
      <c r="BW3756" s="48"/>
      <c r="BX3756" s="48"/>
      <c r="BY3756" s="48"/>
      <c r="BZ3756" s="48"/>
      <c r="CA3756" s="48"/>
      <c r="CB3756" s="48"/>
      <c r="CC3756" s="48"/>
      <c r="CD3756" s="48"/>
      <c r="CE3756" s="48"/>
      <c r="CF3756" s="48"/>
      <c r="CG3756" s="48"/>
      <c r="CH3756" s="48"/>
      <c r="CI3756" s="48"/>
      <c r="CJ3756" s="48"/>
      <c r="CK3756" s="48"/>
      <c r="CL3756" s="48"/>
      <c r="CM3756" s="48"/>
      <c r="CN3756" s="48"/>
      <c r="CO3756" s="48"/>
      <c r="CP3756" s="48"/>
      <c r="CQ3756" s="48"/>
      <c r="CR3756" s="48"/>
      <c r="CS3756" s="48"/>
      <c r="CT3756" s="48"/>
      <c r="CU3756" s="48"/>
      <c r="CV3756" s="48"/>
      <c r="CW3756" s="48"/>
      <c r="CX3756" s="48"/>
      <c r="CY3756" s="48"/>
      <c r="CZ3756" s="48"/>
    </row>
    <row r="3757" spans="27:104" s="4" customFormat="1" x14ac:dyDescent="0.3">
      <c r="AA3757" s="48"/>
      <c r="AB3757" s="48"/>
      <c r="AC3757" s="48"/>
      <c r="AD3757" s="48"/>
      <c r="AE3757" s="48"/>
      <c r="AF3757" s="48"/>
      <c r="AG3757" s="48"/>
      <c r="AH3757" s="48"/>
      <c r="AI3757" s="48"/>
      <c r="AJ3757" s="48"/>
      <c r="AK3757" s="48"/>
      <c r="AL3757" s="48"/>
      <c r="AM3757" s="48"/>
      <c r="AN3757" s="48"/>
      <c r="AO3757" s="48"/>
      <c r="AP3757" s="48"/>
      <c r="AQ3757" s="48"/>
      <c r="AR3757" s="48"/>
      <c r="AS3757" s="48"/>
      <c r="AT3757" s="48"/>
      <c r="AU3757" s="48"/>
      <c r="AV3757" s="48"/>
      <c r="AW3757" s="48"/>
      <c r="AX3757" s="48"/>
      <c r="AY3757" s="48"/>
      <c r="AZ3757" s="48"/>
      <c r="BA3757" s="48"/>
      <c r="BB3757" s="14"/>
      <c r="BC3757" s="48"/>
      <c r="BD3757" s="48"/>
      <c r="BE3757" s="48"/>
      <c r="BF3757" s="48"/>
      <c r="BG3757" s="48"/>
      <c r="BH3757" s="48"/>
      <c r="BI3757" s="48"/>
      <c r="BJ3757" s="48"/>
      <c r="BK3757" s="48"/>
      <c r="BL3757" s="48"/>
      <c r="BM3757" s="48"/>
      <c r="BN3757" s="48"/>
      <c r="BO3757" s="48"/>
      <c r="BP3757" s="48"/>
      <c r="BQ3757" s="48"/>
      <c r="BR3757" s="48"/>
      <c r="BS3757" s="48"/>
      <c r="BT3757" s="48"/>
      <c r="BU3757" s="48"/>
      <c r="BV3757" s="48"/>
      <c r="BW3757" s="48"/>
      <c r="BX3757" s="48"/>
      <c r="BY3757" s="48"/>
      <c r="BZ3757" s="48"/>
      <c r="CA3757" s="48"/>
      <c r="CB3757" s="48"/>
      <c r="CC3757" s="48"/>
      <c r="CD3757" s="48"/>
      <c r="CE3757" s="48"/>
      <c r="CF3757" s="48"/>
      <c r="CG3757" s="48"/>
      <c r="CH3757" s="48"/>
      <c r="CI3757" s="48"/>
      <c r="CJ3757" s="48"/>
      <c r="CK3757" s="48"/>
      <c r="CL3757" s="48"/>
      <c r="CM3757" s="48"/>
      <c r="CN3757" s="48"/>
      <c r="CO3757" s="48"/>
      <c r="CP3757" s="48"/>
      <c r="CQ3757" s="48"/>
      <c r="CR3757" s="48"/>
      <c r="CS3757" s="48"/>
      <c r="CT3757" s="48"/>
      <c r="CU3757" s="48"/>
      <c r="CV3757" s="48"/>
      <c r="CW3757" s="48"/>
      <c r="CX3757" s="48"/>
      <c r="CY3757" s="48"/>
      <c r="CZ3757" s="48"/>
    </row>
    <row r="3758" spans="27:104" s="4" customFormat="1" x14ac:dyDescent="0.3">
      <c r="AA3758" s="48"/>
      <c r="AB3758" s="48"/>
      <c r="AC3758" s="48"/>
      <c r="AD3758" s="48"/>
      <c r="AE3758" s="48"/>
      <c r="AF3758" s="48"/>
      <c r="AG3758" s="48"/>
      <c r="AH3758" s="48"/>
      <c r="AI3758" s="48"/>
      <c r="AJ3758" s="48"/>
      <c r="AK3758" s="48"/>
      <c r="AL3758" s="48"/>
      <c r="AM3758" s="48"/>
      <c r="AN3758" s="48"/>
      <c r="AO3758" s="48"/>
      <c r="AP3758" s="48"/>
      <c r="AQ3758" s="48"/>
      <c r="AR3758" s="48"/>
      <c r="AS3758" s="48"/>
      <c r="AT3758" s="48"/>
      <c r="AU3758" s="48"/>
      <c r="AV3758" s="48"/>
      <c r="AW3758" s="48"/>
      <c r="AX3758" s="48"/>
      <c r="AY3758" s="48"/>
      <c r="AZ3758" s="48"/>
      <c r="BA3758" s="48"/>
      <c r="BB3758" s="14"/>
      <c r="BC3758" s="48"/>
      <c r="BD3758" s="48"/>
      <c r="BE3758" s="48"/>
      <c r="BF3758" s="48"/>
      <c r="BG3758" s="48"/>
      <c r="BH3758" s="48"/>
      <c r="BI3758" s="48"/>
      <c r="BJ3758" s="48"/>
      <c r="BK3758" s="48"/>
      <c r="BL3758" s="48"/>
      <c r="BM3758" s="48"/>
      <c r="BN3758" s="48"/>
      <c r="BO3758" s="48"/>
      <c r="BP3758" s="48"/>
      <c r="BQ3758" s="48"/>
      <c r="BR3758" s="48"/>
      <c r="BS3758" s="48"/>
      <c r="BT3758" s="48"/>
      <c r="BU3758" s="48"/>
      <c r="BV3758" s="48"/>
      <c r="BW3758" s="48"/>
      <c r="BX3758" s="48"/>
      <c r="BY3758" s="48"/>
      <c r="BZ3758" s="48"/>
      <c r="CA3758" s="48"/>
      <c r="CB3758" s="48"/>
      <c r="CC3758" s="48"/>
      <c r="CD3758" s="48"/>
      <c r="CE3758" s="48"/>
      <c r="CF3758" s="48"/>
      <c r="CG3758" s="48"/>
      <c r="CH3758" s="48"/>
      <c r="CI3758" s="48"/>
      <c r="CJ3758" s="48"/>
      <c r="CK3758" s="48"/>
      <c r="CL3758" s="48"/>
      <c r="CM3758" s="48"/>
      <c r="CN3758" s="48"/>
      <c r="CO3758" s="48"/>
      <c r="CP3758" s="48"/>
      <c r="CQ3758" s="48"/>
      <c r="CR3758" s="48"/>
      <c r="CS3758" s="48"/>
      <c r="CT3758" s="48"/>
      <c r="CU3758" s="48"/>
      <c r="CV3758" s="48"/>
      <c r="CW3758" s="48"/>
      <c r="CX3758" s="48"/>
      <c r="CY3758" s="48"/>
      <c r="CZ3758" s="48"/>
    </row>
    <row r="3759" spans="27:104" s="4" customFormat="1" x14ac:dyDescent="0.3">
      <c r="AA3759" s="48"/>
      <c r="AB3759" s="48"/>
      <c r="AC3759" s="48"/>
      <c r="AD3759" s="48"/>
      <c r="AE3759" s="48"/>
      <c r="AF3759" s="48"/>
      <c r="AG3759" s="48"/>
      <c r="AH3759" s="48"/>
      <c r="AI3759" s="48"/>
      <c r="AJ3759" s="48"/>
      <c r="AK3759" s="48"/>
      <c r="AL3759" s="48"/>
      <c r="AM3759" s="48"/>
      <c r="AN3759" s="48"/>
      <c r="AO3759" s="48"/>
      <c r="AP3759" s="48"/>
      <c r="AQ3759" s="48"/>
      <c r="AR3759" s="48"/>
      <c r="AS3759" s="48"/>
      <c r="AT3759" s="48"/>
      <c r="AU3759" s="48"/>
      <c r="AV3759" s="48"/>
      <c r="AW3759" s="48"/>
      <c r="AX3759" s="48"/>
      <c r="AY3759" s="48"/>
      <c r="AZ3759" s="48"/>
      <c r="BA3759" s="48"/>
      <c r="BB3759" s="14"/>
      <c r="BC3759" s="48"/>
      <c r="BD3759" s="48"/>
      <c r="BE3759" s="48"/>
      <c r="BF3759" s="48"/>
      <c r="BG3759" s="48"/>
      <c r="BH3759" s="48"/>
      <c r="BI3759" s="48"/>
      <c r="BJ3759" s="48"/>
      <c r="BK3759" s="48"/>
      <c r="BL3759" s="48"/>
      <c r="BM3759" s="48"/>
      <c r="BN3759" s="48"/>
      <c r="BO3759" s="48"/>
      <c r="BP3759" s="48"/>
      <c r="BQ3759" s="48"/>
      <c r="BR3759" s="48"/>
      <c r="BS3759" s="48"/>
      <c r="BT3759" s="48"/>
      <c r="BU3759" s="48"/>
      <c r="BV3759" s="48"/>
      <c r="BW3759" s="48"/>
      <c r="BX3759" s="48"/>
      <c r="BY3759" s="48"/>
      <c r="BZ3759" s="48"/>
      <c r="CA3759" s="48"/>
      <c r="CB3759" s="48"/>
      <c r="CC3759" s="48"/>
      <c r="CD3759" s="48"/>
      <c r="CE3759" s="48"/>
      <c r="CF3759" s="48"/>
      <c r="CG3759" s="48"/>
      <c r="CH3759" s="48"/>
      <c r="CI3759" s="48"/>
      <c r="CJ3759" s="48"/>
      <c r="CK3759" s="48"/>
      <c r="CL3759" s="48"/>
      <c r="CM3759" s="48"/>
      <c r="CN3759" s="48"/>
      <c r="CO3759" s="48"/>
      <c r="CP3759" s="48"/>
      <c r="CQ3759" s="48"/>
      <c r="CR3759" s="48"/>
      <c r="CS3759" s="48"/>
      <c r="CT3759" s="48"/>
      <c r="CU3759" s="48"/>
      <c r="CV3759" s="48"/>
      <c r="CW3759" s="48"/>
      <c r="CX3759" s="48"/>
      <c r="CY3759" s="48"/>
      <c r="CZ3759" s="48"/>
    </row>
    <row r="3760" spans="27:104" s="4" customFormat="1" x14ac:dyDescent="0.3">
      <c r="AA3760" s="48"/>
      <c r="AB3760" s="48"/>
      <c r="AC3760" s="48"/>
      <c r="AD3760" s="48"/>
      <c r="AE3760" s="48"/>
      <c r="AF3760" s="48"/>
      <c r="AG3760" s="48"/>
      <c r="AH3760" s="48"/>
      <c r="AI3760" s="48"/>
      <c r="AJ3760" s="48"/>
      <c r="AK3760" s="48"/>
      <c r="AL3760" s="48"/>
      <c r="AM3760" s="48"/>
      <c r="AN3760" s="48"/>
      <c r="AO3760" s="48"/>
      <c r="AP3760" s="48"/>
      <c r="AQ3760" s="48"/>
      <c r="AR3760" s="48"/>
      <c r="AS3760" s="48"/>
      <c r="AT3760" s="48"/>
      <c r="AU3760" s="48"/>
      <c r="AV3760" s="48"/>
      <c r="AW3760" s="48"/>
      <c r="AX3760" s="48"/>
      <c r="AY3760" s="48"/>
      <c r="AZ3760" s="48"/>
      <c r="BA3760" s="48"/>
      <c r="BB3760" s="14"/>
      <c r="BC3760" s="48"/>
      <c r="BD3760" s="48"/>
      <c r="BE3760" s="48"/>
      <c r="BF3760" s="48"/>
      <c r="BG3760" s="48"/>
      <c r="BH3760" s="48"/>
      <c r="BI3760" s="48"/>
      <c r="BJ3760" s="48"/>
      <c r="BK3760" s="48"/>
      <c r="BL3760" s="48"/>
      <c r="BM3760" s="48"/>
      <c r="BN3760" s="48"/>
      <c r="BO3760" s="48"/>
      <c r="BP3760" s="48"/>
      <c r="BQ3760" s="48"/>
      <c r="BR3760" s="48"/>
      <c r="BS3760" s="48"/>
      <c r="BT3760" s="48"/>
      <c r="BU3760" s="48"/>
      <c r="BV3760" s="48"/>
      <c r="BW3760" s="48"/>
      <c r="BX3760" s="48"/>
      <c r="BY3760" s="48"/>
      <c r="BZ3760" s="48"/>
      <c r="CA3760" s="48"/>
      <c r="CB3760" s="48"/>
      <c r="CC3760" s="48"/>
      <c r="CD3760" s="48"/>
      <c r="CE3760" s="48"/>
      <c r="CF3760" s="48"/>
      <c r="CG3760" s="48"/>
      <c r="CH3760" s="48"/>
      <c r="CI3760" s="48"/>
      <c r="CJ3760" s="48"/>
      <c r="CK3760" s="48"/>
      <c r="CL3760" s="48"/>
      <c r="CM3760" s="48"/>
      <c r="CN3760" s="48"/>
      <c r="CO3760" s="48"/>
      <c r="CP3760" s="48"/>
      <c r="CQ3760" s="48"/>
      <c r="CR3760" s="48"/>
      <c r="CS3760" s="48"/>
      <c r="CT3760" s="48"/>
      <c r="CU3760" s="48"/>
      <c r="CV3760" s="48"/>
      <c r="CW3760" s="48"/>
      <c r="CX3760" s="48"/>
      <c r="CY3760" s="48"/>
      <c r="CZ3760" s="48"/>
    </row>
    <row r="3761" spans="27:104" s="4" customFormat="1" x14ac:dyDescent="0.3">
      <c r="AA3761" s="48"/>
      <c r="AB3761" s="48"/>
      <c r="AC3761" s="48"/>
      <c r="AD3761" s="48"/>
      <c r="AE3761" s="48"/>
      <c r="AF3761" s="48"/>
      <c r="AG3761" s="48"/>
      <c r="AH3761" s="48"/>
      <c r="AI3761" s="48"/>
      <c r="AJ3761" s="48"/>
      <c r="AK3761" s="48"/>
      <c r="AL3761" s="48"/>
      <c r="AM3761" s="48"/>
      <c r="AN3761" s="48"/>
      <c r="AO3761" s="48"/>
      <c r="AP3761" s="48"/>
      <c r="AQ3761" s="48"/>
      <c r="AR3761" s="48"/>
      <c r="AS3761" s="48"/>
      <c r="AT3761" s="48"/>
      <c r="AU3761" s="48"/>
      <c r="AV3761" s="48"/>
      <c r="AW3761" s="48"/>
      <c r="AX3761" s="48"/>
      <c r="AY3761" s="48"/>
      <c r="AZ3761" s="48"/>
      <c r="BA3761" s="48"/>
      <c r="BB3761" s="14"/>
      <c r="BC3761" s="48"/>
      <c r="BD3761" s="48"/>
      <c r="BE3761" s="48"/>
      <c r="BF3761" s="48"/>
      <c r="BG3761" s="48"/>
      <c r="BH3761" s="48"/>
      <c r="BI3761" s="48"/>
      <c r="BJ3761" s="48"/>
      <c r="BK3761" s="48"/>
      <c r="BL3761" s="48"/>
      <c r="BM3761" s="48"/>
      <c r="BN3761" s="48"/>
      <c r="BO3761" s="48"/>
      <c r="BP3761" s="48"/>
      <c r="BQ3761" s="48"/>
      <c r="BR3761" s="48"/>
      <c r="BS3761" s="48"/>
      <c r="BT3761" s="48"/>
      <c r="BU3761" s="48"/>
      <c r="BV3761" s="48"/>
      <c r="BW3761" s="48"/>
      <c r="BX3761" s="48"/>
      <c r="BY3761" s="48"/>
      <c r="BZ3761" s="48"/>
      <c r="CA3761" s="48"/>
      <c r="CB3761" s="48"/>
      <c r="CC3761" s="48"/>
      <c r="CD3761" s="48"/>
      <c r="CE3761" s="48"/>
      <c r="CF3761" s="48"/>
      <c r="CG3761" s="48"/>
      <c r="CH3761" s="48"/>
      <c r="CI3761" s="48"/>
      <c r="CJ3761" s="48"/>
      <c r="CK3761" s="48"/>
      <c r="CL3761" s="48"/>
      <c r="CM3761" s="48"/>
      <c r="CN3761" s="48"/>
      <c r="CO3761" s="48"/>
      <c r="CP3761" s="48"/>
      <c r="CQ3761" s="48"/>
      <c r="CR3761" s="48"/>
      <c r="CS3761" s="48"/>
      <c r="CT3761" s="48"/>
      <c r="CU3761" s="48"/>
      <c r="CV3761" s="48"/>
      <c r="CW3761" s="48"/>
      <c r="CX3761" s="48"/>
      <c r="CY3761" s="48"/>
      <c r="CZ3761" s="48"/>
    </row>
    <row r="3762" spans="27:104" s="4" customFormat="1" x14ac:dyDescent="0.3">
      <c r="AA3762" s="48"/>
      <c r="AB3762" s="48"/>
      <c r="AC3762" s="48"/>
      <c r="AD3762" s="48"/>
      <c r="AE3762" s="48"/>
      <c r="AF3762" s="48"/>
      <c r="AG3762" s="48"/>
      <c r="AH3762" s="48"/>
      <c r="AI3762" s="48"/>
      <c r="AJ3762" s="48"/>
      <c r="AK3762" s="48"/>
      <c r="AL3762" s="48"/>
      <c r="AM3762" s="48"/>
      <c r="AN3762" s="48"/>
      <c r="AO3762" s="48"/>
      <c r="AP3762" s="48"/>
      <c r="AQ3762" s="48"/>
      <c r="AR3762" s="48"/>
      <c r="AS3762" s="48"/>
      <c r="AT3762" s="48"/>
      <c r="AU3762" s="48"/>
      <c r="AV3762" s="48"/>
      <c r="AW3762" s="48"/>
      <c r="AX3762" s="48"/>
      <c r="AY3762" s="48"/>
      <c r="AZ3762" s="48"/>
      <c r="BA3762" s="48"/>
      <c r="BB3762" s="14"/>
      <c r="BC3762" s="48"/>
      <c r="BD3762" s="48"/>
      <c r="BE3762" s="48"/>
      <c r="BF3762" s="48"/>
      <c r="BG3762" s="48"/>
      <c r="BH3762" s="48"/>
      <c r="BI3762" s="48"/>
      <c r="BJ3762" s="48"/>
      <c r="BK3762" s="48"/>
      <c r="BL3762" s="48"/>
      <c r="BM3762" s="48"/>
      <c r="BN3762" s="48"/>
      <c r="BO3762" s="48"/>
      <c r="BP3762" s="48"/>
      <c r="BQ3762" s="48"/>
      <c r="BR3762" s="48"/>
      <c r="BS3762" s="48"/>
      <c r="BT3762" s="48"/>
      <c r="BU3762" s="48"/>
      <c r="BV3762" s="48"/>
      <c r="BW3762" s="48"/>
      <c r="BX3762" s="48"/>
      <c r="BY3762" s="48"/>
      <c r="BZ3762" s="48"/>
      <c r="CA3762" s="48"/>
      <c r="CB3762" s="48"/>
      <c r="CC3762" s="48"/>
      <c r="CD3762" s="48"/>
      <c r="CE3762" s="48"/>
      <c r="CF3762" s="48"/>
      <c r="CG3762" s="48"/>
      <c r="CH3762" s="48"/>
      <c r="CI3762" s="48"/>
      <c r="CJ3762" s="48"/>
      <c r="CK3762" s="48"/>
      <c r="CL3762" s="48"/>
      <c r="CM3762" s="48"/>
      <c r="CN3762" s="48"/>
      <c r="CO3762" s="48"/>
      <c r="CP3762" s="48"/>
      <c r="CQ3762" s="48"/>
      <c r="CR3762" s="48"/>
      <c r="CS3762" s="48"/>
      <c r="CT3762" s="48"/>
      <c r="CU3762" s="48"/>
      <c r="CV3762" s="48"/>
      <c r="CW3762" s="48"/>
      <c r="CX3762" s="48"/>
      <c r="CY3762" s="48"/>
      <c r="CZ3762" s="48"/>
    </row>
    <row r="3763" spans="27:104" s="4" customFormat="1" x14ac:dyDescent="0.3">
      <c r="AA3763" s="48"/>
      <c r="AB3763" s="48"/>
      <c r="AC3763" s="48"/>
      <c r="AD3763" s="48"/>
      <c r="AE3763" s="48"/>
      <c r="AF3763" s="48"/>
      <c r="AG3763" s="48"/>
      <c r="AH3763" s="48"/>
      <c r="AI3763" s="48"/>
      <c r="AJ3763" s="48"/>
      <c r="AK3763" s="48"/>
      <c r="AL3763" s="48"/>
      <c r="AM3763" s="48"/>
      <c r="AN3763" s="48"/>
      <c r="AO3763" s="48"/>
      <c r="AP3763" s="48"/>
      <c r="AQ3763" s="48"/>
      <c r="AR3763" s="48"/>
      <c r="AS3763" s="48"/>
      <c r="AT3763" s="48"/>
      <c r="AU3763" s="48"/>
      <c r="AV3763" s="48"/>
      <c r="AW3763" s="48"/>
      <c r="AX3763" s="48"/>
      <c r="AY3763" s="48"/>
      <c r="AZ3763" s="48"/>
      <c r="BA3763" s="48"/>
      <c r="BB3763" s="14"/>
      <c r="BC3763" s="48"/>
      <c r="BD3763" s="48"/>
      <c r="BE3763" s="48"/>
      <c r="BF3763" s="48"/>
      <c r="BG3763" s="48"/>
      <c r="BH3763" s="48"/>
      <c r="BI3763" s="48"/>
      <c r="BJ3763" s="48"/>
      <c r="BK3763" s="48"/>
      <c r="BL3763" s="48"/>
      <c r="BM3763" s="48"/>
      <c r="BN3763" s="48"/>
      <c r="BO3763" s="48"/>
      <c r="BP3763" s="48"/>
      <c r="BQ3763" s="48"/>
      <c r="BR3763" s="48"/>
      <c r="BS3763" s="48"/>
      <c r="BT3763" s="48"/>
      <c r="BU3763" s="48"/>
      <c r="BV3763" s="48"/>
      <c r="BW3763" s="48"/>
      <c r="BX3763" s="48"/>
      <c r="BY3763" s="48"/>
      <c r="BZ3763" s="48"/>
      <c r="CA3763" s="48"/>
      <c r="CB3763" s="48"/>
      <c r="CC3763" s="48"/>
      <c r="CD3763" s="48"/>
      <c r="CE3763" s="48"/>
      <c r="CF3763" s="48"/>
      <c r="CG3763" s="48"/>
      <c r="CH3763" s="48"/>
      <c r="CI3763" s="48"/>
      <c r="CJ3763" s="48"/>
      <c r="CK3763" s="48"/>
      <c r="CL3763" s="48"/>
      <c r="CM3763" s="48"/>
      <c r="CN3763" s="48"/>
      <c r="CO3763" s="48"/>
      <c r="CP3763" s="48"/>
      <c r="CQ3763" s="48"/>
      <c r="CR3763" s="48"/>
      <c r="CS3763" s="48"/>
      <c r="CT3763" s="48"/>
      <c r="CU3763" s="48"/>
      <c r="CV3763" s="48"/>
      <c r="CW3763" s="48"/>
      <c r="CX3763" s="48"/>
      <c r="CY3763" s="48"/>
      <c r="CZ3763" s="48"/>
    </row>
    <row r="3764" spans="27:104" s="4" customFormat="1" x14ac:dyDescent="0.3">
      <c r="AA3764" s="48"/>
      <c r="AB3764" s="48"/>
      <c r="AC3764" s="48"/>
      <c r="AD3764" s="48"/>
      <c r="AE3764" s="48"/>
      <c r="AF3764" s="48"/>
      <c r="AG3764" s="48"/>
      <c r="AH3764" s="48"/>
      <c r="AI3764" s="48"/>
      <c r="AJ3764" s="48"/>
      <c r="AK3764" s="48"/>
      <c r="AL3764" s="48"/>
      <c r="AM3764" s="48"/>
      <c r="AN3764" s="48"/>
      <c r="AO3764" s="48"/>
      <c r="AP3764" s="48"/>
      <c r="AQ3764" s="48"/>
      <c r="AR3764" s="48"/>
      <c r="AS3764" s="48"/>
      <c r="AT3764" s="48"/>
      <c r="AU3764" s="48"/>
      <c r="AV3764" s="48"/>
      <c r="AW3764" s="48"/>
      <c r="AX3764" s="48"/>
      <c r="AY3764" s="48"/>
      <c r="AZ3764" s="48"/>
      <c r="BA3764" s="48"/>
      <c r="BB3764" s="14"/>
      <c r="BC3764" s="48"/>
      <c r="BD3764" s="48"/>
      <c r="BE3764" s="48"/>
      <c r="BF3764" s="48"/>
      <c r="BG3764" s="48"/>
      <c r="BH3764" s="48"/>
      <c r="BI3764" s="48"/>
      <c r="BJ3764" s="48"/>
      <c r="BK3764" s="48"/>
      <c r="BL3764" s="48"/>
      <c r="BM3764" s="48"/>
      <c r="BN3764" s="48"/>
      <c r="BO3764" s="48"/>
      <c r="BP3764" s="48"/>
      <c r="BQ3764" s="48"/>
      <c r="BR3764" s="48"/>
      <c r="BS3764" s="48"/>
      <c r="BT3764" s="48"/>
      <c r="BU3764" s="48"/>
      <c r="BV3764" s="48"/>
      <c r="BW3764" s="48"/>
      <c r="BX3764" s="48"/>
      <c r="BY3764" s="48"/>
      <c r="BZ3764" s="48"/>
      <c r="CA3764" s="48"/>
      <c r="CB3764" s="48"/>
      <c r="CC3764" s="48"/>
      <c r="CD3764" s="48"/>
      <c r="CE3764" s="48"/>
      <c r="CF3764" s="48"/>
      <c r="CG3764" s="48"/>
      <c r="CH3764" s="48"/>
      <c r="CI3764" s="48"/>
      <c r="CJ3764" s="48"/>
      <c r="CK3764" s="48"/>
      <c r="CL3764" s="48"/>
      <c r="CM3764" s="48"/>
      <c r="CN3764" s="48"/>
      <c r="CO3764" s="48"/>
      <c r="CP3764" s="48"/>
      <c r="CQ3764" s="48"/>
      <c r="CR3764" s="48"/>
      <c r="CS3764" s="48"/>
      <c r="CT3764" s="48"/>
      <c r="CU3764" s="48"/>
      <c r="CV3764" s="48"/>
      <c r="CW3764" s="48"/>
      <c r="CX3764" s="48"/>
      <c r="CY3764" s="48"/>
      <c r="CZ3764" s="48"/>
    </row>
    <row r="3765" spans="27:104" s="4" customFormat="1" x14ac:dyDescent="0.3">
      <c r="AA3765" s="48"/>
      <c r="AB3765" s="48"/>
      <c r="AC3765" s="48"/>
      <c r="AD3765" s="48"/>
      <c r="AE3765" s="48"/>
      <c r="AF3765" s="48"/>
      <c r="AG3765" s="48"/>
      <c r="AH3765" s="48"/>
      <c r="AI3765" s="48"/>
      <c r="AJ3765" s="48"/>
      <c r="AK3765" s="48"/>
      <c r="AL3765" s="48"/>
      <c r="AM3765" s="48"/>
      <c r="AN3765" s="48"/>
      <c r="AO3765" s="48"/>
      <c r="AP3765" s="48"/>
      <c r="AQ3765" s="48"/>
      <c r="AR3765" s="48"/>
      <c r="AS3765" s="48"/>
      <c r="AT3765" s="48"/>
      <c r="AU3765" s="48"/>
      <c r="AV3765" s="48"/>
      <c r="AW3765" s="48"/>
      <c r="AX3765" s="48"/>
      <c r="AY3765" s="48"/>
      <c r="AZ3765" s="48"/>
      <c r="BA3765" s="48"/>
      <c r="BB3765" s="14"/>
      <c r="BC3765" s="48"/>
      <c r="BD3765" s="48"/>
      <c r="BE3765" s="48"/>
      <c r="BF3765" s="48"/>
      <c r="BG3765" s="48"/>
      <c r="BH3765" s="48"/>
      <c r="BI3765" s="48"/>
      <c r="BJ3765" s="48"/>
      <c r="BK3765" s="48"/>
      <c r="BL3765" s="48"/>
      <c r="BM3765" s="48"/>
      <c r="BN3765" s="48"/>
      <c r="BO3765" s="48"/>
      <c r="BP3765" s="48"/>
      <c r="BQ3765" s="48"/>
      <c r="BR3765" s="48"/>
      <c r="BS3765" s="48"/>
      <c r="BT3765" s="48"/>
      <c r="BU3765" s="48"/>
      <c r="BV3765" s="48"/>
      <c r="BW3765" s="48"/>
      <c r="BX3765" s="48"/>
      <c r="BY3765" s="48"/>
      <c r="BZ3765" s="48"/>
      <c r="CA3765" s="48"/>
      <c r="CB3765" s="48"/>
      <c r="CC3765" s="48"/>
      <c r="CD3765" s="48"/>
      <c r="CE3765" s="48"/>
      <c r="CF3765" s="48"/>
      <c r="CG3765" s="48"/>
      <c r="CH3765" s="48"/>
      <c r="CI3765" s="48"/>
      <c r="CJ3765" s="48"/>
      <c r="CK3765" s="48"/>
      <c r="CL3765" s="48"/>
      <c r="CM3765" s="48"/>
      <c r="CN3765" s="48"/>
      <c r="CO3765" s="48"/>
      <c r="CP3765" s="48"/>
      <c r="CQ3765" s="48"/>
      <c r="CR3765" s="48"/>
      <c r="CS3765" s="48"/>
      <c r="CT3765" s="48"/>
      <c r="CU3765" s="48"/>
      <c r="CV3765" s="48"/>
      <c r="CW3765" s="48"/>
      <c r="CX3765" s="48"/>
      <c r="CY3765" s="48"/>
      <c r="CZ3765" s="48"/>
    </row>
    <row r="3766" spans="27:104" s="4" customFormat="1" x14ac:dyDescent="0.3">
      <c r="AA3766" s="48"/>
      <c r="AB3766" s="48"/>
      <c r="AC3766" s="48"/>
      <c r="AD3766" s="48"/>
      <c r="AE3766" s="48"/>
      <c r="AF3766" s="48"/>
      <c r="AG3766" s="48"/>
      <c r="AH3766" s="48"/>
      <c r="AI3766" s="48"/>
      <c r="AJ3766" s="48"/>
      <c r="AK3766" s="48"/>
      <c r="AL3766" s="48"/>
      <c r="AM3766" s="48"/>
      <c r="AN3766" s="48"/>
      <c r="AO3766" s="48"/>
      <c r="AP3766" s="48"/>
      <c r="AQ3766" s="48"/>
      <c r="AR3766" s="48"/>
      <c r="AS3766" s="48"/>
      <c r="AT3766" s="48"/>
      <c r="AU3766" s="48"/>
      <c r="AV3766" s="48"/>
      <c r="AW3766" s="48"/>
      <c r="AX3766" s="48"/>
      <c r="AY3766" s="48"/>
      <c r="AZ3766" s="48"/>
      <c r="BA3766" s="48"/>
      <c r="BB3766" s="14"/>
      <c r="BC3766" s="48"/>
      <c r="BD3766" s="48"/>
      <c r="BE3766" s="48"/>
      <c r="BF3766" s="48"/>
      <c r="BG3766" s="48"/>
      <c r="BH3766" s="48"/>
      <c r="BI3766" s="48"/>
      <c r="BJ3766" s="48"/>
      <c r="BK3766" s="48"/>
      <c r="BL3766" s="48"/>
      <c r="BM3766" s="48"/>
      <c r="BN3766" s="48"/>
      <c r="BO3766" s="48"/>
      <c r="BP3766" s="48"/>
      <c r="BQ3766" s="48"/>
      <c r="BR3766" s="48"/>
      <c r="BS3766" s="48"/>
      <c r="BT3766" s="48"/>
      <c r="BU3766" s="48"/>
      <c r="BV3766" s="48"/>
      <c r="BW3766" s="48"/>
      <c r="BX3766" s="48"/>
      <c r="BY3766" s="48"/>
      <c r="BZ3766" s="48"/>
      <c r="CA3766" s="48"/>
      <c r="CB3766" s="48"/>
      <c r="CC3766" s="48"/>
      <c r="CD3766" s="48"/>
      <c r="CE3766" s="48"/>
      <c r="CF3766" s="48"/>
      <c r="CG3766" s="48"/>
      <c r="CH3766" s="48"/>
      <c r="CI3766" s="48"/>
      <c r="CJ3766" s="48"/>
      <c r="CK3766" s="48"/>
      <c r="CL3766" s="48"/>
      <c r="CM3766" s="48"/>
      <c r="CN3766" s="48"/>
      <c r="CO3766" s="48"/>
      <c r="CP3766" s="48"/>
      <c r="CQ3766" s="48"/>
      <c r="CR3766" s="48"/>
      <c r="CS3766" s="48"/>
      <c r="CT3766" s="48"/>
      <c r="CU3766" s="48"/>
      <c r="CV3766" s="48"/>
      <c r="CW3766" s="48"/>
      <c r="CX3766" s="48"/>
      <c r="CY3766" s="48"/>
      <c r="CZ3766" s="48"/>
    </row>
    <row r="3767" spans="27:104" s="4" customFormat="1" x14ac:dyDescent="0.3">
      <c r="AA3767" s="48"/>
      <c r="AB3767" s="48"/>
      <c r="AC3767" s="48"/>
      <c r="AD3767" s="48"/>
      <c r="AE3767" s="48"/>
      <c r="AF3767" s="48"/>
      <c r="AG3767" s="48"/>
      <c r="AH3767" s="48"/>
      <c r="AI3767" s="48"/>
      <c r="AJ3767" s="48"/>
      <c r="AK3767" s="48"/>
      <c r="AL3767" s="48"/>
      <c r="AM3767" s="48"/>
      <c r="AN3767" s="48"/>
      <c r="AO3767" s="48"/>
      <c r="AP3767" s="48"/>
      <c r="AQ3767" s="48"/>
      <c r="AR3767" s="48"/>
      <c r="AS3767" s="48"/>
      <c r="AT3767" s="48"/>
      <c r="AU3767" s="48"/>
      <c r="AV3767" s="48"/>
      <c r="AW3767" s="48"/>
      <c r="AX3767" s="48"/>
      <c r="AY3767" s="48"/>
      <c r="AZ3767" s="48"/>
      <c r="BA3767" s="48"/>
      <c r="BB3767" s="14"/>
      <c r="BC3767" s="48"/>
      <c r="BD3767" s="48"/>
      <c r="BE3767" s="48"/>
      <c r="BF3767" s="48"/>
      <c r="BG3767" s="48"/>
      <c r="BH3767" s="48"/>
      <c r="BI3767" s="48"/>
      <c r="BJ3767" s="48"/>
      <c r="BK3767" s="48"/>
      <c r="BL3767" s="48"/>
      <c r="BM3767" s="48"/>
      <c r="BN3767" s="48"/>
      <c r="BO3767" s="48"/>
      <c r="BP3767" s="48"/>
      <c r="BQ3767" s="48"/>
      <c r="BR3767" s="48"/>
      <c r="BS3767" s="48"/>
      <c r="BT3767" s="48"/>
      <c r="BU3767" s="48"/>
      <c r="BV3767" s="48"/>
      <c r="BW3767" s="48"/>
      <c r="BX3767" s="48"/>
      <c r="BY3767" s="48"/>
      <c r="BZ3767" s="48"/>
      <c r="CA3767" s="48"/>
      <c r="CB3767" s="48"/>
      <c r="CC3767" s="48"/>
      <c r="CD3767" s="48"/>
      <c r="CE3767" s="48"/>
      <c r="CF3767" s="48"/>
      <c r="CG3767" s="48"/>
      <c r="CH3767" s="48"/>
      <c r="CI3767" s="48"/>
      <c r="CJ3767" s="48"/>
      <c r="CK3767" s="48"/>
      <c r="CL3767" s="48"/>
      <c r="CM3767" s="48"/>
      <c r="CN3767" s="48"/>
      <c r="CO3767" s="48"/>
      <c r="CP3767" s="48"/>
      <c r="CQ3767" s="48"/>
      <c r="CR3767" s="48"/>
      <c r="CS3767" s="48"/>
      <c r="CT3767" s="48"/>
      <c r="CU3767" s="48"/>
      <c r="CV3767" s="48"/>
      <c r="CW3767" s="48"/>
      <c r="CX3767" s="48"/>
      <c r="CY3767" s="48"/>
      <c r="CZ3767" s="48"/>
    </row>
    <row r="3768" spans="27:104" s="4" customFormat="1" x14ac:dyDescent="0.3">
      <c r="AA3768" s="48"/>
      <c r="AB3768" s="48"/>
      <c r="AC3768" s="48"/>
      <c r="AD3768" s="48"/>
      <c r="AE3768" s="48"/>
      <c r="AF3768" s="48"/>
      <c r="AG3768" s="48"/>
      <c r="AH3768" s="48"/>
      <c r="AI3768" s="48"/>
      <c r="AJ3768" s="48"/>
      <c r="AK3768" s="48"/>
      <c r="AL3768" s="48"/>
      <c r="AM3768" s="48"/>
      <c r="AN3768" s="48"/>
      <c r="AO3768" s="48"/>
      <c r="AP3768" s="48"/>
      <c r="AQ3768" s="48"/>
      <c r="AR3768" s="48"/>
      <c r="AS3768" s="48"/>
      <c r="AT3768" s="48"/>
      <c r="AU3768" s="48"/>
      <c r="AV3768" s="48"/>
      <c r="AW3768" s="48"/>
      <c r="AX3768" s="48"/>
      <c r="AY3768" s="48"/>
      <c r="AZ3768" s="48"/>
      <c r="BA3768" s="48"/>
      <c r="BB3768" s="14"/>
      <c r="BC3768" s="48"/>
      <c r="BD3768" s="48"/>
      <c r="BE3768" s="48"/>
      <c r="BF3768" s="48"/>
      <c r="BG3768" s="48"/>
      <c r="BH3768" s="48"/>
      <c r="BI3768" s="48"/>
      <c r="BJ3768" s="48"/>
      <c r="BK3768" s="48"/>
      <c r="BL3768" s="48"/>
      <c r="BM3768" s="48"/>
      <c r="BN3768" s="48"/>
      <c r="BO3768" s="48"/>
      <c r="BP3768" s="48"/>
      <c r="BQ3768" s="48"/>
      <c r="BR3768" s="48"/>
      <c r="BS3768" s="48"/>
      <c r="BT3768" s="48"/>
      <c r="BU3768" s="48"/>
      <c r="BV3768" s="48"/>
      <c r="BW3768" s="48"/>
      <c r="BX3768" s="48"/>
      <c r="BY3768" s="48"/>
      <c r="BZ3768" s="48"/>
      <c r="CA3768" s="48"/>
      <c r="CB3768" s="48"/>
      <c r="CC3768" s="48"/>
      <c r="CD3768" s="48"/>
      <c r="CE3768" s="48"/>
      <c r="CF3768" s="48"/>
      <c r="CG3768" s="48"/>
      <c r="CH3768" s="48"/>
      <c r="CI3768" s="48"/>
      <c r="CJ3768" s="48"/>
      <c r="CK3768" s="48"/>
      <c r="CL3768" s="48"/>
      <c r="CM3768" s="48"/>
      <c r="CN3768" s="48"/>
      <c r="CO3768" s="48"/>
      <c r="CP3768" s="48"/>
      <c r="CQ3768" s="48"/>
      <c r="CR3768" s="48"/>
      <c r="CS3768" s="48"/>
      <c r="CT3768" s="48"/>
      <c r="CU3768" s="48"/>
      <c r="CV3768" s="48"/>
      <c r="CW3768" s="48"/>
      <c r="CX3768" s="48"/>
      <c r="CY3768" s="48"/>
      <c r="CZ3768" s="48"/>
    </row>
    <row r="3769" spans="27:104" s="4" customFormat="1" x14ac:dyDescent="0.3">
      <c r="AA3769" s="48"/>
      <c r="AB3769" s="48"/>
      <c r="AC3769" s="48"/>
      <c r="AD3769" s="48"/>
      <c r="AE3769" s="48"/>
      <c r="AF3769" s="48"/>
      <c r="AG3769" s="48"/>
      <c r="AH3769" s="48"/>
      <c r="AI3769" s="48"/>
      <c r="AJ3769" s="48"/>
      <c r="AK3769" s="48"/>
      <c r="AL3769" s="48"/>
      <c r="AM3769" s="48"/>
      <c r="AN3769" s="48"/>
      <c r="AO3769" s="48"/>
      <c r="AP3769" s="48"/>
      <c r="AQ3769" s="48"/>
      <c r="AR3769" s="48"/>
      <c r="AS3769" s="48"/>
      <c r="AT3769" s="48"/>
      <c r="AU3769" s="48"/>
      <c r="AV3769" s="48"/>
      <c r="AW3769" s="48"/>
      <c r="AX3769" s="48"/>
      <c r="AY3769" s="48"/>
      <c r="AZ3769" s="48"/>
      <c r="BA3769" s="48"/>
      <c r="BB3769" s="14"/>
      <c r="BC3769" s="48"/>
      <c r="BD3769" s="48"/>
      <c r="BE3769" s="48"/>
      <c r="BF3769" s="48"/>
      <c r="BG3769" s="48"/>
      <c r="BH3769" s="48"/>
      <c r="BI3769" s="48"/>
      <c r="BJ3769" s="48"/>
      <c r="BK3769" s="48"/>
      <c r="BL3769" s="48"/>
      <c r="BM3769" s="48"/>
      <c r="BN3769" s="48"/>
      <c r="BO3769" s="48"/>
      <c r="BP3769" s="48"/>
      <c r="BQ3769" s="48"/>
      <c r="BR3769" s="48"/>
      <c r="BS3769" s="48"/>
      <c r="BT3769" s="48"/>
      <c r="BU3769" s="48"/>
      <c r="BV3769" s="48"/>
      <c r="BW3769" s="48"/>
      <c r="BX3769" s="48"/>
      <c r="BY3769" s="48"/>
      <c r="BZ3769" s="48"/>
      <c r="CA3769" s="48"/>
      <c r="CB3769" s="48"/>
      <c r="CC3769" s="48"/>
      <c r="CD3769" s="48"/>
      <c r="CE3769" s="48"/>
      <c r="CF3769" s="48"/>
      <c r="CG3769" s="48"/>
      <c r="CH3769" s="48"/>
      <c r="CI3769" s="48"/>
      <c r="CJ3769" s="48"/>
      <c r="CK3769" s="48"/>
      <c r="CL3769" s="48"/>
      <c r="CM3769" s="48"/>
      <c r="CN3769" s="48"/>
      <c r="CO3769" s="48"/>
      <c r="CP3769" s="48"/>
      <c r="CQ3769" s="48"/>
      <c r="CR3769" s="48"/>
      <c r="CS3769" s="48"/>
      <c r="CT3769" s="48"/>
      <c r="CU3769" s="48"/>
      <c r="CV3769" s="48"/>
      <c r="CW3769" s="48"/>
      <c r="CX3769" s="48"/>
      <c r="CY3769" s="48"/>
      <c r="CZ3769" s="48"/>
    </row>
    <row r="3770" spans="27:104" s="4" customFormat="1" x14ac:dyDescent="0.3">
      <c r="AA3770" s="48"/>
      <c r="AB3770" s="48"/>
      <c r="AC3770" s="48"/>
      <c r="AD3770" s="48"/>
      <c r="AE3770" s="48"/>
      <c r="AF3770" s="48"/>
      <c r="AG3770" s="48"/>
      <c r="AH3770" s="48"/>
      <c r="AI3770" s="48"/>
      <c r="AJ3770" s="48"/>
      <c r="AK3770" s="48"/>
      <c r="AL3770" s="48"/>
      <c r="AM3770" s="48"/>
      <c r="AN3770" s="48"/>
      <c r="AO3770" s="48"/>
      <c r="AP3770" s="48"/>
      <c r="AQ3770" s="48"/>
      <c r="AR3770" s="48"/>
      <c r="AS3770" s="48"/>
      <c r="AT3770" s="48"/>
      <c r="AU3770" s="48"/>
      <c r="AV3770" s="48"/>
      <c r="AW3770" s="48"/>
      <c r="AX3770" s="48"/>
      <c r="AY3770" s="48"/>
      <c r="AZ3770" s="48"/>
      <c r="BA3770" s="48"/>
      <c r="BB3770" s="14"/>
      <c r="BC3770" s="48"/>
      <c r="BD3770" s="48"/>
      <c r="BE3770" s="48"/>
      <c r="BF3770" s="48"/>
      <c r="BG3770" s="48"/>
      <c r="BH3770" s="48"/>
      <c r="BI3770" s="48"/>
      <c r="BJ3770" s="48"/>
      <c r="BK3770" s="48"/>
      <c r="BL3770" s="48"/>
      <c r="BM3770" s="48"/>
      <c r="BN3770" s="48"/>
      <c r="BO3770" s="48"/>
      <c r="BP3770" s="48"/>
      <c r="BQ3770" s="48"/>
      <c r="BR3770" s="48"/>
      <c r="BS3770" s="48"/>
      <c r="BT3770" s="48"/>
      <c r="BU3770" s="48"/>
      <c r="BV3770" s="48"/>
      <c r="BW3770" s="48"/>
      <c r="BX3770" s="48"/>
      <c r="BY3770" s="48"/>
      <c r="BZ3770" s="48"/>
      <c r="CA3770" s="48"/>
      <c r="CB3770" s="48"/>
      <c r="CC3770" s="48"/>
      <c r="CD3770" s="48"/>
      <c r="CE3770" s="48"/>
      <c r="CF3770" s="48"/>
      <c r="CG3770" s="48"/>
      <c r="CH3770" s="48"/>
      <c r="CI3770" s="48"/>
      <c r="CJ3770" s="48"/>
      <c r="CK3770" s="48"/>
      <c r="CL3770" s="48"/>
      <c r="CM3770" s="48"/>
      <c r="CN3770" s="48"/>
      <c r="CO3770" s="48"/>
      <c r="CP3770" s="48"/>
      <c r="CQ3770" s="48"/>
      <c r="CR3770" s="48"/>
      <c r="CS3770" s="48"/>
      <c r="CT3770" s="48"/>
      <c r="CU3770" s="48"/>
      <c r="CV3770" s="48"/>
      <c r="CW3770" s="48"/>
      <c r="CX3770" s="48"/>
      <c r="CY3770" s="48"/>
      <c r="CZ3770" s="48"/>
    </row>
    <row r="3771" spans="27:104" s="4" customFormat="1" x14ac:dyDescent="0.3">
      <c r="AA3771" s="48"/>
      <c r="AB3771" s="48"/>
      <c r="AC3771" s="48"/>
      <c r="AD3771" s="48"/>
      <c r="AE3771" s="48"/>
      <c r="AF3771" s="48"/>
      <c r="AG3771" s="48"/>
      <c r="AH3771" s="48"/>
      <c r="AI3771" s="48"/>
      <c r="AJ3771" s="48"/>
      <c r="AK3771" s="48"/>
      <c r="AL3771" s="48"/>
      <c r="AM3771" s="48"/>
      <c r="AN3771" s="48"/>
      <c r="AO3771" s="48"/>
      <c r="AP3771" s="48"/>
      <c r="AQ3771" s="48"/>
      <c r="AR3771" s="48"/>
      <c r="AS3771" s="48"/>
      <c r="AT3771" s="48"/>
      <c r="AU3771" s="48"/>
      <c r="AV3771" s="48"/>
      <c r="AW3771" s="48"/>
      <c r="AX3771" s="48"/>
      <c r="AY3771" s="48"/>
      <c r="AZ3771" s="48"/>
      <c r="BA3771" s="48"/>
      <c r="BB3771" s="14"/>
      <c r="BC3771" s="48"/>
      <c r="BD3771" s="48"/>
      <c r="BE3771" s="48"/>
      <c r="BF3771" s="48"/>
      <c r="BG3771" s="48"/>
      <c r="BH3771" s="48"/>
      <c r="BI3771" s="48"/>
      <c r="BJ3771" s="48"/>
      <c r="BK3771" s="48"/>
      <c r="BL3771" s="48"/>
      <c r="BM3771" s="48"/>
      <c r="BN3771" s="48"/>
      <c r="BO3771" s="48"/>
      <c r="BP3771" s="48"/>
      <c r="BQ3771" s="48"/>
      <c r="BR3771" s="48"/>
      <c r="BS3771" s="48"/>
      <c r="BT3771" s="48"/>
      <c r="BU3771" s="48"/>
      <c r="BV3771" s="48"/>
      <c r="BW3771" s="48"/>
      <c r="BX3771" s="48"/>
      <c r="BY3771" s="48"/>
      <c r="BZ3771" s="48"/>
      <c r="CA3771" s="48"/>
      <c r="CB3771" s="48"/>
      <c r="CC3771" s="48"/>
      <c r="CD3771" s="48"/>
      <c r="CE3771" s="48"/>
      <c r="CF3771" s="48"/>
      <c r="CG3771" s="48"/>
      <c r="CH3771" s="48"/>
      <c r="CI3771" s="48"/>
      <c r="CJ3771" s="48"/>
      <c r="CK3771" s="48"/>
      <c r="CL3771" s="48"/>
      <c r="CM3771" s="48"/>
      <c r="CN3771" s="48"/>
      <c r="CO3771" s="48"/>
      <c r="CP3771" s="48"/>
      <c r="CQ3771" s="48"/>
      <c r="CR3771" s="48"/>
      <c r="CS3771" s="48"/>
      <c r="CT3771" s="48"/>
      <c r="CU3771" s="48"/>
      <c r="CV3771" s="48"/>
      <c r="CW3771" s="48"/>
      <c r="CX3771" s="48"/>
      <c r="CY3771" s="48"/>
      <c r="CZ3771" s="48"/>
    </row>
    <row r="3772" spans="27:104" s="4" customFormat="1" x14ac:dyDescent="0.3">
      <c r="AA3772" s="48"/>
      <c r="AB3772" s="48"/>
      <c r="AC3772" s="48"/>
      <c r="AD3772" s="48"/>
      <c r="AE3772" s="48"/>
      <c r="AF3772" s="48"/>
      <c r="AG3772" s="48"/>
      <c r="AH3772" s="48"/>
      <c r="AI3772" s="48"/>
      <c r="AJ3772" s="48"/>
      <c r="AK3772" s="48"/>
      <c r="AL3772" s="48"/>
      <c r="AM3772" s="48"/>
      <c r="AN3772" s="48"/>
      <c r="AO3772" s="48"/>
      <c r="AP3772" s="48"/>
      <c r="AQ3772" s="48"/>
      <c r="AR3772" s="48"/>
      <c r="AS3772" s="48"/>
      <c r="AT3772" s="48"/>
      <c r="AU3772" s="48"/>
      <c r="AV3772" s="48"/>
      <c r="AW3772" s="48"/>
      <c r="AX3772" s="48"/>
      <c r="AY3772" s="48"/>
      <c r="AZ3772" s="48"/>
      <c r="BA3772" s="48"/>
      <c r="BB3772" s="14"/>
      <c r="BC3772" s="48"/>
      <c r="BD3772" s="48"/>
      <c r="BE3772" s="48"/>
      <c r="BF3772" s="48"/>
      <c r="BG3772" s="48"/>
      <c r="BH3772" s="48"/>
      <c r="BI3772" s="48"/>
      <c r="BJ3772" s="48"/>
      <c r="BK3772" s="48"/>
      <c r="BL3772" s="48"/>
      <c r="BM3772" s="48"/>
      <c r="BN3772" s="48"/>
      <c r="BO3772" s="48"/>
      <c r="BP3772" s="48"/>
      <c r="BQ3772" s="48"/>
      <c r="BR3772" s="48"/>
      <c r="BS3772" s="48"/>
      <c r="BT3772" s="48"/>
      <c r="BU3772" s="48"/>
      <c r="BV3772" s="48"/>
      <c r="BW3772" s="48"/>
      <c r="BX3772" s="48"/>
      <c r="BY3772" s="48"/>
      <c r="BZ3772" s="48"/>
      <c r="CA3772" s="48"/>
      <c r="CB3772" s="48"/>
      <c r="CC3772" s="48"/>
      <c r="CD3772" s="48"/>
      <c r="CE3772" s="48"/>
      <c r="CF3772" s="48"/>
      <c r="CG3772" s="48"/>
      <c r="CH3772" s="48"/>
      <c r="CI3772" s="48"/>
      <c r="CJ3772" s="48"/>
      <c r="CK3772" s="48"/>
      <c r="CL3772" s="48"/>
      <c r="CM3772" s="48"/>
      <c r="CN3772" s="48"/>
      <c r="CO3772" s="48"/>
      <c r="CP3772" s="48"/>
      <c r="CQ3772" s="48"/>
      <c r="CR3772" s="48"/>
      <c r="CS3772" s="48"/>
      <c r="CT3772" s="48"/>
      <c r="CU3772" s="48"/>
      <c r="CV3772" s="48"/>
      <c r="CW3772" s="48"/>
      <c r="CX3772" s="48"/>
      <c r="CY3772" s="48"/>
      <c r="CZ3772" s="48"/>
    </row>
    <row r="3773" spans="27:104" s="4" customFormat="1" x14ac:dyDescent="0.3">
      <c r="AA3773" s="48"/>
      <c r="AB3773" s="48"/>
      <c r="AC3773" s="48"/>
      <c r="AD3773" s="48"/>
      <c r="AE3773" s="48"/>
      <c r="AF3773" s="48"/>
      <c r="AG3773" s="48"/>
      <c r="AH3773" s="48"/>
      <c r="AI3773" s="48"/>
      <c r="AJ3773" s="48"/>
      <c r="AK3773" s="48"/>
      <c r="AL3773" s="48"/>
      <c r="AM3773" s="48"/>
      <c r="AN3773" s="48"/>
      <c r="AO3773" s="48"/>
      <c r="AP3773" s="48"/>
      <c r="AQ3773" s="48"/>
      <c r="AR3773" s="48"/>
      <c r="AS3773" s="48"/>
      <c r="AT3773" s="48"/>
      <c r="AU3773" s="48"/>
      <c r="AV3773" s="48"/>
      <c r="AW3773" s="48"/>
      <c r="AX3773" s="48"/>
      <c r="AY3773" s="48"/>
      <c r="AZ3773" s="48"/>
      <c r="BA3773" s="48"/>
      <c r="BB3773" s="14"/>
      <c r="BC3773" s="48"/>
      <c r="BD3773" s="48"/>
      <c r="BE3773" s="48"/>
      <c r="BF3773" s="48"/>
      <c r="BG3773" s="48"/>
      <c r="BH3773" s="48"/>
      <c r="BI3773" s="48"/>
      <c r="BJ3773" s="48"/>
      <c r="BK3773" s="48"/>
      <c r="BL3773" s="48"/>
      <c r="BM3773" s="48"/>
      <c r="BN3773" s="48"/>
      <c r="BO3773" s="48"/>
      <c r="BP3773" s="48"/>
      <c r="BQ3773" s="48"/>
      <c r="BR3773" s="48"/>
      <c r="BS3773" s="48"/>
      <c r="BT3773" s="48"/>
      <c r="BU3773" s="48"/>
      <c r="BV3773" s="48"/>
      <c r="BW3773" s="48"/>
      <c r="BX3773" s="48"/>
      <c r="BY3773" s="48"/>
      <c r="BZ3773" s="48"/>
      <c r="CA3773" s="48"/>
      <c r="CB3773" s="48"/>
      <c r="CC3773" s="48"/>
      <c r="CD3773" s="48"/>
      <c r="CE3773" s="48"/>
      <c r="CF3773" s="48"/>
      <c r="CG3773" s="48"/>
      <c r="CH3773" s="48"/>
      <c r="CI3773" s="48"/>
      <c r="CJ3773" s="48"/>
      <c r="CK3773" s="48"/>
      <c r="CL3773" s="48"/>
      <c r="CM3773" s="48"/>
      <c r="CN3773" s="48"/>
      <c r="CO3773" s="48"/>
      <c r="CP3773" s="48"/>
      <c r="CQ3773" s="48"/>
      <c r="CR3773" s="48"/>
      <c r="CS3773" s="48"/>
      <c r="CT3773" s="48"/>
      <c r="CU3773" s="48"/>
      <c r="CV3773" s="48"/>
      <c r="CW3773" s="48"/>
      <c r="CX3773" s="48"/>
      <c r="CY3773" s="48"/>
      <c r="CZ3773" s="48"/>
    </row>
    <row r="3774" spans="27:104" s="4" customFormat="1" x14ac:dyDescent="0.3">
      <c r="AA3774" s="48"/>
      <c r="AB3774" s="48"/>
      <c r="AC3774" s="48"/>
      <c r="AD3774" s="48"/>
      <c r="AE3774" s="48"/>
      <c r="AF3774" s="48"/>
      <c r="AG3774" s="48"/>
      <c r="AH3774" s="48"/>
      <c r="AI3774" s="48"/>
      <c r="AJ3774" s="48"/>
      <c r="AK3774" s="48"/>
      <c r="AL3774" s="48"/>
      <c r="AM3774" s="48"/>
      <c r="AN3774" s="48"/>
      <c r="AO3774" s="48"/>
      <c r="AP3774" s="48"/>
      <c r="AQ3774" s="48"/>
      <c r="AR3774" s="48"/>
      <c r="AS3774" s="48"/>
      <c r="AT3774" s="48"/>
      <c r="AU3774" s="48"/>
      <c r="AV3774" s="48"/>
      <c r="AW3774" s="48"/>
      <c r="AX3774" s="48"/>
      <c r="AY3774" s="48"/>
      <c r="AZ3774" s="48"/>
      <c r="BA3774" s="48"/>
      <c r="BB3774" s="14"/>
      <c r="BC3774" s="48"/>
      <c r="BD3774" s="48"/>
      <c r="BE3774" s="48"/>
      <c r="BF3774" s="48"/>
      <c r="BG3774" s="48"/>
      <c r="BH3774" s="48"/>
      <c r="BI3774" s="48"/>
      <c r="BJ3774" s="48"/>
      <c r="BK3774" s="48"/>
      <c r="BL3774" s="48"/>
      <c r="BM3774" s="48"/>
      <c r="BN3774" s="48"/>
      <c r="BO3774" s="48"/>
      <c r="BP3774" s="48"/>
      <c r="BQ3774" s="48"/>
      <c r="BR3774" s="48"/>
      <c r="BS3774" s="48"/>
      <c r="BT3774" s="48"/>
      <c r="BU3774" s="48"/>
      <c r="BV3774" s="48"/>
      <c r="BW3774" s="48"/>
      <c r="BX3774" s="48"/>
      <c r="BY3774" s="48"/>
      <c r="BZ3774" s="48"/>
      <c r="CA3774" s="48"/>
      <c r="CB3774" s="48"/>
      <c r="CC3774" s="48"/>
      <c r="CD3774" s="48"/>
      <c r="CE3774" s="48"/>
      <c r="CF3774" s="48"/>
      <c r="CG3774" s="48"/>
      <c r="CH3774" s="48"/>
      <c r="CI3774" s="48"/>
      <c r="CJ3774" s="48"/>
      <c r="CK3774" s="48"/>
      <c r="CL3774" s="48"/>
      <c r="CM3774" s="48"/>
      <c r="CN3774" s="48"/>
      <c r="CO3774" s="48"/>
      <c r="CP3774" s="48"/>
      <c r="CQ3774" s="48"/>
      <c r="CR3774" s="48"/>
      <c r="CS3774" s="48"/>
      <c r="CT3774" s="48"/>
      <c r="CU3774" s="48"/>
      <c r="CV3774" s="48"/>
      <c r="CW3774" s="48"/>
      <c r="CX3774" s="48"/>
      <c r="CY3774" s="48"/>
      <c r="CZ3774" s="48"/>
    </row>
    <row r="3775" spans="27:104" s="4" customFormat="1" x14ac:dyDescent="0.3">
      <c r="AA3775" s="48"/>
      <c r="AB3775" s="48"/>
      <c r="AC3775" s="48"/>
      <c r="AD3775" s="48"/>
      <c r="AE3775" s="48"/>
      <c r="AF3775" s="48"/>
      <c r="AG3775" s="48"/>
      <c r="AH3775" s="48"/>
      <c r="AI3775" s="48"/>
      <c r="AJ3775" s="48"/>
      <c r="AK3775" s="48"/>
      <c r="AL3775" s="48"/>
      <c r="AM3775" s="48"/>
      <c r="AN3775" s="48"/>
      <c r="AO3775" s="48"/>
      <c r="AP3775" s="48"/>
      <c r="AQ3775" s="48"/>
      <c r="AR3775" s="48"/>
      <c r="AS3775" s="48"/>
      <c r="AT3775" s="48"/>
      <c r="AU3775" s="48"/>
      <c r="AV3775" s="48"/>
      <c r="AW3775" s="48"/>
      <c r="AX3775" s="48"/>
      <c r="AY3775" s="48"/>
      <c r="AZ3775" s="48"/>
      <c r="BA3775" s="48"/>
      <c r="BB3775" s="14"/>
      <c r="BC3775" s="48"/>
      <c r="BD3775" s="48"/>
      <c r="BE3775" s="48"/>
      <c r="BF3775" s="48"/>
      <c r="BG3775" s="48"/>
      <c r="BH3775" s="48"/>
      <c r="BI3775" s="48"/>
      <c r="BJ3775" s="48"/>
      <c r="BK3775" s="48"/>
      <c r="BL3775" s="48"/>
      <c r="BM3775" s="48"/>
      <c r="BN3775" s="48"/>
      <c r="BO3775" s="48"/>
      <c r="BP3775" s="48"/>
      <c r="BQ3775" s="48"/>
      <c r="BR3775" s="48"/>
      <c r="BS3775" s="48"/>
      <c r="BT3775" s="48"/>
      <c r="BU3775" s="48"/>
      <c r="BV3775" s="48"/>
      <c r="BW3775" s="48"/>
      <c r="BX3775" s="48"/>
      <c r="BY3775" s="48"/>
      <c r="BZ3775" s="48"/>
      <c r="CA3775" s="48"/>
      <c r="CB3775" s="48"/>
      <c r="CC3775" s="48"/>
      <c r="CD3775" s="48"/>
      <c r="CE3775" s="48"/>
      <c r="CF3775" s="48"/>
      <c r="CG3775" s="48"/>
      <c r="CH3775" s="48"/>
      <c r="CI3775" s="48"/>
      <c r="CJ3775" s="48"/>
      <c r="CK3775" s="48"/>
      <c r="CL3775" s="48"/>
      <c r="CM3775" s="48"/>
      <c r="CN3775" s="48"/>
      <c r="CO3775" s="48"/>
      <c r="CP3775" s="48"/>
      <c r="CQ3775" s="48"/>
      <c r="CR3775" s="48"/>
      <c r="CS3775" s="48"/>
      <c r="CT3775" s="48"/>
      <c r="CU3775" s="48"/>
      <c r="CV3775" s="48"/>
      <c r="CW3775" s="48"/>
      <c r="CX3775" s="48"/>
      <c r="CY3775" s="48"/>
      <c r="CZ3775" s="48"/>
    </row>
    <row r="3776" spans="27:104" s="4" customFormat="1" x14ac:dyDescent="0.3">
      <c r="AA3776" s="48"/>
      <c r="AB3776" s="48"/>
      <c r="AC3776" s="48"/>
      <c r="AD3776" s="48"/>
      <c r="AE3776" s="48"/>
      <c r="AF3776" s="48"/>
      <c r="AG3776" s="48"/>
      <c r="AH3776" s="48"/>
      <c r="AI3776" s="48"/>
      <c r="AJ3776" s="48"/>
      <c r="AK3776" s="48"/>
      <c r="AL3776" s="48"/>
      <c r="AM3776" s="48"/>
      <c r="AN3776" s="48"/>
      <c r="AO3776" s="48"/>
      <c r="AP3776" s="48"/>
      <c r="AQ3776" s="48"/>
      <c r="AR3776" s="48"/>
      <c r="AS3776" s="48"/>
      <c r="AT3776" s="48"/>
      <c r="AU3776" s="48"/>
      <c r="AV3776" s="48"/>
      <c r="AW3776" s="48"/>
      <c r="AX3776" s="48"/>
      <c r="AY3776" s="48"/>
      <c r="AZ3776" s="48"/>
      <c r="BA3776" s="48"/>
      <c r="BB3776" s="14"/>
      <c r="BC3776" s="48"/>
      <c r="BD3776" s="48"/>
      <c r="BE3776" s="48"/>
      <c r="BF3776" s="48"/>
      <c r="BG3776" s="48"/>
      <c r="BH3776" s="48"/>
      <c r="BI3776" s="48"/>
      <c r="BJ3776" s="48"/>
      <c r="BK3776" s="48"/>
      <c r="BL3776" s="48"/>
      <c r="BM3776" s="48"/>
      <c r="BN3776" s="48"/>
      <c r="BO3776" s="48"/>
      <c r="BP3776" s="48"/>
      <c r="BQ3776" s="48"/>
      <c r="BR3776" s="48"/>
      <c r="BS3776" s="48"/>
      <c r="BT3776" s="48"/>
      <c r="BU3776" s="48"/>
      <c r="BV3776" s="48"/>
      <c r="BW3776" s="48"/>
      <c r="BX3776" s="48"/>
      <c r="BY3776" s="48"/>
      <c r="BZ3776" s="48"/>
      <c r="CA3776" s="48"/>
      <c r="CB3776" s="48"/>
      <c r="CC3776" s="48"/>
      <c r="CD3776" s="48"/>
      <c r="CE3776" s="48"/>
      <c r="CF3776" s="48"/>
      <c r="CG3776" s="48"/>
      <c r="CH3776" s="48"/>
      <c r="CI3776" s="48"/>
      <c r="CJ3776" s="48"/>
      <c r="CK3776" s="48"/>
      <c r="CL3776" s="48"/>
      <c r="CM3776" s="48"/>
      <c r="CN3776" s="48"/>
      <c r="CO3776" s="48"/>
      <c r="CP3776" s="48"/>
      <c r="CQ3776" s="48"/>
      <c r="CR3776" s="48"/>
      <c r="CS3776" s="48"/>
      <c r="CT3776" s="48"/>
      <c r="CU3776" s="48"/>
      <c r="CV3776" s="48"/>
      <c r="CW3776" s="48"/>
      <c r="CX3776" s="48"/>
      <c r="CY3776" s="48"/>
      <c r="CZ3776" s="48"/>
    </row>
    <row r="3777" spans="27:104" s="4" customFormat="1" x14ac:dyDescent="0.3">
      <c r="AA3777" s="48"/>
      <c r="AB3777" s="48"/>
      <c r="AC3777" s="48"/>
      <c r="AD3777" s="48"/>
      <c r="AE3777" s="48"/>
      <c r="AF3777" s="48"/>
      <c r="AG3777" s="48"/>
      <c r="AH3777" s="48"/>
      <c r="AI3777" s="48"/>
      <c r="AJ3777" s="48"/>
      <c r="AK3777" s="48"/>
      <c r="AL3777" s="48"/>
      <c r="AM3777" s="48"/>
      <c r="AN3777" s="48"/>
      <c r="AO3777" s="48"/>
      <c r="AP3777" s="48"/>
      <c r="AQ3777" s="48"/>
      <c r="AR3777" s="48"/>
      <c r="AS3777" s="48"/>
      <c r="AT3777" s="48"/>
      <c r="AU3777" s="48"/>
      <c r="AV3777" s="48"/>
      <c r="AW3777" s="48"/>
      <c r="AX3777" s="48"/>
      <c r="AY3777" s="48"/>
      <c r="AZ3777" s="48"/>
      <c r="BA3777" s="48"/>
      <c r="BB3777" s="14"/>
      <c r="BC3777" s="48"/>
      <c r="BD3777" s="48"/>
      <c r="BE3777" s="48"/>
      <c r="BF3777" s="48"/>
      <c r="BG3777" s="48"/>
      <c r="BH3777" s="48"/>
      <c r="BI3777" s="48"/>
      <c r="BJ3777" s="48"/>
      <c r="BK3777" s="48"/>
      <c r="BL3777" s="48"/>
      <c r="BM3777" s="48"/>
      <c r="BN3777" s="48"/>
      <c r="BO3777" s="48"/>
      <c r="BP3777" s="48"/>
      <c r="BQ3777" s="48"/>
      <c r="BR3777" s="48"/>
      <c r="BS3777" s="48"/>
      <c r="BT3777" s="48"/>
      <c r="BU3777" s="48"/>
      <c r="BV3777" s="48"/>
      <c r="BW3777" s="48"/>
      <c r="BX3777" s="48"/>
      <c r="BY3777" s="48"/>
      <c r="BZ3777" s="48"/>
      <c r="CA3777" s="48"/>
      <c r="CB3777" s="48"/>
      <c r="CC3777" s="48"/>
      <c r="CD3777" s="48"/>
      <c r="CE3777" s="48"/>
      <c r="CF3777" s="48"/>
      <c r="CG3777" s="48"/>
      <c r="CH3777" s="48"/>
      <c r="CI3777" s="48"/>
      <c r="CJ3777" s="48"/>
      <c r="CK3777" s="48"/>
      <c r="CL3777" s="48"/>
      <c r="CM3777" s="48"/>
      <c r="CN3777" s="48"/>
      <c r="CO3777" s="48"/>
      <c r="CP3777" s="48"/>
      <c r="CQ3777" s="48"/>
      <c r="CR3777" s="48"/>
      <c r="CS3777" s="48"/>
      <c r="CT3777" s="48"/>
      <c r="CU3777" s="48"/>
      <c r="CV3777" s="48"/>
      <c r="CW3777" s="48"/>
      <c r="CX3777" s="48"/>
      <c r="CY3777" s="48"/>
      <c r="CZ3777" s="48"/>
    </row>
    <row r="3778" spans="27:104" s="4" customFormat="1" x14ac:dyDescent="0.3">
      <c r="AA3778" s="48"/>
      <c r="AB3778" s="48"/>
      <c r="AC3778" s="48"/>
      <c r="AD3778" s="48"/>
      <c r="AE3778" s="48"/>
      <c r="AF3778" s="48"/>
      <c r="AG3778" s="48"/>
      <c r="AH3778" s="48"/>
      <c r="AI3778" s="48"/>
      <c r="AJ3778" s="48"/>
      <c r="AK3778" s="48"/>
      <c r="AL3778" s="48"/>
      <c r="AM3778" s="48"/>
      <c r="AN3778" s="48"/>
      <c r="AO3778" s="48"/>
      <c r="AP3778" s="48"/>
      <c r="AQ3778" s="48"/>
      <c r="AR3778" s="48"/>
      <c r="AS3778" s="48"/>
      <c r="AT3778" s="48"/>
      <c r="AU3778" s="48"/>
      <c r="AV3778" s="48"/>
      <c r="AW3778" s="48"/>
      <c r="AX3778" s="48"/>
      <c r="AY3778" s="48"/>
      <c r="AZ3778" s="48"/>
      <c r="BA3778" s="48"/>
      <c r="BB3778" s="14"/>
      <c r="BC3778" s="48"/>
      <c r="BD3778" s="48"/>
      <c r="BE3778" s="48"/>
      <c r="BF3778" s="48"/>
      <c r="BG3778" s="48"/>
      <c r="BH3778" s="48"/>
      <c r="BI3778" s="48"/>
      <c r="BJ3778" s="48"/>
      <c r="BK3778" s="48"/>
      <c r="BL3778" s="48"/>
      <c r="BM3778" s="48"/>
      <c r="BN3778" s="48"/>
      <c r="BO3778" s="48"/>
      <c r="BP3778" s="48"/>
      <c r="BQ3778" s="48"/>
      <c r="BR3778" s="48"/>
      <c r="BS3778" s="48"/>
      <c r="BT3778" s="48"/>
      <c r="BU3778" s="48"/>
      <c r="BV3778" s="48"/>
      <c r="BW3778" s="48"/>
      <c r="BX3778" s="48"/>
      <c r="BY3778" s="48"/>
      <c r="BZ3778" s="48"/>
      <c r="CA3778" s="48"/>
      <c r="CB3778" s="48"/>
      <c r="CC3778" s="48"/>
      <c r="CD3778" s="48"/>
      <c r="CE3778" s="48"/>
      <c r="CF3778" s="48"/>
      <c r="CG3778" s="48"/>
      <c r="CH3778" s="48"/>
      <c r="CI3778" s="48"/>
      <c r="CJ3778" s="48"/>
      <c r="CK3778" s="48"/>
      <c r="CL3778" s="48"/>
      <c r="CM3778" s="48"/>
      <c r="CN3778" s="48"/>
      <c r="CO3778" s="48"/>
      <c r="CP3778" s="48"/>
      <c r="CQ3778" s="48"/>
      <c r="CR3778" s="48"/>
      <c r="CS3778" s="48"/>
      <c r="CT3778" s="48"/>
      <c r="CU3778" s="48"/>
      <c r="CV3778" s="48"/>
      <c r="CW3778" s="48"/>
      <c r="CX3778" s="48"/>
      <c r="CY3778" s="48"/>
      <c r="CZ3778" s="48"/>
    </row>
    <row r="3779" spans="27:104" s="4" customFormat="1" x14ac:dyDescent="0.3">
      <c r="AA3779" s="48"/>
      <c r="AB3779" s="48"/>
      <c r="AC3779" s="48"/>
      <c r="AD3779" s="48"/>
      <c r="AE3779" s="48"/>
      <c r="AF3779" s="48"/>
      <c r="AG3779" s="48"/>
      <c r="AH3779" s="48"/>
      <c r="AI3779" s="48"/>
      <c r="AJ3779" s="48"/>
      <c r="AK3779" s="48"/>
      <c r="AL3779" s="48"/>
      <c r="AM3779" s="48"/>
      <c r="AN3779" s="48"/>
      <c r="AO3779" s="48"/>
      <c r="AP3779" s="48"/>
      <c r="AQ3779" s="48"/>
      <c r="AR3779" s="48"/>
      <c r="AS3779" s="48"/>
      <c r="AT3779" s="48"/>
      <c r="AU3779" s="48"/>
      <c r="AV3779" s="48"/>
      <c r="AW3779" s="48"/>
      <c r="AX3779" s="48"/>
      <c r="AY3779" s="48"/>
      <c r="AZ3779" s="48"/>
      <c r="BA3779" s="48"/>
      <c r="BB3779" s="14"/>
      <c r="BC3779" s="48"/>
      <c r="BD3779" s="48"/>
      <c r="BE3779" s="48"/>
      <c r="BF3779" s="48"/>
      <c r="BG3779" s="48"/>
      <c r="BH3779" s="48"/>
      <c r="BI3779" s="48"/>
      <c r="BJ3779" s="48"/>
      <c r="BK3779" s="48"/>
      <c r="BL3779" s="48"/>
      <c r="BM3779" s="48"/>
      <c r="BN3779" s="48"/>
      <c r="BO3779" s="48"/>
      <c r="BP3779" s="48"/>
      <c r="BQ3779" s="48"/>
      <c r="BR3779" s="48"/>
      <c r="BS3779" s="48"/>
      <c r="BT3779" s="48"/>
      <c r="BU3779" s="48"/>
      <c r="BV3779" s="48"/>
      <c r="BW3779" s="48"/>
      <c r="BX3779" s="48"/>
      <c r="BY3779" s="48"/>
      <c r="BZ3779" s="48"/>
      <c r="CA3779" s="48"/>
      <c r="CB3779" s="48"/>
      <c r="CC3779" s="48"/>
      <c r="CD3779" s="48"/>
      <c r="CE3779" s="48"/>
      <c r="CF3779" s="48"/>
      <c r="CG3779" s="48"/>
      <c r="CH3779" s="48"/>
      <c r="CI3779" s="48"/>
      <c r="CJ3779" s="48"/>
      <c r="CK3779" s="48"/>
      <c r="CL3779" s="48"/>
      <c r="CM3779" s="48"/>
      <c r="CN3779" s="48"/>
      <c r="CO3779" s="48"/>
      <c r="CP3779" s="48"/>
      <c r="CQ3779" s="48"/>
      <c r="CR3779" s="48"/>
      <c r="CS3779" s="48"/>
      <c r="CT3779" s="48"/>
      <c r="CU3779" s="48"/>
      <c r="CV3779" s="48"/>
      <c r="CW3779" s="48"/>
      <c r="CX3779" s="48"/>
      <c r="CY3779" s="48"/>
      <c r="CZ3779" s="48"/>
    </row>
    <row r="3780" spans="27:104" s="4" customFormat="1" x14ac:dyDescent="0.3">
      <c r="AA3780" s="48"/>
      <c r="AB3780" s="48"/>
      <c r="AC3780" s="48"/>
      <c r="AD3780" s="48"/>
      <c r="AE3780" s="48"/>
      <c r="AF3780" s="48"/>
      <c r="AG3780" s="48"/>
      <c r="AH3780" s="48"/>
      <c r="AI3780" s="48"/>
      <c r="AJ3780" s="48"/>
      <c r="AK3780" s="48"/>
      <c r="AL3780" s="48"/>
      <c r="AM3780" s="48"/>
      <c r="AN3780" s="48"/>
      <c r="AO3780" s="48"/>
      <c r="AP3780" s="48"/>
      <c r="AQ3780" s="48"/>
      <c r="AR3780" s="48"/>
      <c r="AS3780" s="48"/>
      <c r="AT3780" s="48"/>
      <c r="AU3780" s="48"/>
      <c r="AV3780" s="48"/>
      <c r="AW3780" s="48"/>
      <c r="AX3780" s="48"/>
      <c r="AY3780" s="48"/>
      <c r="AZ3780" s="48"/>
      <c r="BA3780" s="48"/>
      <c r="BB3780" s="14"/>
      <c r="BC3780" s="48"/>
      <c r="BD3780" s="48"/>
      <c r="BE3780" s="48"/>
      <c r="BF3780" s="48"/>
      <c r="BG3780" s="48"/>
      <c r="BH3780" s="48"/>
      <c r="BI3780" s="48"/>
      <c r="BJ3780" s="48"/>
      <c r="BK3780" s="48"/>
      <c r="BL3780" s="48"/>
      <c r="BM3780" s="48"/>
      <c r="BN3780" s="48"/>
      <c r="BO3780" s="48"/>
      <c r="BP3780" s="48"/>
      <c r="BQ3780" s="48"/>
      <c r="BR3780" s="48"/>
      <c r="BS3780" s="48"/>
      <c r="BT3780" s="48"/>
      <c r="BU3780" s="48"/>
      <c r="BV3780" s="48"/>
      <c r="BW3780" s="48"/>
      <c r="BX3780" s="48"/>
      <c r="BY3780" s="48"/>
      <c r="BZ3780" s="48"/>
      <c r="CA3780" s="48"/>
      <c r="CB3780" s="48"/>
      <c r="CC3780" s="48"/>
      <c r="CD3780" s="48"/>
      <c r="CE3780" s="48"/>
      <c r="CF3780" s="48"/>
      <c r="CG3780" s="48"/>
      <c r="CH3780" s="48"/>
      <c r="CI3780" s="48"/>
      <c r="CJ3780" s="48"/>
      <c r="CK3780" s="48"/>
      <c r="CL3780" s="48"/>
      <c r="CM3780" s="48"/>
      <c r="CN3780" s="48"/>
      <c r="CO3780" s="48"/>
      <c r="CP3780" s="48"/>
      <c r="CQ3780" s="48"/>
      <c r="CR3780" s="48"/>
      <c r="CS3780" s="48"/>
      <c r="CT3780" s="48"/>
      <c r="CU3780" s="48"/>
      <c r="CV3780" s="48"/>
      <c r="CW3780" s="48"/>
      <c r="CX3780" s="48"/>
      <c r="CY3780" s="48"/>
      <c r="CZ3780" s="48"/>
    </row>
    <row r="3781" spans="27:104" s="4" customFormat="1" x14ac:dyDescent="0.3">
      <c r="AA3781" s="48"/>
      <c r="AB3781" s="48"/>
      <c r="AC3781" s="48"/>
      <c r="AD3781" s="48"/>
      <c r="AE3781" s="48"/>
      <c r="AF3781" s="48"/>
      <c r="AG3781" s="48"/>
      <c r="AH3781" s="48"/>
      <c r="AI3781" s="48"/>
      <c r="AJ3781" s="48"/>
      <c r="AK3781" s="48"/>
      <c r="AL3781" s="48"/>
      <c r="AM3781" s="48"/>
      <c r="AN3781" s="48"/>
      <c r="AO3781" s="48"/>
      <c r="AP3781" s="48"/>
      <c r="AQ3781" s="48"/>
      <c r="AR3781" s="48"/>
      <c r="AS3781" s="48"/>
      <c r="AT3781" s="48"/>
      <c r="AU3781" s="48"/>
      <c r="AV3781" s="48"/>
      <c r="AW3781" s="48"/>
      <c r="AX3781" s="48"/>
      <c r="AY3781" s="48"/>
      <c r="AZ3781" s="48"/>
      <c r="BA3781" s="48"/>
      <c r="BB3781" s="14"/>
      <c r="BC3781" s="48"/>
      <c r="BD3781" s="48"/>
      <c r="BE3781" s="48"/>
      <c r="BF3781" s="48"/>
      <c r="BG3781" s="48"/>
      <c r="BH3781" s="48"/>
      <c r="BI3781" s="48"/>
      <c r="BJ3781" s="48"/>
      <c r="BK3781" s="48"/>
      <c r="BL3781" s="48"/>
      <c r="BM3781" s="48"/>
      <c r="BN3781" s="48"/>
      <c r="BO3781" s="48"/>
      <c r="BP3781" s="48"/>
      <c r="BQ3781" s="48"/>
      <c r="BR3781" s="48"/>
      <c r="BS3781" s="48"/>
      <c r="BT3781" s="48"/>
      <c r="BU3781" s="48"/>
      <c r="BV3781" s="48"/>
      <c r="BW3781" s="48"/>
      <c r="BX3781" s="48"/>
      <c r="BY3781" s="48"/>
      <c r="BZ3781" s="48"/>
      <c r="CA3781" s="48"/>
      <c r="CB3781" s="48"/>
      <c r="CC3781" s="48"/>
      <c r="CD3781" s="48"/>
      <c r="CE3781" s="48"/>
      <c r="CF3781" s="48"/>
      <c r="CG3781" s="48"/>
      <c r="CH3781" s="48"/>
      <c r="CI3781" s="48"/>
      <c r="CJ3781" s="48"/>
      <c r="CK3781" s="48"/>
      <c r="CL3781" s="48"/>
      <c r="CM3781" s="48"/>
      <c r="CN3781" s="48"/>
      <c r="CO3781" s="48"/>
      <c r="CP3781" s="48"/>
      <c r="CQ3781" s="48"/>
      <c r="CR3781" s="48"/>
      <c r="CS3781" s="48"/>
      <c r="CT3781" s="48"/>
      <c r="CU3781" s="48"/>
      <c r="CV3781" s="48"/>
      <c r="CW3781" s="48"/>
      <c r="CX3781" s="48"/>
      <c r="CY3781" s="48"/>
      <c r="CZ3781" s="48"/>
    </row>
    <row r="3782" spans="27:104" s="4" customFormat="1" x14ac:dyDescent="0.3">
      <c r="AA3782" s="48"/>
      <c r="AB3782" s="48"/>
      <c r="AC3782" s="48"/>
      <c r="AD3782" s="48"/>
      <c r="AE3782" s="48"/>
      <c r="AF3782" s="48"/>
      <c r="AG3782" s="48"/>
      <c r="AH3782" s="48"/>
      <c r="AI3782" s="48"/>
      <c r="AJ3782" s="48"/>
      <c r="AK3782" s="48"/>
      <c r="AL3782" s="48"/>
      <c r="AM3782" s="48"/>
      <c r="AN3782" s="48"/>
      <c r="AO3782" s="48"/>
      <c r="AP3782" s="48"/>
      <c r="AQ3782" s="48"/>
      <c r="AR3782" s="48"/>
      <c r="AS3782" s="48"/>
      <c r="AT3782" s="48"/>
      <c r="AU3782" s="48"/>
      <c r="AV3782" s="48"/>
      <c r="AW3782" s="48"/>
      <c r="AX3782" s="48"/>
      <c r="AY3782" s="48"/>
      <c r="AZ3782" s="48"/>
      <c r="BA3782" s="48"/>
      <c r="BB3782" s="14"/>
      <c r="BC3782" s="48"/>
      <c r="BD3782" s="48"/>
      <c r="BE3782" s="48"/>
      <c r="BF3782" s="48"/>
      <c r="BG3782" s="48"/>
      <c r="BH3782" s="48"/>
      <c r="BI3782" s="48"/>
      <c r="BJ3782" s="48"/>
      <c r="BK3782" s="48"/>
      <c r="BL3782" s="48"/>
      <c r="BM3782" s="48"/>
      <c r="BN3782" s="48"/>
      <c r="BO3782" s="48"/>
      <c r="BP3782" s="48"/>
      <c r="BQ3782" s="48"/>
      <c r="BR3782" s="48"/>
      <c r="BS3782" s="48"/>
      <c r="BT3782" s="48"/>
      <c r="BU3782" s="48"/>
      <c r="BV3782" s="48"/>
      <c r="BW3782" s="48"/>
      <c r="BX3782" s="48"/>
      <c r="BY3782" s="48"/>
      <c r="BZ3782" s="48"/>
      <c r="CA3782" s="48"/>
      <c r="CB3782" s="48"/>
      <c r="CC3782" s="48"/>
      <c r="CD3782" s="48"/>
      <c r="CE3782" s="48"/>
      <c r="CF3782" s="48"/>
      <c r="CG3782" s="48"/>
      <c r="CH3782" s="48"/>
      <c r="CI3782" s="48"/>
      <c r="CJ3782" s="48"/>
      <c r="CK3782" s="48"/>
      <c r="CL3782" s="48"/>
      <c r="CM3782" s="48"/>
      <c r="CN3782" s="48"/>
      <c r="CO3782" s="48"/>
      <c r="CP3782" s="48"/>
      <c r="CQ3782" s="48"/>
      <c r="CR3782" s="48"/>
      <c r="CS3782" s="48"/>
      <c r="CT3782" s="48"/>
      <c r="CU3782" s="48"/>
      <c r="CV3782" s="48"/>
      <c r="CW3782" s="48"/>
      <c r="CX3782" s="48"/>
      <c r="CY3782" s="48"/>
      <c r="CZ3782" s="48"/>
    </row>
    <row r="3783" spans="27:104" s="4" customFormat="1" x14ac:dyDescent="0.3">
      <c r="AA3783" s="48"/>
      <c r="AB3783" s="48"/>
      <c r="AC3783" s="48"/>
      <c r="AD3783" s="48"/>
      <c r="AE3783" s="48"/>
      <c r="AF3783" s="48"/>
      <c r="AG3783" s="48"/>
      <c r="AH3783" s="48"/>
      <c r="AI3783" s="48"/>
      <c r="AJ3783" s="48"/>
      <c r="AK3783" s="48"/>
      <c r="AL3783" s="48"/>
      <c r="AM3783" s="48"/>
      <c r="AN3783" s="48"/>
      <c r="AO3783" s="48"/>
      <c r="AP3783" s="48"/>
      <c r="AQ3783" s="48"/>
      <c r="AR3783" s="48"/>
      <c r="AS3783" s="48"/>
      <c r="AT3783" s="48"/>
      <c r="AU3783" s="48"/>
      <c r="AV3783" s="48"/>
      <c r="AW3783" s="48"/>
      <c r="AX3783" s="48"/>
      <c r="AY3783" s="48"/>
      <c r="AZ3783" s="48"/>
      <c r="BA3783" s="48"/>
      <c r="BB3783" s="14"/>
      <c r="BC3783" s="48"/>
      <c r="BD3783" s="48"/>
      <c r="BE3783" s="48"/>
      <c r="BF3783" s="48"/>
      <c r="BG3783" s="48"/>
      <c r="BH3783" s="48"/>
      <c r="BI3783" s="48"/>
      <c r="BJ3783" s="48"/>
      <c r="BK3783" s="48"/>
      <c r="BL3783" s="48"/>
      <c r="BM3783" s="48"/>
      <c r="BN3783" s="48"/>
      <c r="BO3783" s="48"/>
      <c r="BP3783" s="48"/>
      <c r="BQ3783" s="48"/>
      <c r="BR3783" s="48"/>
      <c r="BS3783" s="48"/>
      <c r="BT3783" s="48"/>
      <c r="BU3783" s="48"/>
      <c r="BV3783" s="48"/>
      <c r="BW3783" s="48"/>
      <c r="BX3783" s="48"/>
      <c r="BY3783" s="48"/>
      <c r="BZ3783" s="48"/>
      <c r="CA3783" s="48"/>
      <c r="CB3783" s="48"/>
      <c r="CC3783" s="48"/>
      <c r="CD3783" s="48"/>
      <c r="CE3783" s="48"/>
      <c r="CF3783" s="48"/>
      <c r="CG3783" s="48"/>
      <c r="CH3783" s="48"/>
      <c r="CI3783" s="48"/>
      <c r="CJ3783" s="48"/>
      <c r="CK3783" s="48"/>
      <c r="CL3783" s="48"/>
      <c r="CM3783" s="48"/>
      <c r="CN3783" s="48"/>
      <c r="CO3783" s="48"/>
      <c r="CP3783" s="48"/>
      <c r="CQ3783" s="48"/>
      <c r="CR3783" s="48"/>
      <c r="CS3783" s="48"/>
      <c r="CT3783" s="48"/>
      <c r="CU3783" s="48"/>
      <c r="CV3783" s="48"/>
      <c r="CW3783" s="48"/>
      <c r="CX3783" s="48"/>
      <c r="CY3783" s="48"/>
      <c r="CZ3783" s="48"/>
    </row>
    <row r="3784" spans="27:104" s="4" customFormat="1" x14ac:dyDescent="0.3">
      <c r="AA3784" s="48"/>
      <c r="AB3784" s="48"/>
      <c r="AC3784" s="48"/>
      <c r="AD3784" s="48"/>
      <c r="AE3784" s="48"/>
      <c r="AF3784" s="48"/>
      <c r="AG3784" s="48"/>
      <c r="AH3784" s="48"/>
      <c r="AI3784" s="48"/>
      <c r="AJ3784" s="48"/>
      <c r="AK3784" s="48"/>
      <c r="AL3784" s="48"/>
      <c r="AM3784" s="48"/>
      <c r="AN3784" s="48"/>
      <c r="AO3784" s="48"/>
      <c r="AP3784" s="48"/>
      <c r="AQ3784" s="48"/>
      <c r="AR3784" s="48"/>
      <c r="AS3784" s="48"/>
      <c r="AT3784" s="48"/>
      <c r="AU3784" s="48"/>
      <c r="AV3784" s="48"/>
      <c r="AW3784" s="48"/>
      <c r="AX3784" s="48"/>
      <c r="AY3784" s="48"/>
      <c r="AZ3784" s="48"/>
      <c r="BA3784" s="48"/>
      <c r="BB3784" s="14"/>
      <c r="BC3784" s="48"/>
      <c r="BD3784" s="48"/>
      <c r="BE3784" s="48"/>
      <c r="BF3784" s="48"/>
      <c r="BG3784" s="48"/>
      <c r="BH3784" s="48"/>
      <c r="BI3784" s="48"/>
      <c r="BJ3784" s="48"/>
      <c r="BK3784" s="48"/>
      <c r="BL3784" s="48"/>
      <c r="BM3784" s="48"/>
      <c r="BN3784" s="48"/>
      <c r="BO3784" s="48"/>
      <c r="BP3784" s="48"/>
      <c r="BQ3784" s="48"/>
      <c r="BR3784" s="48"/>
      <c r="BS3784" s="48"/>
      <c r="BT3784" s="48"/>
      <c r="BU3784" s="48"/>
      <c r="BV3784" s="48"/>
      <c r="BW3784" s="48"/>
      <c r="BX3784" s="48"/>
      <c r="BY3784" s="48"/>
      <c r="BZ3784" s="48"/>
      <c r="CA3784" s="48"/>
      <c r="CB3784" s="48"/>
      <c r="CC3784" s="48"/>
      <c r="CD3784" s="48"/>
      <c r="CE3784" s="48"/>
      <c r="CF3784" s="48"/>
      <c r="CG3784" s="48"/>
      <c r="CH3784" s="48"/>
      <c r="CI3784" s="48"/>
      <c r="CJ3784" s="48"/>
      <c r="CK3784" s="48"/>
      <c r="CL3784" s="48"/>
      <c r="CM3784" s="48"/>
      <c r="CN3784" s="48"/>
      <c r="CO3784" s="48"/>
      <c r="CP3784" s="48"/>
      <c r="CQ3784" s="48"/>
      <c r="CR3784" s="48"/>
      <c r="CS3784" s="48"/>
      <c r="CT3784" s="48"/>
      <c r="CU3784" s="48"/>
      <c r="CV3784" s="48"/>
      <c r="CW3784" s="48"/>
      <c r="CX3784" s="48"/>
      <c r="CY3784" s="48"/>
      <c r="CZ3784" s="48"/>
    </row>
    <row r="3785" spans="27:104" s="4" customFormat="1" x14ac:dyDescent="0.3">
      <c r="AA3785" s="48"/>
      <c r="AB3785" s="48"/>
      <c r="AC3785" s="48"/>
      <c r="AD3785" s="48"/>
      <c r="AE3785" s="48"/>
      <c r="AF3785" s="48"/>
      <c r="AG3785" s="48"/>
      <c r="AH3785" s="48"/>
      <c r="AI3785" s="48"/>
      <c r="AJ3785" s="48"/>
      <c r="AK3785" s="48"/>
      <c r="AL3785" s="48"/>
      <c r="AM3785" s="48"/>
      <c r="AN3785" s="48"/>
      <c r="AO3785" s="48"/>
      <c r="AP3785" s="48"/>
      <c r="AQ3785" s="48"/>
      <c r="AR3785" s="48"/>
      <c r="AS3785" s="48"/>
      <c r="AT3785" s="48"/>
      <c r="AU3785" s="48"/>
      <c r="AV3785" s="48"/>
      <c r="AW3785" s="48"/>
      <c r="AX3785" s="48"/>
      <c r="AY3785" s="48"/>
      <c r="AZ3785" s="48"/>
      <c r="BA3785" s="48"/>
      <c r="BB3785" s="14"/>
      <c r="BC3785" s="48"/>
      <c r="BD3785" s="48"/>
      <c r="BE3785" s="48"/>
      <c r="BF3785" s="48"/>
      <c r="BG3785" s="48"/>
      <c r="BH3785" s="48"/>
      <c r="BI3785" s="48"/>
      <c r="BJ3785" s="48"/>
      <c r="BK3785" s="48"/>
      <c r="BL3785" s="48"/>
      <c r="BM3785" s="48"/>
      <c r="BN3785" s="48"/>
      <c r="BO3785" s="48"/>
      <c r="BP3785" s="48"/>
      <c r="BQ3785" s="48"/>
      <c r="BR3785" s="48"/>
      <c r="BS3785" s="48"/>
      <c r="BT3785" s="48"/>
      <c r="BU3785" s="48"/>
      <c r="BV3785" s="48"/>
      <c r="BW3785" s="48"/>
      <c r="BX3785" s="48"/>
      <c r="BY3785" s="48"/>
      <c r="BZ3785" s="48"/>
      <c r="CA3785" s="48"/>
      <c r="CB3785" s="48"/>
      <c r="CC3785" s="48"/>
      <c r="CD3785" s="48"/>
      <c r="CE3785" s="48"/>
      <c r="CF3785" s="48"/>
      <c r="CG3785" s="48"/>
      <c r="CH3785" s="48"/>
      <c r="CI3785" s="48"/>
      <c r="CJ3785" s="48"/>
      <c r="CK3785" s="48"/>
      <c r="CL3785" s="48"/>
      <c r="CM3785" s="48"/>
      <c r="CN3785" s="48"/>
      <c r="CO3785" s="48"/>
      <c r="CP3785" s="48"/>
      <c r="CQ3785" s="48"/>
      <c r="CR3785" s="48"/>
      <c r="CS3785" s="48"/>
      <c r="CT3785" s="48"/>
      <c r="CU3785" s="48"/>
      <c r="CV3785" s="48"/>
      <c r="CW3785" s="48"/>
      <c r="CX3785" s="48"/>
      <c r="CY3785" s="48"/>
      <c r="CZ3785" s="48"/>
    </row>
    <row r="3786" spans="27:104" s="4" customFormat="1" x14ac:dyDescent="0.3">
      <c r="AA3786" s="48"/>
      <c r="AB3786" s="48"/>
      <c r="AC3786" s="48"/>
      <c r="AD3786" s="48"/>
      <c r="AE3786" s="48"/>
      <c r="AF3786" s="48"/>
      <c r="AG3786" s="48"/>
      <c r="AH3786" s="48"/>
      <c r="AI3786" s="48"/>
      <c r="AJ3786" s="48"/>
      <c r="AK3786" s="48"/>
      <c r="AL3786" s="48"/>
      <c r="AM3786" s="48"/>
      <c r="AN3786" s="48"/>
      <c r="AO3786" s="48"/>
      <c r="AP3786" s="48"/>
      <c r="AQ3786" s="48"/>
      <c r="AR3786" s="48"/>
      <c r="AS3786" s="48"/>
      <c r="AT3786" s="48"/>
      <c r="AU3786" s="48"/>
      <c r="AV3786" s="48"/>
      <c r="AW3786" s="48"/>
      <c r="AX3786" s="48"/>
      <c r="AY3786" s="48"/>
      <c r="AZ3786" s="48"/>
      <c r="BA3786" s="48"/>
      <c r="BB3786" s="14"/>
      <c r="BC3786" s="48"/>
      <c r="BD3786" s="48"/>
      <c r="BE3786" s="48"/>
      <c r="BF3786" s="48"/>
      <c r="BG3786" s="48"/>
      <c r="BH3786" s="48"/>
      <c r="BI3786" s="48"/>
      <c r="BJ3786" s="48"/>
      <c r="BK3786" s="48"/>
      <c r="BL3786" s="48"/>
      <c r="BM3786" s="48"/>
      <c r="BN3786" s="48"/>
      <c r="BO3786" s="48"/>
      <c r="BP3786" s="48"/>
      <c r="BQ3786" s="48"/>
      <c r="BR3786" s="48"/>
      <c r="BS3786" s="48"/>
      <c r="BT3786" s="48"/>
      <c r="BU3786" s="48"/>
      <c r="BV3786" s="48"/>
      <c r="BW3786" s="48"/>
      <c r="BX3786" s="48"/>
      <c r="BY3786" s="48"/>
      <c r="BZ3786" s="48"/>
      <c r="CA3786" s="48"/>
      <c r="CB3786" s="48"/>
      <c r="CC3786" s="48"/>
      <c r="CD3786" s="48"/>
      <c r="CE3786" s="48"/>
      <c r="CF3786" s="48"/>
      <c r="CG3786" s="48"/>
      <c r="CH3786" s="48"/>
      <c r="CI3786" s="48"/>
      <c r="CJ3786" s="48"/>
      <c r="CK3786" s="48"/>
      <c r="CL3786" s="48"/>
      <c r="CM3786" s="48"/>
      <c r="CN3786" s="48"/>
      <c r="CO3786" s="48"/>
      <c r="CP3786" s="48"/>
      <c r="CQ3786" s="48"/>
      <c r="CR3786" s="48"/>
      <c r="CS3786" s="48"/>
      <c r="CT3786" s="48"/>
      <c r="CU3786" s="48"/>
      <c r="CV3786" s="48"/>
      <c r="CW3786" s="48"/>
      <c r="CX3786" s="48"/>
      <c r="CY3786" s="48"/>
      <c r="CZ3786" s="48"/>
    </row>
    <row r="3787" spans="27:104" s="4" customFormat="1" x14ac:dyDescent="0.3">
      <c r="AA3787" s="48"/>
      <c r="AB3787" s="48"/>
      <c r="AC3787" s="48"/>
      <c r="AD3787" s="48"/>
      <c r="AE3787" s="48"/>
      <c r="AF3787" s="48"/>
      <c r="AG3787" s="48"/>
      <c r="AH3787" s="48"/>
      <c r="AI3787" s="48"/>
      <c r="AJ3787" s="48"/>
      <c r="AK3787" s="48"/>
      <c r="AL3787" s="48"/>
      <c r="AM3787" s="48"/>
      <c r="AN3787" s="48"/>
      <c r="AO3787" s="48"/>
      <c r="AP3787" s="48"/>
      <c r="AQ3787" s="48"/>
      <c r="AR3787" s="48"/>
      <c r="AS3787" s="48"/>
      <c r="AT3787" s="48"/>
      <c r="AU3787" s="48"/>
      <c r="AV3787" s="48"/>
      <c r="AW3787" s="48"/>
      <c r="AX3787" s="48"/>
      <c r="AY3787" s="48"/>
      <c r="AZ3787" s="48"/>
      <c r="BA3787" s="48"/>
      <c r="BB3787" s="14"/>
      <c r="BC3787" s="48"/>
      <c r="BD3787" s="48"/>
      <c r="BE3787" s="48"/>
      <c r="BF3787" s="48"/>
      <c r="BG3787" s="48"/>
      <c r="BH3787" s="48"/>
      <c r="BI3787" s="48"/>
      <c r="BJ3787" s="48"/>
      <c r="BK3787" s="48"/>
      <c r="BL3787" s="48"/>
      <c r="BM3787" s="48"/>
      <c r="BN3787" s="48"/>
      <c r="BO3787" s="48"/>
      <c r="BP3787" s="48"/>
      <c r="BQ3787" s="48"/>
      <c r="BR3787" s="48"/>
      <c r="BS3787" s="48"/>
      <c r="BT3787" s="48"/>
      <c r="BU3787" s="48"/>
      <c r="BV3787" s="48"/>
      <c r="BW3787" s="48"/>
      <c r="BX3787" s="48"/>
      <c r="BY3787" s="48"/>
      <c r="BZ3787" s="48"/>
      <c r="CA3787" s="48"/>
      <c r="CB3787" s="48"/>
      <c r="CC3787" s="48"/>
      <c r="CD3787" s="48"/>
      <c r="CE3787" s="48"/>
      <c r="CF3787" s="48"/>
      <c r="CG3787" s="48"/>
      <c r="CH3787" s="48"/>
      <c r="CI3787" s="48"/>
      <c r="CJ3787" s="48"/>
      <c r="CK3787" s="48"/>
      <c r="CL3787" s="48"/>
      <c r="CM3787" s="48"/>
      <c r="CN3787" s="48"/>
      <c r="CO3787" s="48"/>
      <c r="CP3787" s="48"/>
      <c r="CQ3787" s="48"/>
      <c r="CR3787" s="48"/>
      <c r="CS3787" s="48"/>
      <c r="CT3787" s="48"/>
      <c r="CU3787" s="48"/>
      <c r="CV3787" s="48"/>
      <c r="CW3787" s="48"/>
      <c r="CX3787" s="48"/>
      <c r="CY3787" s="48"/>
      <c r="CZ3787" s="48"/>
    </row>
    <row r="3788" spans="27:104" s="4" customFormat="1" x14ac:dyDescent="0.3">
      <c r="AA3788" s="48"/>
      <c r="AB3788" s="48"/>
      <c r="AC3788" s="48"/>
      <c r="AD3788" s="48"/>
      <c r="AE3788" s="48"/>
      <c r="AF3788" s="48"/>
      <c r="AG3788" s="48"/>
      <c r="AH3788" s="48"/>
      <c r="AI3788" s="48"/>
      <c r="AJ3788" s="48"/>
      <c r="AK3788" s="48"/>
      <c r="AL3788" s="48"/>
      <c r="AM3788" s="48"/>
      <c r="AN3788" s="48"/>
      <c r="AO3788" s="48"/>
      <c r="AP3788" s="48"/>
      <c r="AQ3788" s="48"/>
      <c r="AR3788" s="48"/>
      <c r="AS3788" s="48"/>
      <c r="AT3788" s="48"/>
      <c r="AU3788" s="48"/>
      <c r="AV3788" s="48"/>
      <c r="AW3788" s="48"/>
      <c r="AX3788" s="48"/>
      <c r="AY3788" s="48"/>
      <c r="AZ3788" s="48"/>
      <c r="BA3788" s="48"/>
      <c r="BB3788" s="14"/>
      <c r="BC3788" s="48"/>
      <c r="BD3788" s="48"/>
      <c r="BE3788" s="48"/>
      <c r="BF3788" s="48"/>
      <c r="BG3788" s="48"/>
      <c r="BH3788" s="48"/>
      <c r="BI3788" s="48"/>
      <c r="BJ3788" s="48"/>
      <c r="BK3788" s="48"/>
      <c r="BL3788" s="48"/>
      <c r="BM3788" s="48"/>
      <c r="BN3788" s="48"/>
      <c r="BO3788" s="48"/>
      <c r="BP3788" s="48"/>
      <c r="BQ3788" s="48"/>
      <c r="BR3788" s="48"/>
      <c r="BS3788" s="48"/>
      <c r="BT3788" s="48"/>
      <c r="BU3788" s="48"/>
      <c r="BV3788" s="48"/>
      <c r="BW3788" s="48"/>
      <c r="BX3788" s="48"/>
      <c r="BY3788" s="48"/>
      <c r="BZ3788" s="48"/>
      <c r="CA3788" s="48"/>
      <c r="CB3788" s="48"/>
      <c r="CC3788" s="48"/>
      <c r="CD3788" s="48"/>
      <c r="CE3788" s="48"/>
      <c r="CF3788" s="48"/>
      <c r="CG3788" s="48"/>
      <c r="CH3788" s="48"/>
      <c r="CI3788" s="48"/>
      <c r="CJ3788" s="48"/>
      <c r="CK3788" s="48"/>
      <c r="CL3788" s="48"/>
      <c r="CM3788" s="48"/>
      <c r="CN3788" s="48"/>
      <c r="CO3788" s="48"/>
      <c r="CP3788" s="48"/>
      <c r="CQ3788" s="48"/>
      <c r="CR3788" s="48"/>
      <c r="CS3788" s="48"/>
      <c r="CT3788" s="48"/>
      <c r="CU3788" s="48"/>
      <c r="CV3788" s="48"/>
      <c r="CW3788" s="48"/>
      <c r="CX3788" s="48"/>
      <c r="CY3788" s="48"/>
      <c r="CZ3788" s="48"/>
    </row>
    <row r="3789" spans="27:104" s="4" customFormat="1" x14ac:dyDescent="0.3">
      <c r="AA3789" s="48"/>
      <c r="AB3789" s="48"/>
      <c r="AC3789" s="48"/>
      <c r="AD3789" s="48"/>
      <c r="AE3789" s="48"/>
      <c r="AF3789" s="48"/>
      <c r="AG3789" s="48"/>
      <c r="AH3789" s="48"/>
      <c r="AI3789" s="48"/>
      <c r="AJ3789" s="48"/>
      <c r="AK3789" s="48"/>
      <c r="AL3789" s="48"/>
      <c r="AM3789" s="48"/>
      <c r="AN3789" s="48"/>
      <c r="AO3789" s="48"/>
      <c r="AP3789" s="48"/>
      <c r="AQ3789" s="48"/>
      <c r="AR3789" s="48"/>
      <c r="AS3789" s="48"/>
      <c r="AT3789" s="48"/>
      <c r="AU3789" s="48"/>
      <c r="AV3789" s="48"/>
      <c r="AW3789" s="48"/>
      <c r="AX3789" s="48"/>
      <c r="AY3789" s="48"/>
      <c r="AZ3789" s="48"/>
      <c r="BA3789" s="48"/>
      <c r="BB3789" s="14"/>
      <c r="BC3789" s="48"/>
      <c r="BD3789" s="48"/>
      <c r="BE3789" s="48"/>
      <c r="BF3789" s="48"/>
      <c r="BG3789" s="48"/>
      <c r="BH3789" s="48"/>
      <c r="BI3789" s="48"/>
      <c r="BJ3789" s="48"/>
      <c r="BK3789" s="48"/>
      <c r="BL3789" s="48"/>
      <c r="BM3789" s="48"/>
      <c r="BN3789" s="48"/>
      <c r="BO3789" s="48"/>
      <c r="BP3789" s="48"/>
      <c r="BQ3789" s="48"/>
      <c r="BR3789" s="48"/>
      <c r="BS3789" s="48"/>
      <c r="BT3789" s="48"/>
      <c r="BU3789" s="48"/>
      <c r="BV3789" s="48"/>
      <c r="BW3789" s="48"/>
      <c r="BX3789" s="48"/>
      <c r="BY3789" s="48"/>
      <c r="BZ3789" s="48"/>
      <c r="CA3789" s="48"/>
      <c r="CB3789" s="48"/>
      <c r="CC3789" s="48"/>
      <c r="CD3789" s="48"/>
      <c r="CE3789" s="48"/>
      <c r="CF3789" s="48"/>
      <c r="CG3789" s="48"/>
      <c r="CH3789" s="48"/>
      <c r="CI3789" s="48"/>
      <c r="CJ3789" s="48"/>
      <c r="CK3789" s="48"/>
      <c r="CL3789" s="48"/>
      <c r="CM3789" s="48"/>
      <c r="CN3789" s="48"/>
      <c r="CO3789" s="48"/>
      <c r="CP3789" s="48"/>
      <c r="CQ3789" s="48"/>
      <c r="CR3789" s="48"/>
      <c r="CS3789" s="48"/>
      <c r="CT3789" s="48"/>
      <c r="CU3789" s="48"/>
      <c r="CV3789" s="48"/>
      <c r="CW3789" s="48"/>
      <c r="CX3789" s="48"/>
      <c r="CY3789" s="48"/>
      <c r="CZ3789" s="48"/>
    </row>
    <row r="3790" spans="27:104" s="4" customFormat="1" x14ac:dyDescent="0.3">
      <c r="AA3790" s="48"/>
      <c r="AB3790" s="48"/>
      <c r="AC3790" s="48"/>
      <c r="AD3790" s="48"/>
      <c r="AE3790" s="48"/>
      <c r="AF3790" s="48"/>
      <c r="AG3790" s="48"/>
      <c r="AH3790" s="48"/>
      <c r="AI3790" s="48"/>
      <c r="AJ3790" s="48"/>
      <c r="AK3790" s="48"/>
      <c r="AL3790" s="48"/>
      <c r="AM3790" s="48"/>
      <c r="AN3790" s="48"/>
      <c r="AO3790" s="48"/>
      <c r="AP3790" s="48"/>
      <c r="AQ3790" s="48"/>
      <c r="AR3790" s="48"/>
      <c r="AS3790" s="48"/>
      <c r="AT3790" s="48"/>
      <c r="AU3790" s="48"/>
      <c r="AV3790" s="48"/>
      <c r="AW3790" s="48"/>
      <c r="AX3790" s="48"/>
      <c r="AY3790" s="48"/>
      <c r="AZ3790" s="48"/>
      <c r="BA3790" s="48"/>
      <c r="BB3790" s="14"/>
      <c r="BC3790" s="48"/>
      <c r="BD3790" s="48"/>
      <c r="BE3790" s="48"/>
      <c r="BF3790" s="48"/>
      <c r="BG3790" s="48"/>
      <c r="BH3790" s="48"/>
      <c r="BI3790" s="48"/>
      <c r="BJ3790" s="48"/>
      <c r="BK3790" s="48"/>
      <c r="BL3790" s="48"/>
      <c r="BM3790" s="48"/>
      <c r="BN3790" s="48"/>
      <c r="BO3790" s="48"/>
      <c r="BP3790" s="48"/>
      <c r="BQ3790" s="48"/>
      <c r="BR3790" s="48"/>
      <c r="BS3790" s="48"/>
      <c r="BT3790" s="48"/>
      <c r="BU3790" s="48"/>
      <c r="BV3790" s="48"/>
      <c r="BW3790" s="48"/>
      <c r="BX3790" s="48"/>
      <c r="BY3790" s="48"/>
      <c r="BZ3790" s="48"/>
      <c r="CA3790" s="48"/>
      <c r="CB3790" s="48"/>
      <c r="CC3790" s="48"/>
      <c r="CD3790" s="48"/>
      <c r="CE3790" s="48"/>
      <c r="CF3790" s="48"/>
      <c r="CG3790" s="48"/>
      <c r="CH3790" s="48"/>
      <c r="CI3790" s="48"/>
      <c r="CJ3790" s="48"/>
      <c r="CK3790" s="48"/>
      <c r="CL3790" s="48"/>
      <c r="CM3790" s="48"/>
      <c r="CN3790" s="48"/>
      <c r="CO3790" s="48"/>
      <c r="CP3790" s="48"/>
      <c r="CQ3790" s="48"/>
      <c r="CR3790" s="48"/>
      <c r="CS3790" s="48"/>
      <c r="CT3790" s="48"/>
      <c r="CU3790" s="48"/>
      <c r="CV3790" s="48"/>
      <c r="CW3790" s="48"/>
      <c r="CX3790" s="48"/>
      <c r="CY3790" s="48"/>
      <c r="CZ3790" s="48"/>
    </row>
    <row r="3791" spans="27:104" s="4" customFormat="1" x14ac:dyDescent="0.3">
      <c r="AA3791" s="48"/>
      <c r="AB3791" s="48"/>
      <c r="AC3791" s="48"/>
      <c r="AD3791" s="48"/>
      <c r="AE3791" s="48"/>
      <c r="AF3791" s="48"/>
      <c r="AG3791" s="48"/>
      <c r="AH3791" s="48"/>
      <c r="AI3791" s="48"/>
      <c r="AJ3791" s="48"/>
      <c r="AK3791" s="48"/>
      <c r="AL3791" s="48"/>
      <c r="AM3791" s="48"/>
      <c r="AN3791" s="48"/>
      <c r="AO3791" s="48"/>
      <c r="AP3791" s="48"/>
      <c r="AQ3791" s="48"/>
      <c r="AR3791" s="48"/>
      <c r="AS3791" s="48"/>
      <c r="AT3791" s="48"/>
      <c r="AU3791" s="48"/>
      <c r="AV3791" s="48"/>
      <c r="AW3791" s="48"/>
      <c r="AX3791" s="48"/>
      <c r="AY3791" s="48"/>
      <c r="AZ3791" s="48"/>
      <c r="BA3791" s="48"/>
      <c r="BB3791" s="14"/>
      <c r="BC3791" s="48"/>
      <c r="BD3791" s="48"/>
      <c r="BE3791" s="48"/>
      <c r="BF3791" s="48"/>
      <c r="BG3791" s="48"/>
      <c r="BH3791" s="48"/>
      <c r="BI3791" s="48"/>
      <c r="BJ3791" s="48"/>
      <c r="BK3791" s="48"/>
      <c r="BL3791" s="48"/>
      <c r="BM3791" s="48"/>
      <c r="BN3791" s="48"/>
      <c r="BO3791" s="48"/>
      <c r="BP3791" s="48"/>
      <c r="BQ3791" s="48"/>
      <c r="BR3791" s="48"/>
      <c r="BS3791" s="48"/>
      <c r="BT3791" s="48"/>
      <c r="BU3791" s="48"/>
      <c r="BV3791" s="48"/>
      <c r="BW3791" s="48"/>
      <c r="BX3791" s="48"/>
      <c r="BY3791" s="48"/>
      <c r="BZ3791" s="48"/>
      <c r="CA3791" s="48"/>
      <c r="CB3791" s="48"/>
      <c r="CC3791" s="48"/>
      <c r="CD3791" s="48"/>
      <c r="CE3791" s="48"/>
      <c r="CF3791" s="48"/>
      <c r="CG3791" s="48"/>
      <c r="CH3791" s="48"/>
      <c r="CI3791" s="48"/>
      <c r="CJ3791" s="48"/>
      <c r="CK3791" s="48"/>
      <c r="CL3791" s="48"/>
      <c r="CM3791" s="48"/>
      <c r="CN3791" s="48"/>
      <c r="CO3791" s="48"/>
      <c r="CP3791" s="48"/>
      <c r="CQ3791" s="48"/>
      <c r="CR3791" s="48"/>
      <c r="CS3791" s="48"/>
      <c r="CT3791" s="48"/>
      <c r="CU3791" s="48"/>
      <c r="CV3791" s="48"/>
      <c r="CW3791" s="48"/>
      <c r="CX3791" s="48"/>
      <c r="CY3791" s="48"/>
      <c r="CZ3791" s="48"/>
    </row>
    <row r="3792" spans="27:104" s="4" customFormat="1" x14ac:dyDescent="0.3">
      <c r="AA3792" s="48"/>
      <c r="AB3792" s="48"/>
      <c r="AC3792" s="48"/>
      <c r="AD3792" s="48"/>
      <c r="AE3792" s="48"/>
      <c r="AF3792" s="48"/>
      <c r="AG3792" s="48"/>
      <c r="AH3792" s="48"/>
      <c r="AI3792" s="48"/>
      <c r="AJ3792" s="48"/>
      <c r="AK3792" s="48"/>
      <c r="AL3792" s="48"/>
      <c r="AM3792" s="48"/>
      <c r="AN3792" s="48"/>
      <c r="AO3792" s="48"/>
      <c r="AP3792" s="48"/>
      <c r="AQ3792" s="48"/>
      <c r="AR3792" s="48"/>
      <c r="AS3792" s="48"/>
      <c r="AT3792" s="48"/>
      <c r="AU3792" s="48"/>
      <c r="AV3792" s="48"/>
      <c r="AW3792" s="48"/>
      <c r="AX3792" s="48"/>
      <c r="AY3792" s="48"/>
      <c r="AZ3792" s="48"/>
      <c r="BA3792" s="48"/>
      <c r="BB3792" s="14"/>
      <c r="BC3792" s="48"/>
      <c r="BD3792" s="48"/>
      <c r="BE3792" s="48"/>
      <c r="BF3792" s="48"/>
      <c r="BG3792" s="48"/>
      <c r="BH3792" s="48"/>
      <c r="BI3792" s="48"/>
      <c r="BJ3792" s="48"/>
      <c r="BK3792" s="48"/>
      <c r="BL3792" s="48"/>
      <c r="BM3792" s="48"/>
      <c r="BN3792" s="48"/>
      <c r="BO3792" s="48"/>
      <c r="BP3792" s="48"/>
      <c r="BQ3792" s="48"/>
      <c r="BR3792" s="48"/>
      <c r="BS3792" s="48"/>
      <c r="BT3792" s="48"/>
      <c r="BU3792" s="48"/>
      <c r="BV3792" s="48"/>
      <c r="BW3792" s="48"/>
      <c r="BX3792" s="48"/>
      <c r="BY3792" s="48"/>
      <c r="BZ3792" s="48"/>
      <c r="CA3792" s="48"/>
      <c r="CB3792" s="48"/>
      <c r="CC3792" s="48"/>
      <c r="CD3792" s="48"/>
      <c r="CE3792" s="48"/>
      <c r="CF3792" s="48"/>
      <c r="CG3792" s="48"/>
      <c r="CH3792" s="48"/>
      <c r="CI3792" s="48"/>
      <c r="CJ3792" s="48"/>
      <c r="CK3792" s="48"/>
      <c r="CL3792" s="48"/>
      <c r="CM3792" s="48"/>
      <c r="CN3792" s="48"/>
      <c r="CO3792" s="48"/>
      <c r="CP3792" s="48"/>
      <c r="CQ3792" s="48"/>
      <c r="CR3792" s="48"/>
      <c r="CS3792" s="48"/>
      <c r="CT3792" s="48"/>
      <c r="CU3792" s="48"/>
      <c r="CV3792" s="48"/>
      <c r="CW3792" s="48"/>
      <c r="CX3792" s="48"/>
      <c r="CY3792" s="48"/>
      <c r="CZ3792" s="48"/>
    </row>
    <row r="3793" spans="27:104" s="4" customFormat="1" x14ac:dyDescent="0.3">
      <c r="AA3793" s="48"/>
      <c r="AB3793" s="48"/>
      <c r="AC3793" s="48"/>
      <c r="AD3793" s="48"/>
      <c r="AE3793" s="48"/>
      <c r="AF3793" s="48"/>
      <c r="AG3793" s="48"/>
      <c r="AH3793" s="48"/>
      <c r="AI3793" s="48"/>
      <c r="AJ3793" s="48"/>
      <c r="AK3793" s="48"/>
      <c r="AL3793" s="48"/>
      <c r="AM3793" s="48"/>
      <c r="AN3793" s="48"/>
      <c r="AO3793" s="48"/>
      <c r="AP3793" s="48"/>
      <c r="AQ3793" s="48"/>
      <c r="AR3793" s="48"/>
      <c r="AS3793" s="48"/>
      <c r="AT3793" s="48"/>
      <c r="AU3793" s="48"/>
      <c r="AV3793" s="48"/>
      <c r="AW3793" s="48"/>
      <c r="AX3793" s="48"/>
      <c r="AY3793" s="48"/>
      <c r="AZ3793" s="48"/>
      <c r="BA3793" s="48"/>
      <c r="BB3793" s="14"/>
      <c r="BC3793" s="48"/>
      <c r="BD3793" s="48"/>
      <c r="BE3793" s="48"/>
      <c r="BF3793" s="48"/>
      <c r="BG3793" s="48"/>
      <c r="BH3793" s="48"/>
      <c r="BI3793" s="48"/>
      <c r="BJ3793" s="48"/>
      <c r="BK3793" s="48"/>
      <c r="BL3793" s="48"/>
      <c r="BM3793" s="48"/>
      <c r="BN3793" s="48"/>
      <c r="BO3793" s="48"/>
      <c r="BP3793" s="48"/>
      <c r="BQ3793" s="48"/>
      <c r="BR3793" s="48"/>
      <c r="BS3793" s="48"/>
      <c r="BT3793" s="48"/>
      <c r="BU3793" s="48"/>
      <c r="BV3793" s="48"/>
      <c r="BW3793" s="48"/>
      <c r="BX3793" s="48"/>
      <c r="BY3793" s="48"/>
      <c r="BZ3793" s="48"/>
      <c r="CA3793" s="48"/>
      <c r="CB3793" s="48"/>
      <c r="CC3793" s="48"/>
      <c r="CD3793" s="48"/>
      <c r="CE3793" s="48"/>
      <c r="CF3793" s="48"/>
      <c r="CG3793" s="48"/>
      <c r="CH3793" s="48"/>
      <c r="CI3793" s="48"/>
      <c r="CJ3793" s="48"/>
      <c r="CK3793" s="48"/>
      <c r="CL3793" s="48"/>
      <c r="CM3793" s="48"/>
      <c r="CN3793" s="48"/>
      <c r="CO3793" s="48"/>
      <c r="CP3793" s="48"/>
      <c r="CQ3793" s="48"/>
      <c r="CR3793" s="48"/>
      <c r="CS3793" s="48"/>
      <c r="CT3793" s="48"/>
      <c r="CU3793" s="48"/>
      <c r="CV3793" s="48"/>
      <c r="CW3793" s="48"/>
      <c r="CX3793" s="48"/>
      <c r="CY3793" s="48"/>
      <c r="CZ3793" s="48"/>
    </row>
    <row r="3794" spans="27:104" s="4" customFormat="1" x14ac:dyDescent="0.3">
      <c r="AA3794" s="48"/>
      <c r="AB3794" s="48"/>
      <c r="AC3794" s="48"/>
      <c r="AD3794" s="48"/>
      <c r="AE3794" s="48"/>
      <c r="AF3794" s="48"/>
      <c r="AG3794" s="48"/>
      <c r="AH3794" s="48"/>
      <c r="AI3794" s="48"/>
      <c r="AJ3794" s="48"/>
      <c r="AK3794" s="48"/>
      <c r="AL3794" s="48"/>
      <c r="AM3794" s="48"/>
      <c r="AN3794" s="48"/>
      <c r="AO3794" s="48"/>
      <c r="AP3794" s="48"/>
      <c r="AQ3794" s="48"/>
      <c r="AR3794" s="48"/>
      <c r="AS3794" s="48"/>
      <c r="AT3794" s="48"/>
      <c r="AU3794" s="48"/>
      <c r="AV3794" s="48"/>
      <c r="AW3794" s="48"/>
      <c r="AX3794" s="48"/>
      <c r="AY3794" s="48"/>
      <c r="AZ3794" s="48"/>
      <c r="BA3794" s="48"/>
      <c r="BB3794" s="14"/>
      <c r="BC3794" s="48"/>
      <c r="BD3794" s="48"/>
      <c r="BE3794" s="48"/>
      <c r="BF3794" s="48"/>
      <c r="BG3794" s="48"/>
      <c r="BH3794" s="48"/>
      <c r="BI3794" s="48"/>
      <c r="BJ3794" s="48"/>
      <c r="BK3794" s="48"/>
      <c r="BL3794" s="48"/>
      <c r="BM3794" s="48"/>
      <c r="BN3794" s="48"/>
      <c r="BO3794" s="48"/>
      <c r="BP3794" s="48"/>
      <c r="BQ3794" s="48"/>
      <c r="BR3794" s="48"/>
      <c r="BS3794" s="48"/>
      <c r="BT3794" s="48"/>
      <c r="BU3794" s="48"/>
      <c r="BV3794" s="48"/>
      <c r="BW3794" s="48"/>
      <c r="BX3794" s="48"/>
      <c r="BY3794" s="48"/>
      <c r="BZ3794" s="48"/>
      <c r="CA3794" s="48"/>
      <c r="CB3794" s="48"/>
      <c r="CC3794" s="48"/>
      <c r="CD3794" s="48"/>
      <c r="CE3794" s="48"/>
      <c r="CF3794" s="48"/>
      <c r="CG3794" s="48"/>
      <c r="CH3794" s="48"/>
      <c r="CI3794" s="48"/>
      <c r="CJ3794" s="48"/>
      <c r="CK3794" s="48"/>
      <c r="CL3794" s="48"/>
      <c r="CM3794" s="48"/>
      <c r="CN3794" s="48"/>
      <c r="CO3794" s="48"/>
      <c r="CP3794" s="48"/>
      <c r="CQ3794" s="48"/>
      <c r="CR3794" s="48"/>
      <c r="CS3794" s="48"/>
      <c r="CT3794" s="48"/>
      <c r="CU3794" s="48"/>
      <c r="CV3794" s="48"/>
      <c r="CW3794" s="48"/>
      <c r="CX3794" s="48"/>
      <c r="CY3794" s="48"/>
      <c r="CZ3794" s="48"/>
    </row>
    <row r="3795" spans="27:104" s="4" customFormat="1" x14ac:dyDescent="0.3">
      <c r="AA3795" s="48"/>
      <c r="AB3795" s="48"/>
      <c r="AC3795" s="48"/>
      <c r="AD3795" s="48"/>
      <c r="AE3795" s="48"/>
      <c r="AF3795" s="48"/>
      <c r="AG3795" s="48"/>
      <c r="AH3795" s="48"/>
      <c r="AI3795" s="48"/>
      <c r="AJ3795" s="48"/>
      <c r="AK3795" s="48"/>
      <c r="AL3795" s="48"/>
      <c r="AM3795" s="48"/>
      <c r="AN3795" s="48"/>
      <c r="AO3795" s="48"/>
      <c r="AP3795" s="48"/>
      <c r="AQ3795" s="48"/>
      <c r="AR3795" s="48"/>
      <c r="AS3795" s="48"/>
      <c r="AT3795" s="48"/>
      <c r="AU3795" s="48"/>
      <c r="AV3795" s="48"/>
      <c r="AW3795" s="48"/>
      <c r="AX3795" s="48"/>
      <c r="AY3795" s="48"/>
      <c r="AZ3795" s="48"/>
      <c r="BA3795" s="48"/>
      <c r="BB3795" s="14"/>
      <c r="BC3795" s="48"/>
      <c r="BD3795" s="48"/>
      <c r="BE3795" s="48"/>
      <c r="BF3795" s="48"/>
      <c r="BG3795" s="48"/>
      <c r="BH3795" s="48"/>
      <c r="BI3795" s="48"/>
      <c r="BJ3795" s="48"/>
      <c r="BK3795" s="48"/>
      <c r="BL3795" s="48"/>
      <c r="BM3795" s="48"/>
      <c r="BN3795" s="48"/>
      <c r="BO3795" s="48"/>
      <c r="BP3795" s="48"/>
      <c r="BQ3795" s="48"/>
      <c r="BR3795" s="48"/>
      <c r="BS3795" s="48"/>
      <c r="BT3795" s="48"/>
      <c r="BU3795" s="48"/>
      <c r="BV3795" s="48"/>
      <c r="BW3795" s="48"/>
      <c r="BX3795" s="48"/>
      <c r="BY3795" s="48"/>
      <c r="BZ3795" s="48"/>
      <c r="CA3795" s="48"/>
      <c r="CB3795" s="48"/>
      <c r="CC3795" s="48"/>
      <c r="CD3795" s="48"/>
      <c r="CE3795" s="48"/>
      <c r="CF3795" s="48"/>
      <c r="CG3795" s="48"/>
      <c r="CH3795" s="48"/>
      <c r="CI3795" s="48"/>
      <c r="CJ3795" s="48"/>
      <c r="CK3795" s="48"/>
      <c r="CL3795" s="48"/>
      <c r="CM3795" s="48"/>
      <c r="CN3795" s="48"/>
      <c r="CO3795" s="48"/>
      <c r="CP3795" s="48"/>
      <c r="CQ3795" s="48"/>
      <c r="CR3795" s="48"/>
      <c r="CS3795" s="48"/>
      <c r="CT3795" s="48"/>
      <c r="CU3795" s="48"/>
      <c r="CV3795" s="48"/>
      <c r="CW3795" s="48"/>
      <c r="CX3795" s="48"/>
      <c r="CY3795" s="48"/>
      <c r="CZ3795" s="48"/>
    </row>
    <row r="3796" spans="27:104" s="4" customFormat="1" x14ac:dyDescent="0.3">
      <c r="AA3796" s="48"/>
      <c r="AB3796" s="48"/>
      <c r="AC3796" s="48"/>
      <c r="AD3796" s="48"/>
      <c r="AE3796" s="48"/>
      <c r="AF3796" s="48"/>
      <c r="AG3796" s="48"/>
      <c r="AH3796" s="48"/>
      <c r="AI3796" s="48"/>
      <c r="AJ3796" s="48"/>
      <c r="AK3796" s="48"/>
      <c r="AL3796" s="48"/>
      <c r="AM3796" s="48"/>
      <c r="AN3796" s="48"/>
      <c r="AO3796" s="48"/>
      <c r="AP3796" s="48"/>
      <c r="AQ3796" s="48"/>
      <c r="AR3796" s="48"/>
      <c r="AS3796" s="48"/>
      <c r="AT3796" s="48"/>
      <c r="AU3796" s="48"/>
      <c r="AV3796" s="48"/>
      <c r="AW3796" s="48"/>
      <c r="AX3796" s="48"/>
      <c r="AY3796" s="48"/>
      <c r="AZ3796" s="48"/>
      <c r="BA3796" s="48"/>
      <c r="BB3796" s="14"/>
      <c r="BC3796" s="48"/>
      <c r="BD3796" s="48"/>
      <c r="BE3796" s="48"/>
      <c r="BF3796" s="48"/>
      <c r="BG3796" s="48"/>
      <c r="BH3796" s="48"/>
      <c r="BI3796" s="48"/>
      <c r="BJ3796" s="48"/>
      <c r="BK3796" s="48"/>
      <c r="BL3796" s="48"/>
      <c r="BM3796" s="48"/>
      <c r="BN3796" s="48"/>
      <c r="BO3796" s="48"/>
      <c r="BP3796" s="48"/>
      <c r="BQ3796" s="48"/>
      <c r="BR3796" s="48"/>
      <c r="BS3796" s="48"/>
      <c r="BT3796" s="48"/>
      <c r="BU3796" s="48"/>
      <c r="BV3796" s="48"/>
      <c r="BW3796" s="48"/>
      <c r="BX3796" s="48"/>
      <c r="BY3796" s="48"/>
      <c r="BZ3796" s="48"/>
      <c r="CA3796" s="48"/>
      <c r="CB3796" s="48"/>
      <c r="CC3796" s="48"/>
      <c r="CD3796" s="48"/>
      <c r="CE3796" s="48"/>
      <c r="CF3796" s="48"/>
      <c r="CG3796" s="48"/>
      <c r="CH3796" s="48"/>
      <c r="CI3796" s="48"/>
      <c r="CJ3796" s="48"/>
      <c r="CK3796" s="48"/>
      <c r="CL3796" s="48"/>
      <c r="CM3796" s="48"/>
      <c r="CN3796" s="48"/>
      <c r="CO3796" s="48"/>
      <c r="CP3796" s="48"/>
      <c r="CQ3796" s="48"/>
      <c r="CR3796" s="48"/>
      <c r="CS3796" s="48"/>
      <c r="CT3796" s="48"/>
      <c r="CU3796" s="48"/>
      <c r="CV3796" s="48"/>
      <c r="CW3796" s="48"/>
      <c r="CX3796" s="48"/>
      <c r="CY3796" s="48"/>
      <c r="CZ3796" s="48"/>
    </row>
    <row r="3797" spans="27:104" s="4" customFormat="1" x14ac:dyDescent="0.3">
      <c r="AA3797" s="48"/>
      <c r="AB3797" s="48"/>
      <c r="AC3797" s="48"/>
      <c r="AD3797" s="48"/>
      <c r="AE3797" s="48"/>
      <c r="AF3797" s="48"/>
      <c r="AG3797" s="48"/>
      <c r="AH3797" s="48"/>
      <c r="AI3797" s="48"/>
      <c r="AJ3797" s="48"/>
      <c r="AK3797" s="48"/>
      <c r="AL3797" s="48"/>
      <c r="AM3797" s="48"/>
      <c r="AN3797" s="48"/>
      <c r="AO3797" s="48"/>
      <c r="AP3797" s="48"/>
      <c r="AQ3797" s="48"/>
      <c r="AR3797" s="48"/>
      <c r="AS3797" s="48"/>
      <c r="AT3797" s="48"/>
      <c r="AU3797" s="48"/>
      <c r="AV3797" s="48"/>
      <c r="AW3797" s="48"/>
      <c r="AX3797" s="48"/>
      <c r="AY3797" s="48"/>
      <c r="AZ3797" s="48"/>
      <c r="BA3797" s="48"/>
      <c r="BB3797" s="14"/>
      <c r="BC3797" s="48"/>
      <c r="BD3797" s="48"/>
      <c r="BE3797" s="48"/>
      <c r="BF3797" s="48"/>
      <c r="BG3797" s="48"/>
      <c r="BH3797" s="48"/>
      <c r="BI3797" s="48"/>
      <c r="BJ3797" s="48"/>
      <c r="BK3797" s="48"/>
      <c r="BL3797" s="48"/>
      <c r="BM3797" s="48"/>
      <c r="BN3797" s="48"/>
      <c r="BO3797" s="48"/>
      <c r="BP3797" s="48"/>
      <c r="BQ3797" s="48"/>
      <c r="BR3797" s="48"/>
      <c r="BS3797" s="48"/>
      <c r="BT3797" s="48"/>
      <c r="BU3797" s="48"/>
      <c r="BV3797" s="48"/>
      <c r="BW3797" s="48"/>
      <c r="BX3797" s="48"/>
      <c r="BY3797" s="48"/>
      <c r="BZ3797" s="48"/>
      <c r="CA3797" s="48"/>
      <c r="CB3797" s="48"/>
      <c r="CC3797" s="48"/>
      <c r="CD3797" s="48"/>
      <c r="CE3797" s="48"/>
      <c r="CF3797" s="48"/>
      <c r="CG3797" s="48"/>
      <c r="CH3797" s="48"/>
      <c r="CI3797" s="48"/>
      <c r="CJ3797" s="48"/>
      <c r="CK3797" s="48"/>
      <c r="CL3797" s="48"/>
      <c r="CM3797" s="48"/>
      <c r="CN3797" s="48"/>
      <c r="CO3797" s="48"/>
      <c r="CP3797" s="48"/>
      <c r="CQ3797" s="48"/>
      <c r="CR3797" s="48"/>
      <c r="CS3797" s="48"/>
      <c r="CT3797" s="48"/>
      <c r="CU3797" s="48"/>
      <c r="CV3797" s="48"/>
      <c r="CW3797" s="48"/>
      <c r="CX3797" s="48"/>
      <c r="CY3797" s="48"/>
      <c r="CZ3797" s="48"/>
    </row>
    <row r="3798" spans="27:104" s="4" customFormat="1" x14ac:dyDescent="0.3">
      <c r="AA3798" s="48"/>
      <c r="AB3798" s="48"/>
      <c r="AC3798" s="48"/>
      <c r="AD3798" s="48"/>
      <c r="AE3798" s="48"/>
      <c r="AF3798" s="48"/>
      <c r="AG3798" s="48"/>
      <c r="AH3798" s="48"/>
      <c r="AI3798" s="48"/>
      <c r="AJ3798" s="48"/>
      <c r="AK3798" s="48"/>
      <c r="AL3798" s="48"/>
      <c r="AM3798" s="48"/>
      <c r="AN3798" s="48"/>
      <c r="AO3798" s="48"/>
      <c r="AP3798" s="48"/>
      <c r="AQ3798" s="48"/>
      <c r="AR3798" s="48"/>
      <c r="AS3798" s="48"/>
      <c r="AT3798" s="48"/>
      <c r="AU3798" s="48"/>
      <c r="AV3798" s="48"/>
      <c r="AW3798" s="48"/>
      <c r="AX3798" s="48"/>
      <c r="AY3798" s="48"/>
      <c r="AZ3798" s="48"/>
      <c r="BA3798" s="48"/>
      <c r="BB3798" s="14"/>
      <c r="BC3798" s="48"/>
      <c r="BD3798" s="48"/>
      <c r="BE3798" s="48"/>
      <c r="BF3798" s="48"/>
      <c r="BG3798" s="48"/>
      <c r="BH3798" s="48"/>
      <c r="BI3798" s="48"/>
      <c r="BJ3798" s="48"/>
      <c r="BK3798" s="48"/>
      <c r="BL3798" s="48"/>
      <c r="BM3798" s="48"/>
      <c r="BN3798" s="48"/>
      <c r="BO3798" s="48"/>
      <c r="BP3798" s="48"/>
      <c r="BQ3798" s="48"/>
      <c r="BR3798" s="48"/>
      <c r="BS3798" s="48"/>
      <c r="BT3798" s="48"/>
      <c r="BU3798" s="48"/>
      <c r="BV3798" s="48"/>
      <c r="BW3798" s="48"/>
      <c r="BX3798" s="48"/>
      <c r="BY3798" s="48"/>
      <c r="BZ3798" s="48"/>
      <c r="CA3798" s="48"/>
      <c r="CB3798" s="48"/>
      <c r="CC3798" s="48"/>
      <c r="CD3798" s="48"/>
      <c r="CE3798" s="48"/>
      <c r="CF3798" s="48"/>
      <c r="CG3798" s="48"/>
      <c r="CH3798" s="48"/>
      <c r="CI3798" s="48"/>
      <c r="CJ3798" s="48"/>
      <c r="CK3798" s="48"/>
      <c r="CL3798" s="48"/>
      <c r="CM3798" s="48"/>
      <c r="CN3798" s="48"/>
      <c r="CO3798" s="48"/>
      <c r="CP3798" s="48"/>
      <c r="CQ3798" s="48"/>
      <c r="CR3798" s="48"/>
      <c r="CS3798" s="48"/>
      <c r="CT3798" s="48"/>
      <c r="CU3798" s="48"/>
      <c r="CV3798" s="48"/>
      <c r="CW3798" s="48"/>
      <c r="CX3798" s="48"/>
      <c r="CY3798" s="48"/>
      <c r="CZ3798" s="48"/>
    </row>
    <row r="3799" spans="27:104" s="4" customFormat="1" x14ac:dyDescent="0.3">
      <c r="AA3799" s="48"/>
      <c r="AB3799" s="48"/>
      <c r="AC3799" s="48"/>
      <c r="AD3799" s="48"/>
      <c r="AE3799" s="48"/>
      <c r="AF3799" s="48"/>
      <c r="AG3799" s="48"/>
      <c r="AH3799" s="48"/>
      <c r="AI3799" s="48"/>
      <c r="AJ3799" s="48"/>
      <c r="AK3799" s="48"/>
      <c r="AL3799" s="48"/>
      <c r="AM3799" s="48"/>
      <c r="AN3799" s="48"/>
      <c r="AO3799" s="48"/>
      <c r="AP3799" s="48"/>
      <c r="AQ3799" s="48"/>
      <c r="AR3799" s="48"/>
      <c r="AS3799" s="48"/>
      <c r="AT3799" s="48"/>
      <c r="AU3799" s="48"/>
      <c r="AV3799" s="48"/>
      <c r="AW3799" s="48"/>
      <c r="AX3799" s="48"/>
      <c r="AY3799" s="48"/>
      <c r="AZ3799" s="48"/>
      <c r="BA3799" s="48"/>
      <c r="BB3799" s="14"/>
      <c r="BC3799" s="48"/>
      <c r="BD3799" s="48"/>
      <c r="BE3799" s="48"/>
      <c r="BF3799" s="48"/>
      <c r="BG3799" s="48"/>
      <c r="BH3799" s="48"/>
      <c r="BI3799" s="48"/>
      <c r="BJ3799" s="48"/>
      <c r="BK3799" s="48"/>
      <c r="BL3799" s="48"/>
      <c r="BM3799" s="48"/>
      <c r="BN3799" s="48"/>
      <c r="BO3799" s="48"/>
      <c r="BP3799" s="48"/>
      <c r="BQ3799" s="48"/>
      <c r="BR3799" s="48"/>
      <c r="BS3799" s="48"/>
      <c r="BT3799" s="48"/>
      <c r="BU3799" s="48"/>
      <c r="BV3799" s="48"/>
      <c r="BW3799" s="48"/>
      <c r="BX3799" s="48"/>
      <c r="BY3799" s="48"/>
      <c r="BZ3799" s="48"/>
      <c r="CA3799" s="48"/>
      <c r="CB3799" s="48"/>
      <c r="CC3799" s="48"/>
      <c r="CD3799" s="48"/>
      <c r="CE3799" s="48"/>
      <c r="CF3799" s="48"/>
      <c r="CG3799" s="48"/>
      <c r="CH3799" s="48"/>
      <c r="CI3799" s="48"/>
      <c r="CJ3799" s="48"/>
      <c r="CK3799" s="48"/>
      <c r="CL3799" s="48"/>
      <c r="CM3799" s="48"/>
      <c r="CN3799" s="48"/>
      <c r="CO3799" s="48"/>
      <c r="CP3799" s="48"/>
      <c r="CQ3799" s="48"/>
      <c r="CR3799" s="48"/>
      <c r="CS3799" s="48"/>
      <c r="CT3799" s="48"/>
      <c r="CU3799" s="48"/>
      <c r="CV3799" s="48"/>
      <c r="CW3799" s="48"/>
      <c r="CX3799" s="48"/>
      <c r="CY3799" s="48"/>
      <c r="CZ3799" s="48"/>
    </row>
    <row r="3800" spans="27:104" s="4" customFormat="1" x14ac:dyDescent="0.3">
      <c r="AA3800" s="48"/>
      <c r="AB3800" s="48"/>
      <c r="AC3800" s="48"/>
      <c r="AD3800" s="48"/>
      <c r="AE3800" s="48"/>
      <c r="AF3800" s="48"/>
      <c r="AG3800" s="48"/>
      <c r="AH3800" s="48"/>
      <c r="AI3800" s="48"/>
      <c r="AJ3800" s="48"/>
      <c r="AK3800" s="48"/>
      <c r="AL3800" s="48"/>
      <c r="AM3800" s="48"/>
      <c r="AN3800" s="48"/>
      <c r="AO3800" s="48"/>
      <c r="AP3800" s="48"/>
      <c r="AQ3800" s="48"/>
      <c r="AR3800" s="48"/>
      <c r="AS3800" s="48"/>
      <c r="AT3800" s="48"/>
      <c r="AU3800" s="48"/>
      <c r="AV3800" s="48"/>
      <c r="AW3800" s="48"/>
      <c r="AX3800" s="48"/>
      <c r="AY3800" s="48"/>
      <c r="AZ3800" s="48"/>
      <c r="BA3800" s="48"/>
      <c r="BB3800" s="14"/>
      <c r="BC3800" s="48"/>
      <c r="BD3800" s="48"/>
      <c r="BE3800" s="48"/>
      <c r="BF3800" s="48"/>
      <c r="BG3800" s="48"/>
      <c r="BH3800" s="48"/>
      <c r="BI3800" s="48"/>
      <c r="BJ3800" s="48"/>
      <c r="BK3800" s="48"/>
      <c r="BL3800" s="48"/>
      <c r="BM3800" s="48"/>
      <c r="BN3800" s="48"/>
      <c r="BO3800" s="48"/>
      <c r="BP3800" s="48"/>
      <c r="BQ3800" s="48"/>
      <c r="BR3800" s="48"/>
      <c r="BS3800" s="48"/>
      <c r="BT3800" s="48"/>
      <c r="BU3800" s="48"/>
      <c r="BV3800" s="48"/>
      <c r="BW3800" s="48"/>
      <c r="BX3800" s="48"/>
      <c r="BY3800" s="48"/>
      <c r="BZ3800" s="48"/>
      <c r="CA3800" s="48"/>
      <c r="CB3800" s="48"/>
      <c r="CC3800" s="48"/>
      <c r="CD3800" s="48"/>
      <c r="CE3800" s="48"/>
      <c r="CF3800" s="48"/>
      <c r="CG3800" s="48"/>
      <c r="CH3800" s="48"/>
      <c r="CI3800" s="48"/>
      <c r="CJ3800" s="48"/>
      <c r="CK3800" s="48"/>
      <c r="CL3800" s="48"/>
      <c r="CM3800" s="48"/>
      <c r="CN3800" s="48"/>
      <c r="CO3800" s="48"/>
      <c r="CP3800" s="48"/>
      <c r="CQ3800" s="48"/>
      <c r="CR3800" s="48"/>
      <c r="CS3800" s="48"/>
      <c r="CT3800" s="48"/>
      <c r="CU3800" s="48"/>
      <c r="CV3800" s="48"/>
      <c r="CW3800" s="48"/>
      <c r="CX3800" s="48"/>
      <c r="CY3800" s="48"/>
      <c r="CZ3800" s="48"/>
    </row>
    <row r="3801" spans="27:104" s="4" customFormat="1" x14ac:dyDescent="0.3">
      <c r="AA3801" s="48"/>
      <c r="AB3801" s="48"/>
      <c r="AC3801" s="48"/>
      <c r="AD3801" s="48"/>
      <c r="AE3801" s="48"/>
      <c r="AF3801" s="48"/>
      <c r="AG3801" s="48"/>
      <c r="AH3801" s="48"/>
      <c r="AI3801" s="48"/>
      <c r="AJ3801" s="48"/>
      <c r="AK3801" s="48"/>
      <c r="AL3801" s="48"/>
      <c r="AM3801" s="48"/>
      <c r="AN3801" s="48"/>
      <c r="AO3801" s="48"/>
      <c r="AP3801" s="48"/>
      <c r="AQ3801" s="48"/>
      <c r="AR3801" s="48"/>
      <c r="AS3801" s="48"/>
      <c r="AT3801" s="48"/>
      <c r="AU3801" s="48"/>
      <c r="AV3801" s="48"/>
      <c r="AW3801" s="48"/>
      <c r="AX3801" s="48"/>
      <c r="AY3801" s="48"/>
      <c r="AZ3801" s="48"/>
      <c r="BA3801" s="48"/>
      <c r="BB3801" s="14"/>
      <c r="BC3801" s="48"/>
      <c r="BD3801" s="48"/>
      <c r="BE3801" s="48"/>
      <c r="BF3801" s="48"/>
      <c r="BG3801" s="48"/>
      <c r="BH3801" s="48"/>
      <c r="BI3801" s="48"/>
      <c r="BJ3801" s="48"/>
      <c r="BK3801" s="48"/>
      <c r="BL3801" s="48"/>
      <c r="BM3801" s="48"/>
      <c r="BN3801" s="48"/>
      <c r="BO3801" s="48"/>
      <c r="BP3801" s="48"/>
      <c r="BQ3801" s="48"/>
      <c r="BR3801" s="48"/>
      <c r="BS3801" s="48"/>
      <c r="BT3801" s="48"/>
      <c r="BU3801" s="48"/>
      <c r="BV3801" s="48"/>
      <c r="BW3801" s="48"/>
      <c r="BX3801" s="48"/>
      <c r="BY3801" s="48"/>
      <c r="BZ3801" s="48"/>
      <c r="CA3801" s="48"/>
      <c r="CB3801" s="48"/>
      <c r="CC3801" s="48"/>
      <c r="CD3801" s="48"/>
      <c r="CE3801" s="48"/>
      <c r="CF3801" s="48"/>
      <c r="CG3801" s="48"/>
      <c r="CH3801" s="48"/>
      <c r="CI3801" s="48"/>
      <c r="CJ3801" s="48"/>
      <c r="CK3801" s="48"/>
      <c r="CL3801" s="48"/>
      <c r="CM3801" s="48"/>
      <c r="CN3801" s="48"/>
      <c r="CO3801" s="48"/>
      <c r="CP3801" s="48"/>
      <c r="CQ3801" s="48"/>
      <c r="CR3801" s="48"/>
      <c r="CS3801" s="48"/>
      <c r="CT3801" s="48"/>
      <c r="CU3801" s="48"/>
      <c r="CV3801" s="48"/>
      <c r="CW3801" s="48"/>
      <c r="CX3801" s="48"/>
      <c r="CY3801" s="48"/>
      <c r="CZ3801" s="48"/>
    </row>
    <row r="3802" spans="27:104" s="4" customFormat="1" x14ac:dyDescent="0.3">
      <c r="AA3802" s="48"/>
      <c r="AB3802" s="48"/>
      <c r="AC3802" s="48"/>
      <c r="AD3802" s="48"/>
      <c r="AE3802" s="48"/>
      <c r="AF3802" s="48"/>
      <c r="AG3802" s="48"/>
      <c r="AH3802" s="48"/>
      <c r="AI3802" s="48"/>
      <c r="AJ3802" s="48"/>
      <c r="AK3802" s="48"/>
      <c r="AL3802" s="48"/>
      <c r="AM3802" s="48"/>
      <c r="AN3802" s="48"/>
      <c r="AO3802" s="48"/>
      <c r="AP3802" s="48"/>
      <c r="AQ3802" s="48"/>
      <c r="AR3802" s="48"/>
      <c r="AS3802" s="48"/>
      <c r="AT3802" s="48"/>
      <c r="AU3802" s="48"/>
      <c r="AV3802" s="48"/>
      <c r="AW3802" s="48"/>
      <c r="AX3802" s="48"/>
      <c r="AY3802" s="48"/>
      <c r="AZ3802" s="48"/>
      <c r="BA3802" s="48"/>
      <c r="BB3802" s="14"/>
      <c r="BC3802" s="48"/>
      <c r="BD3802" s="48"/>
      <c r="BE3802" s="48"/>
      <c r="BF3802" s="48"/>
      <c r="BG3802" s="48"/>
      <c r="BH3802" s="48"/>
      <c r="BI3802" s="48"/>
      <c r="BJ3802" s="48"/>
      <c r="BK3802" s="48"/>
      <c r="BL3802" s="48"/>
      <c r="BM3802" s="48"/>
      <c r="BN3802" s="48"/>
      <c r="BO3802" s="48"/>
      <c r="BP3802" s="48"/>
      <c r="BQ3802" s="48"/>
      <c r="BR3802" s="48"/>
      <c r="BS3802" s="48"/>
      <c r="BT3802" s="48"/>
      <c r="BU3802" s="48"/>
      <c r="BV3802" s="48"/>
      <c r="BW3802" s="48"/>
      <c r="BX3802" s="48"/>
      <c r="BY3802" s="48"/>
      <c r="BZ3802" s="48"/>
      <c r="CA3802" s="48"/>
      <c r="CB3802" s="48"/>
      <c r="CC3802" s="48"/>
      <c r="CD3802" s="48"/>
      <c r="CE3802" s="48"/>
      <c r="CF3802" s="48"/>
      <c r="CG3802" s="48"/>
      <c r="CH3802" s="48"/>
      <c r="CI3802" s="48"/>
      <c r="CJ3802" s="48"/>
      <c r="CK3802" s="48"/>
      <c r="CL3802" s="48"/>
      <c r="CM3802" s="48"/>
      <c r="CN3802" s="48"/>
      <c r="CO3802" s="48"/>
      <c r="CP3802" s="48"/>
      <c r="CQ3802" s="48"/>
      <c r="CR3802" s="48"/>
      <c r="CS3802" s="48"/>
      <c r="CT3802" s="48"/>
      <c r="CU3802" s="48"/>
      <c r="CV3802" s="48"/>
      <c r="CW3802" s="48"/>
      <c r="CX3802" s="48"/>
      <c r="CY3802" s="48"/>
      <c r="CZ3802" s="48"/>
    </row>
    <row r="3803" spans="27:104" s="4" customFormat="1" x14ac:dyDescent="0.3">
      <c r="AA3803" s="48"/>
      <c r="AB3803" s="48"/>
      <c r="AC3803" s="48"/>
      <c r="AD3803" s="48"/>
      <c r="AE3803" s="48"/>
      <c r="AF3803" s="48"/>
      <c r="AG3803" s="48"/>
      <c r="AH3803" s="48"/>
      <c r="AI3803" s="48"/>
      <c r="AJ3803" s="48"/>
      <c r="AK3803" s="48"/>
      <c r="AL3803" s="48"/>
      <c r="AM3803" s="48"/>
      <c r="AN3803" s="48"/>
      <c r="AO3803" s="48"/>
      <c r="AP3803" s="48"/>
      <c r="AQ3803" s="48"/>
      <c r="AR3803" s="48"/>
      <c r="AS3803" s="48"/>
      <c r="AT3803" s="48"/>
      <c r="AU3803" s="48"/>
      <c r="AV3803" s="48"/>
      <c r="AW3803" s="48"/>
      <c r="AX3803" s="48"/>
      <c r="AY3803" s="48"/>
      <c r="AZ3803" s="48"/>
      <c r="BA3803" s="48"/>
      <c r="BB3803" s="14"/>
      <c r="BC3803" s="48"/>
      <c r="BD3803" s="48"/>
      <c r="BE3803" s="48"/>
      <c r="BF3803" s="48"/>
      <c r="BG3803" s="48"/>
      <c r="BH3803" s="48"/>
      <c r="BI3803" s="48"/>
      <c r="BJ3803" s="48"/>
      <c r="BK3803" s="48"/>
      <c r="BL3803" s="48"/>
      <c r="BM3803" s="48"/>
      <c r="BN3803" s="48"/>
      <c r="BO3803" s="48"/>
      <c r="BP3803" s="48"/>
      <c r="BQ3803" s="48"/>
      <c r="BR3803" s="48"/>
      <c r="BS3803" s="48"/>
      <c r="BT3803" s="48"/>
      <c r="BU3803" s="48"/>
      <c r="BV3803" s="48"/>
      <c r="BW3803" s="48"/>
      <c r="BX3803" s="48"/>
      <c r="BY3803" s="48"/>
      <c r="BZ3803" s="48"/>
      <c r="CA3803" s="48"/>
      <c r="CB3803" s="48"/>
      <c r="CC3803" s="48"/>
      <c r="CD3803" s="48"/>
      <c r="CE3803" s="48"/>
      <c r="CF3803" s="48"/>
      <c r="CG3803" s="48"/>
      <c r="CH3803" s="48"/>
      <c r="CI3803" s="48"/>
      <c r="CJ3803" s="48"/>
      <c r="CK3803" s="48"/>
      <c r="CL3803" s="48"/>
      <c r="CM3803" s="48"/>
      <c r="CN3803" s="48"/>
      <c r="CO3803" s="48"/>
      <c r="CP3803" s="48"/>
      <c r="CQ3803" s="48"/>
      <c r="CR3803" s="48"/>
      <c r="CS3803" s="48"/>
      <c r="CT3803" s="48"/>
      <c r="CU3803" s="48"/>
      <c r="CV3803" s="48"/>
      <c r="CW3803" s="48"/>
      <c r="CX3803" s="48"/>
      <c r="CY3803" s="48"/>
      <c r="CZ3803" s="48"/>
    </row>
    <row r="3804" spans="27:104" s="4" customFormat="1" x14ac:dyDescent="0.3">
      <c r="AA3804" s="48"/>
      <c r="AB3804" s="48"/>
      <c r="AC3804" s="48"/>
      <c r="AD3804" s="48"/>
      <c r="AE3804" s="48"/>
      <c r="AF3804" s="48"/>
      <c r="AG3804" s="48"/>
      <c r="AH3804" s="48"/>
      <c r="AI3804" s="48"/>
      <c r="AJ3804" s="48"/>
      <c r="AK3804" s="48"/>
      <c r="AL3804" s="48"/>
      <c r="AM3804" s="48"/>
      <c r="AN3804" s="48"/>
      <c r="AO3804" s="48"/>
      <c r="AP3804" s="48"/>
      <c r="AQ3804" s="48"/>
      <c r="AR3804" s="48"/>
      <c r="AS3804" s="48"/>
      <c r="AT3804" s="48"/>
      <c r="AU3804" s="48"/>
      <c r="AV3804" s="48"/>
      <c r="AW3804" s="48"/>
      <c r="AX3804" s="48"/>
      <c r="AY3804" s="48"/>
      <c r="AZ3804" s="48"/>
      <c r="BA3804" s="48"/>
      <c r="BB3804" s="14"/>
      <c r="BC3804" s="48"/>
      <c r="BD3804" s="48"/>
      <c r="BE3804" s="48"/>
      <c r="BF3804" s="48"/>
      <c r="BG3804" s="48"/>
      <c r="BH3804" s="48"/>
      <c r="BI3804" s="48"/>
      <c r="BJ3804" s="48"/>
      <c r="BK3804" s="48"/>
      <c r="BL3804" s="48"/>
      <c r="BM3804" s="48"/>
      <c r="BN3804" s="48"/>
      <c r="BO3804" s="48"/>
      <c r="BP3804" s="48"/>
      <c r="BQ3804" s="48"/>
      <c r="BR3804" s="48"/>
      <c r="BS3804" s="48"/>
      <c r="BT3804" s="48"/>
      <c r="BU3804" s="48"/>
      <c r="BV3804" s="48"/>
      <c r="BW3804" s="48"/>
      <c r="BX3804" s="48"/>
      <c r="BY3804" s="48"/>
      <c r="BZ3804" s="48"/>
      <c r="CA3804" s="48"/>
      <c r="CB3804" s="48"/>
      <c r="CC3804" s="48"/>
      <c r="CD3804" s="48"/>
      <c r="CE3804" s="48"/>
      <c r="CF3804" s="48"/>
      <c r="CG3804" s="48"/>
      <c r="CH3804" s="48"/>
      <c r="CI3804" s="48"/>
      <c r="CJ3804" s="48"/>
      <c r="CK3804" s="48"/>
      <c r="CL3804" s="48"/>
      <c r="CM3804" s="48"/>
      <c r="CN3804" s="48"/>
      <c r="CO3804" s="48"/>
      <c r="CP3804" s="48"/>
      <c r="CQ3804" s="48"/>
      <c r="CR3804" s="48"/>
      <c r="CS3804" s="48"/>
      <c r="CT3804" s="48"/>
      <c r="CU3804" s="48"/>
      <c r="CV3804" s="48"/>
      <c r="CW3804" s="48"/>
      <c r="CX3804" s="48"/>
      <c r="CY3804" s="48"/>
      <c r="CZ3804" s="48"/>
    </row>
    <row r="3805" spans="27:104" s="4" customFormat="1" x14ac:dyDescent="0.3">
      <c r="AA3805" s="48"/>
      <c r="AB3805" s="48"/>
      <c r="AC3805" s="48"/>
      <c r="AD3805" s="48"/>
      <c r="AE3805" s="48"/>
      <c r="AF3805" s="48"/>
      <c r="AG3805" s="48"/>
      <c r="AH3805" s="48"/>
      <c r="AI3805" s="48"/>
      <c r="AJ3805" s="48"/>
      <c r="AK3805" s="48"/>
      <c r="AL3805" s="48"/>
      <c r="AM3805" s="48"/>
      <c r="AN3805" s="48"/>
      <c r="AO3805" s="48"/>
      <c r="AP3805" s="48"/>
      <c r="AQ3805" s="48"/>
      <c r="AR3805" s="48"/>
      <c r="AS3805" s="48"/>
      <c r="AT3805" s="48"/>
      <c r="AU3805" s="48"/>
      <c r="AV3805" s="48"/>
      <c r="AW3805" s="48"/>
      <c r="AX3805" s="48"/>
      <c r="AY3805" s="48"/>
      <c r="AZ3805" s="48"/>
      <c r="BA3805" s="48"/>
      <c r="BB3805" s="14"/>
      <c r="BC3805" s="48"/>
      <c r="BD3805" s="48"/>
      <c r="BE3805" s="48"/>
      <c r="BF3805" s="48"/>
      <c r="BG3805" s="48"/>
      <c r="BH3805" s="48"/>
      <c r="BI3805" s="48"/>
      <c r="BJ3805" s="48"/>
      <c r="BK3805" s="48"/>
      <c r="BL3805" s="48"/>
      <c r="BM3805" s="48"/>
      <c r="BN3805" s="48"/>
      <c r="BO3805" s="48"/>
      <c r="BP3805" s="48"/>
      <c r="BQ3805" s="48"/>
      <c r="BR3805" s="48"/>
      <c r="BS3805" s="48"/>
      <c r="BT3805" s="48"/>
      <c r="BU3805" s="48"/>
      <c r="BV3805" s="48"/>
      <c r="BW3805" s="48"/>
      <c r="BX3805" s="48"/>
      <c r="BY3805" s="48"/>
      <c r="BZ3805" s="48"/>
      <c r="CA3805" s="48"/>
      <c r="CB3805" s="48"/>
      <c r="CC3805" s="48"/>
      <c r="CD3805" s="48"/>
      <c r="CE3805" s="48"/>
      <c r="CF3805" s="48"/>
      <c r="CG3805" s="48"/>
      <c r="CH3805" s="48"/>
      <c r="CI3805" s="48"/>
      <c r="CJ3805" s="48"/>
      <c r="CK3805" s="48"/>
      <c r="CL3805" s="48"/>
      <c r="CM3805" s="48"/>
      <c r="CN3805" s="48"/>
      <c r="CO3805" s="48"/>
      <c r="CP3805" s="48"/>
      <c r="CQ3805" s="48"/>
      <c r="CR3805" s="48"/>
      <c r="CS3805" s="48"/>
      <c r="CT3805" s="48"/>
      <c r="CU3805" s="48"/>
      <c r="CV3805" s="48"/>
      <c r="CW3805" s="48"/>
      <c r="CX3805" s="48"/>
      <c r="CY3805" s="48"/>
      <c r="CZ3805" s="48"/>
    </row>
    <row r="3806" spans="27:104" s="4" customFormat="1" x14ac:dyDescent="0.3">
      <c r="AA3806" s="48"/>
      <c r="AB3806" s="48"/>
      <c r="AC3806" s="48"/>
      <c r="AD3806" s="48"/>
      <c r="AE3806" s="48"/>
      <c r="AF3806" s="48"/>
      <c r="AG3806" s="48"/>
      <c r="AH3806" s="48"/>
      <c r="AI3806" s="48"/>
      <c r="AJ3806" s="48"/>
      <c r="AK3806" s="48"/>
      <c r="AL3806" s="48"/>
      <c r="AM3806" s="48"/>
      <c r="AN3806" s="48"/>
      <c r="AO3806" s="48"/>
      <c r="AP3806" s="48"/>
      <c r="AQ3806" s="48"/>
      <c r="AR3806" s="48"/>
      <c r="AS3806" s="48"/>
      <c r="AT3806" s="48"/>
      <c r="AU3806" s="48"/>
      <c r="AV3806" s="48"/>
      <c r="AW3806" s="48"/>
      <c r="AX3806" s="48"/>
      <c r="AY3806" s="48"/>
      <c r="AZ3806" s="48"/>
      <c r="BA3806" s="48"/>
      <c r="BB3806" s="14"/>
      <c r="BC3806" s="48"/>
      <c r="BD3806" s="48"/>
      <c r="BE3806" s="48"/>
      <c r="BF3806" s="48"/>
      <c r="BG3806" s="48"/>
      <c r="BH3806" s="48"/>
      <c r="BI3806" s="48"/>
      <c r="BJ3806" s="48"/>
      <c r="BK3806" s="48"/>
      <c r="BL3806" s="48"/>
      <c r="BM3806" s="48"/>
      <c r="BN3806" s="48"/>
      <c r="BO3806" s="48"/>
      <c r="BP3806" s="48"/>
      <c r="BQ3806" s="48"/>
      <c r="BR3806" s="48"/>
      <c r="BS3806" s="48"/>
      <c r="BT3806" s="48"/>
      <c r="BU3806" s="48"/>
      <c r="BV3806" s="48"/>
      <c r="BW3806" s="48"/>
      <c r="BX3806" s="48"/>
      <c r="BY3806" s="48"/>
      <c r="BZ3806" s="48"/>
      <c r="CA3806" s="48"/>
      <c r="CB3806" s="48"/>
      <c r="CC3806" s="48"/>
      <c r="CD3806" s="48"/>
      <c r="CE3806" s="48"/>
      <c r="CF3806" s="48"/>
      <c r="CG3806" s="48"/>
      <c r="CH3806" s="48"/>
      <c r="CI3806" s="48"/>
      <c r="CJ3806" s="48"/>
      <c r="CK3806" s="48"/>
      <c r="CL3806" s="48"/>
      <c r="CM3806" s="48"/>
      <c r="CN3806" s="48"/>
      <c r="CO3806" s="48"/>
      <c r="CP3806" s="48"/>
      <c r="CQ3806" s="48"/>
      <c r="CR3806" s="48"/>
      <c r="CS3806" s="48"/>
      <c r="CT3806" s="48"/>
      <c r="CU3806" s="48"/>
      <c r="CV3806" s="48"/>
      <c r="CW3806" s="48"/>
      <c r="CX3806" s="48"/>
      <c r="CY3806" s="48"/>
      <c r="CZ3806" s="48"/>
    </row>
    <row r="3807" spans="27:104" s="4" customFormat="1" x14ac:dyDescent="0.3">
      <c r="AA3807" s="48"/>
      <c r="AB3807" s="48"/>
      <c r="AC3807" s="48"/>
      <c r="AD3807" s="48"/>
      <c r="AE3807" s="48"/>
      <c r="AF3807" s="48"/>
      <c r="AG3807" s="48"/>
      <c r="AH3807" s="48"/>
      <c r="AI3807" s="48"/>
      <c r="AJ3807" s="48"/>
      <c r="AK3807" s="48"/>
      <c r="AL3807" s="48"/>
      <c r="AM3807" s="48"/>
      <c r="AN3807" s="48"/>
      <c r="AO3807" s="48"/>
      <c r="AP3807" s="48"/>
      <c r="AQ3807" s="48"/>
      <c r="AR3807" s="48"/>
      <c r="AS3807" s="48"/>
      <c r="AT3807" s="48"/>
      <c r="AU3807" s="48"/>
      <c r="AV3807" s="48"/>
      <c r="AW3807" s="48"/>
      <c r="AX3807" s="48"/>
      <c r="AY3807" s="48"/>
      <c r="AZ3807" s="48"/>
      <c r="BA3807" s="48"/>
      <c r="BB3807" s="14"/>
      <c r="BC3807" s="48"/>
      <c r="BD3807" s="48"/>
      <c r="BE3807" s="48"/>
      <c r="BF3807" s="48"/>
      <c r="BG3807" s="48"/>
      <c r="BH3807" s="48"/>
      <c r="BI3807" s="48"/>
      <c r="BJ3807" s="48"/>
      <c r="BK3807" s="48"/>
      <c r="BL3807" s="48"/>
      <c r="BM3807" s="48"/>
      <c r="BN3807" s="48"/>
      <c r="BO3807" s="48"/>
      <c r="BP3807" s="48"/>
      <c r="BQ3807" s="48"/>
      <c r="BR3807" s="48"/>
      <c r="BS3807" s="48"/>
      <c r="BT3807" s="48"/>
      <c r="BU3807" s="48"/>
      <c r="BV3807" s="48"/>
      <c r="BW3807" s="48"/>
      <c r="BX3807" s="48"/>
      <c r="BY3807" s="48"/>
      <c r="BZ3807" s="48"/>
      <c r="CA3807" s="48"/>
      <c r="CB3807" s="48"/>
      <c r="CC3807" s="48"/>
      <c r="CD3807" s="48"/>
      <c r="CE3807" s="48"/>
      <c r="CF3807" s="48"/>
      <c r="CG3807" s="48"/>
      <c r="CH3807" s="48"/>
      <c r="CI3807" s="48"/>
      <c r="CJ3807" s="48"/>
      <c r="CK3807" s="48"/>
      <c r="CL3807" s="48"/>
      <c r="CM3807" s="48"/>
      <c r="CN3807" s="48"/>
      <c r="CO3807" s="48"/>
      <c r="CP3807" s="48"/>
      <c r="CQ3807" s="48"/>
      <c r="CR3807" s="48"/>
      <c r="CS3807" s="48"/>
      <c r="CT3807" s="48"/>
      <c r="CU3807" s="48"/>
      <c r="CV3807" s="48"/>
      <c r="CW3807" s="48"/>
      <c r="CX3807" s="48"/>
      <c r="CY3807" s="48"/>
      <c r="CZ3807" s="48"/>
    </row>
    <row r="3808" spans="27:104" s="4" customFormat="1" x14ac:dyDescent="0.3">
      <c r="AA3808" s="48"/>
      <c r="AB3808" s="48"/>
      <c r="AC3808" s="48"/>
      <c r="AD3808" s="48"/>
      <c r="AE3808" s="48"/>
      <c r="AF3808" s="48"/>
      <c r="AG3808" s="48"/>
      <c r="AH3808" s="48"/>
      <c r="AI3808" s="48"/>
      <c r="AJ3808" s="48"/>
      <c r="AK3808" s="48"/>
      <c r="AL3808" s="48"/>
      <c r="AM3808" s="48"/>
      <c r="AN3808" s="48"/>
      <c r="AO3808" s="48"/>
      <c r="AP3808" s="48"/>
      <c r="AQ3808" s="48"/>
      <c r="AR3808" s="48"/>
      <c r="AS3808" s="48"/>
      <c r="AT3808" s="48"/>
      <c r="AU3808" s="48"/>
      <c r="AV3808" s="48"/>
      <c r="AW3808" s="48"/>
      <c r="AX3808" s="48"/>
      <c r="AY3808" s="48"/>
      <c r="AZ3808" s="48"/>
      <c r="BA3808" s="48"/>
      <c r="BB3808" s="14"/>
      <c r="BC3808" s="48"/>
      <c r="BD3808" s="48"/>
      <c r="BE3808" s="48"/>
      <c r="BF3808" s="48"/>
      <c r="BG3808" s="48"/>
      <c r="BH3808" s="48"/>
      <c r="BI3808" s="48"/>
      <c r="BJ3808" s="48"/>
      <c r="BK3808" s="48"/>
      <c r="BL3808" s="48"/>
      <c r="BM3808" s="48"/>
      <c r="BN3808" s="48"/>
      <c r="BO3808" s="48"/>
      <c r="BP3808" s="48"/>
      <c r="BQ3808" s="48"/>
      <c r="BR3808" s="48"/>
      <c r="BS3808" s="48"/>
      <c r="BT3808" s="48"/>
      <c r="BU3808" s="48"/>
      <c r="BV3808" s="48"/>
      <c r="BW3808" s="48"/>
      <c r="BX3808" s="48"/>
      <c r="BY3808" s="48"/>
      <c r="BZ3808" s="48"/>
      <c r="CA3808" s="48"/>
      <c r="CB3808" s="48"/>
      <c r="CC3808" s="48"/>
      <c r="CD3808" s="48"/>
      <c r="CE3808" s="48"/>
      <c r="CF3808" s="48"/>
      <c r="CG3808" s="48"/>
      <c r="CH3808" s="48"/>
      <c r="CI3808" s="48"/>
      <c r="CJ3808" s="48"/>
      <c r="CK3808" s="48"/>
      <c r="CL3808" s="48"/>
      <c r="CM3808" s="48"/>
      <c r="CN3808" s="48"/>
      <c r="CO3808" s="48"/>
      <c r="CP3808" s="48"/>
      <c r="CQ3808" s="48"/>
      <c r="CR3808" s="48"/>
      <c r="CS3808" s="48"/>
      <c r="CT3808" s="48"/>
      <c r="CU3808" s="48"/>
      <c r="CV3808" s="48"/>
      <c r="CW3808" s="48"/>
      <c r="CX3808" s="48"/>
      <c r="CY3808" s="48"/>
      <c r="CZ3808" s="48"/>
    </row>
    <row r="3809" spans="27:104" s="4" customFormat="1" x14ac:dyDescent="0.3">
      <c r="AA3809" s="48"/>
      <c r="AB3809" s="48"/>
      <c r="AC3809" s="48"/>
      <c r="AD3809" s="48"/>
      <c r="AE3809" s="48"/>
      <c r="AF3809" s="48"/>
      <c r="AG3809" s="48"/>
      <c r="AH3809" s="48"/>
      <c r="AI3809" s="48"/>
      <c r="AJ3809" s="48"/>
      <c r="AK3809" s="48"/>
      <c r="AL3809" s="48"/>
      <c r="AM3809" s="48"/>
      <c r="AN3809" s="48"/>
      <c r="AO3809" s="48"/>
      <c r="AP3809" s="48"/>
      <c r="AQ3809" s="48"/>
      <c r="AR3809" s="48"/>
      <c r="AS3809" s="48"/>
      <c r="AT3809" s="48"/>
      <c r="AU3809" s="48"/>
      <c r="AV3809" s="48"/>
      <c r="AW3809" s="48"/>
      <c r="AX3809" s="48"/>
      <c r="AY3809" s="48"/>
      <c r="AZ3809" s="48"/>
      <c r="BA3809" s="48"/>
      <c r="BB3809" s="14"/>
      <c r="BC3809" s="48"/>
      <c r="BD3809" s="48"/>
      <c r="BE3809" s="48"/>
      <c r="BF3809" s="48"/>
      <c r="BG3809" s="48"/>
      <c r="BH3809" s="48"/>
      <c r="BI3809" s="48"/>
      <c r="BJ3809" s="48"/>
      <c r="BK3809" s="48"/>
      <c r="BL3809" s="48"/>
      <c r="BM3809" s="48"/>
      <c r="BN3809" s="48"/>
      <c r="BO3809" s="48"/>
      <c r="BP3809" s="48"/>
      <c r="BQ3809" s="48"/>
      <c r="BR3809" s="48"/>
      <c r="BS3809" s="48"/>
      <c r="BT3809" s="48"/>
      <c r="BU3809" s="48"/>
      <c r="BV3809" s="48"/>
      <c r="BW3809" s="48"/>
      <c r="BX3809" s="48"/>
      <c r="BY3809" s="48"/>
      <c r="BZ3809" s="48"/>
      <c r="CA3809" s="48"/>
      <c r="CB3809" s="48"/>
      <c r="CC3809" s="48"/>
      <c r="CD3809" s="48"/>
      <c r="CE3809" s="48"/>
      <c r="CF3809" s="48"/>
      <c r="CG3809" s="48"/>
      <c r="CH3809" s="48"/>
      <c r="CI3809" s="48"/>
      <c r="CJ3809" s="48"/>
      <c r="CK3809" s="48"/>
      <c r="CL3809" s="48"/>
      <c r="CM3809" s="48"/>
      <c r="CN3809" s="48"/>
      <c r="CO3809" s="48"/>
      <c r="CP3809" s="48"/>
      <c r="CQ3809" s="48"/>
      <c r="CR3809" s="48"/>
      <c r="CS3809" s="48"/>
      <c r="CT3809" s="48"/>
      <c r="CU3809" s="48"/>
      <c r="CV3809" s="48"/>
      <c r="CW3809" s="48"/>
      <c r="CX3809" s="48"/>
      <c r="CY3809" s="48"/>
      <c r="CZ3809" s="48"/>
    </row>
    <row r="3810" spans="27:104" s="4" customFormat="1" x14ac:dyDescent="0.3">
      <c r="AA3810" s="48"/>
      <c r="AB3810" s="48"/>
      <c r="AC3810" s="48"/>
      <c r="AD3810" s="48"/>
      <c r="AE3810" s="48"/>
      <c r="AF3810" s="48"/>
      <c r="AG3810" s="48"/>
      <c r="AH3810" s="48"/>
      <c r="AI3810" s="48"/>
      <c r="AJ3810" s="48"/>
      <c r="AK3810" s="48"/>
      <c r="AL3810" s="48"/>
      <c r="AM3810" s="48"/>
      <c r="AN3810" s="48"/>
      <c r="AO3810" s="48"/>
      <c r="AP3810" s="48"/>
      <c r="AQ3810" s="48"/>
      <c r="AR3810" s="48"/>
      <c r="AS3810" s="48"/>
      <c r="AT3810" s="48"/>
      <c r="AU3810" s="48"/>
      <c r="AV3810" s="48"/>
      <c r="AW3810" s="48"/>
      <c r="AX3810" s="48"/>
      <c r="AY3810" s="48"/>
      <c r="AZ3810" s="48"/>
      <c r="BA3810" s="48"/>
      <c r="BB3810" s="14"/>
      <c r="BC3810" s="48"/>
      <c r="BD3810" s="48"/>
      <c r="BE3810" s="48"/>
      <c r="BF3810" s="48"/>
      <c r="BG3810" s="48"/>
      <c r="BH3810" s="48"/>
      <c r="BI3810" s="48"/>
      <c r="BJ3810" s="48"/>
      <c r="BK3810" s="48"/>
      <c r="BL3810" s="48"/>
      <c r="BM3810" s="48"/>
      <c r="BN3810" s="48"/>
      <c r="BO3810" s="48"/>
      <c r="BP3810" s="48"/>
      <c r="BQ3810" s="48"/>
      <c r="BR3810" s="48"/>
      <c r="BS3810" s="48"/>
      <c r="BT3810" s="48"/>
      <c r="BU3810" s="48"/>
      <c r="BV3810" s="48"/>
      <c r="BW3810" s="48"/>
      <c r="BX3810" s="48"/>
      <c r="BY3810" s="48"/>
      <c r="BZ3810" s="48"/>
      <c r="CA3810" s="48"/>
      <c r="CB3810" s="48"/>
      <c r="CC3810" s="48"/>
      <c r="CD3810" s="48"/>
      <c r="CE3810" s="48"/>
      <c r="CF3810" s="48"/>
      <c r="CG3810" s="48"/>
      <c r="CH3810" s="48"/>
      <c r="CI3810" s="48"/>
      <c r="CJ3810" s="48"/>
      <c r="CK3810" s="48"/>
      <c r="CL3810" s="48"/>
      <c r="CM3810" s="48"/>
      <c r="CN3810" s="48"/>
      <c r="CO3810" s="48"/>
      <c r="CP3810" s="48"/>
      <c r="CQ3810" s="48"/>
      <c r="CR3810" s="48"/>
      <c r="CS3810" s="48"/>
      <c r="CT3810" s="48"/>
      <c r="CU3810" s="48"/>
      <c r="CV3810" s="48"/>
      <c r="CW3810" s="48"/>
      <c r="CX3810" s="48"/>
      <c r="CY3810" s="48"/>
      <c r="CZ3810" s="48"/>
    </row>
    <row r="3811" spans="27:104" s="4" customFormat="1" x14ac:dyDescent="0.3">
      <c r="AA3811" s="48"/>
      <c r="AB3811" s="48"/>
      <c r="AC3811" s="48"/>
      <c r="AD3811" s="48"/>
      <c r="AE3811" s="48"/>
      <c r="AF3811" s="48"/>
      <c r="AG3811" s="48"/>
      <c r="AH3811" s="48"/>
      <c r="AI3811" s="48"/>
      <c r="AJ3811" s="48"/>
      <c r="AK3811" s="48"/>
      <c r="AL3811" s="48"/>
      <c r="AM3811" s="48"/>
      <c r="AN3811" s="48"/>
      <c r="AO3811" s="48"/>
      <c r="AP3811" s="48"/>
      <c r="AQ3811" s="48"/>
      <c r="AR3811" s="48"/>
      <c r="AS3811" s="48"/>
      <c r="AT3811" s="48"/>
      <c r="AU3811" s="48"/>
      <c r="AV3811" s="48"/>
      <c r="AW3811" s="48"/>
      <c r="AX3811" s="48"/>
      <c r="AY3811" s="48"/>
      <c r="AZ3811" s="48"/>
      <c r="BA3811" s="48"/>
      <c r="BB3811" s="14"/>
      <c r="BC3811" s="48"/>
      <c r="BD3811" s="48"/>
      <c r="BE3811" s="48"/>
      <c r="BF3811" s="48"/>
      <c r="BG3811" s="48"/>
      <c r="BH3811" s="48"/>
      <c r="BI3811" s="48"/>
      <c r="BJ3811" s="48"/>
      <c r="BK3811" s="48"/>
      <c r="BL3811" s="48"/>
      <c r="BM3811" s="48"/>
      <c r="BN3811" s="48"/>
      <c r="BO3811" s="48"/>
      <c r="BP3811" s="48"/>
      <c r="BQ3811" s="48"/>
      <c r="BR3811" s="48"/>
      <c r="BS3811" s="48"/>
      <c r="BT3811" s="48"/>
      <c r="BU3811" s="48"/>
      <c r="BV3811" s="48"/>
      <c r="BW3811" s="48"/>
      <c r="BX3811" s="48"/>
      <c r="BY3811" s="48"/>
      <c r="BZ3811" s="48"/>
      <c r="CA3811" s="48"/>
      <c r="CB3811" s="48"/>
      <c r="CC3811" s="48"/>
      <c r="CD3811" s="48"/>
      <c r="CE3811" s="48"/>
      <c r="CF3811" s="48"/>
      <c r="CG3811" s="48"/>
      <c r="CH3811" s="48"/>
      <c r="CI3811" s="48"/>
      <c r="CJ3811" s="48"/>
      <c r="CK3811" s="48"/>
      <c r="CL3811" s="48"/>
      <c r="CM3811" s="48"/>
      <c r="CN3811" s="48"/>
      <c r="CO3811" s="48"/>
      <c r="CP3811" s="48"/>
      <c r="CQ3811" s="48"/>
      <c r="CR3811" s="48"/>
      <c r="CS3811" s="48"/>
      <c r="CT3811" s="48"/>
      <c r="CU3811" s="48"/>
      <c r="CV3811" s="48"/>
      <c r="CW3811" s="48"/>
      <c r="CX3811" s="48"/>
      <c r="CY3811" s="48"/>
      <c r="CZ3811" s="48"/>
    </row>
    <row r="3812" spans="27:104" s="4" customFormat="1" x14ac:dyDescent="0.3">
      <c r="AA3812" s="48"/>
      <c r="AB3812" s="48"/>
      <c r="AC3812" s="48"/>
      <c r="AD3812" s="48"/>
      <c r="AE3812" s="48"/>
      <c r="AF3812" s="48"/>
      <c r="AG3812" s="48"/>
      <c r="AH3812" s="48"/>
      <c r="AI3812" s="48"/>
      <c r="AJ3812" s="48"/>
      <c r="AK3812" s="48"/>
      <c r="AL3812" s="48"/>
      <c r="AM3812" s="48"/>
      <c r="AN3812" s="48"/>
      <c r="AO3812" s="48"/>
      <c r="AP3812" s="48"/>
      <c r="AQ3812" s="48"/>
      <c r="AR3812" s="48"/>
      <c r="AS3812" s="48"/>
      <c r="AT3812" s="48"/>
      <c r="AU3812" s="48"/>
      <c r="AV3812" s="48"/>
      <c r="AW3812" s="48"/>
      <c r="AX3812" s="48"/>
      <c r="AY3812" s="48"/>
      <c r="AZ3812" s="48"/>
      <c r="BA3812" s="48"/>
      <c r="BB3812" s="14"/>
      <c r="BC3812" s="48"/>
      <c r="BD3812" s="48"/>
      <c r="BE3812" s="48"/>
      <c r="BF3812" s="48"/>
      <c r="BG3812" s="48"/>
      <c r="BH3812" s="48"/>
      <c r="BI3812" s="48"/>
      <c r="BJ3812" s="48"/>
      <c r="BK3812" s="48"/>
      <c r="BL3812" s="48"/>
      <c r="BM3812" s="48"/>
      <c r="BN3812" s="48"/>
      <c r="BO3812" s="48"/>
      <c r="BP3812" s="48"/>
      <c r="BQ3812" s="48"/>
      <c r="BR3812" s="48"/>
      <c r="BS3812" s="48"/>
      <c r="BT3812" s="48"/>
      <c r="BU3812" s="48"/>
      <c r="BV3812" s="48"/>
      <c r="BW3812" s="48"/>
      <c r="BX3812" s="48"/>
      <c r="BY3812" s="48"/>
      <c r="BZ3812" s="48"/>
      <c r="CA3812" s="48"/>
      <c r="CB3812" s="48"/>
      <c r="CC3812" s="48"/>
      <c r="CD3812" s="48"/>
      <c r="CE3812" s="48"/>
      <c r="CF3812" s="48"/>
      <c r="CG3812" s="48"/>
      <c r="CH3812" s="48"/>
      <c r="CI3812" s="48"/>
      <c r="CJ3812" s="48"/>
      <c r="CK3812" s="48"/>
      <c r="CL3812" s="48"/>
      <c r="CM3812" s="48"/>
      <c r="CN3812" s="48"/>
      <c r="CO3812" s="48"/>
      <c r="CP3812" s="48"/>
      <c r="CQ3812" s="48"/>
      <c r="CR3812" s="48"/>
      <c r="CS3812" s="48"/>
      <c r="CT3812" s="48"/>
      <c r="CU3812" s="48"/>
      <c r="CV3812" s="48"/>
      <c r="CW3812" s="48"/>
      <c r="CX3812" s="48"/>
      <c r="CY3812" s="48"/>
      <c r="CZ3812" s="48"/>
    </row>
    <row r="3813" spans="27:104" s="4" customFormat="1" x14ac:dyDescent="0.3">
      <c r="AA3813" s="48"/>
      <c r="AB3813" s="48"/>
      <c r="AC3813" s="48"/>
      <c r="AD3813" s="48"/>
      <c r="AE3813" s="48"/>
      <c r="AF3813" s="48"/>
      <c r="AG3813" s="48"/>
      <c r="AH3813" s="48"/>
      <c r="AI3813" s="48"/>
      <c r="AJ3813" s="48"/>
      <c r="AK3813" s="48"/>
      <c r="AL3813" s="48"/>
      <c r="AM3813" s="48"/>
      <c r="AN3813" s="48"/>
      <c r="AO3813" s="48"/>
      <c r="AP3813" s="48"/>
      <c r="AQ3813" s="48"/>
      <c r="AR3813" s="48"/>
      <c r="AS3813" s="48"/>
      <c r="AT3813" s="48"/>
      <c r="AU3813" s="48"/>
      <c r="AV3813" s="48"/>
      <c r="AW3813" s="48"/>
      <c r="AX3813" s="48"/>
      <c r="AY3813" s="48"/>
      <c r="AZ3813" s="48"/>
      <c r="BA3813" s="48"/>
      <c r="BB3813" s="14"/>
      <c r="BC3813" s="48"/>
      <c r="BD3813" s="48"/>
      <c r="BE3813" s="48"/>
      <c r="BF3813" s="48"/>
      <c r="BG3813" s="48"/>
      <c r="BH3813" s="48"/>
      <c r="BI3813" s="48"/>
      <c r="BJ3813" s="48"/>
      <c r="BK3813" s="48"/>
      <c r="BL3813" s="48"/>
      <c r="BM3813" s="48"/>
      <c r="BN3813" s="48"/>
      <c r="BO3813" s="48"/>
      <c r="BP3813" s="48"/>
      <c r="BQ3813" s="48"/>
      <c r="BR3813" s="48"/>
      <c r="BS3813" s="48"/>
      <c r="BT3813" s="48"/>
      <c r="BU3813" s="48"/>
      <c r="BV3813" s="48"/>
      <c r="BW3813" s="48"/>
      <c r="BX3813" s="48"/>
      <c r="BY3813" s="48"/>
      <c r="BZ3813" s="48"/>
      <c r="CA3813" s="48"/>
      <c r="CB3813" s="48"/>
      <c r="CC3813" s="48"/>
      <c r="CD3813" s="48"/>
      <c r="CE3813" s="48"/>
      <c r="CF3813" s="48"/>
      <c r="CG3813" s="48"/>
      <c r="CH3813" s="48"/>
      <c r="CI3813" s="48"/>
      <c r="CJ3813" s="48"/>
      <c r="CK3813" s="48"/>
      <c r="CL3813" s="48"/>
      <c r="CM3813" s="48"/>
      <c r="CN3813" s="48"/>
      <c r="CO3813" s="48"/>
      <c r="CP3813" s="48"/>
      <c r="CQ3813" s="48"/>
      <c r="CR3813" s="48"/>
      <c r="CS3813" s="48"/>
      <c r="CT3813" s="48"/>
      <c r="CU3813" s="48"/>
      <c r="CV3813" s="48"/>
      <c r="CW3813" s="48"/>
      <c r="CX3813" s="48"/>
      <c r="CY3813" s="48"/>
      <c r="CZ3813" s="48"/>
    </row>
    <row r="3814" spans="27:104" s="4" customFormat="1" x14ac:dyDescent="0.3">
      <c r="AA3814" s="48"/>
      <c r="AB3814" s="48"/>
      <c r="AC3814" s="48"/>
      <c r="AD3814" s="48"/>
      <c r="AE3814" s="48"/>
      <c r="AF3814" s="48"/>
      <c r="AG3814" s="48"/>
      <c r="AH3814" s="48"/>
      <c r="AI3814" s="48"/>
      <c r="AJ3814" s="48"/>
      <c r="AK3814" s="48"/>
      <c r="AL3814" s="48"/>
      <c r="AM3814" s="48"/>
      <c r="AN3814" s="48"/>
      <c r="AO3814" s="48"/>
      <c r="AP3814" s="48"/>
      <c r="AQ3814" s="48"/>
      <c r="AR3814" s="48"/>
      <c r="AS3814" s="48"/>
      <c r="AT3814" s="48"/>
      <c r="AU3814" s="48"/>
      <c r="AV3814" s="48"/>
      <c r="AW3814" s="48"/>
      <c r="AX3814" s="48"/>
      <c r="AY3814" s="48"/>
      <c r="AZ3814" s="48"/>
      <c r="BA3814" s="48"/>
      <c r="BB3814" s="14"/>
      <c r="BC3814" s="48"/>
      <c r="BD3814" s="48"/>
      <c r="BE3814" s="48"/>
      <c r="BF3814" s="48"/>
      <c r="BG3814" s="48"/>
      <c r="BH3814" s="48"/>
      <c r="BI3814" s="48"/>
      <c r="BJ3814" s="48"/>
      <c r="BK3814" s="48"/>
      <c r="BL3814" s="48"/>
      <c r="BM3814" s="48"/>
      <c r="BN3814" s="48"/>
      <c r="BO3814" s="48"/>
      <c r="BP3814" s="48"/>
      <c r="BQ3814" s="48"/>
      <c r="BR3814" s="48"/>
      <c r="BS3814" s="48"/>
      <c r="BT3814" s="48"/>
      <c r="BU3814" s="48"/>
      <c r="BV3814" s="48"/>
      <c r="BW3814" s="48"/>
      <c r="BX3814" s="48"/>
      <c r="BY3814" s="48"/>
      <c r="BZ3814" s="48"/>
      <c r="CA3814" s="48"/>
      <c r="CB3814" s="48"/>
      <c r="CC3814" s="48"/>
      <c r="CD3814" s="48"/>
      <c r="CE3814" s="48"/>
      <c r="CF3814" s="48"/>
      <c r="CG3814" s="48"/>
      <c r="CH3814" s="48"/>
      <c r="CI3814" s="48"/>
      <c r="CJ3814" s="48"/>
      <c r="CK3814" s="48"/>
      <c r="CL3814" s="48"/>
      <c r="CM3814" s="48"/>
      <c r="CN3814" s="48"/>
      <c r="CO3814" s="48"/>
      <c r="CP3814" s="48"/>
      <c r="CQ3814" s="48"/>
      <c r="CR3814" s="48"/>
      <c r="CS3814" s="48"/>
      <c r="CT3814" s="48"/>
      <c r="CU3814" s="48"/>
      <c r="CV3814" s="48"/>
      <c r="CW3814" s="48"/>
      <c r="CX3814" s="48"/>
      <c r="CY3814" s="48"/>
      <c r="CZ3814" s="48"/>
    </row>
    <row r="3815" spans="27:104" s="4" customFormat="1" x14ac:dyDescent="0.3">
      <c r="AA3815" s="48"/>
      <c r="AB3815" s="48"/>
      <c r="AC3815" s="48"/>
      <c r="AD3815" s="48"/>
      <c r="AE3815" s="48"/>
      <c r="AF3815" s="48"/>
      <c r="AG3815" s="48"/>
      <c r="AH3815" s="48"/>
      <c r="AI3815" s="48"/>
      <c r="AJ3815" s="48"/>
      <c r="AK3815" s="48"/>
      <c r="AL3815" s="48"/>
      <c r="AM3815" s="48"/>
      <c r="AN3815" s="48"/>
      <c r="AO3815" s="48"/>
      <c r="AP3815" s="48"/>
      <c r="AQ3815" s="48"/>
      <c r="AR3815" s="48"/>
      <c r="AS3815" s="48"/>
      <c r="AT3815" s="48"/>
      <c r="AU3815" s="48"/>
      <c r="AV3815" s="48"/>
      <c r="AW3815" s="48"/>
      <c r="AX3815" s="48"/>
      <c r="AY3815" s="48"/>
      <c r="AZ3815" s="48"/>
      <c r="BA3815" s="48"/>
      <c r="BB3815" s="14"/>
      <c r="BC3815" s="48"/>
      <c r="BD3815" s="48"/>
      <c r="BE3815" s="48"/>
      <c r="BF3815" s="48"/>
      <c r="BG3815" s="48"/>
      <c r="BH3815" s="48"/>
      <c r="BI3815" s="48"/>
      <c r="BJ3815" s="48"/>
      <c r="BK3815" s="48"/>
      <c r="BL3815" s="48"/>
      <c r="BM3815" s="48"/>
      <c r="BN3815" s="48"/>
      <c r="BO3815" s="48"/>
      <c r="BP3815" s="48"/>
      <c r="BQ3815" s="48"/>
      <c r="BR3815" s="48"/>
      <c r="BS3815" s="48"/>
      <c r="BT3815" s="48"/>
      <c r="BU3815" s="48"/>
      <c r="BV3815" s="48"/>
      <c r="BW3815" s="48"/>
      <c r="BX3815" s="48"/>
      <c r="BY3815" s="48"/>
      <c r="BZ3815" s="48"/>
      <c r="CA3815" s="48"/>
      <c r="CB3815" s="48"/>
      <c r="CC3815" s="48"/>
      <c r="CD3815" s="48"/>
      <c r="CE3815" s="48"/>
      <c r="CF3815" s="48"/>
      <c r="CG3815" s="48"/>
      <c r="CH3815" s="48"/>
      <c r="CI3815" s="48"/>
      <c r="CJ3815" s="48"/>
      <c r="CK3815" s="48"/>
      <c r="CL3815" s="48"/>
      <c r="CM3815" s="48"/>
      <c r="CN3815" s="48"/>
      <c r="CO3815" s="48"/>
      <c r="CP3815" s="48"/>
      <c r="CQ3815" s="48"/>
      <c r="CR3815" s="48"/>
      <c r="CS3815" s="48"/>
      <c r="CT3815" s="48"/>
      <c r="CU3815" s="48"/>
      <c r="CV3815" s="48"/>
      <c r="CW3815" s="48"/>
      <c r="CX3815" s="48"/>
      <c r="CY3815" s="48"/>
      <c r="CZ3815" s="48"/>
    </row>
    <row r="3816" spans="27:104" s="4" customFormat="1" x14ac:dyDescent="0.3">
      <c r="AA3816" s="48"/>
      <c r="AB3816" s="48"/>
      <c r="AC3816" s="48"/>
      <c r="AD3816" s="48"/>
      <c r="AE3816" s="48"/>
      <c r="AF3816" s="48"/>
      <c r="AG3816" s="48"/>
      <c r="AH3816" s="48"/>
      <c r="AI3816" s="48"/>
      <c r="AJ3816" s="48"/>
      <c r="AK3816" s="48"/>
      <c r="AL3816" s="48"/>
      <c r="AM3816" s="48"/>
      <c r="AN3816" s="48"/>
      <c r="AO3816" s="48"/>
      <c r="AP3816" s="48"/>
      <c r="AQ3816" s="48"/>
      <c r="AR3816" s="48"/>
      <c r="AS3816" s="48"/>
      <c r="AT3816" s="48"/>
      <c r="AU3816" s="48"/>
      <c r="AV3816" s="48"/>
      <c r="AW3816" s="48"/>
      <c r="AX3816" s="48"/>
      <c r="AY3816" s="48"/>
      <c r="AZ3816" s="48"/>
      <c r="BA3816" s="48"/>
      <c r="BB3816" s="14"/>
      <c r="BC3816" s="48"/>
      <c r="BD3816" s="48"/>
      <c r="BE3816" s="48"/>
      <c r="BF3816" s="48"/>
      <c r="BG3816" s="48"/>
      <c r="BH3816" s="48"/>
      <c r="BI3816" s="48"/>
      <c r="BJ3816" s="48"/>
      <c r="BK3816" s="48"/>
      <c r="BL3816" s="48"/>
      <c r="BM3816" s="48"/>
      <c r="BN3816" s="48"/>
      <c r="BO3816" s="48"/>
      <c r="BP3816" s="48"/>
      <c r="BQ3816" s="48"/>
      <c r="BR3816" s="48"/>
      <c r="BS3816" s="48"/>
      <c r="BT3816" s="48"/>
      <c r="BU3816" s="48"/>
      <c r="BV3816" s="48"/>
      <c r="BW3816" s="48"/>
      <c r="BX3816" s="48"/>
      <c r="BY3816" s="48"/>
      <c r="BZ3816" s="48"/>
      <c r="CA3816" s="48"/>
      <c r="CB3816" s="48"/>
      <c r="CC3816" s="48"/>
      <c r="CD3816" s="48"/>
      <c r="CE3816" s="48"/>
      <c r="CF3816" s="48"/>
      <c r="CG3816" s="48"/>
      <c r="CH3816" s="48"/>
      <c r="CI3816" s="48"/>
      <c r="CJ3816" s="48"/>
      <c r="CK3816" s="48"/>
      <c r="CL3816" s="48"/>
      <c r="CM3816" s="48"/>
      <c r="CN3816" s="48"/>
      <c r="CO3816" s="48"/>
      <c r="CP3816" s="48"/>
      <c r="CQ3816" s="48"/>
      <c r="CR3816" s="48"/>
      <c r="CS3816" s="48"/>
      <c r="CT3816" s="48"/>
      <c r="CU3816" s="48"/>
      <c r="CV3816" s="48"/>
      <c r="CW3816" s="48"/>
      <c r="CX3816" s="48"/>
      <c r="CY3816" s="48"/>
      <c r="CZ3816" s="48"/>
    </row>
    <row r="3817" spans="27:104" s="4" customFormat="1" x14ac:dyDescent="0.3">
      <c r="AA3817" s="48"/>
      <c r="AB3817" s="48"/>
      <c r="AC3817" s="48"/>
      <c r="AD3817" s="48"/>
      <c r="AE3817" s="48"/>
      <c r="AF3817" s="48"/>
      <c r="AG3817" s="48"/>
      <c r="AH3817" s="48"/>
      <c r="AI3817" s="48"/>
      <c r="AJ3817" s="48"/>
      <c r="AK3817" s="48"/>
      <c r="AL3817" s="48"/>
      <c r="AM3817" s="48"/>
      <c r="AN3817" s="48"/>
      <c r="AO3817" s="48"/>
      <c r="AP3817" s="48"/>
      <c r="AQ3817" s="48"/>
      <c r="AR3817" s="48"/>
      <c r="AS3817" s="48"/>
      <c r="AT3817" s="48"/>
      <c r="AU3817" s="48"/>
      <c r="AV3817" s="48"/>
      <c r="AW3817" s="48"/>
      <c r="AX3817" s="48"/>
      <c r="AY3817" s="48"/>
      <c r="AZ3817" s="48"/>
      <c r="BA3817" s="48"/>
      <c r="BB3817" s="14"/>
      <c r="BC3817" s="48"/>
      <c r="BD3817" s="48"/>
      <c r="BE3817" s="48"/>
      <c r="BF3817" s="48"/>
      <c r="BG3817" s="48"/>
      <c r="BH3817" s="48"/>
      <c r="BI3817" s="48"/>
      <c r="BJ3817" s="48"/>
      <c r="BK3817" s="48"/>
      <c r="BL3817" s="48"/>
      <c r="BM3817" s="48"/>
      <c r="BN3817" s="48"/>
      <c r="BO3817" s="48"/>
      <c r="BP3817" s="48"/>
      <c r="BQ3817" s="48"/>
      <c r="BR3817" s="48"/>
      <c r="BS3817" s="48"/>
      <c r="BT3817" s="48"/>
      <c r="BU3817" s="48"/>
      <c r="BV3817" s="48"/>
      <c r="BW3817" s="48"/>
      <c r="BX3817" s="48"/>
      <c r="BY3817" s="48"/>
      <c r="BZ3817" s="48"/>
      <c r="CA3817" s="48"/>
      <c r="CB3817" s="48"/>
      <c r="CC3817" s="48"/>
      <c r="CD3817" s="48"/>
      <c r="CE3817" s="48"/>
      <c r="CF3817" s="48"/>
      <c r="CG3817" s="48"/>
      <c r="CH3817" s="48"/>
      <c r="CI3817" s="48"/>
      <c r="CJ3817" s="48"/>
      <c r="CK3817" s="48"/>
      <c r="CL3817" s="48"/>
      <c r="CM3817" s="48"/>
      <c r="CN3817" s="48"/>
      <c r="CO3817" s="48"/>
      <c r="CP3817" s="48"/>
      <c r="CQ3817" s="48"/>
      <c r="CR3817" s="48"/>
      <c r="CS3817" s="48"/>
      <c r="CT3817" s="48"/>
      <c r="CU3817" s="48"/>
      <c r="CV3817" s="48"/>
      <c r="CW3817" s="48"/>
      <c r="CX3817" s="48"/>
      <c r="CY3817" s="48"/>
      <c r="CZ3817" s="48"/>
    </row>
    <row r="3818" spans="27:104" s="4" customFormat="1" x14ac:dyDescent="0.3">
      <c r="AA3818" s="48"/>
      <c r="AB3818" s="48"/>
      <c r="AC3818" s="48"/>
      <c r="AD3818" s="48"/>
      <c r="AE3818" s="48"/>
      <c r="AF3818" s="48"/>
      <c r="AG3818" s="48"/>
      <c r="AH3818" s="48"/>
      <c r="AI3818" s="48"/>
      <c r="AJ3818" s="48"/>
      <c r="AK3818" s="48"/>
      <c r="AL3818" s="48"/>
      <c r="AM3818" s="48"/>
      <c r="AN3818" s="48"/>
      <c r="AO3818" s="48"/>
      <c r="AP3818" s="48"/>
      <c r="AQ3818" s="48"/>
      <c r="AR3818" s="48"/>
      <c r="AS3818" s="48"/>
      <c r="AT3818" s="48"/>
      <c r="AU3818" s="48"/>
      <c r="AV3818" s="48"/>
      <c r="AW3818" s="48"/>
      <c r="AX3818" s="48"/>
      <c r="AY3818" s="48"/>
      <c r="AZ3818" s="48"/>
      <c r="BA3818" s="48"/>
      <c r="BB3818" s="14"/>
      <c r="BC3818" s="48"/>
      <c r="BD3818" s="48"/>
      <c r="BE3818" s="48"/>
      <c r="BF3818" s="48"/>
      <c r="BG3818" s="48"/>
      <c r="BH3818" s="48"/>
      <c r="BI3818" s="48"/>
      <c r="BJ3818" s="48"/>
      <c r="BK3818" s="48"/>
      <c r="BL3818" s="48"/>
      <c r="BM3818" s="48"/>
      <c r="BN3818" s="48"/>
      <c r="BO3818" s="48"/>
      <c r="BP3818" s="48"/>
      <c r="BQ3818" s="48"/>
      <c r="BR3818" s="48"/>
      <c r="BS3818" s="48"/>
      <c r="BT3818" s="48"/>
      <c r="BU3818" s="48"/>
      <c r="BV3818" s="48"/>
      <c r="BW3818" s="48"/>
      <c r="BX3818" s="48"/>
      <c r="BY3818" s="48"/>
      <c r="BZ3818" s="48"/>
      <c r="CA3818" s="48"/>
      <c r="CB3818" s="48"/>
      <c r="CC3818" s="48"/>
      <c r="CD3818" s="48"/>
      <c r="CE3818" s="48"/>
      <c r="CF3818" s="48"/>
      <c r="CG3818" s="48"/>
      <c r="CH3818" s="48"/>
      <c r="CI3818" s="48"/>
      <c r="CJ3818" s="48"/>
      <c r="CK3818" s="48"/>
      <c r="CL3818" s="48"/>
      <c r="CM3818" s="48"/>
      <c r="CN3818" s="48"/>
      <c r="CO3818" s="48"/>
      <c r="CP3818" s="48"/>
      <c r="CQ3818" s="48"/>
      <c r="CR3818" s="48"/>
      <c r="CS3818" s="48"/>
      <c r="CT3818" s="48"/>
      <c r="CU3818" s="48"/>
      <c r="CV3818" s="48"/>
      <c r="CW3818" s="48"/>
      <c r="CX3818" s="48"/>
      <c r="CY3818" s="48"/>
      <c r="CZ3818" s="48"/>
    </row>
    <row r="3819" spans="27:104" s="4" customFormat="1" x14ac:dyDescent="0.3">
      <c r="AA3819" s="48"/>
      <c r="AB3819" s="48"/>
      <c r="AC3819" s="48"/>
      <c r="AD3819" s="48"/>
      <c r="AE3819" s="48"/>
      <c r="AF3819" s="48"/>
      <c r="AG3819" s="48"/>
      <c r="AH3819" s="48"/>
      <c r="AI3819" s="48"/>
      <c r="AJ3819" s="48"/>
      <c r="AK3819" s="48"/>
      <c r="AL3819" s="48"/>
      <c r="AM3819" s="48"/>
      <c r="AN3819" s="48"/>
      <c r="AO3819" s="48"/>
      <c r="AP3819" s="48"/>
      <c r="AQ3819" s="48"/>
      <c r="AR3819" s="48"/>
      <c r="AS3819" s="48"/>
      <c r="AT3819" s="48"/>
      <c r="AU3819" s="48"/>
      <c r="AV3819" s="48"/>
      <c r="AW3819" s="48"/>
      <c r="AX3819" s="48"/>
      <c r="AY3819" s="48"/>
      <c r="AZ3819" s="48"/>
      <c r="BA3819" s="48"/>
      <c r="BB3819" s="14"/>
      <c r="BC3819" s="48"/>
      <c r="BD3819" s="48"/>
      <c r="BE3819" s="48"/>
      <c r="BF3819" s="48"/>
      <c r="BG3819" s="48"/>
      <c r="BH3819" s="48"/>
      <c r="BI3819" s="48"/>
      <c r="BJ3819" s="48"/>
      <c r="BK3819" s="48"/>
      <c r="BL3819" s="48"/>
      <c r="BM3819" s="48"/>
      <c r="BN3819" s="48"/>
      <c r="BO3819" s="48"/>
      <c r="BP3819" s="48"/>
      <c r="BQ3819" s="48"/>
      <c r="BR3819" s="48"/>
      <c r="BS3819" s="48"/>
      <c r="BT3819" s="48"/>
      <c r="BU3819" s="48"/>
      <c r="BV3819" s="48"/>
      <c r="BW3819" s="48"/>
      <c r="BX3819" s="48"/>
      <c r="BY3819" s="48"/>
      <c r="BZ3819" s="48"/>
      <c r="CA3819" s="48"/>
      <c r="CB3819" s="48"/>
      <c r="CC3819" s="48"/>
      <c r="CD3819" s="48"/>
      <c r="CE3819" s="48"/>
      <c r="CF3819" s="48"/>
      <c r="CG3819" s="48"/>
      <c r="CH3819" s="48"/>
      <c r="CI3819" s="48"/>
      <c r="CJ3819" s="48"/>
      <c r="CK3819" s="48"/>
      <c r="CL3819" s="48"/>
      <c r="CM3819" s="48"/>
      <c r="CN3819" s="48"/>
      <c r="CO3819" s="48"/>
      <c r="CP3819" s="48"/>
      <c r="CQ3819" s="48"/>
      <c r="CR3819" s="48"/>
      <c r="CS3819" s="48"/>
      <c r="CT3819" s="48"/>
      <c r="CU3819" s="48"/>
      <c r="CV3819" s="48"/>
      <c r="CW3819" s="48"/>
      <c r="CX3819" s="48"/>
      <c r="CY3819" s="48"/>
      <c r="CZ3819" s="48"/>
    </row>
    <row r="3820" spans="27:104" s="4" customFormat="1" x14ac:dyDescent="0.3">
      <c r="AA3820" s="48"/>
      <c r="AB3820" s="48"/>
      <c r="AC3820" s="48"/>
      <c r="AD3820" s="48"/>
      <c r="AE3820" s="48"/>
      <c r="AF3820" s="48"/>
      <c r="AG3820" s="48"/>
      <c r="AH3820" s="48"/>
      <c r="AI3820" s="48"/>
      <c r="AJ3820" s="48"/>
      <c r="AK3820" s="48"/>
      <c r="AL3820" s="48"/>
      <c r="AM3820" s="48"/>
      <c r="AN3820" s="48"/>
      <c r="AO3820" s="48"/>
      <c r="AP3820" s="48"/>
      <c r="AQ3820" s="48"/>
      <c r="AR3820" s="48"/>
      <c r="AS3820" s="48"/>
      <c r="AT3820" s="48"/>
      <c r="AU3820" s="48"/>
      <c r="AV3820" s="48"/>
      <c r="AW3820" s="48"/>
      <c r="AX3820" s="48"/>
      <c r="AY3820" s="48"/>
      <c r="AZ3820" s="48"/>
      <c r="BA3820" s="48"/>
      <c r="BB3820" s="14"/>
      <c r="BC3820" s="48"/>
      <c r="BD3820" s="48"/>
      <c r="BE3820" s="48"/>
      <c r="BF3820" s="48"/>
      <c r="BG3820" s="48"/>
      <c r="BH3820" s="48"/>
      <c r="BI3820" s="48"/>
      <c r="BJ3820" s="48"/>
      <c r="BK3820" s="48"/>
      <c r="BL3820" s="48"/>
      <c r="BM3820" s="48"/>
      <c r="BN3820" s="48"/>
      <c r="BO3820" s="48"/>
      <c r="BP3820" s="48"/>
      <c r="BQ3820" s="48"/>
      <c r="BR3820" s="48"/>
      <c r="BS3820" s="48"/>
      <c r="BT3820" s="48"/>
      <c r="BU3820" s="48"/>
      <c r="BV3820" s="48"/>
      <c r="BW3820" s="48"/>
      <c r="BX3820" s="48"/>
      <c r="BY3820" s="48"/>
      <c r="BZ3820" s="48"/>
      <c r="CA3820" s="48"/>
      <c r="CB3820" s="48"/>
      <c r="CC3820" s="48"/>
      <c r="CD3820" s="48"/>
      <c r="CE3820" s="48"/>
      <c r="CF3820" s="48"/>
      <c r="CG3820" s="48"/>
      <c r="CH3820" s="48"/>
      <c r="CI3820" s="48"/>
      <c r="CJ3820" s="48"/>
      <c r="CK3820" s="48"/>
      <c r="CL3820" s="48"/>
      <c r="CM3820" s="48"/>
      <c r="CN3820" s="48"/>
      <c r="CO3820" s="48"/>
      <c r="CP3820" s="48"/>
      <c r="CQ3820" s="48"/>
      <c r="CR3820" s="48"/>
      <c r="CS3820" s="48"/>
      <c r="CT3820" s="48"/>
      <c r="CU3820" s="48"/>
      <c r="CV3820" s="48"/>
      <c r="CW3820" s="48"/>
      <c r="CX3820" s="48"/>
      <c r="CY3820" s="48"/>
      <c r="CZ3820" s="48"/>
    </row>
    <row r="3821" spans="27:104" s="4" customFormat="1" x14ac:dyDescent="0.3">
      <c r="AA3821" s="48"/>
      <c r="AB3821" s="48"/>
      <c r="AC3821" s="48"/>
      <c r="AD3821" s="48"/>
      <c r="AE3821" s="48"/>
      <c r="AF3821" s="48"/>
      <c r="AG3821" s="48"/>
      <c r="AH3821" s="48"/>
      <c r="AI3821" s="48"/>
      <c r="AJ3821" s="48"/>
      <c r="AK3821" s="48"/>
      <c r="AL3821" s="48"/>
      <c r="AM3821" s="48"/>
      <c r="AN3821" s="48"/>
      <c r="AO3821" s="48"/>
      <c r="AP3821" s="48"/>
      <c r="AQ3821" s="48"/>
      <c r="AR3821" s="48"/>
      <c r="AS3821" s="48"/>
      <c r="AT3821" s="48"/>
      <c r="AU3821" s="48"/>
      <c r="AV3821" s="48"/>
      <c r="AW3821" s="48"/>
      <c r="AX3821" s="48"/>
      <c r="AY3821" s="48"/>
      <c r="AZ3821" s="48"/>
      <c r="BA3821" s="48"/>
      <c r="BB3821" s="14"/>
      <c r="BC3821" s="48"/>
      <c r="BD3821" s="48"/>
      <c r="BE3821" s="48"/>
      <c r="BF3821" s="48"/>
      <c r="BG3821" s="48"/>
      <c r="BH3821" s="48"/>
      <c r="BI3821" s="48"/>
      <c r="BJ3821" s="48"/>
      <c r="BK3821" s="48"/>
      <c r="BL3821" s="48"/>
      <c r="BM3821" s="48"/>
      <c r="BN3821" s="48"/>
      <c r="BO3821" s="48"/>
      <c r="BP3821" s="48"/>
      <c r="BQ3821" s="48"/>
      <c r="BR3821" s="48"/>
      <c r="BS3821" s="48"/>
      <c r="BT3821" s="48"/>
      <c r="BU3821" s="48"/>
      <c r="BV3821" s="48"/>
      <c r="BW3821" s="48"/>
      <c r="BX3821" s="48"/>
      <c r="BY3821" s="48"/>
      <c r="BZ3821" s="48"/>
      <c r="CA3821" s="48"/>
      <c r="CB3821" s="48"/>
      <c r="CC3821" s="48"/>
      <c r="CD3821" s="48"/>
      <c r="CE3821" s="48"/>
      <c r="CF3821" s="48"/>
      <c r="CG3821" s="48"/>
      <c r="CH3821" s="48"/>
      <c r="CI3821" s="48"/>
      <c r="CJ3821" s="48"/>
      <c r="CK3821" s="48"/>
      <c r="CL3821" s="48"/>
      <c r="CM3821" s="48"/>
      <c r="CN3821" s="48"/>
      <c r="CO3821" s="48"/>
      <c r="CP3821" s="48"/>
      <c r="CQ3821" s="48"/>
      <c r="CR3821" s="48"/>
      <c r="CS3821" s="48"/>
      <c r="CT3821" s="48"/>
      <c r="CU3821" s="48"/>
      <c r="CV3821" s="48"/>
      <c r="CW3821" s="48"/>
      <c r="CX3821" s="48"/>
      <c r="CY3821" s="48"/>
      <c r="CZ3821" s="48"/>
    </row>
    <row r="3822" spans="27:104" s="4" customFormat="1" x14ac:dyDescent="0.3">
      <c r="AA3822" s="48"/>
      <c r="AB3822" s="48"/>
      <c r="AC3822" s="48"/>
      <c r="AD3822" s="48"/>
      <c r="AE3822" s="48"/>
      <c r="AF3822" s="48"/>
      <c r="AG3822" s="48"/>
      <c r="AH3822" s="48"/>
      <c r="AI3822" s="48"/>
      <c r="AJ3822" s="48"/>
      <c r="AK3822" s="48"/>
      <c r="AL3822" s="48"/>
      <c r="AM3822" s="48"/>
      <c r="AN3822" s="48"/>
      <c r="AO3822" s="48"/>
      <c r="AP3822" s="48"/>
      <c r="AQ3822" s="48"/>
      <c r="AR3822" s="48"/>
      <c r="AS3822" s="48"/>
      <c r="AT3822" s="48"/>
      <c r="AU3822" s="48"/>
      <c r="AV3822" s="48"/>
      <c r="AW3822" s="48"/>
      <c r="AX3822" s="48"/>
      <c r="AY3822" s="48"/>
      <c r="AZ3822" s="48"/>
      <c r="BA3822" s="48"/>
      <c r="BB3822" s="14"/>
      <c r="BC3822" s="48"/>
      <c r="BD3822" s="48"/>
      <c r="BE3822" s="48"/>
      <c r="BF3822" s="48"/>
      <c r="BG3822" s="48"/>
      <c r="BH3822" s="48"/>
      <c r="BI3822" s="48"/>
      <c r="BJ3822" s="48"/>
      <c r="BK3822" s="48"/>
      <c r="BL3822" s="48"/>
      <c r="BM3822" s="48"/>
      <c r="BN3822" s="48"/>
      <c r="BO3822" s="48"/>
      <c r="BP3822" s="48"/>
      <c r="BQ3822" s="48"/>
      <c r="BR3822" s="48"/>
      <c r="BS3822" s="48"/>
      <c r="BT3822" s="48"/>
      <c r="BU3822" s="48"/>
      <c r="BV3822" s="48"/>
      <c r="BW3822" s="48"/>
      <c r="BX3822" s="48"/>
      <c r="BY3822" s="48"/>
      <c r="BZ3822" s="48"/>
      <c r="CA3822" s="48"/>
      <c r="CB3822" s="48"/>
      <c r="CC3822" s="48"/>
      <c r="CD3822" s="48"/>
      <c r="CE3822" s="48"/>
      <c r="CF3822" s="48"/>
      <c r="CG3822" s="48"/>
      <c r="CH3822" s="48"/>
      <c r="CI3822" s="48"/>
      <c r="CJ3822" s="48"/>
      <c r="CK3822" s="48"/>
      <c r="CL3822" s="48"/>
      <c r="CM3822" s="48"/>
      <c r="CN3822" s="48"/>
      <c r="CO3822" s="48"/>
      <c r="CP3822" s="48"/>
      <c r="CQ3822" s="48"/>
      <c r="CR3822" s="48"/>
      <c r="CS3822" s="48"/>
      <c r="CT3822" s="48"/>
      <c r="CU3822" s="48"/>
      <c r="CV3822" s="48"/>
      <c r="CW3822" s="48"/>
      <c r="CX3822" s="48"/>
      <c r="CY3822" s="48"/>
      <c r="CZ3822" s="48"/>
    </row>
    <row r="3823" spans="27:104" s="4" customFormat="1" x14ac:dyDescent="0.3">
      <c r="AA3823" s="48"/>
      <c r="AB3823" s="48"/>
      <c r="AC3823" s="48"/>
      <c r="AD3823" s="48"/>
      <c r="AE3823" s="48"/>
      <c r="AF3823" s="48"/>
      <c r="AG3823" s="48"/>
      <c r="AH3823" s="48"/>
      <c r="AI3823" s="48"/>
      <c r="AJ3823" s="48"/>
      <c r="AK3823" s="48"/>
      <c r="AL3823" s="48"/>
      <c r="AM3823" s="48"/>
      <c r="AN3823" s="48"/>
      <c r="AO3823" s="48"/>
      <c r="AP3823" s="48"/>
      <c r="AQ3823" s="48"/>
      <c r="AR3823" s="48"/>
      <c r="AS3823" s="48"/>
      <c r="AT3823" s="48"/>
      <c r="AU3823" s="48"/>
      <c r="AV3823" s="48"/>
      <c r="AW3823" s="48"/>
      <c r="AX3823" s="48"/>
      <c r="AY3823" s="48"/>
      <c r="AZ3823" s="48"/>
      <c r="BA3823" s="48"/>
      <c r="BB3823" s="14"/>
      <c r="BC3823" s="48"/>
      <c r="BD3823" s="48"/>
      <c r="BE3823" s="48"/>
      <c r="BF3823" s="48"/>
      <c r="BG3823" s="48"/>
      <c r="BH3823" s="48"/>
      <c r="BI3823" s="48"/>
      <c r="BJ3823" s="48"/>
      <c r="BK3823" s="48"/>
      <c r="BL3823" s="48"/>
      <c r="BM3823" s="48"/>
      <c r="BN3823" s="48"/>
      <c r="BO3823" s="48"/>
      <c r="BP3823" s="48"/>
      <c r="BQ3823" s="48"/>
      <c r="BR3823" s="48"/>
      <c r="BS3823" s="48"/>
      <c r="BT3823" s="48"/>
      <c r="BU3823" s="48"/>
      <c r="BV3823" s="48"/>
      <c r="BW3823" s="48"/>
      <c r="BX3823" s="48"/>
      <c r="BY3823" s="48"/>
      <c r="BZ3823" s="48"/>
      <c r="CA3823" s="48"/>
      <c r="CB3823" s="48"/>
      <c r="CC3823" s="48"/>
      <c r="CD3823" s="48"/>
      <c r="CE3823" s="48"/>
      <c r="CF3823" s="48"/>
      <c r="CG3823" s="48"/>
      <c r="CH3823" s="48"/>
      <c r="CI3823" s="48"/>
      <c r="CJ3823" s="48"/>
      <c r="CK3823" s="48"/>
      <c r="CL3823" s="48"/>
      <c r="CM3823" s="48"/>
      <c r="CN3823" s="48"/>
      <c r="CO3823" s="48"/>
      <c r="CP3823" s="48"/>
      <c r="CQ3823" s="48"/>
      <c r="CR3823" s="48"/>
      <c r="CS3823" s="48"/>
      <c r="CT3823" s="48"/>
      <c r="CU3823" s="48"/>
      <c r="CV3823" s="48"/>
      <c r="CW3823" s="48"/>
      <c r="CX3823" s="48"/>
      <c r="CY3823" s="48"/>
      <c r="CZ3823" s="48"/>
    </row>
    <row r="3824" spans="27:104" s="4" customFormat="1" x14ac:dyDescent="0.3">
      <c r="AA3824" s="48"/>
      <c r="AB3824" s="48"/>
      <c r="AC3824" s="48"/>
      <c r="AD3824" s="48"/>
      <c r="AE3824" s="48"/>
      <c r="AF3824" s="48"/>
      <c r="AG3824" s="48"/>
      <c r="AH3824" s="48"/>
      <c r="AI3824" s="48"/>
      <c r="AJ3824" s="48"/>
      <c r="AK3824" s="48"/>
      <c r="AL3824" s="48"/>
      <c r="AM3824" s="48"/>
      <c r="AN3824" s="48"/>
      <c r="AO3824" s="48"/>
      <c r="AP3824" s="48"/>
      <c r="AQ3824" s="48"/>
      <c r="AR3824" s="48"/>
      <c r="AS3824" s="48"/>
      <c r="AT3824" s="48"/>
      <c r="AU3824" s="48"/>
      <c r="AV3824" s="48"/>
      <c r="AW3824" s="48"/>
      <c r="AX3824" s="48"/>
      <c r="AY3824" s="48"/>
      <c r="AZ3824" s="48"/>
      <c r="BA3824" s="48"/>
      <c r="BB3824" s="14"/>
      <c r="BC3824" s="48"/>
      <c r="BD3824" s="48"/>
      <c r="BE3824" s="48"/>
      <c r="BF3824" s="48"/>
      <c r="BG3824" s="48"/>
      <c r="BH3824" s="48"/>
      <c r="BI3824" s="48"/>
      <c r="BJ3824" s="48"/>
      <c r="BK3824" s="48"/>
      <c r="BL3824" s="48"/>
      <c r="BM3824" s="48"/>
      <c r="BN3824" s="48"/>
      <c r="BO3824" s="48"/>
      <c r="BP3824" s="48"/>
      <c r="BQ3824" s="48"/>
      <c r="BR3824" s="48"/>
      <c r="BS3824" s="48"/>
      <c r="BT3824" s="48"/>
      <c r="BU3824" s="48"/>
      <c r="BV3824" s="48"/>
      <c r="BW3824" s="48"/>
      <c r="BX3824" s="48"/>
      <c r="BY3824" s="48"/>
      <c r="BZ3824" s="48"/>
      <c r="CA3824" s="48"/>
      <c r="CB3824" s="48"/>
      <c r="CC3824" s="48"/>
      <c r="CD3824" s="48"/>
      <c r="CE3824" s="48"/>
      <c r="CF3824" s="48"/>
      <c r="CG3824" s="48"/>
      <c r="CH3824" s="48"/>
      <c r="CI3824" s="48"/>
      <c r="CJ3824" s="48"/>
      <c r="CK3824" s="48"/>
      <c r="CL3824" s="48"/>
      <c r="CM3824" s="48"/>
      <c r="CN3824" s="48"/>
      <c r="CO3824" s="48"/>
      <c r="CP3824" s="48"/>
      <c r="CQ3824" s="48"/>
      <c r="CR3824" s="48"/>
      <c r="CS3824" s="48"/>
      <c r="CT3824" s="48"/>
      <c r="CU3824" s="48"/>
      <c r="CV3824" s="48"/>
      <c r="CW3824" s="48"/>
      <c r="CX3824" s="48"/>
      <c r="CY3824" s="48"/>
      <c r="CZ3824" s="48"/>
    </row>
    <row r="3825" spans="27:104" s="4" customFormat="1" x14ac:dyDescent="0.3">
      <c r="AA3825" s="48"/>
      <c r="AB3825" s="48"/>
      <c r="AC3825" s="48"/>
      <c r="AD3825" s="48"/>
      <c r="AE3825" s="48"/>
      <c r="AF3825" s="48"/>
      <c r="AG3825" s="48"/>
      <c r="AH3825" s="48"/>
      <c r="AI3825" s="48"/>
      <c r="AJ3825" s="48"/>
      <c r="AK3825" s="48"/>
      <c r="AL3825" s="48"/>
      <c r="AM3825" s="48"/>
      <c r="AN3825" s="48"/>
      <c r="AO3825" s="48"/>
      <c r="AP3825" s="48"/>
      <c r="AQ3825" s="48"/>
      <c r="AR3825" s="48"/>
      <c r="AS3825" s="48"/>
      <c r="AT3825" s="48"/>
      <c r="AU3825" s="48"/>
      <c r="AV3825" s="48"/>
      <c r="AW3825" s="48"/>
      <c r="AX3825" s="48"/>
      <c r="AY3825" s="48"/>
      <c r="AZ3825" s="48"/>
      <c r="BA3825" s="48"/>
      <c r="BB3825" s="14"/>
      <c r="BC3825" s="48"/>
      <c r="BD3825" s="48"/>
      <c r="BE3825" s="48"/>
      <c r="BF3825" s="48"/>
      <c r="BG3825" s="48"/>
      <c r="BH3825" s="48"/>
      <c r="BI3825" s="48"/>
      <c r="BJ3825" s="48"/>
      <c r="BK3825" s="48"/>
      <c r="BL3825" s="48"/>
      <c r="BM3825" s="48"/>
      <c r="BN3825" s="48"/>
      <c r="BO3825" s="48"/>
      <c r="BP3825" s="48"/>
      <c r="BQ3825" s="48"/>
      <c r="BR3825" s="48"/>
      <c r="BS3825" s="48"/>
      <c r="BT3825" s="48"/>
      <c r="BU3825" s="48"/>
      <c r="BV3825" s="48"/>
      <c r="BW3825" s="48"/>
      <c r="BX3825" s="48"/>
      <c r="BY3825" s="48"/>
      <c r="BZ3825" s="48"/>
      <c r="CA3825" s="48"/>
      <c r="CB3825" s="48"/>
      <c r="CC3825" s="48"/>
      <c r="CD3825" s="48"/>
      <c r="CE3825" s="48"/>
      <c r="CF3825" s="48"/>
      <c r="CG3825" s="48"/>
      <c r="CH3825" s="48"/>
      <c r="CI3825" s="48"/>
      <c r="CJ3825" s="48"/>
      <c r="CK3825" s="48"/>
      <c r="CL3825" s="48"/>
      <c r="CM3825" s="48"/>
      <c r="CN3825" s="48"/>
      <c r="CO3825" s="48"/>
      <c r="CP3825" s="48"/>
      <c r="CQ3825" s="48"/>
      <c r="CR3825" s="48"/>
      <c r="CS3825" s="48"/>
      <c r="CT3825" s="48"/>
      <c r="CU3825" s="48"/>
      <c r="CV3825" s="48"/>
      <c r="CW3825" s="48"/>
      <c r="CX3825" s="48"/>
      <c r="CY3825" s="48"/>
      <c r="CZ3825" s="48"/>
    </row>
    <row r="3826" spans="27:104" s="4" customFormat="1" x14ac:dyDescent="0.3">
      <c r="AA3826" s="48"/>
      <c r="AB3826" s="48"/>
      <c r="AC3826" s="48"/>
      <c r="AD3826" s="48"/>
      <c r="AE3826" s="48"/>
      <c r="AF3826" s="48"/>
      <c r="AG3826" s="48"/>
      <c r="AH3826" s="48"/>
      <c r="AI3826" s="48"/>
      <c r="AJ3826" s="48"/>
      <c r="AK3826" s="48"/>
      <c r="AL3826" s="48"/>
      <c r="AM3826" s="48"/>
      <c r="AN3826" s="48"/>
      <c r="AO3826" s="48"/>
      <c r="AP3826" s="48"/>
      <c r="AQ3826" s="48"/>
      <c r="AR3826" s="48"/>
      <c r="AS3826" s="48"/>
      <c r="AT3826" s="48"/>
      <c r="AU3826" s="48"/>
      <c r="AV3826" s="48"/>
      <c r="AW3826" s="48"/>
      <c r="AX3826" s="48"/>
      <c r="AY3826" s="48"/>
      <c r="AZ3826" s="48"/>
      <c r="BA3826" s="48"/>
      <c r="BB3826" s="14"/>
      <c r="BC3826" s="48"/>
      <c r="BD3826" s="48"/>
      <c r="BE3826" s="48"/>
      <c r="BF3826" s="48"/>
      <c r="BG3826" s="48"/>
      <c r="BH3826" s="48"/>
      <c r="BI3826" s="48"/>
      <c r="BJ3826" s="48"/>
      <c r="BK3826" s="48"/>
      <c r="BL3826" s="48"/>
      <c r="BM3826" s="48"/>
      <c r="BN3826" s="48"/>
      <c r="BO3826" s="48"/>
      <c r="BP3826" s="48"/>
      <c r="BQ3826" s="48"/>
      <c r="BR3826" s="48"/>
      <c r="BS3826" s="48"/>
      <c r="BT3826" s="48"/>
      <c r="BU3826" s="48"/>
      <c r="BV3826" s="48"/>
      <c r="BW3826" s="48"/>
      <c r="BX3826" s="48"/>
      <c r="BY3826" s="48"/>
      <c r="BZ3826" s="48"/>
      <c r="CA3826" s="48"/>
      <c r="CB3826" s="48"/>
      <c r="CC3826" s="48"/>
      <c r="CD3826" s="48"/>
      <c r="CE3826" s="48"/>
      <c r="CF3826" s="48"/>
      <c r="CG3826" s="48"/>
      <c r="CH3826" s="48"/>
      <c r="CI3826" s="48"/>
      <c r="CJ3826" s="48"/>
      <c r="CK3826" s="48"/>
      <c r="CL3826" s="48"/>
      <c r="CM3826" s="48"/>
      <c r="CN3826" s="48"/>
      <c r="CO3826" s="48"/>
      <c r="CP3826" s="48"/>
      <c r="CQ3826" s="48"/>
      <c r="CR3826" s="48"/>
      <c r="CS3826" s="48"/>
      <c r="CT3826" s="48"/>
      <c r="CU3826" s="48"/>
      <c r="CV3826" s="48"/>
      <c r="CW3826" s="48"/>
      <c r="CX3826" s="48"/>
      <c r="CY3826" s="48"/>
      <c r="CZ3826" s="48"/>
    </row>
    <row r="3827" spans="27:104" s="4" customFormat="1" x14ac:dyDescent="0.3">
      <c r="AA3827" s="48"/>
      <c r="AB3827" s="48"/>
      <c r="AC3827" s="48"/>
      <c r="AD3827" s="48"/>
      <c r="AE3827" s="48"/>
      <c r="AF3827" s="48"/>
      <c r="AG3827" s="48"/>
      <c r="AH3827" s="48"/>
      <c r="AI3827" s="48"/>
      <c r="AJ3827" s="48"/>
      <c r="AK3827" s="48"/>
      <c r="AL3827" s="48"/>
      <c r="AM3827" s="48"/>
      <c r="AN3827" s="48"/>
      <c r="AO3827" s="48"/>
      <c r="AP3827" s="48"/>
      <c r="AQ3827" s="48"/>
      <c r="AR3827" s="48"/>
      <c r="AS3827" s="48"/>
      <c r="AT3827" s="48"/>
      <c r="AU3827" s="48"/>
      <c r="AV3827" s="48"/>
      <c r="AW3827" s="48"/>
      <c r="AX3827" s="48"/>
      <c r="AY3827" s="48"/>
      <c r="AZ3827" s="48"/>
      <c r="BA3827" s="48"/>
      <c r="BB3827" s="14"/>
      <c r="BC3827" s="48"/>
      <c r="BD3827" s="48"/>
      <c r="BE3827" s="48"/>
      <c r="BF3827" s="48"/>
      <c r="BG3827" s="48"/>
      <c r="BH3827" s="48"/>
      <c r="BI3827" s="48"/>
      <c r="BJ3827" s="48"/>
      <c r="BK3827" s="48"/>
      <c r="BL3827" s="48"/>
      <c r="BM3827" s="48"/>
      <c r="BN3827" s="48"/>
      <c r="BO3827" s="48"/>
      <c r="BP3827" s="48"/>
      <c r="BQ3827" s="48"/>
      <c r="BR3827" s="48"/>
      <c r="BS3827" s="48"/>
      <c r="BT3827" s="48"/>
      <c r="BU3827" s="48"/>
      <c r="BV3827" s="48"/>
      <c r="BW3827" s="48"/>
      <c r="BX3827" s="48"/>
      <c r="BY3827" s="48"/>
      <c r="BZ3827" s="48"/>
      <c r="CA3827" s="48"/>
      <c r="CB3827" s="48"/>
      <c r="CC3827" s="48"/>
      <c r="CD3827" s="48"/>
      <c r="CE3827" s="48"/>
      <c r="CF3827" s="48"/>
      <c r="CG3827" s="48"/>
      <c r="CH3827" s="48"/>
      <c r="CI3827" s="48"/>
      <c r="CJ3827" s="48"/>
      <c r="CK3827" s="48"/>
      <c r="CL3827" s="48"/>
      <c r="CM3827" s="48"/>
      <c r="CN3827" s="48"/>
      <c r="CO3827" s="48"/>
      <c r="CP3827" s="48"/>
      <c r="CQ3827" s="48"/>
      <c r="CR3827" s="48"/>
      <c r="CS3827" s="48"/>
      <c r="CT3827" s="48"/>
      <c r="CU3827" s="48"/>
      <c r="CV3827" s="48"/>
      <c r="CW3827" s="48"/>
      <c r="CX3827" s="48"/>
      <c r="CY3827" s="48"/>
      <c r="CZ3827" s="48"/>
    </row>
    <row r="3828" spans="27:104" s="4" customFormat="1" x14ac:dyDescent="0.3">
      <c r="AA3828" s="48"/>
      <c r="AB3828" s="48"/>
      <c r="AC3828" s="48"/>
      <c r="AD3828" s="48"/>
      <c r="AE3828" s="48"/>
      <c r="AF3828" s="48"/>
      <c r="AG3828" s="48"/>
      <c r="AH3828" s="48"/>
      <c r="AI3828" s="48"/>
      <c r="AJ3828" s="48"/>
      <c r="AK3828" s="48"/>
      <c r="AL3828" s="48"/>
      <c r="AM3828" s="48"/>
      <c r="AN3828" s="48"/>
      <c r="AO3828" s="48"/>
      <c r="AP3828" s="48"/>
      <c r="AQ3828" s="48"/>
      <c r="AR3828" s="48"/>
      <c r="AS3828" s="48"/>
      <c r="AT3828" s="48"/>
      <c r="AU3828" s="48"/>
      <c r="AV3828" s="48"/>
      <c r="AW3828" s="48"/>
      <c r="AX3828" s="48"/>
      <c r="AY3828" s="48"/>
      <c r="AZ3828" s="48"/>
      <c r="BA3828" s="48"/>
      <c r="BB3828" s="14"/>
      <c r="BC3828" s="48"/>
      <c r="BD3828" s="48"/>
      <c r="BE3828" s="48"/>
      <c r="BF3828" s="48"/>
      <c r="BG3828" s="48"/>
      <c r="BH3828" s="48"/>
      <c r="BI3828" s="48"/>
      <c r="BJ3828" s="48"/>
      <c r="BK3828" s="48"/>
      <c r="BL3828" s="48"/>
      <c r="BM3828" s="48"/>
      <c r="BN3828" s="48"/>
      <c r="BO3828" s="48"/>
      <c r="BP3828" s="48"/>
      <c r="BQ3828" s="48"/>
      <c r="BR3828" s="48"/>
      <c r="BS3828" s="48"/>
      <c r="BT3828" s="48"/>
      <c r="BU3828" s="48"/>
      <c r="BV3828" s="48"/>
      <c r="BW3828" s="48"/>
      <c r="BX3828" s="48"/>
      <c r="BY3828" s="48"/>
      <c r="BZ3828" s="48"/>
      <c r="CA3828" s="48"/>
      <c r="CB3828" s="48"/>
      <c r="CC3828" s="48"/>
      <c r="CD3828" s="48"/>
      <c r="CE3828" s="48"/>
      <c r="CF3828" s="48"/>
      <c r="CG3828" s="48"/>
      <c r="CH3828" s="48"/>
      <c r="CI3828" s="48"/>
      <c r="CJ3828" s="48"/>
      <c r="CK3828" s="48"/>
      <c r="CL3828" s="48"/>
      <c r="CM3828" s="48"/>
      <c r="CN3828" s="48"/>
      <c r="CO3828" s="48"/>
      <c r="CP3828" s="48"/>
      <c r="CQ3828" s="48"/>
      <c r="CR3828" s="48"/>
      <c r="CS3828" s="48"/>
      <c r="CT3828" s="48"/>
      <c r="CU3828" s="48"/>
      <c r="CV3828" s="48"/>
      <c r="CW3828" s="48"/>
      <c r="CX3828" s="48"/>
      <c r="CY3828" s="48"/>
      <c r="CZ3828" s="48"/>
    </row>
    <row r="3829" spans="27:104" s="4" customFormat="1" x14ac:dyDescent="0.3">
      <c r="AA3829" s="48"/>
      <c r="AB3829" s="48"/>
      <c r="AC3829" s="48"/>
      <c r="AD3829" s="48"/>
      <c r="AE3829" s="48"/>
      <c r="AF3829" s="48"/>
      <c r="AG3829" s="48"/>
      <c r="AH3829" s="48"/>
      <c r="AI3829" s="48"/>
      <c r="AJ3829" s="48"/>
      <c r="AK3829" s="48"/>
      <c r="AL3829" s="48"/>
      <c r="AM3829" s="48"/>
      <c r="AN3829" s="48"/>
      <c r="AO3829" s="48"/>
      <c r="AP3829" s="48"/>
      <c r="AQ3829" s="48"/>
      <c r="AR3829" s="48"/>
      <c r="AS3829" s="48"/>
      <c r="AT3829" s="48"/>
      <c r="AU3829" s="48"/>
      <c r="AV3829" s="48"/>
      <c r="AW3829" s="48"/>
      <c r="AX3829" s="48"/>
      <c r="AY3829" s="48"/>
      <c r="AZ3829" s="48"/>
      <c r="BA3829" s="48"/>
      <c r="BB3829" s="14"/>
      <c r="BC3829" s="48"/>
      <c r="BD3829" s="48"/>
      <c r="BE3829" s="48"/>
      <c r="BF3829" s="48"/>
      <c r="BG3829" s="48"/>
      <c r="BH3829" s="48"/>
      <c r="BI3829" s="48"/>
      <c r="BJ3829" s="48"/>
      <c r="BK3829" s="48"/>
      <c r="BL3829" s="48"/>
      <c r="BM3829" s="48"/>
      <c r="BN3829" s="48"/>
      <c r="BO3829" s="48"/>
      <c r="BP3829" s="48"/>
      <c r="BQ3829" s="48"/>
      <c r="BR3829" s="48"/>
      <c r="BS3829" s="48"/>
      <c r="BT3829" s="48"/>
      <c r="BU3829" s="48"/>
      <c r="BV3829" s="48"/>
      <c r="BW3829" s="48"/>
      <c r="BX3829" s="48"/>
      <c r="BY3829" s="48"/>
      <c r="BZ3829" s="48"/>
      <c r="CA3829" s="48"/>
      <c r="CB3829" s="48"/>
      <c r="CC3829" s="48"/>
      <c r="CD3829" s="48"/>
      <c r="CE3829" s="48"/>
      <c r="CF3829" s="48"/>
      <c r="CG3829" s="48"/>
      <c r="CH3829" s="48"/>
      <c r="CI3829" s="48"/>
      <c r="CJ3829" s="48"/>
      <c r="CK3829" s="48"/>
      <c r="CL3829" s="48"/>
      <c r="CM3829" s="48"/>
      <c r="CN3829" s="48"/>
      <c r="CO3829" s="48"/>
      <c r="CP3829" s="48"/>
      <c r="CQ3829" s="48"/>
      <c r="CR3829" s="48"/>
      <c r="CS3829" s="48"/>
      <c r="CT3829" s="48"/>
      <c r="CU3829" s="48"/>
      <c r="CV3829" s="48"/>
      <c r="CW3829" s="48"/>
      <c r="CX3829" s="48"/>
      <c r="CY3829" s="48"/>
      <c r="CZ3829" s="48"/>
    </row>
    <row r="3830" spans="27:104" s="4" customFormat="1" x14ac:dyDescent="0.3">
      <c r="AA3830" s="48"/>
      <c r="AB3830" s="48"/>
      <c r="AC3830" s="48"/>
      <c r="AD3830" s="48"/>
      <c r="AE3830" s="48"/>
      <c r="AF3830" s="48"/>
      <c r="AG3830" s="48"/>
      <c r="AH3830" s="48"/>
      <c r="AI3830" s="48"/>
      <c r="AJ3830" s="48"/>
      <c r="AK3830" s="48"/>
      <c r="AL3830" s="48"/>
      <c r="AM3830" s="48"/>
      <c r="AN3830" s="48"/>
      <c r="AO3830" s="48"/>
      <c r="AP3830" s="48"/>
      <c r="AQ3830" s="48"/>
      <c r="AR3830" s="48"/>
      <c r="AS3830" s="48"/>
      <c r="AT3830" s="48"/>
      <c r="AU3830" s="48"/>
      <c r="AV3830" s="48"/>
      <c r="AW3830" s="48"/>
      <c r="AX3830" s="48"/>
      <c r="AY3830" s="48"/>
      <c r="AZ3830" s="48"/>
      <c r="BA3830" s="48"/>
      <c r="BB3830" s="14"/>
      <c r="BC3830" s="48"/>
      <c r="BD3830" s="48"/>
      <c r="BE3830" s="48"/>
      <c r="BF3830" s="48"/>
      <c r="BG3830" s="48"/>
      <c r="BH3830" s="48"/>
      <c r="BI3830" s="48"/>
      <c r="BJ3830" s="48"/>
      <c r="BK3830" s="48"/>
      <c r="BL3830" s="48"/>
      <c r="BM3830" s="48"/>
      <c r="BN3830" s="48"/>
      <c r="BO3830" s="48"/>
      <c r="BP3830" s="48"/>
      <c r="BQ3830" s="48"/>
      <c r="BR3830" s="48"/>
      <c r="BS3830" s="48"/>
      <c r="BT3830" s="48"/>
      <c r="BU3830" s="48"/>
      <c r="BV3830" s="48"/>
      <c r="BW3830" s="48"/>
      <c r="BX3830" s="48"/>
      <c r="BY3830" s="48"/>
      <c r="BZ3830" s="48"/>
      <c r="CA3830" s="48"/>
      <c r="CB3830" s="48"/>
      <c r="CC3830" s="48"/>
      <c r="CD3830" s="48"/>
      <c r="CE3830" s="48"/>
      <c r="CF3830" s="48"/>
      <c r="CG3830" s="48"/>
      <c r="CH3830" s="48"/>
      <c r="CI3830" s="48"/>
      <c r="CJ3830" s="48"/>
      <c r="CK3830" s="48"/>
      <c r="CL3830" s="48"/>
      <c r="CM3830" s="48"/>
      <c r="CN3830" s="48"/>
      <c r="CO3830" s="48"/>
      <c r="CP3830" s="48"/>
      <c r="CQ3830" s="48"/>
      <c r="CR3830" s="48"/>
      <c r="CS3830" s="48"/>
      <c r="CT3830" s="48"/>
      <c r="CU3830" s="48"/>
      <c r="CV3830" s="48"/>
      <c r="CW3830" s="48"/>
      <c r="CX3830" s="48"/>
      <c r="CY3830" s="48"/>
      <c r="CZ3830" s="48"/>
    </row>
    <row r="3831" spans="27:104" s="4" customFormat="1" x14ac:dyDescent="0.3">
      <c r="AA3831" s="48"/>
      <c r="AB3831" s="48"/>
      <c r="AC3831" s="48"/>
      <c r="AD3831" s="48"/>
      <c r="AE3831" s="48"/>
      <c r="AF3831" s="48"/>
      <c r="AG3831" s="48"/>
      <c r="AH3831" s="48"/>
      <c r="AI3831" s="48"/>
      <c r="AJ3831" s="48"/>
      <c r="AK3831" s="48"/>
      <c r="AL3831" s="48"/>
      <c r="AM3831" s="48"/>
      <c r="AN3831" s="48"/>
      <c r="AO3831" s="48"/>
      <c r="AP3831" s="48"/>
      <c r="AQ3831" s="48"/>
      <c r="AR3831" s="48"/>
      <c r="AS3831" s="48"/>
      <c r="AT3831" s="48"/>
      <c r="AU3831" s="48"/>
      <c r="AV3831" s="48"/>
      <c r="AW3831" s="48"/>
      <c r="AX3831" s="48"/>
      <c r="AY3831" s="48"/>
      <c r="AZ3831" s="48"/>
      <c r="BA3831" s="48"/>
      <c r="BB3831" s="14"/>
      <c r="BC3831" s="48"/>
      <c r="BD3831" s="48"/>
      <c r="BE3831" s="48"/>
      <c r="BF3831" s="48"/>
      <c r="BG3831" s="48"/>
      <c r="BH3831" s="48"/>
      <c r="BI3831" s="48"/>
      <c r="BJ3831" s="48"/>
      <c r="BK3831" s="48"/>
      <c r="BL3831" s="48"/>
      <c r="BM3831" s="48"/>
      <c r="BN3831" s="48"/>
      <c r="BO3831" s="48"/>
      <c r="BP3831" s="48"/>
      <c r="BQ3831" s="48"/>
      <c r="BR3831" s="48"/>
      <c r="BS3831" s="48"/>
      <c r="BT3831" s="48"/>
      <c r="BU3831" s="48"/>
      <c r="BV3831" s="48"/>
      <c r="BW3831" s="48"/>
      <c r="BX3831" s="48"/>
      <c r="BY3831" s="48"/>
      <c r="BZ3831" s="48"/>
      <c r="CA3831" s="48"/>
      <c r="CB3831" s="48"/>
      <c r="CC3831" s="48"/>
      <c r="CD3831" s="48"/>
      <c r="CE3831" s="48"/>
      <c r="CF3831" s="48"/>
      <c r="CG3831" s="48"/>
      <c r="CH3831" s="48"/>
      <c r="CI3831" s="48"/>
      <c r="CJ3831" s="48"/>
      <c r="CK3831" s="48"/>
      <c r="CL3831" s="48"/>
      <c r="CM3831" s="48"/>
      <c r="CN3831" s="48"/>
      <c r="CO3831" s="48"/>
      <c r="CP3831" s="48"/>
      <c r="CQ3831" s="48"/>
      <c r="CR3831" s="48"/>
      <c r="CS3831" s="48"/>
      <c r="CT3831" s="48"/>
      <c r="CU3831" s="48"/>
      <c r="CV3831" s="48"/>
      <c r="CW3831" s="48"/>
      <c r="CX3831" s="48"/>
      <c r="CY3831" s="48"/>
      <c r="CZ3831" s="48"/>
    </row>
    <row r="3832" spans="27:104" s="4" customFormat="1" x14ac:dyDescent="0.3">
      <c r="AA3832" s="48"/>
      <c r="AB3832" s="48"/>
      <c r="AC3832" s="48"/>
      <c r="AD3832" s="48"/>
      <c r="AE3832" s="48"/>
      <c r="AF3832" s="48"/>
      <c r="AG3832" s="48"/>
      <c r="AH3832" s="48"/>
      <c r="AI3832" s="48"/>
      <c r="AJ3832" s="48"/>
      <c r="AK3832" s="48"/>
      <c r="AL3832" s="48"/>
      <c r="AM3832" s="48"/>
      <c r="AN3832" s="48"/>
      <c r="AO3832" s="48"/>
      <c r="AP3832" s="48"/>
      <c r="AQ3832" s="48"/>
      <c r="AR3832" s="48"/>
      <c r="AS3832" s="48"/>
      <c r="AT3832" s="48"/>
      <c r="AU3832" s="48"/>
      <c r="AV3832" s="48"/>
      <c r="AW3832" s="48"/>
      <c r="AX3832" s="48"/>
      <c r="AY3832" s="48"/>
      <c r="AZ3832" s="48"/>
      <c r="BA3832" s="48"/>
      <c r="BB3832" s="14"/>
      <c r="BC3832" s="48"/>
      <c r="BD3832" s="48"/>
      <c r="BE3832" s="48"/>
      <c r="BF3832" s="48"/>
      <c r="BG3832" s="48"/>
      <c r="BH3832" s="48"/>
      <c r="BI3832" s="48"/>
      <c r="BJ3832" s="48"/>
      <c r="BK3832" s="48"/>
      <c r="BL3832" s="48"/>
      <c r="BM3832" s="48"/>
      <c r="BN3832" s="48"/>
      <c r="BO3832" s="48"/>
      <c r="BP3832" s="48"/>
      <c r="BQ3832" s="48"/>
      <c r="BR3832" s="48"/>
      <c r="BS3832" s="48"/>
      <c r="BT3832" s="48"/>
      <c r="BU3832" s="48"/>
      <c r="BV3832" s="48"/>
      <c r="BW3832" s="48"/>
      <c r="BX3832" s="48"/>
      <c r="BY3832" s="48"/>
      <c r="BZ3832" s="48"/>
      <c r="CA3832" s="48"/>
      <c r="CB3832" s="48"/>
      <c r="CC3832" s="48"/>
      <c r="CD3832" s="48"/>
      <c r="CE3832" s="48"/>
      <c r="CF3832" s="48"/>
      <c r="CG3832" s="48"/>
      <c r="CH3832" s="48"/>
      <c r="CI3832" s="48"/>
      <c r="CJ3832" s="48"/>
      <c r="CK3832" s="48"/>
      <c r="CL3832" s="48"/>
      <c r="CM3832" s="48"/>
      <c r="CN3832" s="48"/>
      <c r="CO3832" s="48"/>
      <c r="CP3832" s="48"/>
      <c r="CQ3832" s="48"/>
      <c r="CR3832" s="48"/>
      <c r="CS3832" s="48"/>
      <c r="CT3832" s="48"/>
      <c r="CU3832" s="48"/>
      <c r="CV3832" s="48"/>
      <c r="CW3832" s="48"/>
      <c r="CX3832" s="48"/>
      <c r="CY3832" s="48"/>
      <c r="CZ3832" s="48"/>
    </row>
    <row r="3833" spans="27:104" s="4" customFormat="1" x14ac:dyDescent="0.3">
      <c r="AA3833" s="48"/>
      <c r="AB3833" s="48"/>
      <c r="AC3833" s="48"/>
      <c r="AD3833" s="48"/>
      <c r="AE3833" s="48"/>
      <c r="AF3833" s="48"/>
      <c r="AG3833" s="48"/>
      <c r="AH3833" s="48"/>
      <c r="AI3833" s="48"/>
      <c r="AJ3833" s="48"/>
      <c r="AK3833" s="48"/>
      <c r="AL3833" s="48"/>
      <c r="AM3833" s="48"/>
      <c r="AN3833" s="48"/>
      <c r="AO3833" s="48"/>
      <c r="AP3833" s="48"/>
      <c r="AQ3833" s="48"/>
      <c r="AR3833" s="48"/>
      <c r="AS3833" s="48"/>
      <c r="AT3833" s="48"/>
      <c r="AU3833" s="48"/>
      <c r="AV3833" s="48"/>
      <c r="AW3833" s="48"/>
      <c r="AX3833" s="48"/>
      <c r="AY3833" s="48"/>
      <c r="AZ3833" s="48"/>
      <c r="BA3833" s="48"/>
      <c r="BB3833" s="14"/>
      <c r="BC3833" s="48"/>
      <c r="BD3833" s="48"/>
      <c r="BE3833" s="48"/>
      <c r="BF3833" s="48"/>
      <c r="BG3833" s="48"/>
      <c r="BH3833" s="48"/>
      <c r="BI3833" s="48"/>
      <c r="BJ3833" s="48"/>
      <c r="BK3833" s="48"/>
      <c r="BL3833" s="48"/>
      <c r="BM3833" s="48"/>
      <c r="BN3833" s="48"/>
      <c r="BO3833" s="48"/>
      <c r="BP3833" s="48"/>
      <c r="BQ3833" s="48"/>
      <c r="BR3833" s="48"/>
      <c r="BS3833" s="48"/>
      <c r="BT3833" s="48"/>
      <c r="BU3833" s="48"/>
      <c r="BV3833" s="48"/>
      <c r="BW3833" s="48"/>
      <c r="BX3833" s="48"/>
      <c r="BY3833" s="48"/>
      <c r="BZ3833" s="48"/>
      <c r="CA3833" s="48"/>
      <c r="CB3833" s="48"/>
      <c r="CC3833" s="48"/>
      <c r="CD3833" s="48"/>
      <c r="CE3833" s="48"/>
      <c r="CF3833" s="48"/>
      <c r="CG3833" s="48"/>
      <c r="CH3833" s="48"/>
      <c r="CI3833" s="48"/>
      <c r="CJ3833" s="48"/>
      <c r="CK3833" s="48"/>
      <c r="CL3833" s="48"/>
      <c r="CM3833" s="48"/>
      <c r="CN3833" s="48"/>
      <c r="CO3833" s="48"/>
      <c r="CP3833" s="48"/>
      <c r="CQ3833" s="48"/>
      <c r="CR3833" s="48"/>
      <c r="CS3833" s="48"/>
      <c r="CT3833" s="48"/>
      <c r="CU3833" s="48"/>
      <c r="CV3833" s="48"/>
      <c r="CW3833" s="48"/>
      <c r="CX3833" s="48"/>
      <c r="CY3833" s="48"/>
      <c r="CZ3833" s="48"/>
    </row>
    <row r="3834" spans="27:104" s="4" customFormat="1" x14ac:dyDescent="0.3">
      <c r="AA3834" s="48"/>
      <c r="AB3834" s="48"/>
      <c r="AC3834" s="48"/>
      <c r="AD3834" s="48"/>
      <c r="AE3834" s="48"/>
      <c r="AF3834" s="48"/>
      <c r="AG3834" s="48"/>
      <c r="AH3834" s="48"/>
      <c r="AI3834" s="48"/>
      <c r="AJ3834" s="48"/>
      <c r="AK3834" s="48"/>
      <c r="AL3834" s="48"/>
      <c r="AM3834" s="48"/>
      <c r="AN3834" s="48"/>
      <c r="AO3834" s="48"/>
      <c r="AP3834" s="48"/>
      <c r="AQ3834" s="48"/>
      <c r="AR3834" s="48"/>
      <c r="AS3834" s="48"/>
      <c r="AT3834" s="48"/>
      <c r="AU3834" s="48"/>
      <c r="AV3834" s="48"/>
      <c r="AW3834" s="48"/>
      <c r="AX3834" s="48"/>
      <c r="AY3834" s="48"/>
      <c r="AZ3834" s="48"/>
      <c r="BA3834" s="48"/>
      <c r="BB3834" s="14"/>
      <c r="BC3834" s="48"/>
      <c r="BD3834" s="48"/>
      <c r="BE3834" s="48"/>
      <c r="BF3834" s="48"/>
      <c r="BG3834" s="48"/>
      <c r="BH3834" s="48"/>
      <c r="BI3834" s="48"/>
      <c r="BJ3834" s="48"/>
      <c r="BK3834" s="48"/>
      <c r="BL3834" s="48"/>
      <c r="BM3834" s="48"/>
      <c r="BN3834" s="48"/>
      <c r="BO3834" s="48"/>
      <c r="BP3834" s="48"/>
      <c r="BQ3834" s="48"/>
      <c r="BR3834" s="48"/>
      <c r="BS3834" s="48"/>
      <c r="BT3834" s="48"/>
      <c r="BU3834" s="48"/>
      <c r="BV3834" s="48"/>
      <c r="BW3834" s="48"/>
      <c r="BX3834" s="48"/>
      <c r="BY3834" s="48"/>
      <c r="BZ3834" s="48"/>
      <c r="CA3834" s="48"/>
      <c r="CB3834" s="48"/>
      <c r="CC3834" s="48"/>
      <c r="CD3834" s="48"/>
      <c r="CE3834" s="48"/>
      <c r="CF3834" s="48"/>
      <c r="CG3834" s="48"/>
      <c r="CH3834" s="48"/>
      <c r="CI3834" s="48"/>
      <c r="CJ3834" s="48"/>
      <c r="CK3834" s="48"/>
      <c r="CL3834" s="48"/>
      <c r="CM3834" s="48"/>
      <c r="CN3834" s="48"/>
      <c r="CO3834" s="48"/>
      <c r="CP3834" s="48"/>
      <c r="CQ3834" s="48"/>
      <c r="CR3834" s="48"/>
      <c r="CS3834" s="48"/>
      <c r="CT3834" s="48"/>
      <c r="CU3834" s="48"/>
      <c r="CV3834" s="48"/>
      <c r="CW3834" s="48"/>
      <c r="CX3834" s="48"/>
      <c r="CY3834" s="48"/>
      <c r="CZ3834" s="48"/>
    </row>
    <row r="3835" spans="27:104" s="4" customFormat="1" x14ac:dyDescent="0.3">
      <c r="AA3835" s="48"/>
      <c r="AB3835" s="48"/>
      <c r="AC3835" s="48"/>
      <c r="AD3835" s="48"/>
      <c r="AE3835" s="48"/>
      <c r="AF3835" s="48"/>
      <c r="AG3835" s="48"/>
      <c r="AH3835" s="48"/>
      <c r="AI3835" s="48"/>
      <c r="AJ3835" s="48"/>
      <c r="AK3835" s="48"/>
      <c r="AL3835" s="48"/>
      <c r="AM3835" s="48"/>
      <c r="AN3835" s="48"/>
      <c r="AO3835" s="48"/>
      <c r="AP3835" s="48"/>
      <c r="AQ3835" s="48"/>
      <c r="AR3835" s="48"/>
      <c r="AS3835" s="48"/>
      <c r="AT3835" s="48"/>
      <c r="AU3835" s="48"/>
      <c r="AV3835" s="48"/>
      <c r="AW3835" s="48"/>
      <c r="AX3835" s="48"/>
      <c r="AY3835" s="48"/>
      <c r="AZ3835" s="48"/>
      <c r="BA3835" s="48"/>
      <c r="BB3835" s="14"/>
      <c r="BC3835" s="48"/>
      <c r="BD3835" s="48"/>
      <c r="BE3835" s="48"/>
      <c r="BF3835" s="48"/>
      <c r="BG3835" s="48"/>
      <c r="BH3835" s="48"/>
      <c r="BI3835" s="48"/>
      <c r="BJ3835" s="48"/>
      <c r="BK3835" s="48"/>
      <c r="BL3835" s="48"/>
      <c r="BM3835" s="48"/>
      <c r="BN3835" s="48"/>
      <c r="BO3835" s="48"/>
      <c r="BP3835" s="48"/>
      <c r="BQ3835" s="48"/>
      <c r="BR3835" s="48"/>
      <c r="BS3835" s="48"/>
      <c r="BT3835" s="48"/>
      <c r="BU3835" s="48"/>
      <c r="BV3835" s="48"/>
      <c r="BW3835" s="48"/>
      <c r="BX3835" s="48"/>
      <c r="BY3835" s="48"/>
      <c r="BZ3835" s="48"/>
      <c r="CA3835" s="48"/>
      <c r="CB3835" s="48"/>
      <c r="CC3835" s="48"/>
      <c r="CD3835" s="48"/>
      <c r="CE3835" s="48"/>
      <c r="CF3835" s="48"/>
      <c r="CG3835" s="48"/>
      <c r="CH3835" s="48"/>
      <c r="CI3835" s="48"/>
      <c r="CJ3835" s="48"/>
      <c r="CK3835" s="48"/>
      <c r="CL3835" s="48"/>
      <c r="CM3835" s="48"/>
      <c r="CN3835" s="48"/>
      <c r="CO3835" s="48"/>
      <c r="CP3835" s="48"/>
      <c r="CQ3835" s="48"/>
      <c r="CR3835" s="48"/>
      <c r="CS3835" s="48"/>
      <c r="CT3835" s="48"/>
      <c r="CU3835" s="48"/>
      <c r="CV3835" s="48"/>
      <c r="CW3835" s="48"/>
      <c r="CX3835" s="48"/>
      <c r="CY3835" s="48"/>
      <c r="CZ3835" s="48"/>
    </row>
    <row r="3836" spans="27:104" s="4" customFormat="1" x14ac:dyDescent="0.3">
      <c r="AA3836" s="48"/>
      <c r="AB3836" s="48"/>
      <c r="AC3836" s="48"/>
      <c r="AD3836" s="48"/>
      <c r="AE3836" s="48"/>
      <c r="AF3836" s="48"/>
      <c r="AG3836" s="48"/>
      <c r="AH3836" s="48"/>
      <c r="AI3836" s="48"/>
      <c r="AJ3836" s="48"/>
      <c r="AK3836" s="48"/>
      <c r="AL3836" s="48"/>
      <c r="AM3836" s="48"/>
      <c r="AN3836" s="48"/>
      <c r="AO3836" s="48"/>
      <c r="AP3836" s="48"/>
      <c r="AQ3836" s="48"/>
      <c r="AR3836" s="48"/>
      <c r="AS3836" s="48"/>
      <c r="AT3836" s="48"/>
      <c r="AU3836" s="48"/>
      <c r="AV3836" s="48"/>
      <c r="AW3836" s="48"/>
      <c r="AX3836" s="48"/>
      <c r="AY3836" s="48"/>
      <c r="AZ3836" s="48"/>
      <c r="BA3836" s="48"/>
      <c r="BB3836" s="14"/>
      <c r="BC3836" s="48"/>
      <c r="BD3836" s="48"/>
      <c r="BE3836" s="48"/>
      <c r="BF3836" s="48"/>
      <c r="BG3836" s="48"/>
      <c r="BH3836" s="48"/>
      <c r="BI3836" s="48"/>
      <c r="BJ3836" s="48"/>
      <c r="BK3836" s="48"/>
      <c r="BL3836" s="48"/>
      <c r="BM3836" s="48"/>
      <c r="BN3836" s="48"/>
      <c r="BO3836" s="48"/>
      <c r="BP3836" s="48"/>
      <c r="BQ3836" s="48"/>
      <c r="BR3836" s="48"/>
      <c r="BS3836" s="48"/>
      <c r="BT3836" s="48"/>
      <c r="BU3836" s="48"/>
      <c r="BV3836" s="48"/>
      <c r="BW3836" s="48"/>
      <c r="BX3836" s="48"/>
      <c r="BY3836" s="48"/>
      <c r="BZ3836" s="48"/>
      <c r="CA3836" s="48"/>
      <c r="CB3836" s="48"/>
      <c r="CC3836" s="48"/>
      <c r="CD3836" s="48"/>
      <c r="CE3836" s="48"/>
      <c r="CF3836" s="48"/>
      <c r="CG3836" s="48"/>
      <c r="CH3836" s="48"/>
      <c r="CI3836" s="48"/>
      <c r="CJ3836" s="48"/>
      <c r="CK3836" s="48"/>
      <c r="CL3836" s="48"/>
      <c r="CM3836" s="48"/>
      <c r="CN3836" s="48"/>
      <c r="CO3836" s="48"/>
      <c r="CP3836" s="48"/>
      <c r="CQ3836" s="48"/>
      <c r="CR3836" s="48"/>
      <c r="CS3836" s="48"/>
      <c r="CT3836" s="48"/>
      <c r="CU3836" s="48"/>
      <c r="CV3836" s="48"/>
      <c r="CW3836" s="48"/>
      <c r="CX3836" s="48"/>
      <c r="CY3836" s="48"/>
      <c r="CZ3836" s="48"/>
    </row>
    <row r="3837" spans="27:104" s="4" customFormat="1" x14ac:dyDescent="0.3">
      <c r="AA3837" s="48"/>
      <c r="AB3837" s="48"/>
      <c r="AC3837" s="48"/>
      <c r="AD3837" s="48"/>
      <c r="AE3837" s="48"/>
      <c r="AF3837" s="48"/>
      <c r="AG3837" s="48"/>
      <c r="AH3837" s="48"/>
      <c r="AI3837" s="48"/>
      <c r="AJ3837" s="48"/>
      <c r="AK3837" s="48"/>
      <c r="AL3837" s="48"/>
      <c r="AM3837" s="48"/>
      <c r="AN3837" s="48"/>
      <c r="AO3837" s="48"/>
      <c r="AP3837" s="48"/>
      <c r="AQ3837" s="48"/>
      <c r="AR3837" s="48"/>
      <c r="AS3837" s="48"/>
      <c r="AT3837" s="48"/>
      <c r="AU3837" s="48"/>
      <c r="AV3837" s="48"/>
      <c r="AW3837" s="48"/>
      <c r="AX3837" s="48"/>
      <c r="AY3837" s="48"/>
      <c r="AZ3837" s="48"/>
      <c r="BA3837" s="48"/>
      <c r="BB3837" s="14"/>
      <c r="BC3837" s="48"/>
      <c r="BD3837" s="48"/>
      <c r="BE3837" s="48"/>
      <c r="BF3837" s="48"/>
      <c r="BG3837" s="48"/>
      <c r="BH3837" s="48"/>
      <c r="BI3837" s="48"/>
      <c r="BJ3837" s="48"/>
      <c r="BK3837" s="48"/>
      <c r="BL3837" s="48"/>
      <c r="BM3837" s="48"/>
      <c r="BN3837" s="48"/>
      <c r="BO3837" s="48"/>
      <c r="BP3837" s="48"/>
      <c r="BQ3837" s="48"/>
      <c r="BR3837" s="48"/>
      <c r="BS3837" s="48"/>
      <c r="BT3837" s="48"/>
      <c r="BU3837" s="48"/>
      <c r="BV3837" s="48"/>
      <c r="BW3837" s="48"/>
      <c r="BX3837" s="48"/>
      <c r="BY3837" s="48"/>
      <c r="BZ3837" s="48"/>
      <c r="CA3837" s="48"/>
      <c r="CB3837" s="48"/>
      <c r="CC3837" s="48"/>
      <c r="CD3837" s="48"/>
      <c r="CE3837" s="48"/>
      <c r="CF3837" s="48"/>
      <c r="CG3837" s="48"/>
      <c r="CH3837" s="48"/>
      <c r="CI3837" s="48"/>
      <c r="CJ3837" s="48"/>
      <c r="CK3837" s="48"/>
      <c r="CL3837" s="48"/>
      <c r="CM3837" s="48"/>
      <c r="CN3837" s="48"/>
      <c r="CO3837" s="48"/>
      <c r="CP3837" s="48"/>
      <c r="CQ3837" s="48"/>
      <c r="CR3837" s="48"/>
      <c r="CS3837" s="48"/>
      <c r="CT3837" s="48"/>
      <c r="CU3837" s="48"/>
      <c r="CV3837" s="48"/>
      <c r="CW3837" s="48"/>
      <c r="CX3837" s="48"/>
      <c r="CY3837" s="48"/>
      <c r="CZ3837" s="48"/>
    </row>
    <row r="3838" spans="27:104" s="4" customFormat="1" x14ac:dyDescent="0.3">
      <c r="AA3838" s="48"/>
      <c r="AB3838" s="48"/>
      <c r="AC3838" s="48"/>
      <c r="AD3838" s="48"/>
      <c r="AE3838" s="48"/>
      <c r="AF3838" s="48"/>
      <c r="AG3838" s="48"/>
      <c r="AH3838" s="48"/>
      <c r="AI3838" s="48"/>
      <c r="AJ3838" s="48"/>
      <c r="AK3838" s="48"/>
      <c r="AL3838" s="48"/>
      <c r="AM3838" s="48"/>
      <c r="AN3838" s="48"/>
      <c r="AO3838" s="48"/>
      <c r="AP3838" s="48"/>
      <c r="AQ3838" s="48"/>
      <c r="AR3838" s="48"/>
      <c r="AS3838" s="48"/>
      <c r="AT3838" s="48"/>
      <c r="AU3838" s="48"/>
      <c r="AV3838" s="48"/>
      <c r="AW3838" s="48"/>
      <c r="AX3838" s="48"/>
      <c r="AY3838" s="48"/>
      <c r="AZ3838" s="48"/>
      <c r="BA3838" s="48"/>
      <c r="BB3838" s="14"/>
      <c r="BC3838" s="48"/>
      <c r="BD3838" s="48"/>
      <c r="BE3838" s="48"/>
      <c r="BF3838" s="48"/>
      <c r="BG3838" s="48"/>
      <c r="BH3838" s="48"/>
      <c r="BI3838" s="48"/>
      <c r="BJ3838" s="48"/>
      <c r="BK3838" s="48"/>
      <c r="BL3838" s="48"/>
      <c r="BM3838" s="48"/>
      <c r="BN3838" s="48"/>
      <c r="BO3838" s="48"/>
      <c r="BP3838" s="48"/>
      <c r="BQ3838" s="48"/>
      <c r="BR3838" s="48"/>
      <c r="BS3838" s="48"/>
      <c r="BT3838" s="48"/>
      <c r="BU3838" s="48"/>
      <c r="BV3838" s="48"/>
      <c r="BW3838" s="48"/>
      <c r="BX3838" s="48"/>
      <c r="BY3838" s="48"/>
      <c r="BZ3838" s="48"/>
      <c r="CA3838" s="48"/>
      <c r="CB3838" s="48"/>
      <c r="CC3838" s="48"/>
      <c r="CD3838" s="48"/>
      <c r="CE3838" s="48"/>
      <c r="CF3838" s="48"/>
      <c r="CG3838" s="48"/>
      <c r="CH3838" s="48"/>
      <c r="CI3838" s="48"/>
      <c r="CJ3838" s="48"/>
      <c r="CK3838" s="48"/>
      <c r="CL3838" s="48"/>
      <c r="CM3838" s="48"/>
      <c r="CN3838" s="48"/>
      <c r="CO3838" s="48"/>
      <c r="CP3838" s="48"/>
      <c r="CQ3838" s="48"/>
      <c r="CR3838" s="48"/>
      <c r="CS3838" s="48"/>
      <c r="CT3838" s="48"/>
      <c r="CU3838" s="48"/>
      <c r="CV3838" s="48"/>
      <c r="CW3838" s="48"/>
      <c r="CX3838" s="48"/>
      <c r="CY3838" s="48"/>
      <c r="CZ3838" s="48"/>
    </row>
    <row r="3839" spans="27:104" s="4" customFormat="1" x14ac:dyDescent="0.3">
      <c r="AA3839" s="48"/>
      <c r="AB3839" s="48"/>
      <c r="AC3839" s="48"/>
      <c r="AD3839" s="48"/>
      <c r="AE3839" s="48"/>
      <c r="AF3839" s="48"/>
      <c r="AG3839" s="48"/>
      <c r="AH3839" s="48"/>
      <c r="AI3839" s="48"/>
      <c r="AJ3839" s="48"/>
      <c r="AK3839" s="48"/>
      <c r="AL3839" s="48"/>
      <c r="AM3839" s="48"/>
      <c r="AN3839" s="48"/>
      <c r="AO3839" s="48"/>
      <c r="AP3839" s="48"/>
      <c r="AQ3839" s="48"/>
      <c r="AR3839" s="48"/>
      <c r="AS3839" s="48"/>
      <c r="AT3839" s="48"/>
      <c r="AU3839" s="48"/>
      <c r="AV3839" s="48"/>
      <c r="AW3839" s="48"/>
      <c r="AX3839" s="48"/>
      <c r="AY3839" s="48"/>
      <c r="AZ3839" s="48"/>
      <c r="BA3839" s="48"/>
      <c r="BB3839" s="14"/>
      <c r="BC3839" s="48"/>
      <c r="BD3839" s="48"/>
      <c r="BE3839" s="48"/>
      <c r="BF3839" s="48"/>
      <c r="BG3839" s="48"/>
      <c r="BH3839" s="48"/>
      <c r="BI3839" s="48"/>
      <c r="BJ3839" s="48"/>
      <c r="BK3839" s="48"/>
      <c r="BL3839" s="48"/>
      <c r="BM3839" s="48"/>
      <c r="BN3839" s="48"/>
      <c r="BO3839" s="48"/>
      <c r="BP3839" s="48"/>
      <c r="BQ3839" s="48"/>
      <c r="BR3839" s="48"/>
      <c r="BS3839" s="48"/>
      <c r="BT3839" s="48"/>
      <c r="BU3839" s="48"/>
      <c r="BV3839" s="48"/>
      <c r="BW3839" s="48"/>
      <c r="BX3839" s="48"/>
      <c r="BY3839" s="48"/>
      <c r="BZ3839" s="48"/>
      <c r="CA3839" s="48"/>
      <c r="CB3839" s="48"/>
      <c r="CC3839" s="48"/>
      <c r="CD3839" s="48"/>
      <c r="CE3839" s="48"/>
      <c r="CF3839" s="48"/>
      <c r="CG3839" s="48"/>
      <c r="CH3839" s="48"/>
      <c r="CI3839" s="48"/>
      <c r="CJ3839" s="48"/>
      <c r="CK3839" s="48"/>
      <c r="CL3839" s="48"/>
      <c r="CM3839" s="48"/>
      <c r="CN3839" s="48"/>
      <c r="CO3839" s="48"/>
      <c r="CP3839" s="48"/>
      <c r="CQ3839" s="48"/>
      <c r="CR3839" s="48"/>
      <c r="CS3839" s="48"/>
      <c r="CT3839" s="48"/>
      <c r="CU3839" s="48"/>
      <c r="CV3839" s="48"/>
      <c r="CW3839" s="48"/>
      <c r="CX3839" s="48"/>
      <c r="CY3839" s="48"/>
      <c r="CZ3839" s="48"/>
    </row>
    <row r="3840" spans="27:104" s="4" customFormat="1" x14ac:dyDescent="0.3">
      <c r="AA3840" s="48"/>
      <c r="AB3840" s="48"/>
      <c r="AC3840" s="48"/>
      <c r="AD3840" s="48"/>
      <c r="AE3840" s="48"/>
      <c r="AF3840" s="48"/>
      <c r="AG3840" s="48"/>
      <c r="AH3840" s="48"/>
      <c r="AI3840" s="48"/>
      <c r="AJ3840" s="48"/>
      <c r="AK3840" s="48"/>
      <c r="AL3840" s="48"/>
      <c r="AM3840" s="48"/>
      <c r="AN3840" s="48"/>
      <c r="AO3840" s="48"/>
      <c r="AP3840" s="48"/>
      <c r="AQ3840" s="48"/>
      <c r="AR3840" s="48"/>
      <c r="AS3840" s="48"/>
      <c r="AT3840" s="48"/>
      <c r="AU3840" s="48"/>
      <c r="AV3840" s="48"/>
      <c r="AW3840" s="48"/>
      <c r="AX3840" s="48"/>
      <c r="AY3840" s="48"/>
      <c r="AZ3840" s="48"/>
      <c r="BA3840" s="48"/>
      <c r="BB3840" s="14"/>
      <c r="BC3840" s="48"/>
      <c r="BD3840" s="48"/>
      <c r="BE3840" s="48"/>
      <c r="BF3840" s="48"/>
      <c r="BG3840" s="48"/>
      <c r="BH3840" s="48"/>
      <c r="BI3840" s="48"/>
      <c r="BJ3840" s="48"/>
      <c r="BK3840" s="48"/>
      <c r="BL3840" s="48"/>
      <c r="BM3840" s="48"/>
      <c r="BN3840" s="48"/>
      <c r="BO3840" s="48"/>
      <c r="BP3840" s="48"/>
      <c r="BQ3840" s="48"/>
      <c r="BR3840" s="48"/>
      <c r="BS3840" s="48"/>
      <c r="BT3840" s="48"/>
      <c r="BU3840" s="48"/>
      <c r="BV3840" s="48"/>
      <c r="BW3840" s="48"/>
      <c r="BX3840" s="48"/>
      <c r="BY3840" s="48"/>
      <c r="BZ3840" s="48"/>
      <c r="CA3840" s="48"/>
      <c r="CB3840" s="48"/>
      <c r="CC3840" s="48"/>
      <c r="CD3840" s="48"/>
      <c r="CE3840" s="48"/>
      <c r="CF3840" s="48"/>
      <c r="CG3840" s="48"/>
      <c r="CH3840" s="48"/>
      <c r="CI3840" s="48"/>
      <c r="CJ3840" s="48"/>
      <c r="CK3840" s="48"/>
      <c r="CL3840" s="48"/>
      <c r="CM3840" s="48"/>
      <c r="CN3840" s="48"/>
      <c r="CO3840" s="48"/>
      <c r="CP3840" s="48"/>
      <c r="CQ3840" s="48"/>
      <c r="CR3840" s="48"/>
      <c r="CS3840" s="48"/>
      <c r="CT3840" s="48"/>
      <c r="CU3840" s="48"/>
      <c r="CV3840" s="48"/>
      <c r="CW3840" s="48"/>
      <c r="CX3840" s="48"/>
      <c r="CY3840" s="48"/>
      <c r="CZ3840" s="48"/>
    </row>
    <row r="3841" spans="27:104" s="4" customFormat="1" x14ac:dyDescent="0.3">
      <c r="AA3841" s="48"/>
      <c r="AB3841" s="48"/>
      <c r="AC3841" s="48"/>
      <c r="AD3841" s="48"/>
      <c r="AE3841" s="48"/>
      <c r="AF3841" s="48"/>
      <c r="AG3841" s="48"/>
      <c r="AH3841" s="48"/>
      <c r="AI3841" s="48"/>
      <c r="AJ3841" s="48"/>
      <c r="AK3841" s="48"/>
      <c r="AL3841" s="48"/>
      <c r="AM3841" s="48"/>
      <c r="AN3841" s="48"/>
      <c r="AO3841" s="48"/>
      <c r="AP3841" s="48"/>
      <c r="AQ3841" s="48"/>
      <c r="AR3841" s="48"/>
      <c r="AS3841" s="48"/>
      <c r="AT3841" s="48"/>
      <c r="AU3841" s="48"/>
      <c r="AV3841" s="48"/>
      <c r="AW3841" s="48"/>
      <c r="AX3841" s="48"/>
      <c r="AY3841" s="48"/>
      <c r="AZ3841" s="48"/>
      <c r="BA3841" s="48"/>
      <c r="BB3841" s="14"/>
      <c r="BC3841" s="48"/>
      <c r="BD3841" s="48"/>
      <c r="BE3841" s="48"/>
      <c r="BF3841" s="48"/>
      <c r="BG3841" s="48"/>
      <c r="BH3841" s="48"/>
      <c r="BI3841" s="48"/>
      <c r="BJ3841" s="48"/>
      <c r="BK3841" s="48"/>
      <c r="BL3841" s="48"/>
      <c r="BM3841" s="48"/>
      <c r="BN3841" s="48"/>
      <c r="BO3841" s="48"/>
      <c r="BP3841" s="48"/>
      <c r="BQ3841" s="48"/>
      <c r="BR3841" s="48"/>
      <c r="BS3841" s="48"/>
      <c r="BT3841" s="48"/>
      <c r="BU3841" s="48"/>
      <c r="BV3841" s="48"/>
      <c r="BW3841" s="48"/>
      <c r="BX3841" s="48"/>
      <c r="BY3841" s="48"/>
      <c r="BZ3841" s="48"/>
      <c r="CA3841" s="48"/>
      <c r="CB3841" s="48"/>
      <c r="CC3841" s="48"/>
      <c r="CD3841" s="48"/>
      <c r="CE3841" s="48"/>
      <c r="CF3841" s="48"/>
      <c r="CG3841" s="48"/>
      <c r="CH3841" s="48"/>
      <c r="CI3841" s="48"/>
      <c r="CJ3841" s="48"/>
      <c r="CK3841" s="48"/>
      <c r="CL3841" s="48"/>
      <c r="CM3841" s="48"/>
      <c r="CN3841" s="48"/>
      <c r="CO3841" s="48"/>
      <c r="CP3841" s="48"/>
      <c r="CQ3841" s="48"/>
      <c r="CR3841" s="48"/>
      <c r="CS3841" s="48"/>
      <c r="CT3841" s="48"/>
      <c r="CU3841" s="48"/>
      <c r="CV3841" s="48"/>
      <c r="CW3841" s="48"/>
      <c r="CX3841" s="48"/>
      <c r="CY3841" s="48"/>
      <c r="CZ3841" s="48"/>
    </row>
    <row r="3842" spans="27:104" s="4" customFormat="1" x14ac:dyDescent="0.3">
      <c r="AA3842" s="48"/>
      <c r="AB3842" s="48"/>
      <c r="AC3842" s="48"/>
      <c r="AD3842" s="48"/>
      <c r="AE3842" s="48"/>
      <c r="AF3842" s="48"/>
      <c r="AG3842" s="48"/>
      <c r="AH3842" s="48"/>
      <c r="AI3842" s="48"/>
      <c r="AJ3842" s="48"/>
      <c r="AK3842" s="48"/>
      <c r="AL3842" s="48"/>
      <c r="AM3842" s="48"/>
      <c r="AN3842" s="48"/>
      <c r="AO3842" s="48"/>
      <c r="AP3842" s="48"/>
      <c r="AQ3842" s="48"/>
      <c r="AR3842" s="48"/>
      <c r="AS3842" s="48"/>
      <c r="AT3842" s="48"/>
      <c r="AU3842" s="48"/>
      <c r="AV3842" s="48"/>
      <c r="AW3842" s="48"/>
      <c r="AX3842" s="48"/>
      <c r="AY3842" s="48"/>
      <c r="AZ3842" s="48"/>
      <c r="BA3842" s="48"/>
      <c r="BB3842" s="14"/>
      <c r="BC3842" s="48"/>
      <c r="BD3842" s="48"/>
      <c r="BE3842" s="48"/>
      <c r="BF3842" s="48"/>
      <c r="BG3842" s="48"/>
      <c r="BH3842" s="48"/>
      <c r="BI3842" s="48"/>
      <c r="BJ3842" s="48"/>
      <c r="BK3842" s="48"/>
      <c r="BL3842" s="48"/>
      <c r="BM3842" s="48"/>
      <c r="BN3842" s="48"/>
      <c r="BO3842" s="48"/>
      <c r="BP3842" s="48"/>
      <c r="BQ3842" s="48"/>
      <c r="BR3842" s="48"/>
      <c r="BS3842" s="48"/>
      <c r="BT3842" s="48"/>
      <c r="BU3842" s="48"/>
      <c r="BV3842" s="48"/>
      <c r="BW3842" s="48"/>
      <c r="BX3842" s="48"/>
      <c r="BY3842" s="48"/>
      <c r="BZ3842" s="48"/>
      <c r="CA3842" s="48"/>
      <c r="CB3842" s="48"/>
      <c r="CC3842" s="48"/>
      <c r="CD3842" s="48"/>
      <c r="CE3842" s="48"/>
      <c r="CF3842" s="48"/>
      <c r="CG3842" s="48"/>
      <c r="CH3842" s="48"/>
      <c r="CI3842" s="48"/>
      <c r="CJ3842" s="48"/>
      <c r="CK3842" s="48"/>
      <c r="CL3842" s="48"/>
      <c r="CM3842" s="48"/>
      <c r="CN3842" s="48"/>
      <c r="CO3842" s="48"/>
      <c r="CP3842" s="48"/>
      <c r="CQ3842" s="48"/>
      <c r="CR3842" s="48"/>
      <c r="CS3842" s="48"/>
      <c r="CT3842" s="48"/>
      <c r="CU3842" s="48"/>
      <c r="CV3842" s="48"/>
      <c r="CW3842" s="48"/>
      <c r="CX3842" s="48"/>
      <c r="CY3842" s="48"/>
      <c r="CZ3842" s="48"/>
    </row>
    <row r="3843" spans="27:104" s="4" customFormat="1" x14ac:dyDescent="0.3">
      <c r="AA3843" s="48"/>
      <c r="AB3843" s="48"/>
      <c r="AC3843" s="48"/>
      <c r="AD3843" s="48"/>
      <c r="AE3843" s="48"/>
      <c r="AF3843" s="48"/>
      <c r="AG3843" s="48"/>
      <c r="AH3843" s="48"/>
      <c r="AI3843" s="48"/>
      <c r="AJ3843" s="48"/>
      <c r="AK3843" s="48"/>
      <c r="AL3843" s="48"/>
      <c r="AM3843" s="48"/>
      <c r="AN3843" s="48"/>
      <c r="AO3843" s="48"/>
      <c r="AP3843" s="48"/>
      <c r="AQ3843" s="48"/>
      <c r="AR3843" s="48"/>
      <c r="AS3843" s="48"/>
      <c r="AT3843" s="48"/>
      <c r="AU3843" s="48"/>
      <c r="AV3843" s="48"/>
      <c r="AW3843" s="48"/>
      <c r="AX3843" s="48"/>
      <c r="AY3843" s="48"/>
      <c r="AZ3843" s="48"/>
      <c r="BA3843" s="48"/>
      <c r="BB3843" s="14"/>
      <c r="BC3843" s="48"/>
      <c r="BD3843" s="48"/>
      <c r="BE3843" s="48"/>
      <c r="BF3843" s="48"/>
      <c r="BG3843" s="48"/>
      <c r="BH3843" s="48"/>
      <c r="BI3843" s="48"/>
      <c r="BJ3843" s="48"/>
      <c r="BK3843" s="48"/>
      <c r="BL3843" s="48"/>
      <c r="BM3843" s="48"/>
      <c r="BN3843" s="48"/>
      <c r="BO3843" s="48"/>
      <c r="BP3843" s="48"/>
      <c r="BQ3843" s="48"/>
      <c r="BR3843" s="48"/>
      <c r="BS3843" s="48"/>
      <c r="BT3843" s="48"/>
      <c r="BU3843" s="48"/>
      <c r="BV3843" s="48"/>
      <c r="BW3843" s="48"/>
      <c r="BX3843" s="48"/>
      <c r="BY3843" s="48"/>
      <c r="BZ3843" s="48"/>
      <c r="CA3843" s="48"/>
      <c r="CB3843" s="48"/>
      <c r="CC3843" s="48"/>
      <c r="CD3843" s="48"/>
      <c r="CE3843" s="48"/>
      <c r="CF3843" s="48"/>
      <c r="CG3843" s="48"/>
      <c r="CH3843" s="48"/>
      <c r="CI3843" s="48"/>
      <c r="CJ3843" s="48"/>
      <c r="CK3843" s="48"/>
      <c r="CL3843" s="48"/>
      <c r="CM3843" s="48"/>
      <c r="CN3843" s="48"/>
      <c r="CO3843" s="48"/>
      <c r="CP3843" s="48"/>
      <c r="CQ3843" s="48"/>
      <c r="CR3843" s="48"/>
      <c r="CS3843" s="48"/>
      <c r="CT3843" s="48"/>
      <c r="CU3843" s="48"/>
      <c r="CV3843" s="48"/>
      <c r="CW3843" s="48"/>
      <c r="CX3843" s="48"/>
      <c r="CY3843" s="48"/>
      <c r="CZ3843" s="48"/>
    </row>
    <row r="3844" spans="27:104" s="4" customFormat="1" x14ac:dyDescent="0.3">
      <c r="AA3844" s="48"/>
      <c r="AB3844" s="48"/>
      <c r="AC3844" s="48"/>
      <c r="AD3844" s="48"/>
      <c r="AE3844" s="48"/>
      <c r="AF3844" s="48"/>
      <c r="AG3844" s="48"/>
      <c r="AH3844" s="48"/>
      <c r="AI3844" s="48"/>
      <c r="AJ3844" s="48"/>
      <c r="AK3844" s="48"/>
      <c r="AL3844" s="48"/>
      <c r="AM3844" s="48"/>
      <c r="AN3844" s="48"/>
      <c r="AO3844" s="48"/>
      <c r="AP3844" s="48"/>
      <c r="AQ3844" s="48"/>
      <c r="AR3844" s="48"/>
      <c r="AS3844" s="48"/>
      <c r="AT3844" s="48"/>
      <c r="AU3844" s="48"/>
      <c r="AV3844" s="48"/>
      <c r="AW3844" s="48"/>
      <c r="AX3844" s="48"/>
      <c r="AY3844" s="48"/>
      <c r="AZ3844" s="48"/>
      <c r="BA3844" s="48"/>
      <c r="BB3844" s="14"/>
      <c r="BC3844" s="48"/>
      <c r="BD3844" s="48"/>
      <c r="BE3844" s="48"/>
      <c r="BF3844" s="48"/>
      <c r="BG3844" s="48"/>
      <c r="BH3844" s="48"/>
      <c r="BI3844" s="48"/>
      <c r="BJ3844" s="48"/>
      <c r="BK3844" s="48"/>
      <c r="BL3844" s="48"/>
      <c r="BM3844" s="48"/>
      <c r="BN3844" s="48"/>
      <c r="BO3844" s="48"/>
      <c r="BP3844" s="48"/>
      <c r="BQ3844" s="48"/>
      <c r="BR3844" s="48"/>
      <c r="BS3844" s="48"/>
      <c r="BT3844" s="48"/>
      <c r="BU3844" s="48"/>
      <c r="BV3844" s="48"/>
      <c r="BW3844" s="48"/>
      <c r="BX3844" s="48"/>
      <c r="BY3844" s="48"/>
      <c r="BZ3844" s="48"/>
      <c r="CA3844" s="48"/>
      <c r="CB3844" s="48"/>
      <c r="CC3844" s="48"/>
      <c r="CD3844" s="48"/>
      <c r="CE3844" s="48"/>
      <c r="CF3844" s="48"/>
      <c r="CG3844" s="48"/>
      <c r="CH3844" s="48"/>
      <c r="CI3844" s="48"/>
      <c r="CJ3844" s="48"/>
      <c r="CK3844" s="48"/>
      <c r="CL3844" s="48"/>
      <c r="CM3844" s="48"/>
      <c r="CN3844" s="48"/>
      <c r="CO3844" s="48"/>
      <c r="CP3844" s="48"/>
      <c r="CQ3844" s="48"/>
      <c r="CR3844" s="48"/>
      <c r="CS3844" s="48"/>
      <c r="CT3844" s="48"/>
      <c r="CU3844" s="48"/>
      <c r="CV3844" s="48"/>
      <c r="CW3844" s="48"/>
      <c r="CX3844" s="48"/>
      <c r="CY3844" s="48"/>
      <c r="CZ3844" s="48"/>
    </row>
    <row r="3845" spans="27:104" s="4" customFormat="1" x14ac:dyDescent="0.3">
      <c r="AA3845" s="48"/>
      <c r="AB3845" s="48"/>
      <c r="AC3845" s="48"/>
      <c r="AD3845" s="48"/>
      <c r="AE3845" s="48"/>
      <c r="AF3845" s="48"/>
      <c r="AG3845" s="48"/>
      <c r="AH3845" s="48"/>
      <c r="AI3845" s="48"/>
      <c r="AJ3845" s="48"/>
      <c r="AK3845" s="48"/>
      <c r="AL3845" s="48"/>
      <c r="AM3845" s="48"/>
      <c r="AN3845" s="48"/>
      <c r="AO3845" s="48"/>
      <c r="AP3845" s="48"/>
      <c r="AQ3845" s="48"/>
      <c r="AR3845" s="48"/>
      <c r="AS3845" s="48"/>
      <c r="AT3845" s="48"/>
      <c r="AU3845" s="48"/>
      <c r="AV3845" s="48"/>
      <c r="AW3845" s="48"/>
      <c r="AX3845" s="48"/>
      <c r="AY3845" s="48"/>
      <c r="AZ3845" s="48"/>
      <c r="BA3845" s="48"/>
      <c r="BB3845" s="14"/>
      <c r="BC3845" s="48"/>
      <c r="BD3845" s="48"/>
      <c r="BE3845" s="48"/>
      <c r="BF3845" s="48"/>
      <c r="BG3845" s="48"/>
      <c r="BH3845" s="48"/>
      <c r="BI3845" s="48"/>
      <c r="BJ3845" s="48"/>
      <c r="BK3845" s="48"/>
      <c r="BL3845" s="48"/>
      <c r="BM3845" s="48"/>
      <c r="BN3845" s="48"/>
      <c r="BO3845" s="48"/>
      <c r="BP3845" s="48"/>
      <c r="BQ3845" s="48"/>
      <c r="BR3845" s="48"/>
      <c r="BS3845" s="48"/>
      <c r="BT3845" s="48"/>
      <c r="BU3845" s="48"/>
      <c r="BV3845" s="48"/>
      <c r="BW3845" s="48"/>
      <c r="BX3845" s="48"/>
      <c r="BY3845" s="48"/>
      <c r="BZ3845" s="48"/>
      <c r="CA3845" s="48"/>
      <c r="CB3845" s="48"/>
      <c r="CC3845" s="48"/>
      <c r="CD3845" s="48"/>
      <c r="CE3845" s="48"/>
      <c r="CF3845" s="48"/>
      <c r="CG3845" s="48"/>
      <c r="CH3845" s="48"/>
      <c r="CI3845" s="48"/>
      <c r="CJ3845" s="48"/>
      <c r="CK3845" s="48"/>
      <c r="CL3845" s="48"/>
      <c r="CM3845" s="48"/>
      <c r="CN3845" s="48"/>
      <c r="CO3845" s="48"/>
      <c r="CP3845" s="48"/>
      <c r="CQ3845" s="48"/>
      <c r="CR3845" s="48"/>
      <c r="CS3845" s="48"/>
      <c r="CT3845" s="48"/>
      <c r="CU3845" s="48"/>
      <c r="CV3845" s="48"/>
      <c r="CW3845" s="48"/>
      <c r="CX3845" s="48"/>
      <c r="CY3845" s="48"/>
      <c r="CZ3845" s="48"/>
    </row>
    <row r="3846" spans="27:104" s="4" customFormat="1" x14ac:dyDescent="0.3">
      <c r="AA3846" s="48"/>
      <c r="AB3846" s="48"/>
      <c r="AC3846" s="48"/>
      <c r="AD3846" s="48"/>
      <c r="AE3846" s="48"/>
      <c r="AF3846" s="48"/>
      <c r="AG3846" s="48"/>
      <c r="AH3846" s="48"/>
      <c r="AI3846" s="48"/>
      <c r="AJ3846" s="48"/>
      <c r="AK3846" s="48"/>
      <c r="AL3846" s="48"/>
      <c r="AM3846" s="48"/>
      <c r="AN3846" s="48"/>
      <c r="AO3846" s="48"/>
      <c r="AP3846" s="48"/>
      <c r="AQ3846" s="48"/>
      <c r="AR3846" s="48"/>
      <c r="AS3846" s="48"/>
      <c r="AT3846" s="48"/>
      <c r="AU3846" s="48"/>
      <c r="AV3846" s="48"/>
      <c r="AW3846" s="48"/>
      <c r="AX3846" s="48"/>
      <c r="AY3846" s="48"/>
      <c r="AZ3846" s="48"/>
      <c r="BA3846" s="48"/>
      <c r="BB3846" s="14"/>
      <c r="BC3846" s="48"/>
      <c r="BD3846" s="48"/>
      <c r="BE3846" s="48"/>
      <c r="BF3846" s="48"/>
      <c r="BG3846" s="48"/>
      <c r="BH3846" s="48"/>
      <c r="BI3846" s="48"/>
      <c r="BJ3846" s="48"/>
      <c r="BK3846" s="48"/>
      <c r="BL3846" s="48"/>
      <c r="BM3846" s="48"/>
      <c r="BN3846" s="48"/>
      <c r="BO3846" s="48"/>
      <c r="BP3846" s="48"/>
      <c r="BQ3846" s="48"/>
      <c r="BR3846" s="48"/>
      <c r="BS3846" s="48"/>
      <c r="BT3846" s="48"/>
      <c r="BU3846" s="48"/>
      <c r="BV3846" s="48"/>
      <c r="BW3846" s="48"/>
      <c r="BX3846" s="48"/>
      <c r="BY3846" s="48"/>
      <c r="BZ3846" s="48"/>
      <c r="CA3846" s="48"/>
      <c r="CB3846" s="48"/>
      <c r="CC3846" s="48"/>
      <c r="CD3846" s="48"/>
      <c r="CE3846" s="48"/>
      <c r="CF3846" s="48"/>
      <c r="CG3846" s="48"/>
      <c r="CH3846" s="48"/>
      <c r="CI3846" s="48"/>
      <c r="CJ3846" s="48"/>
      <c r="CK3846" s="48"/>
      <c r="CL3846" s="48"/>
      <c r="CM3846" s="48"/>
      <c r="CN3846" s="48"/>
      <c r="CO3846" s="48"/>
      <c r="CP3846" s="48"/>
      <c r="CQ3846" s="48"/>
      <c r="CR3846" s="48"/>
      <c r="CS3846" s="48"/>
      <c r="CT3846" s="48"/>
      <c r="CU3846" s="48"/>
      <c r="CV3846" s="48"/>
      <c r="CW3846" s="48"/>
      <c r="CX3846" s="48"/>
      <c r="CY3846" s="48"/>
      <c r="CZ3846" s="48"/>
    </row>
    <row r="3847" spans="27:104" s="4" customFormat="1" x14ac:dyDescent="0.3">
      <c r="AA3847" s="48"/>
      <c r="AB3847" s="48"/>
      <c r="AC3847" s="48"/>
      <c r="AD3847" s="48"/>
      <c r="AE3847" s="48"/>
      <c r="AF3847" s="48"/>
      <c r="AG3847" s="48"/>
      <c r="AH3847" s="48"/>
      <c r="AI3847" s="48"/>
      <c r="AJ3847" s="48"/>
      <c r="AK3847" s="48"/>
      <c r="AL3847" s="48"/>
      <c r="AM3847" s="48"/>
      <c r="AN3847" s="48"/>
      <c r="AO3847" s="48"/>
      <c r="AP3847" s="48"/>
      <c r="AQ3847" s="48"/>
      <c r="AR3847" s="48"/>
      <c r="AS3847" s="48"/>
      <c r="AT3847" s="48"/>
      <c r="AU3847" s="48"/>
      <c r="AV3847" s="48"/>
      <c r="AW3847" s="48"/>
      <c r="AX3847" s="48"/>
      <c r="AY3847" s="48"/>
      <c r="AZ3847" s="48"/>
      <c r="BA3847" s="48"/>
      <c r="BB3847" s="14"/>
      <c r="BC3847" s="48"/>
      <c r="BD3847" s="48"/>
      <c r="BE3847" s="48"/>
      <c r="BF3847" s="48"/>
      <c r="BG3847" s="48"/>
      <c r="BH3847" s="48"/>
      <c r="BI3847" s="48"/>
      <c r="BJ3847" s="48"/>
      <c r="BK3847" s="48"/>
      <c r="BL3847" s="48"/>
      <c r="BM3847" s="48"/>
      <c r="BN3847" s="48"/>
      <c r="BO3847" s="48"/>
      <c r="BP3847" s="48"/>
      <c r="BQ3847" s="48"/>
      <c r="BR3847" s="48"/>
      <c r="BS3847" s="48"/>
      <c r="BT3847" s="48"/>
      <c r="BU3847" s="48"/>
      <c r="BV3847" s="48"/>
      <c r="BW3847" s="48"/>
      <c r="BX3847" s="48"/>
      <c r="BY3847" s="48"/>
      <c r="BZ3847" s="48"/>
      <c r="CA3847" s="48"/>
      <c r="CB3847" s="48"/>
      <c r="CC3847" s="48"/>
      <c r="CD3847" s="48"/>
      <c r="CE3847" s="48"/>
      <c r="CF3847" s="48"/>
      <c r="CG3847" s="48"/>
      <c r="CH3847" s="48"/>
      <c r="CI3847" s="48"/>
      <c r="CJ3847" s="48"/>
      <c r="CK3847" s="48"/>
      <c r="CL3847" s="48"/>
      <c r="CM3847" s="48"/>
      <c r="CN3847" s="48"/>
      <c r="CO3847" s="48"/>
      <c r="CP3847" s="48"/>
      <c r="CQ3847" s="48"/>
      <c r="CR3847" s="48"/>
      <c r="CS3847" s="48"/>
      <c r="CT3847" s="48"/>
      <c r="CU3847" s="48"/>
      <c r="CV3847" s="48"/>
      <c r="CW3847" s="48"/>
      <c r="CX3847" s="48"/>
      <c r="CY3847" s="48"/>
      <c r="CZ3847" s="48"/>
    </row>
    <row r="3848" spans="27:104" s="4" customFormat="1" x14ac:dyDescent="0.3">
      <c r="AA3848" s="48"/>
      <c r="AB3848" s="48"/>
      <c r="AC3848" s="48"/>
      <c r="AD3848" s="48"/>
      <c r="AE3848" s="48"/>
      <c r="AF3848" s="48"/>
      <c r="AG3848" s="48"/>
      <c r="AH3848" s="48"/>
      <c r="AI3848" s="48"/>
      <c r="AJ3848" s="48"/>
      <c r="AK3848" s="48"/>
      <c r="AL3848" s="48"/>
      <c r="AM3848" s="48"/>
      <c r="AN3848" s="48"/>
      <c r="AO3848" s="48"/>
      <c r="AP3848" s="48"/>
      <c r="AQ3848" s="48"/>
      <c r="AR3848" s="48"/>
      <c r="AS3848" s="48"/>
      <c r="AT3848" s="48"/>
      <c r="AU3848" s="48"/>
      <c r="AV3848" s="48"/>
      <c r="AW3848" s="48"/>
      <c r="AX3848" s="48"/>
      <c r="AY3848" s="48"/>
      <c r="AZ3848" s="48"/>
      <c r="BA3848" s="48"/>
      <c r="BB3848" s="14"/>
      <c r="BC3848" s="48"/>
      <c r="BD3848" s="48"/>
      <c r="BE3848" s="48"/>
      <c r="BF3848" s="48"/>
      <c r="BG3848" s="48"/>
      <c r="BH3848" s="48"/>
      <c r="BI3848" s="48"/>
      <c r="BJ3848" s="48"/>
      <c r="BK3848" s="48"/>
      <c r="BL3848" s="48"/>
      <c r="BM3848" s="48"/>
      <c r="BN3848" s="48"/>
      <c r="BO3848" s="48"/>
      <c r="BP3848" s="48"/>
      <c r="BQ3848" s="48"/>
      <c r="BR3848" s="48"/>
      <c r="BS3848" s="48"/>
      <c r="BT3848" s="48"/>
      <c r="BU3848" s="48"/>
      <c r="BV3848" s="48"/>
      <c r="BW3848" s="48"/>
      <c r="BX3848" s="48"/>
      <c r="BY3848" s="48"/>
      <c r="BZ3848" s="48"/>
      <c r="CA3848" s="48"/>
      <c r="CB3848" s="48"/>
      <c r="CC3848" s="48"/>
      <c r="CD3848" s="48"/>
      <c r="CE3848" s="48"/>
      <c r="CF3848" s="48"/>
      <c r="CG3848" s="48"/>
      <c r="CH3848" s="48"/>
      <c r="CI3848" s="48"/>
      <c r="CJ3848" s="48"/>
      <c r="CK3848" s="48"/>
      <c r="CL3848" s="48"/>
      <c r="CM3848" s="48"/>
      <c r="CN3848" s="48"/>
      <c r="CO3848" s="48"/>
      <c r="CP3848" s="48"/>
      <c r="CQ3848" s="48"/>
      <c r="CR3848" s="48"/>
      <c r="CS3848" s="48"/>
      <c r="CT3848" s="48"/>
      <c r="CU3848" s="48"/>
      <c r="CV3848" s="48"/>
      <c r="CW3848" s="48"/>
      <c r="CX3848" s="48"/>
      <c r="CY3848" s="48"/>
      <c r="CZ3848" s="48"/>
    </row>
    <row r="3849" spans="27:104" s="4" customFormat="1" x14ac:dyDescent="0.3">
      <c r="AA3849" s="48"/>
      <c r="AB3849" s="48"/>
      <c r="AC3849" s="48"/>
      <c r="AD3849" s="48"/>
      <c r="AE3849" s="48"/>
      <c r="AF3849" s="48"/>
      <c r="AG3849" s="48"/>
      <c r="AH3849" s="48"/>
      <c r="AI3849" s="48"/>
      <c r="AJ3849" s="48"/>
      <c r="AK3849" s="48"/>
      <c r="AL3849" s="48"/>
      <c r="AM3849" s="48"/>
      <c r="AN3849" s="48"/>
      <c r="AO3849" s="48"/>
      <c r="AP3849" s="48"/>
      <c r="AQ3849" s="48"/>
      <c r="AR3849" s="48"/>
      <c r="AS3849" s="48"/>
      <c r="AT3849" s="48"/>
      <c r="AU3849" s="48"/>
      <c r="AV3849" s="48"/>
      <c r="AW3849" s="48"/>
      <c r="AX3849" s="48"/>
      <c r="AY3849" s="48"/>
      <c r="AZ3849" s="48"/>
      <c r="BA3849" s="48"/>
      <c r="BB3849" s="14"/>
      <c r="BC3849" s="48"/>
      <c r="BD3849" s="48"/>
      <c r="BE3849" s="48"/>
      <c r="BF3849" s="48"/>
      <c r="BG3849" s="48"/>
      <c r="BH3849" s="48"/>
      <c r="BI3849" s="48"/>
      <c r="BJ3849" s="48"/>
      <c r="BK3849" s="48"/>
      <c r="BL3849" s="48"/>
      <c r="BM3849" s="48"/>
      <c r="BN3849" s="48"/>
      <c r="BO3849" s="48"/>
      <c r="BP3849" s="48"/>
      <c r="BQ3849" s="48"/>
      <c r="BR3849" s="48"/>
      <c r="BS3849" s="48"/>
      <c r="BT3849" s="48"/>
      <c r="BU3849" s="48"/>
      <c r="BV3849" s="48"/>
      <c r="BW3849" s="48"/>
      <c r="BX3849" s="48"/>
      <c r="BY3849" s="48"/>
      <c r="BZ3849" s="48"/>
      <c r="CA3849" s="48"/>
      <c r="CB3849" s="48"/>
      <c r="CC3849" s="48"/>
      <c r="CD3849" s="48"/>
      <c r="CE3849" s="48"/>
      <c r="CF3849" s="48"/>
      <c r="CG3849" s="48"/>
      <c r="CH3849" s="48"/>
      <c r="CI3849" s="48"/>
      <c r="CJ3849" s="48"/>
      <c r="CK3849" s="48"/>
      <c r="CL3849" s="48"/>
      <c r="CM3849" s="48"/>
      <c r="CN3849" s="48"/>
      <c r="CO3849" s="48"/>
      <c r="CP3849" s="48"/>
      <c r="CQ3849" s="48"/>
      <c r="CR3849" s="48"/>
      <c r="CS3849" s="48"/>
      <c r="CT3849" s="48"/>
      <c r="CU3849" s="48"/>
      <c r="CV3849" s="48"/>
      <c r="CW3849" s="48"/>
      <c r="CX3849" s="48"/>
      <c r="CY3849" s="48"/>
      <c r="CZ3849" s="48"/>
    </row>
    <row r="3850" spans="27:104" s="4" customFormat="1" x14ac:dyDescent="0.3">
      <c r="AA3850" s="48"/>
      <c r="AB3850" s="48"/>
      <c r="AC3850" s="48"/>
      <c r="AD3850" s="48"/>
      <c r="AE3850" s="48"/>
      <c r="AF3850" s="48"/>
      <c r="AG3850" s="48"/>
      <c r="AH3850" s="48"/>
      <c r="AI3850" s="48"/>
      <c r="AJ3850" s="48"/>
      <c r="AK3850" s="48"/>
      <c r="AL3850" s="48"/>
      <c r="AM3850" s="48"/>
      <c r="AN3850" s="48"/>
      <c r="AO3850" s="48"/>
      <c r="AP3850" s="48"/>
      <c r="AQ3850" s="48"/>
      <c r="AR3850" s="48"/>
      <c r="AS3850" s="48"/>
      <c r="AT3850" s="48"/>
      <c r="AU3850" s="48"/>
      <c r="AV3850" s="48"/>
      <c r="AW3850" s="48"/>
      <c r="AX3850" s="48"/>
      <c r="AY3850" s="48"/>
      <c r="AZ3850" s="48"/>
      <c r="BA3850" s="48"/>
      <c r="BB3850" s="14"/>
      <c r="BC3850" s="48"/>
      <c r="BD3850" s="48"/>
      <c r="BE3850" s="48"/>
      <c r="BF3850" s="48"/>
      <c r="BG3850" s="48"/>
      <c r="BH3850" s="48"/>
      <c r="BI3850" s="48"/>
      <c r="BJ3850" s="48"/>
      <c r="BK3850" s="48"/>
      <c r="BL3850" s="48"/>
      <c r="BM3850" s="48"/>
      <c r="BN3850" s="48"/>
      <c r="BO3850" s="48"/>
      <c r="BP3850" s="48"/>
      <c r="BQ3850" s="48"/>
      <c r="BR3850" s="48"/>
      <c r="BS3850" s="48"/>
      <c r="BT3850" s="48"/>
      <c r="BU3850" s="48"/>
      <c r="BV3850" s="48"/>
      <c r="BW3850" s="48"/>
      <c r="BX3850" s="48"/>
      <c r="BY3850" s="48"/>
      <c r="BZ3850" s="48"/>
      <c r="CA3850" s="48"/>
      <c r="CB3850" s="48"/>
      <c r="CC3850" s="48"/>
      <c r="CD3850" s="48"/>
      <c r="CE3850" s="48"/>
      <c r="CF3850" s="48"/>
      <c r="CG3850" s="48"/>
      <c r="CH3850" s="48"/>
      <c r="CI3850" s="48"/>
      <c r="CJ3850" s="48"/>
      <c r="CK3850" s="48"/>
      <c r="CL3850" s="48"/>
      <c r="CM3850" s="48"/>
      <c r="CN3850" s="48"/>
      <c r="CO3850" s="48"/>
      <c r="CP3850" s="48"/>
      <c r="CQ3850" s="48"/>
      <c r="CR3850" s="48"/>
      <c r="CS3850" s="48"/>
      <c r="CT3850" s="48"/>
      <c r="CU3850" s="48"/>
      <c r="CV3850" s="48"/>
      <c r="CW3850" s="48"/>
      <c r="CX3850" s="48"/>
      <c r="CY3850" s="48"/>
      <c r="CZ3850" s="48"/>
    </row>
    <row r="3851" spans="27:104" s="4" customFormat="1" x14ac:dyDescent="0.3">
      <c r="AA3851" s="48"/>
      <c r="AB3851" s="48"/>
      <c r="AC3851" s="48"/>
      <c r="AD3851" s="48"/>
      <c r="AE3851" s="48"/>
      <c r="AF3851" s="48"/>
      <c r="AG3851" s="48"/>
      <c r="AH3851" s="48"/>
      <c r="AI3851" s="48"/>
      <c r="AJ3851" s="48"/>
      <c r="AK3851" s="48"/>
      <c r="AL3851" s="48"/>
      <c r="AM3851" s="48"/>
      <c r="AN3851" s="48"/>
      <c r="AO3851" s="48"/>
      <c r="AP3851" s="48"/>
      <c r="AQ3851" s="48"/>
      <c r="AR3851" s="48"/>
      <c r="AS3851" s="48"/>
      <c r="AT3851" s="48"/>
      <c r="AU3851" s="48"/>
      <c r="AV3851" s="48"/>
      <c r="AW3851" s="48"/>
      <c r="AX3851" s="48"/>
      <c r="AY3851" s="48"/>
      <c r="AZ3851" s="48"/>
      <c r="BA3851" s="48"/>
      <c r="BB3851" s="14"/>
      <c r="BC3851" s="48"/>
      <c r="BD3851" s="48"/>
      <c r="BE3851" s="48"/>
      <c r="BF3851" s="48"/>
      <c r="BG3851" s="48"/>
      <c r="BH3851" s="48"/>
      <c r="BI3851" s="48"/>
      <c r="BJ3851" s="48"/>
      <c r="BK3851" s="48"/>
      <c r="BL3851" s="48"/>
      <c r="BM3851" s="48"/>
      <c r="BN3851" s="48"/>
      <c r="BO3851" s="48"/>
      <c r="BP3851" s="48"/>
      <c r="BQ3851" s="48"/>
      <c r="BR3851" s="48"/>
      <c r="BS3851" s="48"/>
      <c r="BT3851" s="48"/>
      <c r="BU3851" s="48"/>
      <c r="BV3851" s="48"/>
      <c r="BW3851" s="48"/>
      <c r="BX3851" s="48"/>
      <c r="BY3851" s="48"/>
      <c r="BZ3851" s="48"/>
      <c r="CA3851" s="48"/>
      <c r="CB3851" s="48"/>
      <c r="CC3851" s="48"/>
      <c r="CD3851" s="48"/>
      <c r="CE3851" s="48"/>
      <c r="CF3851" s="48"/>
      <c r="CG3851" s="48"/>
      <c r="CH3851" s="48"/>
      <c r="CI3851" s="48"/>
      <c r="CJ3851" s="48"/>
      <c r="CK3851" s="48"/>
      <c r="CL3851" s="48"/>
      <c r="CM3851" s="48"/>
      <c r="CN3851" s="48"/>
      <c r="CO3851" s="48"/>
      <c r="CP3851" s="48"/>
      <c r="CQ3851" s="48"/>
      <c r="CR3851" s="48"/>
      <c r="CS3851" s="48"/>
      <c r="CT3851" s="48"/>
      <c r="CU3851" s="48"/>
      <c r="CV3851" s="48"/>
      <c r="CW3851" s="48"/>
      <c r="CX3851" s="48"/>
      <c r="CY3851" s="48"/>
      <c r="CZ3851" s="48"/>
    </row>
    <row r="3852" spans="27:104" s="4" customFormat="1" x14ac:dyDescent="0.3">
      <c r="AA3852" s="48"/>
      <c r="AB3852" s="48"/>
      <c r="AC3852" s="48"/>
      <c r="AD3852" s="48"/>
      <c r="AE3852" s="48"/>
      <c r="AF3852" s="48"/>
      <c r="AG3852" s="48"/>
      <c r="AH3852" s="48"/>
      <c r="AI3852" s="48"/>
      <c r="AJ3852" s="48"/>
      <c r="AK3852" s="48"/>
      <c r="AL3852" s="48"/>
      <c r="AM3852" s="48"/>
      <c r="AN3852" s="48"/>
      <c r="AO3852" s="48"/>
      <c r="AP3852" s="48"/>
      <c r="AQ3852" s="48"/>
      <c r="AR3852" s="48"/>
      <c r="AS3852" s="48"/>
      <c r="AT3852" s="48"/>
      <c r="AU3852" s="48"/>
      <c r="AV3852" s="48"/>
      <c r="AW3852" s="48"/>
      <c r="AX3852" s="48"/>
      <c r="AY3852" s="48"/>
      <c r="AZ3852" s="48"/>
      <c r="BA3852" s="48"/>
      <c r="BB3852" s="14"/>
      <c r="BC3852" s="48"/>
      <c r="BD3852" s="48"/>
      <c r="BE3852" s="48"/>
      <c r="BF3852" s="48"/>
      <c r="BG3852" s="48"/>
      <c r="BH3852" s="48"/>
      <c r="BI3852" s="48"/>
      <c r="BJ3852" s="48"/>
      <c r="BK3852" s="48"/>
      <c r="BL3852" s="48"/>
      <c r="BM3852" s="48"/>
      <c r="BN3852" s="48"/>
      <c r="BO3852" s="48"/>
      <c r="BP3852" s="48"/>
      <c r="BQ3852" s="48"/>
      <c r="BR3852" s="48"/>
      <c r="BS3852" s="48"/>
      <c r="BT3852" s="48"/>
      <c r="BU3852" s="48"/>
      <c r="BV3852" s="48"/>
      <c r="BW3852" s="48"/>
      <c r="BX3852" s="48"/>
      <c r="BY3852" s="48"/>
      <c r="BZ3852" s="48"/>
      <c r="CA3852" s="48"/>
      <c r="CB3852" s="48"/>
      <c r="CC3852" s="48"/>
      <c r="CD3852" s="48"/>
      <c r="CE3852" s="48"/>
      <c r="CF3852" s="48"/>
      <c r="CG3852" s="48"/>
      <c r="CH3852" s="48"/>
      <c r="CI3852" s="48"/>
      <c r="CJ3852" s="48"/>
      <c r="CK3852" s="48"/>
      <c r="CL3852" s="48"/>
      <c r="CM3852" s="48"/>
      <c r="CN3852" s="48"/>
      <c r="CO3852" s="48"/>
      <c r="CP3852" s="48"/>
      <c r="CQ3852" s="48"/>
      <c r="CR3852" s="48"/>
      <c r="CS3852" s="48"/>
      <c r="CT3852" s="48"/>
      <c r="CU3852" s="48"/>
      <c r="CV3852" s="48"/>
      <c r="CW3852" s="48"/>
      <c r="CX3852" s="48"/>
      <c r="CY3852" s="48"/>
      <c r="CZ3852" s="48"/>
    </row>
    <row r="3853" spans="27:104" s="4" customFormat="1" x14ac:dyDescent="0.3">
      <c r="AA3853" s="48"/>
      <c r="AB3853" s="48"/>
      <c r="AC3853" s="48"/>
      <c r="AD3853" s="48"/>
      <c r="AE3853" s="48"/>
      <c r="AF3853" s="48"/>
      <c r="AG3853" s="48"/>
      <c r="AH3853" s="48"/>
      <c r="AI3853" s="48"/>
      <c r="AJ3853" s="48"/>
      <c r="AK3853" s="48"/>
      <c r="AL3853" s="48"/>
      <c r="AM3853" s="48"/>
      <c r="AN3853" s="48"/>
      <c r="AO3853" s="48"/>
      <c r="AP3853" s="48"/>
      <c r="AQ3853" s="48"/>
      <c r="AR3853" s="48"/>
      <c r="AS3853" s="48"/>
      <c r="AT3853" s="48"/>
      <c r="AU3853" s="48"/>
      <c r="AV3853" s="48"/>
      <c r="AW3853" s="48"/>
      <c r="AX3853" s="48"/>
      <c r="AY3853" s="48"/>
      <c r="AZ3853" s="48"/>
      <c r="BA3853" s="48"/>
      <c r="BB3853" s="14"/>
      <c r="BC3853" s="48"/>
      <c r="BD3853" s="48"/>
      <c r="BE3853" s="48"/>
      <c r="BF3853" s="48"/>
      <c r="BG3853" s="48"/>
      <c r="BH3853" s="48"/>
      <c r="BI3853" s="48"/>
      <c r="BJ3853" s="48"/>
      <c r="BK3853" s="48"/>
      <c r="BL3853" s="48"/>
      <c r="BM3853" s="48"/>
      <c r="BN3853" s="48"/>
      <c r="BO3853" s="48"/>
      <c r="BP3853" s="48"/>
      <c r="BQ3853" s="48"/>
      <c r="BR3853" s="48"/>
      <c r="BS3853" s="48"/>
      <c r="BT3853" s="48"/>
      <c r="BU3853" s="48"/>
      <c r="BV3853" s="48"/>
      <c r="BW3853" s="48"/>
      <c r="BX3853" s="48"/>
      <c r="BY3853" s="48"/>
      <c r="BZ3853" s="48"/>
      <c r="CA3853" s="48"/>
      <c r="CB3853" s="48"/>
      <c r="CC3853" s="48"/>
      <c r="CD3853" s="48"/>
      <c r="CE3853" s="48"/>
      <c r="CF3853" s="48"/>
      <c r="CG3853" s="48"/>
      <c r="CH3853" s="48"/>
      <c r="CI3853" s="48"/>
      <c r="CJ3853" s="48"/>
      <c r="CK3853" s="48"/>
      <c r="CL3853" s="48"/>
      <c r="CM3853" s="48"/>
      <c r="CN3853" s="48"/>
      <c r="CO3853" s="48"/>
      <c r="CP3853" s="48"/>
      <c r="CQ3853" s="48"/>
      <c r="CR3853" s="48"/>
      <c r="CS3853" s="48"/>
      <c r="CT3853" s="48"/>
      <c r="CU3853" s="48"/>
      <c r="CV3853" s="48"/>
      <c r="CW3853" s="48"/>
      <c r="CX3853" s="48"/>
      <c r="CY3853" s="48"/>
      <c r="CZ3853" s="48"/>
    </row>
    <row r="3854" spans="27:104" s="4" customFormat="1" x14ac:dyDescent="0.3">
      <c r="AA3854" s="48"/>
      <c r="AB3854" s="48"/>
      <c r="AC3854" s="48"/>
      <c r="AD3854" s="48"/>
      <c r="AE3854" s="48"/>
      <c r="AF3854" s="48"/>
      <c r="AG3854" s="48"/>
      <c r="AH3854" s="48"/>
      <c r="AI3854" s="48"/>
      <c r="AJ3854" s="48"/>
      <c r="AK3854" s="48"/>
      <c r="AL3854" s="48"/>
      <c r="AM3854" s="48"/>
      <c r="AN3854" s="48"/>
      <c r="AO3854" s="48"/>
      <c r="AP3854" s="48"/>
      <c r="AQ3854" s="48"/>
      <c r="AR3854" s="48"/>
      <c r="AS3854" s="48"/>
      <c r="AT3854" s="48"/>
      <c r="AU3854" s="48"/>
      <c r="AV3854" s="48"/>
      <c r="AW3854" s="48"/>
      <c r="AX3854" s="48"/>
      <c r="AY3854" s="48"/>
      <c r="AZ3854" s="48"/>
      <c r="BA3854" s="48"/>
      <c r="BB3854" s="14"/>
      <c r="BC3854" s="48"/>
      <c r="BD3854" s="48"/>
      <c r="BE3854" s="48"/>
      <c r="BF3854" s="48"/>
      <c r="BG3854" s="48"/>
      <c r="BH3854" s="48"/>
      <c r="BI3854" s="48"/>
      <c r="BJ3854" s="48"/>
      <c r="BK3854" s="48"/>
      <c r="BL3854" s="48"/>
      <c r="BM3854" s="48"/>
      <c r="BN3854" s="48"/>
      <c r="BO3854" s="48"/>
      <c r="BP3854" s="48"/>
      <c r="BQ3854" s="48"/>
      <c r="BR3854" s="48"/>
      <c r="BS3854" s="48"/>
      <c r="BT3854" s="48"/>
      <c r="BU3854" s="48"/>
      <c r="BV3854" s="48"/>
      <c r="BW3854" s="48"/>
      <c r="BX3854" s="48"/>
      <c r="BY3854" s="48"/>
      <c r="BZ3854" s="48"/>
      <c r="CA3854" s="48"/>
      <c r="CB3854" s="48"/>
      <c r="CC3854" s="48"/>
      <c r="CD3854" s="48"/>
      <c r="CE3854" s="48"/>
      <c r="CF3854" s="48"/>
      <c r="CG3854" s="48"/>
      <c r="CH3854" s="48"/>
      <c r="CI3854" s="48"/>
      <c r="CJ3854" s="48"/>
      <c r="CK3854" s="48"/>
      <c r="CL3854" s="48"/>
      <c r="CM3854" s="48"/>
      <c r="CN3854" s="48"/>
      <c r="CO3854" s="48"/>
      <c r="CP3854" s="48"/>
      <c r="CQ3854" s="48"/>
      <c r="CR3854" s="48"/>
      <c r="CS3854" s="48"/>
      <c r="CT3854" s="48"/>
      <c r="CU3854" s="48"/>
      <c r="CV3854" s="48"/>
      <c r="CW3854" s="48"/>
      <c r="CX3854" s="48"/>
      <c r="CY3854" s="48"/>
      <c r="CZ3854" s="48"/>
    </row>
    <row r="3855" spans="27:104" s="4" customFormat="1" x14ac:dyDescent="0.3">
      <c r="AA3855" s="48"/>
      <c r="AB3855" s="48"/>
      <c r="AC3855" s="48"/>
      <c r="AD3855" s="48"/>
      <c r="AE3855" s="48"/>
      <c r="AF3855" s="48"/>
      <c r="AG3855" s="48"/>
      <c r="AH3855" s="48"/>
      <c r="AI3855" s="48"/>
      <c r="AJ3855" s="48"/>
      <c r="AK3855" s="48"/>
      <c r="AL3855" s="48"/>
      <c r="AM3855" s="48"/>
      <c r="AN3855" s="48"/>
      <c r="AO3855" s="48"/>
      <c r="AP3855" s="48"/>
      <c r="AQ3855" s="48"/>
      <c r="AR3855" s="48"/>
      <c r="AS3855" s="48"/>
      <c r="AT3855" s="48"/>
      <c r="AU3855" s="48"/>
      <c r="AV3855" s="48"/>
      <c r="AW3855" s="48"/>
      <c r="AX3855" s="48"/>
      <c r="AY3855" s="48"/>
      <c r="AZ3855" s="48"/>
      <c r="BA3855" s="48"/>
      <c r="BB3855" s="14"/>
      <c r="BC3855" s="48"/>
      <c r="BD3855" s="48"/>
      <c r="BE3855" s="48"/>
      <c r="BF3855" s="48"/>
      <c r="BG3855" s="48"/>
      <c r="BH3855" s="48"/>
      <c r="BI3855" s="48"/>
      <c r="BJ3855" s="48"/>
      <c r="BK3855" s="48"/>
      <c r="BL3855" s="48"/>
      <c r="BM3855" s="48"/>
      <c r="BN3855" s="48"/>
      <c r="BO3855" s="48"/>
      <c r="BP3855" s="48"/>
      <c r="BQ3855" s="48"/>
      <c r="BR3855" s="48"/>
      <c r="BS3855" s="48"/>
      <c r="BT3855" s="48"/>
      <c r="BU3855" s="48"/>
      <c r="BV3855" s="48"/>
      <c r="BW3855" s="48"/>
      <c r="BX3855" s="48"/>
      <c r="BY3855" s="48"/>
      <c r="BZ3855" s="48"/>
      <c r="CA3855" s="48"/>
      <c r="CB3855" s="48"/>
      <c r="CC3855" s="48"/>
      <c r="CD3855" s="48"/>
      <c r="CE3855" s="48"/>
      <c r="CF3855" s="48"/>
      <c r="CG3855" s="48"/>
      <c r="CH3855" s="48"/>
      <c r="CI3855" s="48"/>
      <c r="CJ3855" s="48"/>
      <c r="CK3855" s="48"/>
      <c r="CL3855" s="48"/>
      <c r="CM3855" s="48"/>
      <c r="CN3855" s="48"/>
      <c r="CO3855" s="48"/>
      <c r="CP3855" s="48"/>
      <c r="CQ3855" s="48"/>
      <c r="CR3855" s="48"/>
      <c r="CS3855" s="48"/>
      <c r="CT3855" s="48"/>
      <c r="CU3855" s="48"/>
      <c r="CV3855" s="48"/>
      <c r="CW3855" s="48"/>
      <c r="CX3855" s="48"/>
      <c r="CY3855" s="48"/>
      <c r="CZ3855" s="48"/>
    </row>
    <row r="3856" spans="27:104" s="4" customFormat="1" x14ac:dyDescent="0.3">
      <c r="AA3856" s="48"/>
      <c r="AB3856" s="48"/>
      <c r="AC3856" s="48"/>
      <c r="AD3856" s="48"/>
      <c r="AE3856" s="48"/>
      <c r="AF3856" s="48"/>
      <c r="AG3856" s="48"/>
      <c r="AH3856" s="48"/>
      <c r="AI3856" s="48"/>
      <c r="AJ3856" s="48"/>
      <c r="AK3856" s="48"/>
      <c r="AL3856" s="48"/>
      <c r="AM3856" s="48"/>
      <c r="AN3856" s="48"/>
      <c r="AO3856" s="48"/>
      <c r="AP3856" s="48"/>
      <c r="AQ3856" s="48"/>
      <c r="AR3856" s="48"/>
      <c r="AS3856" s="48"/>
      <c r="AT3856" s="48"/>
      <c r="AU3856" s="48"/>
      <c r="AV3856" s="48"/>
      <c r="AW3856" s="48"/>
      <c r="AX3856" s="48"/>
      <c r="AY3856" s="48"/>
      <c r="AZ3856" s="48"/>
      <c r="BA3856" s="48"/>
      <c r="BB3856" s="14"/>
      <c r="BC3856" s="48"/>
      <c r="BD3856" s="48"/>
      <c r="BE3856" s="48"/>
      <c r="BF3856" s="48"/>
      <c r="BG3856" s="48"/>
      <c r="BH3856" s="48"/>
      <c r="BI3856" s="48"/>
      <c r="BJ3856" s="48"/>
      <c r="BK3856" s="48"/>
      <c r="BL3856" s="48"/>
      <c r="BM3856" s="48"/>
      <c r="BN3856" s="48"/>
      <c r="BO3856" s="48"/>
      <c r="BP3856" s="48"/>
      <c r="BQ3856" s="48"/>
      <c r="BR3856" s="48"/>
      <c r="BS3856" s="48"/>
      <c r="BT3856" s="48"/>
      <c r="BU3856" s="48"/>
      <c r="BV3856" s="48"/>
      <c r="BW3856" s="48"/>
      <c r="BX3856" s="48"/>
      <c r="BY3856" s="48"/>
      <c r="BZ3856" s="48"/>
      <c r="CA3856" s="48"/>
      <c r="CB3856" s="48"/>
      <c r="CC3856" s="48"/>
      <c r="CD3856" s="48"/>
      <c r="CE3856" s="48"/>
      <c r="CF3856" s="48"/>
      <c r="CG3856" s="48"/>
      <c r="CH3856" s="48"/>
      <c r="CI3856" s="48"/>
      <c r="CJ3856" s="48"/>
      <c r="CK3856" s="48"/>
      <c r="CL3856" s="48"/>
      <c r="CM3856" s="48"/>
      <c r="CN3856" s="48"/>
      <c r="CO3856" s="48"/>
      <c r="CP3856" s="48"/>
      <c r="CQ3856" s="48"/>
      <c r="CR3856" s="48"/>
      <c r="CS3856" s="48"/>
      <c r="CT3856" s="48"/>
      <c r="CU3856" s="48"/>
      <c r="CV3856" s="48"/>
      <c r="CW3856" s="48"/>
      <c r="CX3856" s="48"/>
      <c r="CY3856" s="48"/>
      <c r="CZ3856" s="48"/>
    </row>
    <row r="3857" spans="27:104" s="4" customFormat="1" x14ac:dyDescent="0.3">
      <c r="AA3857" s="48"/>
      <c r="AB3857" s="48"/>
      <c r="AC3857" s="48"/>
      <c r="AD3857" s="48"/>
      <c r="AE3857" s="48"/>
      <c r="AF3857" s="48"/>
      <c r="AG3857" s="48"/>
      <c r="AH3857" s="48"/>
      <c r="AI3857" s="48"/>
      <c r="AJ3857" s="48"/>
      <c r="AK3857" s="48"/>
      <c r="AL3857" s="48"/>
      <c r="AM3857" s="48"/>
      <c r="AN3857" s="48"/>
      <c r="AO3857" s="48"/>
      <c r="AP3857" s="48"/>
      <c r="AQ3857" s="48"/>
      <c r="AR3857" s="48"/>
      <c r="AS3857" s="48"/>
      <c r="AT3857" s="48"/>
      <c r="AU3857" s="48"/>
      <c r="AV3857" s="48"/>
      <c r="AW3857" s="48"/>
      <c r="AX3857" s="48"/>
      <c r="AY3857" s="48"/>
      <c r="AZ3857" s="48"/>
      <c r="BA3857" s="48"/>
      <c r="BB3857" s="14"/>
      <c r="BC3857" s="48"/>
      <c r="BD3857" s="48"/>
      <c r="BE3857" s="48"/>
      <c r="BF3857" s="48"/>
      <c r="BG3857" s="48"/>
      <c r="BH3857" s="48"/>
      <c r="BI3857" s="48"/>
      <c r="BJ3857" s="48"/>
      <c r="BK3857" s="48"/>
      <c r="BL3857" s="48"/>
      <c r="BM3857" s="48"/>
      <c r="BN3857" s="48"/>
      <c r="BO3857" s="48"/>
      <c r="BP3857" s="48"/>
      <c r="BQ3857" s="48"/>
      <c r="BR3857" s="48"/>
      <c r="BS3857" s="48"/>
      <c r="BT3857" s="48"/>
      <c r="BU3857" s="48"/>
      <c r="BV3857" s="48"/>
      <c r="BW3857" s="48"/>
      <c r="BX3857" s="48"/>
      <c r="BY3857" s="48"/>
      <c r="BZ3857" s="48"/>
      <c r="CA3857" s="48"/>
      <c r="CB3857" s="48"/>
      <c r="CC3857" s="48"/>
      <c r="CD3857" s="48"/>
      <c r="CE3857" s="48"/>
      <c r="CF3857" s="48"/>
      <c r="CG3857" s="48"/>
      <c r="CH3857" s="48"/>
      <c r="CI3857" s="48"/>
      <c r="CJ3857" s="48"/>
      <c r="CK3857" s="48"/>
      <c r="CL3857" s="48"/>
      <c r="CM3857" s="48"/>
      <c r="CN3857" s="48"/>
      <c r="CO3857" s="48"/>
      <c r="CP3857" s="48"/>
      <c r="CQ3857" s="48"/>
      <c r="CR3857" s="48"/>
      <c r="CS3857" s="48"/>
      <c r="CT3857" s="48"/>
      <c r="CU3857" s="48"/>
      <c r="CV3857" s="48"/>
      <c r="CW3857" s="48"/>
      <c r="CX3857" s="48"/>
      <c r="CY3857" s="48"/>
      <c r="CZ3857" s="48"/>
    </row>
    <row r="3858" spans="27:104" s="4" customFormat="1" x14ac:dyDescent="0.3">
      <c r="AA3858" s="48"/>
      <c r="AB3858" s="48"/>
      <c r="AC3858" s="48"/>
      <c r="AD3858" s="48"/>
      <c r="AE3858" s="48"/>
      <c r="AF3858" s="48"/>
      <c r="AG3858" s="48"/>
      <c r="AH3858" s="48"/>
      <c r="AI3858" s="48"/>
      <c r="AJ3858" s="48"/>
      <c r="AK3858" s="48"/>
      <c r="AL3858" s="48"/>
      <c r="AM3858" s="48"/>
      <c r="AN3858" s="48"/>
      <c r="AO3858" s="48"/>
      <c r="AP3858" s="48"/>
      <c r="AQ3858" s="48"/>
      <c r="AR3858" s="48"/>
      <c r="AS3858" s="48"/>
      <c r="AT3858" s="48"/>
      <c r="AU3858" s="48"/>
      <c r="AV3858" s="48"/>
      <c r="AW3858" s="48"/>
      <c r="AX3858" s="48"/>
      <c r="AY3858" s="48"/>
      <c r="AZ3858" s="48"/>
      <c r="BA3858" s="48"/>
      <c r="BB3858" s="14"/>
      <c r="BC3858" s="48"/>
      <c r="BD3858" s="48"/>
      <c r="BE3858" s="48"/>
      <c r="BF3858" s="48"/>
      <c r="BG3858" s="48"/>
      <c r="BH3858" s="48"/>
      <c r="BI3858" s="48"/>
      <c r="BJ3858" s="48"/>
      <c r="BK3858" s="48"/>
      <c r="BL3858" s="48"/>
      <c r="BM3858" s="48"/>
      <c r="BN3858" s="48"/>
      <c r="BO3858" s="48"/>
      <c r="BP3858" s="48"/>
      <c r="BQ3858" s="48"/>
      <c r="BR3858" s="48"/>
      <c r="BS3858" s="48"/>
      <c r="BT3858" s="48"/>
      <c r="BU3858" s="48"/>
      <c r="BV3858" s="48"/>
      <c r="BW3858" s="48"/>
      <c r="BX3858" s="48"/>
      <c r="BY3858" s="48"/>
      <c r="BZ3858" s="48"/>
      <c r="CA3858" s="48"/>
      <c r="CB3858" s="48"/>
      <c r="CC3858" s="48"/>
      <c r="CD3858" s="48"/>
      <c r="CE3858" s="48"/>
      <c r="CF3858" s="48"/>
      <c r="CG3858" s="48"/>
      <c r="CH3858" s="48"/>
      <c r="CI3858" s="48"/>
      <c r="CJ3858" s="48"/>
      <c r="CK3858" s="48"/>
      <c r="CL3858" s="48"/>
      <c r="CM3858" s="48"/>
      <c r="CN3858" s="48"/>
      <c r="CO3858" s="48"/>
      <c r="CP3858" s="48"/>
      <c r="CQ3858" s="48"/>
      <c r="CR3858" s="48"/>
      <c r="CS3858" s="48"/>
      <c r="CT3858" s="48"/>
      <c r="CU3858" s="48"/>
      <c r="CV3858" s="48"/>
      <c r="CW3858" s="48"/>
      <c r="CX3858" s="48"/>
      <c r="CY3858" s="48"/>
      <c r="CZ3858" s="48"/>
    </row>
    <row r="3859" spans="27:104" s="4" customFormat="1" x14ac:dyDescent="0.3">
      <c r="AA3859" s="48"/>
      <c r="AB3859" s="48"/>
      <c r="AC3859" s="48"/>
      <c r="AD3859" s="48"/>
      <c r="AE3859" s="48"/>
      <c r="AF3859" s="48"/>
      <c r="AG3859" s="48"/>
      <c r="AH3859" s="48"/>
      <c r="AI3859" s="48"/>
      <c r="AJ3859" s="48"/>
      <c r="AK3859" s="48"/>
      <c r="AL3859" s="48"/>
      <c r="AM3859" s="48"/>
      <c r="AN3859" s="48"/>
      <c r="AO3859" s="48"/>
      <c r="AP3859" s="48"/>
      <c r="AQ3859" s="48"/>
      <c r="AR3859" s="48"/>
      <c r="AS3859" s="48"/>
      <c r="AT3859" s="48"/>
      <c r="AU3859" s="48"/>
      <c r="AV3859" s="48"/>
      <c r="AW3859" s="48"/>
      <c r="AX3859" s="48"/>
      <c r="AY3859" s="48"/>
      <c r="AZ3859" s="48"/>
      <c r="BA3859" s="48"/>
      <c r="BB3859" s="14"/>
      <c r="BC3859" s="48"/>
      <c r="BD3859" s="48"/>
      <c r="BE3859" s="48"/>
      <c r="BF3859" s="48"/>
      <c r="BG3859" s="48"/>
      <c r="BH3859" s="48"/>
      <c r="BI3859" s="48"/>
      <c r="BJ3859" s="48"/>
      <c r="BK3859" s="48"/>
      <c r="BL3859" s="48"/>
      <c r="BM3859" s="48"/>
      <c r="BN3859" s="48"/>
      <c r="BO3859" s="48"/>
      <c r="BP3859" s="48"/>
      <c r="BQ3859" s="48"/>
      <c r="BR3859" s="48"/>
      <c r="BS3859" s="48"/>
      <c r="BT3859" s="48"/>
      <c r="BU3859" s="48"/>
      <c r="BV3859" s="48"/>
      <c r="BW3859" s="48"/>
      <c r="BX3859" s="48"/>
      <c r="BY3859" s="48"/>
      <c r="BZ3859" s="48"/>
      <c r="CA3859" s="48"/>
      <c r="CB3859" s="48"/>
      <c r="CC3859" s="48"/>
      <c r="CD3859" s="48"/>
      <c r="CE3859" s="48"/>
      <c r="CF3859" s="48"/>
      <c r="CG3859" s="48"/>
      <c r="CH3859" s="48"/>
      <c r="CI3859" s="48"/>
      <c r="CJ3859" s="48"/>
      <c r="CK3859" s="48"/>
      <c r="CL3859" s="48"/>
      <c r="CM3859" s="48"/>
      <c r="CN3859" s="48"/>
      <c r="CO3859" s="48"/>
      <c r="CP3859" s="48"/>
      <c r="CQ3859" s="48"/>
      <c r="CR3859" s="48"/>
      <c r="CS3859" s="48"/>
      <c r="CT3859" s="48"/>
      <c r="CU3859" s="48"/>
      <c r="CV3859" s="48"/>
      <c r="CW3859" s="48"/>
      <c r="CX3859" s="48"/>
      <c r="CY3859" s="48"/>
      <c r="CZ3859" s="48"/>
    </row>
    <row r="3860" spans="27:104" s="4" customFormat="1" x14ac:dyDescent="0.3">
      <c r="AA3860" s="48"/>
      <c r="AB3860" s="48"/>
      <c r="AC3860" s="48"/>
      <c r="AD3860" s="48"/>
      <c r="AE3860" s="48"/>
      <c r="AF3860" s="48"/>
      <c r="AG3860" s="48"/>
      <c r="AH3860" s="48"/>
      <c r="AI3860" s="48"/>
      <c r="AJ3860" s="48"/>
      <c r="AK3860" s="48"/>
      <c r="AL3860" s="48"/>
      <c r="AM3860" s="48"/>
      <c r="AN3860" s="48"/>
      <c r="AO3860" s="48"/>
      <c r="AP3860" s="48"/>
      <c r="AQ3860" s="48"/>
      <c r="AR3860" s="48"/>
      <c r="AS3860" s="48"/>
      <c r="AT3860" s="48"/>
      <c r="AU3860" s="48"/>
      <c r="AV3860" s="48"/>
      <c r="AW3860" s="48"/>
      <c r="AX3860" s="48"/>
      <c r="AY3860" s="48"/>
      <c r="AZ3860" s="48"/>
      <c r="BA3860" s="48"/>
      <c r="BB3860" s="14"/>
      <c r="BC3860" s="48"/>
      <c r="BD3860" s="48"/>
      <c r="BE3860" s="48"/>
      <c r="BF3860" s="48"/>
      <c r="BG3860" s="48"/>
      <c r="BH3860" s="48"/>
      <c r="BI3860" s="48"/>
      <c r="BJ3860" s="48"/>
      <c r="BK3860" s="48"/>
      <c r="BL3860" s="48"/>
      <c r="BM3860" s="48"/>
      <c r="BN3860" s="48"/>
      <c r="BO3860" s="48"/>
      <c r="BP3860" s="48"/>
      <c r="BQ3860" s="48"/>
      <c r="BR3860" s="48"/>
      <c r="BS3860" s="48"/>
      <c r="BT3860" s="48"/>
      <c r="BU3860" s="48"/>
      <c r="BV3860" s="48"/>
      <c r="BW3860" s="48"/>
      <c r="BX3860" s="48"/>
      <c r="BY3860" s="48"/>
      <c r="BZ3860" s="48"/>
      <c r="CA3860" s="48"/>
      <c r="CB3860" s="48"/>
      <c r="CC3860" s="48"/>
      <c r="CD3860" s="48"/>
      <c r="CE3860" s="48"/>
      <c r="CF3860" s="48"/>
      <c r="CG3860" s="48"/>
      <c r="CH3860" s="48"/>
      <c r="CI3860" s="48"/>
      <c r="CJ3860" s="48"/>
      <c r="CK3860" s="48"/>
      <c r="CL3860" s="48"/>
      <c r="CM3860" s="48"/>
      <c r="CN3860" s="48"/>
      <c r="CO3860" s="48"/>
      <c r="CP3860" s="48"/>
      <c r="CQ3860" s="48"/>
      <c r="CR3860" s="48"/>
      <c r="CS3860" s="48"/>
      <c r="CT3860" s="48"/>
      <c r="CU3860" s="48"/>
      <c r="CV3860" s="48"/>
      <c r="CW3860" s="48"/>
      <c r="CX3860" s="48"/>
      <c r="CY3860" s="48"/>
      <c r="CZ3860" s="48"/>
    </row>
    <row r="3861" spans="27:104" s="4" customFormat="1" x14ac:dyDescent="0.3">
      <c r="AA3861" s="48"/>
      <c r="AB3861" s="48"/>
      <c r="AC3861" s="48"/>
      <c r="AD3861" s="48"/>
      <c r="AE3861" s="48"/>
      <c r="AF3861" s="48"/>
      <c r="AG3861" s="48"/>
      <c r="AH3861" s="48"/>
      <c r="AI3861" s="48"/>
      <c r="AJ3861" s="48"/>
      <c r="AK3861" s="48"/>
      <c r="AL3861" s="48"/>
      <c r="AM3861" s="48"/>
      <c r="AN3861" s="48"/>
      <c r="AO3861" s="48"/>
      <c r="AP3861" s="48"/>
      <c r="AQ3861" s="48"/>
      <c r="AR3861" s="48"/>
      <c r="AS3861" s="48"/>
      <c r="AT3861" s="48"/>
      <c r="AU3861" s="48"/>
      <c r="AV3861" s="48"/>
      <c r="AW3861" s="48"/>
      <c r="AX3861" s="48"/>
      <c r="AY3861" s="48"/>
      <c r="AZ3861" s="48"/>
      <c r="BA3861" s="48"/>
      <c r="BB3861" s="14"/>
      <c r="BC3861" s="48"/>
      <c r="BD3861" s="48"/>
      <c r="BE3861" s="48"/>
      <c r="BF3861" s="48"/>
      <c r="BG3861" s="48"/>
      <c r="BH3861" s="48"/>
      <c r="BI3861" s="48"/>
      <c r="BJ3861" s="48"/>
      <c r="BK3861" s="48"/>
      <c r="BL3861" s="48"/>
      <c r="BM3861" s="48"/>
      <c r="BN3861" s="48"/>
      <c r="BO3861" s="48"/>
      <c r="BP3861" s="48"/>
      <c r="BQ3861" s="48"/>
      <c r="BR3861" s="48"/>
      <c r="BS3861" s="48"/>
      <c r="BT3861" s="48"/>
      <c r="BU3861" s="48"/>
      <c r="BV3861" s="48"/>
      <c r="BW3861" s="48"/>
      <c r="BX3861" s="48"/>
      <c r="BY3861" s="48"/>
      <c r="BZ3861" s="48"/>
      <c r="CA3861" s="48"/>
      <c r="CB3861" s="48"/>
      <c r="CC3861" s="48"/>
      <c r="CD3861" s="48"/>
      <c r="CE3861" s="48"/>
      <c r="CF3861" s="48"/>
      <c r="CG3861" s="48"/>
      <c r="CH3861" s="48"/>
      <c r="CI3861" s="48"/>
      <c r="CJ3861" s="48"/>
      <c r="CK3861" s="48"/>
      <c r="CL3861" s="48"/>
      <c r="CM3861" s="48"/>
      <c r="CN3861" s="48"/>
      <c r="CO3861" s="48"/>
      <c r="CP3861" s="48"/>
      <c r="CQ3861" s="48"/>
      <c r="CR3861" s="48"/>
      <c r="CS3861" s="48"/>
      <c r="CT3861" s="48"/>
      <c r="CU3861" s="48"/>
      <c r="CV3861" s="48"/>
      <c r="CW3861" s="48"/>
      <c r="CX3861" s="48"/>
      <c r="CY3861" s="48"/>
      <c r="CZ3861" s="48"/>
    </row>
    <row r="3862" spans="27:104" s="4" customFormat="1" x14ac:dyDescent="0.3">
      <c r="AA3862" s="48"/>
      <c r="AB3862" s="48"/>
      <c r="AC3862" s="48"/>
      <c r="AD3862" s="48"/>
      <c r="AE3862" s="48"/>
      <c r="AF3862" s="48"/>
      <c r="AG3862" s="48"/>
      <c r="AH3862" s="48"/>
      <c r="AI3862" s="48"/>
      <c r="AJ3862" s="48"/>
      <c r="AK3862" s="48"/>
      <c r="AL3862" s="48"/>
      <c r="AM3862" s="48"/>
      <c r="AN3862" s="48"/>
      <c r="AO3862" s="48"/>
      <c r="AP3862" s="48"/>
      <c r="AQ3862" s="48"/>
      <c r="AR3862" s="48"/>
      <c r="AS3862" s="48"/>
      <c r="AT3862" s="48"/>
      <c r="AU3862" s="48"/>
      <c r="AV3862" s="48"/>
      <c r="AW3862" s="48"/>
      <c r="AX3862" s="48"/>
      <c r="AY3862" s="48"/>
      <c r="AZ3862" s="48"/>
      <c r="BA3862" s="48"/>
      <c r="BB3862" s="14"/>
      <c r="BC3862" s="48"/>
      <c r="BD3862" s="48"/>
      <c r="BE3862" s="48"/>
      <c r="BF3862" s="48"/>
      <c r="BG3862" s="48"/>
      <c r="BH3862" s="48"/>
      <c r="BI3862" s="48"/>
      <c r="BJ3862" s="48"/>
      <c r="BK3862" s="48"/>
      <c r="BL3862" s="48"/>
      <c r="BM3862" s="48"/>
      <c r="BN3862" s="48"/>
      <c r="BO3862" s="48"/>
      <c r="BP3862" s="48"/>
      <c r="BQ3862" s="48"/>
      <c r="BR3862" s="48"/>
      <c r="BS3862" s="48"/>
      <c r="BT3862" s="48"/>
      <c r="BU3862" s="48"/>
      <c r="BV3862" s="48"/>
      <c r="BW3862" s="48"/>
      <c r="BX3862" s="48"/>
      <c r="BY3862" s="48"/>
      <c r="BZ3862" s="48"/>
      <c r="CA3862" s="48"/>
      <c r="CB3862" s="48"/>
      <c r="CC3862" s="48"/>
      <c r="CD3862" s="48"/>
      <c r="CE3862" s="48"/>
      <c r="CF3862" s="48"/>
      <c r="CG3862" s="48"/>
      <c r="CH3862" s="48"/>
      <c r="CI3862" s="48"/>
      <c r="CJ3862" s="48"/>
      <c r="CK3862" s="48"/>
      <c r="CL3862" s="48"/>
      <c r="CM3862" s="48"/>
      <c r="CN3862" s="48"/>
      <c r="CO3862" s="48"/>
      <c r="CP3862" s="48"/>
      <c r="CQ3862" s="48"/>
      <c r="CR3862" s="48"/>
      <c r="CS3862" s="48"/>
      <c r="CT3862" s="48"/>
      <c r="CU3862" s="48"/>
      <c r="CV3862" s="48"/>
      <c r="CW3862" s="48"/>
      <c r="CX3862" s="48"/>
      <c r="CY3862" s="48"/>
      <c r="CZ3862" s="48"/>
    </row>
    <row r="3863" spans="27:104" s="4" customFormat="1" x14ac:dyDescent="0.3">
      <c r="AA3863" s="48"/>
      <c r="AB3863" s="48"/>
      <c r="AC3863" s="48"/>
      <c r="AD3863" s="48"/>
      <c r="AE3863" s="48"/>
      <c r="AF3863" s="48"/>
      <c r="AG3863" s="48"/>
      <c r="AH3863" s="48"/>
      <c r="AI3863" s="48"/>
      <c r="AJ3863" s="48"/>
      <c r="AK3863" s="48"/>
      <c r="AL3863" s="48"/>
      <c r="AM3863" s="48"/>
      <c r="AN3863" s="48"/>
      <c r="AO3863" s="48"/>
      <c r="AP3863" s="48"/>
      <c r="AQ3863" s="48"/>
      <c r="AR3863" s="48"/>
      <c r="AS3863" s="48"/>
      <c r="AT3863" s="48"/>
      <c r="AU3863" s="48"/>
      <c r="AV3863" s="48"/>
      <c r="AW3863" s="48"/>
      <c r="AX3863" s="48"/>
      <c r="AY3863" s="48"/>
      <c r="AZ3863" s="48"/>
      <c r="BA3863" s="48"/>
      <c r="BB3863" s="14"/>
      <c r="BC3863" s="48"/>
      <c r="BD3863" s="48"/>
      <c r="BE3863" s="48"/>
      <c r="BF3863" s="48"/>
      <c r="BG3863" s="48"/>
      <c r="BH3863" s="48"/>
      <c r="BI3863" s="48"/>
      <c r="BJ3863" s="48"/>
      <c r="BK3863" s="48"/>
      <c r="BL3863" s="48"/>
      <c r="BM3863" s="48"/>
      <c r="BN3863" s="48"/>
      <c r="BO3863" s="48"/>
      <c r="BP3863" s="48"/>
      <c r="BQ3863" s="48"/>
      <c r="BR3863" s="48"/>
      <c r="BS3863" s="48"/>
      <c r="BT3863" s="48"/>
      <c r="BU3863" s="48"/>
      <c r="BV3863" s="48"/>
      <c r="BW3863" s="48"/>
      <c r="BX3863" s="48"/>
      <c r="BY3863" s="48"/>
      <c r="BZ3863" s="48"/>
      <c r="CA3863" s="48"/>
      <c r="CB3863" s="48"/>
      <c r="CC3863" s="48"/>
      <c r="CD3863" s="48"/>
      <c r="CE3863" s="48"/>
      <c r="CF3863" s="48"/>
      <c r="CG3863" s="48"/>
      <c r="CH3863" s="48"/>
      <c r="CI3863" s="48"/>
      <c r="CJ3863" s="48"/>
      <c r="CK3863" s="48"/>
      <c r="CL3863" s="48"/>
      <c r="CM3863" s="48"/>
      <c r="CN3863" s="48"/>
      <c r="CO3863" s="48"/>
      <c r="CP3863" s="48"/>
      <c r="CQ3863" s="48"/>
      <c r="CR3863" s="48"/>
      <c r="CS3863" s="48"/>
      <c r="CT3863" s="48"/>
      <c r="CU3863" s="48"/>
      <c r="CV3863" s="48"/>
      <c r="CW3863" s="48"/>
      <c r="CX3863" s="48"/>
      <c r="CY3863" s="48"/>
      <c r="CZ3863" s="48"/>
    </row>
    <row r="3864" spans="27:104" s="4" customFormat="1" x14ac:dyDescent="0.3">
      <c r="AA3864" s="48"/>
      <c r="AB3864" s="48"/>
      <c r="AC3864" s="48"/>
      <c r="AD3864" s="48"/>
      <c r="AE3864" s="48"/>
      <c r="AF3864" s="48"/>
      <c r="AG3864" s="48"/>
      <c r="AH3864" s="48"/>
      <c r="AI3864" s="48"/>
      <c r="AJ3864" s="48"/>
      <c r="AK3864" s="48"/>
      <c r="AL3864" s="48"/>
      <c r="AM3864" s="48"/>
      <c r="AN3864" s="48"/>
      <c r="AO3864" s="48"/>
      <c r="AP3864" s="48"/>
      <c r="AQ3864" s="48"/>
      <c r="AR3864" s="48"/>
      <c r="AS3864" s="48"/>
      <c r="AT3864" s="48"/>
      <c r="AU3864" s="48"/>
      <c r="AV3864" s="48"/>
      <c r="AW3864" s="48"/>
      <c r="AX3864" s="48"/>
      <c r="AY3864" s="48"/>
      <c r="AZ3864" s="48"/>
      <c r="BA3864" s="48"/>
      <c r="BB3864" s="14"/>
      <c r="BC3864" s="48"/>
      <c r="BD3864" s="48"/>
      <c r="BE3864" s="48"/>
      <c r="BF3864" s="48"/>
      <c r="BG3864" s="48"/>
      <c r="BH3864" s="48"/>
      <c r="BI3864" s="48"/>
      <c r="BJ3864" s="48"/>
      <c r="BK3864" s="48"/>
      <c r="BL3864" s="48"/>
      <c r="BM3864" s="48"/>
      <c r="BN3864" s="48"/>
      <c r="BO3864" s="48"/>
      <c r="BP3864" s="48"/>
      <c r="BQ3864" s="48"/>
      <c r="BR3864" s="48"/>
      <c r="BS3864" s="48"/>
      <c r="BT3864" s="48"/>
      <c r="BU3864" s="48"/>
      <c r="BV3864" s="48"/>
      <c r="BW3864" s="48"/>
      <c r="BX3864" s="48"/>
      <c r="BY3864" s="48"/>
      <c r="BZ3864" s="48"/>
      <c r="CA3864" s="48"/>
      <c r="CB3864" s="48"/>
      <c r="CC3864" s="48"/>
      <c r="CD3864" s="48"/>
      <c r="CE3864" s="48"/>
      <c r="CF3864" s="48"/>
      <c r="CG3864" s="48"/>
      <c r="CH3864" s="48"/>
      <c r="CI3864" s="48"/>
      <c r="CJ3864" s="48"/>
      <c r="CK3864" s="48"/>
      <c r="CL3864" s="48"/>
      <c r="CM3864" s="48"/>
      <c r="CN3864" s="48"/>
      <c r="CO3864" s="48"/>
      <c r="CP3864" s="48"/>
      <c r="CQ3864" s="48"/>
      <c r="CR3864" s="48"/>
      <c r="CS3864" s="48"/>
      <c r="CT3864" s="48"/>
      <c r="CU3864" s="48"/>
      <c r="CV3864" s="48"/>
      <c r="CW3864" s="48"/>
      <c r="CX3864" s="48"/>
      <c r="CY3864" s="48"/>
      <c r="CZ3864" s="48"/>
    </row>
    <row r="3865" spans="27:104" s="4" customFormat="1" x14ac:dyDescent="0.3">
      <c r="AA3865" s="48"/>
      <c r="AB3865" s="48"/>
      <c r="AC3865" s="48"/>
      <c r="AD3865" s="48"/>
      <c r="AE3865" s="48"/>
      <c r="AF3865" s="48"/>
      <c r="AG3865" s="48"/>
      <c r="AH3865" s="48"/>
      <c r="AI3865" s="48"/>
      <c r="AJ3865" s="48"/>
      <c r="AK3865" s="48"/>
      <c r="AL3865" s="48"/>
      <c r="AM3865" s="48"/>
      <c r="AN3865" s="48"/>
      <c r="AO3865" s="48"/>
      <c r="AP3865" s="48"/>
      <c r="AQ3865" s="48"/>
      <c r="AR3865" s="48"/>
      <c r="AS3865" s="48"/>
      <c r="AT3865" s="48"/>
      <c r="AU3865" s="48"/>
      <c r="AV3865" s="48"/>
      <c r="AW3865" s="48"/>
      <c r="AX3865" s="48"/>
      <c r="AY3865" s="48"/>
      <c r="AZ3865" s="48"/>
      <c r="BA3865" s="48"/>
      <c r="BB3865" s="14"/>
      <c r="BC3865" s="48"/>
      <c r="BD3865" s="48"/>
      <c r="BE3865" s="48"/>
      <c r="BF3865" s="48"/>
      <c r="BG3865" s="48"/>
      <c r="BH3865" s="48"/>
      <c r="BI3865" s="48"/>
      <c r="BJ3865" s="48"/>
      <c r="BK3865" s="48"/>
      <c r="BL3865" s="48"/>
      <c r="BM3865" s="48"/>
      <c r="BN3865" s="48"/>
      <c r="BO3865" s="48"/>
      <c r="BP3865" s="48"/>
      <c r="BQ3865" s="48"/>
      <c r="BR3865" s="48"/>
      <c r="BS3865" s="48"/>
      <c r="BT3865" s="48"/>
      <c r="BU3865" s="48"/>
      <c r="BV3865" s="48"/>
      <c r="BW3865" s="48"/>
      <c r="BX3865" s="48"/>
      <c r="BY3865" s="48"/>
      <c r="BZ3865" s="48"/>
      <c r="CA3865" s="48"/>
      <c r="CB3865" s="48"/>
      <c r="CC3865" s="48"/>
      <c r="CD3865" s="48"/>
      <c r="CE3865" s="48"/>
      <c r="CF3865" s="48"/>
      <c r="CG3865" s="48"/>
      <c r="CH3865" s="48"/>
      <c r="CI3865" s="48"/>
      <c r="CJ3865" s="48"/>
      <c r="CK3865" s="48"/>
      <c r="CL3865" s="48"/>
      <c r="CM3865" s="48"/>
      <c r="CN3865" s="48"/>
      <c r="CO3865" s="48"/>
      <c r="CP3865" s="48"/>
      <c r="CQ3865" s="48"/>
      <c r="CR3865" s="48"/>
      <c r="CS3865" s="48"/>
      <c r="CT3865" s="48"/>
      <c r="CU3865" s="48"/>
      <c r="CV3865" s="48"/>
      <c r="CW3865" s="48"/>
      <c r="CX3865" s="48"/>
      <c r="CY3865" s="48"/>
      <c r="CZ3865" s="48"/>
    </row>
    <row r="3866" spans="27:104" s="4" customFormat="1" x14ac:dyDescent="0.3">
      <c r="AA3866" s="48"/>
      <c r="AB3866" s="48"/>
      <c r="AC3866" s="48"/>
      <c r="AD3866" s="48"/>
      <c r="AE3866" s="48"/>
      <c r="AF3866" s="48"/>
      <c r="AG3866" s="48"/>
      <c r="AH3866" s="48"/>
      <c r="AI3866" s="48"/>
      <c r="AJ3866" s="48"/>
      <c r="AK3866" s="48"/>
      <c r="AL3866" s="48"/>
      <c r="AM3866" s="48"/>
      <c r="AN3866" s="48"/>
      <c r="AO3866" s="48"/>
      <c r="AP3866" s="48"/>
      <c r="AQ3866" s="48"/>
      <c r="AR3866" s="48"/>
      <c r="AS3866" s="48"/>
      <c r="AT3866" s="48"/>
      <c r="AU3866" s="48"/>
      <c r="AV3866" s="48"/>
      <c r="AW3866" s="48"/>
      <c r="AX3866" s="48"/>
      <c r="AY3866" s="48"/>
      <c r="AZ3866" s="48"/>
      <c r="BA3866" s="48"/>
      <c r="BB3866" s="14"/>
      <c r="BC3866" s="48"/>
      <c r="BD3866" s="48"/>
      <c r="BE3866" s="48"/>
      <c r="BF3866" s="48"/>
      <c r="BG3866" s="48"/>
      <c r="BH3866" s="48"/>
      <c r="BI3866" s="48"/>
      <c r="BJ3866" s="48"/>
      <c r="BK3866" s="48"/>
      <c r="BL3866" s="48"/>
      <c r="BM3866" s="48"/>
      <c r="BN3866" s="48"/>
      <c r="BO3866" s="48"/>
      <c r="BP3866" s="48"/>
      <c r="BQ3866" s="48"/>
      <c r="BR3866" s="48"/>
      <c r="BS3866" s="48"/>
      <c r="BT3866" s="48"/>
      <c r="BU3866" s="48"/>
      <c r="BV3866" s="48"/>
      <c r="BW3866" s="48"/>
      <c r="BX3866" s="48"/>
      <c r="BY3866" s="48"/>
      <c r="BZ3866" s="48"/>
      <c r="CA3866" s="48"/>
      <c r="CB3866" s="48"/>
      <c r="CC3866" s="48"/>
      <c r="CD3866" s="48"/>
      <c r="CE3866" s="48"/>
      <c r="CF3866" s="48"/>
      <c r="CG3866" s="48"/>
      <c r="CH3866" s="48"/>
      <c r="CI3866" s="48"/>
      <c r="CJ3866" s="48"/>
      <c r="CK3866" s="48"/>
      <c r="CL3866" s="48"/>
      <c r="CM3866" s="48"/>
      <c r="CN3866" s="48"/>
      <c r="CO3866" s="48"/>
      <c r="CP3866" s="48"/>
      <c r="CQ3866" s="48"/>
      <c r="CR3866" s="48"/>
      <c r="CS3866" s="48"/>
      <c r="CT3866" s="48"/>
      <c r="CU3866" s="48"/>
      <c r="CV3866" s="48"/>
      <c r="CW3866" s="48"/>
      <c r="CX3866" s="48"/>
      <c r="CY3866" s="48"/>
      <c r="CZ3866" s="48"/>
    </row>
    <row r="3867" spans="27:104" s="4" customFormat="1" x14ac:dyDescent="0.3">
      <c r="AA3867" s="48"/>
      <c r="AB3867" s="48"/>
      <c r="AC3867" s="48"/>
      <c r="AD3867" s="48"/>
      <c r="AE3867" s="48"/>
      <c r="AF3867" s="48"/>
      <c r="AG3867" s="48"/>
      <c r="AH3867" s="48"/>
      <c r="AI3867" s="48"/>
      <c r="AJ3867" s="48"/>
      <c r="AK3867" s="48"/>
      <c r="AL3867" s="48"/>
      <c r="AM3867" s="48"/>
      <c r="AN3867" s="48"/>
      <c r="AO3867" s="48"/>
      <c r="AP3867" s="48"/>
      <c r="AQ3867" s="48"/>
      <c r="AR3867" s="48"/>
      <c r="AS3867" s="48"/>
      <c r="AT3867" s="48"/>
      <c r="AU3867" s="48"/>
      <c r="AV3867" s="48"/>
      <c r="AW3867" s="48"/>
      <c r="AX3867" s="48"/>
      <c r="AY3867" s="48"/>
      <c r="AZ3867" s="48"/>
      <c r="BA3867" s="48"/>
      <c r="BB3867" s="14"/>
      <c r="BC3867" s="48"/>
      <c r="BD3867" s="48"/>
      <c r="BE3867" s="48"/>
      <c r="BF3867" s="48"/>
      <c r="BG3867" s="48"/>
      <c r="BH3867" s="48"/>
      <c r="BI3867" s="48"/>
      <c r="BJ3867" s="48"/>
      <c r="BK3867" s="48"/>
      <c r="BL3867" s="48"/>
      <c r="BM3867" s="48"/>
      <c r="BN3867" s="48"/>
      <c r="BO3867" s="48"/>
      <c r="BP3867" s="48"/>
      <c r="BQ3867" s="48"/>
      <c r="BR3867" s="48"/>
      <c r="BS3867" s="48"/>
      <c r="BT3867" s="48"/>
      <c r="BU3867" s="48"/>
      <c r="BV3867" s="48"/>
      <c r="BW3867" s="48"/>
      <c r="BX3867" s="48"/>
      <c r="BY3867" s="48"/>
      <c r="BZ3867" s="48"/>
      <c r="CA3867" s="48"/>
      <c r="CB3867" s="48"/>
      <c r="CC3867" s="48"/>
      <c r="CD3867" s="48"/>
      <c r="CE3867" s="48"/>
      <c r="CF3867" s="48"/>
      <c r="CG3867" s="48"/>
      <c r="CH3867" s="48"/>
      <c r="CI3867" s="48"/>
      <c r="CJ3867" s="48"/>
      <c r="CK3867" s="48"/>
      <c r="CL3867" s="48"/>
      <c r="CM3867" s="48"/>
      <c r="CN3867" s="48"/>
      <c r="CO3867" s="48"/>
      <c r="CP3867" s="48"/>
      <c r="CQ3867" s="48"/>
      <c r="CR3867" s="48"/>
      <c r="CS3867" s="48"/>
      <c r="CT3867" s="48"/>
      <c r="CU3867" s="48"/>
      <c r="CV3867" s="48"/>
      <c r="CW3867" s="48"/>
      <c r="CX3867" s="48"/>
      <c r="CY3867" s="48"/>
      <c r="CZ3867" s="48"/>
    </row>
    <row r="3868" spans="27:104" s="4" customFormat="1" x14ac:dyDescent="0.3">
      <c r="AA3868" s="48"/>
      <c r="AB3868" s="48"/>
      <c r="AC3868" s="48"/>
      <c r="AD3868" s="48"/>
      <c r="AE3868" s="48"/>
      <c r="AF3868" s="48"/>
      <c r="AG3868" s="48"/>
      <c r="AH3868" s="48"/>
      <c r="AI3868" s="48"/>
      <c r="AJ3868" s="48"/>
      <c r="AK3868" s="48"/>
      <c r="AL3868" s="48"/>
      <c r="AM3868" s="48"/>
      <c r="AN3868" s="48"/>
      <c r="AO3868" s="48"/>
      <c r="AP3868" s="48"/>
      <c r="AQ3868" s="48"/>
      <c r="AR3868" s="48"/>
      <c r="AS3868" s="48"/>
      <c r="AT3868" s="48"/>
      <c r="AU3868" s="48"/>
      <c r="AV3868" s="48"/>
      <c r="AW3868" s="48"/>
      <c r="AX3868" s="48"/>
      <c r="AY3868" s="48"/>
      <c r="AZ3868" s="48"/>
      <c r="BA3868" s="48"/>
      <c r="BB3868" s="14"/>
      <c r="BC3868" s="48"/>
      <c r="BD3868" s="48"/>
      <c r="BE3868" s="48"/>
      <c r="BF3868" s="48"/>
      <c r="BG3868" s="48"/>
      <c r="BH3868" s="48"/>
      <c r="BI3868" s="48"/>
      <c r="BJ3868" s="48"/>
      <c r="BK3868" s="48"/>
      <c r="BL3868" s="48"/>
      <c r="BM3868" s="48"/>
      <c r="BN3868" s="48"/>
      <c r="BO3868" s="48"/>
      <c r="BP3868" s="48"/>
      <c r="BQ3868" s="48"/>
      <c r="BR3868" s="48"/>
      <c r="BS3868" s="48"/>
      <c r="BT3868" s="48"/>
      <c r="BU3868" s="48"/>
      <c r="BV3868" s="48"/>
      <c r="BW3868" s="48"/>
      <c r="BX3868" s="48"/>
      <c r="BY3868" s="48"/>
      <c r="BZ3868" s="48"/>
      <c r="CA3868" s="48"/>
      <c r="CB3868" s="48"/>
      <c r="CC3868" s="48"/>
      <c r="CD3868" s="48"/>
      <c r="CE3868" s="48"/>
      <c r="CF3868" s="48"/>
      <c r="CG3868" s="48"/>
      <c r="CH3868" s="48"/>
      <c r="CI3868" s="48"/>
      <c r="CJ3868" s="48"/>
      <c r="CK3868" s="48"/>
      <c r="CL3868" s="48"/>
      <c r="CM3868" s="48"/>
      <c r="CN3868" s="48"/>
      <c r="CO3868" s="48"/>
      <c r="CP3868" s="48"/>
      <c r="CQ3868" s="48"/>
      <c r="CR3868" s="48"/>
      <c r="CS3868" s="48"/>
      <c r="CT3868" s="48"/>
      <c r="CU3868" s="48"/>
      <c r="CV3868" s="48"/>
      <c r="CW3868" s="48"/>
      <c r="CX3868" s="48"/>
      <c r="CY3868" s="48"/>
      <c r="CZ3868" s="48"/>
    </row>
    <row r="3869" spans="27:104" s="4" customFormat="1" x14ac:dyDescent="0.3">
      <c r="AA3869" s="48"/>
      <c r="AB3869" s="48"/>
      <c r="AC3869" s="48"/>
      <c r="AD3869" s="48"/>
      <c r="AE3869" s="48"/>
      <c r="AF3869" s="48"/>
      <c r="AG3869" s="48"/>
      <c r="AH3869" s="48"/>
      <c r="AI3869" s="48"/>
      <c r="AJ3869" s="48"/>
      <c r="AK3869" s="48"/>
      <c r="AL3869" s="48"/>
      <c r="AM3869" s="48"/>
      <c r="AN3869" s="48"/>
      <c r="AO3869" s="48"/>
      <c r="AP3869" s="48"/>
      <c r="AQ3869" s="48"/>
      <c r="AR3869" s="48"/>
      <c r="AS3869" s="48"/>
      <c r="AT3869" s="48"/>
      <c r="AU3869" s="48"/>
      <c r="AV3869" s="48"/>
      <c r="AW3869" s="48"/>
      <c r="AX3869" s="48"/>
      <c r="AY3869" s="48"/>
      <c r="AZ3869" s="48"/>
      <c r="BA3869" s="48"/>
      <c r="BB3869" s="14"/>
      <c r="BC3869" s="48"/>
      <c r="BD3869" s="48"/>
      <c r="BE3869" s="48"/>
      <c r="BF3869" s="48"/>
      <c r="BG3869" s="48"/>
      <c r="BH3869" s="48"/>
      <c r="BI3869" s="48"/>
      <c r="BJ3869" s="48"/>
      <c r="BK3869" s="48"/>
      <c r="BL3869" s="48"/>
      <c r="BM3869" s="48"/>
      <c r="BN3869" s="48"/>
      <c r="BO3869" s="48"/>
      <c r="BP3869" s="48"/>
      <c r="BQ3869" s="48"/>
      <c r="BR3869" s="48"/>
      <c r="BS3869" s="48"/>
      <c r="BT3869" s="48"/>
      <c r="BU3869" s="48"/>
      <c r="BV3869" s="48"/>
      <c r="BW3869" s="48"/>
      <c r="BX3869" s="48"/>
      <c r="BY3869" s="48"/>
      <c r="BZ3869" s="48"/>
      <c r="CA3869" s="48"/>
      <c r="CB3869" s="48"/>
      <c r="CC3869" s="48"/>
      <c r="CD3869" s="48"/>
      <c r="CE3869" s="48"/>
      <c r="CF3869" s="48"/>
      <c r="CG3869" s="48"/>
      <c r="CH3869" s="48"/>
      <c r="CI3869" s="48"/>
      <c r="CJ3869" s="48"/>
      <c r="CK3869" s="48"/>
      <c r="CL3869" s="48"/>
      <c r="CM3869" s="48"/>
      <c r="CN3869" s="48"/>
      <c r="CO3869" s="48"/>
      <c r="CP3869" s="48"/>
      <c r="CQ3869" s="48"/>
      <c r="CR3869" s="48"/>
      <c r="CS3869" s="48"/>
      <c r="CT3869" s="48"/>
      <c r="CU3869" s="48"/>
      <c r="CV3869" s="48"/>
      <c r="CW3869" s="48"/>
      <c r="CX3869" s="48"/>
      <c r="CY3869" s="48"/>
      <c r="CZ3869" s="48"/>
    </row>
    <row r="3870" spans="27:104" s="4" customFormat="1" x14ac:dyDescent="0.3">
      <c r="AA3870" s="48"/>
      <c r="AB3870" s="48"/>
      <c r="AC3870" s="48"/>
      <c r="AD3870" s="48"/>
      <c r="AE3870" s="48"/>
      <c r="AF3870" s="48"/>
      <c r="AG3870" s="48"/>
      <c r="AH3870" s="48"/>
      <c r="AI3870" s="48"/>
      <c r="AJ3870" s="48"/>
      <c r="AK3870" s="48"/>
      <c r="AL3870" s="48"/>
      <c r="AM3870" s="48"/>
      <c r="AN3870" s="48"/>
      <c r="AO3870" s="48"/>
      <c r="AP3870" s="48"/>
      <c r="AQ3870" s="48"/>
      <c r="AR3870" s="48"/>
      <c r="AS3870" s="48"/>
      <c r="AT3870" s="48"/>
      <c r="AU3870" s="48"/>
      <c r="AV3870" s="48"/>
      <c r="AW3870" s="48"/>
      <c r="AX3870" s="48"/>
      <c r="AY3870" s="48"/>
      <c r="AZ3870" s="48"/>
      <c r="BA3870" s="48"/>
      <c r="BB3870" s="14"/>
      <c r="BC3870" s="48"/>
      <c r="BD3870" s="48"/>
      <c r="BE3870" s="48"/>
      <c r="BF3870" s="48"/>
      <c r="BG3870" s="48"/>
      <c r="BH3870" s="48"/>
      <c r="BI3870" s="48"/>
      <c r="BJ3870" s="48"/>
      <c r="BK3870" s="48"/>
      <c r="BL3870" s="48"/>
      <c r="BM3870" s="48"/>
      <c r="BN3870" s="48"/>
      <c r="BO3870" s="48"/>
      <c r="BP3870" s="48"/>
      <c r="BQ3870" s="48"/>
      <c r="BR3870" s="48"/>
      <c r="BS3870" s="48"/>
      <c r="BT3870" s="48"/>
      <c r="BU3870" s="48"/>
      <c r="BV3870" s="48"/>
      <c r="BW3870" s="48"/>
      <c r="BX3870" s="48"/>
      <c r="BY3870" s="48"/>
      <c r="BZ3870" s="48"/>
      <c r="CA3870" s="48"/>
      <c r="CB3870" s="48"/>
      <c r="CC3870" s="48"/>
      <c r="CD3870" s="48"/>
      <c r="CE3870" s="48"/>
      <c r="CF3870" s="48"/>
      <c r="CG3870" s="48"/>
      <c r="CH3870" s="48"/>
      <c r="CI3870" s="48"/>
      <c r="CJ3870" s="48"/>
      <c r="CK3870" s="48"/>
      <c r="CL3870" s="48"/>
      <c r="CM3870" s="48"/>
      <c r="CN3870" s="48"/>
      <c r="CO3870" s="48"/>
      <c r="CP3870" s="48"/>
      <c r="CQ3870" s="48"/>
      <c r="CR3870" s="48"/>
      <c r="CS3870" s="48"/>
      <c r="CT3870" s="48"/>
      <c r="CU3870" s="48"/>
      <c r="CV3870" s="48"/>
      <c r="CW3870" s="48"/>
      <c r="CX3870" s="48"/>
      <c r="CY3870" s="48"/>
      <c r="CZ3870" s="48"/>
    </row>
    <row r="3871" spans="27:104" s="4" customFormat="1" x14ac:dyDescent="0.3">
      <c r="AA3871" s="48"/>
      <c r="AB3871" s="48"/>
      <c r="AC3871" s="48"/>
      <c r="AD3871" s="48"/>
      <c r="AE3871" s="48"/>
      <c r="AF3871" s="48"/>
      <c r="AG3871" s="48"/>
      <c r="AH3871" s="48"/>
      <c r="AI3871" s="48"/>
      <c r="AJ3871" s="48"/>
      <c r="AK3871" s="48"/>
      <c r="AL3871" s="48"/>
      <c r="AM3871" s="48"/>
      <c r="AN3871" s="48"/>
      <c r="AO3871" s="48"/>
      <c r="AP3871" s="48"/>
      <c r="AQ3871" s="48"/>
      <c r="AR3871" s="48"/>
      <c r="AS3871" s="48"/>
      <c r="AT3871" s="48"/>
      <c r="AU3871" s="48"/>
      <c r="AV3871" s="48"/>
      <c r="AW3871" s="48"/>
      <c r="AX3871" s="48"/>
      <c r="AY3871" s="48"/>
      <c r="AZ3871" s="48"/>
      <c r="BA3871" s="48"/>
      <c r="BB3871" s="14"/>
      <c r="BC3871" s="48"/>
      <c r="BD3871" s="48"/>
      <c r="BE3871" s="48"/>
      <c r="BF3871" s="48"/>
      <c r="BG3871" s="48"/>
      <c r="BH3871" s="48"/>
      <c r="BI3871" s="48"/>
      <c r="BJ3871" s="48"/>
      <c r="BK3871" s="48"/>
      <c r="BL3871" s="48"/>
      <c r="BM3871" s="48"/>
      <c r="BN3871" s="48"/>
      <c r="BO3871" s="48"/>
      <c r="BP3871" s="48"/>
      <c r="BQ3871" s="48"/>
      <c r="BR3871" s="48"/>
      <c r="BS3871" s="48"/>
      <c r="BT3871" s="48"/>
      <c r="BU3871" s="48"/>
      <c r="BV3871" s="48"/>
      <c r="BW3871" s="48"/>
      <c r="BX3871" s="48"/>
      <c r="BY3871" s="48"/>
      <c r="BZ3871" s="48"/>
      <c r="CA3871" s="48"/>
      <c r="CB3871" s="48"/>
      <c r="CC3871" s="48"/>
      <c r="CD3871" s="48"/>
      <c r="CE3871" s="48"/>
      <c r="CF3871" s="48"/>
      <c r="CG3871" s="48"/>
      <c r="CH3871" s="48"/>
      <c r="CI3871" s="48"/>
      <c r="CJ3871" s="48"/>
      <c r="CK3871" s="48"/>
      <c r="CL3871" s="48"/>
      <c r="CM3871" s="48"/>
      <c r="CN3871" s="48"/>
      <c r="CO3871" s="48"/>
      <c r="CP3871" s="48"/>
      <c r="CQ3871" s="48"/>
      <c r="CR3871" s="48"/>
      <c r="CS3871" s="48"/>
      <c r="CT3871" s="48"/>
      <c r="CU3871" s="48"/>
      <c r="CV3871" s="48"/>
      <c r="CW3871" s="48"/>
      <c r="CX3871" s="48"/>
      <c r="CY3871" s="48"/>
      <c r="CZ3871" s="48"/>
    </row>
    <row r="3872" spans="27:104" s="4" customFormat="1" x14ac:dyDescent="0.3">
      <c r="AA3872" s="48"/>
      <c r="AB3872" s="48"/>
      <c r="AC3872" s="48"/>
      <c r="AD3872" s="48"/>
      <c r="AE3872" s="48"/>
      <c r="AF3872" s="48"/>
      <c r="AG3872" s="48"/>
      <c r="AH3872" s="48"/>
      <c r="AI3872" s="48"/>
      <c r="AJ3872" s="48"/>
      <c r="AK3872" s="48"/>
      <c r="AL3872" s="48"/>
      <c r="AM3872" s="48"/>
      <c r="AN3872" s="48"/>
      <c r="AO3872" s="48"/>
      <c r="AP3872" s="48"/>
      <c r="AQ3872" s="48"/>
      <c r="AR3872" s="48"/>
      <c r="AS3872" s="48"/>
      <c r="AT3872" s="48"/>
      <c r="AU3872" s="48"/>
      <c r="AV3872" s="48"/>
      <c r="AW3872" s="48"/>
      <c r="AX3872" s="48"/>
      <c r="AY3872" s="48"/>
      <c r="AZ3872" s="48"/>
      <c r="BA3872" s="48"/>
      <c r="BB3872" s="14"/>
      <c r="BC3872" s="48"/>
      <c r="BD3872" s="48"/>
      <c r="BE3872" s="48"/>
      <c r="BF3872" s="48"/>
      <c r="BG3872" s="48"/>
      <c r="BH3872" s="48"/>
      <c r="BI3872" s="48"/>
      <c r="BJ3872" s="48"/>
      <c r="BK3872" s="48"/>
      <c r="BL3872" s="48"/>
      <c r="BM3872" s="48"/>
      <c r="BN3872" s="48"/>
      <c r="BO3872" s="48"/>
      <c r="BP3872" s="48"/>
      <c r="BQ3872" s="48"/>
      <c r="BR3872" s="48"/>
      <c r="BS3872" s="48"/>
      <c r="BT3872" s="48"/>
      <c r="BU3872" s="48"/>
      <c r="BV3872" s="48"/>
      <c r="BW3872" s="48"/>
      <c r="BX3872" s="48"/>
      <c r="BY3872" s="48"/>
      <c r="BZ3872" s="48"/>
      <c r="CA3872" s="48"/>
      <c r="CB3872" s="48"/>
      <c r="CC3872" s="48"/>
      <c r="CD3872" s="48"/>
      <c r="CE3872" s="48"/>
      <c r="CF3872" s="48"/>
      <c r="CG3872" s="48"/>
      <c r="CH3872" s="48"/>
      <c r="CI3872" s="48"/>
      <c r="CJ3872" s="48"/>
      <c r="CK3872" s="48"/>
      <c r="CL3872" s="48"/>
      <c r="CM3872" s="48"/>
      <c r="CN3872" s="48"/>
      <c r="CO3872" s="48"/>
      <c r="CP3872" s="48"/>
      <c r="CQ3872" s="48"/>
      <c r="CR3872" s="48"/>
      <c r="CS3872" s="48"/>
      <c r="CT3872" s="48"/>
      <c r="CU3872" s="48"/>
      <c r="CV3872" s="48"/>
      <c r="CW3872" s="48"/>
      <c r="CX3872" s="48"/>
      <c r="CY3872" s="48"/>
      <c r="CZ3872" s="48"/>
    </row>
    <row r="3873" spans="27:104" s="4" customFormat="1" x14ac:dyDescent="0.3">
      <c r="AA3873" s="48"/>
      <c r="AB3873" s="48"/>
      <c r="AC3873" s="48"/>
      <c r="AD3873" s="48"/>
      <c r="AE3873" s="48"/>
      <c r="AF3873" s="48"/>
      <c r="AG3873" s="48"/>
      <c r="AH3873" s="48"/>
      <c r="AI3873" s="48"/>
      <c r="AJ3873" s="48"/>
      <c r="AK3873" s="48"/>
      <c r="AL3873" s="48"/>
      <c r="AM3873" s="48"/>
      <c r="AN3873" s="48"/>
      <c r="AO3873" s="48"/>
      <c r="AP3873" s="48"/>
      <c r="AQ3873" s="48"/>
      <c r="AR3873" s="48"/>
      <c r="AS3873" s="48"/>
      <c r="AT3873" s="48"/>
      <c r="AU3873" s="48"/>
      <c r="AV3873" s="48"/>
      <c r="AW3873" s="48"/>
      <c r="AX3873" s="48"/>
      <c r="AY3873" s="48"/>
      <c r="AZ3873" s="48"/>
      <c r="BA3873" s="48"/>
      <c r="BB3873" s="14"/>
      <c r="BC3873" s="48"/>
      <c r="BD3873" s="48"/>
      <c r="BE3873" s="48"/>
      <c r="BF3873" s="48"/>
      <c r="BG3873" s="48"/>
      <c r="BH3873" s="48"/>
      <c r="BI3873" s="48"/>
      <c r="BJ3873" s="48"/>
      <c r="BK3873" s="48"/>
      <c r="BL3873" s="48"/>
      <c r="BM3873" s="48"/>
      <c r="BN3873" s="48"/>
      <c r="BO3873" s="48"/>
      <c r="BP3873" s="48"/>
      <c r="BQ3873" s="48"/>
      <c r="BR3873" s="48"/>
      <c r="BS3873" s="48"/>
      <c r="BT3873" s="48"/>
      <c r="BU3873" s="48"/>
      <c r="BV3873" s="48"/>
      <c r="BW3873" s="48"/>
      <c r="BX3873" s="48"/>
      <c r="BY3873" s="48"/>
      <c r="BZ3873" s="48"/>
      <c r="CA3873" s="48"/>
      <c r="CB3873" s="48"/>
      <c r="CC3873" s="48"/>
      <c r="CD3873" s="48"/>
      <c r="CE3873" s="48"/>
      <c r="CF3873" s="48"/>
      <c r="CG3873" s="48"/>
      <c r="CH3873" s="48"/>
      <c r="CI3873" s="48"/>
      <c r="CJ3873" s="48"/>
      <c r="CK3873" s="48"/>
      <c r="CL3873" s="48"/>
      <c r="CM3873" s="48"/>
      <c r="CN3873" s="48"/>
      <c r="CO3873" s="48"/>
      <c r="CP3873" s="48"/>
      <c r="CQ3873" s="48"/>
      <c r="CR3873" s="48"/>
      <c r="CS3873" s="48"/>
      <c r="CT3873" s="48"/>
      <c r="CU3873" s="48"/>
      <c r="CV3873" s="48"/>
      <c r="CW3873" s="48"/>
      <c r="CX3873" s="48"/>
      <c r="CY3873" s="48"/>
      <c r="CZ3873" s="48"/>
    </row>
    <row r="3874" spans="27:104" s="4" customFormat="1" x14ac:dyDescent="0.3">
      <c r="AA3874" s="48"/>
      <c r="AB3874" s="48"/>
      <c r="AC3874" s="48"/>
      <c r="AD3874" s="48"/>
      <c r="AE3874" s="48"/>
      <c r="AF3874" s="48"/>
      <c r="AG3874" s="48"/>
      <c r="AH3874" s="48"/>
      <c r="AI3874" s="48"/>
      <c r="AJ3874" s="48"/>
      <c r="AK3874" s="48"/>
      <c r="AL3874" s="48"/>
      <c r="AM3874" s="48"/>
      <c r="AN3874" s="48"/>
      <c r="AO3874" s="48"/>
      <c r="AP3874" s="48"/>
      <c r="AQ3874" s="48"/>
      <c r="AR3874" s="48"/>
      <c r="AS3874" s="48"/>
      <c r="AT3874" s="48"/>
      <c r="AU3874" s="48"/>
      <c r="AV3874" s="48"/>
      <c r="AW3874" s="48"/>
      <c r="AX3874" s="48"/>
      <c r="AY3874" s="48"/>
      <c r="AZ3874" s="48"/>
      <c r="BA3874" s="48"/>
      <c r="BB3874" s="14"/>
      <c r="BC3874" s="48"/>
      <c r="BD3874" s="48"/>
      <c r="BE3874" s="48"/>
      <c r="BF3874" s="48"/>
      <c r="BG3874" s="48"/>
      <c r="BH3874" s="48"/>
      <c r="BI3874" s="48"/>
      <c r="BJ3874" s="48"/>
      <c r="BK3874" s="48"/>
      <c r="BL3874" s="48"/>
      <c r="BM3874" s="48"/>
      <c r="BN3874" s="48"/>
      <c r="BO3874" s="48"/>
      <c r="BP3874" s="48"/>
      <c r="BQ3874" s="48"/>
      <c r="BR3874" s="48"/>
      <c r="BS3874" s="48"/>
      <c r="BT3874" s="48"/>
      <c r="BU3874" s="48"/>
      <c r="BV3874" s="48"/>
      <c r="BW3874" s="48"/>
      <c r="BX3874" s="48"/>
      <c r="BY3874" s="48"/>
      <c r="BZ3874" s="48"/>
      <c r="CA3874" s="48"/>
      <c r="CB3874" s="48"/>
      <c r="CC3874" s="48"/>
      <c r="CD3874" s="48"/>
      <c r="CE3874" s="48"/>
      <c r="CF3874" s="48"/>
      <c r="CG3874" s="48"/>
      <c r="CH3874" s="48"/>
      <c r="CI3874" s="48"/>
      <c r="CJ3874" s="48"/>
      <c r="CK3874" s="48"/>
      <c r="CL3874" s="48"/>
      <c r="CM3874" s="48"/>
      <c r="CN3874" s="48"/>
      <c r="CO3874" s="48"/>
      <c r="CP3874" s="48"/>
      <c r="CQ3874" s="48"/>
      <c r="CR3874" s="48"/>
      <c r="CS3874" s="48"/>
      <c r="CT3874" s="48"/>
      <c r="CU3874" s="48"/>
      <c r="CV3874" s="48"/>
      <c r="CW3874" s="48"/>
      <c r="CX3874" s="48"/>
      <c r="CY3874" s="48"/>
      <c r="CZ3874" s="48"/>
    </row>
    <row r="3875" spans="27:104" s="4" customFormat="1" x14ac:dyDescent="0.3">
      <c r="AA3875" s="48"/>
      <c r="AB3875" s="48"/>
      <c r="AC3875" s="48"/>
      <c r="AD3875" s="48"/>
      <c r="AE3875" s="48"/>
      <c r="AF3875" s="48"/>
      <c r="AG3875" s="48"/>
      <c r="AH3875" s="48"/>
      <c r="AI3875" s="48"/>
      <c r="AJ3875" s="48"/>
      <c r="AK3875" s="48"/>
      <c r="AL3875" s="48"/>
      <c r="AM3875" s="48"/>
      <c r="AN3875" s="48"/>
      <c r="AO3875" s="48"/>
      <c r="AP3875" s="48"/>
      <c r="AQ3875" s="48"/>
      <c r="AR3875" s="48"/>
      <c r="AS3875" s="48"/>
      <c r="AT3875" s="48"/>
      <c r="AU3875" s="48"/>
      <c r="AV3875" s="48"/>
      <c r="AW3875" s="48"/>
      <c r="AX3875" s="48"/>
      <c r="AY3875" s="48"/>
      <c r="AZ3875" s="48"/>
      <c r="BA3875" s="48"/>
      <c r="BB3875" s="14"/>
      <c r="BC3875" s="48"/>
      <c r="BD3875" s="48"/>
      <c r="BE3875" s="48"/>
      <c r="BF3875" s="48"/>
      <c r="BG3875" s="48"/>
      <c r="BH3875" s="48"/>
      <c r="BI3875" s="48"/>
      <c r="BJ3875" s="48"/>
      <c r="BK3875" s="48"/>
      <c r="BL3875" s="48"/>
      <c r="BM3875" s="48"/>
      <c r="BN3875" s="48"/>
      <c r="BO3875" s="48"/>
      <c r="BP3875" s="48"/>
      <c r="BQ3875" s="48"/>
      <c r="BR3875" s="48"/>
      <c r="BS3875" s="48"/>
      <c r="BT3875" s="48"/>
      <c r="BU3875" s="48"/>
      <c r="BV3875" s="48"/>
      <c r="BW3875" s="48"/>
      <c r="BX3875" s="48"/>
      <c r="BY3875" s="48"/>
      <c r="BZ3875" s="48"/>
      <c r="CA3875" s="48"/>
      <c r="CB3875" s="48"/>
      <c r="CC3875" s="48"/>
      <c r="CD3875" s="48"/>
      <c r="CE3875" s="48"/>
      <c r="CF3875" s="48"/>
      <c r="CG3875" s="48"/>
      <c r="CH3875" s="48"/>
      <c r="CI3875" s="48"/>
      <c r="CJ3875" s="48"/>
      <c r="CK3875" s="48"/>
      <c r="CL3875" s="48"/>
      <c r="CM3875" s="48"/>
      <c r="CN3875" s="48"/>
      <c r="CO3875" s="48"/>
      <c r="CP3875" s="48"/>
      <c r="CQ3875" s="48"/>
      <c r="CR3875" s="48"/>
      <c r="CS3875" s="48"/>
      <c r="CT3875" s="48"/>
      <c r="CU3875" s="48"/>
      <c r="CV3875" s="48"/>
      <c r="CW3875" s="48"/>
      <c r="CX3875" s="48"/>
      <c r="CY3875" s="48"/>
      <c r="CZ3875" s="48"/>
    </row>
    <row r="3876" spans="27:104" s="4" customFormat="1" x14ac:dyDescent="0.3">
      <c r="AA3876" s="48"/>
      <c r="AB3876" s="48"/>
      <c r="AC3876" s="48"/>
      <c r="AD3876" s="48"/>
      <c r="AE3876" s="48"/>
      <c r="AF3876" s="48"/>
      <c r="AG3876" s="48"/>
      <c r="AH3876" s="48"/>
      <c r="AI3876" s="48"/>
      <c r="AJ3876" s="48"/>
      <c r="AK3876" s="48"/>
      <c r="AL3876" s="48"/>
      <c r="AM3876" s="48"/>
      <c r="AN3876" s="48"/>
      <c r="AO3876" s="48"/>
      <c r="AP3876" s="48"/>
      <c r="AQ3876" s="48"/>
      <c r="AR3876" s="48"/>
      <c r="AS3876" s="48"/>
      <c r="AT3876" s="48"/>
      <c r="AU3876" s="48"/>
      <c r="AV3876" s="48"/>
      <c r="AW3876" s="48"/>
      <c r="AX3876" s="48"/>
      <c r="AY3876" s="48"/>
      <c r="AZ3876" s="48"/>
      <c r="BA3876" s="48"/>
      <c r="BB3876" s="14"/>
      <c r="BC3876" s="48"/>
      <c r="BD3876" s="48"/>
      <c r="BE3876" s="48"/>
      <c r="BF3876" s="48"/>
      <c r="BG3876" s="48"/>
      <c r="BH3876" s="48"/>
      <c r="BI3876" s="48"/>
      <c r="BJ3876" s="48"/>
      <c r="BK3876" s="48"/>
      <c r="BL3876" s="48"/>
      <c r="BM3876" s="48"/>
      <c r="BN3876" s="48"/>
      <c r="BO3876" s="48"/>
      <c r="BP3876" s="48"/>
      <c r="BQ3876" s="48"/>
      <c r="BR3876" s="48"/>
      <c r="BS3876" s="48"/>
      <c r="BT3876" s="48"/>
      <c r="BU3876" s="48"/>
      <c r="BV3876" s="48"/>
      <c r="BW3876" s="48"/>
      <c r="BX3876" s="48"/>
      <c r="BY3876" s="48"/>
      <c r="BZ3876" s="48"/>
      <c r="CA3876" s="48"/>
      <c r="CB3876" s="48"/>
      <c r="CC3876" s="48"/>
      <c r="CD3876" s="48"/>
      <c r="CE3876" s="48"/>
      <c r="CF3876" s="48"/>
      <c r="CG3876" s="48"/>
      <c r="CH3876" s="48"/>
      <c r="CI3876" s="48"/>
      <c r="CJ3876" s="48"/>
      <c r="CK3876" s="48"/>
      <c r="CL3876" s="48"/>
      <c r="CM3876" s="48"/>
      <c r="CN3876" s="48"/>
      <c r="CO3876" s="48"/>
      <c r="CP3876" s="48"/>
      <c r="CQ3876" s="48"/>
      <c r="CR3876" s="48"/>
      <c r="CS3876" s="48"/>
      <c r="CT3876" s="48"/>
      <c r="CU3876" s="48"/>
      <c r="CV3876" s="48"/>
      <c r="CW3876" s="48"/>
      <c r="CX3876" s="48"/>
      <c r="CY3876" s="48"/>
      <c r="CZ3876" s="48"/>
    </row>
    <row r="3877" spans="27:104" s="4" customFormat="1" x14ac:dyDescent="0.3">
      <c r="AA3877" s="48"/>
      <c r="AB3877" s="48"/>
      <c r="AC3877" s="48"/>
      <c r="AD3877" s="48"/>
      <c r="AE3877" s="48"/>
      <c r="AF3877" s="48"/>
      <c r="AG3877" s="48"/>
      <c r="AH3877" s="48"/>
      <c r="AI3877" s="48"/>
      <c r="AJ3877" s="48"/>
      <c r="AK3877" s="48"/>
      <c r="AL3877" s="48"/>
      <c r="AM3877" s="48"/>
      <c r="AN3877" s="48"/>
      <c r="AO3877" s="48"/>
      <c r="AP3877" s="48"/>
      <c r="AQ3877" s="48"/>
      <c r="AR3877" s="48"/>
      <c r="AS3877" s="48"/>
      <c r="AT3877" s="48"/>
      <c r="AU3877" s="48"/>
      <c r="AV3877" s="48"/>
      <c r="AW3877" s="48"/>
      <c r="AX3877" s="48"/>
      <c r="AY3877" s="48"/>
      <c r="AZ3877" s="48"/>
      <c r="BA3877" s="48"/>
      <c r="BB3877" s="14"/>
      <c r="BC3877" s="48"/>
      <c r="BD3877" s="48"/>
      <c r="BE3877" s="48"/>
      <c r="BF3877" s="48"/>
      <c r="BG3877" s="48"/>
      <c r="BH3877" s="48"/>
      <c r="BI3877" s="48"/>
      <c r="BJ3877" s="48"/>
      <c r="BK3877" s="48"/>
      <c r="BL3877" s="48"/>
      <c r="BM3877" s="48"/>
      <c r="BN3877" s="48"/>
      <c r="BO3877" s="48"/>
      <c r="BP3877" s="48"/>
      <c r="BQ3877" s="48"/>
      <c r="BR3877" s="48"/>
      <c r="BS3877" s="48"/>
      <c r="BT3877" s="48"/>
      <c r="BU3877" s="48"/>
      <c r="BV3877" s="48"/>
      <c r="BW3877" s="48"/>
      <c r="BX3877" s="48"/>
      <c r="BY3877" s="48"/>
      <c r="BZ3877" s="48"/>
      <c r="CA3877" s="48"/>
      <c r="CB3877" s="48"/>
      <c r="CC3877" s="48"/>
      <c r="CD3877" s="48"/>
      <c r="CE3877" s="48"/>
      <c r="CF3877" s="48"/>
      <c r="CG3877" s="48"/>
      <c r="CH3877" s="48"/>
      <c r="CI3877" s="48"/>
      <c r="CJ3877" s="48"/>
      <c r="CK3877" s="48"/>
      <c r="CL3877" s="48"/>
      <c r="CM3877" s="48"/>
      <c r="CN3877" s="48"/>
      <c r="CO3877" s="48"/>
      <c r="CP3877" s="48"/>
      <c r="CQ3877" s="48"/>
      <c r="CR3877" s="48"/>
      <c r="CS3877" s="48"/>
      <c r="CT3877" s="48"/>
      <c r="CU3877" s="48"/>
      <c r="CV3877" s="48"/>
      <c r="CW3877" s="48"/>
      <c r="CX3877" s="48"/>
      <c r="CY3877" s="48"/>
      <c r="CZ3877" s="48"/>
    </row>
    <row r="3878" spans="27:104" s="4" customFormat="1" x14ac:dyDescent="0.3">
      <c r="AA3878" s="48"/>
      <c r="AB3878" s="48"/>
      <c r="AC3878" s="48"/>
      <c r="AD3878" s="48"/>
      <c r="AE3878" s="48"/>
      <c r="AF3878" s="48"/>
      <c r="AG3878" s="48"/>
      <c r="AH3878" s="48"/>
      <c r="AI3878" s="48"/>
      <c r="AJ3878" s="48"/>
      <c r="AK3878" s="48"/>
      <c r="AL3878" s="48"/>
      <c r="AM3878" s="48"/>
      <c r="AN3878" s="48"/>
      <c r="AO3878" s="48"/>
      <c r="AP3878" s="48"/>
      <c r="AQ3878" s="48"/>
      <c r="AR3878" s="48"/>
      <c r="AS3878" s="48"/>
      <c r="AT3878" s="48"/>
      <c r="AU3878" s="48"/>
      <c r="AV3878" s="48"/>
      <c r="AW3878" s="48"/>
      <c r="AX3878" s="48"/>
      <c r="AY3878" s="48"/>
      <c r="AZ3878" s="48"/>
      <c r="BA3878" s="48"/>
      <c r="BB3878" s="14"/>
      <c r="BC3878" s="48"/>
      <c r="BD3878" s="48"/>
      <c r="BE3878" s="48"/>
      <c r="BF3878" s="48"/>
      <c r="BG3878" s="48"/>
      <c r="BH3878" s="48"/>
      <c r="BI3878" s="48"/>
      <c r="BJ3878" s="48"/>
      <c r="BK3878" s="48"/>
      <c r="BL3878" s="48"/>
      <c r="BM3878" s="48"/>
      <c r="BN3878" s="48"/>
      <c r="BO3878" s="48"/>
      <c r="BP3878" s="48"/>
      <c r="BQ3878" s="48"/>
      <c r="BR3878" s="48"/>
      <c r="BS3878" s="48"/>
      <c r="BT3878" s="48"/>
      <c r="BU3878" s="48"/>
      <c r="BV3878" s="48"/>
      <c r="BW3878" s="48"/>
      <c r="BX3878" s="48"/>
      <c r="BY3878" s="48"/>
      <c r="BZ3878" s="48"/>
      <c r="CA3878" s="48"/>
      <c r="CB3878" s="48"/>
      <c r="CC3878" s="48"/>
      <c r="CD3878" s="48"/>
      <c r="CE3878" s="48"/>
      <c r="CF3878" s="48"/>
      <c r="CG3878" s="48"/>
      <c r="CH3878" s="48"/>
      <c r="CI3878" s="48"/>
      <c r="CJ3878" s="48"/>
      <c r="CK3878" s="48"/>
      <c r="CL3878" s="48"/>
      <c r="CM3878" s="48"/>
      <c r="CN3878" s="48"/>
      <c r="CO3878" s="48"/>
      <c r="CP3878" s="48"/>
      <c r="CQ3878" s="48"/>
      <c r="CR3878" s="48"/>
      <c r="CS3878" s="48"/>
      <c r="CT3878" s="48"/>
      <c r="CU3878" s="48"/>
      <c r="CV3878" s="48"/>
      <c r="CW3878" s="48"/>
      <c r="CX3878" s="48"/>
      <c r="CY3878" s="48"/>
      <c r="CZ3878" s="48"/>
    </row>
    <row r="3879" spans="27:104" s="4" customFormat="1" x14ac:dyDescent="0.3">
      <c r="AA3879" s="48"/>
      <c r="AB3879" s="48"/>
      <c r="AC3879" s="48"/>
      <c r="AD3879" s="48"/>
      <c r="AE3879" s="48"/>
      <c r="AF3879" s="48"/>
      <c r="AG3879" s="48"/>
      <c r="AH3879" s="48"/>
      <c r="AI3879" s="48"/>
      <c r="AJ3879" s="48"/>
      <c r="AK3879" s="48"/>
      <c r="AL3879" s="48"/>
      <c r="AM3879" s="48"/>
      <c r="AN3879" s="48"/>
      <c r="AO3879" s="48"/>
      <c r="AP3879" s="48"/>
      <c r="AQ3879" s="48"/>
      <c r="AR3879" s="48"/>
      <c r="AS3879" s="48"/>
      <c r="AT3879" s="48"/>
      <c r="AU3879" s="48"/>
      <c r="AV3879" s="48"/>
      <c r="AW3879" s="48"/>
      <c r="AX3879" s="48"/>
      <c r="AY3879" s="48"/>
      <c r="AZ3879" s="48"/>
      <c r="BA3879" s="48"/>
      <c r="BB3879" s="14"/>
      <c r="BC3879" s="48"/>
      <c r="BD3879" s="48"/>
      <c r="BE3879" s="48"/>
      <c r="BF3879" s="48"/>
      <c r="BG3879" s="48"/>
      <c r="BH3879" s="48"/>
      <c r="BI3879" s="48"/>
      <c r="BJ3879" s="48"/>
      <c r="BK3879" s="48"/>
      <c r="BL3879" s="48"/>
      <c r="BM3879" s="48"/>
      <c r="BN3879" s="48"/>
      <c r="BO3879" s="48"/>
      <c r="BP3879" s="48"/>
      <c r="BQ3879" s="48"/>
      <c r="BR3879" s="48"/>
      <c r="BS3879" s="48"/>
      <c r="BT3879" s="48"/>
      <c r="BU3879" s="48"/>
      <c r="BV3879" s="48"/>
      <c r="BW3879" s="48"/>
      <c r="BX3879" s="48"/>
      <c r="BY3879" s="48"/>
      <c r="BZ3879" s="48"/>
      <c r="CA3879" s="48"/>
      <c r="CB3879" s="48"/>
      <c r="CC3879" s="48"/>
      <c r="CD3879" s="48"/>
      <c r="CE3879" s="48"/>
      <c r="CF3879" s="48"/>
      <c r="CG3879" s="48"/>
      <c r="CH3879" s="48"/>
      <c r="CI3879" s="48"/>
      <c r="CJ3879" s="48"/>
      <c r="CK3879" s="48"/>
      <c r="CL3879" s="48"/>
      <c r="CM3879" s="48"/>
      <c r="CN3879" s="48"/>
      <c r="CO3879" s="48"/>
      <c r="CP3879" s="48"/>
      <c r="CQ3879" s="48"/>
      <c r="CR3879" s="48"/>
      <c r="CS3879" s="48"/>
      <c r="CT3879" s="48"/>
      <c r="CU3879" s="48"/>
      <c r="CV3879" s="48"/>
      <c r="CW3879" s="48"/>
      <c r="CX3879" s="48"/>
      <c r="CY3879" s="48"/>
      <c r="CZ3879" s="48"/>
    </row>
    <row r="3880" spans="27:104" s="4" customFormat="1" x14ac:dyDescent="0.3">
      <c r="AA3880" s="48"/>
      <c r="AB3880" s="48"/>
      <c r="AC3880" s="48"/>
      <c r="AD3880" s="48"/>
      <c r="AE3880" s="48"/>
      <c r="AF3880" s="48"/>
      <c r="AG3880" s="48"/>
      <c r="AH3880" s="48"/>
      <c r="AI3880" s="48"/>
      <c r="AJ3880" s="48"/>
      <c r="AK3880" s="48"/>
      <c r="AL3880" s="48"/>
      <c r="AM3880" s="48"/>
      <c r="AN3880" s="48"/>
      <c r="AO3880" s="48"/>
      <c r="AP3880" s="48"/>
      <c r="AQ3880" s="48"/>
      <c r="AR3880" s="48"/>
      <c r="AS3880" s="48"/>
      <c r="AT3880" s="48"/>
      <c r="AU3880" s="48"/>
      <c r="AV3880" s="48"/>
      <c r="AW3880" s="48"/>
      <c r="AX3880" s="48"/>
      <c r="AY3880" s="48"/>
      <c r="AZ3880" s="48"/>
      <c r="BA3880" s="48"/>
      <c r="BB3880" s="14"/>
      <c r="BC3880" s="48"/>
      <c r="BD3880" s="48"/>
      <c r="BE3880" s="48"/>
      <c r="BF3880" s="48"/>
      <c r="BG3880" s="48"/>
      <c r="BH3880" s="48"/>
      <c r="BI3880" s="48"/>
      <c r="BJ3880" s="48"/>
      <c r="BK3880" s="48"/>
      <c r="BL3880" s="48"/>
      <c r="BM3880" s="48"/>
      <c r="BN3880" s="48"/>
      <c r="BO3880" s="48"/>
      <c r="BP3880" s="48"/>
      <c r="BQ3880" s="48"/>
      <c r="BR3880" s="48"/>
      <c r="BS3880" s="48"/>
      <c r="BT3880" s="48"/>
      <c r="BU3880" s="48"/>
      <c r="BV3880" s="48"/>
      <c r="BW3880" s="48"/>
      <c r="BX3880" s="48"/>
      <c r="BY3880" s="48"/>
      <c r="BZ3880" s="48"/>
      <c r="CA3880" s="48"/>
      <c r="CB3880" s="48"/>
      <c r="CC3880" s="48"/>
      <c r="CD3880" s="48"/>
      <c r="CE3880" s="48"/>
      <c r="CF3880" s="48"/>
      <c r="CG3880" s="48"/>
      <c r="CH3880" s="48"/>
      <c r="CI3880" s="48"/>
      <c r="CJ3880" s="48"/>
      <c r="CK3880" s="48"/>
      <c r="CL3880" s="48"/>
      <c r="CM3880" s="48"/>
      <c r="CN3880" s="48"/>
      <c r="CO3880" s="48"/>
      <c r="CP3880" s="48"/>
      <c r="CQ3880" s="48"/>
      <c r="CR3880" s="48"/>
      <c r="CS3880" s="48"/>
      <c r="CT3880" s="48"/>
      <c r="CU3880" s="48"/>
      <c r="CV3880" s="48"/>
      <c r="CW3880" s="48"/>
      <c r="CX3880" s="48"/>
      <c r="CY3880" s="48"/>
      <c r="CZ3880" s="48"/>
    </row>
    <row r="3881" spans="27:104" s="4" customFormat="1" x14ac:dyDescent="0.3">
      <c r="AA3881" s="48"/>
      <c r="AB3881" s="48"/>
      <c r="AC3881" s="48"/>
      <c r="AD3881" s="48"/>
      <c r="AE3881" s="48"/>
      <c r="AF3881" s="48"/>
      <c r="AG3881" s="48"/>
      <c r="AH3881" s="48"/>
      <c r="AI3881" s="48"/>
      <c r="AJ3881" s="48"/>
      <c r="AK3881" s="48"/>
      <c r="AL3881" s="48"/>
      <c r="AM3881" s="48"/>
      <c r="AN3881" s="48"/>
      <c r="AO3881" s="48"/>
      <c r="AP3881" s="48"/>
      <c r="AQ3881" s="48"/>
      <c r="AR3881" s="48"/>
      <c r="AS3881" s="48"/>
      <c r="AT3881" s="48"/>
      <c r="AU3881" s="48"/>
      <c r="AV3881" s="48"/>
      <c r="AW3881" s="48"/>
      <c r="AX3881" s="48"/>
      <c r="AY3881" s="48"/>
      <c r="AZ3881" s="48"/>
      <c r="BA3881" s="48"/>
      <c r="BB3881" s="14"/>
      <c r="BC3881" s="48"/>
      <c r="BD3881" s="48"/>
      <c r="BE3881" s="48"/>
      <c r="BF3881" s="48"/>
      <c r="BG3881" s="48"/>
      <c r="BH3881" s="48"/>
      <c r="BI3881" s="48"/>
      <c r="BJ3881" s="48"/>
      <c r="BK3881" s="48"/>
      <c r="BL3881" s="48"/>
      <c r="BM3881" s="48"/>
      <c r="BN3881" s="48"/>
      <c r="BO3881" s="48"/>
      <c r="BP3881" s="48"/>
      <c r="BQ3881" s="48"/>
      <c r="BR3881" s="48"/>
      <c r="BS3881" s="48"/>
      <c r="BT3881" s="48"/>
      <c r="BU3881" s="48"/>
      <c r="BV3881" s="48"/>
      <c r="BW3881" s="48"/>
      <c r="BX3881" s="48"/>
      <c r="BY3881" s="48"/>
      <c r="BZ3881" s="48"/>
      <c r="CA3881" s="48"/>
      <c r="CB3881" s="48"/>
      <c r="CC3881" s="48"/>
      <c r="CD3881" s="48"/>
      <c r="CE3881" s="48"/>
      <c r="CF3881" s="48"/>
      <c r="CG3881" s="48"/>
      <c r="CH3881" s="48"/>
      <c r="CI3881" s="48"/>
      <c r="CJ3881" s="48"/>
      <c r="CK3881" s="48"/>
      <c r="CL3881" s="48"/>
      <c r="CM3881" s="48"/>
      <c r="CN3881" s="48"/>
      <c r="CO3881" s="48"/>
      <c r="CP3881" s="48"/>
      <c r="CQ3881" s="48"/>
      <c r="CR3881" s="48"/>
      <c r="CS3881" s="48"/>
      <c r="CT3881" s="48"/>
      <c r="CU3881" s="48"/>
      <c r="CV3881" s="48"/>
      <c r="CW3881" s="48"/>
      <c r="CX3881" s="48"/>
      <c r="CY3881" s="48"/>
      <c r="CZ3881" s="48"/>
    </row>
    <row r="3882" spans="27:104" s="4" customFormat="1" x14ac:dyDescent="0.3">
      <c r="AA3882" s="48"/>
      <c r="AB3882" s="48"/>
      <c r="AC3882" s="48"/>
      <c r="AD3882" s="48"/>
      <c r="AE3882" s="48"/>
      <c r="AF3882" s="48"/>
      <c r="AG3882" s="48"/>
      <c r="AH3882" s="48"/>
      <c r="AI3882" s="48"/>
      <c r="AJ3882" s="48"/>
      <c r="AK3882" s="48"/>
      <c r="AL3882" s="48"/>
      <c r="AM3882" s="48"/>
      <c r="AN3882" s="48"/>
      <c r="AO3882" s="48"/>
      <c r="AP3882" s="48"/>
      <c r="AQ3882" s="48"/>
      <c r="AR3882" s="48"/>
      <c r="AS3882" s="48"/>
      <c r="AT3882" s="48"/>
      <c r="AU3882" s="48"/>
      <c r="AV3882" s="48"/>
      <c r="AW3882" s="48"/>
      <c r="AX3882" s="48"/>
      <c r="AY3882" s="48"/>
      <c r="AZ3882" s="48"/>
      <c r="BA3882" s="48"/>
      <c r="BB3882" s="14"/>
      <c r="BC3882" s="48"/>
      <c r="BD3882" s="48"/>
      <c r="BE3882" s="48"/>
      <c r="BF3882" s="48"/>
      <c r="BG3882" s="48"/>
      <c r="BH3882" s="48"/>
      <c r="BI3882" s="48"/>
      <c r="BJ3882" s="48"/>
      <c r="BK3882" s="48"/>
      <c r="BL3882" s="48"/>
      <c r="BM3882" s="48"/>
      <c r="BN3882" s="48"/>
      <c r="BO3882" s="48"/>
      <c r="BP3882" s="48"/>
      <c r="BQ3882" s="48"/>
      <c r="BR3882" s="48"/>
      <c r="BS3882" s="48"/>
      <c r="BT3882" s="48"/>
      <c r="BU3882" s="48"/>
      <c r="BV3882" s="48"/>
      <c r="BW3882" s="48"/>
      <c r="BX3882" s="48"/>
      <c r="BY3882" s="48"/>
      <c r="BZ3882" s="48"/>
      <c r="CA3882" s="48"/>
      <c r="CB3882" s="48"/>
      <c r="CC3882" s="48"/>
      <c r="CD3882" s="48"/>
      <c r="CE3882" s="48"/>
      <c r="CF3882" s="48"/>
      <c r="CG3882" s="48"/>
      <c r="CH3882" s="48"/>
      <c r="CI3882" s="48"/>
      <c r="CJ3882" s="48"/>
      <c r="CK3882" s="48"/>
      <c r="CL3882" s="48"/>
      <c r="CM3882" s="48"/>
      <c r="CN3882" s="48"/>
      <c r="CO3882" s="48"/>
      <c r="CP3882" s="48"/>
      <c r="CQ3882" s="48"/>
      <c r="CR3882" s="48"/>
      <c r="CS3882" s="48"/>
      <c r="CT3882" s="48"/>
      <c r="CU3882" s="48"/>
      <c r="CV3882" s="48"/>
      <c r="CW3882" s="48"/>
      <c r="CX3882" s="48"/>
      <c r="CY3882" s="48"/>
      <c r="CZ3882" s="48"/>
    </row>
    <row r="3883" spans="27:104" s="4" customFormat="1" x14ac:dyDescent="0.3">
      <c r="AA3883" s="48"/>
      <c r="AB3883" s="48"/>
      <c r="AC3883" s="48"/>
      <c r="AD3883" s="48"/>
      <c r="AE3883" s="48"/>
      <c r="AF3883" s="48"/>
      <c r="AG3883" s="48"/>
      <c r="AH3883" s="48"/>
      <c r="AI3883" s="48"/>
      <c r="AJ3883" s="48"/>
      <c r="AK3883" s="48"/>
      <c r="AL3883" s="48"/>
      <c r="AM3883" s="48"/>
      <c r="AN3883" s="48"/>
      <c r="AO3883" s="48"/>
      <c r="AP3883" s="48"/>
      <c r="AQ3883" s="48"/>
      <c r="AR3883" s="48"/>
      <c r="AS3883" s="48"/>
      <c r="AT3883" s="48"/>
      <c r="AU3883" s="48"/>
      <c r="AV3883" s="48"/>
      <c r="AW3883" s="48"/>
      <c r="AX3883" s="48"/>
      <c r="AY3883" s="48"/>
      <c r="AZ3883" s="48"/>
      <c r="BA3883" s="48"/>
      <c r="BB3883" s="14"/>
      <c r="BC3883" s="48"/>
      <c r="BD3883" s="48"/>
      <c r="BE3883" s="48"/>
      <c r="BF3883" s="48"/>
      <c r="BG3883" s="48"/>
      <c r="BH3883" s="48"/>
      <c r="BI3883" s="48"/>
      <c r="BJ3883" s="48"/>
      <c r="BK3883" s="48"/>
      <c r="BL3883" s="48"/>
      <c r="BM3883" s="48"/>
      <c r="BN3883" s="48"/>
      <c r="BO3883" s="48"/>
      <c r="BP3883" s="48"/>
      <c r="BQ3883" s="48"/>
      <c r="BR3883" s="48"/>
      <c r="BS3883" s="48"/>
      <c r="BT3883" s="48"/>
      <c r="BU3883" s="48"/>
      <c r="BV3883" s="48"/>
      <c r="BW3883" s="48"/>
      <c r="BX3883" s="48"/>
      <c r="BY3883" s="48"/>
      <c r="BZ3883" s="48"/>
      <c r="CA3883" s="48"/>
      <c r="CB3883" s="48"/>
      <c r="CC3883" s="48"/>
      <c r="CD3883" s="48"/>
      <c r="CE3883" s="48"/>
      <c r="CF3883" s="48"/>
      <c r="CG3883" s="48"/>
      <c r="CH3883" s="48"/>
      <c r="CI3883" s="48"/>
      <c r="CJ3883" s="48"/>
      <c r="CK3883" s="48"/>
      <c r="CL3883" s="48"/>
      <c r="CM3883" s="48"/>
      <c r="CN3883" s="48"/>
      <c r="CO3883" s="48"/>
      <c r="CP3883" s="48"/>
      <c r="CQ3883" s="48"/>
      <c r="CR3883" s="48"/>
      <c r="CS3883" s="48"/>
      <c r="CT3883" s="48"/>
      <c r="CU3883" s="48"/>
      <c r="CV3883" s="48"/>
      <c r="CW3883" s="48"/>
      <c r="CX3883" s="48"/>
      <c r="CY3883" s="48"/>
      <c r="CZ3883" s="48"/>
    </row>
    <row r="3884" spans="27:104" s="4" customFormat="1" x14ac:dyDescent="0.3">
      <c r="AA3884" s="48"/>
      <c r="AB3884" s="48"/>
      <c r="AC3884" s="48"/>
      <c r="AD3884" s="48"/>
      <c r="AE3884" s="48"/>
      <c r="AF3884" s="48"/>
      <c r="AG3884" s="48"/>
      <c r="AH3884" s="48"/>
      <c r="AI3884" s="48"/>
      <c r="AJ3884" s="48"/>
      <c r="AK3884" s="48"/>
      <c r="AL3884" s="48"/>
      <c r="AM3884" s="48"/>
      <c r="AN3884" s="48"/>
      <c r="AO3884" s="48"/>
      <c r="AP3884" s="48"/>
      <c r="AQ3884" s="48"/>
      <c r="AR3884" s="48"/>
      <c r="AS3884" s="48"/>
      <c r="AT3884" s="48"/>
      <c r="AU3884" s="48"/>
      <c r="AV3884" s="48"/>
      <c r="AW3884" s="48"/>
      <c r="AX3884" s="48"/>
      <c r="AY3884" s="48"/>
      <c r="AZ3884" s="48"/>
      <c r="BA3884" s="48"/>
      <c r="BB3884" s="14"/>
      <c r="BC3884" s="48"/>
      <c r="BD3884" s="48"/>
      <c r="BE3884" s="48"/>
      <c r="BF3884" s="48"/>
      <c r="BG3884" s="48"/>
      <c r="BH3884" s="48"/>
      <c r="BI3884" s="48"/>
      <c r="BJ3884" s="48"/>
      <c r="BK3884" s="48"/>
      <c r="BL3884" s="48"/>
      <c r="BM3884" s="48"/>
      <c r="BN3884" s="48"/>
      <c r="BO3884" s="48"/>
      <c r="BP3884" s="48"/>
      <c r="BQ3884" s="48"/>
      <c r="BR3884" s="48"/>
      <c r="BS3884" s="48"/>
      <c r="BT3884" s="48"/>
      <c r="BU3884" s="48"/>
      <c r="BV3884" s="48"/>
      <c r="BW3884" s="48"/>
      <c r="BX3884" s="48"/>
      <c r="BY3884" s="48"/>
      <c r="BZ3884" s="48"/>
      <c r="CA3884" s="48"/>
      <c r="CB3884" s="48"/>
      <c r="CC3884" s="48"/>
      <c r="CD3884" s="48"/>
      <c r="CE3884" s="48"/>
      <c r="CF3884" s="48"/>
      <c r="CG3884" s="48"/>
      <c r="CH3884" s="48"/>
      <c r="CI3884" s="48"/>
      <c r="CJ3884" s="48"/>
      <c r="CK3884" s="48"/>
      <c r="CL3884" s="48"/>
      <c r="CM3884" s="48"/>
      <c r="CN3884" s="48"/>
      <c r="CO3884" s="48"/>
      <c r="CP3884" s="48"/>
      <c r="CQ3884" s="48"/>
      <c r="CR3884" s="48"/>
      <c r="CS3884" s="48"/>
      <c r="CT3884" s="48"/>
      <c r="CU3884" s="48"/>
      <c r="CV3884" s="48"/>
      <c r="CW3884" s="48"/>
      <c r="CX3884" s="48"/>
      <c r="CY3884" s="48"/>
      <c r="CZ3884" s="48"/>
    </row>
    <row r="3885" spans="27:104" s="4" customFormat="1" x14ac:dyDescent="0.3">
      <c r="AA3885" s="48"/>
      <c r="AB3885" s="48"/>
      <c r="AC3885" s="48"/>
      <c r="AD3885" s="48"/>
      <c r="AE3885" s="48"/>
      <c r="AF3885" s="48"/>
      <c r="AG3885" s="48"/>
      <c r="AH3885" s="48"/>
      <c r="AI3885" s="48"/>
      <c r="AJ3885" s="48"/>
      <c r="AK3885" s="48"/>
      <c r="AL3885" s="48"/>
      <c r="AM3885" s="48"/>
      <c r="AN3885" s="48"/>
      <c r="AO3885" s="48"/>
      <c r="AP3885" s="48"/>
      <c r="AQ3885" s="48"/>
      <c r="AR3885" s="48"/>
      <c r="AS3885" s="48"/>
      <c r="AT3885" s="48"/>
      <c r="AU3885" s="48"/>
      <c r="AV3885" s="48"/>
      <c r="AW3885" s="48"/>
      <c r="AX3885" s="48"/>
      <c r="AY3885" s="48"/>
      <c r="AZ3885" s="48"/>
      <c r="BA3885" s="48"/>
      <c r="BB3885" s="14"/>
      <c r="BC3885" s="48"/>
      <c r="BD3885" s="48"/>
      <c r="BE3885" s="48"/>
      <c r="BF3885" s="48"/>
      <c r="BG3885" s="48"/>
      <c r="BH3885" s="48"/>
      <c r="BI3885" s="48"/>
      <c r="BJ3885" s="48"/>
      <c r="BK3885" s="48"/>
      <c r="BL3885" s="48"/>
      <c r="BM3885" s="48"/>
      <c r="BN3885" s="48"/>
      <c r="BO3885" s="48"/>
      <c r="BP3885" s="48"/>
      <c r="BQ3885" s="48"/>
      <c r="BR3885" s="48"/>
      <c r="BS3885" s="48"/>
      <c r="BT3885" s="48"/>
      <c r="BU3885" s="48"/>
      <c r="BV3885" s="48"/>
      <c r="BW3885" s="48"/>
      <c r="BX3885" s="48"/>
      <c r="BY3885" s="48"/>
      <c r="BZ3885" s="48"/>
      <c r="CA3885" s="48"/>
      <c r="CB3885" s="48"/>
      <c r="CC3885" s="48"/>
      <c r="CD3885" s="48"/>
      <c r="CE3885" s="48"/>
      <c r="CF3885" s="48"/>
      <c r="CG3885" s="48"/>
      <c r="CH3885" s="48"/>
      <c r="CI3885" s="48"/>
      <c r="CJ3885" s="48"/>
      <c r="CK3885" s="48"/>
      <c r="CL3885" s="48"/>
      <c r="CM3885" s="48"/>
      <c r="CN3885" s="48"/>
      <c r="CO3885" s="48"/>
      <c r="CP3885" s="48"/>
      <c r="CQ3885" s="48"/>
      <c r="CR3885" s="48"/>
      <c r="CS3885" s="48"/>
      <c r="CT3885" s="48"/>
      <c r="CU3885" s="48"/>
      <c r="CV3885" s="48"/>
      <c r="CW3885" s="48"/>
      <c r="CX3885" s="48"/>
      <c r="CY3885" s="48"/>
      <c r="CZ3885" s="48"/>
    </row>
    <row r="3886" spans="27:104" s="4" customFormat="1" x14ac:dyDescent="0.3">
      <c r="AA3886" s="48"/>
      <c r="AB3886" s="48"/>
      <c r="AC3886" s="48"/>
      <c r="AD3886" s="48"/>
      <c r="AE3886" s="48"/>
      <c r="AF3886" s="48"/>
      <c r="AG3886" s="48"/>
      <c r="AH3886" s="48"/>
      <c r="AI3886" s="48"/>
      <c r="AJ3886" s="48"/>
      <c r="AK3886" s="48"/>
      <c r="AL3886" s="48"/>
      <c r="AM3886" s="48"/>
      <c r="AN3886" s="48"/>
      <c r="AO3886" s="48"/>
      <c r="AP3886" s="48"/>
      <c r="AQ3886" s="48"/>
      <c r="AR3886" s="48"/>
      <c r="AS3886" s="48"/>
      <c r="AT3886" s="48"/>
      <c r="AU3886" s="48"/>
      <c r="AV3886" s="48"/>
      <c r="AW3886" s="48"/>
      <c r="AX3886" s="48"/>
      <c r="AY3886" s="48"/>
      <c r="AZ3886" s="48"/>
      <c r="BA3886" s="48"/>
      <c r="BB3886" s="14"/>
      <c r="BC3886" s="48"/>
      <c r="BD3886" s="48"/>
      <c r="BE3886" s="48"/>
      <c r="BF3886" s="48"/>
      <c r="BG3886" s="48"/>
      <c r="BH3886" s="48"/>
      <c r="BI3886" s="48"/>
      <c r="BJ3886" s="48"/>
      <c r="BK3886" s="48"/>
      <c r="BL3886" s="48"/>
      <c r="BM3886" s="48"/>
      <c r="BN3886" s="48"/>
      <c r="BO3886" s="48"/>
      <c r="BP3886" s="48"/>
      <c r="BQ3886" s="48"/>
      <c r="BR3886" s="48"/>
      <c r="BS3886" s="48"/>
      <c r="BT3886" s="48"/>
      <c r="BU3886" s="48"/>
      <c r="BV3886" s="48"/>
      <c r="BW3886" s="48"/>
      <c r="BX3886" s="48"/>
      <c r="BY3886" s="48"/>
      <c r="BZ3886" s="48"/>
      <c r="CA3886" s="48"/>
      <c r="CB3886" s="48"/>
      <c r="CC3886" s="48"/>
      <c r="CD3886" s="48"/>
      <c r="CE3886" s="48"/>
      <c r="CF3886" s="48"/>
      <c r="CG3886" s="48"/>
      <c r="CH3886" s="48"/>
      <c r="CI3886" s="48"/>
      <c r="CJ3886" s="48"/>
      <c r="CK3886" s="48"/>
      <c r="CL3886" s="48"/>
      <c r="CM3886" s="48"/>
      <c r="CN3886" s="48"/>
      <c r="CO3886" s="48"/>
      <c r="CP3886" s="48"/>
      <c r="CQ3886" s="48"/>
      <c r="CR3886" s="48"/>
      <c r="CS3886" s="48"/>
      <c r="CT3886" s="48"/>
      <c r="CU3886" s="48"/>
      <c r="CV3886" s="48"/>
      <c r="CW3886" s="48"/>
      <c r="CX3886" s="48"/>
      <c r="CY3886" s="48"/>
      <c r="CZ3886" s="48"/>
    </row>
    <row r="3887" spans="27:104" s="4" customFormat="1" x14ac:dyDescent="0.3">
      <c r="AA3887" s="48"/>
      <c r="AB3887" s="48"/>
      <c r="AC3887" s="48"/>
      <c r="AD3887" s="48"/>
      <c r="AE3887" s="48"/>
      <c r="AF3887" s="48"/>
      <c r="AG3887" s="48"/>
      <c r="AH3887" s="48"/>
      <c r="AI3887" s="48"/>
      <c r="AJ3887" s="48"/>
      <c r="AK3887" s="48"/>
      <c r="AL3887" s="48"/>
      <c r="AM3887" s="48"/>
      <c r="AN3887" s="48"/>
      <c r="AO3887" s="48"/>
      <c r="AP3887" s="48"/>
      <c r="AQ3887" s="48"/>
      <c r="AR3887" s="48"/>
      <c r="AS3887" s="48"/>
      <c r="AT3887" s="48"/>
      <c r="AU3887" s="48"/>
      <c r="AV3887" s="48"/>
      <c r="AW3887" s="48"/>
      <c r="AX3887" s="48"/>
      <c r="AY3887" s="48"/>
      <c r="AZ3887" s="48"/>
      <c r="BA3887" s="48"/>
      <c r="BB3887" s="14"/>
      <c r="BC3887" s="48"/>
      <c r="BD3887" s="48"/>
      <c r="BE3887" s="48"/>
      <c r="BF3887" s="48"/>
      <c r="BG3887" s="48"/>
      <c r="BH3887" s="48"/>
      <c r="BI3887" s="48"/>
      <c r="BJ3887" s="48"/>
      <c r="BK3887" s="48"/>
      <c r="BL3887" s="48"/>
      <c r="BM3887" s="48"/>
      <c r="BN3887" s="48"/>
      <c r="BO3887" s="48"/>
      <c r="BP3887" s="48"/>
      <c r="BQ3887" s="48"/>
      <c r="BR3887" s="48"/>
      <c r="BS3887" s="48"/>
      <c r="BT3887" s="48"/>
      <c r="BU3887" s="48"/>
      <c r="BV3887" s="48"/>
      <c r="BW3887" s="48"/>
      <c r="BX3887" s="48"/>
      <c r="BY3887" s="48"/>
      <c r="BZ3887" s="48"/>
      <c r="CA3887" s="48"/>
      <c r="CB3887" s="48"/>
      <c r="CC3887" s="48"/>
      <c r="CD3887" s="48"/>
      <c r="CE3887" s="48"/>
      <c r="CF3887" s="48"/>
      <c r="CG3887" s="48"/>
      <c r="CH3887" s="48"/>
      <c r="CI3887" s="48"/>
      <c r="CJ3887" s="48"/>
      <c r="CK3887" s="48"/>
      <c r="CL3887" s="48"/>
      <c r="CM3887" s="48"/>
      <c r="CN3887" s="48"/>
      <c r="CO3887" s="48"/>
      <c r="CP3887" s="48"/>
      <c r="CQ3887" s="48"/>
      <c r="CR3887" s="48"/>
      <c r="CS3887" s="48"/>
      <c r="CT3887" s="48"/>
      <c r="CU3887" s="48"/>
      <c r="CV3887" s="48"/>
      <c r="CW3887" s="48"/>
      <c r="CX3887" s="48"/>
      <c r="CY3887" s="48"/>
      <c r="CZ3887" s="48"/>
    </row>
    <row r="3888" spans="27:104" s="4" customFormat="1" x14ac:dyDescent="0.3">
      <c r="AA3888" s="48"/>
      <c r="AB3888" s="48"/>
      <c r="AC3888" s="48"/>
      <c r="AD3888" s="48"/>
      <c r="AE3888" s="48"/>
      <c r="AF3888" s="48"/>
      <c r="AG3888" s="48"/>
      <c r="AH3888" s="48"/>
      <c r="AI3888" s="48"/>
      <c r="AJ3888" s="48"/>
      <c r="AK3888" s="48"/>
      <c r="AL3888" s="48"/>
      <c r="AM3888" s="48"/>
      <c r="AN3888" s="48"/>
      <c r="AO3888" s="48"/>
      <c r="AP3888" s="48"/>
      <c r="AQ3888" s="48"/>
      <c r="AR3888" s="48"/>
      <c r="AS3888" s="48"/>
      <c r="AT3888" s="48"/>
      <c r="AU3888" s="48"/>
      <c r="AV3888" s="48"/>
      <c r="AW3888" s="48"/>
      <c r="AX3888" s="48"/>
      <c r="AY3888" s="48"/>
      <c r="AZ3888" s="48"/>
      <c r="BA3888" s="48"/>
      <c r="BB3888" s="14"/>
      <c r="BC3888" s="48"/>
      <c r="BD3888" s="48"/>
      <c r="BE3888" s="48"/>
      <c r="BF3888" s="48"/>
      <c r="BG3888" s="48"/>
      <c r="BH3888" s="48"/>
      <c r="BI3888" s="48"/>
      <c r="BJ3888" s="48"/>
      <c r="BK3888" s="48"/>
      <c r="BL3888" s="48"/>
      <c r="BM3888" s="48"/>
      <c r="BN3888" s="48"/>
      <c r="BO3888" s="48"/>
      <c r="BP3888" s="48"/>
      <c r="BQ3888" s="48"/>
      <c r="BR3888" s="48"/>
      <c r="BS3888" s="48"/>
      <c r="BT3888" s="48"/>
      <c r="BU3888" s="48"/>
      <c r="BV3888" s="48"/>
      <c r="BW3888" s="48"/>
      <c r="BX3888" s="48"/>
      <c r="BY3888" s="48"/>
      <c r="BZ3888" s="48"/>
      <c r="CA3888" s="48"/>
      <c r="CB3888" s="48"/>
      <c r="CC3888" s="48"/>
      <c r="CD3888" s="48"/>
      <c r="CE3888" s="48"/>
      <c r="CF3888" s="48"/>
      <c r="CG3888" s="48"/>
      <c r="CH3888" s="48"/>
      <c r="CI3888" s="48"/>
      <c r="CJ3888" s="48"/>
      <c r="CK3888" s="48"/>
      <c r="CL3888" s="48"/>
      <c r="CM3888" s="48"/>
      <c r="CN3888" s="48"/>
      <c r="CO3888" s="48"/>
      <c r="CP3888" s="48"/>
      <c r="CQ3888" s="48"/>
      <c r="CR3888" s="48"/>
      <c r="CS3888" s="48"/>
      <c r="CT3888" s="48"/>
      <c r="CU3888" s="48"/>
      <c r="CV3888" s="48"/>
      <c r="CW3888" s="48"/>
      <c r="CX3888" s="48"/>
      <c r="CY3888" s="48"/>
      <c r="CZ3888" s="48"/>
    </row>
    <row r="3889" spans="27:104" s="4" customFormat="1" x14ac:dyDescent="0.3">
      <c r="AA3889" s="48"/>
      <c r="AB3889" s="48"/>
      <c r="AC3889" s="48"/>
      <c r="AD3889" s="48"/>
      <c r="AE3889" s="48"/>
      <c r="AF3889" s="48"/>
      <c r="AG3889" s="48"/>
      <c r="AH3889" s="48"/>
      <c r="AI3889" s="48"/>
      <c r="AJ3889" s="48"/>
      <c r="AK3889" s="48"/>
      <c r="AL3889" s="48"/>
      <c r="AM3889" s="48"/>
      <c r="AN3889" s="48"/>
      <c r="AO3889" s="48"/>
      <c r="AP3889" s="48"/>
      <c r="AQ3889" s="48"/>
      <c r="AR3889" s="48"/>
      <c r="AS3889" s="48"/>
      <c r="AT3889" s="48"/>
      <c r="AU3889" s="48"/>
      <c r="AV3889" s="48"/>
      <c r="AW3889" s="48"/>
      <c r="AX3889" s="48"/>
      <c r="AY3889" s="48"/>
      <c r="AZ3889" s="48"/>
      <c r="BA3889" s="48"/>
      <c r="BB3889" s="14"/>
      <c r="BC3889" s="48"/>
      <c r="BD3889" s="48"/>
      <c r="BE3889" s="48"/>
      <c r="BF3889" s="48"/>
      <c r="BG3889" s="48"/>
      <c r="BH3889" s="48"/>
      <c r="BI3889" s="48"/>
      <c r="BJ3889" s="48"/>
      <c r="BK3889" s="48"/>
      <c r="BL3889" s="48"/>
      <c r="BM3889" s="48"/>
      <c r="BN3889" s="48"/>
      <c r="BO3889" s="48"/>
      <c r="BP3889" s="48"/>
      <c r="BQ3889" s="48"/>
      <c r="BR3889" s="48"/>
      <c r="BS3889" s="48"/>
      <c r="BT3889" s="48"/>
      <c r="BU3889" s="48"/>
      <c r="BV3889" s="48"/>
      <c r="BW3889" s="48"/>
      <c r="BX3889" s="48"/>
      <c r="BY3889" s="48"/>
      <c r="BZ3889" s="48"/>
      <c r="CA3889" s="48"/>
      <c r="CB3889" s="48"/>
      <c r="CC3889" s="48"/>
      <c r="CD3889" s="48"/>
      <c r="CE3889" s="48"/>
      <c r="CF3889" s="48"/>
      <c r="CG3889" s="48"/>
      <c r="CH3889" s="48"/>
      <c r="CI3889" s="48"/>
      <c r="CJ3889" s="48"/>
      <c r="CK3889" s="48"/>
      <c r="CL3889" s="48"/>
      <c r="CM3889" s="48"/>
      <c r="CN3889" s="48"/>
      <c r="CO3889" s="48"/>
      <c r="CP3889" s="48"/>
      <c r="CQ3889" s="48"/>
      <c r="CR3889" s="48"/>
      <c r="CS3889" s="48"/>
      <c r="CT3889" s="48"/>
      <c r="CU3889" s="48"/>
      <c r="CV3889" s="48"/>
      <c r="CW3889" s="48"/>
      <c r="CX3889" s="48"/>
      <c r="CY3889" s="48"/>
      <c r="CZ3889" s="48"/>
    </row>
    <row r="3890" spans="27:104" s="4" customFormat="1" x14ac:dyDescent="0.3">
      <c r="AA3890" s="48"/>
      <c r="AB3890" s="48"/>
      <c r="AC3890" s="48"/>
      <c r="AD3890" s="48"/>
      <c r="AE3890" s="48"/>
      <c r="AF3890" s="48"/>
      <c r="AG3890" s="48"/>
      <c r="AH3890" s="48"/>
      <c r="AI3890" s="48"/>
      <c r="AJ3890" s="48"/>
      <c r="AK3890" s="48"/>
      <c r="AL3890" s="48"/>
      <c r="AM3890" s="48"/>
      <c r="AN3890" s="48"/>
      <c r="AO3890" s="48"/>
      <c r="AP3890" s="48"/>
      <c r="AQ3890" s="48"/>
      <c r="AR3890" s="48"/>
      <c r="AS3890" s="48"/>
      <c r="AT3890" s="48"/>
      <c r="AU3890" s="48"/>
      <c r="AV3890" s="48"/>
      <c r="AW3890" s="48"/>
      <c r="AX3890" s="48"/>
      <c r="AY3890" s="48"/>
      <c r="AZ3890" s="48"/>
      <c r="BA3890" s="48"/>
      <c r="BB3890" s="14"/>
      <c r="BC3890" s="48"/>
      <c r="BD3890" s="48"/>
      <c r="BE3890" s="48"/>
      <c r="BF3890" s="48"/>
      <c r="BG3890" s="48"/>
      <c r="BH3890" s="48"/>
      <c r="BI3890" s="48"/>
      <c r="BJ3890" s="48"/>
      <c r="BK3890" s="48"/>
      <c r="BL3890" s="48"/>
      <c r="BM3890" s="48"/>
      <c r="BN3890" s="48"/>
      <c r="BO3890" s="48"/>
      <c r="BP3890" s="48"/>
      <c r="BQ3890" s="48"/>
      <c r="BR3890" s="48"/>
      <c r="BS3890" s="48"/>
      <c r="BT3890" s="48"/>
      <c r="BU3890" s="48"/>
      <c r="BV3890" s="48"/>
      <c r="BW3890" s="48"/>
      <c r="BX3890" s="48"/>
      <c r="BY3890" s="48"/>
      <c r="BZ3890" s="48"/>
      <c r="CA3890" s="48"/>
      <c r="CB3890" s="48"/>
      <c r="CC3890" s="48"/>
      <c r="CD3890" s="48"/>
      <c r="CE3890" s="48"/>
      <c r="CF3890" s="48"/>
      <c r="CG3890" s="48"/>
      <c r="CH3890" s="48"/>
      <c r="CI3890" s="48"/>
      <c r="CJ3890" s="48"/>
      <c r="CK3890" s="48"/>
      <c r="CL3890" s="48"/>
      <c r="CM3890" s="48"/>
      <c r="CN3890" s="48"/>
      <c r="CO3890" s="48"/>
      <c r="CP3890" s="48"/>
      <c r="CQ3890" s="48"/>
      <c r="CR3890" s="48"/>
      <c r="CS3890" s="48"/>
      <c r="CT3890" s="48"/>
      <c r="CU3890" s="48"/>
      <c r="CV3890" s="48"/>
      <c r="CW3890" s="48"/>
      <c r="CX3890" s="48"/>
      <c r="CY3890" s="48"/>
      <c r="CZ3890" s="48"/>
    </row>
    <row r="3891" spans="27:104" s="4" customFormat="1" x14ac:dyDescent="0.3">
      <c r="AA3891" s="48"/>
      <c r="AB3891" s="48"/>
      <c r="AC3891" s="48"/>
      <c r="AD3891" s="48"/>
      <c r="AE3891" s="48"/>
      <c r="AF3891" s="48"/>
      <c r="AG3891" s="48"/>
      <c r="AH3891" s="48"/>
      <c r="AI3891" s="48"/>
      <c r="AJ3891" s="48"/>
      <c r="AK3891" s="48"/>
      <c r="AL3891" s="48"/>
      <c r="AM3891" s="48"/>
      <c r="AN3891" s="48"/>
      <c r="AO3891" s="48"/>
      <c r="AP3891" s="48"/>
      <c r="AQ3891" s="48"/>
      <c r="AR3891" s="48"/>
      <c r="AS3891" s="48"/>
      <c r="AT3891" s="48"/>
      <c r="AU3891" s="48"/>
      <c r="AV3891" s="48"/>
      <c r="AW3891" s="48"/>
      <c r="AX3891" s="48"/>
      <c r="AY3891" s="48"/>
      <c r="AZ3891" s="48"/>
      <c r="BA3891" s="48"/>
      <c r="BB3891" s="14"/>
      <c r="BC3891" s="48"/>
      <c r="BD3891" s="48"/>
      <c r="BE3891" s="48"/>
      <c r="BF3891" s="48"/>
      <c r="BG3891" s="48"/>
      <c r="BH3891" s="48"/>
      <c r="BI3891" s="48"/>
      <c r="BJ3891" s="48"/>
      <c r="BK3891" s="48"/>
      <c r="BL3891" s="48"/>
      <c r="BM3891" s="48"/>
      <c r="BN3891" s="48"/>
      <c r="BO3891" s="48"/>
      <c r="BP3891" s="48"/>
      <c r="BQ3891" s="48"/>
      <c r="BR3891" s="48"/>
      <c r="BS3891" s="48"/>
      <c r="BT3891" s="48"/>
      <c r="BU3891" s="48"/>
      <c r="BV3891" s="48"/>
      <c r="BW3891" s="48"/>
      <c r="BX3891" s="48"/>
      <c r="BY3891" s="48"/>
      <c r="BZ3891" s="48"/>
      <c r="CA3891" s="48"/>
      <c r="CB3891" s="48"/>
      <c r="CC3891" s="48"/>
      <c r="CD3891" s="48"/>
      <c r="CE3891" s="48"/>
      <c r="CF3891" s="48"/>
      <c r="CG3891" s="48"/>
      <c r="CH3891" s="48"/>
      <c r="CI3891" s="48"/>
      <c r="CJ3891" s="48"/>
      <c r="CK3891" s="48"/>
      <c r="CL3891" s="48"/>
      <c r="CM3891" s="48"/>
      <c r="CN3891" s="48"/>
      <c r="CO3891" s="48"/>
      <c r="CP3891" s="48"/>
      <c r="CQ3891" s="48"/>
      <c r="CR3891" s="48"/>
      <c r="CS3891" s="48"/>
      <c r="CT3891" s="48"/>
      <c r="CU3891" s="48"/>
      <c r="CV3891" s="48"/>
      <c r="CW3891" s="48"/>
      <c r="CX3891" s="48"/>
      <c r="CY3891" s="48"/>
      <c r="CZ3891" s="48"/>
    </row>
    <row r="3892" spans="27:104" s="4" customFormat="1" x14ac:dyDescent="0.3">
      <c r="AA3892" s="48"/>
      <c r="AB3892" s="48"/>
      <c r="AC3892" s="48"/>
      <c r="AD3892" s="48"/>
      <c r="AE3892" s="48"/>
      <c r="AF3892" s="48"/>
      <c r="AG3892" s="48"/>
      <c r="AH3892" s="48"/>
      <c r="AI3892" s="48"/>
      <c r="AJ3892" s="48"/>
      <c r="AK3892" s="48"/>
      <c r="AL3892" s="48"/>
      <c r="AM3892" s="48"/>
      <c r="AN3892" s="48"/>
      <c r="AO3892" s="48"/>
      <c r="AP3892" s="48"/>
      <c r="AQ3892" s="48"/>
      <c r="AR3892" s="48"/>
      <c r="AS3892" s="48"/>
      <c r="AT3892" s="48"/>
      <c r="AU3892" s="48"/>
      <c r="AV3892" s="48"/>
      <c r="AW3892" s="48"/>
      <c r="AX3892" s="48"/>
      <c r="AY3892" s="48"/>
      <c r="AZ3892" s="48"/>
      <c r="BA3892" s="48"/>
      <c r="BB3892" s="14"/>
      <c r="BC3892" s="48"/>
      <c r="BD3892" s="48"/>
      <c r="BE3892" s="48"/>
      <c r="BF3892" s="48"/>
      <c r="BG3892" s="48"/>
      <c r="BH3892" s="48"/>
      <c r="BI3892" s="48"/>
      <c r="BJ3892" s="48"/>
      <c r="BK3892" s="48"/>
      <c r="BL3892" s="48"/>
      <c r="BM3892" s="48"/>
      <c r="BN3892" s="48"/>
      <c r="BO3892" s="48"/>
      <c r="BP3892" s="48"/>
      <c r="BQ3892" s="48"/>
      <c r="BR3892" s="48"/>
      <c r="BS3892" s="48"/>
      <c r="BT3892" s="48"/>
      <c r="BU3892" s="48"/>
      <c r="BV3892" s="48"/>
      <c r="BW3892" s="48"/>
      <c r="BX3892" s="48"/>
      <c r="BY3892" s="48"/>
      <c r="BZ3892" s="48"/>
      <c r="CA3892" s="48"/>
      <c r="CB3892" s="48"/>
      <c r="CC3892" s="48"/>
      <c r="CD3892" s="48"/>
      <c r="CE3892" s="48"/>
      <c r="CF3892" s="48"/>
      <c r="CG3892" s="48"/>
      <c r="CH3892" s="48"/>
      <c r="CI3892" s="48"/>
      <c r="CJ3892" s="48"/>
      <c r="CK3892" s="48"/>
      <c r="CL3892" s="48"/>
      <c r="CM3892" s="48"/>
      <c r="CN3892" s="48"/>
      <c r="CO3892" s="48"/>
      <c r="CP3892" s="48"/>
      <c r="CQ3892" s="48"/>
      <c r="CR3892" s="48"/>
      <c r="CS3892" s="48"/>
      <c r="CT3892" s="48"/>
      <c r="CU3892" s="48"/>
      <c r="CV3892" s="48"/>
      <c r="CW3892" s="48"/>
      <c r="CX3892" s="48"/>
      <c r="CY3892" s="48"/>
      <c r="CZ3892" s="48"/>
    </row>
    <row r="3893" spans="27:104" s="4" customFormat="1" x14ac:dyDescent="0.3">
      <c r="AA3893" s="48"/>
      <c r="AB3893" s="48"/>
      <c r="AC3893" s="48"/>
      <c r="AD3893" s="48"/>
      <c r="AE3893" s="48"/>
      <c r="AF3893" s="48"/>
      <c r="AG3893" s="48"/>
      <c r="AH3893" s="48"/>
      <c r="AI3893" s="48"/>
      <c r="AJ3893" s="48"/>
      <c r="AK3893" s="48"/>
      <c r="AL3893" s="48"/>
      <c r="AM3893" s="48"/>
      <c r="AN3893" s="48"/>
      <c r="AO3893" s="48"/>
      <c r="AP3893" s="48"/>
      <c r="AQ3893" s="48"/>
      <c r="AR3893" s="48"/>
      <c r="AS3893" s="48"/>
      <c r="AT3893" s="48"/>
      <c r="AU3893" s="48"/>
      <c r="AV3893" s="48"/>
      <c r="AW3893" s="48"/>
      <c r="AX3893" s="48"/>
      <c r="AY3893" s="48"/>
      <c r="AZ3893" s="48"/>
      <c r="BA3893" s="48"/>
      <c r="BB3893" s="14"/>
      <c r="BC3893" s="48"/>
      <c r="BD3893" s="48"/>
      <c r="BE3893" s="48"/>
      <c r="BF3893" s="48"/>
      <c r="BG3893" s="48"/>
      <c r="BH3893" s="48"/>
      <c r="BI3893" s="48"/>
      <c r="BJ3893" s="48"/>
      <c r="BK3893" s="48"/>
      <c r="BL3893" s="48"/>
      <c r="BM3893" s="48"/>
      <c r="BN3893" s="48"/>
      <c r="BO3893" s="48"/>
      <c r="BP3893" s="48"/>
      <c r="BQ3893" s="48"/>
      <c r="BR3893" s="48"/>
      <c r="BS3893" s="48"/>
      <c r="BT3893" s="48"/>
      <c r="BU3893" s="48"/>
      <c r="BV3893" s="48"/>
      <c r="BW3893" s="48"/>
      <c r="BX3893" s="48"/>
      <c r="BY3893" s="48"/>
      <c r="BZ3893" s="48"/>
      <c r="CA3893" s="48"/>
      <c r="CB3893" s="48"/>
      <c r="CC3893" s="48"/>
      <c r="CD3893" s="48"/>
      <c r="CE3893" s="48"/>
      <c r="CF3893" s="48"/>
      <c r="CG3893" s="48"/>
      <c r="CH3893" s="48"/>
      <c r="CI3893" s="48"/>
      <c r="CJ3893" s="48"/>
      <c r="CK3893" s="48"/>
      <c r="CL3893" s="48"/>
      <c r="CM3893" s="48"/>
      <c r="CN3893" s="48"/>
      <c r="CO3893" s="48"/>
      <c r="CP3893" s="48"/>
      <c r="CQ3893" s="48"/>
      <c r="CR3893" s="48"/>
      <c r="CS3893" s="48"/>
      <c r="CT3893" s="48"/>
      <c r="CU3893" s="48"/>
      <c r="CV3893" s="48"/>
      <c r="CW3893" s="48"/>
      <c r="CX3893" s="48"/>
      <c r="CY3893" s="48"/>
      <c r="CZ3893" s="48"/>
    </row>
    <row r="3894" spans="27:104" s="4" customFormat="1" x14ac:dyDescent="0.3">
      <c r="AA3894" s="48"/>
      <c r="AB3894" s="48"/>
      <c r="AC3894" s="48"/>
      <c r="AD3894" s="48"/>
      <c r="AE3894" s="48"/>
      <c r="AF3894" s="48"/>
      <c r="AG3894" s="48"/>
      <c r="AH3894" s="48"/>
      <c r="AI3894" s="48"/>
      <c r="AJ3894" s="48"/>
      <c r="AK3894" s="48"/>
      <c r="AL3894" s="48"/>
      <c r="AM3894" s="48"/>
      <c r="AN3894" s="48"/>
      <c r="AO3894" s="48"/>
      <c r="AP3894" s="48"/>
      <c r="AQ3894" s="48"/>
      <c r="AR3894" s="48"/>
      <c r="AS3894" s="48"/>
      <c r="AT3894" s="48"/>
      <c r="AU3894" s="48"/>
      <c r="AV3894" s="48"/>
      <c r="AW3894" s="48"/>
      <c r="AX3894" s="48"/>
      <c r="AY3894" s="48"/>
      <c r="AZ3894" s="48"/>
      <c r="BA3894" s="48"/>
      <c r="BB3894" s="14"/>
      <c r="BC3894" s="48"/>
      <c r="BD3894" s="48"/>
      <c r="BE3894" s="48"/>
      <c r="BF3894" s="48"/>
      <c r="BG3894" s="48"/>
      <c r="BH3894" s="48"/>
      <c r="BI3894" s="48"/>
      <c r="BJ3894" s="48"/>
      <c r="BK3894" s="48"/>
      <c r="BL3894" s="48"/>
      <c r="BM3894" s="48"/>
      <c r="BN3894" s="48"/>
      <c r="BO3894" s="48"/>
      <c r="BP3894" s="48"/>
      <c r="BQ3894" s="48"/>
      <c r="BR3894" s="48"/>
      <c r="BS3894" s="48"/>
      <c r="BT3894" s="48"/>
      <c r="BU3894" s="48"/>
      <c r="BV3894" s="48"/>
      <c r="BW3894" s="48"/>
      <c r="BX3894" s="48"/>
      <c r="BY3894" s="48"/>
      <c r="BZ3894" s="48"/>
      <c r="CA3894" s="48"/>
      <c r="CB3894" s="48"/>
      <c r="CC3894" s="48"/>
      <c r="CD3894" s="48"/>
      <c r="CE3894" s="48"/>
      <c r="CF3894" s="48"/>
      <c r="CG3894" s="48"/>
      <c r="CH3894" s="48"/>
      <c r="CI3894" s="48"/>
      <c r="CJ3894" s="48"/>
      <c r="CK3894" s="48"/>
      <c r="CL3894" s="48"/>
      <c r="CM3894" s="48"/>
      <c r="CN3894" s="48"/>
      <c r="CO3894" s="48"/>
      <c r="CP3894" s="48"/>
      <c r="CQ3894" s="48"/>
      <c r="CR3894" s="48"/>
      <c r="CS3894" s="48"/>
      <c r="CT3894" s="48"/>
      <c r="CU3894" s="48"/>
      <c r="CV3894" s="48"/>
      <c r="CW3894" s="48"/>
      <c r="CX3894" s="48"/>
      <c r="CY3894" s="48"/>
      <c r="CZ3894" s="48"/>
    </row>
    <row r="3895" spans="27:104" s="4" customFormat="1" x14ac:dyDescent="0.3">
      <c r="AA3895" s="48"/>
      <c r="AB3895" s="48"/>
      <c r="AC3895" s="48"/>
      <c r="AD3895" s="48"/>
      <c r="AE3895" s="48"/>
      <c r="AF3895" s="48"/>
      <c r="AG3895" s="48"/>
      <c r="AH3895" s="48"/>
      <c r="AI3895" s="48"/>
      <c r="AJ3895" s="48"/>
      <c r="AK3895" s="48"/>
      <c r="AL3895" s="48"/>
      <c r="AM3895" s="48"/>
      <c r="AN3895" s="48"/>
      <c r="AO3895" s="48"/>
      <c r="AP3895" s="48"/>
      <c r="AQ3895" s="48"/>
      <c r="AR3895" s="48"/>
      <c r="AS3895" s="48"/>
      <c r="AT3895" s="48"/>
      <c r="AU3895" s="48"/>
      <c r="AV3895" s="48"/>
      <c r="AW3895" s="48"/>
      <c r="AX3895" s="48"/>
      <c r="AY3895" s="48"/>
      <c r="AZ3895" s="48"/>
      <c r="BA3895" s="48"/>
      <c r="BB3895" s="14"/>
      <c r="BC3895" s="48"/>
      <c r="BD3895" s="48"/>
      <c r="BE3895" s="48"/>
      <c r="BF3895" s="48"/>
      <c r="BG3895" s="48"/>
      <c r="BH3895" s="48"/>
      <c r="BI3895" s="48"/>
      <c r="BJ3895" s="48"/>
      <c r="BK3895" s="48"/>
      <c r="BL3895" s="48"/>
      <c r="BM3895" s="48"/>
      <c r="BN3895" s="48"/>
      <c r="BO3895" s="48"/>
      <c r="BP3895" s="48"/>
      <c r="BQ3895" s="48"/>
      <c r="BR3895" s="48"/>
      <c r="BS3895" s="48"/>
      <c r="BT3895" s="48"/>
      <c r="BU3895" s="48"/>
      <c r="BV3895" s="48"/>
      <c r="BW3895" s="48"/>
      <c r="BX3895" s="48"/>
      <c r="BY3895" s="48"/>
      <c r="BZ3895" s="48"/>
      <c r="CA3895" s="48"/>
      <c r="CB3895" s="48"/>
      <c r="CC3895" s="48"/>
      <c r="CD3895" s="48"/>
      <c r="CE3895" s="48"/>
      <c r="CF3895" s="48"/>
      <c r="CG3895" s="48"/>
      <c r="CH3895" s="48"/>
      <c r="CI3895" s="48"/>
      <c r="CJ3895" s="48"/>
      <c r="CK3895" s="48"/>
      <c r="CL3895" s="48"/>
      <c r="CM3895" s="48"/>
      <c r="CN3895" s="48"/>
      <c r="CO3895" s="48"/>
      <c r="CP3895" s="48"/>
      <c r="CQ3895" s="48"/>
      <c r="CR3895" s="48"/>
      <c r="CS3895" s="48"/>
      <c r="CT3895" s="48"/>
      <c r="CU3895" s="48"/>
      <c r="CV3895" s="48"/>
      <c r="CW3895" s="48"/>
      <c r="CX3895" s="48"/>
      <c r="CY3895" s="48"/>
      <c r="CZ3895" s="48"/>
    </row>
    <row r="3896" spans="27:104" s="4" customFormat="1" x14ac:dyDescent="0.3">
      <c r="AA3896" s="48"/>
      <c r="AB3896" s="48"/>
      <c r="AC3896" s="48"/>
      <c r="AD3896" s="48"/>
      <c r="AE3896" s="48"/>
      <c r="AF3896" s="48"/>
      <c r="AG3896" s="48"/>
      <c r="AH3896" s="48"/>
      <c r="AI3896" s="48"/>
      <c r="AJ3896" s="48"/>
      <c r="AK3896" s="48"/>
      <c r="AL3896" s="48"/>
      <c r="AM3896" s="48"/>
      <c r="AN3896" s="48"/>
      <c r="AO3896" s="48"/>
      <c r="AP3896" s="48"/>
      <c r="AQ3896" s="48"/>
      <c r="AR3896" s="48"/>
      <c r="AS3896" s="48"/>
      <c r="AT3896" s="48"/>
      <c r="AU3896" s="48"/>
      <c r="AV3896" s="48"/>
      <c r="AW3896" s="48"/>
      <c r="AX3896" s="48"/>
      <c r="AY3896" s="48"/>
      <c r="AZ3896" s="48"/>
      <c r="BA3896" s="48"/>
      <c r="BB3896" s="14"/>
      <c r="BC3896" s="48"/>
      <c r="BD3896" s="48"/>
      <c r="BE3896" s="48"/>
      <c r="BF3896" s="48"/>
      <c r="BG3896" s="48"/>
      <c r="BH3896" s="48"/>
      <c r="BI3896" s="48"/>
      <c r="BJ3896" s="48"/>
      <c r="BK3896" s="48"/>
      <c r="BL3896" s="48"/>
      <c r="BM3896" s="48"/>
      <c r="BN3896" s="48"/>
      <c r="BO3896" s="48"/>
      <c r="BP3896" s="48"/>
      <c r="BQ3896" s="48"/>
      <c r="BR3896" s="48"/>
      <c r="BS3896" s="48"/>
      <c r="BT3896" s="48"/>
      <c r="BU3896" s="48"/>
      <c r="BV3896" s="48"/>
      <c r="BW3896" s="48"/>
      <c r="BX3896" s="48"/>
      <c r="BY3896" s="48"/>
      <c r="BZ3896" s="48"/>
      <c r="CA3896" s="48"/>
      <c r="CB3896" s="48"/>
      <c r="CC3896" s="48"/>
      <c r="CD3896" s="48"/>
      <c r="CE3896" s="48"/>
      <c r="CF3896" s="48"/>
      <c r="CG3896" s="48"/>
      <c r="CH3896" s="48"/>
      <c r="CI3896" s="48"/>
      <c r="CJ3896" s="48"/>
      <c r="CK3896" s="48"/>
      <c r="CL3896" s="48"/>
      <c r="CM3896" s="48"/>
      <c r="CN3896" s="48"/>
      <c r="CO3896" s="48"/>
      <c r="CP3896" s="48"/>
      <c r="CQ3896" s="48"/>
      <c r="CR3896" s="48"/>
      <c r="CS3896" s="48"/>
      <c r="CT3896" s="48"/>
      <c r="CU3896" s="48"/>
      <c r="CV3896" s="48"/>
      <c r="CW3896" s="48"/>
      <c r="CX3896" s="48"/>
      <c r="CY3896" s="48"/>
      <c r="CZ3896" s="48"/>
    </row>
    <row r="3897" spans="27:104" s="4" customFormat="1" x14ac:dyDescent="0.3">
      <c r="AA3897" s="48"/>
      <c r="AB3897" s="48"/>
      <c r="AC3897" s="48"/>
      <c r="AD3897" s="48"/>
      <c r="AE3897" s="48"/>
      <c r="AF3897" s="48"/>
      <c r="AG3897" s="48"/>
      <c r="AH3897" s="48"/>
      <c r="AI3897" s="48"/>
      <c r="AJ3897" s="48"/>
      <c r="AK3897" s="48"/>
      <c r="AL3897" s="48"/>
      <c r="AM3897" s="48"/>
      <c r="AN3897" s="48"/>
      <c r="AO3897" s="48"/>
      <c r="AP3897" s="48"/>
      <c r="AQ3897" s="48"/>
      <c r="AR3897" s="48"/>
      <c r="AS3897" s="48"/>
      <c r="AT3897" s="48"/>
      <c r="AU3897" s="48"/>
      <c r="AV3897" s="48"/>
      <c r="AW3897" s="48"/>
      <c r="AX3897" s="48"/>
      <c r="AY3897" s="48"/>
      <c r="AZ3897" s="48"/>
      <c r="BA3897" s="48"/>
      <c r="BB3897" s="14"/>
      <c r="BC3897" s="48"/>
      <c r="BD3897" s="48"/>
      <c r="BE3897" s="48"/>
      <c r="BF3897" s="48"/>
      <c r="BG3897" s="48"/>
      <c r="BH3897" s="48"/>
      <c r="BI3897" s="48"/>
      <c r="BJ3897" s="48"/>
      <c r="BK3897" s="48"/>
      <c r="BL3897" s="48"/>
      <c r="BM3897" s="48"/>
      <c r="BN3897" s="48"/>
      <c r="BO3897" s="48"/>
      <c r="BP3897" s="48"/>
      <c r="BQ3897" s="48"/>
      <c r="BR3897" s="48"/>
      <c r="BS3897" s="48"/>
      <c r="BT3897" s="48"/>
      <c r="BU3897" s="48"/>
      <c r="BV3897" s="48"/>
      <c r="BW3897" s="48"/>
      <c r="BX3897" s="48"/>
      <c r="BY3897" s="48"/>
      <c r="BZ3897" s="48"/>
      <c r="CA3897" s="48"/>
      <c r="CB3897" s="48"/>
      <c r="CC3897" s="48"/>
      <c r="CD3897" s="48"/>
      <c r="CE3897" s="48"/>
      <c r="CF3897" s="48"/>
      <c r="CG3897" s="48"/>
      <c r="CH3897" s="48"/>
      <c r="CI3897" s="48"/>
      <c r="CJ3897" s="48"/>
      <c r="CK3897" s="48"/>
      <c r="CL3897" s="48"/>
      <c r="CM3897" s="48"/>
      <c r="CN3897" s="48"/>
      <c r="CO3897" s="48"/>
      <c r="CP3897" s="48"/>
      <c r="CQ3897" s="48"/>
      <c r="CR3897" s="48"/>
      <c r="CS3897" s="48"/>
      <c r="CT3897" s="48"/>
      <c r="CU3897" s="48"/>
      <c r="CV3897" s="48"/>
      <c r="CW3897" s="48"/>
      <c r="CX3897" s="48"/>
      <c r="CY3897" s="48"/>
      <c r="CZ3897" s="48"/>
    </row>
    <row r="3898" spans="27:104" s="4" customFormat="1" x14ac:dyDescent="0.3">
      <c r="AA3898" s="48"/>
      <c r="AB3898" s="48"/>
      <c r="AC3898" s="48"/>
      <c r="AD3898" s="48"/>
      <c r="AE3898" s="48"/>
      <c r="AF3898" s="48"/>
      <c r="AG3898" s="48"/>
      <c r="AH3898" s="48"/>
      <c r="AI3898" s="48"/>
      <c r="AJ3898" s="48"/>
      <c r="AK3898" s="48"/>
      <c r="AL3898" s="48"/>
      <c r="AM3898" s="48"/>
      <c r="AN3898" s="48"/>
      <c r="AO3898" s="48"/>
      <c r="AP3898" s="48"/>
      <c r="AQ3898" s="48"/>
      <c r="AR3898" s="48"/>
      <c r="AS3898" s="48"/>
      <c r="AT3898" s="48"/>
      <c r="AU3898" s="48"/>
      <c r="AV3898" s="48"/>
      <c r="AW3898" s="48"/>
      <c r="AX3898" s="48"/>
      <c r="AY3898" s="48"/>
      <c r="AZ3898" s="48"/>
      <c r="BA3898" s="48"/>
      <c r="BB3898" s="14"/>
      <c r="BC3898" s="48"/>
      <c r="BD3898" s="48"/>
      <c r="BE3898" s="48"/>
      <c r="BF3898" s="48"/>
      <c r="BG3898" s="48"/>
      <c r="BH3898" s="48"/>
      <c r="BI3898" s="48"/>
      <c r="BJ3898" s="48"/>
      <c r="BK3898" s="48"/>
      <c r="BL3898" s="48"/>
      <c r="BM3898" s="48"/>
      <c r="BN3898" s="48"/>
      <c r="BO3898" s="48"/>
      <c r="BP3898" s="48"/>
      <c r="BQ3898" s="48"/>
      <c r="BR3898" s="48"/>
      <c r="BS3898" s="48"/>
      <c r="BT3898" s="48"/>
      <c r="BU3898" s="48"/>
      <c r="BV3898" s="48"/>
      <c r="BW3898" s="48"/>
      <c r="BX3898" s="48"/>
      <c r="BY3898" s="48"/>
      <c r="BZ3898" s="48"/>
      <c r="CA3898" s="48"/>
      <c r="CB3898" s="48"/>
      <c r="CC3898" s="48"/>
      <c r="CD3898" s="48"/>
      <c r="CE3898" s="48"/>
      <c r="CF3898" s="48"/>
      <c r="CG3898" s="48"/>
      <c r="CH3898" s="48"/>
      <c r="CI3898" s="48"/>
      <c r="CJ3898" s="48"/>
      <c r="CK3898" s="48"/>
      <c r="CL3898" s="48"/>
      <c r="CM3898" s="48"/>
      <c r="CN3898" s="48"/>
      <c r="CO3898" s="48"/>
      <c r="CP3898" s="48"/>
      <c r="CQ3898" s="48"/>
      <c r="CR3898" s="48"/>
      <c r="CS3898" s="48"/>
      <c r="CT3898" s="48"/>
      <c r="CU3898" s="48"/>
      <c r="CV3898" s="48"/>
      <c r="CW3898" s="48"/>
      <c r="CX3898" s="48"/>
      <c r="CY3898" s="48"/>
      <c r="CZ3898" s="48"/>
    </row>
    <row r="3899" spans="27:104" s="4" customFormat="1" x14ac:dyDescent="0.3">
      <c r="AA3899" s="48"/>
      <c r="AB3899" s="48"/>
      <c r="AC3899" s="48"/>
      <c r="AD3899" s="48"/>
      <c r="AE3899" s="48"/>
      <c r="AF3899" s="48"/>
      <c r="AG3899" s="48"/>
      <c r="AH3899" s="48"/>
      <c r="AI3899" s="48"/>
      <c r="AJ3899" s="48"/>
      <c r="AK3899" s="48"/>
      <c r="AL3899" s="48"/>
      <c r="AM3899" s="48"/>
      <c r="AN3899" s="48"/>
      <c r="AO3899" s="48"/>
      <c r="AP3899" s="48"/>
      <c r="AQ3899" s="48"/>
      <c r="AR3899" s="48"/>
      <c r="AS3899" s="48"/>
      <c r="AT3899" s="48"/>
      <c r="AU3899" s="48"/>
      <c r="AV3899" s="48"/>
      <c r="AW3899" s="48"/>
      <c r="AX3899" s="48"/>
      <c r="AY3899" s="48"/>
      <c r="AZ3899" s="48"/>
      <c r="BA3899" s="48"/>
      <c r="BB3899" s="14"/>
      <c r="BC3899" s="48"/>
      <c r="BD3899" s="48"/>
      <c r="BE3899" s="48"/>
      <c r="BF3899" s="48"/>
      <c r="BG3899" s="48"/>
      <c r="BH3899" s="48"/>
      <c r="BI3899" s="48"/>
      <c r="BJ3899" s="48"/>
      <c r="BK3899" s="48"/>
      <c r="BL3899" s="48"/>
      <c r="BM3899" s="48"/>
      <c r="BN3899" s="48"/>
      <c r="BO3899" s="48"/>
      <c r="BP3899" s="48"/>
      <c r="BQ3899" s="48"/>
      <c r="BR3899" s="48"/>
      <c r="BS3899" s="48"/>
      <c r="BT3899" s="48"/>
      <c r="BU3899" s="48"/>
      <c r="BV3899" s="48"/>
      <c r="BW3899" s="48"/>
      <c r="BX3899" s="48"/>
      <c r="BY3899" s="48"/>
      <c r="BZ3899" s="48"/>
      <c r="CA3899" s="48"/>
      <c r="CB3899" s="48"/>
      <c r="CC3899" s="48"/>
      <c r="CD3899" s="48"/>
      <c r="CE3899" s="48"/>
      <c r="CF3899" s="48"/>
      <c r="CG3899" s="48"/>
      <c r="CH3899" s="48"/>
      <c r="CI3899" s="48"/>
      <c r="CJ3899" s="48"/>
      <c r="CK3899" s="48"/>
      <c r="CL3899" s="48"/>
      <c r="CM3899" s="48"/>
      <c r="CN3899" s="48"/>
      <c r="CO3899" s="48"/>
      <c r="CP3899" s="48"/>
      <c r="CQ3899" s="48"/>
      <c r="CR3899" s="48"/>
      <c r="CS3899" s="48"/>
      <c r="CT3899" s="48"/>
      <c r="CU3899" s="48"/>
      <c r="CV3899" s="48"/>
      <c r="CW3899" s="48"/>
      <c r="CX3899" s="48"/>
      <c r="CY3899" s="48"/>
      <c r="CZ3899" s="48"/>
    </row>
    <row r="3900" spans="27:104" s="4" customFormat="1" x14ac:dyDescent="0.3">
      <c r="AA3900" s="48"/>
      <c r="AB3900" s="48"/>
      <c r="AC3900" s="48"/>
      <c r="AD3900" s="48"/>
      <c r="AE3900" s="48"/>
      <c r="AF3900" s="48"/>
      <c r="AG3900" s="48"/>
      <c r="AH3900" s="48"/>
      <c r="AI3900" s="48"/>
      <c r="AJ3900" s="48"/>
      <c r="AK3900" s="48"/>
      <c r="AL3900" s="48"/>
      <c r="AM3900" s="48"/>
      <c r="AN3900" s="48"/>
      <c r="AO3900" s="48"/>
      <c r="AP3900" s="48"/>
      <c r="AQ3900" s="48"/>
      <c r="AR3900" s="48"/>
      <c r="AS3900" s="48"/>
      <c r="AT3900" s="48"/>
      <c r="AU3900" s="48"/>
      <c r="AV3900" s="48"/>
      <c r="AW3900" s="48"/>
      <c r="AX3900" s="48"/>
      <c r="AY3900" s="48"/>
      <c r="AZ3900" s="48"/>
      <c r="BA3900" s="48"/>
      <c r="BB3900" s="14"/>
      <c r="BC3900" s="48"/>
      <c r="BD3900" s="48"/>
      <c r="BE3900" s="48"/>
      <c r="BF3900" s="48"/>
      <c r="BG3900" s="48"/>
      <c r="BH3900" s="48"/>
      <c r="BI3900" s="48"/>
      <c r="BJ3900" s="48"/>
      <c r="BK3900" s="48"/>
      <c r="BL3900" s="48"/>
      <c r="BM3900" s="48"/>
      <c r="BN3900" s="48"/>
      <c r="BO3900" s="48"/>
      <c r="BP3900" s="48"/>
      <c r="BQ3900" s="48"/>
      <c r="BR3900" s="48"/>
      <c r="BS3900" s="48"/>
      <c r="BT3900" s="48"/>
      <c r="BU3900" s="48"/>
      <c r="BV3900" s="48"/>
      <c r="BW3900" s="48"/>
      <c r="BX3900" s="48"/>
      <c r="BY3900" s="48"/>
      <c r="BZ3900" s="48"/>
      <c r="CA3900" s="48"/>
      <c r="CB3900" s="48"/>
      <c r="CC3900" s="48"/>
      <c r="CD3900" s="48"/>
      <c r="CE3900" s="48"/>
      <c r="CF3900" s="48"/>
      <c r="CG3900" s="48"/>
      <c r="CH3900" s="48"/>
      <c r="CI3900" s="48"/>
      <c r="CJ3900" s="48"/>
      <c r="CK3900" s="48"/>
      <c r="CL3900" s="48"/>
      <c r="CM3900" s="48"/>
      <c r="CN3900" s="48"/>
      <c r="CO3900" s="48"/>
      <c r="CP3900" s="48"/>
      <c r="CQ3900" s="48"/>
      <c r="CR3900" s="48"/>
      <c r="CS3900" s="48"/>
      <c r="CT3900" s="48"/>
      <c r="CU3900" s="48"/>
      <c r="CV3900" s="48"/>
      <c r="CW3900" s="48"/>
      <c r="CX3900" s="48"/>
      <c r="CY3900" s="48"/>
      <c r="CZ3900" s="48"/>
    </row>
    <row r="3901" spans="27:104" s="4" customFormat="1" x14ac:dyDescent="0.3">
      <c r="AA3901" s="48"/>
      <c r="AB3901" s="48"/>
      <c r="AC3901" s="48"/>
      <c r="AD3901" s="48"/>
      <c r="AE3901" s="48"/>
      <c r="AF3901" s="48"/>
      <c r="AG3901" s="48"/>
      <c r="AH3901" s="48"/>
      <c r="AI3901" s="48"/>
      <c r="AJ3901" s="48"/>
      <c r="AK3901" s="48"/>
      <c r="AL3901" s="48"/>
      <c r="AM3901" s="48"/>
      <c r="AN3901" s="48"/>
      <c r="AO3901" s="48"/>
      <c r="AP3901" s="48"/>
      <c r="AQ3901" s="48"/>
      <c r="AR3901" s="48"/>
      <c r="AS3901" s="48"/>
      <c r="AT3901" s="48"/>
      <c r="AU3901" s="48"/>
      <c r="AV3901" s="48"/>
      <c r="AW3901" s="48"/>
      <c r="AX3901" s="48"/>
      <c r="AY3901" s="48"/>
      <c r="AZ3901" s="48"/>
      <c r="BA3901" s="48"/>
      <c r="BB3901" s="14"/>
      <c r="BC3901" s="48"/>
      <c r="BD3901" s="48"/>
      <c r="BE3901" s="48"/>
      <c r="BF3901" s="48"/>
      <c r="BG3901" s="48"/>
      <c r="BH3901" s="48"/>
      <c r="BI3901" s="48"/>
      <c r="BJ3901" s="48"/>
      <c r="BK3901" s="48"/>
      <c r="BL3901" s="48"/>
      <c r="BM3901" s="48"/>
      <c r="BN3901" s="48"/>
      <c r="BO3901" s="48"/>
      <c r="BP3901" s="48"/>
      <c r="BQ3901" s="48"/>
      <c r="BR3901" s="48"/>
      <c r="BS3901" s="48"/>
      <c r="BT3901" s="48"/>
      <c r="BU3901" s="48"/>
      <c r="BV3901" s="48"/>
      <c r="BW3901" s="48"/>
      <c r="BX3901" s="48"/>
      <c r="BY3901" s="48"/>
      <c r="BZ3901" s="48"/>
      <c r="CA3901" s="48"/>
      <c r="CB3901" s="48"/>
      <c r="CC3901" s="48"/>
      <c r="CD3901" s="48"/>
      <c r="CE3901" s="48"/>
      <c r="CF3901" s="48"/>
      <c r="CG3901" s="48"/>
      <c r="CH3901" s="48"/>
      <c r="CI3901" s="48"/>
      <c r="CJ3901" s="48"/>
      <c r="CK3901" s="48"/>
      <c r="CL3901" s="48"/>
      <c r="CM3901" s="48"/>
      <c r="CN3901" s="48"/>
      <c r="CO3901" s="48"/>
      <c r="CP3901" s="48"/>
      <c r="CQ3901" s="48"/>
      <c r="CR3901" s="48"/>
      <c r="CS3901" s="48"/>
      <c r="CT3901" s="48"/>
      <c r="CU3901" s="48"/>
      <c r="CV3901" s="48"/>
      <c r="CW3901" s="48"/>
      <c r="CX3901" s="48"/>
      <c r="CY3901" s="48"/>
      <c r="CZ3901" s="48"/>
    </row>
    <row r="3902" spans="27:104" s="4" customFormat="1" x14ac:dyDescent="0.3">
      <c r="AA3902" s="48"/>
      <c r="AB3902" s="48"/>
      <c r="AC3902" s="48"/>
      <c r="AD3902" s="48"/>
      <c r="AE3902" s="48"/>
      <c r="AF3902" s="48"/>
      <c r="AG3902" s="48"/>
      <c r="AH3902" s="48"/>
      <c r="AI3902" s="48"/>
      <c r="AJ3902" s="48"/>
      <c r="AK3902" s="48"/>
      <c r="AL3902" s="48"/>
      <c r="AM3902" s="48"/>
      <c r="AN3902" s="48"/>
      <c r="AO3902" s="48"/>
      <c r="AP3902" s="48"/>
      <c r="AQ3902" s="48"/>
      <c r="AR3902" s="48"/>
      <c r="AS3902" s="48"/>
      <c r="AT3902" s="48"/>
      <c r="AU3902" s="48"/>
      <c r="AV3902" s="48"/>
      <c r="AW3902" s="48"/>
      <c r="AX3902" s="48"/>
      <c r="AY3902" s="48"/>
      <c r="AZ3902" s="48"/>
      <c r="BA3902" s="48"/>
      <c r="BB3902" s="14"/>
      <c r="BC3902" s="48"/>
      <c r="BD3902" s="48"/>
      <c r="BE3902" s="48"/>
      <c r="BF3902" s="48"/>
      <c r="BG3902" s="48"/>
      <c r="BH3902" s="48"/>
      <c r="BI3902" s="48"/>
      <c r="BJ3902" s="48"/>
      <c r="BK3902" s="48"/>
      <c r="BL3902" s="48"/>
      <c r="BM3902" s="48"/>
      <c r="BN3902" s="48"/>
      <c r="BO3902" s="48"/>
      <c r="BP3902" s="48"/>
      <c r="BQ3902" s="48"/>
      <c r="BR3902" s="48"/>
      <c r="BS3902" s="48"/>
      <c r="BT3902" s="48"/>
      <c r="BU3902" s="48"/>
      <c r="BV3902" s="48"/>
      <c r="BW3902" s="48"/>
      <c r="BX3902" s="48"/>
      <c r="BY3902" s="48"/>
      <c r="BZ3902" s="48"/>
      <c r="CA3902" s="48"/>
      <c r="CB3902" s="48"/>
      <c r="CC3902" s="48"/>
      <c r="CD3902" s="48"/>
      <c r="CE3902" s="48"/>
      <c r="CF3902" s="48"/>
      <c r="CG3902" s="48"/>
      <c r="CH3902" s="48"/>
      <c r="CI3902" s="48"/>
      <c r="CJ3902" s="48"/>
      <c r="CK3902" s="48"/>
      <c r="CL3902" s="48"/>
      <c r="CM3902" s="48"/>
      <c r="CN3902" s="48"/>
      <c r="CO3902" s="48"/>
      <c r="CP3902" s="48"/>
      <c r="CQ3902" s="48"/>
      <c r="CR3902" s="48"/>
      <c r="CS3902" s="48"/>
      <c r="CT3902" s="48"/>
      <c r="CU3902" s="48"/>
      <c r="CV3902" s="48"/>
      <c r="CW3902" s="48"/>
      <c r="CX3902" s="48"/>
      <c r="CY3902" s="48"/>
      <c r="CZ3902" s="48"/>
    </row>
    <row r="3903" spans="27:104" s="4" customFormat="1" x14ac:dyDescent="0.3">
      <c r="AA3903" s="48"/>
      <c r="AB3903" s="48"/>
      <c r="AC3903" s="48"/>
      <c r="AD3903" s="48"/>
      <c r="AE3903" s="48"/>
      <c r="AF3903" s="48"/>
      <c r="AG3903" s="48"/>
      <c r="AH3903" s="48"/>
      <c r="AI3903" s="48"/>
      <c r="AJ3903" s="48"/>
      <c r="AK3903" s="48"/>
      <c r="AL3903" s="48"/>
      <c r="AM3903" s="48"/>
      <c r="AN3903" s="48"/>
      <c r="AO3903" s="48"/>
      <c r="AP3903" s="48"/>
      <c r="AQ3903" s="48"/>
      <c r="AR3903" s="48"/>
      <c r="AS3903" s="48"/>
      <c r="AT3903" s="48"/>
      <c r="AU3903" s="48"/>
      <c r="AV3903" s="48"/>
      <c r="AW3903" s="48"/>
      <c r="AX3903" s="48"/>
      <c r="AY3903" s="48"/>
      <c r="AZ3903" s="48"/>
      <c r="BA3903" s="48"/>
      <c r="BB3903" s="14"/>
      <c r="BC3903" s="48"/>
      <c r="BD3903" s="48"/>
      <c r="BE3903" s="48"/>
      <c r="BF3903" s="48"/>
      <c r="BG3903" s="48"/>
      <c r="BH3903" s="48"/>
      <c r="BI3903" s="48"/>
      <c r="BJ3903" s="48"/>
      <c r="BK3903" s="48"/>
      <c r="BL3903" s="48"/>
      <c r="BM3903" s="48"/>
      <c r="BN3903" s="48"/>
      <c r="BO3903" s="48"/>
      <c r="BP3903" s="48"/>
      <c r="BQ3903" s="48"/>
      <c r="BR3903" s="48"/>
      <c r="BS3903" s="48"/>
      <c r="BT3903" s="48"/>
      <c r="BU3903" s="48"/>
      <c r="BV3903" s="48"/>
      <c r="BW3903" s="48"/>
      <c r="BX3903" s="48"/>
      <c r="BY3903" s="48"/>
      <c r="BZ3903" s="48"/>
      <c r="CA3903" s="48"/>
      <c r="CB3903" s="48"/>
      <c r="CC3903" s="48"/>
      <c r="CD3903" s="48"/>
      <c r="CE3903" s="48"/>
      <c r="CF3903" s="48"/>
      <c r="CG3903" s="48"/>
      <c r="CH3903" s="48"/>
      <c r="CI3903" s="48"/>
      <c r="CJ3903" s="48"/>
      <c r="CK3903" s="48"/>
      <c r="CL3903" s="48"/>
      <c r="CM3903" s="48"/>
      <c r="CN3903" s="48"/>
      <c r="CO3903" s="48"/>
      <c r="CP3903" s="48"/>
      <c r="CQ3903" s="48"/>
      <c r="CR3903" s="48"/>
      <c r="CS3903" s="48"/>
      <c r="CT3903" s="48"/>
      <c r="CU3903" s="48"/>
      <c r="CV3903" s="48"/>
      <c r="CW3903" s="48"/>
      <c r="CX3903" s="48"/>
      <c r="CY3903" s="48"/>
      <c r="CZ3903" s="48"/>
    </row>
    <row r="3904" spans="27:104" s="4" customFormat="1" x14ac:dyDescent="0.3">
      <c r="AA3904" s="48"/>
      <c r="AB3904" s="48"/>
      <c r="AC3904" s="48"/>
      <c r="AD3904" s="48"/>
      <c r="AE3904" s="48"/>
      <c r="AF3904" s="48"/>
      <c r="AG3904" s="48"/>
      <c r="AH3904" s="48"/>
      <c r="AI3904" s="48"/>
      <c r="AJ3904" s="48"/>
      <c r="AK3904" s="48"/>
      <c r="AL3904" s="48"/>
      <c r="AM3904" s="48"/>
      <c r="AN3904" s="48"/>
      <c r="AO3904" s="48"/>
      <c r="AP3904" s="48"/>
      <c r="AQ3904" s="48"/>
      <c r="AR3904" s="48"/>
      <c r="AS3904" s="48"/>
      <c r="AT3904" s="48"/>
      <c r="AU3904" s="48"/>
      <c r="AV3904" s="48"/>
      <c r="AW3904" s="48"/>
      <c r="AX3904" s="48"/>
      <c r="AY3904" s="48"/>
      <c r="AZ3904" s="48"/>
      <c r="BA3904" s="48"/>
      <c r="BB3904" s="14"/>
      <c r="BC3904" s="48"/>
      <c r="BD3904" s="48"/>
      <c r="BE3904" s="48"/>
      <c r="BF3904" s="48"/>
      <c r="BG3904" s="48"/>
      <c r="BH3904" s="48"/>
      <c r="BI3904" s="48"/>
      <c r="BJ3904" s="48"/>
      <c r="BK3904" s="48"/>
      <c r="BL3904" s="48"/>
      <c r="BM3904" s="48"/>
      <c r="BN3904" s="48"/>
      <c r="BO3904" s="48"/>
      <c r="BP3904" s="48"/>
      <c r="BQ3904" s="48"/>
      <c r="BR3904" s="48"/>
      <c r="BS3904" s="48"/>
      <c r="BT3904" s="48"/>
      <c r="BU3904" s="48"/>
      <c r="BV3904" s="48"/>
      <c r="BW3904" s="48"/>
      <c r="BX3904" s="48"/>
      <c r="BY3904" s="48"/>
      <c r="BZ3904" s="48"/>
      <c r="CA3904" s="48"/>
      <c r="CB3904" s="48"/>
      <c r="CC3904" s="48"/>
      <c r="CD3904" s="48"/>
      <c r="CE3904" s="48"/>
      <c r="CF3904" s="48"/>
      <c r="CG3904" s="48"/>
      <c r="CH3904" s="48"/>
      <c r="CI3904" s="48"/>
      <c r="CJ3904" s="48"/>
      <c r="CK3904" s="48"/>
      <c r="CL3904" s="48"/>
      <c r="CM3904" s="48"/>
      <c r="CN3904" s="48"/>
      <c r="CO3904" s="48"/>
      <c r="CP3904" s="48"/>
      <c r="CQ3904" s="48"/>
      <c r="CR3904" s="48"/>
      <c r="CS3904" s="48"/>
      <c r="CT3904" s="48"/>
      <c r="CU3904" s="48"/>
      <c r="CV3904" s="48"/>
      <c r="CW3904" s="48"/>
      <c r="CX3904" s="48"/>
      <c r="CY3904" s="48"/>
      <c r="CZ3904" s="48"/>
    </row>
    <row r="3905" spans="27:104" s="4" customFormat="1" x14ac:dyDescent="0.3">
      <c r="AA3905" s="48"/>
      <c r="AB3905" s="48"/>
      <c r="AC3905" s="48"/>
      <c r="AD3905" s="48"/>
      <c r="AE3905" s="48"/>
      <c r="AF3905" s="48"/>
      <c r="AG3905" s="48"/>
      <c r="AH3905" s="48"/>
      <c r="AI3905" s="48"/>
      <c r="AJ3905" s="48"/>
      <c r="AK3905" s="48"/>
      <c r="AL3905" s="48"/>
      <c r="AM3905" s="48"/>
      <c r="AN3905" s="48"/>
      <c r="AO3905" s="48"/>
      <c r="AP3905" s="48"/>
      <c r="AQ3905" s="48"/>
      <c r="AR3905" s="48"/>
      <c r="AS3905" s="48"/>
      <c r="AT3905" s="48"/>
      <c r="AU3905" s="48"/>
      <c r="AV3905" s="48"/>
      <c r="AW3905" s="48"/>
      <c r="AX3905" s="48"/>
      <c r="AY3905" s="48"/>
      <c r="AZ3905" s="48"/>
      <c r="BA3905" s="48"/>
      <c r="BB3905" s="14"/>
      <c r="BC3905" s="48"/>
      <c r="BD3905" s="48"/>
      <c r="BE3905" s="48"/>
      <c r="BF3905" s="48"/>
      <c r="BG3905" s="48"/>
      <c r="BH3905" s="48"/>
      <c r="BI3905" s="48"/>
      <c r="BJ3905" s="48"/>
      <c r="BK3905" s="48"/>
      <c r="BL3905" s="48"/>
      <c r="BM3905" s="48"/>
      <c r="BN3905" s="48"/>
      <c r="BO3905" s="48"/>
      <c r="BP3905" s="48"/>
      <c r="BQ3905" s="48"/>
      <c r="BR3905" s="48"/>
      <c r="BS3905" s="48"/>
      <c r="BT3905" s="48"/>
      <c r="BU3905" s="48"/>
      <c r="BV3905" s="48"/>
      <c r="BW3905" s="48"/>
      <c r="BX3905" s="48"/>
      <c r="BY3905" s="48"/>
      <c r="BZ3905" s="48"/>
      <c r="CA3905" s="48"/>
      <c r="CB3905" s="48"/>
      <c r="CC3905" s="48"/>
      <c r="CD3905" s="48"/>
      <c r="CE3905" s="48"/>
      <c r="CF3905" s="48"/>
      <c r="CG3905" s="48"/>
      <c r="CH3905" s="48"/>
      <c r="CI3905" s="48"/>
      <c r="CJ3905" s="48"/>
      <c r="CK3905" s="48"/>
      <c r="CL3905" s="48"/>
      <c r="CM3905" s="48"/>
      <c r="CN3905" s="48"/>
      <c r="CO3905" s="48"/>
      <c r="CP3905" s="48"/>
      <c r="CQ3905" s="48"/>
      <c r="CR3905" s="48"/>
      <c r="CS3905" s="48"/>
      <c r="CT3905" s="48"/>
      <c r="CU3905" s="48"/>
      <c r="CV3905" s="48"/>
      <c r="CW3905" s="48"/>
      <c r="CX3905" s="48"/>
      <c r="CY3905" s="48"/>
      <c r="CZ3905" s="48"/>
    </row>
    <row r="3906" spans="27:104" s="4" customFormat="1" x14ac:dyDescent="0.3">
      <c r="AA3906" s="48"/>
      <c r="AB3906" s="48"/>
      <c r="AC3906" s="48"/>
      <c r="AD3906" s="48"/>
      <c r="AE3906" s="48"/>
      <c r="AF3906" s="48"/>
      <c r="AG3906" s="48"/>
      <c r="AH3906" s="48"/>
      <c r="AI3906" s="48"/>
      <c r="AJ3906" s="48"/>
      <c r="AK3906" s="48"/>
      <c r="AL3906" s="48"/>
      <c r="AM3906" s="48"/>
      <c r="AN3906" s="48"/>
      <c r="AO3906" s="48"/>
      <c r="AP3906" s="48"/>
      <c r="AQ3906" s="48"/>
      <c r="AR3906" s="48"/>
      <c r="AS3906" s="48"/>
      <c r="AT3906" s="48"/>
      <c r="AU3906" s="48"/>
      <c r="AV3906" s="48"/>
      <c r="AW3906" s="48"/>
      <c r="AX3906" s="48"/>
      <c r="AY3906" s="48"/>
      <c r="AZ3906" s="48"/>
      <c r="BA3906" s="48"/>
      <c r="BB3906" s="14"/>
      <c r="BC3906" s="48"/>
      <c r="BD3906" s="48"/>
      <c r="BE3906" s="48"/>
      <c r="BF3906" s="48"/>
      <c r="BG3906" s="48"/>
      <c r="BH3906" s="48"/>
      <c r="BI3906" s="48"/>
      <c r="BJ3906" s="48"/>
      <c r="BK3906" s="48"/>
      <c r="BL3906" s="48"/>
      <c r="BM3906" s="48"/>
      <c r="BN3906" s="48"/>
      <c r="BO3906" s="48"/>
      <c r="BP3906" s="48"/>
      <c r="BQ3906" s="48"/>
      <c r="BR3906" s="48"/>
      <c r="BS3906" s="48"/>
      <c r="BT3906" s="48"/>
      <c r="BU3906" s="48"/>
      <c r="BV3906" s="48"/>
      <c r="BW3906" s="48"/>
      <c r="BX3906" s="48"/>
      <c r="BY3906" s="48"/>
      <c r="BZ3906" s="48"/>
      <c r="CA3906" s="48"/>
      <c r="CB3906" s="48"/>
      <c r="CC3906" s="48"/>
      <c r="CD3906" s="48"/>
      <c r="CE3906" s="48"/>
      <c r="CF3906" s="48"/>
      <c r="CG3906" s="48"/>
      <c r="CH3906" s="48"/>
      <c r="CI3906" s="48"/>
      <c r="CJ3906" s="48"/>
      <c r="CK3906" s="48"/>
      <c r="CL3906" s="48"/>
      <c r="CM3906" s="48"/>
      <c r="CN3906" s="48"/>
      <c r="CO3906" s="48"/>
      <c r="CP3906" s="48"/>
      <c r="CQ3906" s="48"/>
      <c r="CR3906" s="48"/>
      <c r="CS3906" s="48"/>
      <c r="CT3906" s="48"/>
      <c r="CU3906" s="48"/>
      <c r="CV3906" s="48"/>
      <c r="CW3906" s="48"/>
      <c r="CX3906" s="48"/>
      <c r="CY3906" s="48"/>
      <c r="CZ3906" s="48"/>
    </row>
    <row r="3907" spans="27:104" s="4" customFormat="1" x14ac:dyDescent="0.3">
      <c r="AA3907" s="48"/>
      <c r="AB3907" s="48"/>
      <c r="AC3907" s="48"/>
      <c r="AD3907" s="48"/>
      <c r="AE3907" s="48"/>
      <c r="AF3907" s="48"/>
      <c r="AG3907" s="48"/>
      <c r="AH3907" s="48"/>
      <c r="AI3907" s="48"/>
      <c r="AJ3907" s="48"/>
      <c r="AK3907" s="48"/>
      <c r="AL3907" s="48"/>
      <c r="AM3907" s="48"/>
      <c r="AN3907" s="48"/>
      <c r="AO3907" s="48"/>
      <c r="AP3907" s="48"/>
      <c r="AQ3907" s="48"/>
      <c r="AR3907" s="48"/>
      <c r="AS3907" s="48"/>
      <c r="AT3907" s="48"/>
      <c r="AU3907" s="48"/>
      <c r="AV3907" s="48"/>
      <c r="AW3907" s="48"/>
      <c r="AX3907" s="48"/>
      <c r="AY3907" s="48"/>
      <c r="AZ3907" s="48"/>
      <c r="BA3907" s="48"/>
      <c r="BB3907" s="14"/>
      <c r="BC3907" s="48"/>
      <c r="BD3907" s="48"/>
      <c r="BE3907" s="48"/>
      <c r="BF3907" s="48"/>
      <c r="BG3907" s="48"/>
      <c r="BH3907" s="48"/>
      <c r="BI3907" s="48"/>
      <c r="BJ3907" s="48"/>
      <c r="BK3907" s="48"/>
      <c r="BL3907" s="48"/>
      <c r="BM3907" s="48"/>
      <c r="BN3907" s="48"/>
      <c r="BO3907" s="48"/>
      <c r="BP3907" s="48"/>
      <c r="BQ3907" s="48"/>
      <c r="BR3907" s="48"/>
      <c r="BS3907" s="48"/>
      <c r="BT3907" s="48"/>
      <c r="BU3907" s="48"/>
      <c r="BV3907" s="48"/>
      <c r="BW3907" s="48"/>
      <c r="BX3907" s="48"/>
      <c r="BY3907" s="48"/>
      <c r="BZ3907" s="48"/>
      <c r="CA3907" s="48"/>
      <c r="CB3907" s="48"/>
      <c r="CC3907" s="48"/>
      <c r="CD3907" s="48"/>
      <c r="CE3907" s="48"/>
      <c r="CF3907" s="48"/>
      <c r="CG3907" s="48"/>
      <c r="CH3907" s="48"/>
      <c r="CI3907" s="48"/>
      <c r="CJ3907" s="48"/>
      <c r="CK3907" s="48"/>
      <c r="CL3907" s="48"/>
      <c r="CM3907" s="48"/>
      <c r="CN3907" s="48"/>
      <c r="CO3907" s="48"/>
      <c r="CP3907" s="48"/>
      <c r="CQ3907" s="48"/>
      <c r="CR3907" s="48"/>
      <c r="CS3907" s="48"/>
      <c r="CT3907" s="48"/>
      <c r="CU3907" s="48"/>
      <c r="CV3907" s="48"/>
      <c r="CW3907" s="48"/>
      <c r="CX3907" s="48"/>
      <c r="CY3907" s="48"/>
      <c r="CZ3907" s="48"/>
    </row>
    <row r="3908" spans="27:104" s="4" customFormat="1" x14ac:dyDescent="0.3">
      <c r="AA3908" s="48"/>
      <c r="AB3908" s="48"/>
      <c r="AC3908" s="48"/>
      <c r="AD3908" s="48"/>
      <c r="AE3908" s="48"/>
      <c r="AF3908" s="48"/>
      <c r="AG3908" s="48"/>
      <c r="AH3908" s="48"/>
      <c r="AI3908" s="48"/>
      <c r="AJ3908" s="48"/>
      <c r="AK3908" s="48"/>
      <c r="AL3908" s="48"/>
      <c r="AM3908" s="48"/>
      <c r="AN3908" s="48"/>
      <c r="AO3908" s="48"/>
      <c r="AP3908" s="48"/>
      <c r="AQ3908" s="48"/>
      <c r="AR3908" s="48"/>
      <c r="AS3908" s="48"/>
      <c r="AT3908" s="48"/>
      <c r="AU3908" s="48"/>
      <c r="AV3908" s="48"/>
      <c r="AW3908" s="48"/>
      <c r="AX3908" s="48"/>
      <c r="AY3908" s="48"/>
      <c r="AZ3908" s="48"/>
      <c r="BA3908" s="48"/>
      <c r="BB3908" s="14"/>
      <c r="BC3908" s="48"/>
      <c r="BD3908" s="48"/>
      <c r="BE3908" s="48"/>
      <c r="BF3908" s="48"/>
      <c r="BG3908" s="48"/>
      <c r="BH3908" s="48"/>
      <c r="BI3908" s="48"/>
      <c r="BJ3908" s="48"/>
      <c r="BK3908" s="48"/>
      <c r="BL3908" s="48"/>
      <c r="BM3908" s="48"/>
      <c r="BN3908" s="48"/>
      <c r="BO3908" s="48"/>
      <c r="BP3908" s="48"/>
      <c r="BQ3908" s="48"/>
      <c r="BR3908" s="48"/>
      <c r="BS3908" s="48"/>
      <c r="BT3908" s="48"/>
      <c r="BU3908" s="48"/>
      <c r="BV3908" s="48"/>
      <c r="BW3908" s="48"/>
      <c r="BX3908" s="48"/>
      <c r="BY3908" s="48"/>
      <c r="BZ3908" s="48"/>
      <c r="CA3908" s="48"/>
      <c r="CB3908" s="48"/>
      <c r="CC3908" s="48"/>
      <c r="CD3908" s="48"/>
      <c r="CE3908" s="48"/>
      <c r="CF3908" s="48"/>
      <c r="CG3908" s="48"/>
      <c r="CH3908" s="48"/>
      <c r="CI3908" s="48"/>
      <c r="CJ3908" s="48"/>
      <c r="CK3908" s="48"/>
      <c r="CL3908" s="48"/>
      <c r="CM3908" s="48"/>
      <c r="CN3908" s="48"/>
      <c r="CO3908" s="48"/>
      <c r="CP3908" s="48"/>
      <c r="CQ3908" s="48"/>
      <c r="CR3908" s="48"/>
      <c r="CS3908" s="48"/>
      <c r="CT3908" s="48"/>
      <c r="CU3908" s="48"/>
      <c r="CV3908" s="48"/>
      <c r="CW3908" s="48"/>
      <c r="CX3908" s="48"/>
      <c r="CY3908" s="48"/>
      <c r="CZ3908" s="48"/>
    </row>
    <row r="3909" spans="27:104" s="4" customFormat="1" x14ac:dyDescent="0.3">
      <c r="AA3909" s="48"/>
      <c r="AB3909" s="48"/>
      <c r="AC3909" s="48"/>
      <c r="AD3909" s="48"/>
      <c r="AE3909" s="48"/>
      <c r="AF3909" s="48"/>
      <c r="AG3909" s="48"/>
      <c r="AH3909" s="48"/>
      <c r="AI3909" s="48"/>
      <c r="AJ3909" s="48"/>
      <c r="AK3909" s="48"/>
      <c r="AL3909" s="48"/>
      <c r="AM3909" s="48"/>
      <c r="AN3909" s="48"/>
      <c r="AO3909" s="48"/>
      <c r="AP3909" s="48"/>
      <c r="AQ3909" s="48"/>
      <c r="AR3909" s="48"/>
      <c r="AS3909" s="48"/>
      <c r="AT3909" s="48"/>
      <c r="AU3909" s="48"/>
      <c r="AV3909" s="48"/>
      <c r="AW3909" s="48"/>
      <c r="AX3909" s="48"/>
      <c r="AY3909" s="48"/>
      <c r="AZ3909" s="48"/>
      <c r="BA3909" s="48"/>
      <c r="BB3909" s="14"/>
      <c r="BC3909" s="48"/>
      <c r="BD3909" s="48"/>
      <c r="BE3909" s="48"/>
      <c r="BF3909" s="48"/>
      <c r="BG3909" s="48"/>
      <c r="BH3909" s="48"/>
      <c r="BI3909" s="48"/>
      <c r="BJ3909" s="48"/>
      <c r="BK3909" s="48"/>
      <c r="BL3909" s="48"/>
      <c r="BM3909" s="48"/>
      <c r="BN3909" s="48"/>
      <c r="BO3909" s="48"/>
      <c r="BP3909" s="48"/>
      <c r="BQ3909" s="48"/>
      <c r="BR3909" s="48"/>
      <c r="BS3909" s="48"/>
      <c r="BT3909" s="48"/>
      <c r="BU3909" s="48"/>
      <c r="BV3909" s="48"/>
      <c r="BW3909" s="48"/>
      <c r="BX3909" s="48"/>
      <c r="BY3909" s="48"/>
      <c r="BZ3909" s="48"/>
      <c r="CA3909" s="48"/>
      <c r="CB3909" s="48"/>
      <c r="CC3909" s="48"/>
      <c r="CD3909" s="48"/>
      <c r="CE3909" s="48"/>
      <c r="CF3909" s="48"/>
      <c r="CG3909" s="48"/>
      <c r="CH3909" s="48"/>
      <c r="CI3909" s="48"/>
      <c r="CJ3909" s="48"/>
      <c r="CK3909" s="48"/>
      <c r="CL3909" s="48"/>
      <c r="CM3909" s="48"/>
      <c r="CN3909" s="48"/>
      <c r="CO3909" s="48"/>
      <c r="CP3909" s="48"/>
      <c r="CQ3909" s="48"/>
      <c r="CR3909" s="48"/>
      <c r="CS3909" s="48"/>
      <c r="CT3909" s="48"/>
      <c r="CU3909" s="48"/>
      <c r="CV3909" s="48"/>
      <c r="CW3909" s="48"/>
      <c r="CX3909" s="48"/>
      <c r="CY3909" s="48"/>
      <c r="CZ3909" s="48"/>
    </row>
    <row r="3910" spans="27:104" s="4" customFormat="1" x14ac:dyDescent="0.3">
      <c r="AA3910" s="48"/>
      <c r="AB3910" s="48"/>
      <c r="AC3910" s="48"/>
      <c r="AD3910" s="48"/>
      <c r="AE3910" s="48"/>
      <c r="AF3910" s="48"/>
      <c r="AG3910" s="48"/>
      <c r="AH3910" s="48"/>
      <c r="AI3910" s="48"/>
      <c r="AJ3910" s="48"/>
      <c r="AK3910" s="48"/>
      <c r="AL3910" s="48"/>
      <c r="AM3910" s="48"/>
      <c r="AN3910" s="48"/>
      <c r="AO3910" s="48"/>
      <c r="AP3910" s="48"/>
      <c r="AQ3910" s="48"/>
      <c r="AR3910" s="48"/>
      <c r="AS3910" s="48"/>
      <c r="AT3910" s="48"/>
      <c r="AU3910" s="48"/>
      <c r="AV3910" s="48"/>
      <c r="AW3910" s="48"/>
      <c r="AX3910" s="48"/>
      <c r="AY3910" s="48"/>
      <c r="AZ3910" s="48"/>
      <c r="BA3910" s="48"/>
      <c r="BB3910" s="14"/>
      <c r="BC3910" s="48"/>
      <c r="BD3910" s="48"/>
      <c r="BE3910" s="48"/>
      <c r="BF3910" s="48"/>
      <c r="BG3910" s="48"/>
      <c r="BH3910" s="48"/>
      <c r="BI3910" s="48"/>
      <c r="BJ3910" s="48"/>
      <c r="BK3910" s="48"/>
      <c r="BL3910" s="48"/>
      <c r="BM3910" s="48"/>
      <c r="BN3910" s="48"/>
      <c r="BO3910" s="48"/>
      <c r="BP3910" s="48"/>
      <c r="BQ3910" s="48"/>
      <c r="BR3910" s="48"/>
      <c r="BS3910" s="48"/>
      <c r="BT3910" s="48"/>
      <c r="BU3910" s="48"/>
      <c r="BV3910" s="48"/>
      <c r="BW3910" s="48"/>
      <c r="BX3910" s="48"/>
      <c r="BY3910" s="48"/>
      <c r="BZ3910" s="48"/>
      <c r="CA3910" s="48"/>
      <c r="CB3910" s="48"/>
      <c r="CC3910" s="48"/>
      <c r="CD3910" s="48"/>
      <c r="CE3910" s="48"/>
      <c r="CF3910" s="48"/>
      <c r="CG3910" s="48"/>
      <c r="CH3910" s="48"/>
      <c r="CI3910" s="48"/>
      <c r="CJ3910" s="48"/>
      <c r="CK3910" s="48"/>
      <c r="CL3910" s="48"/>
      <c r="CM3910" s="48"/>
      <c r="CN3910" s="48"/>
      <c r="CO3910" s="48"/>
      <c r="CP3910" s="48"/>
      <c r="CQ3910" s="48"/>
      <c r="CR3910" s="48"/>
      <c r="CS3910" s="48"/>
      <c r="CT3910" s="48"/>
      <c r="CU3910" s="48"/>
      <c r="CV3910" s="48"/>
      <c r="CW3910" s="48"/>
      <c r="CX3910" s="48"/>
      <c r="CY3910" s="48"/>
      <c r="CZ3910" s="48"/>
    </row>
    <row r="3911" spans="27:104" s="4" customFormat="1" x14ac:dyDescent="0.3">
      <c r="AA3911" s="48"/>
      <c r="AB3911" s="48"/>
      <c r="AC3911" s="48"/>
      <c r="AD3911" s="48"/>
      <c r="AE3911" s="48"/>
      <c r="AF3911" s="48"/>
      <c r="AG3911" s="48"/>
      <c r="AH3911" s="48"/>
      <c r="AI3911" s="48"/>
      <c r="AJ3911" s="48"/>
      <c r="AK3911" s="48"/>
      <c r="AL3911" s="48"/>
      <c r="AM3911" s="48"/>
      <c r="AN3911" s="48"/>
      <c r="AO3911" s="48"/>
      <c r="AP3911" s="48"/>
      <c r="AQ3911" s="48"/>
      <c r="AR3911" s="48"/>
      <c r="AS3911" s="48"/>
      <c r="AT3911" s="48"/>
      <c r="AU3911" s="48"/>
      <c r="AV3911" s="48"/>
      <c r="AW3911" s="48"/>
      <c r="AX3911" s="48"/>
      <c r="AY3911" s="48"/>
      <c r="AZ3911" s="48"/>
      <c r="BA3911" s="48"/>
      <c r="BB3911" s="14"/>
      <c r="BC3911" s="48"/>
      <c r="BD3911" s="48"/>
      <c r="BE3911" s="48"/>
      <c r="BF3911" s="48"/>
      <c r="BG3911" s="48"/>
      <c r="BH3911" s="48"/>
      <c r="BI3911" s="48"/>
      <c r="BJ3911" s="48"/>
      <c r="BK3911" s="48"/>
      <c r="BL3911" s="48"/>
      <c r="BM3911" s="48"/>
      <c r="BN3911" s="48"/>
      <c r="BO3911" s="48"/>
      <c r="BP3911" s="48"/>
      <c r="BQ3911" s="48"/>
      <c r="BR3911" s="48"/>
      <c r="BS3911" s="48"/>
      <c r="BT3911" s="48"/>
      <c r="BU3911" s="48"/>
      <c r="BV3911" s="48"/>
      <c r="BW3911" s="48"/>
      <c r="BX3911" s="48"/>
      <c r="BY3911" s="48"/>
      <c r="BZ3911" s="48"/>
      <c r="CA3911" s="48"/>
      <c r="CB3911" s="48"/>
      <c r="CC3911" s="48"/>
      <c r="CD3911" s="48"/>
      <c r="CE3911" s="48"/>
      <c r="CF3911" s="48"/>
      <c r="CG3911" s="48"/>
      <c r="CH3911" s="48"/>
      <c r="CI3911" s="48"/>
      <c r="CJ3911" s="48"/>
      <c r="CK3911" s="48"/>
      <c r="CL3911" s="48"/>
      <c r="CM3911" s="48"/>
      <c r="CN3911" s="48"/>
      <c r="CO3911" s="48"/>
      <c r="CP3911" s="48"/>
      <c r="CQ3911" s="48"/>
      <c r="CR3911" s="48"/>
      <c r="CS3911" s="48"/>
      <c r="CT3911" s="48"/>
      <c r="CU3911" s="48"/>
      <c r="CV3911" s="48"/>
      <c r="CW3911" s="48"/>
      <c r="CX3911" s="48"/>
      <c r="CY3911" s="48"/>
      <c r="CZ3911" s="48"/>
    </row>
    <row r="3912" spans="27:104" s="4" customFormat="1" x14ac:dyDescent="0.3">
      <c r="AA3912" s="48"/>
      <c r="AB3912" s="48"/>
      <c r="AC3912" s="48"/>
      <c r="AD3912" s="48"/>
      <c r="AE3912" s="48"/>
      <c r="AF3912" s="48"/>
      <c r="AG3912" s="48"/>
      <c r="AH3912" s="48"/>
      <c r="AI3912" s="48"/>
      <c r="AJ3912" s="48"/>
      <c r="AK3912" s="48"/>
      <c r="AL3912" s="48"/>
      <c r="AM3912" s="48"/>
      <c r="AN3912" s="48"/>
      <c r="AO3912" s="48"/>
      <c r="AP3912" s="48"/>
      <c r="AQ3912" s="48"/>
      <c r="AR3912" s="48"/>
      <c r="AS3912" s="48"/>
      <c r="AT3912" s="48"/>
      <c r="AU3912" s="48"/>
      <c r="AV3912" s="48"/>
      <c r="AW3912" s="48"/>
      <c r="AX3912" s="48"/>
      <c r="AY3912" s="48"/>
      <c r="AZ3912" s="48"/>
      <c r="BA3912" s="48"/>
      <c r="BB3912" s="14"/>
      <c r="BC3912" s="48"/>
      <c r="BD3912" s="48"/>
      <c r="BE3912" s="48"/>
      <c r="BF3912" s="48"/>
      <c r="BG3912" s="48"/>
      <c r="BH3912" s="48"/>
      <c r="BI3912" s="48"/>
      <c r="BJ3912" s="48"/>
      <c r="BK3912" s="48"/>
      <c r="BL3912" s="48"/>
      <c r="BM3912" s="48"/>
      <c r="BN3912" s="48"/>
      <c r="BO3912" s="48"/>
      <c r="BP3912" s="48"/>
      <c r="BQ3912" s="48"/>
      <c r="BR3912" s="48"/>
      <c r="BS3912" s="48"/>
      <c r="BT3912" s="48"/>
      <c r="BU3912" s="48"/>
      <c r="BV3912" s="48"/>
      <c r="BW3912" s="48"/>
      <c r="BX3912" s="48"/>
      <c r="BY3912" s="48"/>
      <c r="BZ3912" s="48"/>
      <c r="CA3912" s="48"/>
      <c r="CB3912" s="48"/>
      <c r="CC3912" s="48"/>
      <c r="CD3912" s="48"/>
      <c r="CE3912" s="48"/>
      <c r="CF3912" s="48"/>
      <c r="CG3912" s="48"/>
      <c r="CH3912" s="48"/>
      <c r="CI3912" s="48"/>
      <c r="CJ3912" s="48"/>
      <c r="CK3912" s="48"/>
      <c r="CL3912" s="48"/>
      <c r="CM3912" s="48"/>
      <c r="CN3912" s="48"/>
      <c r="CO3912" s="48"/>
      <c r="CP3912" s="48"/>
      <c r="CQ3912" s="48"/>
      <c r="CR3912" s="48"/>
      <c r="CS3912" s="48"/>
      <c r="CT3912" s="48"/>
      <c r="CU3912" s="48"/>
      <c r="CV3912" s="48"/>
      <c r="CW3912" s="48"/>
      <c r="CX3912" s="48"/>
      <c r="CY3912" s="48"/>
      <c r="CZ3912" s="48"/>
    </row>
    <row r="3913" spans="27:104" s="4" customFormat="1" x14ac:dyDescent="0.3">
      <c r="AA3913" s="48"/>
      <c r="AB3913" s="48"/>
      <c r="AC3913" s="48"/>
      <c r="AD3913" s="48"/>
      <c r="AE3913" s="48"/>
      <c r="AF3913" s="48"/>
      <c r="AG3913" s="48"/>
      <c r="AH3913" s="48"/>
      <c r="AI3913" s="48"/>
      <c r="AJ3913" s="48"/>
      <c r="AK3913" s="48"/>
      <c r="AL3913" s="48"/>
      <c r="AM3913" s="48"/>
      <c r="AN3913" s="48"/>
      <c r="AO3913" s="48"/>
      <c r="AP3913" s="48"/>
      <c r="AQ3913" s="48"/>
      <c r="AR3913" s="48"/>
      <c r="AS3913" s="48"/>
      <c r="AT3913" s="48"/>
      <c r="AU3913" s="48"/>
      <c r="AV3913" s="48"/>
      <c r="AW3913" s="48"/>
      <c r="AX3913" s="48"/>
      <c r="AY3913" s="48"/>
      <c r="AZ3913" s="48"/>
      <c r="BA3913" s="48"/>
      <c r="BB3913" s="14"/>
      <c r="BC3913" s="48"/>
      <c r="BD3913" s="48"/>
      <c r="BE3913" s="48"/>
      <c r="BF3913" s="48"/>
      <c r="BG3913" s="48"/>
      <c r="BH3913" s="48"/>
      <c r="BI3913" s="48"/>
      <c r="BJ3913" s="48"/>
      <c r="BK3913" s="48"/>
      <c r="BL3913" s="48"/>
      <c r="BM3913" s="48"/>
      <c r="BN3913" s="48"/>
      <c r="BO3913" s="48"/>
      <c r="BP3913" s="48"/>
      <c r="BQ3913" s="48"/>
      <c r="BR3913" s="48"/>
      <c r="BS3913" s="48"/>
      <c r="BT3913" s="48"/>
      <c r="BU3913" s="48"/>
      <c r="BV3913" s="48"/>
      <c r="BW3913" s="48"/>
      <c r="BX3913" s="48"/>
      <c r="BY3913" s="48"/>
      <c r="BZ3913" s="48"/>
      <c r="CA3913" s="48"/>
      <c r="CB3913" s="48"/>
      <c r="CC3913" s="48"/>
      <c r="CD3913" s="48"/>
      <c r="CE3913" s="48"/>
      <c r="CF3913" s="48"/>
      <c r="CG3913" s="48"/>
      <c r="CH3913" s="48"/>
      <c r="CI3913" s="48"/>
      <c r="CJ3913" s="48"/>
      <c r="CK3913" s="48"/>
      <c r="CL3913" s="48"/>
      <c r="CM3913" s="48"/>
      <c r="CN3913" s="48"/>
      <c r="CO3913" s="48"/>
      <c r="CP3913" s="48"/>
      <c r="CQ3913" s="48"/>
      <c r="CR3913" s="48"/>
      <c r="CS3913" s="48"/>
      <c r="CT3913" s="48"/>
      <c r="CU3913" s="48"/>
      <c r="CV3913" s="48"/>
      <c r="CW3913" s="48"/>
      <c r="CX3913" s="48"/>
      <c r="CY3913" s="48"/>
      <c r="CZ3913" s="48"/>
    </row>
    <row r="3914" spans="27:104" s="4" customFormat="1" x14ac:dyDescent="0.3">
      <c r="AA3914" s="48"/>
      <c r="AB3914" s="48"/>
      <c r="AC3914" s="48"/>
      <c r="AD3914" s="48"/>
      <c r="AE3914" s="48"/>
      <c r="AF3914" s="48"/>
      <c r="AG3914" s="48"/>
      <c r="AH3914" s="48"/>
      <c r="AI3914" s="48"/>
      <c r="AJ3914" s="48"/>
      <c r="AK3914" s="48"/>
      <c r="AL3914" s="48"/>
      <c r="AM3914" s="48"/>
      <c r="AN3914" s="48"/>
      <c r="AO3914" s="48"/>
      <c r="AP3914" s="48"/>
      <c r="AQ3914" s="48"/>
      <c r="AR3914" s="48"/>
      <c r="AS3914" s="48"/>
      <c r="AT3914" s="48"/>
      <c r="AU3914" s="48"/>
      <c r="AV3914" s="48"/>
      <c r="AW3914" s="48"/>
      <c r="AX3914" s="48"/>
      <c r="AY3914" s="48"/>
      <c r="AZ3914" s="48"/>
      <c r="BA3914" s="48"/>
      <c r="BB3914" s="14"/>
      <c r="BC3914" s="48"/>
      <c r="BD3914" s="48"/>
      <c r="BE3914" s="48"/>
      <c r="BF3914" s="48"/>
      <c r="BG3914" s="48"/>
      <c r="BH3914" s="48"/>
      <c r="BI3914" s="48"/>
      <c r="BJ3914" s="48"/>
      <c r="BK3914" s="48"/>
      <c r="BL3914" s="48"/>
      <c r="BM3914" s="48"/>
      <c r="BN3914" s="48"/>
      <c r="BO3914" s="48"/>
      <c r="BP3914" s="48"/>
      <c r="BQ3914" s="48"/>
      <c r="BR3914" s="48"/>
      <c r="BS3914" s="48"/>
      <c r="BT3914" s="48"/>
      <c r="BU3914" s="48"/>
      <c r="BV3914" s="48"/>
      <c r="BW3914" s="48"/>
      <c r="BX3914" s="48"/>
      <c r="BY3914" s="48"/>
      <c r="BZ3914" s="48"/>
      <c r="CA3914" s="48"/>
      <c r="CB3914" s="48"/>
      <c r="CC3914" s="48"/>
      <c r="CD3914" s="48"/>
      <c r="CE3914" s="48"/>
      <c r="CF3914" s="48"/>
      <c r="CG3914" s="48"/>
      <c r="CH3914" s="48"/>
      <c r="CI3914" s="48"/>
      <c r="CJ3914" s="48"/>
      <c r="CK3914" s="48"/>
      <c r="CL3914" s="48"/>
      <c r="CM3914" s="48"/>
      <c r="CN3914" s="48"/>
      <c r="CO3914" s="48"/>
      <c r="CP3914" s="48"/>
      <c r="CQ3914" s="48"/>
      <c r="CR3914" s="48"/>
      <c r="CS3914" s="48"/>
      <c r="CT3914" s="48"/>
      <c r="CU3914" s="48"/>
      <c r="CV3914" s="48"/>
      <c r="CW3914" s="48"/>
      <c r="CX3914" s="48"/>
      <c r="CY3914" s="48"/>
      <c r="CZ3914" s="48"/>
    </row>
    <row r="3915" spans="27:104" s="4" customFormat="1" x14ac:dyDescent="0.3">
      <c r="AA3915" s="48"/>
      <c r="AB3915" s="48"/>
      <c r="AC3915" s="48"/>
      <c r="AD3915" s="48"/>
      <c r="AE3915" s="48"/>
      <c r="AF3915" s="48"/>
      <c r="AG3915" s="48"/>
      <c r="AH3915" s="48"/>
      <c r="AI3915" s="48"/>
      <c r="AJ3915" s="48"/>
      <c r="AK3915" s="48"/>
      <c r="AL3915" s="48"/>
      <c r="AM3915" s="48"/>
      <c r="AN3915" s="48"/>
      <c r="AO3915" s="48"/>
      <c r="AP3915" s="48"/>
      <c r="AQ3915" s="48"/>
      <c r="AR3915" s="48"/>
      <c r="AS3915" s="48"/>
      <c r="AT3915" s="48"/>
      <c r="AU3915" s="48"/>
      <c r="AV3915" s="48"/>
      <c r="AW3915" s="48"/>
      <c r="AX3915" s="48"/>
      <c r="AY3915" s="48"/>
      <c r="AZ3915" s="48"/>
      <c r="BA3915" s="48"/>
      <c r="BB3915" s="14"/>
      <c r="BC3915" s="48"/>
      <c r="BD3915" s="48"/>
      <c r="BE3915" s="48"/>
      <c r="BF3915" s="48"/>
      <c r="BG3915" s="48"/>
      <c r="BH3915" s="48"/>
      <c r="BI3915" s="48"/>
      <c r="BJ3915" s="48"/>
      <c r="BK3915" s="48"/>
      <c r="BL3915" s="48"/>
      <c r="BM3915" s="48"/>
      <c r="BN3915" s="48"/>
      <c r="BO3915" s="48"/>
      <c r="BP3915" s="48"/>
      <c r="BQ3915" s="48"/>
      <c r="BR3915" s="48"/>
      <c r="BS3915" s="48"/>
      <c r="BT3915" s="48"/>
      <c r="BU3915" s="48"/>
      <c r="BV3915" s="48"/>
      <c r="BW3915" s="48"/>
      <c r="BX3915" s="48"/>
      <c r="BY3915" s="48"/>
      <c r="BZ3915" s="48"/>
      <c r="CA3915" s="48"/>
      <c r="CB3915" s="48"/>
      <c r="CC3915" s="48"/>
      <c r="CD3915" s="48"/>
      <c r="CE3915" s="48"/>
      <c r="CF3915" s="48"/>
      <c r="CG3915" s="48"/>
      <c r="CH3915" s="48"/>
      <c r="CI3915" s="48"/>
      <c r="CJ3915" s="48"/>
      <c r="CK3915" s="48"/>
      <c r="CL3915" s="48"/>
      <c r="CM3915" s="48"/>
      <c r="CN3915" s="48"/>
      <c r="CO3915" s="48"/>
      <c r="CP3915" s="48"/>
      <c r="CQ3915" s="48"/>
      <c r="CR3915" s="48"/>
      <c r="CS3915" s="48"/>
      <c r="CT3915" s="48"/>
      <c r="CU3915" s="48"/>
      <c r="CV3915" s="48"/>
      <c r="CW3915" s="48"/>
      <c r="CX3915" s="48"/>
      <c r="CY3915" s="48"/>
      <c r="CZ3915" s="48"/>
    </row>
    <row r="3916" spans="27:104" s="4" customFormat="1" x14ac:dyDescent="0.3">
      <c r="AA3916" s="48"/>
      <c r="AB3916" s="48"/>
      <c r="AC3916" s="48"/>
      <c r="AD3916" s="48"/>
      <c r="AE3916" s="48"/>
      <c r="AF3916" s="48"/>
      <c r="AG3916" s="48"/>
      <c r="AH3916" s="48"/>
      <c r="AI3916" s="48"/>
      <c r="AJ3916" s="48"/>
      <c r="AK3916" s="48"/>
      <c r="AL3916" s="48"/>
      <c r="AM3916" s="48"/>
      <c r="AN3916" s="48"/>
      <c r="AO3916" s="48"/>
      <c r="AP3916" s="48"/>
      <c r="AQ3916" s="48"/>
      <c r="AR3916" s="48"/>
      <c r="AS3916" s="48"/>
      <c r="AT3916" s="48"/>
      <c r="AU3916" s="48"/>
      <c r="AV3916" s="48"/>
      <c r="AW3916" s="48"/>
      <c r="AX3916" s="48"/>
      <c r="AY3916" s="48"/>
      <c r="AZ3916" s="48"/>
      <c r="BA3916" s="48"/>
      <c r="BB3916" s="14"/>
      <c r="BC3916" s="48"/>
      <c r="BD3916" s="48"/>
      <c r="BE3916" s="48"/>
      <c r="BF3916" s="48"/>
      <c r="BG3916" s="48"/>
      <c r="BH3916" s="48"/>
      <c r="BI3916" s="48"/>
      <c r="BJ3916" s="48"/>
      <c r="BK3916" s="48"/>
      <c r="BL3916" s="48"/>
      <c r="BM3916" s="48"/>
      <c r="BN3916" s="48"/>
      <c r="BO3916" s="48"/>
      <c r="BP3916" s="48"/>
      <c r="BQ3916" s="48"/>
      <c r="BR3916" s="48"/>
      <c r="BS3916" s="48"/>
      <c r="BT3916" s="48"/>
      <c r="BU3916" s="48"/>
      <c r="BV3916" s="48"/>
      <c r="BW3916" s="48"/>
      <c r="BX3916" s="48"/>
      <c r="BY3916" s="48"/>
      <c r="BZ3916" s="48"/>
      <c r="CA3916" s="48"/>
      <c r="CB3916" s="48"/>
      <c r="CC3916" s="48"/>
      <c r="CD3916" s="48"/>
      <c r="CE3916" s="48"/>
      <c r="CF3916" s="48"/>
      <c r="CG3916" s="48"/>
      <c r="CH3916" s="48"/>
      <c r="CI3916" s="48"/>
      <c r="CJ3916" s="48"/>
      <c r="CK3916" s="48"/>
      <c r="CL3916" s="48"/>
      <c r="CM3916" s="48"/>
      <c r="CN3916" s="48"/>
      <c r="CO3916" s="48"/>
      <c r="CP3916" s="48"/>
      <c r="CQ3916" s="48"/>
      <c r="CR3916" s="48"/>
      <c r="CS3916" s="48"/>
      <c r="CT3916" s="48"/>
      <c r="CU3916" s="48"/>
      <c r="CV3916" s="48"/>
      <c r="CW3916" s="48"/>
      <c r="CX3916" s="48"/>
      <c r="CY3916" s="48"/>
      <c r="CZ3916" s="48"/>
    </row>
    <row r="3917" spans="27:104" s="4" customFormat="1" x14ac:dyDescent="0.3">
      <c r="AA3917" s="48"/>
      <c r="AB3917" s="48"/>
      <c r="AC3917" s="48"/>
      <c r="AD3917" s="48"/>
      <c r="AE3917" s="48"/>
      <c r="AF3917" s="48"/>
      <c r="AG3917" s="48"/>
      <c r="AH3917" s="48"/>
      <c r="AI3917" s="48"/>
      <c r="AJ3917" s="48"/>
      <c r="AK3917" s="48"/>
      <c r="AL3917" s="48"/>
      <c r="AM3917" s="48"/>
      <c r="AN3917" s="48"/>
      <c r="AO3917" s="48"/>
      <c r="AP3917" s="48"/>
      <c r="AQ3917" s="48"/>
      <c r="AR3917" s="48"/>
      <c r="AS3917" s="48"/>
      <c r="AT3917" s="48"/>
      <c r="AU3917" s="48"/>
      <c r="AV3917" s="48"/>
      <c r="AW3917" s="48"/>
      <c r="AX3917" s="48"/>
      <c r="AY3917" s="48"/>
      <c r="AZ3917" s="48"/>
      <c r="BA3917" s="48"/>
      <c r="BB3917" s="14"/>
      <c r="BC3917" s="48"/>
      <c r="BD3917" s="48"/>
      <c r="BE3917" s="48"/>
      <c r="BF3917" s="48"/>
      <c r="BG3917" s="48"/>
      <c r="BH3917" s="48"/>
      <c r="BI3917" s="48"/>
      <c r="BJ3917" s="48"/>
      <c r="BK3917" s="48"/>
      <c r="BL3917" s="48"/>
      <c r="BM3917" s="48"/>
      <c r="BN3917" s="48"/>
      <c r="BO3917" s="48"/>
      <c r="BP3917" s="48"/>
      <c r="BQ3917" s="48"/>
      <c r="BR3917" s="48"/>
      <c r="BS3917" s="48"/>
      <c r="BT3917" s="48"/>
      <c r="BU3917" s="48"/>
      <c r="BV3917" s="48"/>
      <c r="BW3917" s="48"/>
      <c r="BX3917" s="48"/>
      <c r="BY3917" s="48"/>
      <c r="BZ3917" s="48"/>
      <c r="CA3917" s="48"/>
      <c r="CB3917" s="48"/>
      <c r="CC3917" s="48"/>
      <c r="CD3917" s="48"/>
      <c r="CE3917" s="48"/>
      <c r="CF3917" s="48"/>
      <c r="CG3917" s="48"/>
      <c r="CH3917" s="48"/>
      <c r="CI3917" s="48"/>
      <c r="CJ3917" s="48"/>
      <c r="CK3917" s="48"/>
      <c r="CL3917" s="48"/>
      <c r="CM3917" s="48"/>
      <c r="CN3917" s="48"/>
      <c r="CO3917" s="48"/>
      <c r="CP3917" s="48"/>
      <c r="CQ3917" s="48"/>
      <c r="CR3917" s="48"/>
      <c r="CS3917" s="48"/>
      <c r="CT3917" s="48"/>
      <c r="CU3917" s="48"/>
      <c r="CV3917" s="48"/>
      <c r="CW3917" s="48"/>
      <c r="CX3917" s="48"/>
      <c r="CY3917" s="48"/>
      <c r="CZ3917" s="48"/>
    </row>
    <row r="3918" spans="27:104" s="4" customFormat="1" x14ac:dyDescent="0.3">
      <c r="AA3918" s="48"/>
      <c r="AB3918" s="48"/>
      <c r="AC3918" s="48"/>
      <c r="AD3918" s="48"/>
      <c r="AE3918" s="48"/>
      <c r="AF3918" s="48"/>
      <c r="AG3918" s="48"/>
      <c r="AH3918" s="48"/>
      <c r="AI3918" s="48"/>
      <c r="AJ3918" s="48"/>
      <c r="AK3918" s="48"/>
      <c r="AL3918" s="48"/>
      <c r="AM3918" s="48"/>
      <c r="AN3918" s="48"/>
      <c r="AO3918" s="48"/>
      <c r="AP3918" s="48"/>
      <c r="AQ3918" s="48"/>
      <c r="AR3918" s="48"/>
      <c r="AS3918" s="48"/>
      <c r="AT3918" s="48"/>
      <c r="AU3918" s="48"/>
      <c r="AV3918" s="48"/>
      <c r="AW3918" s="48"/>
      <c r="AX3918" s="48"/>
      <c r="AY3918" s="48"/>
      <c r="AZ3918" s="48"/>
      <c r="BA3918" s="48"/>
      <c r="BB3918" s="14"/>
      <c r="BC3918" s="48"/>
      <c r="BD3918" s="48"/>
      <c r="BE3918" s="48"/>
      <c r="BF3918" s="48"/>
      <c r="BG3918" s="48"/>
      <c r="BH3918" s="48"/>
      <c r="BI3918" s="48"/>
      <c r="BJ3918" s="48"/>
      <c r="BK3918" s="48"/>
      <c r="BL3918" s="48"/>
      <c r="BM3918" s="48"/>
      <c r="BN3918" s="48"/>
      <c r="BO3918" s="48"/>
      <c r="BP3918" s="48"/>
      <c r="BQ3918" s="48"/>
      <c r="BR3918" s="48"/>
      <c r="BS3918" s="48"/>
      <c r="BT3918" s="48"/>
      <c r="BU3918" s="48"/>
      <c r="BV3918" s="48"/>
      <c r="BW3918" s="48"/>
      <c r="BX3918" s="48"/>
      <c r="BY3918" s="48"/>
      <c r="BZ3918" s="48"/>
      <c r="CA3918" s="48"/>
      <c r="CB3918" s="48"/>
      <c r="CC3918" s="48"/>
      <c r="CD3918" s="48"/>
      <c r="CE3918" s="48"/>
      <c r="CF3918" s="48"/>
      <c r="CG3918" s="48"/>
      <c r="CH3918" s="48"/>
      <c r="CI3918" s="48"/>
      <c r="CJ3918" s="48"/>
      <c r="CK3918" s="48"/>
      <c r="CL3918" s="48"/>
      <c r="CM3918" s="48"/>
      <c r="CN3918" s="48"/>
      <c r="CO3918" s="48"/>
      <c r="CP3918" s="48"/>
      <c r="CQ3918" s="48"/>
      <c r="CR3918" s="48"/>
      <c r="CS3918" s="48"/>
      <c r="CT3918" s="48"/>
      <c r="CU3918" s="48"/>
      <c r="CV3918" s="48"/>
      <c r="CW3918" s="48"/>
      <c r="CX3918" s="48"/>
      <c r="CY3918" s="48"/>
      <c r="CZ3918" s="48"/>
    </row>
    <row r="3919" spans="27:104" s="4" customFormat="1" x14ac:dyDescent="0.3">
      <c r="AA3919" s="48"/>
      <c r="AB3919" s="48"/>
      <c r="AC3919" s="48"/>
      <c r="AD3919" s="48"/>
      <c r="AE3919" s="48"/>
      <c r="AF3919" s="48"/>
      <c r="AG3919" s="48"/>
      <c r="AH3919" s="48"/>
      <c r="AI3919" s="48"/>
      <c r="AJ3919" s="48"/>
      <c r="AK3919" s="48"/>
      <c r="AL3919" s="48"/>
      <c r="AM3919" s="48"/>
      <c r="AN3919" s="48"/>
      <c r="AO3919" s="48"/>
      <c r="AP3919" s="48"/>
      <c r="AQ3919" s="48"/>
      <c r="AR3919" s="48"/>
      <c r="AS3919" s="48"/>
      <c r="AT3919" s="48"/>
      <c r="AU3919" s="48"/>
      <c r="AV3919" s="48"/>
      <c r="AW3919" s="48"/>
      <c r="AX3919" s="48"/>
      <c r="AY3919" s="48"/>
      <c r="AZ3919" s="48"/>
      <c r="BA3919" s="48"/>
      <c r="BB3919" s="14"/>
      <c r="BC3919" s="48"/>
      <c r="BD3919" s="48"/>
      <c r="BE3919" s="48"/>
      <c r="BF3919" s="48"/>
      <c r="BG3919" s="48"/>
      <c r="BH3919" s="48"/>
      <c r="BI3919" s="48"/>
      <c r="BJ3919" s="48"/>
      <c r="BK3919" s="48"/>
      <c r="BL3919" s="48"/>
      <c r="BM3919" s="48"/>
      <c r="BN3919" s="48"/>
      <c r="BO3919" s="48"/>
      <c r="BP3919" s="48"/>
      <c r="BQ3919" s="48"/>
      <c r="BR3919" s="48"/>
      <c r="BS3919" s="48"/>
      <c r="BT3919" s="48"/>
      <c r="BU3919" s="48"/>
      <c r="BV3919" s="48"/>
      <c r="BW3919" s="48"/>
      <c r="BX3919" s="48"/>
      <c r="BY3919" s="48"/>
      <c r="BZ3919" s="48"/>
      <c r="CA3919" s="48"/>
      <c r="CB3919" s="48"/>
      <c r="CC3919" s="48"/>
      <c r="CD3919" s="48"/>
      <c r="CE3919" s="48"/>
      <c r="CF3919" s="48"/>
      <c r="CG3919" s="48"/>
      <c r="CH3919" s="48"/>
      <c r="CI3919" s="48"/>
      <c r="CJ3919" s="48"/>
      <c r="CK3919" s="48"/>
      <c r="CL3919" s="48"/>
      <c r="CM3919" s="48"/>
      <c r="CN3919" s="48"/>
      <c r="CO3919" s="48"/>
      <c r="CP3919" s="48"/>
      <c r="CQ3919" s="48"/>
      <c r="CR3919" s="48"/>
      <c r="CS3919" s="48"/>
      <c r="CT3919" s="48"/>
      <c r="CU3919" s="48"/>
      <c r="CV3919" s="48"/>
      <c r="CW3919" s="48"/>
      <c r="CX3919" s="48"/>
      <c r="CY3919" s="48"/>
      <c r="CZ3919" s="48"/>
    </row>
    <row r="3920" spans="27:104" s="4" customFormat="1" x14ac:dyDescent="0.3">
      <c r="AA3920" s="48"/>
      <c r="AB3920" s="48"/>
      <c r="AC3920" s="48"/>
      <c r="AD3920" s="48"/>
      <c r="AE3920" s="48"/>
      <c r="AF3920" s="48"/>
      <c r="AG3920" s="48"/>
      <c r="AH3920" s="48"/>
      <c r="AI3920" s="48"/>
      <c r="AJ3920" s="48"/>
      <c r="AK3920" s="48"/>
      <c r="AL3920" s="48"/>
      <c r="AM3920" s="48"/>
      <c r="AN3920" s="48"/>
      <c r="AO3920" s="48"/>
      <c r="AP3920" s="48"/>
      <c r="AQ3920" s="48"/>
      <c r="AR3920" s="48"/>
      <c r="AS3920" s="48"/>
      <c r="AT3920" s="48"/>
      <c r="AU3920" s="48"/>
      <c r="AV3920" s="48"/>
      <c r="AW3920" s="48"/>
      <c r="AX3920" s="48"/>
      <c r="AY3920" s="48"/>
      <c r="AZ3920" s="48"/>
      <c r="BA3920" s="48"/>
      <c r="BB3920" s="14"/>
      <c r="BC3920" s="48"/>
      <c r="BD3920" s="48"/>
      <c r="BE3920" s="48"/>
      <c r="BF3920" s="48"/>
      <c r="BG3920" s="48"/>
      <c r="BH3920" s="48"/>
      <c r="BI3920" s="48"/>
      <c r="BJ3920" s="48"/>
      <c r="BK3920" s="48"/>
      <c r="BL3920" s="48"/>
      <c r="BM3920" s="48"/>
      <c r="BN3920" s="48"/>
      <c r="BO3920" s="48"/>
      <c r="BP3920" s="48"/>
      <c r="BQ3920" s="48"/>
      <c r="BR3920" s="48"/>
      <c r="BS3920" s="48"/>
      <c r="BT3920" s="48"/>
      <c r="BU3920" s="48"/>
      <c r="BV3920" s="48"/>
      <c r="BW3920" s="48"/>
      <c r="BX3920" s="48"/>
      <c r="BY3920" s="48"/>
      <c r="BZ3920" s="48"/>
      <c r="CA3920" s="48"/>
      <c r="CB3920" s="48"/>
      <c r="CC3920" s="48"/>
      <c r="CD3920" s="48"/>
      <c r="CE3920" s="48"/>
      <c r="CF3920" s="48"/>
      <c r="CG3920" s="48"/>
      <c r="CH3920" s="48"/>
      <c r="CI3920" s="48"/>
      <c r="CJ3920" s="48"/>
      <c r="CK3920" s="48"/>
      <c r="CL3920" s="48"/>
      <c r="CM3920" s="48"/>
      <c r="CN3920" s="48"/>
      <c r="CO3920" s="48"/>
      <c r="CP3920" s="48"/>
      <c r="CQ3920" s="48"/>
      <c r="CR3920" s="48"/>
      <c r="CS3920" s="48"/>
      <c r="CT3920" s="48"/>
      <c r="CU3920" s="48"/>
      <c r="CV3920" s="48"/>
      <c r="CW3920" s="48"/>
      <c r="CX3920" s="48"/>
      <c r="CY3920" s="48"/>
      <c r="CZ3920" s="48"/>
    </row>
    <row r="3921" spans="27:104" s="4" customFormat="1" x14ac:dyDescent="0.3">
      <c r="AA3921" s="48"/>
      <c r="AB3921" s="48"/>
      <c r="AC3921" s="48"/>
      <c r="AD3921" s="48"/>
      <c r="AE3921" s="48"/>
      <c r="AF3921" s="48"/>
      <c r="AG3921" s="48"/>
      <c r="AH3921" s="48"/>
      <c r="AI3921" s="48"/>
      <c r="AJ3921" s="48"/>
      <c r="AK3921" s="48"/>
      <c r="AL3921" s="48"/>
      <c r="AM3921" s="48"/>
      <c r="AN3921" s="48"/>
      <c r="AO3921" s="48"/>
      <c r="AP3921" s="48"/>
      <c r="AQ3921" s="48"/>
      <c r="AR3921" s="48"/>
      <c r="AS3921" s="48"/>
      <c r="AT3921" s="48"/>
      <c r="AU3921" s="48"/>
      <c r="AV3921" s="48"/>
      <c r="AW3921" s="48"/>
      <c r="AX3921" s="48"/>
      <c r="AY3921" s="48"/>
      <c r="AZ3921" s="48"/>
      <c r="BA3921" s="48"/>
      <c r="BB3921" s="14"/>
      <c r="BC3921" s="48"/>
      <c r="BD3921" s="48"/>
      <c r="BE3921" s="48"/>
      <c r="BF3921" s="48"/>
      <c r="BG3921" s="48"/>
      <c r="BH3921" s="48"/>
      <c r="BI3921" s="48"/>
      <c r="BJ3921" s="48"/>
      <c r="BK3921" s="48"/>
      <c r="BL3921" s="48"/>
      <c r="BM3921" s="48"/>
      <c r="BN3921" s="48"/>
      <c r="BO3921" s="48"/>
      <c r="BP3921" s="48"/>
      <c r="BQ3921" s="48"/>
      <c r="BR3921" s="48"/>
      <c r="BS3921" s="48"/>
      <c r="BT3921" s="48"/>
      <c r="BU3921" s="48"/>
      <c r="BV3921" s="48"/>
      <c r="BW3921" s="48"/>
      <c r="BX3921" s="48"/>
      <c r="BY3921" s="48"/>
      <c r="BZ3921" s="48"/>
      <c r="CA3921" s="48"/>
      <c r="CB3921" s="48"/>
      <c r="CC3921" s="48"/>
      <c r="CD3921" s="48"/>
      <c r="CE3921" s="48"/>
      <c r="CF3921" s="48"/>
      <c r="CG3921" s="48"/>
      <c r="CH3921" s="48"/>
      <c r="CI3921" s="48"/>
      <c r="CJ3921" s="48"/>
      <c r="CK3921" s="48"/>
      <c r="CL3921" s="48"/>
      <c r="CM3921" s="48"/>
      <c r="CN3921" s="48"/>
      <c r="CO3921" s="48"/>
      <c r="CP3921" s="48"/>
      <c r="CQ3921" s="48"/>
      <c r="CR3921" s="48"/>
      <c r="CS3921" s="48"/>
      <c r="CT3921" s="48"/>
      <c r="CU3921" s="48"/>
      <c r="CV3921" s="48"/>
      <c r="CW3921" s="48"/>
      <c r="CX3921" s="48"/>
      <c r="CY3921" s="48"/>
      <c r="CZ3921" s="48"/>
    </row>
    <row r="3922" spans="27:104" s="4" customFormat="1" x14ac:dyDescent="0.3">
      <c r="AA3922" s="48"/>
      <c r="AB3922" s="48"/>
      <c r="AC3922" s="48"/>
      <c r="AD3922" s="48"/>
      <c r="AE3922" s="48"/>
      <c r="AF3922" s="48"/>
      <c r="AG3922" s="48"/>
      <c r="AH3922" s="48"/>
      <c r="AI3922" s="48"/>
      <c r="AJ3922" s="48"/>
      <c r="AK3922" s="48"/>
      <c r="AL3922" s="48"/>
      <c r="AM3922" s="48"/>
      <c r="AN3922" s="48"/>
      <c r="AO3922" s="48"/>
      <c r="AP3922" s="48"/>
      <c r="AQ3922" s="48"/>
      <c r="AR3922" s="48"/>
      <c r="AS3922" s="48"/>
      <c r="AT3922" s="48"/>
      <c r="AU3922" s="48"/>
      <c r="AV3922" s="48"/>
      <c r="AW3922" s="48"/>
      <c r="AX3922" s="48"/>
      <c r="AY3922" s="48"/>
      <c r="AZ3922" s="48"/>
      <c r="BA3922" s="48"/>
      <c r="BB3922" s="14"/>
      <c r="BC3922" s="48"/>
      <c r="BD3922" s="48"/>
      <c r="BE3922" s="48"/>
      <c r="BF3922" s="48"/>
      <c r="BG3922" s="48"/>
      <c r="BH3922" s="48"/>
      <c r="BI3922" s="48"/>
      <c r="BJ3922" s="48"/>
      <c r="BK3922" s="48"/>
      <c r="BL3922" s="48"/>
      <c r="BM3922" s="48"/>
      <c r="BN3922" s="48"/>
      <c r="BO3922" s="48"/>
      <c r="BP3922" s="48"/>
      <c r="BQ3922" s="48"/>
      <c r="BR3922" s="48"/>
      <c r="BS3922" s="48"/>
      <c r="BT3922" s="48"/>
      <c r="BU3922" s="48"/>
      <c r="BV3922" s="48"/>
      <c r="BW3922" s="48"/>
      <c r="BX3922" s="48"/>
      <c r="BY3922" s="48"/>
      <c r="BZ3922" s="48"/>
      <c r="CA3922" s="48"/>
      <c r="CB3922" s="48"/>
      <c r="CC3922" s="48"/>
      <c r="CD3922" s="48"/>
      <c r="CE3922" s="48"/>
      <c r="CF3922" s="48"/>
      <c r="CG3922" s="48"/>
      <c r="CH3922" s="48"/>
      <c r="CI3922" s="48"/>
      <c r="CJ3922" s="48"/>
      <c r="CK3922" s="48"/>
      <c r="CL3922" s="48"/>
      <c r="CM3922" s="48"/>
      <c r="CN3922" s="48"/>
      <c r="CO3922" s="48"/>
      <c r="CP3922" s="48"/>
      <c r="CQ3922" s="48"/>
      <c r="CR3922" s="48"/>
      <c r="CS3922" s="48"/>
      <c r="CT3922" s="48"/>
      <c r="CU3922" s="48"/>
      <c r="CV3922" s="48"/>
      <c r="CW3922" s="48"/>
      <c r="CX3922" s="48"/>
      <c r="CY3922" s="48"/>
      <c r="CZ3922" s="48"/>
    </row>
    <row r="3923" spans="27:104" s="4" customFormat="1" x14ac:dyDescent="0.3">
      <c r="AA3923" s="48"/>
      <c r="AB3923" s="48"/>
      <c r="AC3923" s="48"/>
      <c r="AD3923" s="48"/>
      <c r="AE3923" s="48"/>
      <c r="AF3923" s="48"/>
      <c r="AG3923" s="48"/>
      <c r="AH3923" s="48"/>
      <c r="AI3923" s="48"/>
      <c r="AJ3923" s="48"/>
      <c r="AK3923" s="48"/>
      <c r="AL3923" s="48"/>
      <c r="AM3923" s="48"/>
      <c r="AN3923" s="48"/>
      <c r="AO3923" s="48"/>
      <c r="AP3923" s="48"/>
      <c r="AQ3923" s="48"/>
      <c r="AR3923" s="48"/>
      <c r="AS3923" s="48"/>
      <c r="AT3923" s="48"/>
      <c r="AU3923" s="48"/>
      <c r="AV3923" s="48"/>
      <c r="AW3923" s="48"/>
      <c r="AX3923" s="48"/>
      <c r="AY3923" s="48"/>
      <c r="AZ3923" s="48"/>
      <c r="BA3923" s="48"/>
      <c r="BB3923" s="14"/>
      <c r="BC3923" s="48"/>
      <c r="BD3923" s="48"/>
      <c r="BE3923" s="48"/>
      <c r="BF3923" s="48"/>
      <c r="BG3923" s="48"/>
      <c r="BH3923" s="48"/>
      <c r="BI3923" s="48"/>
      <c r="BJ3923" s="48"/>
      <c r="BK3923" s="48"/>
      <c r="BL3923" s="48"/>
      <c r="BM3923" s="48"/>
      <c r="BN3923" s="48"/>
      <c r="BO3923" s="48"/>
      <c r="BP3923" s="48"/>
      <c r="BQ3923" s="48"/>
      <c r="BR3923" s="48"/>
      <c r="BS3923" s="48"/>
      <c r="BT3923" s="48"/>
      <c r="BU3923" s="48"/>
      <c r="BV3923" s="48"/>
      <c r="BW3923" s="48"/>
      <c r="BX3923" s="48"/>
      <c r="BY3923" s="48"/>
      <c r="BZ3923" s="48"/>
      <c r="CA3923" s="48"/>
      <c r="CB3923" s="48"/>
      <c r="CC3923" s="48"/>
      <c r="CD3923" s="48"/>
      <c r="CE3923" s="48"/>
      <c r="CF3923" s="48"/>
      <c r="CG3923" s="48"/>
      <c r="CH3923" s="48"/>
      <c r="CI3923" s="48"/>
      <c r="CJ3923" s="48"/>
      <c r="CK3923" s="48"/>
      <c r="CL3923" s="48"/>
      <c r="CM3923" s="48"/>
      <c r="CN3923" s="48"/>
      <c r="CO3923" s="48"/>
      <c r="CP3923" s="48"/>
      <c r="CQ3923" s="48"/>
      <c r="CR3923" s="48"/>
      <c r="CS3923" s="48"/>
      <c r="CT3923" s="48"/>
      <c r="CU3923" s="48"/>
      <c r="CV3923" s="48"/>
      <c r="CW3923" s="48"/>
      <c r="CX3923" s="48"/>
      <c r="CY3923" s="48"/>
      <c r="CZ3923" s="48"/>
    </row>
    <row r="3924" spans="27:104" s="4" customFormat="1" x14ac:dyDescent="0.3">
      <c r="AA3924" s="48"/>
      <c r="AB3924" s="48"/>
      <c r="AC3924" s="48"/>
      <c r="AD3924" s="48"/>
      <c r="AE3924" s="48"/>
      <c r="AF3924" s="48"/>
      <c r="AG3924" s="48"/>
      <c r="AH3924" s="48"/>
      <c r="AI3924" s="48"/>
      <c r="AJ3924" s="48"/>
      <c r="AK3924" s="48"/>
      <c r="AL3924" s="48"/>
      <c r="AM3924" s="48"/>
      <c r="AN3924" s="48"/>
      <c r="AO3924" s="48"/>
      <c r="AP3924" s="48"/>
      <c r="AQ3924" s="48"/>
      <c r="AR3924" s="48"/>
      <c r="AS3924" s="48"/>
      <c r="AT3924" s="48"/>
      <c r="AU3924" s="48"/>
      <c r="AV3924" s="48"/>
      <c r="AW3924" s="48"/>
      <c r="AX3924" s="48"/>
      <c r="AY3924" s="48"/>
      <c r="AZ3924" s="48"/>
      <c r="BA3924" s="48"/>
      <c r="BB3924" s="14"/>
      <c r="BC3924" s="48"/>
      <c r="BD3924" s="48"/>
      <c r="BE3924" s="48"/>
      <c r="BF3924" s="48"/>
      <c r="BG3924" s="48"/>
      <c r="BH3924" s="48"/>
      <c r="BI3924" s="48"/>
      <c r="BJ3924" s="48"/>
      <c r="BK3924" s="48"/>
      <c r="BL3924" s="48"/>
      <c r="BM3924" s="48"/>
      <c r="BN3924" s="48"/>
      <c r="BO3924" s="48"/>
      <c r="BP3924" s="48"/>
      <c r="BQ3924" s="48"/>
      <c r="BR3924" s="48"/>
      <c r="BS3924" s="48"/>
      <c r="BT3924" s="48"/>
      <c r="BU3924" s="48"/>
      <c r="BV3924" s="48"/>
      <c r="BW3924" s="48"/>
      <c r="BX3924" s="48"/>
      <c r="BY3924" s="48"/>
      <c r="BZ3924" s="48"/>
      <c r="CA3924" s="48"/>
      <c r="CB3924" s="48"/>
      <c r="CC3924" s="48"/>
      <c r="CD3924" s="48"/>
      <c r="CE3924" s="48"/>
      <c r="CF3924" s="48"/>
      <c r="CG3924" s="48"/>
      <c r="CH3924" s="48"/>
      <c r="CI3924" s="48"/>
      <c r="CJ3924" s="48"/>
      <c r="CK3924" s="48"/>
      <c r="CL3924" s="48"/>
      <c r="CM3924" s="48"/>
      <c r="CN3924" s="48"/>
      <c r="CO3924" s="48"/>
      <c r="CP3924" s="48"/>
      <c r="CQ3924" s="48"/>
      <c r="CR3924" s="48"/>
      <c r="CS3924" s="48"/>
      <c r="CT3924" s="48"/>
      <c r="CU3924" s="48"/>
      <c r="CV3924" s="48"/>
      <c r="CW3924" s="48"/>
      <c r="CX3924" s="48"/>
      <c r="CY3924" s="48"/>
      <c r="CZ3924" s="48"/>
    </row>
    <row r="3925" spans="27:104" s="4" customFormat="1" x14ac:dyDescent="0.3">
      <c r="AA3925" s="48"/>
      <c r="AB3925" s="48"/>
      <c r="AC3925" s="48"/>
      <c r="AD3925" s="48"/>
      <c r="AE3925" s="48"/>
      <c r="AF3925" s="48"/>
      <c r="AG3925" s="48"/>
      <c r="AH3925" s="48"/>
      <c r="AI3925" s="48"/>
      <c r="AJ3925" s="48"/>
      <c r="AK3925" s="48"/>
      <c r="AL3925" s="48"/>
      <c r="AM3925" s="48"/>
      <c r="AN3925" s="48"/>
      <c r="AO3925" s="48"/>
      <c r="AP3925" s="48"/>
      <c r="AQ3925" s="48"/>
      <c r="AR3925" s="48"/>
      <c r="AS3925" s="48"/>
      <c r="AT3925" s="48"/>
      <c r="AU3925" s="48"/>
      <c r="AV3925" s="48"/>
      <c r="AW3925" s="48"/>
      <c r="AX3925" s="48"/>
      <c r="AY3925" s="48"/>
      <c r="AZ3925" s="48"/>
      <c r="BA3925" s="48"/>
      <c r="BB3925" s="14"/>
      <c r="BC3925" s="48"/>
      <c r="BD3925" s="48"/>
      <c r="BE3925" s="48"/>
      <c r="BF3925" s="48"/>
      <c r="BG3925" s="48"/>
      <c r="BH3925" s="48"/>
      <c r="BI3925" s="48"/>
      <c r="BJ3925" s="48"/>
      <c r="BK3925" s="48"/>
      <c r="BL3925" s="48"/>
      <c r="BM3925" s="48"/>
      <c r="BN3925" s="48"/>
      <c r="BO3925" s="48"/>
      <c r="BP3925" s="48"/>
      <c r="BQ3925" s="48"/>
      <c r="BR3925" s="48"/>
      <c r="BS3925" s="48"/>
      <c r="BT3925" s="48"/>
      <c r="BU3925" s="48"/>
      <c r="BV3925" s="48"/>
      <c r="BW3925" s="48"/>
      <c r="BX3925" s="48"/>
      <c r="BY3925" s="48"/>
      <c r="BZ3925" s="48"/>
      <c r="CA3925" s="48"/>
      <c r="CB3925" s="48"/>
      <c r="CC3925" s="48"/>
      <c r="CD3925" s="48"/>
      <c r="CE3925" s="48"/>
      <c r="CF3925" s="48"/>
      <c r="CG3925" s="48"/>
      <c r="CH3925" s="48"/>
      <c r="CI3925" s="48"/>
      <c r="CJ3925" s="48"/>
      <c r="CK3925" s="48"/>
      <c r="CL3925" s="48"/>
      <c r="CM3925" s="48"/>
      <c r="CN3925" s="48"/>
      <c r="CO3925" s="48"/>
      <c r="CP3925" s="48"/>
      <c r="CQ3925" s="48"/>
      <c r="CR3925" s="48"/>
      <c r="CS3925" s="48"/>
      <c r="CT3925" s="48"/>
      <c r="CU3925" s="48"/>
      <c r="CV3925" s="48"/>
      <c r="CW3925" s="48"/>
      <c r="CX3925" s="48"/>
      <c r="CY3925" s="48"/>
      <c r="CZ3925" s="48"/>
    </row>
    <row r="3926" spans="27:104" s="4" customFormat="1" x14ac:dyDescent="0.3">
      <c r="AA3926" s="48"/>
      <c r="AB3926" s="48"/>
      <c r="AC3926" s="48"/>
      <c r="AD3926" s="48"/>
      <c r="AE3926" s="48"/>
      <c r="AF3926" s="48"/>
      <c r="AG3926" s="48"/>
      <c r="AH3926" s="48"/>
      <c r="AI3926" s="48"/>
      <c r="AJ3926" s="48"/>
      <c r="AK3926" s="48"/>
      <c r="AL3926" s="48"/>
      <c r="AM3926" s="48"/>
      <c r="AN3926" s="48"/>
      <c r="AO3926" s="48"/>
      <c r="AP3926" s="48"/>
      <c r="AQ3926" s="48"/>
      <c r="AR3926" s="48"/>
      <c r="AS3926" s="48"/>
      <c r="AT3926" s="48"/>
      <c r="AU3926" s="48"/>
      <c r="AV3926" s="48"/>
      <c r="AW3926" s="48"/>
      <c r="AX3926" s="48"/>
      <c r="AY3926" s="48"/>
      <c r="AZ3926" s="48"/>
      <c r="BA3926" s="48"/>
      <c r="BB3926" s="14"/>
      <c r="BC3926" s="48"/>
      <c r="BD3926" s="48"/>
      <c r="BE3926" s="48"/>
      <c r="BF3926" s="48"/>
      <c r="BG3926" s="48"/>
      <c r="BH3926" s="48"/>
      <c r="BI3926" s="48"/>
      <c r="BJ3926" s="48"/>
      <c r="BK3926" s="48"/>
      <c r="BL3926" s="48"/>
      <c r="BM3926" s="48"/>
      <c r="BN3926" s="48"/>
      <c r="BO3926" s="48"/>
      <c r="BP3926" s="48"/>
      <c r="BQ3926" s="48"/>
      <c r="BR3926" s="48"/>
      <c r="BS3926" s="48"/>
      <c r="BT3926" s="48"/>
      <c r="BU3926" s="48"/>
      <c r="BV3926" s="48"/>
      <c r="BW3926" s="48"/>
      <c r="BX3926" s="48"/>
      <c r="BY3926" s="48"/>
      <c r="BZ3926" s="48"/>
      <c r="CA3926" s="48"/>
      <c r="CB3926" s="48"/>
      <c r="CC3926" s="48"/>
      <c r="CD3926" s="48"/>
      <c r="CE3926" s="48"/>
      <c r="CF3926" s="48"/>
      <c r="CG3926" s="48"/>
      <c r="CH3926" s="48"/>
      <c r="CI3926" s="48"/>
      <c r="CJ3926" s="48"/>
      <c r="CK3926" s="48"/>
      <c r="CL3926" s="48"/>
      <c r="CM3926" s="48"/>
      <c r="CN3926" s="48"/>
      <c r="CO3926" s="48"/>
      <c r="CP3926" s="48"/>
      <c r="CQ3926" s="48"/>
      <c r="CR3926" s="48"/>
      <c r="CS3926" s="48"/>
      <c r="CT3926" s="48"/>
      <c r="CU3926" s="48"/>
      <c r="CV3926" s="48"/>
      <c r="CW3926" s="48"/>
      <c r="CX3926" s="48"/>
      <c r="CY3926" s="48"/>
      <c r="CZ3926" s="48"/>
    </row>
    <row r="3927" spans="27:104" s="4" customFormat="1" x14ac:dyDescent="0.3">
      <c r="AA3927" s="48"/>
      <c r="AB3927" s="48"/>
      <c r="AC3927" s="48"/>
      <c r="AD3927" s="48"/>
      <c r="AE3927" s="48"/>
      <c r="AF3927" s="48"/>
      <c r="AG3927" s="48"/>
      <c r="AH3927" s="48"/>
      <c r="AI3927" s="48"/>
      <c r="AJ3927" s="48"/>
      <c r="AK3927" s="48"/>
      <c r="AL3927" s="48"/>
      <c r="AM3927" s="48"/>
      <c r="AN3927" s="48"/>
      <c r="AO3927" s="48"/>
      <c r="AP3927" s="48"/>
      <c r="AQ3927" s="48"/>
      <c r="AR3927" s="48"/>
      <c r="AS3927" s="48"/>
      <c r="AT3927" s="48"/>
      <c r="AU3927" s="48"/>
      <c r="AV3927" s="48"/>
      <c r="AW3927" s="48"/>
      <c r="AX3927" s="48"/>
      <c r="AY3927" s="48"/>
      <c r="AZ3927" s="48"/>
      <c r="BA3927" s="48"/>
      <c r="BB3927" s="14"/>
      <c r="BC3927" s="48"/>
      <c r="BD3927" s="48"/>
      <c r="BE3927" s="48"/>
      <c r="BF3927" s="48"/>
      <c r="BG3927" s="48"/>
      <c r="BH3927" s="48"/>
      <c r="BI3927" s="48"/>
      <c r="BJ3927" s="48"/>
      <c r="BK3927" s="48"/>
      <c r="BL3927" s="48"/>
      <c r="BM3927" s="48"/>
      <c r="BN3927" s="48"/>
      <c r="BO3927" s="48"/>
      <c r="BP3927" s="48"/>
      <c r="BQ3927" s="48"/>
      <c r="BR3927" s="48"/>
      <c r="BS3927" s="48"/>
      <c r="BT3927" s="48"/>
      <c r="BU3927" s="48"/>
      <c r="BV3927" s="48"/>
      <c r="BW3927" s="48"/>
      <c r="BX3927" s="48"/>
      <c r="BY3927" s="48"/>
      <c r="BZ3927" s="48"/>
      <c r="CA3927" s="48"/>
      <c r="CB3927" s="48"/>
      <c r="CC3927" s="48"/>
      <c r="CD3927" s="48"/>
      <c r="CE3927" s="48"/>
      <c r="CF3927" s="48"/>
      <c r="CG3927" s="48"/>
      <c r="CH3927" s="48"/>
      <c r="CI3927" s="48"/>
      <c r="CJ3927" s="48"/>
      <c r="CK3927" s="48"/>
      <c r="CL3927" s="48"/>
      <c r="CM3927" s="48"/>
      <c r="CN3927" s="48"/>
      <c r="CO3927" s="48"/>
      <c r="CP3927" s="48"/>
      <c r="CQ3927" s="48"/>
      <c r="CR3927" s="48"/>
      <c r="CS3927" s="48"/>
      <c r="CT3927" s="48"/>
      <c r="CU3927" s="48"/>
      <c r="CV3927" s="48"/>
      <c r="CW3927" s="48"/>
      <c r="CX3927" s="48"/>
      <c r="CY3927" s="48"/>
      <c r="CZ3927" s="48"/>
    </row>
    <row r="3928" spans="27:104" s="4" customFormat="1" x14ac:dyDescent="0.3">
      <c r="AA3928" s="48"/>
      <c r="AB3928" s="48"/>
      <c r="AC3928" s="48"/>
      <c r="AD3928" s="48"/>
      <c r="AE3928" s="48"/>
      <c r="AF3928" s="48"/>
      <c r="AG3928" s="48"/>
      <c r="AH3928" s="48"/>
      <c r="AI3928" s="48"/>
      <c r="AJ3928" s="48"/>
      <c r="AK3928" s="48"/>
      <c r="AL3928" s="48"/>
      <c r="AM3928" s="48"/>
      <c r="AN3928" s="48"/>
      <c r="AO3928" s="48"/>
      <c r="AP3928" s="48"/>
      <c r="AQ3928" s="48"/>
      <c r="AR3928" s="48"/>
      <c r="AS3928" s="48"/>
      <c r="AT3928" s="48"/>
      <c r="AU3928" s="48"/>
      <c r="AV3928" s="48"/>
      <c r="AW3928" s="48"/>
      <c r="AX3928" s="48"/>
      <c r="AY3928" s="48"/>
      <c r="AZ3928" s="48"/>
      <c r="BA3928" s="48"/>
      <c r="BB3928" s="14"/>
      <c r="BC3928" s="48"/>
      <c r="BD3928" s="48"/>
      <c r="BE3928" s="48"/>
      <c r="BF3928" s="48"/>
      <c r="BG3928" s="48"/>
      <c r="BH3928" s="48"/>
      <c r="BI3928" s="48"/>
      <c r="BJ3928" s="48"/>
      <c r="BK3928" s="48"/>
      <c r="BL3928" s="48"/>
      <c r="BM3928" s="48"/>
      <c r="BN3928" s="48"/>
      <c r="BO3928" s="48"/>
      <c r="BP3928" s="48"/>
      <c r="BQ3928" s="48"/>
      <c r="BR3928" s="48"/>
      <c r="BS3928" s="48"/>
      <c r="BT3928" s="48"/>
      <c r="BU3928" s="48"/>
      <c r="BV3928" s="48"/>
      <c r="BW3928" s="48"/>
      <c r="BX3928" s="48"/>
      <c r="BY3928" s="48"/>
      <c r="BZ3928" s="48"/>
      <c r="CA3928" s="48"/>
      <c r="CB3928" s="48"/>
      <c r="CC3928" s="48"/>
      <c r="CD3928" s="48"/>
      <c r="CE3928" s="48"/>
      <c r="CF3928" s="48"/>
      <c r="CG3928" s="48"/>
      <c r="CH3928" s="48"/>
      <c r="CI3928" s="48"/>
      <c r="CJ3928" s="48"/>
      <c r="CK3928" s="48"/>
      <c r="CL3928" s="48"/>
      <c r="CM3928" s="48"/>
      <c r="CN3928" s="48"/>
      <c r="CO3928" s="48"/>
      <c r="CP3928" s="48"/>
      <c r="CQ3928" s="48"/>
      <c r="CR3928" s="48"/>
      <c r="CS3928" s="48"/>
      <c r="CT3928" s="48"/>
      <c r="CU3928" s="48"/>
      <c r="CV3928" s="48"/>
      <c r="CW3928" s="48"/>
      <c r="CX3928" s="48"/>
      <c r="CY3928" s="48"/>
      <c r="CZ3928" s="48"/>
    </row>
    <row r="3929" spans="27:104" s="4" customFormat="1" x14ac:dyDescent="0.3">
      <c r="AA3929" s="48"/>
      <c r="AB3929" s="48"/>
      <c r="AC3929" s="48"/>
      <c r="AD3929" s="48"/>
      <c r="AE3929" s="48"/>
      <c r="AF3929" s="48"/>
      <c r="AG3929" s="48"/>
      <c r="AH3929" s="48"/>
      <c r="AI3929" s="48"/>
      <c r="AJ3929" s="48"/>
      <c r="AK3929" s="48"/>
      <c r="AL3929" s="48"/>
      <c r="AM3929" s="48"/>
      <c r="AN3929" s="48"/>
      <c r="AO3929" s="48"/>
      <c r="AP3929" s="48"/>
      <c r="AQ3929" s="48"/>
      <c r="AR3929" s="48"/>
      <c r="AS3929" s="48"/>
      <c r="AT3929" s="48"/>
      <c r="AU3929" s="48"/>
      <c r="AV3929" s="48"/>
      <c r="AW3929" s="48"/>
      <c r="AX3929" s="48"/>
      <c r="AY3929" s="48"/>
      <c r="AZ3929" s="48"/>
      <c r="BA3929" s="48"/>
      <c r="BB3929" s="14"/>
      <c r="BC3929" s="48"/>
      <c r="BD3929" s="48"/>
      <c r="BE3929" s="48"/>
      <c r="BF3929" s="48"/>
      <c r="BG3929" s="48"/>
      <c r="BH3929" s="48"/>
      <c r="BI3929" s="48"/>
      <c r="BJ3929" s="48"/>
      <c r="BK3929" s="48"/>
      <c r="BL3929" s="48"/>
      <c r="BM3929" s="48"/>
      <c r="BN3929" s="48"/>
      <c r="BO3929" s="48"/>
      <c r="BP3929" s="48"/>
      <c r="BQ3929" s="48"/>
      <c r="BR3929" s="48"/>
      <c r="BS3929" s="48"/>
      <c r="BT3929" s="48"/>
      <c r="BU3929" s="48"/>
      <c r="BV3929" s="48"/>
      <c r="BW3929" s="48"/>
      <c r="BX3929" s="48"/>
      <c r="BY3929" s="48"/>
      <c r="BZ3929" s="48"/>
      <c r="CA3929" s="48"/>
      <c r="CB3929" s="48"/>
      <c r="CC3929" s="48"/>
      <c r="CD3929" s="48"/>
      <c r="CE3929" s="48"/>
      <c r="CF3929" s="48"/>
      <c r="CG3929" s="48"/>
      <c r="CH3929" s="48"/>
      <c r="CI3929" s="48"/>
      <c r="CJ3929" s="48"/>
      <c r="CK3929" s="48"/>
      <c r="CL3929" s="48"/>
      <c r="CM3929" s="48"/>
      <c r="CN3929" s="48"/>
      <c r="CO3929" s="48"/>
      <c r="CP3929" s="48"/>
      <c r="CQ3929" s="48"/>
      <c r="CR3929" s="48"/>
      <c r="CS3929" s="48"/>
      <c r="CT3929" s="48"/>
      <c r="CU3929" s="48"/>
      <c r="CV3929" s="48"/>
      <c r="CW3929" s="48"/>
      <c r="CX3929" s="48"/>
      <c r="CY3929" s="48"/>
      <c r="CZ3929" s="48"/>
    </row>
    <row r="3930" spans="27:104" s="4" customFormat="1" x14ac:dyDescent="0.3">
      <c r="AA3930" s="48"/>
      <c r="AB3930" s="48"/>
      <c r="AC3930" s="48"/>
      <c r="AD3930" s="48"/>
      <c r="AE3930" s="48"/>
      <c r="AF3930" s="48"/>
      <c r="AG3930" s="48"/>
      <c r="AH3930" s="48"/>
      <c r="AI3930" s="48"/>
      <c r="AJ3930" s="48"/>
      <c r="AK3930" s="48"/>
      <c r="AL3930" s="48"/>
      <c r="AM3930" s="48"/>
      <c r="AN3930" s="48"/>
      <c r="AO3930" s="48"/>
      <c r="AP3930" s="48"/>
      <c r="AQ3930" s="48"/>
      <c r="AR3930" s="48"/>
      <c r="AS3930" s="48"/>
      <c r="AT3930" s="48"/>
      <c r="AU3930" s="48"/>
      <c r="AV3930" s="48"/>
      <c r="AW3930" s="48"/>
      <c r="AX3930" s="48"/>
      <c r="AY3930" s="48"/>
      <c r="AZ3930" s="48"/>
      <c r="BA3930" s="48"/>
      <c r="BB3930" s="14"/>
      <c r="BC3930" s="48"/>
      <c r="BD3930" s="48"/>
      <c r="BE3930" s="48"/>
      <c r="BF3930" s="48"/>
      <c r="BG3930" s="48"/>
      <c r="BH3930" s="48"/>
      <c r="BI3930" s="48"/>
      <c r="BJ3930" s="48"/>
      <c r="BK3930" s="48"/>
      <c r="BL3930" s="48"/>
      <c r="BM3930" s="48"/>
      <c r="BN3930" s="48"/>
      <c r="BO3930" s="48"/>
      <c r="BP3930" s="48"/>
      <c r="BQ3930" s="48"/>
      <c r="BR3930" s="48"/>
      <c r="BS3930" s="48"/>
      <c r="BT3930" s="48"/>
      <c r="BU3930" s="48"/>
      <c r="BV3930" s="48"/>
      <c r="BW3930" s="48"/>
      <c r="BX3930" s="48"/>
      <c r="BY3930" s="48"/>
      <c r="BZ3930" s="48"/>
      <c r="CA3930" s="48"/>
      <c r="CB3930" s="48"/>
      <c r="CC3930" s="48"/>
      <c r="CD3930" s="48"/>
      <c r="CE3930" s="48"/>
      <c r="CF3930" s="48"/>
      <c r="CG3930" s="48"/>
      <c r="CH3930" s="48"/>
      <c r="CI3930" s="48"/>
      <c r="CJ3930" s="48"/>
      <c r="CK3930" s="48"/>
      <c r="CL3930" s="48"/>
      <c r="CM3930" s="48"/>
      <c r="CN3930" s="48"/>
      <c r="CO3930" s="48"/>
      <c r="CP3930" s="48"/>
      <c r="CQ3930" s="48"/>
      <c r="CR3930" s="48"/>
      <c r="CS3930" s="48"/>
      <c r="CT3930" s="48"/>
      <c r="CU3930" s="48"/>
      <c r="CV3930" s="48"/>
      <c r="CW3930" s="48"/>
      <c r="CX3930" s="48"/>
      <c r="CY3930" s="48"/>
      <c r="CZ3930" s="48"/>
    </row>
    <row r="3931" spans="27:104" s="4" customFormat="1" x14ac:dyDescent="0.3">
      <c r="AA3931" s="48"/>
      <c r="AB3931" s="48"/>
      <c r="AC3931" s="48"/>
      <c r="AD3931" s="48"/>
      <c r="AE3931" s="48"/>
      <c r="AF3931" s="48"/>
      <c r="AG3931" s="48"/>
      <c r="AH3931" s="48"/>
      <c r="AI3931" s="48"/>
      <c r="AJ3931" s="48"/>
      <c r="AK3931" s="48"/>
      <c r="AL3931" s="48"/>
      <c r="AM3931" s="48"/>
      <c r="AN3931" s="48"/>
      <c r="AO3931" s="48"/>
      <c r="AP3931" s="48"/>
      <c r="AQ3931" s="48"/>
      <c r="AR3931" s="48"/>
      <c r="AS3931" s="48"/>
      <c r="AT3931" s="48"/>
      <c r="AU3931" s="48"/>
      <c r="AV3931" s="48"/>
      <c r="AW3931" s="48"/>
      <c r="AX3931" s="48"/>
      <c r="AY3931" s="48"/>
      <c r="AZ3931" s="48"/>
      <c r="BA3931" s="48"/>
      <c r="BB3931" s="14"/>
      <c r="BC3931" s="48"/>
      <c r="BD3931" s="48"/>
      <c r="BE3931" s="48"/>
      <c r="BF3931" s="48"/>
      <c r="BG3931" s="48"/>
      <c r="BH3931" s="48"/>
      <c r="BI3931" s="48"/>
      <c r="BJ3931" s="48"/>
      <c r="BK3931" s="48"/>
      <c r="BL3931" s="48"/>
      <c r="BM3931" s="48"/>
      <c r="BN3931" s="48"/>
      <c r="BO3931" s="48"/>
      <c r="BP3931" s="48"/>
      <c r="BQ3931" s="48"/>
      <c r="BR3931" s="48"/>
      <c r="BS3931" s="48"/>
      <c r="BT3931" s="48"/>
      <c r="BU3931" s="48"/>
      <c r="BV3931" s="48"/>
      <c r="BW3931" s="48"/>
      <c r="BX3931" s="48"/>
      <c r="BY3931" s="48"/>
      <c r="BZ3931" s="48"/>
      <c r="CA3931" s="48"/>
      <c r="CB3931" s="48"/>
      <c r="CC3931" s="48"/>
      <c r="CD3931" s="48"/>
      <c r="CE3931" s="48"/>
      <c r="CF3931" s="48"/>
      <c r="CG3931" s="48"/>
      <c r="CH3931" s="48"/>
      <c r="CI3931" s="48"/>
      <c r="CJ3931" s="48"/>
      <c r="CK3931" s="48"/>
      <c r="CL3931" s="48"/>
      <c r="CM3931" s="48"/>
      <c r="CN3931" s="48"/>
      <c r="CO3931" s="48"/>
      <c r="CP3931" s="48"/>
      <c r="CQ3931" s="48"/>
      <c r="CR3931" s="48"/>
      <c r="CS3931" s="48"/>
      <c r="CT3931" s="48"/>
      <c r="CU3931" s="48"/>
      <c r="CV3931" s="48"/>
      <c r="CW3931" s="48"/>
      <c r="CX3931" s="48"/>
      <c r="CY3931" s="48"/>
      <c r="CZ3931" s="48"/>
    </row>
    <row r="3932" spans="27:104" s="4" customFormat="1" x14ac:dyDescent="0.3">
      <c r="AA3932" s="48"/>
      <c r="AB3932" s="48"/>
      <c r="AC3932" s="48"/>
      <c r="AD3932" s="48"/>
      <c r="AE3932" s="48"/>
      <c r="AF3932" s="48"/>
      <c r="AG3932" s="48"/>
      <c r="AH3932" s="48"/>
      <c r="AI3932" s="48"/>
      <c r="AJ3932" s="48"/>
      <c r="AK3932" s="48"/>
      <c r="AL3932" s="48"/>
      <c r="AM3932" s="48"/>
      <c r="AN3932" s="48"/>
      <c r="AO3932" s="48"/>
      <c r="AP3932" s="48"/>
      <c r="AQ3932" s="48"/>
      <c r="AR3932" s="48"/>
      <c r="AS3932" s="48"/>
      <c r="AT3932" s="48"/>
      <c r="AU3932" s="48"/>
      <c r="AV3932" s="48"/>
      <c r="AW3932" s="48"/>
      <c r="AX3932" s="48"/>
      <c r="AY3932" s="48"/>
      <c r="AZ3932" s="48"/>
      <c r="BA3932" s="48"/>
      <c r="BB3932" s="14"/>
      <c r="BC3932" s="48"/>
      <c r="BD3932" s="48"/>
      <c r="BE3932" s="48"/>
      <c r="BF3932" s="48"/>
      <c r="BG3932" s="48"/>
      <c r="BH3932" s="48"/>
      <c r="BI3932" s="48"/>
      <c r="BJ3932" s="48"/>
      <c r="BK3932" s="48"/>
      <c r="BL3932" s="48"/>
      <c r="BM3932" s="48"/>
      <c r="BN3932" s="48"/>
      <c r="BO3932" s="48"/>
      <c r="BP3932" s="48"/>
      <c r="BQ3932" s="48"/>
      <c r="BR3932" s="48"/>
      <c r="BS3932" s="48"/>
      <c r="BT3932" s="48"/>
      <c r="BU3932" s="48"/>
      <c r="BV3932" s="48"/>
      <c r="BW3932" s="48"/>
      <c r="BX3932" s="48"/>
      <c r="BY3932" s="48"/>
      <c r="BZ3932" s="48"/>
      <c r="CA3932" s="48"/>
      <c r="CB3932" s="48"/>
      <c r="CC3932" s="48"/>
      <c r="CD3932" s="48"/>
      <c r="CE3932" s="48"/>
      <c r="CF3932" s="48"/>
      <c r="CG3932" s="48"/>
      <c r="CH3932" s="48"/>
      <c r="CI3932" s="48"/>
      <c r="CJ3932" s="48"/>
      <c r="CK3932" s="48"/>
      <c r="CL3932" s="48"/>
      <c r="CM3932" s="48"/>
      <c r="CN3932" s="48"/>
      <c r="CO3932" s="48"/>
      <c r="CP3932" s="48"/>
      <c r="CQ3932" s="48"/>
      <c r="CR3932" s="48"/>
      <c r="CS3932" s="48"/>
      <c r="CT3932" s="48"/>
      <c r="CU3932" s="48"/>
      <c r="CV3932" s="48"/>
      <c r="CW3932" s="48"/>
      <c r="CX3932" s="48"/>
      <c r="CY3932" s="48"/>
      <c r="CZ3932" s="48"/>
    </row>
    <row r="3933" spans="27:104" s="4" customFormat="1" x14ac:dyDescent="0.3">
      <c r="AA3933" s="48"/>
      <c r="AB3933" s="48"/>
      <c r="AC3933" s="48"/>
      <c r="AD3933" s="48"/>
      <c r="AE3933" s="48"/>
      <c r="AF3933" s="48"/>
      <c r="AG3933" s="48"/>
      <c r="AH3933" s="48"/>
      <c r="AI3933" s="48"/>
      <c r="AJ3933" s="48"/>
      <c r="AK3933" s="48"/>
      <c r="AL3933" s="48"/>
      <c r="AM3933" s="48"/>
      <c r="AN3933" s="48"/>
      <c r="AO3933" s="48"/>
      <c r="AP3933" s="48"/>
      <c r="AQ3933" s="48"/>
      <c r="AR3933" s="48"/>
      <c r="AS3933" s="48"/>
      <c r="AT3933" s="48"/>
      <c r="AU3933" s="48"/>
      <c r="AV3933" s="48"/>
      <c r="AW3933" s="48"/>
      <c r="AX3933" s="48"/>
      <c r="AY3933" s="48"/>
      <c r="AZ3933" s="48"/>
      <c r="BA3933" s="48"/>
      <c r="BB3933" s="14"/>
      <c r="BC3933" s="48"/>
      <c r="BD3933" s="48"/>
      <c r="BE3933" s="48"/>
      <c r="BF3933" s="48"/>
      <c r="BG3933" s="48"/>
      <c r="BH3933" s="48"/>
      <c r="BI3933" s="48"/>
      <c r="BJ3933" s="48"/>
      <c r="BK3933" s="48"/>
      <c r="BL3933" s="48"/>
      <c r="BM3933" s="48"/>
      <c r="BN3933" s="48"/>
      <c r="BO3933" s="48"/>
      <c r="BP3933" s="48"/>
      <c r="BQ3933" s="48"/>
      <c r="BR3933" s="48"/>
      <c r="BS3933" s="48"/>
      <c r="BT3933" s="48"/>
      <c r="BU3933" s="48"/>
      <c r="BV3933" s="48"/>
      <c r="BW3933" s="48"/>
      <c r="BX3933" s="48"/>
      <c r="BY3933" s="48"/>
      <c r="BZ3933" s="48"/>
      <c r="CA3933" s="48"/>
      <c r="CB3933" s="48"/>
      <c r="CC3933" s="48"/>
      <c r="CD3933" s="48"/>
      <c r="CE3933" s="48"/>
      <c r="CF3933" s="48"/>
      <c r="CG3933" s="48"/>
      <c r="CH3933" s="48"/>
      <c r="CI3933" s="48"/>
      <c r="CJ3933" s="48"/>
      <c r="CK3933" s="48"/>
      <c r="CL3933" s="48"/>
      <c r="CM3933" s="48"/>
      <c r="CN3933" s="48"/>
      <c r="CO3933" s="48"/>
      <c r="CP3933" s="48"/>
      <c r="CQ3933" s="48"/>
      <c r="CR3933" s="48"/>
      <c r="CS3933" s="48"/>
      <c r="CT3933" s="48"/>
      <c r="CU3933" s="48"/>
      <c r="CV3933" s="48"/>
      <c r="CW3933" s="48"/>
      <c r="CX3933" s="48"/>
      <c r="CY3933" s="48"/>
      <c r="CZ3933" s="48"/>
    </row>
    <row r="3934" spans="27:104" s="4" customFormat="1" x14ac:dyDescent="0.3">
      <c r="AA3934" s="48"/>
      <c r="AB3934" s="48"/>
      <c r="AC3934" s="48"/>
      <c r="AD3934" s="48"/>
      <c r="AE3934" s="48"/>
      <c r="AF3934" s="48"/>
      <c r="AG3934" s="48"/>
      <c r="AH3934" s="48"/>
      <c r="AI3934" s="48"/>
      <c r="AJ3934" s="48"/>
      <c r="AK3934" s="48"/>
      <c r="AL3934" s="48"/>
      <c r="AM3934" s="48"/>
      <c r="AN3934" s="48"/>
      <c r="AO3934" s="48"/>
      <c r="AP3934" s="48"/>
      <c r="AQ3934" s="48"/>
      <c r="AR3934" s="48"/>
      <c r="AS3934" s="48"/>
      <c r="AT3934" s="48"/>
      <c r="AU3934" s="48"/>
      <c r="AV3934" s="48"/>
      <c r="AW3934" s="48"/>
      <c r="AX3934" s="48"/>
      <c r="AY3934" s="48"/>
      <c r="AZ3934" s="48"/>
      <c r="BA3934" s="48"/>
      <c r="BB3934" s="14"/>
      <c r="BC3934" s="48"/>
      <c r="BD3934" s="48"/>
      <c r="BE3934" s="48"/>
      <c r="BF3934" s="48"/>
      <c r="BG3934" s="48"/>
      <c r="BH3934" s="48"/>
      <c r="BI3934" s="48"/>
      <c r="BJ3934" s="48"/>
      <c r="BK3934" s="48"/>
      <c r="BL3934" s="48"/>
      <c r="BM3934" s="48"/>
      <c r="BN3934" s="48"/>
      <c r="BO3934" s="48"/>
      <c r="BP3934" s="48"/>
      <c r="BQ3934" s="48"/>
      <c r="BR3934" s="48"/>
      <c r="BS3934" s="48"/>
      <c r="BT3934" s="48"/>
      <c r="BU3934" s="48"/>
      <c r="BV3934" s="48"/>
      <c r="BW3934" s="48"/>
      <c r="BX3934" s="48"/>
      <c r="BY3934" s="48"/>
      <c r="BZ3934" s="48"/>
      <c r="CA3934" s="48"/>
      <c r="CB3934" s="48"/>
      <c r="CC3934" s="48"/>
      <c r="CD3934" s="48"/>
      <c r="CE3934" s="48"/>
      <c r="CF3934" s="48"/>
      <c r="CG3934" s="48"/>
      <c r="CH3934" s="48"/>
      <c r="CI3934" s="48"/>
      <c r="CJ3934" s="48"/>
      <c r="CK3934" s="48"/>
      <c r="CL3934" s="48"/>
      <c r="CM3934" s="48"/>
      <c r="CN3934" s="48"/>
      <c r="CO3934" s="48"/>
      <c r="CP3934" s="48"/>
      <c r="CQ3934" s="48"/>
      <c r="CR3934" s="48"/>
      <c r="CS3934" s="48"/>
      <c r="CT3934" s="48"/>
      <c r="CU3934" s="48"/>
      <c r="CV3934" s="48"/>
      <c r="CW3934" s="48"/>
      <c r="CX3934" s="48"/>
      <c r="CY3934" s="48"/>
      <c r="CZ3934" s="48"/>
    </row>
    <row r="3935" spans="27:104" s="4" customFormat="1" x14ac:dyDescent="0.3">
      <c r="AA3935" s="48"/>
      <c r="AB3935" s="48"/>
      <c r="AC3935" s="48"/>
      <c r="AD3935" s="48"/>
      <c r="AE3935" s="48"/>
      <c r="AF3935" s="48"/>
      <c r="AG3935" s="48"/>
      <c r="AH3935" s="48"/>
      <c r="AI3935" s="48"/>
      <c r="AJ3935" s="48"/>
      <c r="AK3935" s="48"/>
      <c r="AL3935" s="48"/>
      <c r="AM3935" s="48"/>
      <c r="AN3935" s="48"/>
      <c r="AO3935" s="48"/>
      <c r="AP3935" s="48"/>
      <c r="AQ3935" s="48"/>
      <c r="AR3935" s="48"/>
      <c r="AS3935" s="48"/>
      <c r="AT3935" s="48"/>
      <c r="AU3935" s="48"/>
      <c r="AV3935" s="48"/>
      <c r="AW3935" s="48"/>
      <c r="AX3935" s="48"/>
      <c r="AY3935" s="48"/>
      <c r="AZ3935" s="48"/>
      <c r="BA3935" s="48"/>
      <c r="BB3935" s="14"/>
      <c r="BC3935" s="48"/>
      <c r="BD3935" s="48"/>
      <c r="BE3935" s="48"/>
      <c r="BF3935" s="48"/>
      <c r="BG3935" s="48"/>
      <c r="BH3935" s="48"/>
      <c r="BI3935" s="48"/>
      <c r="BJ3935" s="48"/>
      <c r="BK3935" s="48"/>
      <c r="BL3935" s="48"/>
      <c r="BM3935" s="48"/>
      <c r="BN3935" s="48"/>
      <c r="BO3935" s="48"/>
      <c r="BP3935" s="48"/>
      <c r="BQ3935" s="48"/>
      <c r="BR3935" s="48"/>
      <c r="BS3935" s="48"/>
      <c r="BT3935" s="48"/>
      <c r="BU3935" s="48"/>
      <c r="BV3935" s="48"/>
      <c r="BW3935" s="48"/>
      <c r="BX3935" s="48"/>
      <c r="BY3935" s="48"/>
      <c r="BZ3935" s="48"/>
      <c r="CA3935" s="48"/>
      <c r="CB3935" s="48"/>
      <c r="CC3935" s="48"/>
      <c r="CD3935" s="48"/>
      <c r="CE3935" s="48"/>
      <c r="CF3935" s="48"/>
      <c r="CG3935" s="48"/>
      <c r="CH3935" s="48"/>
      <c r="CI3935" s="48"/>
      <c r="CJ3935" s="48"/>
      <c r="CK3935" s="48"/>
      <c r="CL3935" s="48"/>
      <c r="CM3935" s="48"/>
      <c r="CN3935" s="48"/>
      <c r="CO3935" s="48"/>
      <c r="CP3935" s="48"/>
      <c r="CQ3935" s="48"/>
      <c r="CR3935" s="48"/>
      <c r="CS3935" s="48"/>
      <c r="CT3935" s="48"/>
      <c r="CU3935" s="48"/>
      <c r="CV3935" s="48"/>
      <c r="CW3935" s="48"/>
      <c r="CX3935" s="48"/>
      <c r="CY3935" s="48"/>
      <c r="CZ3935" s="48"/>
    </row>
    <row r="3936" spans="27:104" s="4" customFormat="1" x14ac:dyDescent="0.3">
      <c r="AA3936" s="48"/>
      <c r="AB3936" s="48"/>
      <c r="AC3936" s="48"/>
      <c r="AD3936" s="48"/>
      <c r="AE3936" s="48"/>
      <c r="AF3936" s="48"/>
      <c r="AG3936" s="48"/>
      <c r="AH3936" s="48"/>
      <c r="AI3936" s="48"/>
      <c r="AJ3936" s="48"/>
      <c r="AK3936" s="48"/>
      <c r="AL3936" s="48"/>
      <c r="AM3936" s="48"/>
      <c r="AN3936" s="48"/>
      <c r="AO3936" s="48"/>
      <c r="AP3936" s="48"/>
      <c r="AQ3936" s="48"/>
      <c r="AR3936" s="48"/>
      <c r="AS3936" s="48"/>
      <c r="AT3936" s="48"/>
      <c r="AU3936" s="48"/>
      <c r="AV3936" s="48"/>
      <c r="AW3936" s="48"/>
      <c r="AX3936" s="48"/>
      <c r="AY3936" s="48"/>
      <c r="AZ3936" s="48"/>
      <c r="BA3936" s="48"/>
      <c r="BB3936" s="14"/>
      <c r="BC3936" s="48"/>
      <c r="BD3936" s="48"/>
      <c r="BE3936" s="48"/>
      <c r="BF3936" s="48"/>
      <c r="BG3936" s="48"/>
      <c r="BH3936" s="48"/>
      <c r="BI3936" s="48"/>
      <c r="BJ3936" s="48"/>
      <c r="BK3936" s="48"/>
      <c r="BL3936" s="48"/>
      <c r="BM3936" s="48"/>
      <c r="BN3936" s="48"/>
      <c r="BO3936" s="48"/>
      <c r="BP3936" s="48"/>
      <c r="BQ3936" s="48"/>
      <c r="BR3936" s="48"/>
      <c r="BS3936" s="48"/>
      <c r="BT3936" s="48"/>
      <c r="BU3936" s="48"/>
      <c r="BV3936" s="48"/>
      <c r="BW3936" s="48"/>
      <c r="BX3936" s="48"/>
      <c r="BY3936" s="48"/>
      <c r="BZ3936" s="48"/>
      <c r="CA3936" s="48"/>
      <c r="CB3936" s="48"/>
      <c r="CC3936" s="48"/>
      <c r="CD3936" s="48"/>
      <c r="CE3936" s="48"/>
      <c r="CF3936" s="48"/>
      <c r="CG3936" s="48"/>
      <c r="CH3936" s="48"/>
      <c r="CI3936" s="48"/>
      <c r="CJ3936" s="48"/>
      <c r="CK3936" s="48"/>
      <c r="CL3936" s="48"/>
      <c r="CM3936" s="48"/>
      <c r="CN3936" s="48"/>
      <c r="CO3936" s="48"/>
      <c r="CP3936" s="48"/>
      <c r="CQ3936" s="48"/>
      <c r="CR3936" s="48"/>
      <c r="CS3936" s="48"/>
      <c r="CT3936" s="48"/>
      <c r="CU3936" s="48"/>
      <c r="CV3936" s="48"/>
      <c r="CW3936" s="48"/>
      <c r="CX3936" s="48"/>
      <c r="CY3936" s="48"/>
      <c r="CZ3936" s="48"/>
    </row>
    <row r="3937" spans="27:104" s="4" customFormat="1" x14ac:dyDescent="0.3">
      <c r="AA3937" s="48"/>
      <c r="AB3937" s="48"/>
      <c r="AC3937" s="48"/>
      <c r="AD3937" s="48"/>
      <c r="AE3937" s="48"/>
      <c r="AF3937" s="48"/>
      <c r="AG3937" s="48"/>
      <c r="AH3937" s="48"/>
      <c r="AI3937" s="48"/>
      <c r="AJ3937" s="48"/>
      <c r="AK3937" s="48"/>
      <c r="AL3937" s="48"/>
      <c r="AM3937" s="48"/>
      <c r="AN3937" s="48"/>
      <c r="AO3937" s="48"/>
      <c r="AP3937" s="48"/>
      <c r="AQ3937" s="48"/>
      <c r="AR3937" s="48"/>
      <c r="AS3937" s="48"/>
      <c r="AT3937" s="48"/>
      <c r="AU3937" s="48"/>
      <c r="AV3937" s="48"/>
      <c r="AW3937" s="48"/>
      <c r="AX3937" s="48"/>
      <c r="AY3937" s="48"/>
      <c r="AZ3937" s="48"/>
      <c r="BA3937" s="48"/>
      <c r="BB3937" s="14"/>
      <c r="BC3937" s="48"/>
      <c r="BD3937" s="48"/>
      <c r="BE3937" s="48"/>
      <c r="BF3937" s="48"/>
      <c r="BG3937" s="48"/>
      <c r="BH3937" s="48"/>
      <c r="BI3937" s="48"/>
      <c r="BJ3937" s="48"/>
      <c r="BK3937" s="48"/>
      <c r="BL3937" s="48"/>
      <c r="BM3937" s="48"/>
      <c r="BN3937" s="48"/>
      <c r="BO3937" s="48"/>
      <c r="BP3937" s="48"/>
      <c r="BQ3937" s="48"/>
      <c r="BR3937" s="48"/>
      <c r="BS3937" s="48"/>
      <c r="BT3937" s="48"/>
      <c r="BU3937" s="48"/>
      <c r="BV3937" s="48"/>
      <c r="BW3937" s="48"/>
      <c r="BX3937" s="48"/>
      <c r="BY3937" s="48"/>
      <c r="BZ3937" s="48"/>
      <c r="CA3937" s="48"/>
      <c r="CB3937" s="48"/>
      <c r="CC3937" s="48"/>
      <c r="CD3937" s="48"/>
      <c r="CE3937" s="48"/>
      <c r="CF3937" s="48"/>
      <c r="CG3937" s="48"/>
      <c r="CH3937" s="48"/>
      <c r="CI3937" s="48"/>
      <c r="CJ3937" s="48"/>
      <c r="CK3937" s="48"/>
      <c r="CL3937" s="48"/>
      <c r="CM3937" s="48"/>
      <c r="CN3937" s="48"/>
      <c r="CO3937" s="48"/>
      <c r="CP3937" s="48"/>
      <c r="CQ3937" s="48"/>
      <c r="CR3937" s="48"/>
      <c r="CS3937" s="48"/>
      <c r="CT3937" s="48"/>
      <c r="CU3937" s="48"/>
      <c r="CV3937" s="48"/>
      <c r="CW3937" s="48"/>
      <c r="CX3937" s="48"/>
      <c r="CY3937" s="48"/>
      <c r="CZ3937" s="48"/>
    </row>
    <row r="3938" spans="27:104" s="4" customFormat="1" x14ac:dyDescent="0.3">
      <c r="AA3938" s="48"/>
      <c r="AB3938" s="48"/>
      <c r="AC3938" s="48"/>
      <c r="AD3938" s="48"/>
      <c r="AE3938" s="48"/>
      <c r="AF3938" s="48"/>
      <c r="AG3938" s="48"/>
      <c r="AH3938" s="48"/>
      <c r="AI3938" s="48"/>
      <c r="AJ3938" s="48"/>
      <c r="AK3938" s="48"/>
      <c r="AL3938" s="48"/>
      <c r="AM3938" s="48"/>
      <c r="AN3938" s="48"/>
      <c r="AO3938" s="48"/>
      <c r="AP3938" s="48"/>
      <c r="AQ3938" s="48"/>
      <c r="AR3938" s="48"/>
      <c r="AS3938" s="48"/>
      <c r="AT3938" s="48"/>
      <c r="AU3938" s="48"/>
      <c r="AV3938" s="48"/>
      <c r="AW3938" s="48"/>
      <c r="AX3938" s="48"/>
      <c r="AY3938" s="48"/>
      <c r="AZ3938" s="48"/>
      <c r="BA3938" s="48"/>
      <c r="BB3938" s="14"/>
      <c r="BC3938" s="48"/>
      <c r="BD3938" s="48"/>
      <c r="BE3938" s="48"/>
      <c r="BF3938" s="48"/>
      <c r="BG3938" s="48"/>
      <c r="BH3938" s="48"/>
      <c r="BI3938" s="48"/>
      <c r="BJ3938" s="48"/>
      <c r="BK3938" s="48"/>
      <c r="BL3938" s="48"/>
      <c r="BM3938" s="48"/>
      <c r="BN3938" s="48"/>
      <c r="BO3938" s="48"/>
      <c r="BP3938" s="48"/>
      <c r="BQ3938" s="48"/>
      <c r="BR3938" s="48"/>
      <c r="BS3938" s="48"/>
      <c r="BT3938" s="48"/>
      <c r="BU3938" s="48"/>
      <c r="BV3938" s="48"/>
      <c r="BW3938" s="48"/>
      <c r="BX3938" s="48"/>
      <c r="BY3938" s="48"/>
      <c r="BZ3938" s="48"/>
      <c r="CA3938" s="48"/>
      <c r="CB3938" s="48"/>
      <c r="CC3938" s="48"/>
      <c r="CD3938" s="48"/>
      <c r="CE3938" s="48"/>
      <c r="CF3938" s="48"/>
      <c r="CG3938" s="48"/>
      <c r="CH3938" s="48"/>
      <c r="CI3938" s="48"/>
      <c r="CJ3938" s="48"/>
      <c r="CK3938" s="48"/>
      <c r="CL3938" s="48"/>
      <c r="CM3938" s="48"/>
      <c r="CN3938" s="48"/>
      <c r="CO3938" s="48"/>
      <c r="CP3938" s="48"/>
      <c r="CQ3938" s="48"/>
      <c r="CR3938" s="48"/>
      <c r="CS3938" s="48"/>
      <c r="CT3938" s="48"/>
      <c r="CU3938" s="48"/>
      <c r="CV3938" s="48"/>
      <c r="CW3938" s="48"/>
      <c r="CX3938" s="48"/>
      <c r="CY3938" s="48"/>
      <c r="CZ3938" s="48"/>
    </row>
    <row r="3939" spans="27:104" s="4" customFormat="1" x14ac:dyDescent="0.3">
      <c r="AA3939" s="48"/>
      <c r="AB3939" s="48"/>
      <c r="AC3939" s="48"/>
      <c r="AD3939" s="48"/>
      <c r="AE3939" s="48"/>
      <c r="AF3939" s="48"/>
      <c r="AG3939" s="48"/>
      <c r="AH3939" s="48"/>
      <c r="AI3939" s="48"/>
      <c r="AJ3939" s="48"/>
      <c r="AK3939" s="48"/>
      <c r="AL3939" s="48"/>
      <c r="AM3939" s="48"/>
      <c r="AN3939" s="48"/>
      <c r="AO3939" s="48"/>
      <c r="AP3939" s="48"/>
      <c r="AQ3939" s="48"/>
      <c r="AR3939" s="48"/>
      <c r="AS3939" s="48"/>
      <c r="AT3939" s="48"/>
      <c r="AU3939" s="48"/>
      <c r="AV3939" s="48"/>
      <c r="AW3939" s="48"/>
      <c r="AX3939" s="48"/>
      <c r="AY3939" s="48"/>
      <c r="AZ3939" s="48"/>
      <c r="BA3939" s="48"/>
      <c r="BB3939" s="14"/>
      <c r="BC3939" s="48"/>
      <c r="BD3939" s="48"/>
      <c r="BE3939" s="48"/>
      <c r="BF3939" s="48"/>
      <c r="BG3939" s="48"/>
      <c r="BH3939" s="48"/>
      <c r="BI3939" s="48"/>
      <c r="BJ3939" s="48"/>
      <c r="BK3939" s="48"/>
      <c r="BL3939" s="48"/>
      <c r="BM3939" s="48"/>
      <c r="BN3939" s="48"/>
      <c r="BO3939" s="48"/>
      <c r="BP3939" s="48"/>
      <c r="BQ3939" s="48"/>
      <c r="BR3939" s="48"/>
      <c r="BS3939" s="48"/>
      <c r="BT3939" s="48"/>
      <c r="BU3939" s="48"/>
      <c r="BV3939" s="48"/>
      <c r="BW3939" s="48"/>
      <c r="BX3939" s="48"/>
      <c r="BY3939" s="48"/>
      <c r="BZ3939" s="48"/>
      <c r="CA3939" s="48"/>
      <c r="CB3939" s="48"/>
      <c r="CC3939" s="48"/>
      <c r="CD3939" s="48"/>
      <c r="CE3939" s="48"/>
      <c r="CF3939" s="48"/>
      <c r="CG3939" s="48"/>
      <c r="CH3939" s="48"/>
      <c r="CI3939" s="48"/>
      <c r="CJ3939" s="48"/>
      <c r="CK3939" s="48"/>
      <c r="CL3939" s="48"/>
      <c r="CM3939" s="48"/>
      <c r="CN3939" s="48"/>
      <c r="CO3939" s="48"/>
      <c r="CP3939" s="48"/>
      <c r="CQ3939" s="48"/>
      <c r="CR3939" s="48"/>
      <c r="CS3939" s="48"/>
      <c r="CT3939" s="48"/>
      <c r="CU3939" s="48"/>
      <c r="CV3939" s="48"/>
      <c r="CW3939" s="48"/>
      <c r="CX3939" s="48"/>
      <c r="CY3939" s="48"/>
      <c r="CZ3939" s="48"/>
    </row>
    <row r="3940" spans="27:104" s="4" customFormat="1" x14ac:dyDescent="0.3">
      <c r="AA3940" s="48"/>
      <c r="AB3940" s="48"/>
      <c r="AC3940" s="48"/>
      <c r="AD3940" s="48"/>
      <c r="AE3940" s="48"/>
      <c r="AF3940" s="48"/>
      <c r="AG3940" s="48"/>
      <c r="AH3940" s="48"/>
      <c r="AI3940" s="48"/>
      <c r="AJ3940" s="48"/>
      <c r="AK3940" s="48"/>
      <c r="AL3940" s="48"/>
      <c r="AM3940" s="48"/>
      <c r="AN3940" s="48"/>
      <c r="AO3940" s="48"/>
      <c r="AP3940" s="48"/>
      <c r="AQ3940" s="48"/>
      <c r="AR3940" s="48"/>
      <c r="AS3940" s="48"/>
      <c r="AT3940" s="48"/>
      <c r="AU3940" s="48"/>
      <c r="AV3940" s="48"/>
      <c r="AW3940" s="48"/>
      <c r="AX3940" s="48"/>
      <c r="AY3940" s="48"/>
      <c r="AZ3940" s="48"/>
      <c r="BA3940" s="48"/>
      <c r="BB3940" s="14"/>
      <c r="BC3940" s="48"/>
      <c r="BD3940" s="48"/>
      <c r="BE3940" s="48"/>
      <c r="BF3940" s="48"/>
      <c r="BG3940" s="48"/>
      <c r="BH3940" s="48"/>
      <c r="BI3940" s="48"/>
      <c r="BJ3940" s="48"/>
      <c r="BK3940" s="48"/>
      <c r="BL3940" s="48"/>
      <c r="BM3940" s="48"/>
      <c r="BN3940" s="48"/>
      <c r="BO3940" s="48"/>
      <c r="BP3940" s="48"/>
      <c r="BQ3940" s="48"/>
      <c r="BR3940" s="48"/>
      <c r="BS3940" s="48"/>
      <c r="BT3940" s="48"/>
      <c r="BU3940" s="48"/>
      <c r="BV3940" s="48"/>
      <c r="BW3940" s="48"/>
      <c r="BX3940" s="48"/>
      <c r="BY3940" s="48"/>
      <c r="BZ3940" s="48"/>
      <c r="CA3940" s="48"/>
      <c r="CB3940" s="48"/>
      <c r="CC3940" s="48"/>
      <c r="CD3940" s="48"/>
      <c r="CE3940" s="48"/>
      <c r="CF3940" s="48"/>
      <c r="CG3940" s="48"/>
      <c r="CH3940" s="48"/>
      <c r="CI3940" s="48"/>
      <c r="CJ3940" s="48"/>
      <c r="CK3940" s="48"/>
      <c r="CL3940" s="48"/>
      <c r="CM3940" s="48"/>
      <c r="CN3940" s="48"/>
      <c r="CO3940" s="48"/>
      <c r="CP3940" s="48"/>
      <c r="CQ3940" s="48"/>
      <c r="CR3940" s="48"/>
      <c r="CS3940" s="48"/>
      <c r="CT3940" s="48"/>
      <c r="CU3940" s="48"/>
      <c r="CV3940" s="48"/>
      <c r="CW3940" s="48"/>
      <c r="CX3940" s="48"/>
      <c r="CY3940" s="48"/>
      <c r="CZ3940" s="48"/>
    </row>
    <row r="3941" spans="27:104" s="4" customFormat="1" x14ac:dyDescent="0.3">
      <c r="AA3941" s="48"/>
      <c r="AB3941" s="48"/>
      <c r="AC3941" s="48"/>
      <c r="AD3941" s="48"/>
      <c r="AE3941" s="48"/>
      <c r="AF3941" s="48"/>
      <c r="AG3941" s="48"/>
      <c r="AH3941" s="48"/>
      <c r="AI3941" s="48"/>
      <c r="AJ3941" s="48"/>
      <c r="AK3941" s="48"/>
      <c r="AL3941" s="48"/>
      <c r="AM3941" s="48"/>
      <c r="AN3941" s="48"/>
      <c r="AO3941" s="48"/>
      <c r="AP3941" s="48"/>
      <c r="AQ3941" s="48"/>
      <c r="AR3941" s="48"/>
      <c r="AS3941" s="48"/>
      <c r="AT3941" s="48"/>
      <c r="AU3941" s="48"/>
      <c r="AV3941" s="48"/>
      <c r="AW3941" s="48"/>
      <c r="AX3941" s="48"/>
      <c r="AY3941" s="48"/>
      <c r="AZ3941" s="48"/>
      <c r="BA3941" s="48"/>
      <c r="BB3941" s="14"/>
      <c r="BC3941" s="48"/>
      <c r="BD3941" s="48"/>
      <c r="BE3941" s="48"/>
      <c r="BF3941" s="48"/>
      <c r="BG3941" s="48"/>
      <c r="BH3941" s="48"/>
      <c r="BI3941" s="48"/>
      <c r="BJ3941" s="48"/>
      <c r="BK3941" s="48"/>
      <c r="BL3941" s="48"/>
      <c r="BM3941" s="48"/>
      <c r="BN3941" s="48"/>
      <c r="BO3941" s="48"/>
      <c r="BP3941" s="48"/>
      <c r="BQ3941" s="48"/>
      <c r="BR3941" s="48"/>
      <c r="BS3941" s="48"/>
      <c r="BT3941" s="48"/>
      <c r="BU3941" s="48"/>
      <c r="BV3941" s="48"/>
      <c r="BW3941" s="48"/>
      <c r="BX3941" s="48"/>
      <c r="BY3941" s="48"/>
      <c r="BZ3941" s="48"/>
      <c r="CA3941" s="48"/>
      <c r="CB3941" s="48"/>
      <c r="CC3941" s="48"/>
      <c r="CD3941" s="48"/>
      <c r="CE3941" s="48"/>
      <c r="CF3941" s="48"/>
      <c r="CG3941" s="48"/>
      <c r="CH3941" s="48"/>
      <c r="CI3941" s="48"/>
      <c r="CJ3941" s="48"/>
      <c r="CK3941" s="48"/>
      <c r="CL3941" s="48"/>
      <c r="CM3941" s="48"/>
      <c r="CN3941" s="48"/>
      <c r="CO3941" s="48"/>
      <c r="CP3941" s="48"/>
      <c r="CQ3941" s="48"/>
      <c r="CR3941" s="48"/>
      <c r="CS3941" s="48"/>
      <c r="CT3941" s="48"/>
      <c r="CU3941" s="48"/>
      <c r="CV3941" s="48"/>
      <c r="CW3941" s="48"/>
      <c r="CX3941" s="48"/>
      <c r="CY3941" s="48"/>
      <c r="CZ3941" s="48"/>
    </row>
    <row r="3942" spans="27:104" s="4" customFormat="1" x14ac:dyDescent="0.3">
      <c r="AA3942" s="48"/>
      <c r="AB3942" s="48"/>
      <c r="AC3942" s="48"/>
      <c r="AD3942" s="48"/>
      <c r="AE3942" s="48"/>
      <c r="AF3942" s="48"/>
      <c r="AG3942" s="48"/>
      <c r="AH3942" s="48"/>
      <c r="AI3942" s="48"/>
      <c r="AJ3942" s="48"/>
      <c r="AK3942" s="48"/>
      <c r="AL3942" s="48"/>
      <c r="AM3942" s="48"/>
      <c r="AN3942" s="48"/>
      <c r="AO3942" s="48"/>
      <c r="AP3942" s="48"/>
      <c r="AQ3942" s="48"/>
      <c r="AR3942" s="48"/>
      <c r="AS3942" s="48"/>
      <c r="AT3942" s="48"/>
      <c r="AU3942" s="48"/>
      <c r="AV3942" s="48"/>
      <c r="AW3942" s="48"/>
      <c r="AX3942" s="48"/>
      <c r="AY3942" s="48"/>
      <c r="AZ3942" s="48"/>
      <c r="BA3942" s="48"/>
      <c r="BB3942" s="14"/>
      <c r="BC3942" s="48"/>
      <c r="BD3942" s="48"/>
      <c r="BE3942" s="48"/>
      <c r="BF3942" s="48"/>
      <c r="BG3942" s="48"/>
      <c r="BH3942" s="48"/>
      <c r="BI3942" s="48"/>
      <c r="BJ3942" s="48"/>
      <c r="BK3942" s="48"/>
      <c r="BL3942" s="48"/>
      <c r="BM3942" s="48"/>
      <c r="BN3942" s="48"/>
      <c r="BO3942" s="48"/>
      <c r="BP3942" s="48"/>
      <c r="BQ3942" s="48"/>
      <c r="BR3942" s="48"/>
      <c r="BS3942" s="48"/>
      <c r="BT3942" s="48"/>
      <c r="BU3942" s="48"/>
      <c r="BV3942" s="48"/>
      <c r="BW3942" s="48"/>
      <c r="BX3942" s="48"/>
      <c r="BY3942" s="48"/>
      <c r="BZ3942" s="48"/>
      <c r="CA3942" s="48"/>
      <c r="CB3942" s="48"/>
      <c r="CC3942" s="48"/>
      <c r="CD3942" s="48"/>
      <c r="CE3942" s="48"/>
      <c r="CF3942" s="48"/>
      <c r="CG3942" s="48"/>
      <c r="CH3942" s="48"/>
      <c r="CI3942" s="48"/>
      <c r="CJ3942" s="48"/>
      <c r="CK3942" s="48"/>
      <c r="CL3942" s="48"/>
      <c r="CM3942" s="48"/>
      <c r="CN3942" s="48"/>
      <c r="CO3942" s="48"/>
      <c r="CP3942" s="48"/>
      <c r="CQ3942" s="48"/>
      <c r="CR3942" s="48"/>
      <c r="CS3942" s="48"/>
      <c r="CT3942" s="48"/>
      <c r="CU3942" s="48"/>
      <c r="CV3942" s="48"/>
      <c r="CW3942" s="48"/>
      <c r="CX3942" s="48"/>
      <c r="CY3942" s="48"/>
      <c r="CZ3942" s="48"/>
    </row>
    <row r="3943" spans="27:104" s="4" customFormat="1" x14ac:dyDescent="0.3">
      <c r="AA3943" s="48"/>
      <c r="AB3943" s="48"/>
      <c r="AC3943" s="48"/>
      <c r="AD3943" s="48"/>
      <c r="AE3943" s="48"/>
      <c r="AF3943" s="48"/>
      <c r="AG3943" s="48"/>
      <c r="AH3943" s="48"/>
      <c r="AI3943" s="48"/>
      <c r="AJ3943" s="48"/>
      <c r="AK3943" s="48"/>
      <c r="AL3943" s="48"/>
      <c r="AM3943" s="48"/>
      <c r="AN3943" s="48"/>
      <c r="AO3943" s="48"/>
      <c r="AP3943" s="48"/>
      <c r="AQ3943" s="48"/>
      <c r="AR3943" s="48"/>
      <c r="AS3943" s="48"/>
      <c r="AT3943" s="48"/>
      <c r="AU3943" s="48"/>
      <c r="AV3943" s="48"/>
      <c r="AW3943" s="48"/>
      <c r="AX3943" s="48"/>
      <c r="AY3943" s="48"/>
      <c r="AZ3943" s="48"/>
      <c r="BA3943" s="48"/>
      <c r="BB3943" s="14"/>
      <c r="BC3943" s="48"/>
      <c r="BD3943" s="48"/>
      <c r="BE3943" s="48"/>
      <c r="BF3943" s="48"/>
      <c r="BG3943" s="48"/>
      <c r="BH3943" s="48"/>
      <c r="BI3943" s="48"/>
      <c r="BJ3943" s="48"/>
      <c r="BK3943" s="48"/>
      <c r="BL3943" s="48"/>
      <c r="BM3943" s="48"/>
      <c r="BN3943" s="48"/>
      <c r="BO3943" s="48"/>
      <c r="BP3943" s="48"/>
      <c r="BQ3943" s="48"/>
      <c r="BR3943" s="48"/>
      <c r="BS3943" s="48"/>
      <c r="BT3943" s="48"/>
      <c r="BU3943" s="48"/>
      <c r="BV3943" s="48"/>
      <c r="BW3943" s="48"/>
      <c r="BX3943" s="48"/>
      <c r="BY3943" s="48"/>
      <c r="BZ3943" s="48"/>
      <c r="CA3943" s="48"/>
      <c r="CB3943" s="48"/>
      <c r="CC3943" s="48"/>
      <c r="CD3943" s="48"/>
      <c r="CE3943" s="48"/>
      <c r="CF3943" s="48"/>
      <c r="CG3943" s="48"/>
      <c r="CH3943" s="48"/>
      <c r="CI3943" s="48"/>
      <c r="CJ3943" s="48"/>
      <c r="CK3943" s="48"/>
      <c r="CL3943" s="48"/>
      <c r="CM3943" s="48"/>
      <c r="CN3943" s="48"/>
      <c r="CO3943" s="48"/>
      <c r="CP3943" s="48"/>
      <c r="CQ3943" s="48"/>
      <c r="CR3943" s="48"/>
      <c r="CS3943" s="48"/>
      <c r="CT3943" s="48"/>
      <c r="CU3943" s="48"/>
      <c r="CV3943" s="48"/>
      <c r="CW3943" s="48"/>
      <c r="CX3943" s="48"/>
      <c r="CY3943" s="48"/>
      <c r="CZ3943" s="48"/>
    </row>
    <row r="3944" spans="27:104" s="4" customFormat="1" x14ac:dyDescent="0.3">
      <c r="AA3944" s="48"/>
      <c r="AB3944" s="48"/>
      <c r="AC3944" s="48"/>
      <c r="AD3944" s="48"/>
      <c r="AE3944" s="48"/>
      <c r="AF3944" s="48"/>
      <c r="AG3944" s="48"/>
      <c r="AH3944" s="48"/>
      <c r="AI3944" s="48"/>
      <c r="AJ3944" s="48"/>
      <c r="AK3944" s="48"/>
      <c r="AL3944" s="48"/>
      <c r="AM3944" s="48"/>
      <c r="AN3944" s="48"/>
      <c r="AO3944" s="48"/>
      <c r="AP3944" s="48"/>
      <c r="AQ3944" s="48"/>
      <c r="AR3944" s="48"/>
      <c r="AS3944" s="48"/>
      <c r="AT3944" s="48"/>
      <c r="AU3944" s="48"/>
      <c r="AV3944" s="48"/>
      <c r="AW3944" s="48"/>
      <c r="AX3944" s="48"/>
      <c r="AY3944" s="48"/>
      <c r="AZ3944" s="48"/>
      <c r="BA3944" s="48"/>
      <c r="BB3944" s="14"/>
      <c r="BC3944" s="48"/>
      <c r="BD3944" s="48"/>
      <c r="BE3944" s="48"/>
      <c r="BF3944" s="48"/>
      <c r="BG3944" s="48"/>
      <c r="BH3944" s="48"/>
      <c r="BI3944" s="48"/>
      <c r="BJ3944" s="48"/>
      <c r="BK3944" s="48"/>
      <c r="BL3944" s="48"/>
      <c r="BM3944" s="48"/>
      <c r="BN3944" s="48"/>
      <c r="BO3944" s="48"/>
      <c r="BP3944" s="48"/>
      <c r="BQ3944" s="48"/>
      <c r="BR3944" s="48"/>
      <c r="BS3944" s="48"/>
      <c r="BT3944" s="48"/>
      <c r="BU3944" s="48"/>
      <c r="BV3944" s="48"/>
      <c r="BW3944" s="48"/>
      <c r="BX3944" s="48"/>
      <c r="BY3944" s="48"/>
      <c r="BZ3944" s="48"/>
      <c r="CA3944" s="48"/>
      <c r="CB3944" s="48"/>
      <c r="CC3944" s="48"/>
      <c r="CD3944" s="48"/>
      <c r="CE3944" s="48"/>
      <c r="CF3944" s="48"/>
      <c r="CG3944" s="48"/>
      <c r="CH3944" s="48"/>
      <c r="CI3944" s="48"/>
      <c r="CJ3944" s="48"/>
      <c r="CK3944" s="48"/>
      <c r="CL3944" s="48"/>
      <c r="CM3944" s="48"/>
      <c r="CN3944" s="48"/>
      <c r="CO3944" s="48"/>
      <c r="CP3944" s="48"/>
      <c r="CQ3944" s="48"/>
      <c r="CR3944" s="48"/>
      <c r="CS3944" s="48"/>
      <c r="CT3944" s="48"/>
      <c r="CU3944" s="48"/>
      <c r="CV3944" s="48"/>
      <c r="CW3944" s="48"/>
      <c r="CX3944" s="48"/>
      <c r="CY3944" s="48"/>
      <c r="CZ3944" s="48"/>
    </row>
    <row r="3945" spans="27:104" s="4" customFormat="1" x14ac:dyDescent="0.3">
      <c r="AA3945" s="48"/>
      <c r="AB3945" s="48"/>
      <c r="AC3945" s="48"/>
      <c r="AD3945" s="48"/>
      <c r="AE3945" s="48"/>
      <c r="AF3945" s="48"/>
      <c r="AG3945" s="48"/>
      <c r="AH3945" s="48"/>
      <c r="AI3945" s="48"/>
      <c r="AJ3945" s="48"/>
      <c r="AK3945" s="48"/>
      <c r="AL3945" s="48"/>
      <c r="AM3945" s="48"/>
      <c r="AN3945" s="48"/>
      <c r="AO3945" s="48"/>
      <c r="AP3945" s="48"/>
      <c r="AQ3945" s="48"/>
      <c r="AR3945" s="48"/>
      <c r="AS3945" s="48"/>
      <c r="AT3945" s="48"/>
      <c r="AU3945" s="48"/>
      <c r="AV3945" s="48"/>
      <c r="AW3945" s="48"/>
      <c r="AX3945" s="48"/>
      <c r="AY3945" s="48"/>
      <c r="AZ3945" s="48"/>
      <c r="BA3945" s="48"/>
      <c r="BB3945" s="14"/>
      <c r="BC3945" s="48"/>
      <c r="BD3945" s="48"/>
      <c r="BE3945" s="48"/>
      <c r="BF3945" s="48"/>
      <c r="BG3945" s="48"/>
      <c r="BH3945" s="48"/>
      <c r="BI3945" s="48"/>
      <c r="BJ3945" s="48"/>
      <c r="BK3945" s="48"/>
      <c r="BL3945" s="48"/>
      <c r="BM3945" s="48"/>
      <c r="BN3945" s="48"/>
      <c r="BO3945" s="48"/>
      <c r="BP3945" s="48"/>
      <c r="BQ3945" s="48"/>
      <c r="BR3945" s="48"/>
      <c r="BS3945" s="48"/>
      <c r="BT3945" s="48"/>
      <c r="BU3945" s="48"/>
      <c r="BV3945" s="48"/>
      <c r="BW3945" s="48"/>
      <c r="BX3945" s="48"/>
      <c r="BY3945" s="48"/>
      <c r="BZ3945" s="48"/>
      <c r="CA3945" s="48"/>
      <c r="CB3945" s="48"/>
      <c r="CC3945" s="48"/>
      <c r="CD3945" s="48"/>
      <c r="CE3945" s="48"/>
      <c r="CF3945" s="48"/>
      <c r="CG3945" s="48"/>
      <c r="CH3945" s="48"/>
      <c r="CI3945" s="48"/>
      <c r="CJ3945" s="48"/>
      <c r="CK3945" s="48"/>
      <c r="CL3945" s="48"/>
      <c r="CM3945" s="48"/>
      <c r="CN3945" s="48"/>
      <c r="CO3945" s="48"/>
      <c r="CP3945" s="48"/>
      <c r="CQ3945" s="48"/>
      <c r="CR3945" s="48"/>
      <c r="CS3945" s="48"/>
      <c r="CT3945" s="48"/>
      <c r="CU3945" s="48"/>
      <c r="CV3945" s="48"/>
      <c r="CW3945" s="48"/>
      <c r="CX3945" s="48"/>
      <c r="CY3945" s="48"/>
      <c r="CZ3945" s="48"/>
    </row>
    <row r="3946" spans="27:104" s="4" customFormat="1" x14ac:dyDescent="0.3">
      <c r="AA3946" s="48"/>
      <c r="AB3946" s="48"/>
      <c r="AC3946" s="48"/>
      <c r="AD3946" s="48"/>
      <c r="AE3946" s="48"/>
      <c r="AF3946" s="48"/>
      <c r="AG3946" s="48"/>
      <c r="AH3946" s="48"/>
      <c r="AI3946" s="48"/>
      <c r="AJ3946" s="48"/>
      <c r="AK3946" s="48"/>
      <c r="AL3946" s="48"/>
      <c r="AM3946" s="48"/>
      <c r="AN3946" s="48"/>
      <c r="AO3946" s="48"/>
      <c r="AP3946" s="48"/>
      <c r="AQ3946" s="48"/>
      <c r="AR3946" s="48"/>
      <c r="AS3946" s="48"/>
      <c r="AT3946" s="48"/>
      <c r="AU3946" s="48"/>
      <c r="AV3946" s="48"/>
      <c r="AW3946" s="48"/>
      <c r="AX3946" s="48"/>
      <c r="AY3946" s="48"/>
      <c r="AZ3946" s="48"/>
      <c r="BA3946" s="48"/>
      <c r="BB3946" s="14"/>
      <c r="BC3946" s="48"/>
      <c r="BD3946" s="48"/>
      <c r="BE3946" s="48"/>
      <c r="BF3946" s="48"/>
      <c r="BG3946" s="48"/>
      <c r="BH3946" s="48"/>
      <c r="BI3946" s="48"/>
      <c r="BJ3946" s="48"/>
      <c r="BK3946" s="48"/>
      <c r="BL3946" s="48"/>
      <c r="BM3946" s="48"/>
      <c r="BN3946" s="48"/>
      <c r="BO3946" s="48"/>
      <c r="BP3946" s="48"/>
      <c r="BQ3946" s="48"/>
      <c r="BR3946" s="48"/>
      <c r="BS3946" s="48"/>
      <c r="BT3946" s="48"/>
      <c r="BU3946" s="48"/>
      <c r="BV3946" s="48"/>
      <c r="BW3946" s="48"/>
      <c r="BX3946" s="48"/>
      <c r="BY3946" s="48"/>
      <c r="BZ3946" s="48"/>
      <c r="CA3946" s="48"/>
      <c r="CB3946" s="48"/>
      <c r="CC3946" s="48"/>
      <c r="CD3946" s="48"/>
      <c r="CE3946" s="48"/>
      <c r="CF3946" s="48"/>
      <c r="CG3946" s="48"/>
      <c r="CH3946" s="48"/>
      <c r="CI3946" s="48"/>
      <c r="CJ3946" s="48"/>
      <c r="CK3946" s="48"/>
      <c r="CL3946" s="48"/>
      <c r="CM3946" s="48"/>
      <c r="CN3946" s="48"/>
      <c r="CO3946" s="48"/>
      <c r="CP3946" s="48"/>
      <c r="CQ3946" s="48"/>
      <c r="CR3946" s="48"/>
      <c r="CS3946" s="48"/>
      <c r="CT3946" s="48"/>
      <c r="CU3946" s="48"/>
      <c r="CV3946" s="48"/>
      <c r="CW3946" s="48"/>
      <c r="CX3946" s="48"/>
      <c r="CY3946" s="48"/>
      <c r="CZ3946" s="48"/>
    </row>
    <row r="3947" spans="27:104" s="4" customFormat="1" x14ac:dyDescent="0.3">
      <c r="AA3947" s="48"/>
      <c r="AB3947" s="48"/>
      <c r="AC3947" s="48"/>
      <c r="AD3947" s="48"/>
      <c r="AE3947" s="48"/>
      <c r="AF3947" s="48"/>
      <c r="AG3947" s="48"/>
      <c r="AH3947" s="48"/>
      <c r="AI3947" s="48"/>
      <c r="AJ3947" s="48"/>
      <c r="AK3947" s="48"/>
      <c r="AL3947" s="48"/>
      <c r="AM3947" s="48"/>
      <c r="AN3947" s="48"/>
      <c r="AO3947" s="48"/>
      <c r="AP3947" s="48"/>
      <c r="AQ3947" s="48"/>
      <c r="AR3947" s="48"/>
      <c r="AS3947" s="48"/>
      <c r="AT3947" s="48"/>
      <c r="AU3947" s="48"/>
      <c r="AV3947" s="48"/>
      <c r="AW3947" s="48"/>
      <c r="AX3947" s="48"/>
      <c r="AY3947" s="48"/>
      <c r="AZ3947" s="48"/>
      <c r="BA3947" s="48"/>
      <c r="BB3947" s="14"/>
      <c r="BC3947" s="48"/>
      <c r="BD3947" s="48"/>
      <c r="BE3947" s="48"/>
      <c r="BF3947" s="48"/>
      <c r="BG3947" s="48"/>
      <c r="BH3947" s="48"/>
      <c r="BI3947" s="48"/>
      <c r="BJ3947" s="48"/>
      <c r="BK3947" s="48"/>
      <c r="BL3947" s="48"/>
      <c r="BM3947" s="48"/>
      <c r="BN3947" s="48"/>
      <c r="BO3947" s="48"/>
      <c r="BP3947" s="48"/>
      <c r="BQ3947" s="48"/>
      <c r="BR3947" s="48"/>
      <c r="BS3947" s="48"/>
      <c r="BT3947" s="48"/>
      <c r="BU3947" s="48"/>
      <c r="BV3947" s="48"/>
      <c r="BW3947" s="48"/>
      <c r="BX3947" s="48"/>
      <c r="BY3947" s="48"/>
      <c r="BZ3947" s="48"/>
      <c r="CA3947" s="48"/>
      <c r="CB3947" s="48"/>
      <c r="CC3947" s="48"/>
      <c r="CD3947" s="48"/>
      <c r="CE3947" s="48"/>
      <c r="CF3947" s="48"/>
      <c r="CG3947" s="48"/>
      <c r="CH3947" s="48"/>
      <c r="CI3947" s="48"/>
      <c r="CJ3947" s="48"/>
      <c r="CK3947" s="48"/>
      <c r="CL3947" s="48"/>
      <c r="CM3947" s="48"/>
      <c r="CN3947" s="48"/>
      <c r="CO3947" s="48"/>
      <c r="CP3947" s="48"/>
      <c r="CQ3947" s="48"/>
      <c r="CR3947" s="48"/>
      <c r="CS3947" s="48"/>
      <c r="CT3947" s="48"/>
      <c r="CU3947" s="48"/>
      <c r="CV3947" s="48"/>
      <c r="CW3947" s="48"/>
      <c r="CX3947" s="48"/>
      <c r="CY3947" s="48"/>
      <c r="CZ3947" s="48"/>
    </row>
    <row r="3948" spans="27:104" s="4" customFormat="1" x14ac:dyDescent="0.3">
      <c r="AA3948" s="48"/>
      <c r="AB3948" s="48"/>
      <c r="AC3948" s="48"/>
      <c r="AD3948" s="48"/>
      <c r="AE3948" s="48"/>
      <c r="AF3948" s="48"/>
      <c r="AG3948" s="48"/>
      <c r="AH3948" s="48"/>
      <c r="AI3948" s="48"/>
      <c r="AJ3948" s="48"/>
      <c r="AK3948" s="48"/>
      <c r="AL3948" s="48"/>
      <c r="AM3948" s="48"/>
      <c r="AN3948" s="48"/>
      <c r="AO3948" s="48"/>
      <c r="AP3948" s="48"/>
      <c r="AQ3948" s="48"/>
      <c r="AR3948" s="48"/>
      <c r="AS3948" s="48"/>
      <c r="AT3948" s="48"/>
      <c r="AU3948" s="48"/>
      <c r="AV3948" s="48"/>
      <c r="AW3948" s="48"/>
      <c r="AX3948" s="48"/>
      <c r="AY3948" s="48"/>
      <c r="AZ3948" s="48"/>
      <c r="BA3948" s="48"/>
      <c r="BB3948" s="14"/>
      <c r="BC3948" s="48"/>
      <c r="BD3948" s="48"/>
      <c r="BE3948" s="48"/>
      <c r="BF3948" s="48"/>
      <c r="BG3948" s="48"/>
      <c r="BH3948" s="48"/>
      <c r="BI3948" s="48"/>
      <c r="BJ3948" s="48"/>
      <c r="BK3948" s="48"/>
      <c r="BL3948" s="48"/>
      <c r="BM3948" s="48"/>
      <c r="BN3948" s="48"/>
      <c r="BO3948" s="48"/>
      <c r="BP3948" s="48"/>
      <c r="BQ3948" s="48"/>
      <c r="BR3948" s="48"/>
      <c r="BS3948" s="48"/>
      <c r="BT3948" s="48"/>
      <c r="BU3948" s="48"/>
      <c r="BV3948" s="48"/>
      <c r="BW3948" s="48"/>
      <c r="BX3948" s="48"/>
      <c r="BY3948" s="48"/>
      <c r="BZ3948" s="48"/>
      <c r="CA3948" s="48"/>
      <c r="CB3948" s="48"/>
      <c r="CC3948" s="48"/>
      <c r="CD3948" s="48"/>
      <c r="CE3948" s="48"/>
      <c r="CF3948" s="48"/>
      <c r="CG3948" s="48"/>
      <c r="CH3948" s="48"/>
      <c r="CI3948" s="48"/>
      <c r="CJ3948" s="48"/>
      <c r="CK3948" s="48"/>
      <c r="CL3948" s="48"/>
      <c r="CM3948" s="48"/>
      <c r="CN3948" s="48"/>
      <c r="CO3948" s="48"/>
      <c r="CP3948" s="48"/>
      <c r="CQ3948" s="48"/>
      <c r="CR3948" s="48"/>
      <c r="CS3948" s="48"/>
      <c r="CT3948" s="48"/>
      <c r="CU3948" s="48"/>
      <c r="CV3948" s="48"/>
      <c r="CW3948" s="48"/>
      <c r="CX3948" s="48"/>
      <c r="CY3948" s="48"/>
      <c r="CZ3948" s="48"/>
    </row>
    <row r="3949" spans="27:104" s="4" customFormat="1" x14ac:dyDescent="0.3">
      <c r="AA3949" s="48"/>
      <c r="AB3949" s="48"/>
      <c r="AC3949" s="48"/>
      <c r="AD3949" s="48"/>
      <c r="AE3949" s="48"/>
      <c r="AF3949" s="48"/>
      <c r="AG3949" s="48"/>
      <c r="AH3949" s="48"/>
      <c r="AI3949" s="48"/>
      <c r="AJ3949" s="48"/>
      <c r="AK3949" s="48"/>
      <c r="AL3949" s="48"/>
      <c r="AM3949" s="48"/>
      <c r="AN3949" s="48"/>
      <c r="AO3949" s="48"/>
      <c r="AP3949" s="48"/>
      <c r="AQ3949" s="48"/>
      <c r="AR3949" s="48"/>
      <c r="AS3949" s="48"/>
      <c r="AT3949" s="48"/>
      <c r="AU3949" s="48"/>
      <c r="AV3949" s="48"/>
      <c r="AW3949" s="48"/>
      <c r="AX3949" s="48"/>
      <c r="AY3949" s="48"/>
      <c r="AZ3949" s="48"/>
      <c r="BA3949" s="48"/>
      <c r="BB3949" s="14"/>
      <c r="BC3949" s="48"/>
      <c r="BD3949" s="48"/>
      <c r="BE3949" s="48"/>
      <c r="BF3949" s="48"/>
      <c r="BG3949" s="48"/>
      <c r="BH3949" s="48"/>
      <c r="BI3949" s="48"/>
      <c r="BJ3949" s="48"/>
      <c r="BK3949" s="48"/>
      <c r="BL3949" s="48"/>
      <c r="BM3949" s="48"/>
      <c r="BN3949" s="48"/>
      <c r="BO3949" s="48"/>
      <c r="BP3949" s="48"/>
      <c r="BQ3949" s="48"/>
      <c r="BR3949" s="48"/>
      <c r="BS3949" s="48"/>
      <c r="BT3949" s="48"/>
      <c r="BU3949" s="48"/>
      <c r="BV3949" s="48"/>
      <c r="BW3949" s="48"/>
      <c r="BX3949" s="48"/>
      <c r="BY3949" s="48"/>
      <c r="BZ3949" s="48"/>
      <c r="CA3949" s="48"/>
      <c r="CB3949" s="48"/>
      <c r="CC3949" s="48"/>
      <c r="CD3949" s="48"/>
      <c r="CE3949" s="48"/>
      <c r="CF3949" s="48"/>
      <c r="CG3949" s="48"/>
      <c r="CH3949" s="48"/>
      <c r="CI3949" s="48"/>
      <c r="CJ3949" s="48"/>
      <c r="CK3949" s="48"/>
      <c r="CL3949" s="48"/>
      <c r="CM3949" s="48"/>
      <c r="CN3949" s="48"/>
      <c r="CO3949" s="48"/>
      <c r="CP3949" s="48"/>
      <c r="CQ3949" s="48"/>
      <c r="CR3949" s="48"/>
      <c r="CS3949" s="48"/>
      <c r="CT3949" s="48"/>
      <c r="CU3949" s="48"/>
      <c r="CV3949" s="48"/>
      <c r="CW3949" s="48"/>
      <c r="CX3949" s="48"/>
      <c r="CY3949" s="48"/>
      <c r="CZ3949" s="48"/>
    </row>
    <row r="3950" spans="27:104" s="4" customFormat="1" x14ac:dyDescent="0.3">
      <c r="AA3950" s="48"/>
      <c r="AB3950" s="48"/>
      <c r="AC3950" s="48"/>
      <c r="AD3950" s="48"/>
      <c r="AE3950" s="48"/>
      <c r="AF3950" s="48"/>
      <c r="AG3950" s="48"/>
      <c r="AH3950" s="48"/>
      <c r="AI3950" s="48"/>
      <c r="AJ3950" s="48"/>
      <c r="AK3950" s="48"/>
      <c r="AL3950" s="48"/>
      <c r="AM3950" s="48"/>
      <c r="AN3950" s="48"/>
      <c r="AO3950" s="48"/>
      <c r="AP3950" s="48"/>
      <c r="AQ3950" s="48"/>
      <c r="AR3950" s="48"/>
      <c r="AS3950" s="48"/>
      <c r="AT3950" s="48"/>
      <c r="AU3950" s="48"/>
      <c r="AV3950" s="48"/>
      <c r="AW3950" s="48"/>
      <c r="AX3950" s="48"/>
      <c r="AY3950" s="48"/>
      <c r="AZ3950" s="48"/>
      <c r="BA3950" s="48"/>
      <c r="BB3950" s="14"/>
      <c r="BC3950" s="48"/>
      <c r="BD3950" s="48"/>
      <c r="BE3950" s="48"/>
      <c r="BF3950" s="48"/>
      <c r="BG3950" s="48"/>
      <c r="BH3950" s="48"/>
      <c r="BI3950" s="48"/>
      <c r="BJ3950" s="48"/>
      <c r="BK3950" s="48"/>
      <c r="BL3950" s="48"/>
      <c r="BM3950" s="48"/>
      <c r="BN3950" s="48"/>
      <c r="BO3950" s="48"/>
      <c r="BP3950" s="48"/>
      <c r="BQ3950" s="48"/>
      <c r="BR3950" s="48"/>
      <c r="BS3950" s="48"/>
      <c r="BT3950" s="48"/>
      <c r="BU3950" s="48"/>
      <c r="BV3950" s="48"/>
      <c r="BW3950" s="48"/>
      <c r="BX3950" s="48"/>
      <c r="BY3950" s="48"/>
      <c r="BZ3950" s="48"/>
      <c r="CA3950" s="48"/>
      <c r="CB3950" s="48"/>
      <c r="CC3950" s="48"/>
      <c r="CD3950" s="48"/>
      <c r="CE3950" s="48"/>
      <c r="CF3950" s="48"/>
      <c r="CG3950" s="48"/>
      <c r="CH3950" s="48"/>
      <c r="CI3950" s="48"/>
      <c r="CJ3950" s="48"/>
      <c r="CK3950" s="48"/>
      <c r="CL3950" s="48"/>
      <c r="CM3950" s="48"/>
      <c r="CN3950" s="48"/>
      <c r="CO3950" s="48"/>
      <c r="CP3950" s="48"/>
      <c r="CQ3950" s="48"/>
      <c r="CR3950" s="48"/>
      <c r="CS3950" s="48"/>
      <c r="CT3950" s="48"/>
      <c r="CU3950" s="48"/>
      <c r="CV3950" s="48"/>
      <c r="CW3950" s="48"/>
      <c r="CX3950" s="48"/>
      <c r="CY3950" s="48"/>
      <c r="CZ3950" s="48"/>
    </row>
    <row r="3951" spans="27:104" s="4" customFormat="1" x14ac:dyDescent="0.3">
      <c r="AA3951" s="48"/>
      <c r="AB3951" s="48"/>
      <c r="AC3951" s="48"/>
      <c r="AD3951" s="48"/>
      <c r="AE3951" s="48"/>
      <c r="AF3951" s="48"/>
      <c r="AG3951" s="48"/>
      <c r="AH3951" s="48"/>
      <c r="AI3951" s="48"/>
      <c r="AJ3951" s="48"/>
      <c r="AK3951" s="48"/>
      <c r="AL3951" s="48"/>
      <c r="AM3951" s="48"/>
      <c r="AN3951" s="48"/>
      <c r="AO3951" s="48"/>
      <c r="AP3951" s="48"/>
      <c r="AQ3951" s="48"/>
      <c r="AR3951" s="48"/>
      <c r="AS3951" s="48"/>
      <c r="AT3951" s="48"/>
      <c r="AU3951" s="48"/>
      <c r="AV3951" s="48"/>
      <c r="AW3951" s="48"/>
      <c r="AX3951" s="48"/>
      <c r="AY3951" s="48"/>
      <c r="AZ3951" s="48"/>
      <c r="BA3951" s="48"/>
      <c r="BB3951" s="14"/>
      <c r="BC3951" s="48"/>
      <c r="BD3951" s="48"/>
      <c r="BE3951" s="48"/>
      <c r="BF3951" s="48"/>
      <c r="BG3951" s="48"/>
      <c r="BH3951" s="48"/>
      <c r="BI3951" s="48"/>
      <c r="BJ3951" s="48"/>
      <c r="BK3951" s="48"/>
      <c r="BL3951" s="48"/>
      <c r="BM3951" s="48"/>
      <c r="BN3951" s="48"/>
      <c r="BO3951" s="48"/>
      <c r="BP3951" s="48"/>
      <c r="BQ3951" s="48"/>
      <c r="BR3951" s="48"/>
      <c r="BS3951" s="48"/>
      <c r="BT3951" s="48"/>
      <c r="BU3951" s="48"/>
      <c r="BV3951" s="48"/>
      <c r="BW3951" s="48"/>
      <c r="BX3951" s="48"/>
      <c r="BY3951" s="48"/>
      <c r="BZ3951" s="48"/>
      <c r="CA3951" s="48"/>
      <c r="CB3951" s="48"/>
      <c r="CC3951" s="48"/>
      <c r="CD3951" s="48"/>
      <c r="CE3951" s="48"/>
      <c r="CF3951" s="48"/>
      <c r="CG3951" s="48"/>
      <c r="CH3951" s="48"/>
      <c r="CI3951" s="48"/>
      <c r="CJ3951" s="48"/>
      <c r="CK3951" s="48"/>
      <c r="CL3951" s="48"/>
      <c r="CM3951" s="48"/>
      <c r="CN3951" s="48"/>
      <c r="CO3951" s="48"/>
      <c r="CP3951" s="48"/>
      <c r="CQ3951" s="48"/>
      <c r="CR3951" s="48"/>
      <c r="CS3951" s="48"/>
      <c r="CT3951" s="48"/>
      <c r="CU3951" s="48"/>
      <c r="CV3951" s="48"/>
      <c r="CW3951" s="48"/>
      <c r="CX3951" s="48"/>
      <c r="CY3951" s="48"/>
      <c r="CZ3951" s="48"/>
    </row>
    <row r="3952" spans="27:104" s="4" customFormat="1" x14ac:dyDescent="0.3">
      <c r="AA3952" s="48"/>
      <c r="AB3952" s="48"/>
      <c r="AC3952" s="48"/>
      <c r="AD3952" s="48"/>
      <c r="AE3952" s="48"/>
      <c r="AF3952" s="48"/>
      <c r="AG3952" s="48"/>
      <c r="AH3952" s="48"/>
      <c r="AI3952" s="48"/>
      <c r="AJ3952" s="48"/>
      <c r="AK3952" s="48"/>
      <c r="AL3952" s="48"/>
      <c r="AM3952" s="48"/>
      <c r="AN3952" s="48"/>
      <c r="AO3952" s="48"/>
      <c r="AP3952" s="48"/>
      <c r="AQ3952" s="48"/>
      <c r="AR3952" s="48"/>
      <c r="AS3952" s="48"/>
      <c r="AT3952" s="48"/>
      <c r="AU3952" s="48"/>
      <c r="AV3952" s="48"/>
      <c r="AW3952" s="48"/>
      <c r="AX3952" s="48"/>
      <c r="AY3952" s="48"/>
      <c r="AZ3952" s="48"/>
      <c r="BA3952" s="48"/>
      <c r="BB3952" s="14"/>
      <c r="BC3952" s="48"/>
      <c r="BD3952" s="48"/>
      <c r="BE3952" s="48"/>
      <c r="BF3952" s="48"/>
      <c r="BG3952" s="48"/>
      <c r="BH3952" s="48"/>
      <c r="BI3952" s="48"/>
      <c r="BJ3952" s="48"/>
      <c r="BK3952" s="48"/>
      <c r="BL3952" s="48"/>
      <c r="BM3952" s="48"/>
      <c r="BN3952" s="48"/>
      <c r="BO3952" s="48"/>
      <c r="BP3952" s="48"/>
      <c r="BQ3952" s="48"/>
      <c r="BR3952" s="48"/>
      <c r="BS3952" s="48"/>
      <c r="BT3952" s="48"/>
      <c r="BU3952" s="48"/>
      <c r="BV3952" s="48"/>
      <c r="BW3952" s="48"/>
      <c r="BX3952" s="48"/>
      <c r="BY3952" s="48"/>
      <c r="BZ3952" s="48"/>
      <c r="CA3952" s="48"/>
      <c r="CB3952" s="48"/>
      <c r="CC3952" s="48"/>
      <c r="CD3952" s="48"/>
      <c r="CE3952" s="48"/>
      <c r="CF3952" s="48"/>
      <c r="CG3952" s="48"/>
      <c r="CH3952" s="48"/>
      <c r="CI3952" s="48"/>
      <c r="CJ3952" s="48"/>
      <c r="CK3952" s="48"/>
      <c r="CL3952" s="48"/>
      <c r="CM3952" s="48"/>
      <c r="CN3952" s="48"/>
      <c r="CO3952" s="48"/>
      <c r="CP3952" s="48"/>
      <c r="CQ3952" s="48"/>
      <c r="CR3952" s="48"/>
      <c r="CS3952" s="48"/>
      <c r="CT3952" s="48"/>
      <c r="CU3952" s="48"/>
      <c r="CV3952" s="48"/>
      <c r="CW3952" s="48"/>
      <c r="CX3952" s="48"/>
      <c r="CY3952" s="48"/>
      <c r="CZ3952" s="48"/>
    </row>
    <row r="3953" spans="27:104" s="4" customFormat="1" x14ac:dyDescent="0.3">
      <c r="AA3953" s="48"/>
      <c r="AB3953" s="48"/>
      <c r="AC3953" s="48"/>
      <c r="AD3953" s="48"/>
      <c r="AE3953" s="48"/>
      <c r="AF3953" s="48"/>
      <c r="AG3953" s="48"/>
      <c r="AH3953" s="48"/>
      <c r="AI3953" s="48"/>
      <c r="AJ3953" s="48"/>
      <c r="AK3953" s="48"/>
      <c r="AL3953" s="48"/>
      <c r="AM3953" s="48"/>
      <c r="AN3953" s="48"/>
      <c r="AO3953" s="48"/>
      <c r="AP3953" s="48"/>
      <c r="AQ3953" s="48"/>
      <c r="AR3953" s="48"/>
      <c r="AS3953" s="48"/>
      <c r="AT3953" s="48"/>
      <c r="AU3953" s="48"/>
      <c r="AV3953" s="48"/>
      <c r="AW3953" s="48"/>
      <c r="AX3953" s="48"/>
      <c r="AY3953" s="48"/>
      <c r="AZ3953" s="48"/>
      <c r="BA3953" s="48"/>
      <c r="BB3953" s="14"/>
      <c r="BC3953" s="48"/>
      <c r="BD3953" s="48"/>
      <c r="BE3953" s="48"/>
      <c r="BF3953" s="48"/>
      <c r="BG3953" s="48"/>
      <c r="BH3953" s="48"/>
      <c r="BI3953" s="48"/>
      <c r="BJ3953" s="48"/>
      <c r="BK3953" s="48"/>
      <c r="BL3953" s="48"/>
      <c r="BM3953" s="48"/>
      <c r="BN3953" s="48"/>
      <c r="BO3953" s="48"/>
      <c r="BP3953" s="48"/>
      <c r="BQ3953" s="48"/>
      <c r="BR3953" s="48"/>
      <c r="BS3953" s="48"/>
      <c r="BT3953" s="48"/>
      <c r="BU3953" s="48"/>
      <c r="BV3953" s="48"/>
      <c r="BW3953" s="48"/>
      <c r="BX3953" s="48"/>
      <c r="BY3953" s="48"/>
      <c r="BZ3953" s="48"/>
      <c r="CA3953" s="48"/>
      <c r="CB3953" s="48"/>
      <c r="CC3953" s="48"/>
      <c r="CD3953" s="48"/>
      <c r="CE3953" s="48"/>
      <c r="CF3953" s="48"/>
      <c r="CG3953" s="48"/>
      <c r="CH3953" s="48"/>
      <c r="CI3953" s="48"/>
      <c r="CJ3953" s="48"/>
      <c r="CK3953" s="48"/>
      <c r="CL3953" s="48"/>
      <c r="CM3953" s="48"/>
      <c r="CN3953" s="48"/>
      <c r="CO3953" s="48"/>
      <c r="CP3953" s="48"/>
      <c r="CQ3953" s="48"/>
      <c r="CR3953" s="48"/>
      <c r="CS3953" s="48"/>
      <c r="CT3953" s="48"/>
      <c r="CU3953" s="48"/>
      <c r="CV3953" s="48"/>
      <c r="CW3953" s="48"/>
      <c r="CX3953" s="48"/>
      <c r="CY3953" s="48"/>
      <c r="CZ3953" s="48"/>
    </row>
    <row r="3954" spans="27:104" s="4" customFormat="1" x14ac:dyDescent="0.3">
      <c r="AA3954" s="48"/>
      <c r="AB3954" s="48"/>
      <c r="AC3954" s="48"/>
      <c r="AD3954" s="48"/>
      <c r="AE3954" s="48"/>
      <c r="AF3954" s="48"/>
      <c r="AG3954" s="48"/>
      <c r="AH3954" s="48"/>
      <c r="AI3954" s="48"/>
      <c r="AJ3954" s="48"/>
      <c r="AK3954" s="48"/>
      <c r="AL3954" s="48"/>
      <c r="AM3954" s="48"/>
      <c r="AN3954" s="48"/>
      <c r="AO3954" s="48"/>
      <c r="AP3954" s="48"/>
      <c r="AQ3954" s="48"/>
      <c r="AR3954" s="48"/>
      <c r="AS3954" s="48"/>
      <c r="AT3954" s="48"/>
      <c r="AU3954" s="48"/>
      <c r="AV3954" s="48"/>
      <c r="AW3954" s="48"/>
      <c r="AX3954" s="48"/>
      <c r="AY3954" s="48"/>
      <c r="AZ3954" s="48"/>
      <c r="BA3954" s="48"/>
      <c r="BB3954" s="14"/>
      <c r="BC3954" s="48"/>
      <c r="BD3954" s="48"/>
      <c r="BE3954" s="48"/>
      <c r="BF3954" s="48"/>
      <c r="BG3954" s="48"/>
      <c r="BH3954" s="48"/>
      <c r="BI3954" s="48"/>
      <c r="BJ3954" s="48"/>
      <c r="BK3954" s="48"/>
      <c r="BL3954" s="48"/>
      <c r="BM3954" s="48"/>
      <c r="BN3954" s="48"/>
      <c r="BO3954" s="48"/>
      <c r="BP3954" s="48"/>
      <c r="BQ3954" s="48"/>
      <c r="BR3954" s="48"/>
      <c r="BS3954" s="48"/>
      <c r="BT3954" s="48"/>
      <c r="BU3954" s="48"/>
      <c r="BV3954" s="48"/>
      <c r="BW3954" s="48"/>
      <c r="BX3954" s="48"/>
      <c r="BY3954" s="48"/>
      <c r="BZ3954" s="48"/>
      <c r="CA3954" s="48"/>
      <c r="CB3954" s="48"/>
      <c r="CC3954" s="48"/>
      <c r="CD3954" s="48"/>
      <c r="CE3954" s="48"/>
      <c r="CF3954" s="48"/>
      <c r="CG3954" s="48"/>
      <c r="CH3954" s="48"/>
      <c r="CI3954" s="48"/>
      <c r="CJ3954" s="48"/>
      <c r="CK3954" s="48"/>
      <c r="CL3954" s="48"/>
      <c r="CM3954" s="48"/>
      <c r="CN3954" s="48"/>
      <c r="CO3954" s="48"/>
      <c r="CP3954" s="48"/>
      <c r="CQ3954" s="48"/>
      <c r="CR3954" s="48"/>
      <c r="CS3954" s="48"/>
      <c r="CT3954" s="48"/>
      <c r="CU3954" s="48"/>
      <c r="CV3954" s="48"/>
      <c r="CW3954" s="48"/>
      <c r="CX3954" s="48"/>
      <c r="CY3954" s="48"/>
      <c r="CZ3954" s="48"/>
    </row>
    <row r="3955" spans="27:104" s="4" customFormat="1" x14ac:dyDescent="0.3">
      <c r="AA3955" s="48"/>
      <c r="AB3955" s="48"/>
      <c r="AC3955" s="48"/>
      <c r="AD3955" s="48"/>
      <c r="AE3955" s="48"/>
      <c r="AF3955" s="48"/>
      <c r="AG3955" s="48"/>
      <c r="AH3955" s="48"/>
      <c r="AI3955" s="48"/>
      <c r="AJ3955" s="48"/>
      <c r="AK3955" s="48"/>
      <c r="AL3955" s="48"/>
      <c r="AM3955" s="48"/>
      <c r="AN3955" s="48"/>
      <c r="AO3955" s="48"/>
      <c r="AP3955" s="48"/>
      <c r="AQ3955" s="48"/>
      <c r="AR3955" s="48"/>
      <c r="AS3955" s="48"/>
      <c r="AT3955" s="48"/>
      <c r="AU3955" s="48"/>
      <c r="AV3955" s="48"/>
      <c r="AW3955" s="48"/>
      <c r="AX3955" s="48"/>
      <c r="AY3955" s="48"/>
      <c r="AZ3955" s="48"/>
      <c r="BA3955" s="48"/>
      <c r="BB3955" s="14"/>
      <c r="BC3955" s="48"/>
      <c r="BD3955" s="48"/>
      <c r="BE3955" s="48"/>
      <c r="BF3955" s="48"/>
      <c r="BG3955" s="48"/>
      <c r="BH3955" s="48"/>
      <c r="BI3955" s="48"/>
      <c r="BJ3955" s="48"/>
      <c r="BK3955" s="48"/>
      <c r="BL3955" s="48"/>
      <c r="BM3955" s="48"/>
      <c r="BN3955" s="48"/>
      <c r="BO3955" s="48"/>
      <c r="BP3955" s="48"/>
      <c r="BQ3955" s="48"/>
      <c r="BR3955" s="48"/>
      <c r="BS3955" s="48"/>
      <c r="BT3955" s="48"/>
      <c r="BU3955" s="48"/>
      <c r="BV3955" s="48"/>
      <c r="BW3955" s="48"/>
      <c r="BX3955" s="48"/>
      <c r="BY3955" s="48"/>
      <c r="BZ3955" s="48"/>
      <c r="CA3955" s="48"/>
      <c r="CB3955" s="48"/>
      <c r="CC3955" s="48"/>
      <c r="CD3955" s="48"/>
      <c r="CE3955" s="48"/>
      <c r="CF3955" s="48"/>
      <c r="CG3955" s="48"/>
      <c r="CH3955" s="48"/>
      <c r="CI3955" s="48"/>
      <c r="CJ3955" s="48"/>
      <c r="CK3955" s="48"/>
      <c r="CL3955" s="48"/>
      <c r="CM3955" s="48"/>
      <c r="CN3955" s="48"/>
      <c r="CO3955" s="48"/>
      <c r="CP3955" s="48"/>
      <c r="CQ3955" s="48"/>
      <c r="CR3955" s="48"/>
      <c r="CS3955" s="48"/>
      <c r="CT3955" s="48"/>
      <c r="CU3955" s="48"/>
      <c r="CV3955" s="48"/>
      <c r="CW3955" s="48"/>
      <c r="CX3955" s="48"/>
      <c r="CY3955" s="48"/>
      <c r="CZ3955" s="48"/>
    </row>
    <row r="3956" spans="27:104" s="4" customFormat="1" x14ac:dyDescent="0.3">
      <c r="AA3956" s="48"/>
      <c r="AB3956" s="48"/>
      <c r="AC3956" s="48"/>
      <c r="AD3956" s="48"/>
      <c r="AE3956" s="48"/>
      <c r="AF3956" s="48"/>
      <c r="AG3956" s="48"/>
      <c r="AH3956" s="48"/>
      <c r="AI3956" s="48"/>
      <c r="AJ3956" s="48"/>
      <c r="AK3956" s="48"/>
      <c r="AL3956" s="48"/>
      <c r="AM3956" s="48"/>
      <c r="AN3956" s="48"/>
      <c r="AO3956" s="48"/>
      <c r="AP3956" s="48"/>
      <c r="AQ3956" s="48"/>
      <c r="AR3956" s="48"/>
      <c r="AS3956" s="48"/>
      <c r="AT3956" s="48"/>
      <c r="AU3956" s="48"/>
      <c r="AV3956" s="48"/>
      <c r="AW3956" s="48"/>
      <c r="AX3956" s="48"/>
      <c r="AY3956" s="48"/>
      <c r="AZ3956" s="48"/>
      <c r="BA3956" s="48"/>
      <c r="BB3956" s="14"/>
      <c r="BC3956" s="48"/>
      <c r="BD3956" s="48"/>
      <c r="BE3956" s="48"/>
      <c r="BF3956" s="48"/>
      <c r="BG3956" s="48"/>
      <c r="BH3956" s="48"/>
      <c r="BI3956" s="48"/>
      <c r="BJ3956" s="48"/>
      <c r="BK3956" s="48"/>
      <c r="BL3956" s="48"/>
      <c r="BM3956" s="48"/>
      <c r="BN3956" s="48"/>
      <c r="BO3956" s="48"/>
      <c r="BP3956" s="48"/>
      <c r="BQ3956" s="48"/>
      <c r="BR3956" s="48"/>
      <c r="BS3956" s="48"/>
      <c r="BT3956" s="48"/>
      <c r="BU3956" s="48"/>
      <c r="BV3956" s="48"/>
      <c r="BW3956" s="48"/>
      <c r="BX3956" s="48"/>
      <c r="BY3956" s="48"/>
      <c r="BZ3956" s="48"/>
      <c r="CA3956" s="48"/>
      <c r="CB3956" s="48"/>
      <c r="CC3956" s="48"/>
      <c r="CD3956" s="48"/>
      <c r="CE3956" s="48"/>
      <c r="CF3956" s="48"/>
      <c r="CG3956" s="48"/>
      <c r="CH3956" s="48"/>
      <c r="CI3956" s="48"/>
      <c r="CJ3956" s="48"/>
      <c r="CK3956" s="48"/>
      <c r="CL3956" s="48"/>
      <c r="CM3956" s="48"/>
      <c r="CN3956" s="48"/>
      <c r="CO3956" s="48"/>
      <c r="CP3956" s="48"/>
      <c r="CQ3956" s="48"/>
      <c r="CR3956" s="48"/>
      <c r="CS3956" s="48"/>
      <c r="CT3956" s="48"/>
      <c r="CU3956" s="48"/>
      <c r="CV3956" s="48"/>
      <c r="CW3956" s="48"/>
      <c r="CX3956" s="48"/>
      <c r="CY3956" s="48"/>
      <c r="CZ3956" s="48"/>
    </row>
    <row r="3957" spans="27:104" s="4" customFormat="1" x14ac:dyDescent="0.3">
      <c r="AA3957" s="48"/>
      <c r="AB3957" s="48"/>
      <c r="AC3957" s="48"/>
      <c r="AD3957" s="48"/>
      <c r="AE3957" s="48"/>
      <c r="AF3957" s="48"/>
      <c r="AG3957" s="48"/>
      <c r="AH3957" s="48"/>
      <c r="AI3957" s="48"/>
      <c r="AJ3957" s="48"/>
      <c r="AK3957" s="48"/>
      <c r="AL3957" s="48"/>
      <c r="AM3957" s="48"/>
      <c r="AN3957" s="48"/>
      <c r="AO3957" s="48"/>
      <c r="AP3957" s="48"/>
      <c r="AQ3957" s="48"/>
      <c r="AR3957" s="48"/>
      <c r="AS3957" s="48"/>
      <c r="AT3957" s="48"/>
      <c r="AU3957" s="48"/>
      <c r="AV3957" s="48"/>
      <c r="AW3957" s="48"/>
      <c r="AX3957" s="48"/>
      <c r="AY3957" s="48"/>
      <c r="AZ3957" s="48"/>
      <c r="BA3957" s="48"/>
      <c r="BB3957" s="14"/>
      <c r="BC3957" s="48"/>
      <c r="BD3957" s="48"/>
      <c r="BE3957" s="48"/>
      <c r="BF3957" s="48"/>
      <c r="BG3957" s="48"/>
      <c r="BH3957" s="48"/>
      <c r="BI3957" s="48"/>
      <c r="BJ3957" s="48"/>
      <c r="BK3957" s="48"/>
      <c r="BL3957" s="48"/>
      <c r="BM3957" s="48"/>
      <c r="BN3957" s="48"/>
      <c r="BO3957" s="48"/>
      <c r="BP3957" s="48"/>
      <c r="BQ3957" s="48"/>
      <c r="BR3957" s="48"/>
      <c r="BS3957" s="48"/>
      <c r="BT3957" s="48"/>
      <c r="BU3957" s="48"/>
      <c r="BV3957" s="48"/>
      <c r="BW3957" s="48"/>
      <c r="BX3957" s="48"/>
      <c r="BY3957" s="48"/>
      <c r="BZ3957" s="48"/>
      <c r="CA3957" s="48"/>
      <c r="CB3957" s="48"/>
      <c r="CC3957" s="48"/>
      <c r="CD3957" s="48"/>
      <c r="CE3957" s="48"/>
      <c r="CF3957" s="48"/>
      <c r="CG3957" s="48"/>
      <c r="CH3957" s="48"/>
      <c r="CI3957" s="48"/>
      <c r="CJ3957" s="48"/>
      <c r="CK3957" s="48"/>
      <c r="CL3957" s="48"/>
      <c r="CM3957" s="48"/>
      <c r="CN3957" s="48"/>
      <c r="CO3957" s="48"/>
      <c r="CP3957" s="48"/>
      <c r="CQ3957" s="48"/>
      <c r="CR3957" s="48"/>
      <c r="CS3957" s="48"/>
      <c r="CT3957" s="48"/>
      <c r="CU3957" s="48"/>
      <c r="CV3957" s="48"/>
      <c r="CW3957" s="48"/>
      <c r="CX3957" s="48"/>
      <c r="CY3957" s="48"/>
      <c r="CZ3957" s="48"/>
    </row>
    <row r="3958" spans="27:104" s="4" customFormat="1" x14ac:dyDescent="0.3">
      <c r="AA3958" s="48"/>
      <c r="AB3958" s="48"/>
      <c r="AC3958" s="48"/>
      <c r="AD3958" s="48"/>
      <c r="AE3958" s="48"/>
      <c r="AF3958" s="48"/>
      <c r="AG3958" s="48"/>
      <c r="AH3958" s="48"/>
      <c r="AI3958" s="48"/>
      <c r="AJ3958" s="48"/>
      <c r="AK3958" s="48"/>
      <c r="AL3958" s="48"/>
      <c r="AM3958" s="48"/>
      <c r="AN3958" s="48"/>
      <c r="AO3958" s="48"/>
      <c r="AP3958" s="48"/>
      <c r="AQ3958" s="48"/>
      <c r="AR3958" s="48"/>
      <c r="AS3958" s="48"/>
      <c r="AT3958" s="48"/>
      <c r="AU3958" s="48"/>
      <c r="AV3958" s="48"/>
      <c r="AW3958" s="48"/>
      <c r="AX3958" s="48"/>
      <c r="AY3958" s="48"/>
      <c r="AZ3958" s="48"/>
      <c r="BA3958" s="48"/>
      <c r="BB3958" s="14"/>
      <c r="BC3958" s="48"/>
      <c r="BD3958" s="48"/>
      <c r="BE3958" s="48"/>
      <c r="BF3958" s="48"/>
      <c r="BG3958" s="48"/>
      <c r="BH3958" s="48"/>
      <c r="BI3958" s="48"/>
      <c r="BJ3958" s="48"/>
      <c r="BK3958" s="48"/>
      <c r="BL3958" s="48"/>
      <c r="BM3958" s="48"/>
      <c r="BN3958" s="48"/>
      <c r="BO3958" s="48"/>
      <c r="BP3958" s="48"/>
      <c r="BQ3958" s="48"/>
      <c r="BR3958" s="48"/>
      <c r="BS3958" s="48"/>
      <c r="BT3958" s="48"/>
      <c r="BU3958" s="48"/>
      <c r="BV3958" s="48"/>
      <c r="BW3958" s="48"/>
      <c r="BX3958" s="48"/>
      <c r="BY3958" s="48"/>
      <c r="BZ3958" s="48"/>
      <c r="CA3958" s="48"/>
      <c r="CB3958" s="48"/>
      <c r="CC3958" s="48"/>
      <c r="CD3958" s="48"/>
      <c r="CE3958" s="48"/>
      <c r="CF3958" s="48"/>
      <c r="CG3958" s="48"/>
      <c r="CH3958" s="48"/>
      <c r="CI3958" s="48"/>
      <c r="CJ3958" s="48"/>
      <c r="CK3958" s="48"/>
      <c r="CL3958" s="48"/>
      <c r="CM3958" s="48"/>
      <c r="CN3958" s="48"/>
      <c r="CO3958" s="48"/>
      <c r="CP3958" s="48"/>
      <c r="CQ3958" s="48"/>
      <c r="CR3958" s="48"/>
      <c r="CS3958" s="48"/>
      <c r="CT3958" s="48"/>
      <c r="CU3958" s="48"/>
      <c r="CV3958" s="48"/>
      <c r="CW3958" s="48"/>
      <c r="CX3958" s="48"/>
      <c r="CY3958" s="48"/>
      <c r="CZ3958" s="48"/>
    </row>
    <row r="3959" spans="27:104" s="4" customFormat="1" x14ac:dyDescent="0.3">
      <c r="AA3959" s="48"/>
      <c r="AB3959" s="48"/>
      <c r="AC3959" s="48"/>
      <c r="AD3959" s="48"/>
      <c r="AE3959" s="48"/>
      <c r="AF3959" s="48"/>
      <c r="AG3959" s="48"/>
      <c r="AH3959" s="48"/>
      <c r="AI3959" s="48"/>
      <c r="AJ3959" s="48"/>
      <c r="AK3959" s="48"/>
      <c r="AL3959" s="48"/>
      <c r="AM3959" s="48"/>
      <c r="AN3959" s="48"/>
      <c r="AO3959" s="48"/>
      <c r="AP3959" s="48"/>
      <c r="AQ3959" s="48"/>
      <c r="AR3959" s="48"/>
      <c r="AS3959" s="48"/>
      <c r="AT3959" s="48"/>
      <c r="AU3959" s="48"/>
      <c r="AV3959" s="48"/>
      <c r="AW3959" s="48"/>
      <c r="AX3959" s="48"/>
      <c r="AY3959" s="48"/>
      <c r="AZ3959" s="48"/>
      <c r="BA3959" s="48"/>
      <c r="BB3959" s="14"/>
      <c r="BC3959" s="48"/>
      <c r="BD3959" s="48"/>
      <c r="BE3959" s="48"/>
      <c r="BF3959" s="48"/>
      <c r="BG3959" s="48"/>
      <c r="BH3959" s="48"/>
      <c r="BI3959" s="48"/>
      <c r="BJ3959" s="48"/>
      <c r="BK3959" s="48"/>
      <c r="BL3959" s="48"/>
      <c r="BM3959" s="48"/>
      <c r="BN3959" s="48"/>
      <c r="BO3959" s="48"/>
      <c r="BP3959" s="48"/>
      <c r="BQ3959" s="48"/>
      <c r="BR3959" s="48"/>
      <c r="BS3959" s="48"/>
      <c r="BT3959" s="48"/>
      <c r="BU3959" s="48"/>
      <c r="BV3959" s="48"/>
      <c r="BW3959" s="48"/>
      <c r="BX3959" s="48"/>
      <c r="BY3959" s="48"/>
      <c r="BZ3959" s="48"/>
      <c r="CA3959" s="48"/>
      <c r="CB3959" s="48"/>
      <c r="CC3959" s="48"/>
      <c r="CD3959" s="48"/>
      <c r="CE3959" s="48"/>
      <c r="CF3959" s="48"/>
      <c r="CG3959" s="48"/>
      <c r="CH3959" s="48"/>
      <c r="CI3959" s="48"/>
      <c r="CJ3959" s="48"/>
      <c r="CK3959" s="48"/>
      <c r="CL3959" s="48"/>
      <c r="CM3959" s="48"/>
      <c r="CN3959" s="48"/>
      <c r="CO3959" s="48"/>
      <c r="CP3959" s="48"/>
      <c r="CQ3959" s="48"/>
      <c r="CR3959" s="48"/>
      <c r="CS3959" s="48"/>
      <c r="CT3959" s="48"/>
      <c r="CU3959" s="48"/>
      <c r="CV3959" s="48"/>
      <c r="CW3959" s="48"/>
      <c r="CX3959" s="48"/>
      <c r="CY3959" s="48"/>
      <c r="CZ3959" s="48"/>
    </row>
    <row r="3960" spans="27:104" s="4" customFormat="1" x14ac:dyDescent="0.3">
      <c r="AA3960" s="48"/>
      <c r="AB3960" s="48"/>
      <c r="AC3960" s="48"/>
      <c r="AD3960" s="48"/>
      <c r="AE3960" s="48"/>
      <c r="AF3960" s="48"/>
      <c r="AG3960" s="48"/>
      <c r="AH3960" s="48"/>
      <c r="AI3960" s="48"/>
      <c r="AJ3960" s="48"/>
      <c r="AK3960" s="48"/>
      <c r="AL3960" s="48"/>
      <c r="AM3960" s="48"/>
      <c r="AN3960" s="48"/>
      <c r="AO3960" s="48"/>
      <c r="AP3960" s="48"/>
      <c r="AQ3960" s="48"/>
      <c r="AR3960" s="48"/>
      <c r="AS3960" s="48"/>
      <c r="AT3960" s="48"/>
      <c r="AU3960" s="48"/>
      <c r="AV3960" s="48"/>
      <c r="AW3960" s="48"/>
      <c r="AX3960" s="48"/>
      <c r="AY3960" s="48"/>
      <c r="AZ3960" s="48"/>
      <c r="BA3960" s="48"/>
      <c r="BB3960" s="14"/>
      <c r="BC3960" s="48"/>
      <c r="BD3960" s="48"/>
      <c r="BE3960" s="48"/>
      <c r="BF3960" s="48"/>
      <c r="BG3960" s="48"/>
      <c r="BH3960" s="48"/>
      <c r="BI3960" s="48"/>
      <c r="BJ3960" s="48"/>
      <c r="BK3960" s="48"/>
      <c r="BL3960" s="48"/>
      <c r="BM3960" s="48"/>
      <c r="BN3960" s="48"/>
      <c r="BO3960" s="48"/>
      <c r="BP3960" s="48"/>
      <c r="BQ3960" s="48"/>
      <c r="BR3960" s="48"/>
      <c r="BS3960" s="48"/>
      <c r="BT3960" s="48"/>
      <c r="BU3960" s="48"/>
      <c r="BV3960" s="48"/>
      <c r="BW3960" s="48"/>
      <c r="BX3960" s="48"/>
      <c r="BY3960" s="48"/>
      <c r="BZ3960" s="48"/>
      <c r="CA3960" s="48"/>
      <c r="CB3960" s="48"/>
      <c r="CC3960" s="48"/>
      <c r="CD3960" s="48"/>
      <c r="CE3960" s="48"/>
      <c r="CF3960" s="48"/>
      <c r="CG3960" s="48"/>
      <c r="CH3960" s="48"/>
      <c r="CI3960" s="48"/>
      <c r="CJ3960" s="48"/>
      <c r="CK3960" s="48"/>
      <c r="CL3960" s="48"/>
      <c r="CM3960" s="48"/>
      <c r="CN3960" s="48"/>
      <c r="CO3960" s="48"/>
      <c r="CP3960" s="48"/>
      <c r="CQ3960" s="48"/>
      <c r="CR3960" s="48"/>
      <c r="CS3960" s="48"/>
      <c r="CT3960" s="48"/>
      <c r="CU3960" s="48"/>
      <c r="CV3960" s="48"/>
      <c r="CW3960" s="48"/>
      <c r="CX3960" s="48"/>
      <c r="CY3960" s="48"/>
      <c r="CZ3960" s="48"/>
    </row>
    <row r="3961" spans="27:104" s="4" customFormat="1" x14ac:dyDescent="0.3">
      <c r="AA3961" s="48"/>
      <c r="AB3961" s="48"/>
      <c r="AC3961" s="48"/>
      <c r="AD3961" s="48"/>
      <c r="AE3961" s="48"/>
      <c r="AF3961" s="48"/>
      <c r="AG3961" s="48"/>
      <c r="AH3961" s="48"/>
      <c r="AI3961" s="48"/>
      <c r="AJ3961" s="48"/>
      <c r="AK3961" s="48"/>
      <c r="AL3961" s="48"/>
      <c r="AM3961" s="48"/>
      <c r="AN3961" s="48"/>
      <c r="AO3961" s="48"/>
      <c r="AP3961" s="48"/>
      <c r="AQ3961" s="48"/>
      <c r="AR3961" s="48"/>
      <c r="AS3961" s="48"/>
      <c r="AT3961" s="48"/>
      <c r="AU3961" s="48"/>
      <c r="AV3961" s="48"/>
      <c r="AW3961" s="48"/>
      <c r="AX3961" s="48"/>
      <c r="AY3961" s="48"/>
      <c r="AZ3961" s="48"/>
      <c r="BA3961" s="48"/>
      <c r="BB3961" s="14"/>
      <c r="BC3961" s="48"/>
      <c r="BD3961" s="48"/>
      <c r="BE3961" s="48"/>
      <c r="BF3961" s="48"/>
      <c r="BG3961" s="48"/>
      <c r="BH3961" s="48"/>
      <c r="BI3961" s="48"/>
      <c r="BJ3961" s="48"/>
      <c r="BK3961" s="48"/>
      <c r="BL3961" s="48"/>
      <c r="BM3961" s="48"/>
      <c r="BN3961" s="48"/>
      <c r="BO3961" s="48"/>
      <c r="BP3961" s="48"/>
      <c r="BQ3961" s="48"/>
      <c r="BR3961" s="48"/>
      <c r="BS3961" s="48"/>
      <c r="BT3961" s="48"/>
      <c r="BU3961" s="48"/>
      <c r="BV3961" s="48"/>
      <c r="BW3961" s="48"/>
      <c r="BX3961" s="48"/>
      <c r="BY3961" s="48"/>
      <c r="BZ3961" s="48"/>
      <c r="CA3961" s="48"/>
      <c r="CB3961" s="48"/>
      <c r="CC3961" s="48"/>
      <c r="CD3961" s="48"/>
      <c r="CE3961" s="48"/>
      <c r="CF3961" s="48"/>
      <c r="CG3961" s="48"/>
      <c r="CH3961" s="48"/>
      <c r="CI3961" s="48"/>
      <c r="CJ3961" s="48"/>
      <c r="CK3961" s="48"/>
      <c r="CL3961" s="48"/>
      <c r="CM3961" s="48"/>
      <c r="CN3961" s="48"/>
      <c r="CO3961" s="48"/>
      <c r="CP3961" s="48"/>
      <c r="CQ3961" s="48"/>
      <c r="CR3961" s="48"/>
      <c r="CS3961" s="48"/>
      <c r="CT3961" s="48"/>
      <c r="CU3961" s="48"/>
      <c r="CV3961" s="48"/>
      <c r="CW3961" s="48"/>
      <c r="CX3961" s="48"/>
      <c r="CY3961" s="48"/>
      <c r="CZ3961" s="48"/>
    </row>
    <row r="3962" spans="27:104" s="4" customFormat="1" x14ac:dyDescent="0.3">
      <c r="AA3962" s="48"/>
      <c r="AB3962" s="48"/>
      <c r="AC3962" s="48"/>
      <c r="AD3962" s="48"/>
      <c r="AE3962" s="48"/>
      <c r="AF3962" s="48"/>
      <c r="AG3962" s="48"/>
      <c r="AH3962" s="48"/>
      <c r="AI3962" s="48"/>
      <c r="AJ3962" s="48"/>
      <c r="AK3962" s="48"/>
      <c r="AL3962" s="48"/>
      <c r="AM3962" s="48"/>
      <c r="AN3962" s="48"/>
      <c r="AO3962" s="48"/>
      <c r="AP3962" s="48"/>
      <c r="AQ3962" s="48"/>
      <c r="AR3962" s="48"/>
      <c r="AS3962" s="48"/>
      <c r="AT3962" s="48"/>
      <c r="AU3962" s="48"/>
      <c r="AV3962" s="48"/>
      <c r="AW3962" s="48"/>
      <c r="AX3962" s="48"/>
      <c r="AY3962" s="48"/>
      <c r="AZ3962" s="48"/>
      <c r="BA3962" s="48"/>
      <c r="BB3962" s="14"/>
      <c r="BC3962" s="48"/>
      <c r="BD3962" s="48"/>
      <c r="BE3962" s="48"/>
      <c r="BF3962" s="48"/>
      <c r="BG3962" s="48"/>
      <c r="BH3962" s="48"/>
      <c r="BI3962" s="48"/>
      <c r="BJ3962" s="48"/>
      <c r="BK3962" s="48"/>
      <c r="BL3962" s="48"/>
      <c r="BM3962" s="48"/>
      <c r="BN3962" s="48"/>
      <c r="BO3962" s="48"/>
      <c r="BP3962" s="48"/>
      <c r="BQ3962" s="48"/>
      <c r="BR3962" s="48"/>
      <c r="BS3962" s="48"/>
      <c r="BT3962" s="48"/>
      <c r="BU3962" s="48"/>
      <c r="BV3962" s="48"/>
      <c r="BW3962" s="48"/>
      <c r="BX3962" s="48"/>
      <c r="BY3962" s="48"/>
      <c r="BZ3962" s="48"/>
      <c r="CA3962" s="48"/>
      <c r="CB3962" s="48"/>
      <c r="CC3962" s="48"/>
      <c r="CD3962" s="48"/>
      <c r="CE3962" s="48"/>
      <c r="CF3962" s="48"/>
      <c r="CG3962" s="48"/>
      <c r="CH3962" s="48"/>
      <c r="CI3962" s="48"/>
      <c r="CJ3962" s="48"/>
      <c r="CK3962" s="48"/>
      <c r="CL3962" s="48"/>
      <c r="CM3962" s="48"/>
      <c r="CN3962" s="48"/>
      <c r="CO3962" s="48"/>
      <c r="CP3962" s="48"/>
      <c r="CQ3962" s="48"/>
      <c r="CR3962" s="48"/>
      <c r="CS3962" s="48"/>
      <c r="CT3962" s="48"/>
      <c r="CU3962" s="48"/>
      <c r="CV3962" s="48"/>
      <c r="CW3962" s="48"/>
      <c r="CX3962" s="48"/>
      <c r="CY3962" s="48"/>
      <c r="CZ3962" s="48"/>
    </row>
    <row r="3963" spans="27:104" s="4" customFormat="1" x14ac:dyDescent="0.3">
      <c r="AA3963" s="48"/>
      <c r="AB3963" s="48"/>
      <c r="AC3963" s="48"/>
      <c r="AD3963" s="48"/>
      <c r="AE3963" s="48"/>
      <c r="AF3963" s="48"/>
      <c r="AG3963" s="48"/>
      <c r="AH3963" s="48"/>
      <c r="AI3963" s="48"/>
      <c r="AJ3963" s="48"/>
      <c r="AK3963" s="48"/>
      <c r="AL3963" s="48"/>
      <c r="AM3963" s="48"/>
      <c r="AN3963" s="48"/>
      <c r="AO3963" s="48"/>
      <c r="AP3963" s="48"/>
      <c r="AQ3963" s="48"/>
      <c r="AR3963" s="48"/>
      <c r="AS3963" s="48"/>
      <c r="AT3963" s="48"/>
      <c r="AU3963" s="48"/>
      <c r="AV3963" s="48"/>
      <c r="AW3963" s="48"/>
      <c r="AX3963" s="48"/>
      <c r="AY3963" s="48"/>
      <c r="AZ3963" s="48"/>
      <c r="BA3963" s="48"/>
      <c r="BB3963" s="14"/>
      <c r="BC3963" s="48"/>
      <c r="BD3963" s="48"/>
      <c r="BE3963" s="48"/>
      <c r="BF3963" s="48"/>
      <c r="BG3963" s="48"/>
      <c r="BH3963" s="48"/>
      <c r="BI3963" s="48"/>
      <c r="BJ3963" s="48"/>
      <c r="BK3963" s="48"/>
      <c r="BL3963" s="48"/>
      <c r="BM3963" s="48"/>
      <c r="BN3963" s="48"/>
      <c r="BO3963" s="48"/>
      <c r="BP3963" s="48"/>
      <c r="BQ3963" s="48"/>
      <c r="BR3963" s="48"/>
      <c r="BS3963" s="48"/>
      <c r="BT3963" s="48"/>
      <c r="BU3963" s="48"/>
      <c r="BV3963" s="48"/>
      <c r="BW3963" s="48"/>
      <c r="BX3963" s="48"/>
      <c r="BY3963" s="48"/>
      <c r="BZ3963" s="48"/>
      <c r="CA3963" s="48"/>
      <c r="CB3963" s="48"/>
      <c r="CC3963" s="48"/>
      <c r="CD3963" s="48"/>
      <c r="CE3963" s="48"/>
      <c r="CF3963" s="48"/>
      <c r="CG3963" s="48"/>
      <c r="CH3963" s="48"/>
      <c r="CI3963" s="48"/>
      <c r="CJ3963" s="48"/>
      <c r="CK3963" s="48"/>
      <c r="CL3963" s="48"/>
      <c r="CM3963" s="48"/>
      <c r="CN3963" s="48"/>
      <c r="CO3963" s="48"/>
      <c r="CP3963" s="48"/>
      <c r="CQ3963" s="48"/>
      <c r="CR3963" s="48"/>
      <c r="CS3963" s="48"/>
      <c r="CT3963" s="48"/>
      <c r="CU3963" s="48"/>
      <c r="CV3963" s="48"/>
      <c r="CW3963" s="48"/>
      <c r="CX3963" s="48"/>
      <c r="CY3963" s="48"/>
      <c r="CZ3963" s="48"/>
    </row>
    <row r="3964" spans="27:104" s="4" customFormat="1" x14ac:dyDescent="0.3">
      <c r="AA3964" s="48"/>
      <c r="AB3964" s="48"/>
      <c r="AC3964" s="48"/>
      <c r="AD3964" s="48"/>
      <c r="AE3964" s="48"/>
      <c r="AF3964" s="48"/>
      <c r="AG3964" s="48"/>
      <c r="AH3964" s="48"/>
      <c r="AI3964" s="48"/>
      <c r="AJ3964" s="48"/>
      <c r="AK3964" s="48"/>
      <c r="AL3964" s="48"/>
      <c r="AM3964" s="48"/>
      <c r="AN3964" s="48"/>
      <c r="AO3964" s="48"/>
      <c r="AP3964" s="48"/>
      <c r="AQ3964" s="48"/>
      <c r="AR3964" s="48"/>
      <c r="AS3964" s="48"/>
      <c r="AT3964" s="48"/>
      <c r="AU3964" s="48"/>
      <c r="AV3964" s="48"/>
      <c r="AW3964" s="48"/>
      <c r="AX3964" s="48"/>
      <c r="AY3964" s="48"/>
      <c r="AZ3964" s="48"/>
      <c r="BA3964" s="48"/>
      <c r="BB3964" s="14"/>
      <c r="BC3964" s="48"/>
      <c r="BD3964" s="48"/>
      <c r="BE3964" s="48"/>
      <c r="BF3964" s="48"/>
      <c r="BG3964" s="48"/>
      <c r="BH3964" s="48"/>
      <c r="BI3964" s="48"/>
      <c r="BJ3964" s="48"/>
      <c r="BK3964" s="48"/>
      <c r="BL3964" s="48"/>
      <c r="BM3964" s="48"/>
      <c r="BN3964" s="48"/>
      <c r="BO3964" s="48"/>
      <c r="BP3964" s="48"/>
      <c r="BQ3964" s="48"/>
      <c r="BR3964" s="48"/>
      <c r="BS3964" s="48"/>
      <c r="BT3964" s="48"/>
      <c r="BU3964" s="48"/>
      <c r="BV3964" s="48"/>
      <c r="BW3964" s="48"/>
      <c r="BX3964" s="48"/>
      <c r="BY3964" s="48"/>
      <c r="BZ3964" s="48"/>
      <c r="CA3964" s="48"/>
      <c r="CB3964" s="48"/>
      <c r="CC3964" s="48"/>
      <c r="CD3964" s="48"/>
      <c r="CE3964" s="48"/>
      <c r="CF3964" s="48"/>
      <c r="CG3964" s="48"/>
      <c r="CH3964" s="48"/>
      <c r="CI3964" s="48"/>
      <c r="CJ3964" s="48"/>
      <c r="CK3964" s="48"/>
      <c r="CL3964" s="48"/>
      <c r="CM3964" s="48"/>
      <c r="CN3964" s="48"/>
      <c r="CO3964" s="48"/>
      <c r="CP3964" s="48"/>
      <c r="CQ3964" s="48"/>
      <c r="CR3964" s="48"/>
      <c r="CS3964" s="48"/>
      <c r="CT3964" s="48"/>
      <c r="CU3964" s="48"/>
      <c r="CV3964" s="48"/>
      <c r="CW3964" s="48"/>
      <c r="CX3964" s="48"/>
      <c r="CY3964" s="48"/>
      <c r="CZ3964" s="48"/>
    </row>
    <row r="3965" spans="27:104" s="4" customFormat="1" x14ac:dyDescent="0.3">
      <c r="AA3965" s="48"/>
      <c r="AB3965" s="48"/>
      <c r="AC3965" s="48"/>
      <c r="AD3965" s="48"/>
      <c r="AE3965" s="48"/>
      <c r="AF3965" s="48"/>
      <c r="AG3965" s="48"/>
      <c r="AH3965" s="48"/>
      <c r="AI3965" s="48"/>
      <c r="AJ3965" s="48"/>
      <c r="AK3965" s="48"/>
      <c r="AL3965" s="48"/>
      <c r="AM3965" s="48"/>
      <c r="AN3965" s="48"/>
      <c r="AO3965" s="48"/>
      <c r="AP3965" s="48"/>
      <c r="AQ3965" s="48"/>
      <c r="AR3965" s="48"/>
      <c r="AS3965" s="48"/>
      <c r="AT3965" s="48"/>
      <c r="AU3965" s="48"/>
      <c r="AV3965" s="48"/>
      <c r="AW3965" s="48"/>
      <c r="AX3965" s="48"/>
      <c r="AY3965" s="48"/>
      <c r="AZ3965" s="48"/>
      <c r="BA3965" s="48"/>
      <c r="BB3965" s="14"/>
      <c r="BC3965" s="48"/>
      <c r="BD3965" s="48"/>
      <c r="BE3965" s="48"/>
      <c r="BF3965" s="48"/>
      <c r="BG3965" s="48"/>
      <c r="BH3965" s="48"/>
      <c r="BI3965" s="48"/>
      <c r="BJ3965" s="48"/>
      <c r="BK3965" s="48"/>
      <c r="BL3965" s="48"/>
      <c r="BM3965" s="48"/>
      <c r="BN3965" s="48"/>
      <c r="BO3965" s="48"/>
      <c r="BP3965" s="48"/>
      <c r="BQ3965" s="48"/>
      <c r="BR3965" s="48"/>
      <c r="BS3965" s="48"/>
      <c r="BT3965" s="48"/>
      <c r="BU3965" s="48"/>
      <c r="BV3965" s="48"/>
      <c r="BW3965" s="48"/>
      <c r="BX3965" s="48"/>
      <c r="BY3965" s="48"/>
      <c r="BZ3965" s="48"/>
      <c r="CA3965" s="48"/>
      <c r="CB3965" s="48"/>
      <c r="CC3965" s="48"/>
      <c r="CD3965" s="48"/>
      <c r="CE3965" s="48"/>
      <c r="CF3965" s="48"/>
      <c r="CG3965" s="48"/>
      <c r="CH3965" s="48"/>
      <c r="CI3965" s="48"/>
      <c r="CJ3965" s="48"/>
      <c r="CK3965" s="48"/>
      <c r="CL3965" s="48"/>
      <c r="CM3965" s="48"/>
      <c r="CN3965" s="48"/>
      <c r="CO3965" s="48"/>
      <c r="CP3965" s="48"/>
      <c r="CQ3965" s="48"/>
      <c r="CR3965" s="48"/>
      <c r="CS3965" s="48"/>
      <c r="CT3965" s="48"/>
      <c r="CU3965" s="48"/>
      <c r="CV3965" s="48"/>
      <c r="CW3965" s="48"/>
      <c r="CX3965" s="48"/>
      <c r="CY3965" s="48"/>
      <c r="CZ3965" s="48"/>
    </row>
    <row r="3966" spans="27:104" s="4" customFormat="1" x14ac:dyDescent="0.3">
      <c r="AA3966" s="48"/>
      <c r="AB3966" s="48"/>
      <c r="AC3966" s="48"/>
      <c r="AD3966" s="48"/>
      <c r="AE3966" s="48"/>
      <c r="AF3966" s="48"/>
      <c r="AG3966" s="48"/>
      <c r="AH3966" s="48"/>
      <c r="AI3966" s="48"/>
      <c r="AJ3966" s="48"/>
      <c r="AK3966" s="48"/>
      <c r="AL3966" s="48"/>
      <c r="AM3966" s="48"/>
      <c r="AN3966" s="48"/>
      <c r="AO3966" s="48"/>
      <c r="AP3966" s="48"/>
      <c r="AQ3966" s="48"/>
      <c r="AR3966" s="48"/>
      <c r="AS3966" s="48"/>
      <c r="AT3966" s="48"/>
      <c r="AU3966" s="48"/>
      <c r="AV3966" s="48"/>
      <c r="AW3966" s="48"/>
      <c r="AX3966" s="48"/>
      <c r="AY3966" s="48"/>
      <c r="AZ3966" s="48"/>
      <c r="BA3966" s="48"/>
      <c r="BB3966" s="14"/>
      <c r="BC3966" s="48"/>
      <c r="BD3966" s="48"/>
      <c r="BE3966" s="48"/>
      <c r="BF3966" s="48"/>
      <c r="BG3966" s="48"/>
      <c r="BH3966" s="48"/>
      <c r="BI3966" s="48"/>
      <c r="BJ3966" s="48"/>
      <c r="BK3966" s="48"/>
      <c r="BL3966" s="48"/>
      <c r="BM3966" s="48"/>
      <c r="BN3966" s="48"/>
      <c r="BO3966" s="48"/>
      <c r="BP3966" s="48"/>
      <c r="BQ3966" s="48"/>
      <c r="BR3966" s="48"/>
      <c r="BS3966" s="48"/>
      <c r="BT3966" s="48"/>
      <c r="BU3966" s="48"/>
      <c r="BV3966" s="48"/>
      <c r="BW3966" s="48"/>
      <c r="BX3966" s="48"/>
      <c r="BY3966" s="48"/>
      <c r="BZ3966" s="48"/>
      <c r="CA3966" s="48"/>
      <c r="CB3966" s="48"/>
      <c r="CC3966" s="48"/>
      <c r="CD3966" s="48"/>
      <c r="CE3966" s="48"/>
      <c r="CF3966" s="48"/>
      <c r="CG3966" s="48"/>
      <c r="CH3966" s="48"/>
      <c r="CI3966" s="48"/>
      <c r="CJ3966" s="48"/>
      <c r="CK3966" s="48"/>
      <c r="CL3966" s="48"/>
      <c r="CM3966" s="48"/>
      <c r="CN3966" s="48"/>
      <c r="CO3966" s="48"/>
      <c r="CP3966" s="48"/>
      <c r="CQ3966" s="48"/>
      <c r="CR3966" s="48"/>
      <c r="CS3966" s="48"/>
      <c r="CT3966" s="48"/>
      <c r="CU3966" s="48"/>
      <c r="CV3966" s="48"/>
      <c r="CW3966" s="48"/>
      <c r="CX3966" s="48"/>
      <c r="CY3966" s="48"/>
      <c r="CZ3966" s="48"/>
    </row>
    <row r="3967" spans="27:104" s="4" customFormat="1" x14ac:dyDescent="0.3">
      <c r="AA3967" s="48"/>
      <c r="AB3967" s="48"/>
      <c r="AC3967" s="48"/>
      <c r="AD3967" s="48"/>
      <c r="AE3967" s="48"/>
      <c r="AF3967" s="48"/>
      <c r="AG3967" s="48"/>
      <c r="AH3967" s="48"/>
      <c r="AI3967" s="48"/>
      <c r="AJ3967" s="48"/>
      <c r="AK3967" s="48"/>
      <c r="AL3967" s="48"/>
      <c r="AM3967" s="48"/>
      <c r="AN3967" s="48"/>
      <c r="AO3967" s="48"/>
      <c r="AP3967" s="48"/>
      <c r="AQ3967" s="48"/>
      <c r="AR3967" s="48"/>
      <c r="AS3967" s="48"/>
      <c r="AT3967" s="48"/>
      <c r="AU3967" s="48"/>
      <c r="AV3967" s="48"/>
      <c r="AW3967" s="48"/>
      <c r="AX3967" s="48"/>
      <c r="AY3967" s="48"/>
      <c r="AZ3967" s="48"/>
      <c r="BA3967" s="48"/>
      <c r="BB3967" s="14"/>
      <c r="BC3967" s="48"/>
      <c r="BD3967" s="48"/>
      <c r="BE3967" s="48"/>
      <c r="BF3967" s="48"/>
      <c r="BG3967" s="48"/>
      <c r="BH3967" s="48"/>
      <c r="BI3967" s="48"/>
      <c r="BJ3967" s="48"/>
      <c r="BK3967" s="48"/>
      <c r="BL3967" s="48"/>
      <c r="BM3967" s="48"/>
      <c r="BN3967" s="48"/>
      <c r="BO3967" s="48"/>
      <c r="BP3967" s="48"/>
      <c r="BQ3967" s="48"/>
      <c r="BR3967" s="48"/>
      <c r="BS3967" s="48"/>
      <c r="BT3967" s="48"/>
      <c r="BU3967" s="48"/>
      <c r="BV3967" s="48"/>
      <c r="BW3967" s="48"/>
      <c r="BX3967" s="48"/>
      <c r="BY3967" s="48"/>
      <c r="BZ3967" s="48"/>
      <c r="CA3967" s="48"/>
      <c r="CB3967" s="48"/>
      <c r="CC3967" s="48"/>
      <c r="CD3967" s="48"/>
      <c r="CE3967" s="48"/>
      <c r="CF3967" s="48"/>
      <c r="CG3967" s="48"/>
      <c r="CH3967" s="48"/>
      <c r="CI3967" s="48"/>
      <c r="CJ3967" s="48"/>
      <c r="CK3967" s="48"/>
      <c r="CL3967" s="48"/>
      <c r="CM3967" s="48"/>
      <c r="CN3967" s="48"/>
      <c r="CO3967" s="48"/>
      <c r="CP3967" s="48"/>
      <c r="CQ3967" s="48"/>
      <c r="CR3967" s="48"/>
      <c r="CS3967" s="48"/>
      <c r="CT3967" s="48"/>
      <c r="CU3967" s="48"/>
      <c r="CV3967" s="48"/>
      <c r="CW3967" s="48"/>
      <c r="CX3967" s="48"/>
      <c r="CY3967" s="48"/>
      <c r="CZ3967" s="48"/>
    </row>
    <row r="3968" spans="27:104" s="4" customFormat="1" x14ac:dyDescent="0.3">
      <c r="AA3968" s="48"/>
      <c r="AB3968" s="48"/>
      <c r="AC3968" s="48"/>
      <c r="AD3968" s="48"/>
      <c r="AE3968" s="48"/>
      <c r="AF3968" s="48"/>
      <c r="AG3968" s="48"/>
      <c r="AH3968" s="48"/>
      <c r="AI3968" s="48"/>
      <c r="AJ3968" s="48"/>
      <c r="AK3968" s="48"/>
      <c r="AL3968" s="48"/>
      <c r="AM3968" s="48"/>
      <c r="AN3968" s="48"/>
      <c r="AO3968" s="48"/>
      <c r="AP3968" s="48"/>
      <c r="AQ3968" s="48"/>
      <c r="AR3968" s="48"/>
      <c r="AS3968" s="48"/>
      <c r="AT3968" s="48"/>
      <c r="AU3968" s="48"/>
      <c r="AV3968" s="48"/>
      <c r="AW3968" s="48"/>
      <c r="AX3968" s="48"/>
      <c r="AY3968" s="48"/>
      <c r="AZ3968" s="48"/>
      <c r="BA3968" s="48"/>
      <c r="BB3968" s="14"/>
      <c r="BC3968" s="48"/>
      <c r="BD3968" s="48"/>
      <c r="BE3968" s="48"/>
      <c r="BF3968" s="48"/>
      <c r="BG3968" s="48"/>
      <c r="BH3968" s="48"/>
      <c r="BI3968" s="48"/>
      <c r="BJ3968" s="48"/>
      <c r="BK3968" s="48"/>
      <c r="BL3968" s="48"/>
      <c r="BM3968" s="48"/>
      <c r="BN3968" s="48"/>
      <c r="BO3968" s="48"/>
      <c r="BP3968" s="48"/>
      <c r="BQ3968" s="48"/>
      <c r="BR3968" s="48"/>
      <c r="BS3968" s="48"/>
      <c r="BT3968" s="48"/>
      <c r="BU3968" s="48"/>
      <c r="BV3968" s="48"/>
      <c r="BW3968" s="48"/>
      <c r="BX3968" s="48"/>
      <c r="BY3968" s="48"/>
      <c r="BZ3968" s="48"/>
      <c r="CA3968" s="48"/>
      <c r="CB3968" s="48"/>
      <c r="CC3968" s="48"/>
      <c r="CD3968" s="48"/>
      <c r="CE3968" s="48"/>
      <c r="CF3968" s="48"/>
      <c r="CG3968" s="48"/>
      <c r="CH3968" s="48"/>
      <c r="CI3968" s="48"/>
      <c r="CJ3968" s="48"/>
      <c r="CK3968" s="48"/>
      <c r="CL3968" s="48"/>
      <c r="CM3968" s="48"/>
      <c r="CN3968" s="48"/>
      <c r="CO3968" s="48"/>
      <c r="CP3968" s="48"/>
      <c r="CQ3968" s="48"/>
      <c r="CR3968" s="48"/>
      <c r="CS3968" s="48"/>
      <c r="CT3968" s="48"/>
      <c r="CU3968" s="48"/>
      <c r="CV3968" s="48"/>
      <c r="CW3968" s="48"/>
      <c r="CX3968" s="48"/>
      <c r="CY3968" s="48"/>
      <c r="CZ3968" s="48"/>
    </row>
    <row r="3969" spans="27:104" s="4" customFormat="1" x14ac:dyDescent="0.3">
      <c r="AA3969" s="48"/>
      <c r="AB3969" s="48"/>
      <c r="AC3969" s="48"/>
      <c r="AD3969" s="48"/>
      <c r="AE3969" s="48"/>
      <c r="AF3969" s="48"/>
      <c r="AG3969" s="48"/>
      <c r="AH3969" s="48"/>
      <c r="AI3969" s="48"/>
      <c r="AJ3969" s="48"/>
      <c r="AK3969" s="48"/>
      <c r="AL3969" s="48"/>
      <c r="AM3969" s="48"/>
      <c r="AN3969" s="48"/>
      <c r="AO3969" s="48"/>
      <c r="AP3969" s="48"/>
      <c r="AQ3969" s="48"/>
      <c r="AR3969" s="48"/>
      <c r="AS3969" s="48"/>
      <c r="AT3969" s="48"/>
      <c r="AU3969" s="48"/>
      <c r="AV3969" s="48"/>
      <c r="AW3969" s="48"/>
      <c r="AX3969" s="48"/>
      <c r="AY3969" s="48"/>
      <c r="AZ3969" s="48"/>
      <c r="BA3969" s="48"/>
      <c r="BB3969" s="14"/>
      <c r="BC3969" s="48"/>
      <c r="BD3969" s="48"/>
      <c r="BE3969" s="48"/>
      <c r="BF3969" s="48"/>
      <c r="BG3969" s="48"/>
      <c r="BH3969" s="48"/>
      <c r="BI3969" s="48"/>
      <c r="BJ3969" s="48"/>
      <c r="BK3969" s="48"/>
      <c r="BL3969" s="48"/>
      <c r="BM3969" s="48"/>
      <c r="BN3969" s="48"/>
      <c r="BO3969" s="48"/>
      <c r="BP3969" s="48"/>
      <c r="BQ3969" s="48"/>
      <c r="BR3969" s="48"/>
      <c r="BS3969" s="48"/>
      <c r="BT3969" s="48"/>
      <c r="BU3969" s="48"/>
      <c r="BV3969" s="48"/>
      <c r="BW3969" s="48"/>
      <c r="BX3969" s="48"/>
      <c r="BY3969" s="48"/>
      <c r="BZ3969" s="48"/>
      <c r="CA3969" s="48"/>
      <c r="CB3969" s="48"/>
      <c r="CC3969" s="48"/>
      <c r="CD3969" s="48"/>
      <c r="CE3969" s="48"/>
      <c r="CF3969" s="48"/>
      <c r="CG3969" s="48"/>
      <c r="CH3969" s="48"/>
      <c r="CI3969" s="48"/>
      <c r="CJ3969" s="48"/>
      <c r="CK3969" s="48"/>
      <c r="CL3969" s="48"/>
      <c r="CM3969" s="48"/>
      <c r="CN3969" s="48"/>
      <c r="CO3969" s="48"/>
      <c r="CP3969" s="48"/>
      <c r="CQ3969" s="48"/>
      <c r="CR3969" s="48"/>
      <c r="CS3969" s="48"/>
      <c r="CT3969" s="48"/>
      <c r="CU3969" s="48"/>
      <c r="CV3969" s="48"/>
      <c r="CW3969" s="48"/>
      <c r="CX3969" s="48"/>
      <c r="CY3969" s="48"/>
      <c r="CZ3969" s="48"/>
    </row>
    <row r="3970" spans="27:104" s="4" customFormat="1" x14ac:dyDescent="0.3">
      <c r="AA3970" s="48"/>
      <c r="AB3970" s="48"/>
      <c r="AC3970" s="48"/>
      <c r="AD3970" s="48"/>
      <c r="AE3970" s="48"/>
      <c r="AF3970" s="48"/>
      <c r="AG3970" s="48"/>
      <c r="AH3970" s="48"/>
      <c r="AI3970" s="48"/>
      <c r="AJ3970" s="48"/>
      <c r="AK3970" s="48"/>
      <c r="AL3970" s="48"/>
      <c r="AM3970" s="48"/>
      <c r="AN3970" s="48"/>
      <c r="AO3970" s="48"/>
      <c r="AP3970" s="48"/>
      <c r="AQ3970" s="48"/>
      <c r="AR3970" s="48"/>
      <c r="AS3970" s="48"/>
      <c r="AT3970" s="48"/>
      <c r="AU3970" s="48"/>
      <c r="AV3970" s="48"/>
      <c r="AW3970" s="48"/>
      <c r="AX3970" s="48"/>
      <c r="AY3970" s="48"/>
      <c r="AZ3970" s="48"/>
      <c r="BA3970" s="48"/>
      <c r="BB3970" s="14"/>
      <c r="BC3970" s="48"/>
      <c r="BD3970" s="48"/>
      <c r="BE3970" s="48"/>
      <c r="BF3970" s="48"/>
      <c r="BG3970" s="48"/>
      <c r="BH3970" s="48"/>
      <c r="BI3970" s="48"/>
      <c r="BJ3970" s="48"/>
      <c r="BK3970" s="48"/>
      <c r="BL3970" s="48"/>
      <c r="BM3970" s="48"/>
      <c r="BN3970" s="48"/>
      <c r="BO3970" s="48"/>
      <c r="BP3970" s="48"/>
      <c r="BQ3970" s="48"/>
      <c r="BR3970" s="48"/>
      <c r="BS3970" s="48"/>
      <c r="BT3970" s="48"/>
      <c r="BU3970" s="48"/>
      <c r="BV3970" s="48"/>
      <c r="BW3970" s="48"/>
      <c r="BX3970" s="48"/>
      <c r="BY3970" s="48"/>
      <c r="BZ3970" s="48"/>
      <c r="CA3970" s="48"/>
      <c r="CB3970" s="48"/>
      <c r="CC3970" s="48"/>
      <c r="CD3970" s="48"/>
      <c r="CE3970" s="48"/>
      <c r="CF3970" s="48"/>
      <c r="CG3970" s="48"/>
      <c r="CH3970" s="48"/>
      <c r="CI3970" s="48"/>
      <c r="CJ3970" s="48"/>
      <c r="CK3970" s="48"/>
      <c r="CL3970" s="48"/>
      <c r="CM3970" s="48"/>
      <c r="CN3970" s="48"/>
      <c r="CO3970" s="48"/>
      <c r="CP3970" s="48"/>
      <c r="CQ3970" s="48"/>
      <c r="CR3970" s="48"/>
      <c r="CS3970" s="48"/>
      <c r="CT3970" s="48"/>
      <c r="CU3970" s="48"/>
      <c r="CV3970" s="48"/>
      <c r="CW3970" s="48"/>
      <c r="CX3970" s="48"/>
      <c r="CY3970" s="48"/>
      <c r="CZ3970" s="48"/>
    </row>
    <row r="3971" spans="27:104" s="4" customFormat="1" x14ac:dyDescent="0.3">
      <c r="AA3971" s="48"/>
      <c r="AB3971" s="48"/>
      <c r="AC3971" s="48"/>
      <c r="AD3971" s="48"/>
      <c r="AE3971" s="48"/>
      <c r="AF3971" s="48"/>
      <c r="AG3971" s="48"/>
      <c r="AH3971" s="48"/>
      <c r="AI3971" s="48"/>
      <c r="AJ3971" s="48"/>
      <c r="AK3971" s="48"/>
      <c r="AL3971" s="48"/>
      <c r="AM3971" s="48"/>
      <c r="AN3971" s="48"/>
      <c r="AO3971" s="48"/>
      <c r="AP3971" s="48"/>
      <c r="AQ3971" s="48"/>
      <c r="AR3971" s="48"/>
      <c r="AS3971" s="48"/>
      <c r="AT3971" s="48"/>
      <c r="AU3971" s="48"/>
      <c r="AV3971" s="48"/>
      <c r="AW3971" s="48"/>
      <c r="AX3971" s="48"/>
      <c r="AY3971" s="48"/>
      <c r="AZ3971" s="48"/>
      <c r="BA3971" s="48"/>
      <c r="BB3971" s="14"/>
      <c r="BC3971" s="48"/>
      <c r="BD3971" s="48"/>
      <c r="BE3971" s="48"/>
      <c r="BF3971" s="48"/>
      <c r="BG3971" s="48"/>
      <c r="BH3971" s="48"/>
      <c r="BI3971" s="48"/>
      <c r="BJ3971" s="48"/>
      <c r="BK3971" s="48"/>
      <c r="BL3971" s="48"/>
      <c r="BM3971" s="48"/>
      <c r="BN3971" s="48"/>
      <c r="BO3971" s="48"/>
      <c r="BP3971" s="48"/>
      <c r="BQ3971" s="48"/>
      <c r="BR3971" s="48"/>
      <c r="BS3971" s="48"/>
      <c r="BT3971" s="48"/>
      <c r="BU3971" s="48"/>
      <c r="BV3971" s="48"/>
      <c r="BW3971" s="48"/>
      <c r="BX3971" s="48"/>
      <c r="BY3971" s="48"/>
      <c r="BZ3971" s="48"/>
      <c r="CA3971" s="48"/>
      <c r="CB3971" s="48"/>
      <c r="CC3971" s="48"/>
      <c r="CD3971" s="48"/>
      <c r="CE3971" s="48"/>
      <c r="CF3971" s="48"/>
      <c r="CG3971" s="48"/>
      <c r="CH3971" s="48"/>
      <c r="CI3971" s="48"/>
      <c r="CJ3971" s="48"/>
      <c r="CK3971" s="48"/>
      <c r="CL3971" s="48"/>
      <c r="CM3971" s="48"/>
      <c r="CN3971" s="48"/>
      <c r="CO3971" s="48"/>
      <c r="CP3971" s="48"/>
      <c r="CQ3971" s="48"/>
      <c r="CR3971" s="48"/>
      <c r="CS3971" s="48"/>
      <c r="CT3971" s="48"/>
      <c r="CU3971" s="48"/>
      <c r="CV3971" s="48"/>
      <c r="CW3971" s="48"/>
      <c r="CX3971" s="48"/>
      <c r="CY3971" s="48"/>
      <c r="CZ3971" s="48"/>
    </row>
    <row r="3972" spans="27:104" s="4" customFormat="1" x14ac:dyDescent="0.3">
      <c r="AA3972" s="48"/>
      <c r="AB3972" s="48"/>
      <c r="AC3972" s="48"/>
      <c r="AD3972" s="48"/>
      <c r="AE3972" s="48"/>
      <c r="AF3972" s="48"/>
      <c r="AG3972" s="48"/>
      <c r="AH3972" s="48"/>
      <c r="AI3972" s="48"/>
      <c r="AJ3972" s="48"/>
      <c r="AK3972" s="48"/>
      <c r="AL3972" s="48"/>
      <c r="AM3972" s="48"/>
      <c r="AN3972" s="48"/>
      <c r="AO3972" s="48"/>
      <c r="AP3972" s="48"/>
      <c r="AQ3972" s="48"/>
      <c r="AR3972" s="48"/>
      <c r="AS3972" s="48"/>
      <c r="AT3972" s="48"/>
      <c r="AU3972" s="48"/>
      <c r="AV3972" s="48"/>
      <c r="AW3972" s="48"/>
      <c r="AX3972" s="48"/>
      <c r="AY3972" s="48"/>
      <c r="AZ3972" s="48"/>
      <c r="BA3972" s="48"/>
      <c r="BB3972" s="14"/>
      <c r="BC3972" s="48"/>
      <c r="BD3972" s="48"/>
      <c r="BE3972" s="48"/>
      <c r="BF3972" s="48"/>
      <c r="BG3972" s="48"/>
      <c r="BH3972" s="48"/>
      <c r="BI3972" s="48"/>
      <c r="BJ3972" s="48"/>
      <c r="BK3972" s="48"/>
      <c r="BL3972" s="48"/>
      <c r="BM3972" s="48"/>
      <c r="BN3972" s="48"/>
      <c r="BO3972" s="48"/>
      <c r="BP3972" s="48"/>
      <c r="BQ3972" s="48"/>
      <c r="BR3972" s="48"/>
      <c r="BS3972" s="48"/>
      <c r="BT3972" s="48"/>
      <c r="BU3972" s="48"/>
      <c r="BV3972" s="48"/>
      <c r="BW3972" s="48"/>
      <c r="BX3972" s="48"/>
      <c r="BY3972" s="48"/>
      <c r="BZ3972" s="48"/>
      <c r="CA3972" s="48"/>
      <c r="CB3972" s="48"/>
      <c r="CC3972" s="48"/>
      <c r="CD3972" s="48"/>
      <c r="CE3972" s="48"/>
      <c r="CF3972" s="48"/>
      <c r="CG3972" s="48"/>
      <c r="CH3972" s="48"/>
      <c r="CI3972" s="48"/>
      <c r="CJ3972" s="48"/>
      <c r="CK3972" s="48"/>
      <c r="CL3972" s="48"/>
      <c r="CM3972" s="48"/>
      <c r="CN3972" s="48"/>
      <c r="CO3972" s="48"/>
      <c r="CP3972" s="48"/>
      <c r="CQ3972" s="48"/>
      <c r="CR3972" s="48"/>
      <c r="CS3972" s="48"/>
      <c r="CT3972" s="48"/>
      <c r="CU3972" s="48"/>
      <c r="CV3972" s="48"/>
      <c r="CW3972" s="48"/>
      <c r="CX3972" s="48"/>
      <c r="CY3972" s="48"/>
      <c r="CZ3972" s="48"/>
    </row>
    <row r="3973" spans="27:104" s="4" customFormat="1" x14ac:dyDescent="0.3">
      <c r="AA3973" s="48"/>
      <c r="AB3973" s="48"/>
      <c r="AC3973" s="48"/>
      <c r="AD3973" s="48"/>
      <c r="AE3973" s="48"/>
      <c r="AF3973" s="48"/>
      <c r="AG3973" s="48"/>
      <c r="AH3973" s="48"/>
      <c r="AI3973" s="48"/>
      <c r="AJ3973" s="48"/>
      <c r="AK3973" s="48"/>
      <c r="AL3973" s="48"/>
      <c r="AM3973" s="48"/>
      <c r="AN3973" s="48"/>
      <c r="AO3973" s="48"/>
      <c r="AP3973" s="48"/>
      <c r="AQ3973" s="48"/>
      <c r="AR3973" s="48"/>
      <c r="AS3973" s="48"/>
      <c r="AT3973" s="48"/>
      <c r="AU3973" s="48"/>
      <c r="AV3973" s="48"/>
      <c r="AW3973" s="48"/>
      <c r="AX3973" s="48"/>
      <c r="AY3973" s="48"/>
      <c r="AZ3973" s="48"/>
      <c r="BA3973" s="48"/>
      <c r="BB3973" s="14"/>
      <c r="BC3973" s="48"/>
      <c r="BD3973" s="48"/>
      <c r="BE3973" s="48"/>
      <c r="BF3973" s="48"/>
      <c r="BG3973" s="48"/>
      <c r="BH3973" s="48"/>
      <c r="BI3973" s="48"/>
      <c r="BJ3973" s="48"/>
      <c r="BK3973" s="48"/>
      <c r="BL3973" s="48"/>
      <c r="BM3973" s="48"/>
      <c r="BN3973" s="48"/>
      <c r="BO3973" s="48"/>
      <c r="BP3973" s="48"/>
      <c r="BQ3973" s="48"/>
      <c r="BR3973" s="48"/>
      <c r="BS3973" s="48"/>
      <c r="BT3973" s="48"/>
      <c r="BU3973" s="48"/>
      <c r="BV3973" s="48"/>
      <c r="BW3973" s="48"/>
      <c r="BX3973" s="48"/>
      <c r="BY3973" s="48"/>
      <c r="BZ3973" s="48"/>
      <c r="CA3973" s="48"/>
      <c r="CB3973" s="48"/>
      <c r="CC3973" s="48"/>
      <c r="CD3973" s="48"/>
      <c r="CE3973" s="48"/>
      <c r="CF3973" s="48"/>
      <c r="CG3973" s="48"/>
      <c r="CH3973" s="48"/>
      <c r="CI3973" s="48"/>
      <c r="CJ3973" s="48"/>
      <c r="CK3973" s="48"/>
      <c r="CL3973" s="48"/>
      <c r="CM3973" s="48"/>
      <c r="CN3973" s="48"/>
      <c r="CO3973" s="48"/>
      <c r="CP3973" s="48"/>
      <c r="CQ3973" s="48"/>
      <c r="CR3973" s="48"/>
      <c r="CS3973" s="48"/>
      <c r="CT3973" s="48"/>
      <c r="CU3973" s="48"/>
      <c r="CV3973" s="48"/>
      <c r="CW3973" s="48"/>
      <c r="CX3973" s="48"/>
      <c r="CY3973" s="48"/>
      <c r="CZ3973" s="48"/>
    </row>
    <row r="3974" spans="27:104" s="4" customFormat="1" x14ac:dyDescent="0.3">
      <c r="AA3974" s="48"/>
      <c r="AB3974" s="48"/>
      <c r="AC3974" s="48"/>
      <c r="AD3974" s="48"/>
      <c r="AE3974" s="48"/>
      <c r="AF3974" s="48"/>
      <c r="AG3974" s="48"/>
      <c r="AH3974" s="48"/>
      <c r="AI3974" s="48"/>
      <c r="AJ3974" s="48"/>
      <c r="AK3974" s="48"/>
      <c r="AL3974" s="48"/>
      <c r="AM3974" s="48"/>
      <c r="AN3974" s="48"/>
      <c r="AO3974" s="48"/>
      <c r="AP3974" s="48"/>
      <c r="AQ3974" s="48"/>
      <c r="AR3974" s="48"/>
      <c r="AS3974" s="48"/>
      <c r="AT3974" s="48"/>
      <c r="AU3974" s="48"/>
      <c r="AV3974" s="48"/>
      <c r="AW3974" s="48"/>
      <c r="AX3974" s="48"/>
      <c r="AY3974" s="48"/>
      <c r="AZ3974" s="48"/>
      <c r="BA3974" s="48"/>
      <c r="BB3974" s="14"/>
      <c r="BC3974" s="48"/>
      <c r="BD3974" s="48"/>
      <c r="BE3974" s="48"/>
      <c r="BF3974" s="48"/>
      <c r="BG3974" s="48"/>
      <c r="BH3974" s="48"/>
      <c r="BI3974" s="48"/>
      <c r="BJ3974" s="48"/>
      <c r="BK3974" s="48"/>
      <c r="BL3974" s="48"/>
      <c r="BM3974" s="48"/>
      <c r="BN3974" s="48"/>
      <c r="BO3974" s="48"/>
      <c r="BP3974" s="48"/>
      <c r="BQ3974" s="48"/>
      <c r="BR3974" s="48"/>
      <c r="BS3974" s="48"/>
      <c r="BT3974" s="48"/>
      <c r="BU3974" s="48"/>
      <c r="BV3974" s="48"/>
      <c r="BW3974" s="48"/>
      <c r="BX3974" s="48"/>
      <c r="BY3974" s="48"/>
      <c r="BZ3974" s="48"/>
      <c r="CA3974" s="48"/>
      <c r="CB3974" s="48"/>
      <c r="CC3974" s="48"/>
      <c r="CD3974" s="48"/>
      <c r="CE3974" s="48"/>
      <c r="CF3974" s="48"/>
      <c r="CG3974" s="48"/>
      <c r="CH3974" s="48"/>
      <c r="CI3974" s="48"/>
      <c r="CJ3974" s="48"/>
      <c r="CK3974" s="48"/>
      <c r="CL3974" s="48"/>
      <c r="CM3974" s="48"/>
      <c r="CN3974" s="48"/>
      <c r="CO3974" s="48"/>
      <c r="CP3974" s="48"/>
      <c r="CQ3974" s="48"/>
      <c r="CR3974" s="48"/>
      <c r="CS3974" s="48"/>
      <c r="CT3974" s="48"/>
      <c r="CU3974" s="48"/>
      <c r="CV3974" s="48"/>
      <c r="CW3974" s="48"/>
      <c r="CX3974" s="48"/>
      <c r="CY3974" s="48"/>
      <c r="CZ3974" s="48"/>
    </row>
    <row r="3975" spans="27:104" s="4" customFormat="1" x14ac:dyDescent="0.3">
      <c r="AA3975" s="48"/>
      <c r="AB3975" s="48"/>
      <c r="AC3975" s="48"/>
      <c r="AD3975" s="48"/>
      <c r="AE3975" s="48"/>
      <c r="AF3975" s="48"/>
      <c r="AG3975" s="48"/>
      <c r="AH3975" s="48"/>
      <c r="AI3975" s="48"/>
      <c r="AJ3975" s="48"/>
      <c r="AK3975" s="48"/>
      <c r="AL3975" s="48"/>
      <c r="AM3975" s="48"/>
      <c r="AN3975" s="48"/>
      <c r="AO3975" s="48"/>
      <c r="AP3975" s="48"/>
      <c r="AQ3975" s="48"/>
      <c r="AR3975" s="48"/>
      <c r="AS3975" s="48"/>
      <c r="AT3975" s="48"/>
      <c r="AU3975" s="48"/>
      <c r="AV3975" s="48"/>
      <c r="AW3975" s="48"/>
      <c r="AX3975" s="48"/>
      <c r="AY3975" s="48"/>
      <c r="AZ3975" s="48"/>
      <c r="BA3975" s="48"/>
      <c r="BB3975" s="14"/>
      <c r="BC3975" s="48"/>
      <c r="BD3975" s="48"/>
      <c r="BE3975" s="48"/>
      <c r="BF3975" s="48"/>
      <c r="BG3975" s="48"/>
      <c r="BH3975" s="48"/>
      <c r="BI3975" s="48"/>
      <c r="BJ3975" s="48"/>
      <c r="BK3975" s="48"/>
      <c r="BL3975" s="48"/>
      <c r="BM3975" s="48"/>
      <c r="BN3975" s="48"/>
      <c r="BO3975" s="48"/>
      <c r="BP3975" s="48"/>
      <c r="BQ3975" s="48"/>
      <c r="BR3975" s="48"/>
      <c r="BS3975" s="48"/>
      <c r="BT3975" s="48"/>
      <c r="BU3975" s="48"/>
      <c r="BV3975" s="48"/>
      <c r="BW3975" s="48"/>
      <c r="BX3975" s="48"/>
      <c r="BY3975" s="48"/>
      <c r="BZ3975" s="48"/>
      <c r="CA3975" s="48"/>
      <c r="CB3975" s="48"/>
      <c r="CC3975" s="48"/>
      <c r="CD3975" s="48"/>
      <c r="CE3975" s="48"/>
      <c r="CF3975" s="48"/>
      <c r="CG3975" s="48"/>
      <c r="CH3975" s="48"/>
      <c r="CI3975" s="48"/>
      <c r="CJ3975" s="48"/>
      <c r="CK3975" s="48"/>
      <c r="CL3975" s="48"/>
      <c r="CM3975" s="48"/>
      <c r="CN3975" s="48"/>
      <c r="CO3975" s="48"/>
      <c r="CP3975" s="48"/>
      <c r="CQ3975" s="48"/>
      <c r="CR3975" s="48"/>
      <c r="CS3975" s="48"/>
      <c r="CT3975" s="48"/>
      <c r="CU3975" s="48"/>
      <c r="CV3975" s="48"/>
      <c r="CW3975" s="48"/>
      <c r="CX3975" s="48"/>
      <c r="CY3975" s="48"/>
      <c r="CZ3975" s="48"/>
    </row>
    <row r="3976" spans="27:104" s="4" customFormat="1" x14ac:dyDescent="0.3">
      <c r="AA3976" s="48"/>
      <c r="AB3976" s="48"/>
      <c r="AC3976" s="48"/>
      <c r="AD3976" s="48"/>
      <c r="AE3976" s="48"/>
      <c r="AF3976" s="48"/>
      <c r="AG3976" s="48"/>
      <c r="AH3976" s="48"/>
      <c r="AI3976" s="48"/>
      <c r="AJ3976" s="48"/>
      <c r="AK3976" s="48"/>
      <c r="AL3976" s="48"/>
      <c r="AM3976" s="48"/>
      <c r="AN3976" s="48"/>
      <c r="AO3976" s="48"/>
      <c r="AP3976" s="48"/>
      <c r="AQ3976" s="48"/>
      <c r="AR3976" s="48"/>
      <c r="AS3976" s="48"/>
      <c r="AT3976" s="48"/>
      <c r="AU3976" s="48"/>
      <c r="AV3976" s="48"/>
      <c r="AW3976" s="48"/>
      <c r="AX3976" s="48"/>
      <c r="AY3976" s="48"/>
      <c r="AZ3976" s="48"/>
      <c r="BA3976" s="48"/>
      <c r="BB3976" s="14"/>
      <c r="BC3976" s="48"/>
      <c r="BD3976" s="48"/>
      <c r="BE3976" s="48"/>
      <c r="BF3976" s="48"/>
      <c r="BG3976" s="48"/>
      <c r="BH3976" s="48"/>
      <c r="BI3976" s="48"/>
      <c r="BJ3976" s="48"/>
      <c r="BK3976" s="48"/>
      <c r="BL3976" s="48"/>
      <c r="BM3976" s="48"/>
      <c r="BN3976" s="48"/>
      <c r="BO3976" s="48"/>
      <c r="BP3976" s="48"/>
      <c r="BQ3976" s="48"/>
      <c r="BR3976" s="48"/>
      <c r="BS3976" s="48"/>
      <c r="BT3976" s="48"/>
      <c r="BU3976" s="48"/>
      <c r="BV3976" s="48"/>
      <c r="BW3976" s="48"/>
      <c r="BX3976" s="48"/>
      <c r="BY3976" s="48"/>
      <c r="BZ3976" s="48"/>
      <c r="CA3976" s="48"/>
      <c r="CB3976" s="48"/>
      <c r="CC3976" s="48"/>
      <c r="CD3976" s="48"/>
      <c r="CE3976" s="48"/>
      <c r="CF3976" s="48"/>
      <c r="CG3976" s="48"/>
      <c r="CH3976" s="48"/>
      <c r="CI3976" s="48"/>
      <c r="CJ3976" s="48"/>
      <c r="CK3976" s="48"/>
      <c r="CL3976" s="48"/>
      <c r="CM3976" s="48"/>
      <c r="CN3976" s="48"/>
      <c r="CO3976" s="48"/>
      <c r="CP3976" s="48"/>
      <c r="CQ3976" s="48"/>
      <c r="CR3976" s="48"/>
      <c r="CS3976" s="48"/>
      <c r="CT3976" s="48"/>
      <c r="CU3976" s="48"/>
      <c r="CV3976" s="48"/>
      <c r="CW3976" s="48"/>
      <c r="CX3976" s="48"/>
      <c r="CY3976" s="48"/>
      <c r="CZ3976" s="48"/>
    </row>
    <row r="3977" spans="27:104" s="4" customFormat="1" x14ac:dyDescent="0.3">
      <c r="AA3977" s="48"/>
      <c r="AB3977" s="48"/>
      <c r="AC3977" s="48"/>
      <c r="AD3977" s="48"/>
      <c r="AE3977" s="48"/>
      <c r="AF3977" s="48"/>
      <c r="AG3977" s="48"/>
      <c r="AH3977" s="48"/>
      <c r="AI3977" s="48"/>
      <c r="AJ3977" s="48"/>
      <c r="AK3977" s="48"/>
      <c r="AL3977" s="48"/>
      <c r="AM3977" s="48"/>
      <c r="AN3977" s="48"/>
      <c r="AO3977" s="48"/>
      <c r="AP3977" s="48"/>
      <c r="AQ3977" s="48"/>
      <c r="AR3977" s="48"/>
      <c r="AS3977" s="48"/>
      <c r="AT3977" s="48"/>
      <c r="AU3977" s="48"/>
      <c r="AV3977" s="48"/>
      <c r="AW3977" s="48"/>
      <c r="AX3977" s="48"/>
      <c r="AY3977" s="48"/>
      <c r="AZ3977" s="48"/>
      <c r="BA3977" s="48"/>
      <c r="BB3977" s="14"/>
      <c r="BC3977" s="48"/>
      <c r="BD3977" s="48"/>
      <c r="BE3977" s="48"/>
      <c r="BF3977" s="48"/>
      <c r="BG3977" s="48"/>
      <c r="BH3977" s="48"/>
      <c r="BI3977" s="48"/>
      <c r="BJ3977" s="48"/>
      <c r="BK3977" s="48"/>
      <c r="BL3977" s="48"/>
      <c r="BM3977" s="48"/>
      <c r="BN3977" s="48"/>
      <c r="BO3977" s="48"/>
      <c r="BP3977" s="48"/>
      <c r="BQ3977" s="48"/>
      <c r="BR3977" s="48"/>
      <c r="BS3977" s="48"/>
      <c r="BT3977" s="48"/>
      <c r="BU3977" s="48"/>
      <c r="BV3977" s="48"/>
      <c r="BW3977" s="48"/>
      <c r="BX3977" s="48"/>
      <c r="BY3977" s="48"/>
      <c r="BZ3977" s="48"/>
      <c r="CA3977" s="48"/>
      <c r="CB3977" s="48"/>
      <c r="CC3977" s="48"/>
      <c r="CD3977" s="48"/>
      <c r="CE3977" s="48"/>
      <c r="CF3977" s="48"/>
      <c r="CG3977" s="48"/>
      <c r="CH3977" s="48"/>
      <c r="CI3977" s="48"/>
      <c r="CJ3977" s="48"/>
      <c r="CK3977" s="48"/>
      <c r="CL3977" s="48"/>
      <c r="CM3977" s="48"/>
      <c r="CN3977" s="48"/>
      <c r="CO3977" s="48"/>
      <c r="CP3977" s="48"/>
      <c r="CQ3977" s="48"/>
      <c r="CR3977" s="48"/>
      <c r="CS3977" s="48"/>
      <c r="CT3977" s="48"/>
      <c r="CU3977" s="48"/>
      <c r="CV3977" s="48"/>
      <c r="CW3977" s="48"/>
      <c r="CX3977" s="48"/>
      <c r="CY3977" s="48"/>
      <c r="CZ3977" s="48"/>
    </row>
    <row r="3978" spans="27:104" s="4" customFormat="1" x14ac:dyDescent="0.3">
      <c r="AA3978" s="48"/>
      <c r="AB3978" s="48"/>
      <c r="AC3978" s="48"/>
      <c r="AD3978" s="48"/>
      <c r="AE3978" s="48"/>
      <c r="AF3978" s="48"/>
      <c r="AG3978" s="48"/>
      <c r="AH3978" s="48"/>
      <c r="AI3978" s="48"/>
      <c r="AJ3978" s="48"/>
      <c r="AK3978" s="48"/>
      <c r="AL3978" s="48"/>
      <c r="AM3978" s="48"/>
      <c r="AN3978" s="48"/>
      <c r="AO3978" s="48"/>
      <c r="AP3978" s="48"/>
      <c r="AQ3978" s="48"/>
      <c r="AR3978" s="48"/>
      <c r="AS3978" s="48"/>
      <c r="AT3978" s="48"/>
      <c r="AU3978" s="48"/>
      <c r="AV3978" s="48"/>
      <c r="AW3978" s="48"/>
      <c r="AX3978" s="48"/>
      <c r="AY3978" s="48"/>
      <c r="AZ3978" s="48"/>
      <c r="BA3978" s="48"/>
      <c r="BB3978" s="14"/>
      <c r="BC3978" s="48"/>
      <c r="BD3978" s="48"/>
      <c r="BE3978" s="48"/>
      <c r="BF3978" s="48"/>
      <c r="BG3978" s="48"/>
      <c r="BH3978" s="48"/>
      <c r="BI3978" s="48"/>
      <c r="BJ3978" s="48"/>
      <c r="BK3978" s="48"/>
      <c r="BL3978" s="48"/>
      <c r="BM3978" s="48"/>
      <c r="BN3978" s="48"/>
      <c r="BO3978" s="48"/>
      <c r="BP3978" s="48"/>
      <c r="BQ3978" s="48"/>
      <c r="BR3978" s="48"/>
      <c r="BS3978" s="48"/>
      <c r="BT3978" s="48"/>
      <c r="BU3978" s="48"/>
      <c r="BV3978" s="48"/>
      <c r="BW3978" s="48"/>
      <c r="BX3978" s="48"/>
      <c r="BY3978" s="48"/>
      <c r="BZ3978" s="48"/>
      <c r="CA3978" s="48"/>
      <c r="CB3978" s="48"/>
      <c r="CC3978" s="48"/>
      <c r="CD3978" s="48"/>
      <c r="CE3978" s="48"/>
      <c r="CF3978" s="48"/>
      <c r="CG3978" s="48"/>
      <c r="CH3978" s="48"/>
      <c r="CI3978" s="48"/>
      <c r="CJ3978" s="48"/>
      <c r="CK3978" s="48"/>
      <c r="CL3978" s="48"/>
      <c r="CM3978" s="48"/>
      <c r="CN3978" s="48"/>
      <c r="CO3978" s="48"/>
      <c r="CP3978" s="48"/>
      <c r="CQ3978" s="48"/>
      <c r="CR3978" s="48"/>
      <c r="CS3978" s="48"/>
      <c r="CT3978" s="48"/>
      <c r="CU3978" s="48"/>
      <c r="CV3978" s="48"/>
      <c r="CW3978" s="48"/>
      <c r="CX3978" s="48"/>
      <c r="CY3978" s="48"/>
      <c r="CZ3978" s="48"/>
    </row>
    <row r="3979" spans="27:104" s="4" customFormat="1" x14ac:dyDescent="0.3">
      <c r="AA3979" s="48"/>
      <c r="AB3979" s="48"/>
      <c r="AC3979" s="48"/>
      <c r="AD3979" s="48"/>
      <c r="AE3979" s="48"/>
      <c r="AF3979" s="48"/>
      <c r="AG3979" s="48"/>
      <c r="AH3979" s="48"/>
      <c r="AI3979" s="48"/>
      <c r="AJ3979" s="48"/>
      <c r="AK3979" s="48"/>
      <c r="AL3979" s="48"/>
      <c r="AM3979" s="48"/>
      <c r="AN3979" s="48"/>
      <c r="AO3979" s="48"/>
      <c r="AP3979" s="48"/>
      <c r="AQ3979" s="48"/>
      <c r="AR3979" s="48"/>
      <c r="AS3979" s="48"/>
      <c r="AT3979" s="48"/>
      <c r="AU3979" s="48"/>
      <c r="AV3979" s="48"/>
      <c r="AW3979" s="48"/>
      <c r="AX3979" s="48"/>
      <c r="AY3979" s="48"/>
      <c r="AZ3979" s="48"/>
      <c r="BA3979" s="48"/>
      <c r="BB3979" s="14"/>
      <c r="BC3979" s="48"/>
      <c r="BD3979" s="48"/>
      <c r="BE3979" s="48"/>
      <c r="BF3979" s="48"/>
      <c r="BG3979" s="48"/>
      <c r="BH3979" s="48"/>
      <c r="BI3979" s="48"/>
      <c r="BJ3979" s="48"/>
      <c r="BK3979" s="48"/>
      <c r="BL3979" s="48"/>
      <c r="BM3979" s="48"/>
      <c r="BN3979" s="48"/>
      <c r="BO3979" s="48"/>
      <c r="BP3979" s="48"/>
      <c r="BQ3979" s="48"/>
      <c r="BR3979" s="48"/>
      <c r="BS3979" s="48"/>
      <c r="BT3979" s="48"/>
      <c r="BU3979" s="48"/>
      <c r="BV3979" s="48"/>
      <c r="BW3979" s="48"/>
      <c r="BX3979" s="48"/>
      <c r="BY3979" s="48"/>
      <c r="BZ3979" s="48"/>
      <c r="CA3979" s="48"/>
      <c r="CB3979" s="48"/>
      <c r="CC3979" s="48"/>
      <c r="CD3979" s="48"/>
      <c r="CE3979" s="48"/>
      <c r="CF3979" s="48"/>
      <c r="CG3979" s="48"/>
      <c r="CH3979" s="48"/>
      <c r="CI3979" s="48"/>
      <c r="CJ3979" s="48"/>
      <c r="CK3979" s="48"/>
      <c r="CL3979" s="48"/>
      <c r="CM3979" s="48"/>
      <c r="CN3979" s="48"/>
      <c r="CO3979" s="48"/>
      <c r="CP3979" s="48"/>
      <c r="CQ3979" s="48"/>
      <c r="CR3979" s="48"/>
      <c r="CS3979" s="48"/>
      <c r="CT3979" s="48"/>
      <c r="CU3979" s="48"/>
      <c r="CV3979" s="48"/>
      <c r="CW3979" s="48"/>
      <c r="CX3979" s="48"/>
      <c r="CY3979" s="48"/>
      <c r="CZ3979" s="48"/>
    </row>
    <row r="3980" spans="27:104" s="4" customFormat="1" x14ac:dyDescent="0.3">
      <c r="AA3980" s="48"/>
      <c r="AB3980" s="48"/>
      <c r="AC3980" s="48"/>
      <c r="AD3980" s="48"/>
      <c r="AE3980" s="48"/>
      <c r="AF3980" s="48"/>
      <c r="AG3980" s="48"/>
      <c r="AH3980" s="48"/>
      <c r="AI3980" s="48"/>
      <c r="AJ3980" s="48"/>
      <c r="AK3980" s="48"/>
      <c r="AL3980" s="48"/>
      <c r="AM3980" s="48"/>
      <c r="AN3980" s="48"/>
      <c r="AO3980" s="48"/>
      <c r="AP3980" s="48"/>
      <c r="AQ3980" s="48"/>
      <c r="AR3980" s="48"/>
      <c r="AS3980" s="48"/>
      <c r="AT3980" s="48"/>
      <c r="AU3980" s="48"/>
      <c r="AV3980" s="48"/>
      <c r="AW3980" s="48"/>
      <c r="AX3980" s="48"/>
      <c r="AY3980" s="48"/>
      <c r="AZ3980" s="48"/>
      <c r="BA3980" s="48"/>
      <c r="BB3980" s="14"/>
      <c r="BC3980" s="48"/>
      <c r="BD3980" s="48"/>
      <c r="BE3980" s="48"/>
      <c r="BF3980" s="48"/>
      <c r="BG3980" s="48"/>
      <c r="BH3980" s="48"/>
      <c r="BI3980" s="48"/>
      <c r="BJ3980" s="48"/>
      <c r="BK3980" s="48"/>
      <c r="BL3980" s="48"/>
      <c r="BM3980" s="48"/>
      <c r="BN3980" s="48"/>
      <c r="BO3980" s="48"/>
      <c r="BP3980" s="48"/>
      <c r="BQ3980" s="48"/>
      <c r="BR3980" s="48"/>
      <c r="BS3980" s="48"/>
      <c r="BT3980" s="48"/>
      <c r="BU3980" s="48"/>
      <c r="BV3980" s="48"/>
      <c r="BW3980" s="48"/>
      <c r="BX3980" s="48"/>
      <c r="BY3980" s="48"/>
      <c r="BZ3980" s="48"/>
      <c r="CA3980" s="48"/>
      <c r="CB3980" s="48"/>
      <c r="CC3980" s="48"/>
      <c r="CD3980" s="48"/>
      <c r="CE3980" s="48"/>
      <c r="CF3980" s="48"/>
      <c r="CG3980" s="48"/>
      <c r="CH3980" s="48"/>
      <c r="CI3980" s="48"/>
      <c r="CJ3980" s="48"/>
      <c r="CK3980" s="48"/>
      <c r="CL3980" s="48"/>
      <c r="CM3980" s="48"/>
      <c r="CN3980" s="48"/>
      <c r="CO3980" s="48"/>
      <c r="CP3980" s="48"/>
      <c r="CQ3980" s="48"/>
      <c r="CR3980" s="48"/>
      <c r="CS3980" s="48"/>
      <c r="CT3980" s="48"/>
      <c r="CU3980" s="48"/>
      <c r="CV3980" s="48"/>
      <c r="CW3980" s="48"/>
      <c r="CX3980" s="48"/>
      <c r="CY3980" s="48"/>
      <c r="CZ3980" s="48"/>
    </row>
    <row r="3981" spans="27:104" s="4" customFormat="1" x14ac:dyDescent="0.3">
      <c r="AA3981" s="48"/>
      <c r="AB3981" s="48"/>
      <c r="AC3981" s="48"/>
      <c r="AD3981" s="48"/>
      <c r="AE3981" s="48"/>
      <c r="AF3981" s="48"/>
      <c r="AG3981" s="48"/>
      <c r="AH3981" s="48"/>
      <c r="AI3981" s="48"/>
      <c r="AJ3981" s="48"/>
      <c r="AK3981" s="48"/>
      <c r="AL3981" s="48"/>
      <c r="AM3981" s="48"/>
      <c r="AN3981" s="48"/>
      <c r="AO3981" s="48"/>
      <c r="AP3981" s="48"/>
      <c r="AQ3981" s="48"/>
      <c r="AR3981" s="48"/>
      <c r="AS3981" s="48"/>
      <c r="AT3981" s="48"/>
      <c r="AU3981" s="48"/>
      <c r="AV3981" s="48"/>
      <c r="AW3981" s="48"/>
      <c r="AX3981" s="48"/>
      <c r="AY3981" s="48"/>
      <c r="AZ3981" s="48"/>
      <c r="BA3981" s="48"/>
      <c r="BB3981" s="14"/>
      <c r="BC3981" s="48"/>
      <c r="BD3981" s="48"/>
      <c r="BE3981" s="48"/>
      <c r="BF3981" s="48"/>
      <c r="BG3981" s="48"/>
      <c r="BH3981" s="48"/>
      <c r="BI3981" s="48"/>
      <c r="BJ3981" s="48"/>
      <c r="BK3981" s="48"/>
      <c r="BL3981" s="48"/>
      <c r="BM3981" s="48"/>
      <c r="BN3981" s="48"/>
      <c r="BO3981" s="48"/>
      <c r="BP3981" s="48"/>
      <c r="BQ3981" s="48"/>
      <c r="BR3981" s="48"/>
      <c r="BS3981" s="48"/>
      <c r="BT3981" s="48"/>
      <c r="BU3981" s="48"/>
      <c r="BV3981" s="48"/>
      <c r="BW3981" s="48"/>
      <c r="BX3981" s="48"/>
      <c r="BY3981" s="48"/>
      <c r="BZ3981" s="48"/>
      <c r="CA3981" s="48"/>
      <c r="CB3981" s="48"/>
      <c r="CC3981" s="48"/>
      <c r="CD3981" s="48"/>
      <c r="CE3981" s="48"/>
      <c r="CF3981" s="48"/>
      <c r="CG3981" s="48"/>
      <c r="CH3981" s="48"/>
      <c r="CI3981" s="48"/>
      <c r="CJ3981" s="48"/>
      <c r="CK3981" s="48"/>
      <c r="CL3981" s="48"/>
      <c r="CM3981" s="48"/>
      <c r="CN3981" s="48"/>
      <c r="CO3981" s="48"/>
      <c r="CP3981" s="48"/>
      <c r="CQ3981" s="48"/>
      <c r="CR3981" s="48"/>
      <c r="CS3981" s="48"/>
      <c r="CT3981" s="48"/>
      <c r="CU3981" s="48"/>
      <c r="CV3981" s="48"/>
      <c r="CW3981" s="48"/>
      <c r="CX3981" s="48"/>
      <c r="CY3981" s="48"/>
      <c r="CZ3981" s="48"/>
    </row>
    <row r="3982" spans="27:104" s="4" customFormat="1" x14ac:dyDescent="0.3">
      <c r="AA3982" s="48"/>
      <c r="AB3982" s="48"/>
      <c r="AC3982" s="48"/>
      <c r="AD3982" s="48"/>
      <c r="AE3982" s="48"/>
      <c r="AF3982" s="48"/>
      <c r="AG3982" s="48"/>
      <c r="AH3982" s="48"/>
      <c r="AI3982" s="48"/>
      <c r="AJ3982" s="48"/>
      <c r="AK3982" s="48"/>
      <c r="AL3982" s="48"/>
      <c r="AM3982" s="48"/>
      <c r="AN3982" s="48"/>
      <c r="AO3982" s="48"/>
      <c r="AP3982" s="48"/>
      <c r="AQ3982" s="48"/>
      <c r="AR3982" s="48"/>
      <c r="AS3982" s="48"/>
      <c r="AT3982" s="48"/>
      <c r="AU3982" s="48"/>
      <c r="AV3982" s="48"/>
      <c r="AW3982" s="48"/>
      <c r="AX3982" s="48"/>
      <c r="AY3982" s="48"/>
      <c r="AZ3982" s="48"/>
      <c r="BA3982" s="48"/>
      <c r="BB3982" s="14"/>
      <c r="BC3982" s="48"/>
      <c r="BD3982" s="48"/>
      <c r="BE3982" s="48"/>
      <c r="BF3982" s="48"/>
      <c r="BG3982" s="48"/>
      <c r="BH3982" s="48"/>
      <c r="BI3982" s="48"/>
      <c r="BJ3982" s="48"/>
      <c r="BK3982" s="48"/>
      <c r="BL3982" s="48"/>
      <c r="BM3982" s="48"/>
      <c r="BN3982" s="48"/>
      <c r="BO3982" s="48"/>
      <c r="BP3982" s="48"/>
      <c r="BQ3982" s="48"/>
      <c r="BR3982" s="48"/>
      <c r="BS3982" s="48"/>
      <c r="BT3982" s="48"/>
      <c r="BU3982" s="48"/>
      <c r="BV3982" s="48"/>
      <c r="BW3982" s="48"/>
      <c r="BX3982" s="48"/>
      <c r="BY3982" s="48"/>
      <c r="BZ3982" s="48"/>
      <c r="CA3982" s="48"/>
      <c r="CB3982" s="48"/>
      <c r="CC3982" s="48"/>
      <c r="CD3982" s="48"/>
      <c r="CE3982" s="48"/>
      <c r="CF3982" s="48"/>
      <c r="CG3982" s="48"/>
      <c r="CH3982" s="48"/>
      <c r="CI3982" s="48"/>
      <c r="CJ3982" s="48"/>
      <c r="CK3982" s="48"/>
      <c r="CL3982" s="48"/>
      <c r="CM3982" s="48"/>
      <c r="CN3982" s="48"/>
      <c r="CO3982" s="48"/>
      <c r="CP3982" s="48"/>
      <c r="CQ3982" s="48"/>
      <c r="CR3982" s="48"/>
      <c r="CS3982" s="48"/>
      <c r="CT3982" s="48"/>
      <c r="CU3982" s="48"/>
      <c r="CV3982" s="48"/>
      <c r="CW3982" s="48"/>
      <c r="CX3982" s="48"/>
      <c r="CY3982" s="48"/>
      <c r="CZ3982" s="48"/>
    </row>
    <row r="3983" spans="27:104" s="4" customFormat="1" x14ac:dyDescent="0.3">
      <c r="AA3983" s="48"/>
      <c r="AB3983" s="48"/>
      <c r="AC3983" s="48"/>
      <c r="AD3983" s="48"/>
      <c r="AE3983" s="48"/>
      <c r="AF3983" s="48"/>
      <c r="AG3983" s="48"/>
      <c r="AH3983" s="48"/>
      <c r="AI3983" s="48"/>
      <c r="AJ3983" s="48"/>
      <c r="AK3983" s="48"/>
      <c r="AL3983" s="48"/>
      <c r="AM3983" s="48"/>
      <c r="AN3983" s="48"/>
      <c r="AO3983" s="48"/>
      <c r="AP3983" s="48"/>
      <c r="AQ3983" s="48"/>
      <c r="AR3983" s="48"/>
      <c r="AS3983" s="48"/>
      <c r="AT3983" s="48"/>
      <c r="AU3983" s="48"/>
      <c r="AV3983" s="48"/>
      <c r="AW3983" s="48"/>
      <c r="AX3983" s="48"/>
      <c r="AY3983" s="48"/>
      <c r="AZ3983" s="48"/>
      <c r="BA3983" s="48"/>
      <c r="BB3983" s="14"/>
      <c r="BC3983" s="48"/>
      <c r="BD3983" s="48"/>
      <c r="BE3983" s="48"/>
      <c r="BF3983" s="48"/>
      <c r="BG3983" s="48"/>
      <c r="BH3983" s="48"/>
      <c r="BI3983" s="48"/>
      <c r="BJ3983" s="48"/>
      <c r="BK3983" s="48"/>
      <c r="BL3983" s="48"/>
      <c r="BM3983" s="48"/>
      <c r="BN3983" s="48"/>
      <c r="BO3983" s="48"/>
      <c r="BP3983" s="48"/>
      <c r="BQ3983" s="48"/>
      <c r="BR3983" s="48"/>
      <c r="BS3983" s="48"/>
      <c r="BT3983" s="48"/>
      <c r="BU3983" s="48"/>
      <c r="BV3983" s="48"/>
      <c r="BW3983" s="48"/>
      <c r="BX3983" s="48"/>
      <c r="BY3983" s="48"/>
      <c r="BZ3983" s="48"/>
      <c r="CA3983" s="48"/>
      <c r="CB3983" s="48"/>
      <c r="CC3983" s="48"/>
      <c r="CD3983" s="48"/>
      <c r="CE3983" s="48"/>
      <c r="CF3983" s="48"/>
      <c r="CG3983" s="48"/>
      <c r="CH3983" s="48"/>
      <c r="CI3983" s="48"/>
      <c r="CJ3983" s="48"/>
      <c r="CK3983" s="48"/>
      <c r="CL3983" s="48"/>
      <c r="CM3983" s="48"/>
      <c r="CN3983" s="48"/>
      <c r="CO3983" s="48"/>
      <c r="CP3983" s="48"/>
      <c r="CQ3983" s="48"/>
      <c r="CR3983" s="48"/>
      <c r="CS3983" s="48"/>
      <c r="CT3983" s="48"/>
      <c r="CU3983" s="48"/>
      <c r="CV3983" s="48"/>
      <c r="CW3983" s="48"/>
      <c r="CX3983" s="48"/>
      <c r="CY3983" s="48"/>
      <c r="CZ3983" s="48"/>
    </row>
    <row r="3984" spans="27:104" s="4" customFormat="1" x14ac:dyDescent="0.3">
      <c r="AA3984" s="48"/>
      <c r="AB3984" s="48"/>
      <c r="AC3984" s="48"/>
      <c r="AD3984" s="48"/>
      <c r="AE3984" s="48"/>
      <c r="AF3984" s="48"/>
      <c r="AG3984" s="48"/>
      <c r="AH3984" s="48"/>
      <c r="AI3984" s="48"/>
      <c r="AJ3984" s="48"/>
      <c r="AK3984" s="48"/>
      <c r="AL3984" s="48"/>
      <c r="AM3984" s="48"/>
      <c r="AN3984" s="48"/>
      <c r="AO3984" s="48"/>
      <c r="AP3984" s="48"/>
      <c r="AQ3984" s="48"/>
      <c r="AR3984" s="48"/>
      <c r="AS3984" s="48"/>
      <c r="AT3984" s="48"/>
      <c r="AU3984" s="48"/>
      <c r="AV3984" s="48"/>
      <c r="AW3984" s="48"/>
      <c r="AX3984" s="48"/>
      <c r="AY3984" s="48"/>
      <c r="AZ3984" s="48"/>
      <c r="BA3984" s="48"/>
      <c r="BB3984" s="14"/>
      <c r="BC3984" s="48"/>
      <c r="BD3984" s="48"/>
      <c r="BE3984" s="48"/>
      <c r="BF3984" s="48"/>
      <c r="BG3984" s="48"/>
      <c r="BH3984" s="48"/>
      <c r="BI3984" s="48"/>
      <c r="BJ3984" s="48"/>
      <c r="BK3984" s="48"/>
      <c r="BL3984" s="48"/>
      <c r="BM3984" s="48"/>
      <c r="BN3984" s="48"/>
      <c r="BO3984" s="48"/>
      <c r="BP3984" s="48"/>
      <c r="BQ3984" s="48"/>
      <c r="BR3984" s="48"/>
      <c r="BS3984" s="48"/>
      <c r="BT3984" s="48"/>
      <c r="BU3984" s="48"/>
      <c r="BV3984" s="48"/>
      <c r="BW3984" s="48"/>
      <c r="BX3984" s="48"/>
      <c r="BY3984" s="48"/>
      <c r="BZ3984" s="48"/>
      <c r="CA3984" s="48"/>
      <c r="CB3984" s="48"/>
      <c r="CC3984" s="48"/>
      <c r="CD3984" s="48"/>
      <c r="CE3984" s="48"/>
      <c r="CF3984" s="48"/>
      <c r="CG3984" s="48"/>
      <c r="CH3984" s="48"/>
      <c r="CI3984" s="48"/>
      <c r="CJ3984" s="48"/>
      <c r="CK3984" s="48"/>
      <c r="CL3984" s="48"/>
      <c r="CM3984" s="48"/>
      <c r="CN3984" s="48"/>
      <c r="CO3984" s="48"/>
      <c r="CP3984" s="48"/>
      <c r="CQ3984" s="48"/>
      <c r="CR3984" s="48"/>
      <c r="CS3984" s="48"/>
      <c r="CT3984" s="48"/>
      <c r="CU3984" s="48"/>
      <c r="CV3984" s="48"/>
      <c r="CW3984" s="48"/>
      <c r="CX3984" s="48"/>
      <c r="CY3984" s="48"/>
      <c r="CZ3984" s="48"/>
    </row>
    <row r="3985" spans="27:104" s="4" customFormat="1" x14ac:dyDescent="0.3">
      <c r="AA3985" s="48"/>
      <c r="AB3985" s="48"/>
      <c r="AC3985" s="48"/>
      <c r="AD3985" s="48"/>
      <c r="AE3985" s="48"/>
      <c r="AF3985" s="48"/>
      <c r="AG3985" s="48"/>
      <c r="AH3985" s="48"/>
      <c r="AI3985" s="48"/>
      <c r="AJ3985" s="48"/>
      <c r="AK3985" s="48"/>
      <c r="AL3985" s="48"/>
      <c r="AM3985" s="48"/>
      <c r="AN3985" s="48"/>
      <c r="AO3985" s="48"/>
      <c r="AP3985" s="48"/>
      <c r="AQ3985" s="48"/>
      <c r="AR3985" s="48"/>
      <c r="AS3985" s="48"/>
      <c r="AT3985" s="48"/>
      <c r="AU3985" s="48"/>
      <c r="AV3985" s="48"/>
      <c r="AW3985" s="48"/>
      <c r="AX3985" s="48"/>
      <c r="AY3985" s="48"/>
      <c r="AZ3985" s="48"/>
      <c r="BA3985" s="48"/>
      <c r="BB3985" s="14"/>
      <c r="BC3985" s="48"/>
      <c r="BD3985" s="48"/>
      <c r="BE3985" s="48"/>
      <c r="BF3985" s="48"/>
      <c r="BG3985" s="48"/>
      <c r="BH3985" s="48"/>
      <c r="BI3985" s="48"/>
      <c r="BJ3985" s="48"/>
      <c r="BK3985" s="48"/>
      <c r="BL3985" s="48"/>
      <c r="BM3985" s="48"/>
      <c r="BN3985" s="48"/>
      <c r="BO3985" s="48"/>
      <c r="BP3985" s="48"/>
      <c r="BQ3985" s="48"/>
      <c r="BR3985" s="48"/>
      <c r="BS3985" s="48"/>
      <c r="BT3985" s="48"/>
      <c r="BU3985" s="48"/>
      <c r="BV3985" s="48"/>
      <c r="BW3985" s="48"/>
      <c r="BX3985" s="48"/>
      <c r="BY3985" s="48"/>
      <c r="BZ3985" s="48"/>
      <c r="CA3985" s="48"/>
      <c r="CB3985" s="48"/>
      <c r="CC3985" s="48"/>
      <c r="CD3985" s="48"/>
      <c r="CE3985" s="48"/>
      <c r="CF3985" s="48"/>
      <c r="CG3985" s="48"/>
      <c r="CH3985" s="48"/>
      <c r="CI3985" s="48"/>
      <c r="CJ3985" s="48"/>
      <c r="CK3985" s="48"/>
      <c r="CL3985" s="48"/>
      <c r="CM3985" s="48"/>
      <c r="CN3985" s="48"/>
      <c r="CO3985" s="48"/>
      <c r="CP3985" s="48"/>
      <c r="CQ3985" s="48"/>
      <c r="CR3985" s="48"/>
      <c r="CS3985" s="48"/>
      <c r="CT3985" s="48"/>
      <c r="CU3985" s="48"/>
      <c r="CV3985" s="48"/>
      <c r="CW3985" s="48"/>
      <c r="CX3985" s="48"/>
      <c r="CY3985" s="48"/>
      <c r="CZ3985" s="48"/>
    </row>
    <row r="3986" spans="27:104" s="4" customFormat="1" x14ac:dyDescent="0.3">
      <c r="AA3986" s="48"/>
      <c r="AB3986" s="48"/>
      <c r="AC3986" s="48"/>
      <c r="AD3986" s="48"/>
      <c r="AE3986" s="48"/>
      <c r="AF3986" s="48"/>
      <c r="AG3986" s="48"/>
      <c r="AH3986" s="48"/>
      <c r="AI3986" s="48"/>
      <c r="AJ3986" s="48"/>
      <c r="AK3986" s="48"/>
      <c r="AL3986" s="48"/>
      <c r="AM3986" s="48"/>
      <c r="AN3986" s="48"/>
      <c r="AO3986" s="48"/>
      <c r="AP3986" s="48"/>
      <c r="AQ3986" s="48"/>
      <c r="AR3986" s="48"/>
      <c r="AS3986" s="48"/>
      <c r="AT3986" s="48"/>
      <c r="AU3986" s="48"/>
      <c r="AV3986" s="48"/>
      <c r="AW3986" s="48"/>
      <c r="AX3986" s="48"/>
      <c r="AY3986" s="48"/>
      <c r="AZ3986" s="48"/>
      <c r="BA3986" s="48"/>
      <c r="BB3986" s="14"/>
      <c r="BC3986" s="48"/>
      <c r="BD3986" s="48"/>
      <c r="BE3986" s="48"/>
      <c r="BF3986" s="48"/>
      <c r="BG3986" s="48"/>
      <c r="BH3986" s="48"/>
      <c r="BI3986" s="48"/>
      <c r="BJ3986" s="48"/>
      <c r="BK3986" s="48"/>
      <c r="BL3986" s="48"/>
      <c r="BM3986" s="48"/>
      <c r="BN3986" s="48"/>
      <c r="BO3986" s="48"/>
      <c r="BP3986" s="48"/>
      <c r="BQ3986" s="48"/>
      <c r="BR3986" s="48"/>
      <c r="BS3986" s="48"/>
      <c r="BT3986" s="48"/>
      <c r="BU3986" s="48"/>
      <c r="BV3986" s="48"/>
      <c r="BW3986" s="48"/>
      <c r="BX3986" s="48"/>
      <c r="BY3986" s="48"/>
      <c r="BZ3986" s="48"/>
      <c r="CA3986" s="48"/>
      <c r="CB3986" s="48"/>
      <c r="CC3986" s="48"/>
      <c r="CD3986" s="48"/>
      <c r="CE3986" s="48"/>
      <c r="CF3986" s="48"/>
      <c r="CG3986" s="48"/>
      <c r="CH3986" s="48"/>
      <c r="CI3986" s="48"/>
      <c r="CJ3986" s="48"/>
      <c r="CK3986" s="48"/>
      <c r="CL3986" s="48"/>
      <c r="CM3986" s="48"/>
      <c r="CN3986" s="48"/>
      <c r="CO3986" s="48"/>
      <c r="CP3986" s="48"/>
      <c r="CQ3986" s="48"/>
      <c r="CR3986" s="48"/>
      <c r="CS3986" s="48"/>
      <c r="CT3986" s="48"/>
      <c r="CU3986" s="48"/>
      <c r="CV3986" s="48"/>
      <c r="CW3986" s="48"/>
      <c r="CX3986" s="48"/>
      <c r="CY3986" s="48"/>
      <c r="CZ3986" s="48"/>
    </row>
    <row r="3987" spans="27:104" s="4" customFormat="1" x14ac:dyDescent="0.3">
      <c r="AA3987" s="48"/>
      <c r="AB3987" s="48"/>
      <c r="AC3987" s="48"/>
      <c r="AD3987" s="48"/>
      <c r="AE3987" s="48"/>
      <c r="AF3987" s="48"/>
      <c r="AG3987" s="48"/>
      <c r="AH3987" s="48"/>
      <c r="AI3987" s="48"/>
      <c r="AJ3987" s="48"/>
      <c r="AK3987" s="48"/>
      <c r="AL3987" s="48"/>
      <c r="AM3987" s="48"/>
      <c r="AN3987" s="48"/>
      <c r="AO3987" s="48"/>
      <c r="AP3987" s="48"/>
      <c r="AQ3987" s="48"/>
      <c r="AR3987" s="48"/>
      <c r="AS3987" s="48"/>
      <c r="AT3987" s="48"/>
      <c r="AU3987" s="48"/>
      <c r="AV3987" s="48"/>
      <c r="AW3987" s="48"/>
      <c r="AX3987" s="48"/>
      <c r="AY3987" s="48"/>
      <c r="AZ3987" s="48"/>
      <c r="BA3987" s="48"/>
      <c r="BB3987" s="14"/>
      <c r="BC3987" s="48"/>
      <c r="BD3987" s="48"/>
      <c r="BE3987" s="48"/>
      <c r="BF3987" s="48"/>
      <c r="BG3987" s="48"/>
      <c r="BH3987" s="48"/>
      <c r="BI3987" s="48"/>
      <c r="BJ3987" s="48"/>
      <c r="BK3987" s="48"/>
      <c r="BL3987" s="48"/>
      <c r="BM3987" s="48"/>
      <c r="BN3987" s="48"/>
      <c r="BO3987" s="48"/>
      <c r="BP3987" s="48"/>
      <c r="BQ3987" s="48"/>
      <c r="BR3987" s="48"/>
      <c r="BS3987" s="48"/>
      <c r="BT3987" s="48"/>
      <c r="BU3987" s="48"/>
      <c r="BV3987" s="48"/>
      <c r="BW3987" s="48"/>
      <c r="BX3987" s="48"/>
      <c r="BY3987" s="48"/>
      <c r="BZ3987" s="48"/>
      <c r="CA3987" s="48"/>
      <c r="CB3987" s="48"/>
      <c r="CC3987" s="48"/>
      <c r="CD3987" s="48"/>
      <c r="CE3987" s="48"/>
      <c r="CF3987" s="48"/>
      <c r="CG3987" s="48"/>
      <c r="CH3987" s="48"/>
      <c r="CI3987" s="48"/>
      <c r="CJ3987" s="48"/>
      <c r="CK3987" s="48"/>
      <c r="CL3987" s="48"/>
      <c r="CM3987" s="48"/>
      <c r="CN3987" s="48"/>
      <c r="CO3987" s="48"/>
      <c r="CP3987" s="48"/>
      <c r="CQ3987" s="48"/>
      <c r="CR3987" s="48"/>
      <c r="CS3987" s="48"/>
      <c r="CT3987" s="48"/>
      <c r="CU3987" s="48"/>
      <c r="CV3987" s="48"/>
      <c r="CW3987" s="48"/>
      <c r="CX3987" s="48"/>
      <c r="CY3987" s="48"/>
      <c r="CZ3987" s="48"/>
    </row>
    <row r="3988" spans="27:104" s="4" customFormat="1" x14ac:dyDescent="0.3">
      <c r="AA3988" s="48"/>
      <c r="AB3988" s="48"/>
      <c r="AC3988" s="48"/>
      <c r="AD3988" s="48"/>
      <c r="AE3988" s="48"/>
      <c r="AF3988" s="48"/>
      <c r="AG3988" s="48"/>
      <c r="AH3988" s="48"/>
      <c r="AI3988" s="48"/>
      <c r="AJ3988" s="48"/>
      <c r="AK3988" s="48"/>
      <c r="AL3988" s="48"/>
      <c r="AM3988" s="48"/>
      <c r="AN3988" s="48"/>
      <c r="AO3988" s="48"/>
      <c r="AP3988" s="48"/>
      <c r="AQ3988" s="48"/>
      <c r="AR3988" s="48"/>
      <c r="AS3988" s="48"/>
      <c r="AT3988" s="48"/>
      <c r="AU3988" s="48"/>
      <c r="AV3988" s="48"/>
      <c r="AW3988" s="48"/>
      <c r="AX3988" s="48"/>
      <c r="AY3988" s="48"/>
      <c r="AZ3988" s="48"/>
      <c r="BA3988" s="48"/>
      <c r="BB3988" s="14"/>
      <c r="BC3988" s="48"/>
      <c r="BD3988" s="48"/>
      <c r="BE3988" s="48"/>
      <c r="BF3988" s="48"/>
      <c r="BG3988" s="48"/>
      <c r="BH3988" s="48"/>
      <c r="BI3988" s="48"/>
      <c r="BJ3988" s="48"/>
      <c r="BK3988" s="48"/>
      <c r="BL3988" s="48"/>
      <c r="BM3988" s="48"/>
      <c r="BN3988" s="48"/>
      <c r="BO3988" s="48"/>
      <c r="BP3988" s="48"/>
      <c r="BQ3988" s="48"/>
      <c r="BR3988" s="48"/>
      <c r="BS3988" s="48"/>
      <c r="BT3988" s="48"/>
      <c r="BU3988" s="48"/>
      <c r="BV3988" s="48"/>
      <c r="BW3988" s="48"/>
      <c r="BX3988" s="48"/>
      <c r="BY3988" s="48"/>
      <c r="BZ3988" s="48"/>
      <c r="CA3988" s="48"/>
      <c r="CB3988" s="48"/>
      <c r="CC3988" s="48"/>
      <c r="CD3988" s="48"/>
      <c r="CE3988" s="48"/>
      <c r="CF3988" s="48"/>
      <c r="CG3988" s="48"/>
      <c r="CH3988" s="48"/>
      <c r="CI3988" s="48"/>
      <c r="CJ3988" s="48"/>
      <c r="CK3988" s="48"/>
      <c r="CL3988" s="48"/>
      <c r="CM3988" s="48"/>
      <c r="CN3988" s="48"/>
      <c r="CO3988" s="48"/>
      <c r="CP3988" s="48"/>
      <c r="CQ3988" s="48"/>
      <c r="CR3988" s="48"/>
      <c r="CS3988" s="48"/>
      <c r="CT3988" s="48"/>
      <c r="CU3988" s="48"/>
      <c r="CV3988" s="48"/>
      <c r="CW3988" s="48"/>
      <c r="CX3988" s="48"/>
      <c r="CY3988" s="48"/>
      <c r="CZ3988" s="48"/>
    </row>
    <row r="3989" spans="27:104" s="4" customFormat="1" x14ac:dyDescent="0.3">
      <c r="AA3989" s="48"/>
      <c r="AB3989" s="48"/>
      <c r="AC3989" s="48"/>
      <c r="AD3989" s="48"/>
      <c r="AE3989" s="48"/>
      <c r="AF3989" s="48"/>
      <c r="AG3989" s="48"/>
      <c r="AH3989" s="48"/>
      <c r="AI3989" s="48"/>
      <c r="AJ3989" s="48"/>
      <c r="AK3989" s="48"/>
      <c r="AL3989" s="48"/>
      <c r="AM3989" s="48"/>
      <c r="AN3989" s="48"/>
      <c r="AO3989" s="48"/>
      <c r="AP3989" s="48"/>
      <c r="AQ3989" s="48"/>
      <c r="AR3989" s="48"/>
      <c r="AS3989" s="48"/>
      <c r="AT3989" s="48"/>
      <c r="AU3989" s="48"/>
      <c r="AV3989" s="48"/>
      <c r="AW3989" s="48"/>
      <c r="AX3989" s="48"/>
      <c r="AY3989" s="48"/>
      <c r="AZ3989" s="48"/>
      <c r="BA3989" s="48"/>
      <c r="BB3989" s="14"/>
      <c r="BC3989" s="48"/>
      <c r="BD3989" s="48"/>
      <c r="BE3989" s="48"/>
      <c r="BF3989" s="48"/>
      <c r="BG3989" s="48"/>
      <c r="BH3989" s="48"/>
      <c r="BI3989" s="48"/>
      <c r="BJ3989" s="48"/>
      <c r="BK3989" s="48"/>
      <c r="BL3989" s="48"/>
      <c r="BM3989" s="48"/>
      <c r="BN3989" s="48"/>
      <c r="BO3989" s="48"/>
      <c r="BP3989" s="48"/>
      <c r="BQ3989" s="48"/>
      <c r="BR3989" s="48"/>
      <c r="BS3989" s="48"/>
      <c r="BT3989" s="48"/>
      <c r="BU3989" s="48"/>
      <c r="BV3989" s="48"/>
      <c r="BW3989" s="48"/>
      <c r="BX3989" s="48"/>
      <c r="BY3989" s="48"/>
      <c r="BZ3989" s="48"/>
      <c r="CA3989" s="48"/>
      <c r="CB3989" s="48"/>
      <c r="CC3989" s="48"/>
      <c r="CD3989" s="48"/>
      <c r="CE3989" s="48"/>
      <c r="CF3989" s="48"/>
      <c r="CG3989" s="48"/>
      <c r="CH3989" s="48"/>
      <c r="CI3989" s="48"/>
      <c r="CJ3989" s="48"/>
      <c r="CK3989" s="48"/>
      <c r="CL3989" s="48"/>
      <c r="CM3989" s="48"/>
      <c r="CN3989" s="48"/>
      <c r="CO3989" s="48"/>
      <c r="CP3989" s="48"/>
      <c r="CQ3989" s="48"/>
      <c r="CR3989" s="48"/>
      <c r="CS3989" s="48"/>
      <c r="CT3989" s="48"/>
      <c r="CU3989" s="48"/>
      <c r="CV3989" s="48"/>
      <c r="CW3989" s="48"/>
      <c r="CX3989" s="48"/>
      <c r="CY3989" s="48"/>
      <c r="CZ3989" s="48"/>
    </row>
    <row r="3990" spans="27:104" s="4" customFormat="1" x14ac:dyDescent="0.3">
      <c r="AA3990" s="48"/>
      <c r="AB3990" s="48"/>
      <c r="AC3990" s="48"/>
      <c r="AD3990" s="48"/>
      <c r="AE3990" s="48"/>
      <c r="AF3990" s="48"/>
      <c r="AG3990" s="48"/>
      <c r="AH3990" s="48"/>
      <c r="AI3990" s="48"/>
      <c r="AJ3990" s="48"/>
      <c r="AK3990" s="48"/>
      <c r="AL3990" s="48"/>
      <c r="AM3990" s="48"/>
      <c r="AN3990" s="48"/>
      <c r="AO3990" s="48"/>
      <c r="AP3990" s="48"/>
      <c r="AQ3990" s="48"/>
      <c r="AR3990" s="48"/>
      <c r="AS3990" s="48"/>
      <c r="AT3990" s="48"/>
      <c r="AU3990" s="48"/>
      <c r="AV3990" s="48"/>
      <c r="AW3990" s="48"/>
      <c r="AX3990" s="48"/>
      <c r="AY3990" s="48"/>
      <c r="AZ3990" s="48"/>
      <c r="BA3990" s="48"/>
      <c r="BB3990" s="14"/>
      <c r="BC3990" s="48"/>
      <c r="BD3990" s="48"/>
      <c r="BE3990" s="48"/>
      <c r="BF3990" s="48"/>
      <c r="BG3990" s="48"/>
      <c r="BH3990" s="48"/>
      <c r="BI3990" s="48"/>
      <c r="BJ3990" s="48"/>
      <c r="BK3990" s="48"/>
      <c r="BL3990" s="48"/>
      <c r="BM3990" s="48"/>
      <c r="BN3990" s="48"/>
      <c r="BO3990" s="48"/>
      <c r="BP3990" s="48"/>
      <c r="BQ3990" s="48"/>
      <c r="BR3990" s="48"/>
      <c r="BS3990" s="48"/>
      <c r="BT3990" s="48"/>
      <c r="BU3990" s="48"/>
      <c r="BV3990" s="48"/>
      <c r="BW3990" s="48"/>
      <c r="BX3990" s="48"/>
      <c r="BY3990" s="48"/>
      <c r="BZ3990" s="48"/>
      <c r="CA3990" s="48"/>
      <c r="CB3990" s="48"/>
      <c r="CC3990" s="48"/>
      <c r="CD3990" s="48"/>
      <c r="CE3990" s="48"/>
      <c r="CF3990" s="48"/>
      <c r="CG3990" s="48"/>
      <c r="CH3990" s="48"/>
      <c r="CI3990" s="48"/>
      <c r="CJ3990" s="48"/>
      <c r="CK3990" s="48"/>
      <c r="CL3990" s="48"/>
      <c r="CM3990" s="48"/>
      <c r="CN3990" s="48"/>
      <c r="CO3990" s="48"/>
      <c r="CP3990" s="48"/>
      <c r="CQ3990" s="48"/>
      <c r="CR3990" s="48"/>
      <c r="CS3990" s="48"/>
      <c r="CT3990" s="48"/>
      <c r="CU3990" s="48"/>
      <c r="CV3990" s="48"/>
      <c r="CW3990" s="48"/>
      <c r="CX3990" s="48"/>
      <c r="CY3990" s="48"/>
      <c r="CZ3990" s="48"/>
    </row>
    <row r="3991" spans="27:104" s="4" customFormat="1" x14ac:dyDescent="0.3">
      <c r="AA3991" s="48"/>
      <c r="AB3991" s="48"/>
      <c r="AC3991" s="48"/>
      <c r="AD3991" s="48"/>
      <c r="AE3991" s="48"/>
      <c r="AF3991" s="48"/>
      <c r="AG3991" s="48"/>
      <c r="AH3991" s="48"/>
      <c r="AI3991" s="48"/>
      <c r="AJ3991" s="48"/>
      <c r="AK3991" s="48"/>
      <c r="AL3991" s="48"/>
      <c r="AM3991" s="48"/>
      <c r="AN3991" s="48"/>
      <c r="AO3991" s="48"/>
      <c r="AP3991" s="48"/>
      <c r="AQ3991" s="48"/>
      <c r="AR3991" s="48"/>
      <c r="AS3991" s="48"/>
      <c r="AT3991" s="48"/>
      <c r="AU3991" s="48"/>
      <c r="AV3991" s="48"/>
      <c r="AW3991" s="48"/>
      <c r="AX3991" s="48"/>
      <c r="AY3991" s="48"/>
      <c r="AZ3991" s="48"/>
      <c r="BA3991" s="48"/>
      <c r="BB3991" s="14"/>
      <c r="BC3991" s="48"/>
      <c r="BD3991" s="48"/>
      <c r="BE3991" s="48"/>
      <c r="BF3991" s="48"/>
      <c r="BG3991" s="48"/>
      <c r="BH3991" s="48"/>
      <c r="BI3991" s="48"/>
      <c r="BJ3991" s="48"/>
      <c r="BK3991" s="48"/>
      <c r="BL3991" s="48"/>
      <c r="BM3991" s="48"/>
      <c r="BN3991" s="48"/>
      <c r="BO3991" s="48"/>
      <c r="BP3991" s="48"/>
      <c r="BQ3991" s="48"/>
      <c r="BR3991" s="48"/>
      <c r="BS3991" s="48"/>
      <c r="BT3991" s="48"/>
      <c r="BU3991" s="48"/>
      <c r="BV3991" s="48"/>
      <c r="BW3991" s="48"/>
      <c r="BX3991" s="48"/>
      <c r="BY3991" s="48"/>
      <c r="BZ3991" s="48"/>
      <c r="CA3991" s="48"/>
      <c r="CB3991" s="48"/>
      <c r="CC3991" s="48"/>
      <c r="CD3991" s="48"/>
      <c r="CE3991" s="48"/>
      <c r="CF3991" s="48"/>
      <c r="CG3991" s="48"/>
      <c r="CH3991" s="48"/>
      <c r="CI3991" s="48"/>
      <c r="CJ3991" s="48"/>
      <c r="CK3991" s="48"/>
      <c r="CL3991" s="48"/>
      <c r="CM3991" s="48"/>
      <c r="CN3991" s="48"/>
      <c r="CO3991" s="48"/>
      <c r="CP3991" s="48"/>
      <c r="CQ3991" s="48"/>
      <c r="CR3991" s="48"/>
      <c r="CS3991" s="48"/>
      <c r="CT3991" s="48"/>
      <c r="CU3991" s="48"/>
      <c r="CV3991" s="48"/>
      <c r="CW3991" s="48"/>
      <c r="CX3991" s="48"/>
      <c r="CY3991" s="48"/>
      <c r="CZ3991" s="48"/>
    </row>
    <row r="3992" spans="27:104" s="4" customFormat="1" x14ac:dyDescent="0.3">
      <c r="AA3992" s="48"/>
      <c r="AB3992" s="48"/>
      <c r="AC3992" s="48"/>
      <c r="AD3992" s="48"/>
      <c r="AE3992" s="48"/>
      <c r="AF3992" s="48"/>
      <c r="AG3992" s="48"/>
      <c r="AH3992" s="48"/>
      <c r="AI3992" s="48"/>
      <c r="AJ3992" s="48"/>
      <c r="AK3992" s="48"/>
      <c r="AL3992" s="48"/>
      <c r="AM3992" s="48"/>
      <c r="AN3992" s="48"/>
      <c r="AO3992" s="48"/>
      <c r="AP3992" s="48"/>
      <c r="AQ3992" s="48"/>
      <c r="AR3992" s="48"/>
      <c r="AS3992" s="48"/>
      <c r="AT3992" s="48"/>
      <c r="AU3992" s="48"/>
      <c r="AV3992" s="48"/>
      <c r="AW3992" s="48"/>
      <c r="AX3992" s="48"/>
      <c r="AY3992" s="48"/>
      <c r="AZ3992" s="48"/>
      <c r="BA3992" s="48"/>
      <c r="BB3992" s="14"/>
      <c r="BC3992" s="48"/>
      <c r="BD3992" s="48"/>
      <c r="BE3992" s="48"/>
      <c r="BF3992" s="48"/>
      <c r="BG3992" s="48"/>
      <c r="BH3992" s="48"/>
      <c r="BI3992" s="48"/>
      <c r="BJ3992" s="48"/>
      <c r="BK3992" s="48"/>
      <c r="BL3992" s="48"/>
      <c r="BM3992" s="48"/>
      <c r="BN3992" s="48"/>
      <c r="BO3992" s="48"/>
      <c r="BP3992" s="48"/>
      <c r="BQ3992" s="48"/>
      <c r="BR3992" s="48"/>
      <c r="BS3992" s="48"/>
      <c r="BT3992" s="48"/>
      <c r="BU3992" s="48"/>
      <c r="BV3992" s="48"/>
      <c r="BW3992" s="48"/>
      <c r="BX3992" s="48"/>
      <c r="BY3992" s="48"/>
      <c r="BZ3992" s="48"/>
      <c r="CA3992" s="48"/>
      <c r="CB3992" s="48"/>
      <c r="CC3992" s="48"/>
      <c r="CD3992" s="48"/>
      <c r="CE3992" s="48"/>
      <c r="CF3992" s="48"/>
      <c r="CG3992" s="48"/>
      <c r="CH3992" s="48"/>
      <c r="CI3992" s="48"/>
      <c r="CJ3992" s="48"/>
      <c r="CK3992" s="48"/>
      <c r="CL3992" s="48"/>
      <c r="CM3992" s="48"/>
      <c r="CN3992" s="48"/>
      <c r="CO3992" s="48"/>
      <c r="CP3992" s="48"/>
      <c r="CQ3992" s="48"/>
      <c r="CR3992" s="48"/>
      <c r="CS3992" s="48"/>
      <c r="CT3992" s="48"/>
      <c r="CU3992" s="48"/>
      <c r="CV3992" s="48"/>
      <c r="CW3992" s="48"/>
      <c r="CX3992" s="48"/>
      <c r="CY3992" s="48"/>
      <c r="CZ3992" s="48"/>
    </row>
    <row r="3993" spans="27:104" s="4" customFormat="1" x14ac:dyDescent="0.3">
      <c r="AA3993" s="48"/>
      <c r="AB3993" s="48"/>
      <c r="AC3993" s="48"/>
      <c r="AD3993" s="48"/>
      <c r="AE3993" s="48"/>
      <c r="AF3993" s="48"/>
      <c r="AG3993" s="48"/>
      <c r="AH3993" s="48"/>
      <c r="AI3993" s="48"/>
      <c r="AJ3993" s="48"/>
      <c r="AK3993" s="48"/>
      <c r="AL3993" s="48"/>
      <c r="AM3993" s="48"/>
      <c r="AN3993" s="48"/>
      <c r="AO3993" s="48"/>
      <c r="AP3993" s="48"/>
      <c r="AQ3993" s="48"/>
      <c r="AR3993" s="48"/>
      <c r="AS3993" s="48"/>
      <c r="AT3993" s="48"/>
      <c r="AU3993" s="48"/>
      <c r="AV3993" s="48"/>
      <c r="AW3993" s="48"/>
      <c r="AX3993" s="48"/>
      <c r="AY3993" s="48"/>
      <c r="AZ3993" s="48"/>
      <c r="BA3993" s="48"/>
      <c r="BB3993" s="14"/>
      <c r="BC3993" s="48"/>
      <c r="BD3993" s="48"/>
      <c r="BE3993" s="48"/>
      <c r="BF3993" s="48"/>
      <c r="BG3993" s="48"/>
      <c r="BH3993" s="48"/>
      <c r="BI3993" s="48"/>
      <c r="BJ3993" s="48"/>
      <c r="BK3993" s="48"/>
      <c r="BL3993" s="48"/>
      <c r="BM3993" s="48"/>
      <c r="BN3993" s="48"/>
      <c r="BO3993" s="48"/>
      <c r="BP3993" s="48"/>
      <c r="BQ3993" s="48"/>
      <c r="BR3993" s="48"/>
      <c r="BS3993" s="48"/>
      <c r="BT3993" s="48"/>
      <c r="BU3993" s="48"/>
      <c r="BV3993" s="48"/>
      <c r="BW3993" s="48"/>
      <c r="BX3993" s="48"/>
      <c r="BY3993" s="48"/>
      <c r="BZ3993" s="48"/>
      <c r="CA3993" s="48"/>
      <c r="CB3993" s="48"/>
      <c r="CC3993" s="48"/>
      <c r="CD3993" s="48"/>
      <c r="CE3993" s="48"/>
      <c r="CF3993" s="48"/>
      <c r="CG3993" s="48"/>
      <c r="CH3993" s="48"/>
      <c r="CI3993" s="48"/>
      <c r="CJ3993" s="48"/>
      <c r="CK3993" s="48"/>
      <c r="CL3993" s="48"/>
      <c r="CM3993" s="48"/>
      <c r="CN3993" s="48"/>
      <c r="CO3993" s="48"/>
      <c r="CP3993" s="48"/>
      <c r="CQ3993" s="48"/>
      <c r="CR3993" s="48"/>
      <c r="CS3993" s="48"/>
      <c r="CT3993" s="48"/>
      <c r="CU3993" s="48"/>
      <c r="CV3993" s="48"/>
      <c r="CW3993" s="48"/>
      <c r="CX3993" s="48"/>
      <c r="CY3993" s="48"/>
      <c r="CZ3993" s="48"/>
    </row>
    <row r="3994" spans="27:104" s="4" customFormat="1" x14ac:dyDescent="0.3">
      <c r="AA3994" s="48"/>
      <c r="AB3994" s="48"/>
      <c r="AC3994" s="48"/>
      <c r="AD3994" s="48"/>
      <c r="AE3994" s="48"/>
      <c r="AF3994" s="48"/>
      <c r="AG3994" s="48"/>
      <c r="AH3994" s="48"/>
      <c r="AI3994" s="48"/>
      <c r="AJ3994" s="48"/>
      <c r="AK3994" s="48"/>
      <c r="AL3994" s="48"/>
      <c r="AM3994" s="48"/>
      <c r="AN3994" s="48"/>
      <c r="AO3994" s="48"/>
      <c r="AP3994" s="48"/>
      <c r="AQ3994" s="48"/>
      <c r="AR3994" s="48"/>
      <c r="AS3994" s="48"/>
      <c r="AT3994" s="48"/>
      <c r="AU3994" s="48"/>
      <c r="AV3994" s="48"/>
      <c r="AW3994" s="48"/>
      <c r="AX3994" s="48"/>
      <c r="AY3994" s="48"/>
      <c r="AZ3994" s="48"/>
      <c r="BA3994" s="48"/>
      <c r="BB3994" s="14"/>
      <c r="BC3994" s="48"/>
      <c r="BD3994" s="48"/>
      <c r="BE3994" s="48"/>
      <c r="BF3994" s="48"/>
      <c r="BG3994" s="48"/>
      <c r="BH3994" s="48"/>
      <c r="BI3994" s="48"/>
      <c r="BJ3994" s="48"/>
      <c r="BK3994" s="48"/>
      <c r="BL3994" s="48"/>
      <c r="BM3994" s="48"/>
      <c r="BN3994" s="48"/>
      <c r="BO3994" s="48"/>
      <c r="BP3994" s="48"/>
      <c r="BQ3994" s="48"/>
      <c r="BR3994" s="48"/>
      <c r="BS3994" s="48"/>
      <c r="BT3994" s="48"/>
      <c r="BU3994" s="48"/>
      <c r="BV3994" s="48"/>
      <c r="BW3994" s="48"/>
      <c r="BX3994" s="48"/>
      <c r="BY3994" s="48"/>
      <c r="BZ3994" s="48"/>
      <c r="CA3994" s="48"/>
      <c r="CB3994" s="48"/>
      <c r="CC3994" s="48"/>
      <c r="CD3994" s="48"/>
      <c r="CE3994" s="48"/>
      <c r="CF3994" s="48"/>
      <c r="CG3994" s="48"/>
      <c r="CH3994" s="48"/>
      <c r="CI3994" s="48"/>
      <c r="CJ3994" s="48"/>
      <c r="CK3994" s="48"/>
      <c r="CL3994" s="48"/>
      <c r="CM3994" s="48"/>
      <c r="CN3994" s="48"/>
      <c r="CO3994" s="48"/>
      <c r="CP3994" s="48"/>
      <c r="CQ3994" s="48"/>
      <c r="CR3994" s="48"/>
      <c r="CS3994" s="48"/>
      <c r="CT3994" s="48"/>
      <c r="CU3994" s="48"/>
      <c r="CV3994" s="48"/>
      <c r="CW3994" s="48"/>
      <c r="CX3994" s="48"/>
      <c r="CY3994" s="48"/>
      <c r="CZ3994" s="48"/>
    </row>
    <row r="3995" spans="27:104" s="4" customFormat="1" x14ac:dyDescent="0.3">
      <c r="AA3995" s="48"/>
      <c r="AB3995" s="48"/>
      <c r="AC3995" s="48"/>
      <c r="AD3995" s="48"/>
      <c r="AE3995" s="48"/>
      <c r="AF3995" s="48"/>
      <c r="AG3995" s="48"/>
      <c r="AH3995" s="48"/>
      <c r="AI3995" s="48"/>
      <c r="AJ3995" s="48"/>
      <c r="AK3995" s="48"/>
      <c r="AL3995" s="48"/>
      <c r="AM3995" s="48"/>
      <c r="AN3995" s="48"/>
      <c r="AO3995" s="48"/>
      <c r="AP3995" s="48"/>
      <c r="AQ3995" s="48"/>
      <c r="AR3995" s="48"/>
      <c r="AS3995" s="48"/>
      <c r="AT3995" s="48"/>
      <c r="AU3995" s="48"/>
      <c r="AV3995" s="48"/>
      <c r="AW3995" s="48"/>
      <c r="AX3995" s="48"/>
      <c r="AY3995" s="48"/>
      <c r="AZ3995" s="48"/>
      <c r="BA3995" s="48"/>
      <c r="BB3995" s="14"/>
      <c r="BC3995" s="48"/>
      <c r="BD3995" s="48"/>
      <c r="BE3995" s="48"/>
      <c r="BF3995" s="48"/>
      <c r="BG3995" s="48"/>
      <c r="BH3995" s="48"/>
      <c r="BI3995" s="48"/>
      <c r="BJ3995" s="48"/>
      <c r="BK3995" s="48"/>
      <c r="BL3995" s="48"/>
      <c r="BM3995" s="48"/>
      <c r="BN3995" s="48"/>
      <c r="BO3995" s="48"/>
      <c r="BP3995" s="48"/>
      <c r="BQ3995" s="48"/>
      <c r="BR3995" s="48"/>
      <c r="BS3995" s="48"/>
      <c r="BT3995" s="48"/>
      <c r="BU3995" s="48"/>
      <c r="BV3995" s="48"/>
      <c r="BW3995" s="48"/>
      <c r="BX3995" s="48"/>
      <c r="BY3995" s="48"/>
      <c r="BZ3995" s="48"/>
      <c r="CA3995" s="48"/>
      <c r="CB3995" s="48"/>
      <c r="CC3995" s="48"/>
      <c r="CD3995" s="48"/>
      <c r="CE3995" s="48"/>
      <c r="CF3995" s="48"/>
      <c r="CG3995" s="48"/>
      <c r="CH3995" s="48"/>
      <c r="CI3995" s="48"/>
      <c r="CJ3995" s="48"/>
      <c r="CK3995" s="48"/>
      <c r="CL3995" s="48"/>
      <c r="CM3995" s="48"/>
      <c r="CN3995" s="48"/>
      <c r="CO3995" s="48"/>
      <c r="CP3995" s="48"/>
      <c r="CQ3995" s="48"/>
      <c r="CR3995" s="48"/>
      <c r="CS3995" s="48"/>
      <c r="CT3995" s="48"/>
      <c r="CU3995" s="48"/>
      <c r="CV3995" s="48"/>
      <c r="CW3995" s="48"/>
      <c r="CX3995" s="48"/>
      <c r="CY3995" s="48"/>
      <c r="CZ3995" s="48"/>
    </row>
    <row r="3996" spans="27:104" s="4" customFormat="1" x14ac:dyDescent="0.3">
      <c r="AA3996" s="48"/>
      <c r="AB3996" s="48"/>
      <c r="AC3996" s="48"/>
      <c r="AD3996" s="48"/>
      <c r="AE3996" s="48"/>
      <c r="AF3996" s="48"/>
      <c r="AG3996" s="48"/>
      <c r="AH3996" s="48"/>
      <c r="AI3996" s="48"/>
      <c r="AJ3996" s="48"/>
      <c r="AK3996" s="48"/>
      <c r="AL3996" s="48"/>
      <c r="AM3996" s="48"/>
      <c r="AN3996" s="48"/>
      <c r="AO3996" s="48"/>
      <c r="AP3996" s="48"/>
      <c r="AQ3996" s="48"/>
      <c r="AR3996" s="48"/>
      <c r="AS3996" s="48"/>
      <c r="AT3996" s="48"/>
      <c r="AU3996" s="48"/>
      <c r="AV3996" s="48"/>
      <c r="AW3996" s="48"/>
      <c r="AX3996" s="48"/>
      <c r="AY3996" s="48"/>
      <c r="AZ3996" s="48"/>
      <c r="BA3996" s="48"/>
      <c r="BB3996" s="14"/>
      <c r="BC3996" s="48"/>
      <c r="BD3996" s="48"/>
      <c r="BE3996" s="48"/>
      <c r="BF3996" s="48"/>
      <c r="BG3996" s="48"/>
      <c r="BH3996" s="48"/>
      <c r="BI3996" s="48"/>
      <c r="BJ3996" s="48"/>
      <c r="BK3996" s="48"/>
      <c r="BL3996" s="48"/>
      <c r="BM3996" s="48"/>
      <c r="BN3996" s="48"/>
      <c r="BO3996" s="48"/>
      <c r="BP3996" s="48"/>
      <c r="BQ3996" s="48"/>
      <c r="BR3996" s="48"/>
      <c r="BS3996" s="48"/>
      <c r="BT3996" s="48"/>
      <c r="BU3996" s="48"/>
      <c r="BV3996" s="48"/>
      <c r="BW3996" s="48"/>
      <c r="BX3996" s="48"/>
      <c r="BY3996" s="48"/>
      <c r="BZ3996" s="48"/>
      <c r="CA3996" s="48"/>
      <c r="CB3996" s="48"/>
      <c r="CC3996" s="48"/>
      <c r="CD3996" s="48"/>
      <c r="CE3996" s="48"/>
      <c r="CF3996" s="48"/>
      <c r="CG3996" s="48"/>
      <c r="CH3996" s="48"/>
      <c r="CI3996" s="48"/>
      <c r="CJ3996" s="48"/>
      <c r="CK3996" s="48"/>
      <c r="CL3996" s="48"/>
      <c r="CM3996" s="48"/>
      <c r="CN3996" s="48"/>
      <c r="CO3996" s="48"/>
      <c r="CP3996" s="48"/>
      <c r="CQ3996" s="48"/>
      <c r="CR3996" s="48"/>
      <c r="CS3996" s="48"/>
      <c r="CT3996" s="48"/>
      <c r="CU3996" s="48"/>
      <c r="CV3996" s="48"/>
      <c r="CW3996" s="48"/>
      <c r="CX3996" s="48"/>
      <c r="CY3996" s="48"/>
      <c r="CZ3996" s="48"/>
    </row>
    <row r="3997" spans="27:104" s="4" customFormat="1" x14ac:dyDescent="0.3">
      <c r="AA3997" s="48"/>
      <c r="AB3997" s="48"/>
      <c r="AC3997" s="48"/>
      <c r="AD3997" s="48"/>
      <c r="AE3997" s="48"/>
      <c r="AF3997" s="48"/>
      <c r="AG3997" s="48"/>
      <c r="AH3997" s="48"/>
      <c r="AI3997" s="48"/>
      <c r="AJ3997" s="48"/>
      <c r="AK3997" s="48"/>
      <c r="AL3997" s="48"/>
      <c r="AM3997" s="48"/>
      <c r="AN3997" s="48"/>
      <c r="AO3997" s="48"/>
      <c r="AP3997" s="48"/>
      <c r="AQ3997" s="48"/>
      <c r="AR3997" s="48"/>
      <c r="AS3997" s="48"/>
      <c r="AT3997" s="48"/>
      <c r="AU3997" s="48"/>
      <c r="AV3997" s="48"/>
      <c r="AW3997" s="48"/>
      <c r="AX3997" s="48"/>
      <c r="AY3997" s="48"/>
      <c r="AZ3997" s="48"/>
      <c r="BA3997" s="48"/>
      <c r="BB3997" s="14"/>
      <c r="BC3997" s="48"/>
      <c r="BD3997" s="48"/>
      <c r="BE3997" s="48"/>
      <c r="BF3997" s="48"/>
      <c r="BG3997" s="48"/>
      <c r="BH3997" s="48"/>
      <c r="BI3997" s="48"/>
      <c r="BJ3997" s="48"/>
      <c r="BK3997" s="48"/>
      <c r="BL3997" s="48"/>
      <c r="BM3997" s="48"/>
      <c r="BN3997" s="48"/>
      <c r="BO3997" s="48"/>
      <c r="BP3997" s="48"/>
      <c r="BQ3997" s="48"/>
      <c r="BR3997" s="48"/>
      <c r="BS3997" s="48"/>
      <c r="BT3997" s="48"/>
      <c r="BU3997" s="48"/>
      <c r="BV3997" s="48"/>
      <c r="BW3997" s="48"/>
      <c r="BX3997" s="48"/>
      <c r="BY3997" s="48"/>
      <c r="BZ3997" s="48"/>
      <c r="CA3997" s="48"/>
      <c r="CB3997" s="48"/>
      <c r="CC3997" s="48"/>
      <c r="CD3997" s="48"/>
      <c r="CE3997" s="48"/>
      <c r="CF3997" s="48"/>
      <c r="CG3997" s="48"/>
      <c r="CH3997" s="48"/>
      <c r="CI3997" s="48"/>
      <c r="CJ3997" s="48"/>
      <c r="CK3997" s="48"/>
      <c r="CL3997" s="48"/>
      <c r="CM3997" s="48"/>
      <c r="CN3997" s="48"/>
      <c r="CO3997" s="48"/>
      <c r="CP3997" s="48"/>
      <c r="CQ3997" s="48"/>
      <c r="CR3997" s="48"/>
      <c r="CS3997" s="48"/>
      <c r="CT3997" s="48"/>
      <c r="CU3997" s="48"/>
      <c r="CV3997" s="48"/>
      <c r="CW3997" s="48"/>
      <c r="CX3997" s="48"/>
      <c r="CY3997" s="48"/>
      <c r="CZ3997" s="48"/>
    </row>
    <row r="3998" spans="27:104" s="4" customFormat="1" x14ac:dyDescent="0.3">
      <c r="AA3998" s="48"/>
      <c r="AB3998" s="48"/>
      <c r="AC3998" s="48"/>
      <c r="AD3998" s="48"/>
      <c r="AE3998" s="48"/>
      <c r="AF3998" s="48"/>
      <c r="AG3998" s="48"/>
      <c r="AH3998" s="48"/>
      <c r="AI3998" s="48"/>
      <c r="AJ3998" s="48"/>
      <c r="AK3998" s="48"/>
      <c r="AL3998" s="48"/>
      <c r="AM3998" s="48"/>
      <c r="AN3998" s="48"/>
      <c r="AO3998" s="48"/>
      <c r="AP3998" s="48"/>
      <c r="AQ3998" s="48"/>
      <c r="AR3998" s="48"/>
      <c r="AS3998" s="48"/>
      <c r="AT3998" s="48"/>
      <c r="AU3998" s="48"/>
      <c r="AV3998" s="48"/>
      <c r="AW3998" s="48"/>
      <c r="AX3998" s="48"/>
      <c r="AY3998" s="48"/>
      <c r="AZ3998" s="48"/>
      <c r="BA3998" s="48"/>
      <c r="BB3998" s="14"/>
      <c r="BC3998" s="48"/>
      <c r="BD3998" s="48"/>
      <c r="BE3998" s="48"/>
      <c r="BF3998" s="48"/>
      <c r="BG3998" s="48"/>
      <c r="BH3998" s="48"/>
      <c r="BI3998" s="48"/>
      <c r="BJ3998" s="48"/>
      <c r="BK3998" s="48"/>
      <c r="BL3998" s="48"/>
      <c r="BM3998" s="48"/>
      <c r="BN3998" s="48"/>
      <c r="BO3998" s="48"/>
      <c r="BP3998" s="48"/>
      <c r="BQ3998" s="48"/>
      <c r="BR3998" s="48"/>
      <c r="BS3998" s="48"/>
      <c r="BT3998" s="48"/>
      <c r="BU3998" s="48"/>
      <c r="BV3998" s="48"/>
      <c r="BW3998" s="48"/>
      <c r="BX3998" s="48"/>
      <c r="BY3998" s="48"/>
      <c r="BZ3998" s="48"/>
      <c r="CA3998" s="48"/>
      <c r="CB3998" s="48"/>
      <c r="CC3998" s="48"/>
      <c r="CD3998" s="48"/>
      <c r="CE3998" s="48"/>
      <c r="CF3998" s="48"/>
      <c r="CG3998" s="48"/>
      <c r="CH3998" s="48"/>
      <c r="CI3998" s="48"/>
      <c r="CJ3998" s="48"/>
      <c r="CK3998" s="48"/>
      <c r="CL3998" s="48"/>
      <c r="CM3998" s="48"/>
      <c r="CN3998" s="48"/>
      <c r="CO3998" s="48"/>
      <c r="CP3998" s="48"/>
      <c r="CQ3998" s="48"/>
      <c r="CR3998" s="48"/>
      <c r="CS3998" s="48"/>
      <c r="CT3998" s="48"/>
      <c r="CU3998" s="48"/>
      <c r="CV3998" s="48"/>
      <c r="CW3998" s="48"/>
      <c r="CX3998" s="48"/>
      <c r="CY3998" s="48"/>
      <c r="CZ3998" s="48"/>
    </row>
    <row r="3999" spans="27:104" s="4" customFormat="1" x14ac:dyDescent="0.3">
      <c r="AA3999" s="48"/>
      <c r="AB3999" s="48"/>
      <c r="AC3999" s="48"/>
      <c r="AD3999" s="48"/>
      <c r="AE3999" s="48"/>
      <c r="AF3999" s="48"/>
      <c r="AG3999" s="48"/>
      <c r="AH3999" s="48"/>
      <c r="AI3999" s="48"/>
      <c r="AJ3999" s="48"/>
      <c r="AK3999" s="48"/>
      <c r="AL3999" s="48"/>
      <c r="AM3999" s="48"/>
      <c r="AN3999" s="48"/>
      <c r="AO3999" s="48"/>
      <c r="AP3999" s="48"/>
      <c r="AQ3999" s="48"/>
      <c r="AR3999" s="48"/>
      <c r="AS3999" s="48"/>
      <c r="AT3999" s="48"/>
      <c r="AU3999" s="48"/>
      <c r="AV3999" s="48"/>
      <c r="AW3999" s="48"/>
      <c r="AX3999" s="48"/>
      <c r="AY3999" s="48"/>
      <c r="AZ3999" s="48"/>
      <c r="BA3999" s="48"/>
      <c r="BB3999" s="14"/>
      <c r="BC3999" s="48"/>
      <c r="BD3999" s="48"/>
      <c r="BE3999" s="48"/>
      <c r="BF3999" s="48"/>
      <c r="BG3999" s="48"/>
      <c r="BH3999" s="48"/>
      <c r="BI3999" s="48"/>
      <c r="BJ3999" s="48"/>
      <c r="BK3999" s="48"/>
      <c r="BL3999" s="48"/>
      <c r="BM3999" s="48"/>
      <c r="BN3999" s="48"/>
      <c r="BO3999" s="48"/>
      <c r="BP3999" s="48"/>
      <c r="BQ3999" s="48"/>
      <c r="BR3999" s="48"/>
      <c r="BS3999" s="48"/>
      <c r="BT3999" s="48"/>
      <c r="BU3999" s="48"/>
      <c r="BV3999" s="48"/>
      <c r="BW3999" s="48"/>
      <c r="BX3999" s="48"/>
      <c r="BY3999" s="48"/>
      <c r="BZ3999" s="48"/>
      <c r="CA3999" s="48"/>
      <c r="CB3999" s="48"/>
      <c r="CC3999" s="48"/>
      <c r="CD3999" s="48"/>
      <c r="CE3999" s="48"/>
      <c r="CF3999" s="48"/>
      <c r="CG3999" s="48"/>
      <c r="CH3999" s="48"/>
      <c r="CI3999" s="48"/>
      <c r="CJ3999" s="48"/>
      <c r="CK3999" s="48"/>
      <c r="CL3999" s="48"/>
      <c r="CM3999" s="48"/>
      <c r="CN3999" s="48"/>
      <c r="CO3999" s="48"/>
      <c r="CP3999" s="48"/>
      <c r="CQ3999" s="48"/>
      <c r="CR3999" s="48"/>
      <c r="CS3999" s="48"/>
      <c r="CT3999" s="48"/>
      <c r="CU3999" s="48"/>
      <c r="CV3999" s="48"/>
      <c r="CW3999" s="48"/>
      <c r="CX3999" s="48"/>
      <c r="CY3999" s="48"/>
      <c r="CZ3999" s="48"/>
    </row>
    <row r="4000" spans="27:104" s="4" customFormat="1" x14ac:dyDescent="0.3">
      <c r="AA4000" s="48"/>
      <c r="AB4000" s="48"/>
      <c r="AC4000" s="48"/>
      <c r="AD4000" s="48"/>
      <c r="AE4000" s="48"/>
      <c r="AF4000" s="48"/>
      <c r="AG4000" s="48"/>
      <c r="AH4000" s="48"/>
      <c r="AI4000" s="48"/>
      <c r="AJ4000" s="48"/>
      <c r="AK4000" s="48"/>
      <c r="AL4000" s="48"/>
      <c r="AM4000" s="48"/>
      <c r="AN4000" s="48"/>
      <c r="AO4000" s="48"/>
      <c r="AP4000" s="48"/>
      <c r="AQ4000" s="48"/>
      <c r="AR4000" s="48"/>
      <c r="AS4000" s="48"/>
      <c r="AT4000" s="48"/>
      <c r="AU4000" s="48"/>
      <c r="AV4000" s="48"/>
      <c r="AW4000" s="48"/>
      <c r="AX4000" s="48"/>
      <c r="AY4000" s="48"/>
      <c r="AZ4000" s="48"/>
      <c r="BA4000" s="48"/>
      <c r="BB4000" s="14"/>
      <c r="BC4000" s="48"/>
      <c r="BD4000" s="48"/>
      <c r="BE4000" s="48"/>
      <c r="BF4000" s="48"/>
      <c r="BG4000" s="48"/>
      <c r="BH4000" s="48"/>
      <c r="BI4000" s="48"/>
      <c r="BJ4000" s="48"/>
      <c r="BK4000" s="48"/>
      <c r="BL4000" s="48"/>
      <c r="BM4000" s="48"/>
      <c r="BN4000" s="48"/>
      <c r="BO4000" s="48"/>
      <c r="BP4000" s="48"/>
      <c r="BQ4000" s="48"/>
      <c r="BR4000" s="48"/>
      <c r="BS4000" s="48"/>
      <c r="BT4000" s="48"/>
      <c r="BU4000" s="48"/>
      <c r="BV4000" s="48"/>
      <c r="BW4000" s="48"/>
      <c r="BX4000" s="48"/>
      <c r="BY4000" s="48"/>
      <c r="BZ4000" s="48"/>
      <c r="CA4000" s="48"/>
      <c r="CB4000" s="48"/>
      <c r="CC4000" s="48"/>
      <c r="CD4000" s="48"/>
      <c r="CE4000" s="48"/>
      <c r="CF4000" s="48"/>
      <c r="CG4000" s="48"/>
      <c r="CH4000" s="48"/>
      <c r="CI4000" s="48"/>
      <c r="CJ4000" s="48"/>
      <c r="CK4000" s="48"/>
      <c r="CL4000" s="48"/>
      <c r="CM4000" s="48"/>
      <c r="CN4000" s="48"/>
      <c r="CO4000" s="48"/>
      <c r="CP4000" s="48"/>
      <c r="CQ4000" s="48"/>
      <c r="CR4000" s="48"/>
      <c r="CS4000" s="48"/>
      <c r="CT4000" s="48"/>
      <c r="CU4000" s="48"/>
      <c r="CV4000" s="48"/>
      <c r="CW4000" s="48"/>
      <c r="CX4000" s="48"/>
      <c r="CY4000" s="48"/>
      <c r="CZ4000" s="48"/>
    </row>
    <row r="4001" spans="27:104" s="4" customFormat="1" x14ac:dyDescent="0.3">
      <c r="AA4001" s="48"/>
      <c r="AB4001" s="48"/>
      <c r="AC4001" s="48"/>
      <c r="AD4001" s="48"/>
      <c r="AE4001" s="48"/>
      <c r="AF4001" s="48"/>
      <c r="AG4001" s="48"/>
      <c r="AH4001" s="48"/>
      <c r="AI4001" s="48"/>
      <c r="AJ4001" s="48"/>
      <c r="AK4001" s="48"/>
      <c r="AL4001" s="48"/>
      <c r="AM4001" s="48"/>
      <c r="AN4001" s="48"/>
      <c r="AO4001" s="48"/>
      <c r="AP4001" s="48"/>
      <c r="AQ4001" s="48"/>
      <c r="AR4001" s="48"/>
      <c r="AS4001" s="48"/>
      <c r="AT4001" s="48"/>
      <c r="AU4001" s="48"/>
      <c r="AV4001" s="48"/>
      <c r="AW4001" s="48"/>
      <c r="AX4001" s="48"/>
      <c r="AY4001" s="48"/>
      <c r="AZ4001" s="48"/>
      <c r="BA4001" s="48"/>
      <c r="BB4001" s="14"/>
      <c r="BC4001" s="48"/>
      <c r="BD4001" s="48"/>
      <c r="BE4001" s="48"/>
      <c r="BF4001" s="48"/>
      <c r="BG4001" s="48"/>
      <c r="BH4001" s="48"/>
      <c r="BI4001" s="48"/>
      <c r="BJ4001" s="48"/>
      <c r="BK4001" s="48"/>
      <c r="BL4001" s="48"/>
      <c r="BM4001" s="48"/>
      <c r="BN4001" s="48"/>
      <c r="BO4001" s="48"/>
      <c r="BP4001" s="48"/>
      <c r="BQ4001" s="48"/>
      <c r="BR4001" s="48"/>
      <c r="BS4001" s="48"/>
      <c r="BT4001" s="48"/>
      <c r="BU4001" s="48"/>
      <c r="BV4001" s="48"/>
      <c r="BW4001" s="48"/>
      <c r="BX4001" s="48"/>
      <c r="BY4001" s="48"/>
      <c r="BZ4001" s="48"/>
      <c r="CA4001" s="48"/>
      <c r="CB4001" s="48"/>
      <c r="CC4001" s="48"/>
      <c r="CD4001" s="48"/>
      <c r="CE4001" s="48"/>
      <c r="CF4001" s="48"/>
      <c r="CG4001" s="48"/>
      <c r="CH4001" s="48"/>
      <c r="CI4001" s="48"/>
      <c r="CJ4001" s="48"/>
      <c r="CK4001" s="48"/>
      <c r="CL4001" s="48"/>
      <c r="CM4001" s="48"/>
      <c r="CN4001" s="48"/>
      <c r="CO4001" s="48"/>
      <c r="CP4001" s="48"/>
      <c r="CQ4001" s="48"/>
      <c r="CR4001" s="48"/>
      <c r="CS4001" s="48"/>
      <c r="CT4001" s="48"/>
      <c r="CU4001" s="48"/>
      <c r="CV4001" s="48"/>
      <c r="CW4001" s="48"/>
      <c r="CX4001" s="48"/>
      <c r="CY4001" s="48"/>
      <c r="CZ4001" s="48"/>
    </row>
    <row r="4002" spans="27:104" s="4" customFormat="1" x14ac:dyDescent="0.3">
      <c r="AA4002" s="48"/>
      <c r="AB4002" s="48"/>
      <c r="AC4002" s="48"/>
      <c r="AD4002" s="48"/>
      <c r="AE4002" s="48"/>
      <c r="AF4002" s="48"/>
      <c r="AG4002" s="48"/>
      <c r="AH4002" s="48"/>
      <c r="AI4002" s="48"/>
      <c r="AJ4002" s="48"/>
      <c r="AK4002" s="48"/>
      <c r="AL4002" s="48"/>
      <c r="AM4002" s="48"/>
      <c r="AN4002" s="48"/>
      <c r="AO4002" s="48"/>
      <c r="AP4002" s="48"/>
      <c r="AQ4002" s="48"/>
      <c r="AR4002" s="48"/>
      <c r="AS4002" s="48"/>
      <c r="AT4002" s="48"/>
      <c r="AU4002" s="48"/>
      <c r="AV4002" s="48"/>
      <c r="AW4002" s="48"/>
      <c r="AX4002" s="48"/>
      <c r="AY4002" s="48"/>
      <c r="AZ4002" s="48"/>
      <c r="BA4002" s="48"/>
      <c r="BB4002" s="14"/>
      <c r="BC4002" s="48"/>
      <c r="BD4002" s="48"/>
      <c r="BE4002" s="48"/>
      <c r="BF4002" s="48"/>
      <c r="BG4002" s="48"/>
      <c r="BH4002" s="48"/>
      <c r="BI4002" s="48"/>
      <c r="BJ4002" s="48"/>
      <c r="BK4002" s="48"/>
      <c r="BL4002" s="48"/>
      <c r="BM4002" s="48"/>
      <c r="BN4002" s="48"/>
      <c r="BO4002" s="48"/>
      <c r="BP4002" s="48"/>
      <c r="BQ4002" s="48"/>
      <c r="BR4002" s="48"/>
      <c r="BS4002" s="48"/>
      <c r="BT4002" s="48"/>
      <c r="BU4002" s="48"/>
      <c r="BV4002" s="48"/>
      <c r="BW4002" s="48"/>
      <c r="BX4002" s="48"/>
      <c r="BY4002" s="48"/>
      <c r="BZ4002" s="48"/>
      <c r="CA4002" s="48"/>
      <c r="CB4002" s="48"/>
      <c r="CC4002" s="48"/>
      <c r="CD4002" s="48"/>
      <c r="CE4002" s="48"/>
      <c r="CF4002" s="48"/>
      <c r="CG4002" s="48"/>
      <c r="CH4002" s="48"/>
      <c r="CI4002" s="48"/>
      <c r="CJ4002" s="48"/>
      <c r="CK4002" s="48"/>
      <c r="CL4002" s="48"/>
      <c r="CM4002" s="48"/>
      <c r="CN4002" s="48"/>
      <c r="CO4002" s="48"/>
      <c r="CP4002" s="48"/>
      <c r="CQ4002" s="48"/>
      <c r="CR4002" s="48"/>
      <c r="CS4002" s="48"/>
      <c r="CT4002" s="48"/>
      <c r="CU4002" s="48"/>
      <c r="CV4002" s="48"/>
      <c r="CW4002" s="48"/>
      <c r="CX4002" s="48"/>
      <c r="CY4002" s="48"/>
      <c r="CZ4002" s="48"/>
    </row>
    <row r="4003" spans="27:104" s="4" customFormat="1" x14ac:dyDescent="0.3">
      <c r="AA4003" s="48"/>
      <c r="AB4003" s="48"/>
      <c r="AC4003" s="48"/>
      <c r="AD4003" s="48"/>
      <c r="AE4003" s="48"/>
      <c r="AF4003" s="48"/>
      <c r="AG4003" s="48"/>
      <c r="AH4003" s="48"/>
      <c r="AI4003" s="48"/>
      <c r="AJ4003" s="48"/>
      <c r="AK4003" s="48"/>
      <c r="AL4003" s="48"/>
      <c r="AM4003" s="48"/>
      <c r="AN4003" s="48"/>
      <c r="AO4003" s="48"/>
      <c r="AP4003" s="48"/>
      <c r="AQ4003" s="48"/>
      <c r="AR4003" s="48"/>
      <c r="AS4003" s="48"/>
      <c r="AT4003" s="48"/>
      <c r="AU4003" s="48"/>
      <c r="AV4003" s="48"/>
      <c r="AW4003" s="48"/>
      <c r="AX4003" s="48"/>
      <c r="AY4003" s="48"/>
      <c r="AZ4003" s="48"/>
      <c r="BA4003" s="48"/>
      <c r="BB4003" s="14"/>
      <c r="BC4003" s="48"/>
      <c r="BD4003" s="48"/>
      <c r="BE4003" s="48"/>
      <c r="BF4003" s="48"/>
      <c r="BG4003" s="48"/>
      <c r="BH4003" s="48"/>
      <c r="BI4003" s="48"/>
      <c r="BJ4003" s="48"/>
      <c r="BK4003" s="48"/>
      <c r="BL4003" s="48"/>
      <c r="BM4003" s="48"/>
      <c r="BN4003" s="48"/>
      <c r="BO4003" s="48"/>
      <c r="BP4003" s="48"/>
      <c r="BQ4003" s="48"/>
      <c r="BR4003" s="48"/>
      <c r="BS4003" s="48"/>
      <c r="BT4003" s="48"/>
      <c r="BU4003" s="48"/>
      <c r="BV4003" s="48"/>
      <c r="BW4003" s="48"/>
      <c r="BX4003" s="48"/>
      <c r="BY4003" s="48"/>
      <c r="BZ4003" s="48"/>
      <c r="CA4003" s="48"/>
      <c r="CB4003" s="48"/>
      <c r="CC4003" s="48"/>
      <c r="CD4003" s="48"/>
      <c r="CE4003" s="48"/>
      <c r="CF4003" s="48"/>
      <c r="CG4003" s="48"/>
      <c r="CH4003" s="48"/>
      <c r="CI4003" s="48"/>
      <c r="CJ4003" s="48"/>
      <c r="CK4003" s="48"/>
      <c r="CL4003" s="48"/>
      <c r="CM4003" s="48"/>
      <c r="CN4003" s="48"/>
      <c r="CO4003" s="48"/>
      <c r="CP4003" s="48"/>
      <c r="CQ4003" s="48"/>
      <c r="CR4003" s="48"/>
      <c r="CS4003" s="48"/>
      <c r="CT4003" s="48"/>
      <c r="CU4003" s="48"/>
      <c r="CV4003" s="48"/>
      <c r="CW4003" s="48"/>
      <c r="CX4003" s="48"/>
      <c r="CY4003" s="48"/>
      <c r="CZ4003" s="48"/>
    </row>
    <row r="4004" spans="27:104" s="4" customFormat="1" x14ac:dyDescent="0.3">
      <c r="AA4004" s="48"/>
      <c r="AB4004" s="48"/>
      <c r="AC4004" s="48"/>
      <c r="AD4004" s="48"/>
      <c r="AE4004" s="48"/>
      <c r="AF4004" s="48"/>
      <c r="AG4004" s="48"/>
      <c r="AH4004" s="48"/>
      <c r="AI4004" s="48"/>
      <c r="AJ4004" s="48"/>
      <c r="AK4004" s="48"/>
      <c r="AL4004" s="48"/>
      <c r="AM4004" s="48"/>
      <c r="AN4004" s="48"/>
      <c r="AO4004" s="48"/>
      <c r="AP4004" s="48"/>
      <c r="AQ4004" s="48"/>
      <c r="AR4004" s="48"/>
      <c r="AS4004" s="48"/>
      <c r="AT4004" s="48"/>
      <c r="AU4004" s="48"/>
      <c r="AV4004" s="48"/>
      <c r="AW4004" s="48"/>
      <c r="AX4004" s="48"/>
      <c r="AY4004" s="48"/>
      <c r="AZ4004" s="48"/>
      <c r="BA4004" s="48"/>
      <c r="BB4004" s="14"/>
      <c r="BC4004" s="48"/>
      <c r="BD4004" s="48"/>
      <c r="BE4004" s="48"/>
      <c r="BF4004" s="48"/>
      <c r="BG4004" s="48"/>
      <c r="BH4004" s="48"/>
      <c r="BI4004" s="48"/>
      <c r="BJ4004" s="48"/>
      <c r="BK4004" s="48"/>
      <c r="BL4004" s="48"/>
      <c r="BM4004" s="48"/>
      <c r="BN4004" s="48"/>
      <c r="BO4004" s="48"/>
      <c r="BP4004" s="48"/>
      <c r="BQ4004" s="48"/>
      <c r="BR4004" s="48"/>
      <c r="BS4004" s="48"/>
      <c r="BT4004" s="48"/>
      <c r="BU4004" s="48"/>
      <c r="BV4004" s="48"/>
      <c r="BW4004" s="48"/>
      <c r="BX4004" s="48"/>
      <c r="BY4004" s="48"/>
      <c r="BZ4004" s="48"/>
      <c r="CA4004" s="48"/>
      <c r="CB4004" s="48"/>
      <c r="CC4004" s="48"/>
      <c r="CD4004" s="48"/>
      <c r="CE4004" s="48"/>
      <c r="CF4004" s="48"/>
      <c r="CG4004" s="48"/>
      <c r="CH4004" s="48"/>
      <c r="CI4004" s="48"/>
      <c r="CJ4004" s="48"/>
      <c r="CK4004" s="48"/>
      <c r="CL4004" s="48"/>
      <c r="CM4004" s="48"/>
      <c r="CN4004" s="48"/>
      <c r="CO4004" s="48"/>
      <c r="CP4004" s="48"/>
      <c r="CQ4004" s="48"/>
      <c r="CR4004" s="48"/>
      <c r="CS4004" s="48"/>
      <c r="CT4004" s="48"/>
      <c r="CU4004" s="48"/>
      <c r="CV4004" s="48"/>
      <c r="CW4004" s="48"/>
      <c r="CX4004" s="48"/>
      <c r="CY4004" s="48"/>
      <c r="CZ4004" s="48"/>
    </row>
    <row r="4005" spans="27:104" s="4" customFormat="1" x14ac:dyDescent="0.3">
      <c r="AA4005" s="48"/>
      <c r="AB4005" s="48"/>
      <c r="AC4005" s="48"/>
      <c r="AD4005" s="48"/>
      <c r="AE4005" s="48"/>
      <c r="AF4005" s="48"/>
      <c r="AG4005" s="48"/>
      <c r="AH4005" s="48"/>
      <c r="AI4005" s="48"/>
      <c r="AJ4005" s="48"/>
      <c r="AK4005" s="48"/>
      <c r="AL4005" s="48"/>
      <c r="AM4005" s="48"/>
      <c r="AN4005" s="48"/>
      <c r="AO4005" s="48"/>
      <c r="AP4005" s="48"/>
      <c r="AQ4005" s="48"/>
      <c r="AR4005" s="48"/>
      <c r="AS4005" s="48"/>
      <c r="AT4005" s="48"/>
      <c r="AU4005" s="48"/>
      <c r="AV4005" s="48"/>
      <c r="AW4005" s="48"/>
      <c r="AX4005" s="48"/>
      <c r="AY4005" s="48"/>
      <c r="AZ4005" s="48"/>
      <c r="BA4005" s="48"/>
      <c r="BB4005" s="14"/>
      <c r="BC4005" s="48"/>
      <c r="BD4005" s="48"/>
      <c r="BE4005" s="48"/>
      <c r="BF4005" s="48"/>
      <c r="BG4005" s="48"/>
      <c r="BH4005" s="48"/>
      <c r="BI4005" s="48"/>
      <c r="BJ4005" s="48"/>
      <c r="BK4005" s="48"/>
      <c r="BL4005" s="48"/>
      <c r="BM4005" s="48"/>
      <c r="BN4005" s="48"/>
      <c r="BO4005" s="48"/>
      <c r="BP4005" s="48"/>
      <c r="BQ4005" s="48"/>
      <c r="BR4005" s="48"/>
      <c r="BS4005" s="48"/>
      <c r="BT4005" s="48"/>
      <c r="BU4005" s="48"/>
      <c r="BV4005" s="48"/>
      <c r="BW4005" s="48"/>
      <c r="BX4005" s="48"/>
      <c r="BY4005" s="48"/>
      <c r="BZ4005" s="48"/>
      <c r="CA4005" s="48"/>
      <c r="CB4005" s="48"/>
      <c r="CC4005" s="48"/>
      <c r="CD4005" s="48"/>
      <c r="CE4005" s="48"/>
      <c r="CF4005" s="48"/>
      <c r="CG4005" s="48"/>
      <c r="CH4005" s="48"/>
      <c r="CI4005" s="48"/>
      <c r="CJ4005" s="48"/>
      <c r="CK4005" s="48"/>
      <c r="CL4005" s="48"/>
      <c r="CM4005" s="48"/>
      <c r="CN4005" s="48"/>
      <c r="CO4005" s="48"/>
      <c r="CP4005" s="48"/>
      <c r="CQ4005" s="48"/>
      <c r="CR4005" s="48"/>
      <c r="CS4005" s="48"/>
      <c r="CT4005" s="48"/>
      <c r="CU4005" s="48"/>
      <c r="CV4005" s="48"/>
      <c r="CW4005" s="48"/>
      <c r="CX4005" s="48"/>
      <c r="CY4005" s="48"/>
      <c r="CZ4005" s="48"/>
    </row>
    <row r="4006" spans="27:104" s="4" customFormat="1" x14ac:dyDescent="0.3">
      <c r="AA4006" s="48"/>
      <c r="AB4006" s="48"/>
      <c r="AC4006" s="48"/>
      <c r="AD4006" s="48"/>
      <c r="AE4006" s="48"/>
      <c r="AF4006" s="48"/>
      <c r="AG4006" s="48"/>
      <c r="AH4006" s="48"/>
      <c r="AI4006" s="48"/>
      <c r="AJ4006" s="48"/>
      <c r="AK4006" s="48"/>
      <c r="AL4006" s="48"/>
      <c r="AM4006" s="48"/>
      <c r="AN4006" s="48"/>
      <c r="AO4006" s="48"/>
      <c r="AP4006" s="48"/>
      <c r="AQ4006" s="48"/>
      <c r="AR4006" s="48"/>
      <c r="AS4006" s="48"/>
      <c r="AT4006" s="48"/>
      <c r="AU4006" s="48"/>
      <c r="AV4006" s="48"/>
      <c r="AW4006" s="48"/>
      <c r="AX4006" s="48"/>
      <c r="AY4006" s="48"/>
      <c r="AZ4006" s="48"/>
      <c r="BA4006" s="48"/>
      <c r="BB4006" s="14"/>
      <c r="BC4006" s="48"/>
      <c r="BD4006" s="48"/>
      <c r="BE4006" s="48"/>
      <c r="BF4006" s="48"/>
      <c r="BG4006" s="48"/>
      <c r="BH4006" s="48"/>
      <c r="BI4006" s="48"/>
      <c r="BJ4006" s="48"/>
      <c r="BK4006" s="48"/>
      <c r="BL4006" s="48"/>
      <c r="BM4006" s="48"/>
      <c r="BN4006" s="48"/>
      <c r="BO4006" s="48"/>
      <c r="BP4006" s="48"/>
      <c r="BQ4006" s="48"/>
      <c r="BR4006" s="48"/>
      <c r="BS4006" s="48"/>
      <c r="BT4006" s="48"/>
      <c r="BU4006" s="48"/>
      <c r="BV4006" s="48"/>
      <c r="BW4006" s="48"/>
      <c r="BX4006" s="48"/>
      <c r="BY4006" s="48"/>
      <c r="BZ4006" s="48"/>
      <c r="CA4006" s="48"/>
      <c r="CB4006" s="48"/>
      <c r="CC4006" s="48"/>
      <c r="CD4006" s="48"/>
      <c r="CE4006" s="48"/>
      <c r="CF4006" s="48"/>
      <c r="CG4006" s="48"/>
      <c r="CH4006" s="48"/>
      <c r="CI4006" s="48"/>
      <c r="CJ4006" s="48"/>
      <c r="CK4006" s="48"/>
      <c r="CL4006" s="48"/>
      <c r="CM4006" s="48"/>
      <c r="CN4006" s="48"/>
      <c r="CO4006" s="48"/>
      <c r="CP4006" s="48"/>
      <c r="CQ4006" s="48"/>
      <c r="CR4006" s="48"/>
      <c r="CS4006" s="48"/>
      <c r="CT4006" s="48"/>
      <c r="CU4006" s="48"/>
      <c r="CV4006" s="48"/>
      <c r="CW4006" s="48"/>
      <c r="CX4006" s="48"/>
      <c r="CY4006" s="48"/>
      <c r="CZ4006" s="48"/>
    </row>
    <row r="4007" spans="27:104" s="4" customFormat="1" x14ac:dyDescent="0.3">
      <c r="AA4007" s="48"/>
      <c r="AB4007" s="48"/>
      <c r="AC4007" s="48"/>
      <c r="AD4007" s="48"/>
      <c r="AE4007" s="48"/>
      <c r="AF4007" s="48"/>
      <c r="AG4007" s="48"/>
      <c r="AH4007" s="48"/>
      <c r="AI4007" s="48"/>
      <c r="AJ4007" s="48"/>
      <c r="AK4007" s="48"/>
      <c r="AL4007" s="48"/>
      <c r="AM4007" s="48"/>
      <c r="AN4007" s="48"/>
      <c r="AO4007" s="48"/>
      <c r="AP4007" s="48"/>
      <c r="AQ4007" s="48"/>
      <c r="AR4007" s="48"/>
      <c r="AS4007" s="48"/>
      <c r="AT4007" s="48"/>
      <c r="AU4007" s="48"/>
      <c r="AV4007" s="48"/>
      <c r="AW4007" s="48"/>
      <c r="AX4007" s="48"/>
      <c r="AY4007" s="48"/>
      <c r="AZ4007" s="48"/>
      <c r="BA4007" s="48"/>
      <c r="BB4007" s="14"/>
      <c r="BC4007" s="48"/>
      <c r="BD4007" s="48"/>
      <c r="BE4007" s="48"/>
      <c r="BF4007" s="48"/>
      <c r="BG4007" s="48"/>
      <c r="BH4007" s="48"/>
      <c r="BI4007" s="48"/>
      <c r="BJ4007" s="48"/>
      <c r="BK4007" s="48"/>
      <c r="BL4007" s="48"/>
      <c r="BM4007" s="48"/>
      <c r="BN4007" s="48"/>
      <c r="BO4007" s="48"/>
      <c r="BP4007" s="48"/>
      <c r="BQ4007" s="48"/>
      <c r="BR4007" s="48"/>
      <c r="BS4007" s="48"/>
      <c r="BT4007" s="48"/>
      <c r="BU4007" s="48"/>
      <c r="BV4007" s="48"/>
      <c r="BW4007" s="48"/>
      <c r="BX4007" s="48"/>
      <c r="BY4007" s="48"/>
      <c r="BZ4007" s="48"/>
      <c r="CA4007" s="48"/>
      <c r="CB4007" s="48"/>
      <c r="CC4007" s="48"/>
      <c r="CD4007" s="48"/>
      <c r="CE4007" s="48"/>
      <c r="CF4007" s="48"/>
      <c r="CG4007" s="48"/>
      <c r="CH4007" s="48"/>
      <c r="CI4007" s="48"/>
      <c r="CJ4007" s="48"/>
      <c r="CK4007" s="48"/>
      <c r="CL4007" s="48"/>
      <c r="CM4007" s="48"/>
      <c r="CN4007" s="48"/>
      <c r="CO4007" s="48"/>
      <c r="CP4007" s="48"/>
      <c r="CQ4007" s="48"/>
      <c r="CR4007" s="48"/>
      <c r="CS4007" s="48"/>
      <c r="CT4007" s="48"/>
      <c r="CU4007" s="48"/>
      <c r="CV4007" s="48"/>
      <c r="CW4007" s="48"/>
      <c r="CX4007" s="48"/>
      <c r="CY4007" s="48"/>
      <c r="CZ4007" s="48"/>
    </row>
    <row r="4008" spans="27:104" s="4" customFormat="1" x14ac:dyDescent="0.3">
      <c r="AA4008" s="48"/>
      <c r="AB4008" s="48"/>
      <c r="AC4008" s="48"/>
      <c r="AD4008" s="48"/>
      <c r="AE4008" s="48"/>
      <c r="AF4008" s="48"/>
      <c r="AG4008" s="48"/>
      <c r="AH4008" s="48"/>
      <c r="AI4008" s="48"/>
      <c r="AJ4008" s="48"/>
      <c r="AK4008" s="48"/>
      <c r="AL4008" s="48"/>
      <c r="AM4008" s="48"/>
      <c r="AN4008" s="48"/>
      <c r="AO4008" s="48"/>
      <c r="AP4008" s="48"/>
      <c r="AQ4008" s="48"/>
      <c r="AR4008" s="48"/>
      <c r="AS4008" s="48"/>
      <c r="AT4008" s="48"/>
      <c r="AU4008" s="48"/>
      <c r="AV4008" s="48"/>
      <c r="AW4008" s="48"/>
      <c r="AX4008" s="48"/>
      <c r="AY4008" s="48"/>
      <c r="AZ4008" s="48"/>
      <c r="BA4008" s="48"/>
      <c r="BB4008" s="14"/>
      <c r="BC4008" s="48"/>
      <c r="BD4008" s="48"/>
      <c r="BE4008" s="48"/>
      <c r="BF4008" s="48"/>
      <c r="BG4008" s="48"/>
      <c r="BH4008" s="48"/>
      <c r="BI4008" s="48"/>
      <c r="BJ4008" s="48"/>
      <c r="BK4008" s="48"/>
      <c r="BL4008" s="48"/>
      <c r="BM4008" s="48"/>
      <c r="BN4008" s="48"/>
      <c r="BO4008" s="48"/>
      <c r="BP4008" s="48"/>
      <c r="BQ4008" s="48"/>
      <c r="BR4008" s="48"/>
      <c r="BS4008" s="48"/>
      <c r="BT4008" s="48"/>
      <c r="BU4008" s="48"/>
      <c r="BV4008" s="48"/>
      <c r="BW4008" s="48"/>
      <c r="BX4008" s="48"/>
      <c r="BY4008" s="48"/>
      <c r="BZ4008" s="48"/>
      <c r="CA4008" s="48"/>
      <c r="CB4008" s="48"/>
      <c r="CC4008" s="48"/>
      <c r="CD4008" s="48"/>
      <c r="CE4008" s="48"/>
      <c r="CF4008" s="48"/>
      <c r="CG4008" s="48"/>
      <c r="CH4008" s="48"/>
      <c r="CI4008" s="48"/>
      <c r="CJ4008" s="48"/>
      <c r="CK4008" s="48"/>
      <c r="CL4008" s="48"/>
      <c r="CM4008" s="48"/>
      <c r="CN4008" s="48"/>
      <c r="CO4008" s="48"/>
      <c r="CP4008" s="48"/>
      <c r="CQ4008" s="48"/>
      <c r="CR4008" s="48"/>
      <c r="CS4008" s="48"/>
      <c r="CT4008" s="48"/>
      <c r="CU4008" s="48"/>
      <c r="CV4008" s="48"/>
      <c r="CW4008" s="48"/>
      <c r="CX4008" s="48"/>
      <c r="CY4008" s="48"/>
      <c r="CZ4008" s="48"/>
    </row>
    <row r="4009" spans="27:104" s="4" customFormat="1" x14ac:dyDescent="0.3">
      <c r="AA4009" s="48"/>
      <c r="AB4009" s="48"/>
      <c r="AC4009" s="48"/>
      <c r="AD4009" s="48"/>
      <c r="AE4009" s="48"/>
      <c r="AF4009" s="48"/>
      <c r="AG4009" s="48"/>
      <c r="AH4009" s="48"/>
      <c r="AI4009" s="48"/>
      <c r="AJ4009" s="48"/>
      <c r="AK4009" s="48"/>
      <c r="AL4009" s="48"/>
      <c r="AM4009" s="48"/>
      <c r="AN4009" s="48"/>
      <c r="AO4009" s="48"/>
      <c r="AP4009" s="48"/>
      <c r="AQ4009" s="48"/>
      <c r="AR4009" s="48"/>
      <c r="AS4009" s="48"/>
      <c r="AT4009" s="48"/>
      <c r="AU4009" s="48"/>
      <c r="AV4009" s="48"/>
      <c r="AW4009" s="48"/>
      <c r="AX4009" s="48"/>
      <c r="AY4009" s="48"/>
      <c r="AZ4009" s="48"/>
      <c r="BA4009" s="48"/>
      <c r="BB4009" s="14"/>
      <c r="BC4009" s="48"/>
      <c r="BD4009" s="48"/>
      <c r="BE4009" s="48"/>
      <c r="BF4009" s="48"/>
      <c r="BG4009" s="48"/>
      <c r="BH4009" s="48"/>
      <c r="BI4009" s="48"/>
      <c r="BJ4009" s="48"/>
      <c r="BK4009" s="48"/>
      <c r="BL4009" s="48"/>
      <c r="BM4009" s="48"/>
      <c r="BN4009" s="48"/>
      <c r="BO4009" s="48"/>
      <c r="BP4009" s="48"/>
      <c r="BQ4009" s="48"/>
      <c r="BR4009" s="48"/>
      <c r="BS4009" s="48"/>
      <c r="BT4009" s="48"/>
      <c r="BU4009" s="48"/>
      <c r="BV4009" s="48"/>
      <c r="BW4009" s="48"/>
      <c r="BX4009" s="48"/>
      <c r="BY4009" s="48"/>
      <c r="BZ4009" s="48"/>
      <c r="CA4009" s="48"/>
      <c r="CB4009" s="48"/>
      <c r="CC4009" s="48"/>
      <c r="CD4009" s="48"/>
      <c r="CE4009" s="48"/>
      <c r="CF4009" s="48"/>
      <c r="CG4009" s="48"/>
      <c r="CH4009" s="48"/>
      <c r="CI4009" s="48"/>
      <c r="CJ4009" s="48"/>
      <c r="CK4009" s="48"/>
      <c r="CL4009" s="48"/>
      <c r="CM4009" s="48"/>
      <c r="CN4009" s="48"/>
      <c r="CO4009" s="48"/>
      <c r="CP4009" s="48"/>
      <c r="CQ4009" s="48"/>
      <c r="CR4009" s="48"/>
      <c r="CS4009" s="48"/>
      <c r="CT4009" s="48"/>
      <c r="CU4009" s="48"/>
      <c r="CV4009" s="48"/>
      <c r="CW4009" s="48"/>
      <c r="CX4009" s="48"/>
      <c r="CY4009" s="48"/>
      <c r="CZ4009" s="48"/>
    </row>
    <row r="4010" spans="27:104" s="4" customFormat="1" x14ac:dyDescent="0.3">
      <c r="AA4010" s="48"/>
      <c r="AB4010" s="48"/>
      <c r="AC4010" s="48"/>
      <c r="AD4010" s="48"/>
      <c r="AE4010" s="48"/>
      <c r="AF4010" s="48"/>
      <c r="AG4010" s="48"/>
      <c r="AH4010" s="48"/>
      <c r="AI4010" s="48"/>
      <c r="AJ4010" s="48"/>
      <c r="AK4010" s="48"/>
      <c r="AL4010" s="48"/>
      <c r="AM4010" s="48"/>
      <c r="AN4010" s="48"/>
      <c r="AO4010" s="48"/>
      <c r="AP4010" s="48"/>
      <c r="AQ4010" s="48"/>
      <c r="AR4010" s="48"/>
      <c r="AS4010" s="48"/>
      <c r="AT4010" s="48"/>
      <c r="AU4010" s="48"/>
      <c r="AV4010" s="48"/>
      <c r="AW4010" s="48"/>
      <c r="AX4010" s="48"/>
      <c r="AY4010" s="48"/>
      <c r="AZ4010" s="48"/>
      <c r="BA4010" s="48"/>
      <c r="BB4010" s="14"/>
      <c r="BC4010" s="48"/>
      <c r="BD4010" s="48"/>
      <c r="BE4010" s="48"/>
      <c r="BF4010" s="48"/>
      <c r="BG4010" s="48"/>
      <c r="BH4010" s="48"/>
      <c r="BI4010" s="48"/>
      <c r="BJ4010" s="48"/>
      <c r="BK4010" s="48"/>
      <c r="BL4010" s="48"/>
      <c r="BM4010" s="48"/>
      <c r="BN4010" s="48"/>
      <c r="BO4010" s="48"/>
      <c r="BP4010" s="48"/>
      <c r="BQ4010" s="48"/>
      <c r="BR4010" s="48"/>
      <c r="BS4010" s="48"/>
      <c r="BT4010" s="48"/>
      <c r="BU4010" s="48"/>
      <c r="BV4010" s="48"/>
      <c r="BW4010" s="48"/>
      <c r="BX4010" s="48"/>
      <c r="BY4010" s="48"/>
      <c r="BZ4010" s="48"/>
      <c r="CA4010" s="48"/>
      <c r="CB4010" s="48"/>
      <c r="CC4010" s="48"/>
      <c r="CD4010" s="48"/>
      <c r="CE4010" s="48"/>
      <c r="CF4010" s="48"/>
      <c r="CG4010" s="48"/>
      <c r="CH4010" s="48"/>
      <c r="CI4010" s="48"/>
      <c r="CJ4010" s="48"/>
      <c r="CK4010" s="48"/>
      <c r="CL4010" s="48"/>
      <c r="CM4010" s="48"/>
      <c r="CN4010" s="48"/>
      <c r="CO4010" s="48"/>
      <c r="CP4010" s="48"/>
      <c r="CQ4010" s="48"/>
      <c r="CR4010" s="48"/>
      <c r="CS4010" s="48"/>
      <c r="CT4010" s="48"/>
      <c r="CU4010" s="48"/>
      <c r="CV4010" s="48"/>
      <c r="CW4010" s="48"/>
      <c r="CX4010" s="48"/>
      <c r="CY4010" s="48"/>
      <c r="CZ4010" s="48"/>
    </row>
    <row r="4011" spans="27:104" s="4" customFormat="1" x14ac:dyDescent="0.3">
      <c r="AA4011" s="48"/>
      <c r="AB4011" s="48"/>
      <c r="AC4011" s="48"/>
      <c r="AD4011" s="48"/>
      <c r="AE4011" s="48"/>
      <c r="AF4011" s="48"/>
      <c r="AG4011" s="48"/>
      <c r="AH4011" s="48"/>
      <c r="AI4011" s="48"/>
      <c r="AJ4011" s="48"/>
      <c r="AK4011" s="48"/>
      <c r="AL4011" s="48"/>
      <c r="AM4011" s="48"/>
      <c r="AN4011" s="48"/>
      <c r="AO4011" s="48"/>
      <c r="AP4011" s="48"/>
      <c r="AQ4011" s="48"/>
      <c r="AR4011" s="48"/>
      <c r="AS4011" s="48"/>
      <c r="AT4011" s="48"/>
      <c r="AU4011" s="48"/>
      <c r="AV4011" s="48"/>
      <c r="AW4011" s="48"/>
      <c r="AX4011" s="48"/>
      <c r="AY4011" s="48"/>
      <c r="AZ4011" s="48"/>
      <c r="BA4011" s="48"/>
      <c r="BB4011" s="14"/>
      <c r="BC4011" s="48"/>
      <c r="BD4011" s="48"/>
      <c r="BE4011" s="48"/>
      <c r="BF4011" s="48"/>
      <c r="BG4011" s="48"/>
      <c r="BH4011" s="48"/>
      <c r="BI4011" s="48"/>
      <c r="BJ4011" s="48"/>
      <c r="BK4011" s="48"/>
      <c r="BL4011" s="48"/>
      <c r="BM4011" s="48"/>
      <c r="BN4011" s="48"/>
      <c r="BO4011" s="48"/>
      <c r="BP4011" s="48"/>
      <c r="BQ4011" s="48"/>
      <c r="BR4011" s="48"/>
      <c r="BS4011" s="48"/>
      <c r="BT4011" s="48"/>
      <c r="BU4011" s="48"/>
      <c r="BV4011" s="48"/>
      <c r="BW4011" s="48"/>
      <c r="BX4011" s="48"/>
      <c r="BY4011" s="48"/>
      <c r="BZ4011" s="48"/>
      <c r="CA4011" s="48"/>
      <c r="CB4011" s="48"/>
      <c r="CC4011" s="48"/>
      <c r="CD4011" s="48"/>
      <c r="CE4011" s="48"/>
      <c r="CF4011" s="48"/>
      <c r="CG4011" s="48"/>
      <c r="CH4011" s="48"/>
      <c r="CI4011" s="48"/>
      <c r="CJ4011" s="48"/>
      <c r="CK4011" s="48"/>
      <c r="CL4011" s="48"/>
      <c r="CM4011" s="48"/>
      <c r="CN4011" s="48"/>
      <c r="CO4011" s="48"/>
      <c r="CP4011" s="48"/>
      <c r="CQ4011" s="48"/>
      <c r="CR4011" s="48"/>
      <c r="CS4011" s="48"/>
      <c r="CT4011" s="48"/>
      <c r="CU4011" s="48"/>
      <c r="CV4011" s="48"/>
      <c r="CW4011" s="48"/>
      <c r="CX4011" s="48"/>
      <c r="CY4011" s="48"/>
      <c r="CZ4011" s="48"/>
    </row>
    <row r="4012" spans="27:104" s="4" customFormat="1" x14ac:dyDescent="0.3">
      <c r="AA4012" s="48"/>
      <c r="AB4012" s="48"/>
      <c r="AC4012" s="48"/>
      <c r="AD4012" s="48"/>
      <c r="AE4012" s="48"/>
      <c r="AF4012" s="48"/>
      <c r="AG4012" s="48"/>
      <c r="AH4012" s="48"/>
      <c r="AI4012" s="48"/>
      <c r="AJ4012" s="48"/>
      <c r="AK4012" s="48"/>
      <c r="AL4012" s="48"/>
      <c r="AM4012" s="48"/>
      <c r="AN4012" s="48"/>
      <c r="AO4012" s="48"/>
      <c r="AP4012" s="48"/>
      <c r="AQ4012" s="48"/>
      <c r="AR4012" s="48"/>
      <c r="AS4012" s="48"/>
      <c r="AT4012" s="48"/>
      <c r="AU4012" s="48"/>
      <c r="AV4012" s="48"/>
      <c r="AW4012" s="48"/>
      <c r="AX4012" s="48"/>
      <c r="AY4012" s="48"/>
      <c r="AZ4012" s="48"/>
      <c r="BA4012" s="48"/>
      <c r="BB4012" s="14"/>
      <c r="BC4012" s="48"/>
      <c r="BD4012" s="48"/>
      <c r="BE4012" s="48"/>
      <c r="BF4012" s="48"/>
      <c r="BG4012" s="48"/>
      <c r="BH4012" s="48"/>
      <c r="BI4012" s="48"/>
      <c r="BJ4012" s="48"/>
      <c r="BK4012" s="48"/>
      <c r="BL4012" s="48"/>
      <c r="BM4012" s="48"/>
      <c r="BN4012" s="48"/>
      <c r="BO4012" s="48"/>
      <c r="BP4012" s="48"/>
      <c r="BQ4012" s="48"/>
      <c r="BR4012" s="48"/>
      <c r="BS4012" s="48"/>
      <c r="BT4012" s="48"/>
      <c r="BU4012" s="48"/>
      <c r="BV4012" s="48"/>
      <c r="BW4012" s="48"/>
      <c r="BX4012" s="48"/>
      <c r="BY4012" s="48"/>
      <c r="BZ4012" s="48"/>
      <c r="CA4012" s="48"/>
      <c r="CB4012" s="48"/>
      <c r="CC4012" s="48"/>
      <c r="CD4012" s="48"/>
      <c r="CE4012" s="48"/>
      <c r="CF4012" s="48"/>
      <c r="CG4012" s="48"/>
      <c r="CH4012" s="48"/>
      <c r="CI4012" s="48"/>
      <c r="CJ4012" s="48"/>
      <c r="CK4012" s="48"/>
      <c r="CL4012" s="48"/>
      <c r="CM4012" s="48"/>
      <c r="CN4012" s="48"/>
      <c r="CO4012" s="48"/>
      <c r="CP4012" s="48"/>
      <c r="CQ4012" s="48"/>
      <c r="CR4012" s="48"/>
      <c r="CS4012" s="48"/>
      <c r="CT4012" s="48"/>
      <c r="CU4012" s="48"/>
      <c r="CV4012" s="48"/>
      <c r="CW4012" s="48"/>
      <c r="CX4012" s="48"/>
      <c r="CY4012" s="48"/>
      <c r="CZ4012" s="48"/>
    </row>
    <row r="4013" spans="27:104" s="4" customFormat="1" x14ac:dyDescent="0.3">
      <c r="AA4013" s="48"/>
      <c r="AB4013" s="48"/>
      <c r="AC4013" s="48"/>
      <c r="AD4013" s="48"/>
      <c r="AE4013" s="48"/>
      <c r="AF4013" s="48"/>
      <c r="AG4013" s="48"/>
      <c r="AH4013" s="48"/>
      <c r="AI4013" s="48"/>
      <c r="AJ4013" s="48"/>
      <c r="AK4013" s="48"/>
      <c r="AL4013" s="48"/>
      <c r="AM4013" s="48"/>
      <c r="AN4013" s="48"/>
      <c r="AO4013" s="48"/>
      <c r="AP4013" s="48"/>
      <c r="AQ4013" s="48"/>
      <c r="AR4013" s="48"/>
      <c r="AS4013" s="48"/>
      <c r="AT4013" s="48"/>
      <c r="AU4013" s="48"/>
      <c r="AV4013" s="48"/>
      <c r="AW4013" s="48"/>
      <c r="AX4013" s="48"/>
      <c r="AY4013" s="48"/>
      <c r="AZ4013" s="48"/>
      <c r="BA4013" s="48"/>
      <c r="BB4013" s="14"/>
      <c r="BC4013" s="48"/>
      <c r="BD4013" s="48"/>
      <c r="BE4013" s="48"/>
      <c r="BF4013" s="48"/>
      <c r="BG4013" s="48"/>
      <c r="BH4013" s="48"/>
      <c r="BI4013" s="48"/>
      <c r="BJ4013" s="48"/>
      <c r="BK4013" s="48"/>
      <c r="BL4013" s="48"/>
      <c r="BM4013" s="48"/>
      <c r="BN4013" s="48"/>
      <c r="BO4013" s="48"/>
      <c r="BP4013" s="48"/>
      <c r="BQ4013" s="48"/>
      <c r="BR4013" s="48"/>
      <c r="BS4013" s="48"/>
      <c r="BT4013" s="48"/>
      <c r="BU4013" s="48"/>
      <c r="BV4013" s="48"/>
      <c r="BW4013" s="48"/>
      <c r="BX4013" s="48"/>
      <c r="BY4013" s="48"/>
      <c r="BZ4013" s="48"/>
      <c r="CA4013" s="48"/>
      <c r="CB4013" s="48"/>
      <c r="CC4013" s="48"/>
      <c r="CD4013" s="48"/>
      <c r="CE4013" s="48"/>
      <c r="CF4013" s="48"/>
      <c r="CG4013" s="48"/>
      <c r="CH4013" s="48"/>
      <c r="CI4013" s="48"/>
      <c r="CJ4013" s="48"/>
      <c r="CK4013" s="48"/>
      <c r="CL4013" s="48"/>
      <c r="CM4013" s="48"/>
      <c r="CN4013" s="48"/>
      <c r="CO4013" s="48"/>
      <c r="CP4013" s="48"/>
      <c r="CQ4013" s="48"/>
      <c r="CR4013" s="48"/>
      <c r="CS4013" s="48"/>
      <c r="CT4013" s="48"/>
      <c r="CU4013" s="48"/>
      <c r="CV4013" s="48"/>
      <c r="CW4013" s="48"/>
      <c r="CX4013" s="48"/>
      <c r="CY4013" s="48"/>
      <c r="CZ4013" s="48"/>
    </row>
    <row r="4014" spans="27:104" s="4" customFormat="1" x14ac:dyDescent="0.3">
      <c r="AA4014" s="48"/>
      <c r="AB4014" s="48"/>
      <c r="AC4014" s="48"/>
      <c r="AD4014" s="48"/>
      <c r="AE4014" s="48"/>
      <c r="AF4014" s="48"/>
      <c r="AG4014" s="48"/>
      <c r="AH4014" s="48"/>
      <c r="AI4014" s="48"/>
      <c r="AJ4014" s="48"/>
      <c r="AK4014" s="48"/>
      <c r="AL4014" s="48"/>
      <c r="AM4014" s="48"/>
      <c r="AN4014" s="48"/>
      <c r="AO4014" s="48"/>
      <c r="AP4014" s="48"/>
      <c r="AQ4014" s="48"/>
      <c r="AR4014" s="48"/>
      <c r="AS4014" s="48"/>
      <c r="AT4014" s="48"/>
      <c r="AU4014" s="48"/>
      <c r="AV4014" s="48"/>
      <c r="AW4014" s="48"/>
      <c r="AX4014" s="48"/>
      <c r="AY4014" s="48"/>
      <c r="AZ4014" s="48"/>
      <c r="BA4014" s="48"/>
      <c r="BB4014" s="14"/>
      <c r="BC4014" s="48"/>
      <c r="BD4014" s="48"/>
      <c r="BE4014" s="48"/>
      <c r="BF4014" s="48"/>
      <c r="BG4014" s="48"/>
      <c r="BH4014" s="48"/>
      <c r="BI4014" s="48"/>
      <c r="BJ4014" s="48"/>
      <c r="BK4014" s="48"/>
      <c r="BL4014" s="48"/>
      <c r="BM4014" s="48"/>
      <c r="BN4014" s="48"/>
      <c r="BO4014" s="48"/>
      <c r="BP4014" s="48"/>
      <c r="BQ4014" s="48"/>
      <c r="BR4014" s="48"/>
      <c r="BS4014" s="48"/>
      <c r="BT4014" s="48"/>
      <c r="BU4014" s="48"/>
      <c r="BV4014" s="48"/>
      <c r="BW4014" s="48"/>
      <c r="BX4014" s="48"/>
      <c r="BY4014" s="48"/>
      <c r="BZ4014" s="48"/>
      <c r="CA4014" s="48"/>
      <c r="CB4014" s="48"/>
      <c r="CC4014" s="48"/>
      <c r="CD4014" s="48"/>
      <c r="CE4014" s="48"/>
      <c r="CF4014" s="48"/>
      <c r="CG4014" s="48"/>
      <c r="CH4014" s="48"/>
      <c r="CI4014" s="48"/>
      <c r="CJ4014" s="48"/>
      <c r="CK4014" s="48"/>
      <c r="CL4014" s="48"/>
      <c r="CM4014" s="48"/>
      <c r="CN4014" s="48"/>
      <c r="CO4014" s="48"/>
      <c r="CP4014" s="48"/>
      <c r="CQ4014" s="48"/>
      <c r="CR4014" s="48"/>
      <c r="CS4014" s="48"/>
      <c r="CT4014" s="48"/>
      <c r="CU4014" s="48"/>
      <c r="CV4014" s="48"/>
      <c r="CW4014" s="48"/>
      <c r="CX4014" s="48"/>
      <c r="CY4014" s="48"/>
      <c r="CZ4014" s="48"/>
    </row>
    <row r="4015" spans="27:104" s="4" customFormat="1" x14ac:dyDescent="0.3">
      <c r="AA4015" s="48"/>
      <c r="AB4015" s="48"/>
      <c r="AC4015" s="48"/>
      <c r="AD4015" s="48"/>
      <c r="AE4015" s="48"/>
      <c r="AF4015" s="48"/>
      <c r="AG4015" s="48"/>
      <c r="AH4015" s="48"/>
      <c r="AI4015" s="48"/>
      <c r="AJ4015" s="48"/>
      <c r="AK4015" s="48"/>
      <c r="AL4015" s="48"/>
      <c r="AM4015" s="48"/>
      <c r="AN4015" s="48"/>
      <c r="AO4015" s="48"/>
      <c r="AP4015" s="48"/>
      <c r="AQ4015" s="48"/>
      <c r="AR4015" s="48"/>
      <c r="AS4015" s="48"/>
      <c r="AT4015" s="48"/>
      <c r="AU4015" s="48"/>
      <c r="AV4015" s="48"/>
      <c r="AW4015" s="48"/>
      <c r="AX4015" s="48"/>
      <c r="AY4015" s="48"/>
      <c r="AZ4015" s="48"/>
      <c r="BA4015" s="48"/>
      <c r="BB4015" s="14"/>
      <c r="BC4015" s="48"/>
      <c r="BD4015" s="48"/>
      <c r="BE4015" s="48"/>
      <c r="BF4015" s="48"/>
      <c r="BG4015" s="48"/>
      <c r="BH4015" s="48"/>
      <c r="BI4015" s="48"/>
      <c r="BJ4015" s="48"/>
      <c r="BK4015" s="48"/>
      <c r="BL4015" s="48"/>
      <c r="BM4015" s="48"/>
      <c r="BN4015" s="48"/>
      <c r="BO4015" s="48"/>
      <c r="BP4015" s="48"/>
      <c r="BQ4015" s="48"/>
      <c r="BR4015" s="48"/>
      <c r="BS4015" s="48"/>
      <c r="BT4015" s="48"/>
      <c r="BU4015" s="48"/>
      <c r="BV4015" s="48"/>
      <c r="BW4015" s="48"/>
      <c r="BX4015" s="48"/>
      <c r="BY4015" s="48"/>
      <c r="BZ4015" s="48"/>
      <c r="CA4015" s="48"/>
      <c r="CB4015" s="48"/>
      <c r="CC4015" s="48"/>
      <c r="CD4015" s="48"/>
      <c r="CE4015" s="48"/>
      <c r="CF4015" s="48"/>
      <c r="CG4015" s="48"/>
      <c r="CH4015" s="48"/>
      <c r="CI4015" s="48"/>
      <c r="CJ4015" s="48"/>
      <c r="CK4015" s="48"/>
      <c r="CL4015" s="48"/>
      <c r="CM4015" s="48"/>
      <c r="CN4015" s="48"/>
      <c r="CO4015" s="48"/>
      <c r="CP4015" s="48"/>
      <c r="CQ4015" s="48"/>
      <c r="CR4015" s="48"/>
      <c r="CS4015" s="48"/>
      <c r="CT4015" s="48"/>
      <c r="CU4015" s="48"/>
      <c r="CV4015" s="48"/>
      <c r="CW4015" s="48"/>
      <c r="CX4015" s="48"/>
      <c r="CY4015" s="48"/>
      <c r="CZ4015" s="48"/>
    </row>
    <row r="4016" spans="27:104" s="4" customFormat="1" x14ac:dyDescent="0.3">
      <c r="AA4016" s="48"/>
      <c r="AB4016" s="48"/>
      <c r="AC4016" s="48"/>
      <c r="AD4016" s="48"/>
      <c r="AE4016" s="48"/>
      <c r="AF4016" s="48"/>
      <c r="AG4016" s="48"/>
      <c r="AH4016" s="48"/>
      <c r="AI4016" s="48"/>
      <c r="AJ4016" s="48"/>
      <c r="AK4016" s="48"/>
      <c r="AL4016" s="48"/>
      <c r="AM4016" s="48"/>
      <c r="AN4016" s="48"/>
      <c r="AO4016" s="48"/>
      <c r="AP4016" s="48"/>
      <c r="AQ4016" s="48"/>
      <c r="AR4016" s="48"/>
      <c r="AS4016" s="48"/>
      <c r="AT4016" s="48"/>
      <c r="AU4016" s="48"/>
      <c r="AV4016" s="48"/>
      <c r="AW4016" s="48"/>
      <c r="AX4016" s="48"/>
      <c r="AY4016" s="48"/>
      <c r="AZ4016" s="48"/>
      <c r="BA4016" s="48"/>
      <c r="BB4016" s="14"/>
      <c r="BC4016" s="48"/>
      <c r="BD4016" s="48"/>
      <c r="BE4016" s="48"/>
      <c r="BF4016" s="48"/>
      <c r="BG4016" s="48"/>
      <c r="BH4016" s="48"/>
      <c r="BI4016" s="48"/>
      <c r="BJ4016" s="48"/>
      <c r="BK4016" s="48"/>
      <c r="BL4016" s="48"/>
      <c r="BM4016" s="48"/>
      <c r="BN4016" s="48"/>
      <c r="BO4016" s="48"/>
      <c r="BP4016" s="48"/>
      <c r="BQ4016" s="48"/>
      <c r="BR4016" s="48"/>
      <c r="BS4016" s="48"/>
      <c r="BT4016" s="48"/>
      <c r="BU4016" s="48"/>
      <c r="BV4016" s="48"/>
      <c r="BW4016" s="48"/>
      <c r="BX4016" s="48"/>
      <c r="BY4016" s="48"/>
      <c r="BZ4016" s="48"/>
      <c r="CA4016" s="48"/>
      <c r="CB4016" s="48"/>
      <c r="CC4016" s="48"/>
      <c r="CD4016" s="48"/>
      <c r="CE4016" s="48"/>
      <c r="CF4016" s="48"/>
      <c r="CG4016" s="48"/>
      <c r="CH4016" s="48"/>
      <c r="CI4016" s="48"/>
      <c r="CJ4016" s="48"/>
      <c r="CK4016" s="48"/>
      <c r="CL4016" s="48"/>
      <c r="CM4016" s="48"/>
      <c r="CN4016" s="48"/>
      <c r="CO4016" s="48"/>
      <c r="CP4016" s="48"/>
      <c r="CQ4016" s="48"/>
      <c r="CR4016" s="48"/>
      <c r="CS4016" s="48"/>
      <c r="CT4016" s="48"/>
      <c r="CU4016" s="48"/>
      <c r="CV4016" s="48"/>
      <c r="CW4016" s="48"/>
      <c r="CX4016" s="48"/>
      <c r="CY4016" s="48"/>
      <c r="CZ4016" s="48"/>
    </row>
    <row r="4017" spans="27:104" s="4" customFormat="1" x14ac:dyDescent="0.3">
      <c r="AA4017" s="48"/>
      <c r="AB4017" s="48"/>
      <c r="AC4017" s="48"/>
      <c r="AD4017" s="48"/>
      <c r="AE4017" s="48"/>
      <c r="AF4017" s="48"/>
      <c r="AG4017" s="48"/>
      <c r="AH4017" s="48"/>
      <c r="AI4017" s="48"/>
      <c r="AJ4017" s="48"/>
      <c r="AK4017" s="48"/>
      <c r="AL4017" s="48"/>
      <c r="AM4017" s="48"/>
      <c r="AN4017" s="48"/>
      <c r="AO4017" s="48"/>
      <c r="AP4017" s="48"/>
      <c r="AQ4017" s="48"/>
      <c r="AR4017" s="48"/>
      <c r="AS4017" s="48"/>
      <c r="AT4017" s="48"/>
      <c r="AU4017" s="48"/>
      <c r="AV4017" s="48"/>
      <c r="AW4017" s="48"/>
      <c r="AX4017" s="48"/>
      <c r="AY4017" s="48"/>
      <c r="AZ4017" s="48"/>
      <c r="BA4017" s="48"/>
      <c r="BB4017" s="14"/>
      <c r="BC4017" s="48"/>
      <c r="BD4017" s="48"/>
      <c r="BE4017" s="48"/>
      <c r="BF4017" s="48"/>
      <c r="BG4017" s="48"/>
      <c r="BH4017" s="48"/>
      <c r="BI4017" s="48"/>
      <c r="BJ4017" s="48"/>
      <c r="BK4017" s="48"/>
      <c r="BL4017" s="48"/>
      <c r="BM4017" s="48"/>
      <c r="BN4017" s="48"/>
      <c r="BO4017" s="48"/>
      <c r="BP4017" s="48"/>
      <c r="BQ4017" s="48"/>
      <c r="BR4017" s="48"/>
      <c r="BS4017" s="48"/>
      <c r="BT4017" s="48"/>
      <c r="BU4017" s="48"/>
      <c r="BV4017" s="48"/>
      <c r="BW4017" s="48"/>
      <c r="BX4017" s="48"/>
      <c r="BY4017" s="48"/>
      <c r="BZ4017" s="48"/>
      <c r="CA4017" s="48"/>
      <c r="CB4017" s="48"/>
      <c r="CC4017" s="48"/>
      <c r="CD4017" s="48"/>
      <c r="CE4017" s="48"/>
      <c r="CF4017" s="48"/>
      <c r="CG4017" s="48"/>
      <c r="CH4017" s="48"/>
      <c r="CI4017" s="48"/>
      <c r="CJ4017" s="48"/>
      <c r="CK4017" s="48"/>
      <c r="CL4017" s="48"/>
      <c r="CM4017" s="48"/>
      <c r="CN4017" s="48"/>
      <c r="CO4017" s="48"/>
      <c r="CP4017" s="48"/>
      <c r="CQ4017" s="48"/>
      <c r="CR4017" s="48"/>
      <c r="CS4017" s="48"/>
      <c r="CT4017" s="48"/>
      <c r="CU4017" s="48"/>
      <c r="CV4017" s="48"/>
      <c r="CW4017" s="48"/>
      <c r="CX4017" s="48"/>
      <c r="CY4017" s="48"/>
      <c r="CZ4017" s="48"/>
    </row>
    <row r="4018" spans="27:104" s="4" customFormat="1" x14ac:dyDescent="0.3">
      <c r="AA4018" s="48"/>
      <c r="AB4018" s="48"/>
      <c r="AC4018" s="48"/>
      <c r="AD4018" s="48"/>
      <c r="AE4018" s="48"/>
      <c r="AF4018" s="48"/>
      <c r="AG4018" s="48"/>
      <c r="AH4018" s="48"/>
      <c r="AI4018" s="48"/>
      <c r="AJ4018" s="48"/>
      <c r="AK4018" s="48"/>
      <c r="AL4018" s="48"/>
      <c r="AM4018" s="48"/>
      <c r="AN4018" s="48"/>
      <c r="AO4018" s="48"/>
      <c r="AP4018" s="48"/>
      <c r="AQ4018" s="48"/>
      <c r="AR4018" s="48"/>
      <c r="AS4018" s="48"/>
      <c r="AT4018" s="48"/>
      <c r="AU4018" s="48"/>
      <c r="AV4018" s="48"/>
      <c r="AW4018" s="48"/>
      <c r="AX4018" s="48"/>
      <c r="AY4018" s="48"/>
      <c r="AZ4018" s="48"/>
      <c r="BA4018" s="48"/>
      <c r="BB4018" s="14"/>
      <c r="BC4018" s="48"/>
      <c r="BD4018" s="48"/>
      <c r="BE4018" s="48"/>
      <c r="BF4018" s="48"/>
      <c r="BG4018" s="48"/>
      <c r="BH4018" s="48"/>
      <c r="BI4018" s="48"/>
      <c r="BJ4018" s="48"/>
      <c r="BK4018" s="48"/>
      <c r="BL4018" s="48"/>
      <c r="BM4018" s="48"/>
      <c r="BN4018" s="48"/>
      <c r="BO4018" s="48"/>
      <c r="BP4018" s="48"/>
      <c r="BQ4018" s="48"/>
      <c r="BR4018" s="48"/>
      <c r="BS4018" s="48"/>
      <c r="BT4018" s="48"/>
      <c r="BU4018" s="48"/>
      <c r="BV4018" s="48"/>
      <c r="BW4018" s="48"/>
      <c r="BX4018" s="48"/>
      <c r="BY4018" s="48"/>
      <c r="BZ4018" s="48"/>
      <c r="CA4018" s="48"/>
      <c r="CB4018" s="48"/>
      <c r="CC4018" s="48"/>
      <c r="CD4018" s="48"/>
      <c r="CE4018" s="48"/>
      <c r="CF4018" s="48"/>
      <c r="CG4018" s="48"/>
      <c r="CH4018" s="48"/>
      <c r="CI4018" s="48"/>
      <c r="CJ4018" s="48"/>
      <c r="CK4018" s="48"/>
      <c r="CL4018" s="48"/>
      <c r="CM4018" s="48"/>
      <c r="CN4018" s="48"/>
      <c r="CO4018" s="48"/>
      <c r="CP4018" s="48"/>
      <c r="CQ4018" s="48"/>
      <c r="CR4018" s="48"/>
      <c r="CS4018" s="48"/>
      <c r="CT4018" s="48"/>
      <c r="CU4018" s="48"/>
      <c r="CV4018" s="48"/>
      <c r="CW4018" s="48"/>
      <c r="CX4018" s="48"/>
      <c r="CY4018" s="48"/>
      <c r="CZ4018" s="48"/>
    </row>
    <row r="4019" spans="27:104" s="4" customFormat="1" x14ac:dyDescent="0.3">
      <c r="AA4019" s="48"/>
      <c r="AB4019" s="48"/>
      <c r="AC4019" s="48"/>
      <c r="AD4019" s="48"/>
      <c r="AE4019" s="48"/>
      <c r="AF4019" s="48"/>
      <c r="AG4019" s="48"/>
      <c r="AH4019" s="48"/>
      <c r="AI4019" s="48"/>
      <c r="AJ4019" s="48"/>
      <c r="AK4019" s="48"/>
      <c r="AL4019" s="48"/>
      <c r="AM4019" s="48"/>
      <c r="AN4019" s="48"/>
      <c r="AO4019" s="48"/>
      <c r="AP4019" s="48"/>
      <c r="AQ4019" s="48"/>
      <c r="AR4019" s="48"/>
      <c r="AS4019" s="48"/>
      <c r="AT4019" s="48"/>
      <c r="AU4019" s="48"/>
      <c r="AV4019" s="48"/>
      <c r="AW4019" s="48"/>
      <c r="AX4019" s="48"/>
      <c r="AY4019" s="48"/>
      <c r="AZ4019" s="48"/>
      <c r="BA4019" s="48"/>
      <c r="BB4019" s="14"/>
      <c r="BC4019" s="48"/>
      <c r="BD4019" s="48"/>
      <c r="BE4019" s="48"/>
      <c r="BF4019" s="48"/>
      <c r="BG4019" s="48"/>
      <c r="BH4019" s="48"/>
      <c r="BI4019" s="48"/>
      <c r="BJ4019" s="48"/>
      <c r="BK4019" s="48"/>
      <c r="BL4019" s="48"/>
      <c r="BM4019" s="48"/>
      <c r="BN4019" s="48"/>
      <c r="BO4019" s="48"/>
      <c r="BP4019" s="48"/>
      <c r="BQ4019" s="48"/>
      <c r="BR4019" s="48"/>
      <c r="BS4019" s="48"/>
      <c r="BT4019" s="48"/>
      <c r="BU4019" s="48"/>
      <c r="BV4019" s="48"/>
      <c r="BW4019" s="48"/>
      <c r="BX4019" s="48"/>
      <c r="BY4019" s="48"/>
      <c r="BZ4019" s="48"/>
      <c r="CA4019" s="48"/>
      <c r="CB4019" s="48"/>
      <c r="CC4019" s="48"/>
      <c r="CD4019" s="48"/>
      <c r="CE4019" s="48"/>
      <c r="CF4019" s="48"/>
      <c r="CG4019" s="48"/>
      <c r="CH4019" s="48"/>
      <c r="CI4019" s="48"/>
      <c r="CJ4019" s="48"/>
      <c r="CK4019" s="48"/>
      <c r="CL4019" s="48"/>
      <c r="CM4019" s="48"/>
      <c r="CN4019" s="48"/>
      <c r="CO4019" s="48"/>
      <c r="CP4019" s="48"/>
      <c r="CQ4019" s="48"/>
      <c r="CR4019" s="48"/>
      <c r="CS4019" s="48"/>
      <c r="CT4019" s="48"/>
      <c r="CU4019" s="48"/>
      <c r="CV4019" s="48"/>
      <c r="CW4019" s="48"/>
      <c r="CX4019" s="48"/>
      <c r="CY4019" s="48"/>
      <c r="CZ4019" s="48"/>
    </row>
    <row r="4020" spans="27:104" s="4" customFormat="1" x14ac:dyDescent="0.3">
      <c r="AA4020" s="48"/>
      <c r="AB4020" s="48"/>
      <c r="AC4020" s="48"/>
      <c r="AD4020" s="48"/>
      <c r="AE4020" s="48"/>
      <c r="AF4020" s="48"/>
      <c r="AG4020" s="48"/>
      <c r="AH4020" s="48"/>
      <c r="AI4020" s="48"/>
      <c r="AJ4020" s="48"/>
      <c r="AK4020" s="48"/>
      <c r="AL4020" s="48"/>
      <c r="AM4020" s="48"/>
      <c r="AN4020" s="48"/>
      <c r="AO4020" s="48"/>
      <c r="AP4020" s="48"/>
      <c r="AQ4020" s="48"/>
      <c r="AR4020" s="48"/>
      <c r="AS4020" s="48"/>
      <c r="AT4020" s="48"/>
      <c r="AU4020" s="48"/>
      <c r="AV4020" s="48"/>
      <c r="AW4020" s="48"/>
      <c r="AX4020" s="48"/>
      <c r="AY4020" s="48"/>
      <c r="AZ4020" s="48"/>
      <c r="BA4020" s="48"/>
      <c r="BB4020" s="14"/>
      <c r="BC4020" s="48"/>
      <c r="BD4020" s="48"/>
      <c r="BE4020" s="48"/>
      <c r="BF4020" s="48"/>
      <c r="BG4020" s="48"/>
      <c r="BH4020" s="48"/>
      <c r="BI4020" s="48"/>
      <c r="BJ4020" s="48"/>
      <c r="BK4020" s="48"/>
      <c r="BL4020" s="48"/>
      <c r="BM4020" s="48"/>
      <c r="BN4020" s="48"/>
      <c r="BO4020" s="48"/>
      <c r="BP4020" s="48"/>
      <c r="BQ4020" s="48"/>
      <c r="BR4020" s="48"/>
      <c r="BS4020" s="48"/>
      <c r="BT4020" s="48"/>
      <c r="BU4020" s="48"/>
      <c r="BV4020" s="48"/>
      <c r="BW4020" s="48"/>
      <c r="BX4020" s="48"/>
      <c r="BY4020" s="48"/>
      <c r="BZ4020" s="48"/>
      <c r="CA4020" s="48"/>
      <c r="CB4020" s="48"/>
      <c r="CC4020" s="48"/>
      <c r="CD4020" s="48"/>
      <c r="CE4020" s="48"/>
      <c r="CF4020" s="48"/>
      <c r="CG4020" s="48"/>
      <c r="CH4020" s="48"/>
      <c r="CI4020" s="48"/>
      <c r="CJ4020" s="48"/>
      <c r="CK4020" s="48"/>
      <c r="CL4020" s="48"/>
      <c r="CM4020" s="48"/>
      <c r="CN4020" s="48"/>
      <c r="CO4020" s="48"/>
      <c r="CP4020" s="48"/>
      <c r="CQ4020" s="48"/>
      <c r="CR4020" s="48"/>
      <c r="CS4020" s="48"/>
      <c r="CT4020" s="48"/>
      <c r="CU4020" s="48"/>
      <c r="CV4020" s="48"/>
      <c r="CW4020" s="48"/>
      <c r="CX4020" s="48"/>
      <c r="CY4020" s="48"/>
      <c r="CZ4020" s="48"/>
    </row>
    <row r="4021" spans="27:104" s="4" customFormat="1" x14ac:dyDescent="0.3">
      <c r="AA4021" s="48"/>
      <c r="AB4021" s="48"/>
      <c r="AC4021" s="48"/>
      <c r="AD4021" s="48"/>
      <c r="AE4021" s="48"/>
      <c r="AF4021" s="48"/>
      <c r="AG4021" s="48"/>
      <c r="AH4021" s="48"/>
      <c r="AI4021" s="48"/>
      <c r="AJ4021" s="48"/>
      <c r="AK4021" s="48"/>
      <c r="AL4021" s="48"/>
      <c r="AM4021" s="48"/>
      <c r="AN4021" s="48"/>
      <c r="AO4021" s="48"/>
      <c r="AP4021" s="48"/>
      <c r="AQ4021" s="48"/>
      <c r="AR4021" s="48"/>
      <c r="AS4021" s="48"/>
      <c r="AT4021" s="48"/>
      <c r="AU4021" s="48"/>
      <c r="AV4021" s="48"/>
      <c r="AW4021" s="48"/>
      <c r="AX4021" s="48"/>
      <c r="AY4021" s="48"/>
      <c r="AZ4021" s="48"/>
      <c r="BA4021" s="48"/>
      <c r="BB4021" s="14"/>
      <c r="BC4021" s="48"/>
      <c r="BD4021" s="48"/>
      <c r="BE4021" s="48"/>
      <c r="BF4021" s="48"/>
      <c r="BG4021" s="48"/>
      <c r="BH4021" s="48"/>
      <c r="BI4021" s="48"/>
      <c r="BJ4021" s="48"/>
      <c r="BK4021" s="48"/>
      <c r="BL4021" s="48"/>
      <c r="BM4021" s="48"/>
      <c r="BN4021" s="48"/>
      <c r="BO4021" s="48"/>
      <c r="BP4021" s="48"/>
      <c r="BQ4021" s="48"/>
      <c r="BR4021" s="48"/>
      <c r="BS4021" s="48"/>
      <c r="BT4021" s="48"/>
      <c r="BU4021" s="48"/>
      <c r="BV4021" s="48"/>
      <c r="BW4021" s="48"/>
      <c r="BX4021" s="48"/>
      <c r="BY4021" s="48"/>
      <c r="BZ4021" s="48"/>
      <c r="CA4021" s="48"/>
      <c r="CB4021" s="48"/>
      <c r="CC4021" s="48"/>
      <c r="CD4021" s="48"/>
      <c r="CE4021" s="48"/>
      <c r="CF4021" s="48"/>
      <c r="CG4021" s="48"/>
      <c r="CH4021" s="48"/>
      <c r="CI4021" s="48"/>
      <c r="CJ4021" s="48"/>
      <c r="CK4021" s="48"/>
      <c r="CL4021" s="48"/>
      <c r="CM4021" s="48"/>
      <c r="CN4021" s="48"/>
      <c r="CO4021" s="48"/>
      <c r="CP4021" s="48"/>
      <c r="CQ4021" s="48"/>
      <c r="CR4021" s="48"/>
      <c r="CS4021" s="48"/>
      <c r="CT4021" s="48"/>
      <c r="CU4021" s="48"/>
      <c r="CV4021" s="48"/>
      <c r="CW4021" s="48"/>
      <c r="CX4021" s="48"/>
      <c r="CY4021" s="48"/>
      <c r="CZ4021" s="48"/>
    </row>
    <row r="4022" spans="27:104" s="4" customFormat="1" x14ac:dyDescent="0.3">
      <c r="AA4022" s="48"/>
      <c r="AB4022" s="48"/>
      <c r="AC4022" s="48"/>
      <c r="AD4022" s="48"/>
      <c r="AE4022" s="48"/>
      <c r="AF4022" s="48"/>
      <c r="AG4022" s="48"/>
      <c r="AH4022" s="48"/>
      <c r="AI4022" s="48"/>
      <c r="AJ4022" s="48"/>
      <c r="AK4022" s="48"/>
      <c r="AL4022" s="48"/>
      <c r="AM4022" s="48"/>
      <c r="AN4022" s="48"/>
      <c r="AO4022" s="48"/>
      <c r="AP4022" s="48"/>
      <c r="AQ4022" s="48"/>
      <c r="AR4022" s="48"/>
      <c r="AS4022" s="48"/>
      <c r="AT4022" s="48"/>
      <c r="AU4022" s="48"/>
      <c r="AV4022" s="48"/>
      <c r="AW4022" s="48"/>
      <c r="AX4022" s="48"/>
      <c r="AY4022" s="48"/>
      <c r="AZ4022" s="48"/>
      <c r="BA4022" s="48"/>
      <c r="BB4022" s="14"/>
      <c r="BC4022" s="48"/>
      <c r="BD4022" s="48"/>
      <c r="BE4022" s="48"/>
      <c r="BF4022" s="48"/>
      <c r="BG4022" s="48"/>
      <c r="BH4022" s="48"/>
      <c r="BI4022" s="48"/>
      <c r="BJ4022" s="48"/>
      <c r="BK4022" s="48"/>
      <c r="BL4022" s="48"/>
      <c r="BM4022" s="48"/>
      <c r="BN4022" s="48"/>
      <c r="BO4022" s="48"/>
      <c r="BP4022" s="48"/>
      <c r="BQ4022" s="48"/>
      <c r="BR4022" s="48"/>
      <c r="BS4022" s="48"/>
      <c r="BT4022" s="48"/>
      <c r="BU4022" s="48"/>
      <c r="BV4022" s="48"/>
      <c r="BW4022" s="48"/>
      <c r="BX4022" s="48"/>
      <c r="BY4022" s="48"/>
      <c r="BZ4022" s="48"/>
      <c r="CA4022" s="48"/>
      <c r="CB4022" s="48"/>
      <c r="CC4022" s="48"/>
      <c r="CD4022" s="48"/>
      <c r="CE4022" s="48"/>
      <c r="CF4022" s="48"/>
      <c r="CG4022" s="48"/>
      <c r="CH4022" s="48"/>
      <c r="CI4022" s="48"/>
      <c r="CJ4022" s="48"/>
      <c r="CK4022" s="48"/>
      <c r="CL4022" s="48"/>
      <c r="CM4022" s="48"/>
      <c r="CN4022" s="48"/>
      <c r="CO4022" s="48"/>
      <c r="CP4022" s="48"/>
      <c r="CQ4022" s="48"/>
      <c r="CR4022" s="48"/>
      <c r="CS4022" s="48"/>
      <c r="CT4022" s="48"/>
      <c r="CU4022" s="48"/>
      <c r="CV4022" s="48"/>
      <c r="CW4022" s="48"/>
      <c r="CX4022" s="48"/>
      <c r="CY4022" s="48"/>
      <c r="CZ4022" s="48"/>
    </row>
    <row r="4023" spans="27:104" s="4" customFormat="1" x14ac:dyDescent="0.3">
      <c r="AA4023" s="48"/>
      <c r="AB4023" s="48"/>
      <c r="AC4023" s="48"/>
      <c r="AD4023" s="48"/>
      <c r="AE4023" s="48"/>
      <c r="AF4023" s="48"/>
      <c r="AG4023" s="48"/>
      <c r="AH4023" s="48"/>
      <c r="AI4023" s="48"/>
      <c r="AJ4023" s="48"/>
      <c r="AK4023" s="48"/>
      <c r="AL4023" s="48"/>
      <c r="AM4023" s="48"/>
      <c r="AN4023" s="48"/>
      <c r="AO4023" s="48"/>
      <c r="AP4023" s="48"/>
      <c r="AQ4023" s="48"/>
      <c r="AR4023" s="48"/>
      <c r="AS4023" s="48"/>
      <c r="AT4023" s="48"/>
      <c r="AU4023" s="48"/>
      <c r="AV4023" s="48"/>
      <c r="AW4023" s="48"/>
      <c r="AX4023" s="48"/>
      <c r="AY4023" s="48"/>
      <c r="AZ4023" s="48"/>
      <c r="BA4023" s="48"/>
      <c r="BB4023" s="14"/>
      <c r="BC4023" s="48"/>
      <c r="BD4023" s="48"/>
      <c r="BE4023" s="48"/>
      <c r="BF4023" s="48"/>
      <c r="BG4023" s="48"/>
      <c r="BH4023" s="48"/>
      <c r="BI4023" s="48"/>
      <c r="BJ4023" s="48"/>
      <c r="BK4023" s="48"/>
      <c r="BL4023" s="48"/>
      <c r="BM4023" s="48"/>
      <c r="BN4023" s="48"/>
      <c r="BO4023" s="48"/>
      <c r="BP4023" s="48"/>
      <c r="BQ4023" s="48"/>
      <c r="BR4023" s="48"/>
      <c r="BS4023" s="48"/>
      <c r="BT4023" s="48"/>
      <c r="BU4023" s="48"/>
      <c r="BV4023" s="48"/>
      <c r="BW4023" s="48"/>
      <c r="BX4023" s="48"/>
      <c r="BY4023" s="48"/>
      <c r="BZ4023" s="48"/>
      <c r="CA4023" s="48"/>
      <c r="CB4023" s="48"/>
      <c r="CC4023" s="48"/>
      <c r="CD4023" s="48"/>
      <c r="CE4023" s="48"/>
      <c r="CF4023" s="48"/>
      <c r="CG4023" s="48"/>
      <c r="CH4023" s="48"/>
      <c r="CI4023" s="48"/>
      <c r="CJ4023" s="48"/>
      <c r="CK4023" s="48"/>
      <c r="CL4023" s="48"/>
      <c r="CM4023" s="48"/>
      <c r="CN4023" s="48"/>
      <c r="CO4023" s="48"/>
      <c r="CP4023" s="48"/>
      <c r="CQ4023" s="48"/>
      <c r="CR4023" s="48"/>
      <c r="CS4023" s="48"/>
      <c r="CT4023" s="48"/>
      <c r="CU4023" s="48"/>
      <c r="CV4023" s="48"/>
      <c r="CW4023" s="48"/>
      <c r="CX4023" s="48"/>
      <c r="CY4023" s="48"/>
      <c r="CZ4023" s="48"/>
    </row>
    <row r="4024" spans="27:104" s="4" customFormat="1" x14ac:dyDescent="0.3">
      <c r="AA4024" s="48"/>
      <c r="AB4024" s="48"/>
      <c r="AC4024" s="48"/>
      <c r="AD4024" s="48"/>
      <c r="AE4024" s="48"/>
      <c r="AF4024" s="48"/>
      <c r="AG4024" s="48"/>
      <c r="AH4024" s="48"/>
      <c r="AI4024" s="48"/>
      <c r="AJ4024" s="48"/>
      <c r="AK4024" s="48"/>
      <c r="AL4024" s="48"/>
      <c r="AM4024" s="48"/>
      <c r="AN4024" s="48"/>
      <c r="AO4024" s="48"/>
      <c r="AP4024" s="48"/>
      <c r="AQ4024" s="48"/>
      <c r="AR4024" s="48"/>
      <c r="AS4024" s="48"/>
      <c r="AT4024" s="48"/>
      <c r="AU4024" s="48"/>
      <c r="AV4024" s="48"/>
      <c r="AW4024" s="48"/>
      <c r="AX4024" s="48"/>
      <c r="AY4024" s="48"/>
      <c r="AZ4024" s="48"/>
      <c r="BA4024" s="48"/>
      <c r="BB4024" s="14"/>
      <c r="BC4024" s="48"/>
      <c r="BD4024" s="48"/>
      <c r="BE4024" s="48"/>
      <c r="BF4024" s="48"/>
      <c r="BG4024" s="48"/>
      <c r="BH4024" s="48"/>
      <c r="BI4024" s="48"/>
      <c r="BJ4024" s="48"/>
      <c r="BK4024" s="48"/>
      <c r="BL4024" s="48"/>
      <c r="BM4024" s="48"/>
      <c r="BN4024" s="48"/>
      <c r="BO4024" s="48"/>
      <c r="BP4024" s="48"/>
      <c r="BQ4024" s="48"/>
      <c r="BR4024" s="48"/>
      <c r="BS4024" s="48"/>
      <c r="BT4024" s="48"/>
      <c r="BU4024" s="48"/>
      <c r="BV4024" s="48"/>
      <c r="BW4024" s="48"/>
      <c r="BX4024" s="48"/>
      <c r="BY4024" s="48"/>
      <c r="BZ4024" s="48"/>
      <c r="CA4024" s="48"/>
      <c r="CB4024" s="48"/>
      <c r="CC4024" s="48"/>
      <c r="CD4024" s="48"/>
      <c r="CE4024" s="48"/>
      <c r="CF4024" s="48"/>
      <c r="CG4024" s="48"/>
      <c r="CH4024" s="48"/>
      <c r="CI4024" s="48"/>
      <c r="CJ4024" s="48"/>
      <c r="CK4024" s="48"/>
      <c r="CL4024" s="48"/>
      <c r="CM4024" s="48"/>
      <c r="CN4024" s="48"/>
      <c r="CO4024" s="48"/>
      <c r="CP4024" s="48"/>
      <c r="CQ4024" s="48"/>
      <c r="CR4024" s="48"/>
      <c r="CS4024" s="48"/>
      <c r="CT4024" s="48"/>
      <c r="CU4024" s="48"/>
      <c r="CV4024" s="48"/>
      <c r="CW4024" s="48"/>
      <c r="CX4024" s="48"/>
      <c r="CY4024" s="48"/>
      <c r="CZ4024" s="48"/>
    </row>
    <row r="4025" spans="27:104" s="4" customFormat="1" x14ac:dyDescent="0.3">
      <c r="AA4025" s="48"/>
      <c r="AB4025" s="48"/>
      <c r="AC4025" s="48"/>
      <c r="AD4025" s="48"/>
      <c r="AE4025" s="48"/>
      <c r="AF4025" s="48"/>
      <c r="AG4025" s="48"/>
      <c r="AH4025" s="48"/>
      <c r="AI4025" s="48"/>
      <c r="AJ4025" s="48"/>
      <c r="AK4025" s="48"/>
      <c r="AL4025" s="48"/>
      <c r="AM4025" s="48"/>
      <c r="AN4025" s="48"/>
      <c r="AO4025" s="48"/>
      <c r="AP4025" s="48"/>
      <c r="AQ4025" s="48"/>
      <c r="AR4025" s="48"/>
      <c r="AS4025" s="48"/>
      <c r="AT4025" s="48"/>
      <c r="AU4025" s="48"/>
      <c r="AV4025" s="48"/>
      <c r="AW4025" s="48"/>
      <c r="AX4025" s="48"/>
      <c r="AY4025" s="48"/>
      <c r="AZ4025" s="48"/>
      <c r="BA4025" s="48"/>
      <c r="BB4025" s="14"/>
      <c r="BC4025" s="48"/>
      <c r="BD4025" s="48"/>
      <c r="BE4025" s="48"/>
      <c r="BF4025" s="48"/>
      <c r="BG4025" s="48"/>
      <c r="BH4025" s="48"/>
      <c r="BI4025" s="48"/>
      <c r="BJ4025" s="48"/>
      <c r="BK4025" s="48"/>
      <c r="BL4025" s="48"/>
      <c r="BM4025" s="48"/>
      <c r="BN4025" s="48"/>
      <c r="BO4025" s="48"/>
      <c r="BP4025" s="48"/>
      <c r="BQ4025" s="48"/>
      <c r="BR4025" s="48"/>
      <c r="BS4025" s="48"/>
      <c r="BT4025" s="48"/>
      <c r="BU4025" s="48"/>
      <c r="BV4025" s="48"/>
      <c r="BW4025" s="48"/>
      <c r="BX4025" s="48"/>
      <c r="BY4025" s="48"/>
      <c r="BZ4025" s="48"/>
      <c r="CA4025" s="48"/>
      <c r="CB4025" s="48"/>
      <c r="CC4025" s="48"/>
      <c r="CD4025" s="48"/>
      <c r="CE4025" s="48"/>
      <c r="CF4025" s="48"/>
      <c r="CG4025" s="48"/>
      <c r="CH4025" s="48"/>
      <c r="CI4025" s="48"/>
      <c r="CJ4025" s="48"/>
      <c r="CK4025" s="48"/>
      <c r="CL4025" s="48"/>
      <c r="CM4025" s="48"/>
      <c r="CN4025" s="48"/>
      <c r="CO4025" s="48"/>
      <c r="CP4025" s="48"/>
      <c r="CQ4025" s="48"/>
      <c r="CR4025" s="48"/>
      <c r="CS4025" s="48"/>
      <c r="CT4025" s="48"/>
      <c r="CU4025" s="48"/>
      <c r="CV4025" s="48"/>
      <c r="CW4025" s="48"/>
      <c r="CX4025" s="48"/>
      <c r="CY4025" s="48"/>
      <c r="CZ4025" s="48"/>
    </row>
    <row r="4026" spans="27:104" s="4" customFormat="1" x14ac:dyDescent="0.3">
      <c r="AA4026" s="48"/>
      <c r="AB4026" s="48"/>
      <c r="AC4026" s="48"/>
      <c r="AD4026" s="48"/>
      <c r="AE4026" s="48"/>
      <c r="AF4026" s="48"/>
      <c r="AG4026" s="48"/>
      <c r="AH4026" s="48"/>
      <c r="AI4026" s="48"/>
      <c r="AJ4026" s="48"/>
      <c r="AK4026" s="48"/>
      <c r="AL4026" s="48"/>
      <c r="AM4026" s="48"/>
      <c r="AN4026" s="48"/>
      <c r="AO4026" s="48"/>
      <c r="AP4026" s="48"/>
      <c r="AQ4026" s="48"/>
      <c r="AR4026" s="48"/>
      <c r="AS4026" s="48"/>
      <c r="AT4026" s="48"/>
      <c r="AU4026" s="48"/>
      <c r="AV4026" s="48"/>
      <c r="AW4026" s="48"/>
      <c r="AX4026" s="48"/>
      <c r="AY4026" s="48"/>
      <c r="AZ4026" s="48"/>
      <c r="BA4026" s="48"/>
      <c r="BB4026" s="14"/>
      <c r="BC4026" s="48"/>
      <c r="BD4026" s="48"/>
      <c r="BE4026" s="48"/>
      <c r="BF4026" s="48"/>
      <c r="BG4026" s="48"/>
      <c r="BH4026" s="48"/>
      <c r="BI4026" s="48"/>
      <c r="BJ4026" s="48"/>
      <c r="BK4026" s="48"/>
      <c r="BL4026" s="48"/>
      <c r="BM4026" s="48"/>
      <c r="BN4026" s="48"/>
      <c r="BO4026" s="48"/>
      <c r="BP4026" s="48"/>
      <c r="BQ4026" s="48"/>
      <c r="BR4026" s="48"/>
      <c r="BS4026" s="48"/>
      <c r="BT4026" s="48"/>
      <c r="BU4026" s="48"/>
      <c r="BV4026" s="48"/>
      <c r="BW4026" s="48"/>
      <c r="BX4026" s="48"/>
      <c r="BY4026" s="48"/>
      <c r="BZ4026" s="48"/>
      <c r="CA4026" s="48"/>
      <c r="CB4026" s="48"/>
      <c r="CC4026" s="48"/>
      <c r="CD4026" s="48"/>
      <c r="CE4026" s="48"/>
      <c r="CF4026" s="48"/>
      <c r="CG4026" s="48"/>
      <c r="CH4026" s="48"/>
      <c r="CI4026" s="48"/>
      <c r="CJ4026" s="48"/>
      <c r="CK4026" s="48"/>
      <c r="CL4026" s="48"/>
      <c r="CM4026" s="48"/>
      <c r="CN4026" s="48"/>
      <c r="CO4026" s="48"/>
      <c r="CP4026" s="48"/>
      <c r="CQ4026" s="48"/>
      <c r="CR4026" s="48"/>
      <c r="CS4026" s="48"/>
      <c r="CT4026" s="48"/>
      <c r="CU4026" s="48"/>
      <c r="CV4026" s="48"/>
      <c r="CW4026" s="48"/>
      <c r="CX4026" s="48"/>
      <c r="CY4026" s="48"/>
      <c r="CZ4026" s="48"/>
    </row>
    <row r="4027" spans="27:104" s="4" customFormat="1" x14ac:dyDescent="0.3">
      <c r="AA4027" s="48"/>
      <c r="AB4027" s="48"/>
      <c r="AC4027" s="48"/>
      <c r="AD4027" s="48"/>
      <c r="AE4027" s="48"/>
      <c r="AF4027" s="48"/>
      <c r="AG4027" s="48"/>
      <c r="AH4027" s="48"/>
      <c r="AI4027" s="48"/>
      <c r="AJ4027" s="48"/>
      <c r="AK4027" s="48"/>
      <c r="AL4027" s="48"/>
      <c r="AM4027" s="48"/>
      <c r="AN4027" s="48"/>
      <c r="AO4027" s="48"/>
      <c r="AP4027" s="48"/>
      <c r="AQ4027" s="48"/>
      <c r="AR4027" s="48"/>
      <c r="AS4027" s="48"/>
      <c r="AT4027" s="48"/>
      <c r="AU4027" s="48"/>
      <c r="AV4027" s="48"/>
      <c r="AW4027" s="48"/>
      <c r="AX4027" s="48"/>
      <c r="AY4027" s="48"/>
      <c r="AZ4027" s="48"/>
      <c r="BA4027" s="48"/>
      <c r="BB4027" s="14"/>
      <c r="BC4027" s="48"/>
      <c r="BD4027" s="48"/>
      <c r="BE4027" s="48"/>
      <c r="BF4027" s="48"/>
      <c r="BG4027" s="48"/>
      <c r="BH4027" s="48"/>
      <c r="BI4027" s="48"/>
      <c r="BJ4027" s="48"/>
      <c r="BK4027" s="48"/>
      <c r="BL4027" s="48"/>
      <c r="BM4027" s="48"/>
      <c r="BN4027" s="48"/>
      <c r="BO4027" s="48"/>
      <c r="BP4027" s="48"/>
      <c r="BQ4027" s="48"/>
      <c r="BR4027" s="48"/>
      <c r="BS4027" s="48"/>
      <c r="BT4027" s="48"/>
      <c r="BU4027" s="48"/>
      <c r="BV4027" s="48"/>
      <c r="BW4027" s="48"/>
      <c r="BX4027" s="48"/>
      <c r="BY4027" s="48"/>
      <c r="BZ4027" s="48"/>
      <c r="CA4027" s="48"/>
      <c r="CB4027" s="48"/>
      <c r="CC4027" s="48"/>
      <c r="CD4027" s="48"/>
      <c r="CE4027" s="48"/>
      <c r="CF4027" s="48"/>
      <c r="CG4027" s="48"/>
      <c r="CH4027" s="48"/>
      <c r="CI4027" s="48"/>
      <c r="CJ4027" s="48"/>
      <c r="CK4027" s="48"/>
      <c r="CL4027" s="48"/>
      <c r="CM4027" s="48"/>
      <c r="CN4027" s="48"/>
      <c r="CO4027" s="48"/>
      <c r="CP4027" s="48"/>
      <c r="CQ4027" s="48"/>
      <c r="CR4027" s="48"/>
      <c r="CS4027" s="48"/>
      <c r="CT4027" s="48"/>
      <c r="CU4027" s="48"/>
      <c r="CV4027" s="48"/>
      <c r="CW4027" s="48"/>
      <c r="CX4027" s="48"/>
      <c r="CY4027" s="48"/>
      <c r="CZ4027" s="48"/>
    </row>
    <row r="4028" spans="27:104" s="4" customFormat="1" x14ac:dyDescent="0.3">
      <c r="AA4028" s="48"/>
      <c r="AB4028" s="48"/>
      <c r="AC4028" s="48"/>
      <c r="AD4028" s="48"/>
      <c r="AE4028" s="48"/>
      <c r="AF4028" s="48"/>
      <c r="AG4028" s="48"/>
      <c r="AH4028" s="48"/>
      <c r="AI4028" s="48"/>
      <c r="AJ4028" s="48"/>
      <c r="AK4028" s="48"/>
      <c r="AL4028" s="48"/>
      <c r="AM4028" s="48"/>
      <c r="AN4028" s="48"/>
      <c r="AO4028" s="48"/>
      <c r="AP4028" s="48"/>
      <c r="AQ4028" s="48"/>
      <c r="AR4028" s="48"/>
      <c r="AS4028" s="48"/>
      <c r="AT4028" s="48"/>
      <c r="AU4028" s="48"/>
      <c r="AV4028" s="48"/>
      <c r="AW4028" s="48"/>
      <c r="AX4028" s="48"/>
      <c r="AY4028" s="48"/>
      <c r="AZ4028" s="48"/>
      <c r="BA4028" s="48"/>
      <c r="BB4028" s="14"/>
      <c r="BC4028" s="48"/>
      <c r="BD4028" s="48"/>
      <c r="BE4028" s="48"/>
      <c r="BF4028" s="48"/>
      <c r="BG4028" s="48"/>
      <c r="BH4028" s="48"/>
      <c r="BI4028" s="48"/>
      <c r="BJ4028" s="48"/>
      <c r="BK4028" s="48"/>
      <c r="BL4028" s="48"/>
      <c r="BM4028" s="48"/>
      <c r="BN4028" s="48"/>
      <c r="BO4028" s="48"/>
      <c r="BP4028" s="48"/>
      <c r="BQ4028" s="48"/>
      <c r="BR4028" s="48"/>
      <c r="BS4028" s="48"/>
      <c r="BT4028" s="48"/>
      <c r="BU4028" s="48"/>
      <c r="BV4028" s="48"/>
      <c r="BW4028" s="48"/>
      <c r="BX4028" s="48"/>
      <c r="BY4028" s="48"/>
      <c r="BZ4028" s="48"/>
      <c r="CA4028" s="48"/>
      <c r="CB4028" s="48"/>
      <c r="CC4028" s="48"/>
      <c r="CD4028" s="48"/>
      <c r="CE4028" s="48"/>
      <c r="CF4028" s="48"/>
      <c r="CG4028" s="48"/>
      <c r="CH4028" s="48"/>
      <c r="CI4028" s="48"/>
      <c r="CJ4028" s="48"/>
      <c r="CK4028" s="48"/>
      <c r="CL4028" s="48"/>
      <c r="CM4028" s="48"/>
      <c r="CN4028" s="48"/>
      <c r="CO4028" s="48"/>
      <c r="CP4028" s="48"/>
      <c r="CQ4028" s="48"/>
      <c r="CR4028" s="48"/>
      <c r="CS4028" s="48"/>
      <c r="CT4028" s="48"/>
      <c r="CU4028" s="48"/>
      <c r="CV4028" s="48"/>
      <c r="CW4028" s="48"/>
      <c r="CX4028" s="48"/>
      <c r="CY4028" s="48"/>
      <c r="CZ4028" s="48"/>
    </row>
    <row r="4029" spans="27:104" s="4" customFormat="1" x14ac:dyDescent="0.3">
      <c r="AA4029" s="48"/>
      <c r="AB4029" s="48"/>
      <c r="AC4029" s="48"/>
      <c r="AD4029" s="48"/>
      <c r="AE4029" s="48"/>
      <c r="AF4029" s="48"/>
      <c r="AG4029" s="48"/>
      <c r="AH4029" s="48"/>
      <c r="AI4029" s="48"/>
      <c r="AJ4029" s="48"/>
      <c r="AK4029" s="48"/>
      <c r="AL4029" s="48"/>
      <c r="AM4029" s="48"/>
      <c r="AN4029" s="48"/>
      <c r="AO4029" s="48"/>
      <c r="AP4029" s="48"/>
      <c r="AQ4029" s="48"/>
      <c r="AR4029" s="48"/>
      <c r="AS4029" s="48"/>
      <c r="AT4029" s="48"/>
      <c r="AU4029" s="48"/>
      <c r="AV4029" s="48"/>
      <c r="AW4029" s="48"/>
      <c r="AX4029" s="48"/>
      <c r="AY4029" s="48"/>
      <c r="AZ4029" s="48"/>
      <c r="BA4029" s="48"/>
      <c r="BB4029" s="14"/>
      <c r="BC4029" s="48"/>
      <c r="BD4029" s="48"/>
      <c r="BE4029" s="48"/>
      <c r="BF4029" s="48"/>
      <c r="BG4029" s="48"/>
      <c r="BH4029" s="48"/>
      <c r="BI4029" s="48"/>
      <c r="BJ4029" s="48"/>
      <c r="BK4029" s="48"/>
      <c r="BL4029" s="48"/>
      <c r="BM4029" s="48"/>
      <c r="BN4029" s="48"/>
      <c r="BO4029" s="48"/>
      <c r="BP4029" s="48"/>
      <c r="BQ4029" s="48"/>
      <c r="BR4029" s="48"/>
      <c r="BS4029" s="48"/>
      <c r="BT4029" s="48"/>
      <c r="BU4029" s="48"/>
      <c r="BV4029" s="48"/>
      <c r="BW4029" s="48"/>
      <c r="BX4029" s="48"/>
      <c r="BY4029" s="48"/>
      <c r="BZ4029" s="48"/>
      <c r="CA4029" s="48"/>
      <c r="CB4029" s="48"/>
      <c r="CC4029" s="48"/>
      <c r="CD4029" s="48"/>
      <c r="CE4029" s="48"/>
      <c r="CF4029" s="48"/>
      <c r="CG4029" s="48"/>
      <c r="CH4029" s="48"/>
      <c r="CI4029" s="48"/>
      <c r="CJ4029" s="48"/>
      <c r="CK4029" s="48"/>
      <c r="CL4029" s="48"/>
      <c r="CM4029" s="48"/>
      <c r="CN4029" s="48"/>
      <c r="CO4029" s="48"/>
      <c r="CP4029" s="48"/>
      <c r="CQ4029" s="48"/>
      <c r="CR4029" s="48"/>
      <c r="CS4029" s="48"/>
      <c r="CT4029" s="48"/>
      <c r="CU4029" s="48"/>
      <c r="CV4029" s="48"/>
      <c r="CW4029" s="48"/>
      <c r="CX4029" s="48"/>
      <c r="CY4029" s="48"/>
      <c r="CZ4029" s="48"/>
    </row>
    <row r="4030" spans="27:104" s="4" customFormat="1" x14ac:dyDescent="0.3">
      <c r="AA4030" s="48"/>
      <c r="AB4030" s="48"/>
      <c r="AC4030" s="48"/>
      <c r="AD4030" s="48"/>
      <c r="AE4030" s="48"/>
      <c r="AF4030" s="48"/>
      <c r="AG4030" s="48"/>
      <c r="AH4030" s="48"/>
      <c r="AI4030" s="48"/>
      <c r="AJ4030" s="48"/>
      <c r="AK4030" s="48"/>
      <c r="AL4030" s="48"/>
      <c r="AM4030" s="48"/>
      <c r="AN4030" s="48"/>
      <c r="AO4030" s="48"/>
      <c r="AP4030" s="48"/>
      <c r="AQ4030" s="48"/>
      <c r="AR4030" s="48"/>
      <c r="AS4030" s="48"/>
      <c r="AT4030" s="48"/>
      <c r="AU4030" s="48"/>
      <c r="AV4030" s="48"/>
      <c r="AW4030" s="48"/>
      <c r="AX4030" s="48"/>
      <c r="AY4030" s="48"/>
      <c r="AZ4030" s="48"/>
      <c r="BA4030" s="48"/>
      <c r="BB4030" s="14"/>
      <c r="BC4030" s="48"/>
      <c r="BD4030" s="48"/>
      <c r="BE4030" s="48"/>
      <c r="BF4030" s="48"/>
      <c r="BG4030" s="48"/>
      <c r="BH4030" s="48"/>
      <c r="BI4030" s="48"/>
      <c r="BJ4030" s="48"/>
      <c r="BK4030" s="48"/>
      <c r="BL4030" s="48"/>
      <c r="BM4030" s="48"/>
      <c r="BN4030" s="48"/>
      <c r="BO4030" s="48"/>
      <c r="BP4030" s="48"/>
      <c r="BQ4030" s="48"/>
      <c r="BR4030" s="48"/>
      <c r="BS4030" s="48"/>
      <c r="BT4030" s="48"/>
      <c r="BU4030" s="48"/>
      <c r="BV4030" s="48"/>
      <c r="BW4030" s="48"/>
      <c r="BX4030" s="48"/>
      <c r="BY4030" s="48"/>
      <c r="BZ4030" s="48"/>
      <c r="CA4030" s="48"/>
      <c r="CB4030" s="48"/>
      <c r="CC4030" s="48"/>
      <c r="CD4030" s="48"/>
      <c r="CE4030" s="48"/>
      <c r="CF4030" s="48"/>
      <c r="CG4030" s="48"/>
      <c r="CH4030" s="48"/>
      <c r="CI4030" s="48"/>
      <c r="CJ4030" s="48"/>
      <c r="CK4030" s="48"/>
      <c r="CL4030" s="48"/>
      <c r="CM4030" s="48"/>
      <c r="CN4030" s="48"/>
      <c r="CO4030" s="48"/>
      <c r="CP4030" s="48"/>
      <c r="CQ4030" s="48"/>
      <c r="CR4030" s="48"/>
      <c r="CS4030" s="48"/>
      <c r="CT4030" s="48"/>
      <c r="CU4030" s="48"/>
      <c r="CV4030" s="48"/>
      <c r="CW4030" s="48"/>
      <c r="CX4030" s="48"/>
      <c r="CY4030" s="48"/>
      <c r="CZ4030" s="48"/>
    </row>
    <row r="4031" spans="27:104" s="4" customFormat="1" x14ac:dyDescent="0.3">
      <c r="AA4031" s="48"/>
      <c r="AB4031" s="48"/>
      <c r="AC4031" s="48"/>
      <c r="AD4031" s="48"/>
      <c r="AE4031" s="48"/>
      <c r="AF4031" s="48"/>
      <c r="AG4031" s="48"/>
      <c r="AH4031" s="48"/>
      <c r="AI4031" s="48"/>
      <c r="AJ4031" s="48"/>
      <c r="AK4031" s="48"/>
      <c r="AL4031" s="48"/>
      <c r="AM4031" s="48"/>
      <c r="AN4031" s="48"/>
      <c r="AO4031" s="48"/>
      <c r="AP4031" s="48"/>
      <c r="AQ4031" s="48"/>
      <c r="AR4031" s="48"/>
      <c r="AS4031" s="48"/>
      <c r="AT4031" s="48"/>
      <c r="AU4031" s="48"/>
      <c r="AV4031" s="48"/>
      <c r="AW4031" s="48"/>
      <c r="AX4031" s="48"/>
      <c r="AY4031" s="48"/>
      <c r="AZ4031" s="48"/>
      <c r="BA4031" s="48"/>
      <c r="BB4031" s="14"/>
      <c r="BC4031" s="48"/>
      <c r="BD4031" s="48"/>
      <c r="BE4031" s="48"/>
      <c r="BF4031" s="48"/>
      <c r="BG4031" s="48"/>
      <c r="BH4031" s="48"/>
      <c r="BI4031" s="48"/>
      <c r="BJ4031" s="48"/>
      <c r="BK4031" s="48"/>
      <c r="BL4031" s="48"/>
      <c r="BM4031" s="48"/>
      <c r="BN4031" s="48"/>
      <c r="BO4031" s="48"/>
      <c r="BP4031" s="48"/>
      <c r="BQ4031" s="48"/>
      <c r="BR4031" s="48"/>
      <c r="BS4031" s="48"/>
      <c r="BT4031" s="48"/>
      <c r="BU4031" s="48"/>
      <c r="BV4031" s="48"/>
      <c r="BW4031" s="48"/>
      <c r="BX4031" s="48"/>
      <c r="BY4031" s="48"/>
      <c r="BZ4031" s="48"/>
      <c r="CA4031" s="48"/>
      <c r="CB4031" s="48"/>
      <c r="CC4031" s="48"/>
      <c r="CD4031" s="48"/>
      <c r="CE4031" s="48"/>
      <c r="CF4031" s="48"/>
      <c r="CG4031" s="48"/>
      <c r="CH4031" s="48"/>
      <c r="CI4031" s="48"/>
      <c r="CJ4031" s="48"/>
      <c r="CK4031" s="48"/>
      <c r="CL4031" s="48"/>
      <c r="CM4031" s="48"/>
      <c r="CN4031" s="48"/>
      <c r="CO4031" s="48"/>
      <c r="CP4031" s="48"/>
      <c r="CQ4031" s="48"/>
      <c r="CR4031" s="48"/>
      <c r="CS4031" s="48"/>
      <c r="CT4031" s="48"/>
      <c r="CU4031" s="48"/>
      <c r="CV4031" s="48"/>
      <c r="CW4031" s="48"/>
      <c r="CX4031" s="48"/>
      <c r="CY4031" s="48"/>
      <c r="CZ4031" s="48"/>
    </row>
    <row r="4032" spans="27:104" s="4" customFormat="1" x14ac:dyDescent="0.3">
      <c r="AA4032" s="48"/>
      <c r="AB4032" s="48"/>
      <c r="AC4032" s="48"/>
      <c r="AD4032" s="48"/>
      <c r="AE4032" s="48"/>
      <c r="AF4032" s="48"/>
      <c r="AG4032" s="48"/>
      <c r="AH4032" s="48"/>
      <c r="AI4032" s="48"/>
      <c r="AJ4032" s="48"/>
      <c r="AK4032" s="48"/>
      <c r="AL4032" s="48"/>
      <c r="AM4032" s="48"/>
      <c r="AN4032" s="48"/>
      <c r="AO4032" s="48"/>
      <c r="AP4032" s="48"/>
      <c r="AQ4032" s="48"/>
      <c r="AR4032" s="48"/>
      <c r="AS4032" s="48"/>
      <c r="AT4032" s="48"/>
      <c r="AU4032" s="48"/>
      <c r="AV4032" s="48"/>
      <c r="AW4032" s="48"/>
      <c r="AX4032" s="48"/>
      <c r="AY4032" s="48"/>
      <c r="AZ4032" s="48"/>
      <c r="BA4032" s="48"/>
      <c r="BB4032" s="14"/>
      <c r="BC4032" s="48"/>
      <c r="BD4032" s="48"/>
      <c r="BE4032" s="48"/>
      <c r="BF4032" s="48"/>
      <c r="BG4032" s="48"/>
      <c r="BH4032" s="48"/>
      <c r="BI4032" s="48"/>
      <c r="BJ4032" s="48"/>
      <c r="BK4032" s="48"/>
      <c r="BL4032" s="48"/>
      <c r="BM4032" s="48"/>
      <c r="BN4032" s="48"/>
      <c r="BO4032" s="48"/>
      <c r="BP4032" s="48"/>
      <c r="BQ4032" s="48"/>
      <c r="BR4032" s="48"/>
      <c r="BS4032" s="48"/>
      <c r="BT4032" s="48"/>
      <c r="BU4032" s="48"/>
      <c r="BV4032" s="48"/>
      <c r="BW4032" s="48"/>
      <c r="BX4032" s="48"/>
      <c r="BY4032" s="48"/>
      <c r="BZ4032" s="48"/>
      <c r="CA4032" s="48"/>
      <c r="CB4032" s="48"/>
      <c r="CC4032" s="48"/>
      <c r="CD4032" s="48"/>
      <c r="CE4032" s="48"/>
      <c r="CF4032" s="48"/>
      <c r="CG4032" s="48"/>
      <c r="CH4032" s="48"/>
      <c r="CI4032" s="48"/>
      <c r="CJ4032" s="48"/>
      <c r="CK4032" s="48"/>
      <c r="CL4032" s="48"/>
      <c r="CM4032" s="48"/>
      <c r="CN4032" s="48"/>
      <c r="CO4032" s="48"/>
      <c r="CP4032" s="48"/>
      <c r="CQ4032" s="48"/>
      <c r="CR4032" s="48"/>
      <c r="CS4032" s="48"/>
      <c r="CT4032" s="48"/>
      <c r="CU4032" s="48"/>
      <c r="CV4032" s="48"/>
      <c r="CW4032" s="48"/>
      <c r="CX4032" s="48"/>
      <c r="CY4032" s="48"/>
      <c r="CZ4032" s="48"/>
    </row>
    <row r="4033" spans="27:104" s="4" customFormat="1" x14ac:dyDescent="0.3">
      <c r="AA4033" s="48"/>
      <c r="AB4033" s="48"/>
      <c r="AC4033" s="48"/>
      <c r="AD4033" s="48"/>
      <c r="AE4033" s="48"/>
      <c r="AF4033" s="48"/>
      <c r="AG4033" s="48"/>
      <c r="AH4033" s="48"/>
      <c r="AI4033" s="48"/>
      <c r="AJ4033" s="48"/>
      <c r="AK4033" s="48"/>
      <c r="AL4033" s="48"/>
      <c r="AM4033" s="48"/>
      <c r="AN4033" s="48"/>
      <c r="AO4033" s="48"/>
      <c r="AP4033" s="48"/>
      <c r="AQ4033" s="48"/>
      <c r="AR4033" s="48"/>
      <c r="AS4033" s="48"/>
      <c r="AT4033" s="48"/>
      <c r="AU4033" s="48"/>
      <c r="AV4033" s="48"/>
      <c r="AW4033" s="48"/>
      <c r="AX4033" s="48"/>
      <c r="AY4033" s="48"/>
      <c r="AZ4033" s="48"/>
      <c r="BA4033" s="48"/>
      <c r="BB4033" s="14"/>
      <c r="BC4033" s="48"/>
      <c r="BD4033" s="48"/>
      <c r="BE4033" s="48"/>
      <c r="BF4033" s="48"/>
      <c r="BG4033" s="48"/>
      <c r="BH4033" s="48"/>
      <c r="BI4033" s="48"/>
      <c r="BJ4033" s="48"/>
      <c r="BK4033" s="48"/>
      <c r="BL4033" s="48"/>
      <c r="BM4033" s="48"/>
      <c r="BN4033" s="48"/>
      <c r="BO4033" s="48"/>
      <c r="BP4033" s="48"/>
      <c r="BQ4033" s="48"/>
      <c r="BR4033" s="48"/>
      <c r="BS4033" s="48"/>
      <c r="BT4033" s="48"/>
      <c r="BU4033" s="48"/>
      <c r="BV4033" s="48"/>
      <c r="BW4033" s="48"/>
      <c r="BX4033" s="48"/>
      <c r="BY4033" s="48"/>
      <c r="BZ4033" s="48"/>
      <c r="CA4033" s="48"/>
      <c r="CB4033" s="48"/>
      <c r="CC4033" s="48"/>
      <c r="CD4033" s="48"/>
      <c r="CE4033" s="48"/>
      <c r="CF4033" s="48"/>
      <c r="CG4033" s="48"/>
      <c r="CH4033" s="48"/>
      <c r="CI4033" s="48"/>
      <c r="CJ4033" s="48"/>
      <c r="CK4033" s="48"/>
      <c r="CL4033" s="48"/>
      <c r="CM4033" s="48"/>
      <c r="CN4033" s="48"/>
      <c r="CO4033" s="48"/>
      <c r="CP4033" s="48"/>
      <c r="CQ4033" s="48"/>
      <c r="CR4033" s="48"/>
      <c r="CS4033" s="48"/>
      <c r="CT4033" s="48"/>
      <c r="CU4033" s="48"/>
      <c r="CV4033" s="48"/>
      <c r="CW4033" s="48"/>
      <c r="CX4033" s="48"/>
      <c r="CY4033" s="48"/>
      <c r="CZ4033" s="48"/>
    </row>
    <row r="4034" spans="27:104" s="4" customFormat="1" x14ac:dyDescent="0.3">
      <c r="AA4034" s="48"/>
      <c r="AB4034" s="48"/>
      <c r="AC4034" s="48"/>
      <c r="AD4034" s="48"/>
      <c r="AE4034" s="48"/>
      <c r="AF4034" s="48"/>
      <c r="AG4034" s="48"/>
      <c r="AH4034" s="48"/>
      <c r="AI4034" s="48"/>
      <c r="AJ4034" s="48"/>
      <c r="AK4034" s="48"/>
      <c r="AL4034" s="48"/>
      <c r="AM4034" s="48"/>
      <c r="AN4034" s="48"/>
      <c r="AO4034" s="48"/>
      <c r="AP4034" s="48"/>
      <c r="AQ4034" s="48"/>
      <c r="AR4034" s="48"/>
      <c r="AS4034" s="48"/>
      <c r="AT4034" s="48"/>
      <c r="AU4034" s="48"/>
      <c r="AV4034" s="48"/>
      <c r="AW4034" s="48"/>
      <c r="AX4034" s="48"/>
      <c r="AY4034" s="48"/>
      <c r="AZ4034" s="48"/>
      <c r="BA4034" s="48"/>
      <c r="BB4034" s="14"/>
      <c r="BC4034" s="48"/>
      <c r="BD4034" s="48"/>
      <c r="BE4034" s="48"/>
      <c r="BF4034" s="48"/>
      <c r="BG4034" s="48"/>
      <c r="BH4034" s="48"/>
      <c r="BI4034" s="48"/>
      <c r="BJ4034" s="48"/>
      <c r="BK4034" s="48"/>
      <c r="BL4034" s="48"/>
      <c r="BM4034" s="48"/>
      <c r="BN4034" s="48"/>
      <c r="BO4034" s="48"/>
      <c r="BP4034" s="48"/>
      <c r="BQ4034" s="48"/>
      <c r="BR4034" s="48"/>
      <c r="BS4034" s="48"/>
      <c r="BT4034" s="48"/>
      <c r="BU4034" s="48"/>
      <c r="BV4034" s="48"/>
      <c r="BW4034" s="48"/>
      <c r="BX4034" s="48"/>
      <c r="BY4034" s="48"/>
      <c r="BZ4034" s="48"/>
      <c r="CA4034" s="48"/>
      <c r="CB4034" s="48"/>
      <c r="CC4034" s="48"/>
      <c r="CD4034" s="48"/>
      <c r="CE4034" s="48"/>
      <c r="CF4034" s="48"/>
      <c r="CG4034" s="48"/>
      <c r="CH4034" s="48"/>
      <c r="CI4034" s="48"/>
      <c r="CJ4034" s="48"/>
      <c r="CK4034" s="48"/>
      <c r="CL4034" s="48"/>
      <c r="CM4034" s="48"/>
      <c r="CN4034" s="48"/>
      <c r="CO4034" s="48"/>
      <c r="CP4034" s="48"/>
      <c r="CQ4034" s="48"/>
      <c r="CR4034" s="48"/>
      <c r="CS4034" s="48"/>
      <c r="CT4034" s="48"/>
      <c r="CU4034" s="48"/>
      <c r="CV4034" s="48"/>
      <c r="CW4034" s="48"/>
      <c r="CX4034" s="48"/>
      <c r="CY4034" s="48"/>
      <c r="CZ4034" s="48"/>
    </row>
    <row r="4035" spans="27:104" s="4" customFormat="1" x14ac:dyDescent="0.3">
      <c r="AA4035" s="48"/>
      <c r="AB4035" s="48"/>
      <c r="AC4035" s="48"/>
      <c r="AD4035" s="48"/>
      <c r="AE4035" s="48"/>
      <c r="AF4035" s="48"/>
      <c r="AG4035" s="48"/>
      <c r="AH4035" s="48"/>
      <c r="AI4035" s="48"/>
      <c r="AJ4035" s="48"/>
      <c r="AK4035" s="48"/>
      <c r="AL4035" s="48"/>
      <c r="AM4035" s="48"/>
      <c r="AN4035" s="48"/>
      <c r="AO4035" s="48"/>
      <c r="AP4035" s="48"/>
      <c r="AQ4035" s="48"/>
      <c r="AR4035" s="48"/>
      <c r="AS4035" s="48"/>
      <c r="AT4035" s="48"/>
      <c r="AU4035" s="48"/>
      <c r="AV4035" s="48"/>
      <c r="AW4035" s="48"/>
      <c r="AX4035" s="48"/>
      <c r="AY4035" s="48"/>
      <c r="AZ4035" s="48"/>
      <c r="BA4035" s="48"/>
      <c r="BB4035" s="14"/>
      <c r="BC4035" s="48"/>
      <c r="BD4035" s="48"/>
      <c r="BE4035" s="48"/>
      <c r="BF4035" s="48"/>
      <c r="BG4035" s="48"/>
      <c r="BH4035" s="48"/>
      <c r="BI4035" s="48"/>
      <c r="BJ4035" s="48"/>
      <c r="BK4035" s="48"/>
      <c r="BL4035" s="48"/>
      <c r="BM4035" s="48"/>
      <c r="BN4035" s="48"/>
      <c r="BO4035" s="48"/>
      <c r="BP4035" s="48"/>
      <c r="BQ4035" s="48"/>
      <c r="BR4035" s="48"/>
      <c r="BS4035" s="48"/>
      <c r="BT4035" s="48"/>
      <c r="BU4035" s="48"/>
      <c r="BV4035" s="48"/>
      <c r="BW4035" s="48"/>
      <c r="BX4035" s="48"/>
      <c r="BY4035" s="48"/>
      <c r="BZ4035" s="48"/>
      <c r="CA4035" s="48"/>
      <c r="CB4035" s="48"/>
      <c r="CC4035" s="48"/>
      <c r="CD4035" s="48"/>
      <c r="CE4035" s="48"/>
      <c r="CF4035" s="48"/>
      <c r="CG4035" s="48"/>
      <c r="CH4035" s="48"/>
      <c r="CI4035" s="48"/>
      <c r="CJ4035" s="48"/>
      <c r="CK4035" s="48"/>
      <c r="CL4035" s="48"/>
      <c r="CM4035" s="48"/>
      <c r="CN4035" s="48"/>
      <c r="CO4035" s="48"/>
      <c r="CP4035" s="48"/>
      <c r="CQ4035" s="48"/>
      <c r="CR4035" s="48"/>
      <c r="CS4035" s="48"/>
      <c r="CT4035" s="48"/>
      <c r="CU4035" s="48"/>
      <c r="CV4035" s="48"/>
      <c r="CW4035" s="48"/>
      <c r="CX4035" s="48"/>
      <c r="CY4035" s="48"/>
      <c r="CZ4035" s="48"/>
    </row>
    <row r="4036" spans="27:104" s="4" customFormat="1" x14ac:dyDescent="0.3">
      <c r="AA4036" s="48"/>
      <c r="AB4036" s="48"/>
      <c r="AC4036" s="48"/>
      <c r="AD4036" s="48"/>
      <c r="AE4036" s="48"/>
      <c r="AF4036" s="48"/>
      <c r="AG4036" s="48"/>
      <c r="AH4036" s="48"/>
      <c r="AI4036" s="48"/>
      <c r="AJ4036" s="48"/>
      <c r="AK4036" s="48"/>
      <c r="AL4036" s="48"/>
      <c r="AM4036" s="48"/>
      <c r="AN4036" s="48"/>
      <c r="AO4036" s="48"/>
      <c r="AP4036" s="48"/>
      <c r="AQ4036" s="48"/>
      <c r="AR4036" s="48"/>
      <c r="AS4036" s="48"/>
      <c r="AT4036" s="48"/>
      <c r="AU4036" s="48"/>
      <c r="AV4036" s="48"/>
      <c r="AW4036" s="48"/>
      <c r="AX4036" s="48"/>
      <c r="AY4036" s="48"/>
      <c r="AZ4036" s="48"/>
      <c r="BA4036" s="48"/>
      <c r="BB4036" s="14"/>
      <c r="BC4036" s="48"/>
      <c r="BD4036" s="48"/>
      <c r="BE4036" s="48"/>
      <c r="BF4036" s="48"/>
      <c r="BG4036" s="48"/>
      <c r="BH4036" s="48"/>
      <c r="BI4036" s="48"/>
      <c r="BJ4036" s="48"/>
      <c r="BK4036" s="48"/>
      <c r="BL4036" s="48"/>
      <c r="BM4036" s="48"/>
      <c r="BN4036" s="48"/>
      <c r="BO4036" s="48"/>
      <c r="BP4036" s="48"/>
      <c r="BQ4036" s="48"/>
      <c r="BR4036" s="48"/>
      <c r="BS4036" s="48"/>
      <c r="BT4036" s="48"/>
      <c r="BU4036" s="48"/>
      <c r="BV4036" s="48"/>
      <c r="BW4036" s="48"/>
      <c r="BX4036" s="48"/>
      <c r="BY4036" s="48"/>
      <c r="BZ4036" s="48"/>
      <c r="CA4036" s="48"/>
      <c r="CB4036" s="48"/>
      <c r="CC4036" s="48"/>
      <c r="CD4036" s="48"/>
      <c r="CE4036" s="48"/>
      <c r="CF4036" s="48"/>
      <c r="CG4036" s="48"/>
      <c r="CH4036" s="48"/>
      <c r="CI4036" s="48"/>
      <c r="CJ4036" s="48"/>
      <c r="CK4036" s="48"/>
      <c r="CL4036" s="48"/>
      <c r="CM4036" s="48"/>
      <c r="CN4036" s="48"/>
      <c r="CO4036" s="48"/>
      <c r="CP4036" s="48"/>
      <c r="CQ4036" s="48"/>
      <c r="CR4036" s="48"/>
      <c r="CS4036" s="48"/>
      <c r="CT4036" s="48"/>
      <c r="CU4036" s="48"/>
      <c r="CV4036" s="48"/>
      <c r="CW4036" s="48"/>
      <c r="CX4036" s="48"/>
      <c r="CY4036" s="48"/>
      <c r="CZ4036" s="48"/>
    </row>
    <row r="4037" spans="27:104" s="4" customFormat="1" x14ac:dyDescent="0.3">
      <c r="AA4037" s="48"/>
      <c r="AB4037" s="48"/>
      <c r="AC4037" s="48"/>
      <c r="AD4037" s="48"/>
      <c r="AE4037" s="48"/>
      <c r="AF4037" s="48"/>
      <c r="AG4037" s="48"/>
      <c r="AH4037" s="48"/>
      <c r="AI4037" s="48"/>
      <c r="AJ4037" s="48"/>
      <c r="AK4037" s="48"/>
      <c r="AL4037" s="48"/>
      <c r="AM4037" s="48"/>
      <c r="AN4037" s="48"/>
      <c r="AO4037" s="48"/>
      <c r="AP4037" s="48"/>
      <c r="AQ4037" s="48"/>
      <c r="AR4037" s="48"/>
      <c r="AS4037" s="48"/>
      <c r="AT4037" s="48"/>
      <c r="AU4037" s="48"/>
      <c r="AV4037" s="48"/>
      <c r="AW4037" s="48"/>
      <c r="AX4037" s="48"/>
      <c r="AY4037" s="48"/>
      <c r="AZ4037" s="48"/>
      <c r="BA4037" s="48"/>
      <c r="BB4037" s="14"/>
      <c r="BC4037" s="48"/>
      <c r="BD4037" s="48"/>
      <c r="BE4037" s="48"/>
      <c r="BF4037" s="48"/>
      <c r="BG4037" s="48"/>
      <c r="BH4037" s="48"/>
      <c r="BI4037" s="48"/>
      <c r="BJ4037" s="48"/>
      <c r="BK4037" s="48"/>
      <c r="BL4037" s="48"/>
      <c r="BM4037" s="48"/>
      <c r="BN4037" s="48"/>
      <c r="BO4037" s="48"/>
      <c r="BP4037" s="48"/>
      <c r="BQ4037" s="48"/>
      <c r="BR4037" s="48"/>
      <c r="BS4037" s="48"/>
      <c r="BT4037" s="48"/>
      <c r="BU4037" s="48"/>
      <c r="BV4037" s="48"/>
      <c r="BW4037" s="48"/>
      <c r="BX4037" s="48"/>
      <c r="BY4037" s="48"/>
      <c r="BZ4037" s="48"/>
      <c r="CA4037" s="48"/>
      <c r="CB4037" s="48"/>
      <c r="CC4037" s="48"/>
      <c r="CD4037" s="48"/>
      <c r="CE4037" s="48"/>
      <c r="CF4037" s="48"/>
      <c r="CG4037" s="48"/>
      <c r="CH4037" s="48"/>
      <c r="CI4037" s="48"/>
      <c r="CJ4037" s="48"/>
      <c r="CK4037" s="48"/>
      <c r="CL4037" s="48"/>
      <c r="CM4037" s="48"/>
      <c r="CN4037" s="48"/>
      <c r="CO4037" s="48"/>
      <c r="CP4037" s="48"/>
      <c r="CQ4037" s="48"/>
      <c r="CR4037" s="48"/>
      <c r="CS4037" s="48"/>
      <c r="CT4037" s="48"/>
      <c r="CU4037" s="48"/>
      <c r="CV4037" s="48"/>
      <c r="CW4037" s="48"/>
      <c r="CX4037" s="48"/>
      <c r="CY4037" s="48"/>
      <c r="CZ4037" s="48"/>
    </row>
    <row r="4038" spans="27:104" s="4" customFormat="1" x14ac:dyDescent="0.3">
      <c r="AA4038" s="48"/>
      <c r="AB4038" s="48"/>
      <c r="AC4038" s="48"/>
      <c r="AD4038" s="48"/>
      <c r="AE4038" s="48"/>
      <c r="AF4038" s="48"/>
      <c r="AG4038" s="48"/>
      <c r="AH4038" s="48"/>
      <c r="AI4038" s="48"/>
      <c r="AJ4038" s="48"/>
      <c r="AK4038" s="48"/>
      <c r="AL4038" s="48"/>
      <c r="AM4038" s="48"/>
      <c r="AN4038" s="48"/>
      <c r="AO4038" s="48"/>
      <c r="AP4038" s="48"/>
      <c r="AQ4038" s="48"/>
      <c r="AR4038" s="48"/>
      <c r="AS4038" s="48"/>
      <c r="AT4038" s="48"/>
      <c r="AU4038" s="48"/>
      <c r="AV4038" s="48"/>
      <c r="AW4038" s="48"/>
      <c r="AX4038" s="48"/>
      <c r="AY4038" s="48"/>
      <c r="AZ4038" s="48"/>
      <c r="BA4038" s="48"/>
      <c r="BB4038" s="14"/>
      <c r="BC4038" s="48"/>
      <c r="BD4038" s="48"/>
      <c r="BE4038" s="48"/>
      <c r="BF4038" s="48"/>
      <c r="BG4038" s="48"/>
      <c r="BH4038" s="48"/>
      <c r="BI4038" s="48"/>
      <c r="BJ4038" s="48"/>
      <c r="BK4038" s="48"/>
      <c r="BL4038" s="48"/>
      <c r="BM4038" s="48"/>
      <c r="BN4038" s="48"/>
      <c r="BO4038" s="48"/>
      <c r="BP4038" s="48"/>
      <c r="BQ4038" s="48"/>
      <c r="BR4038" s="48"/>
      <c r="BS4038" s="48"/>
      <c r="BT4038" s="48"/>
      <c r="BU4038" s="48"/>
      <c r="BV4038" s="48"/>
      <c r="BW4038" s="48"/>
      <c r="BX4038" s="48"/>
      <c r="BY4038" s="48"/>
      <c r="BZ4038" s="48"/>
      <c r="CA4038" s="48"/>
      <c r="CB4038" s="48"/>
      <c r="CC4038" s="48"/>
      <c r="CD4038" s="48"/>
      <c r="CE4038" s="48"/>
      <c r="CF4038" s="48"/>
      <c r="CG4038" s="48"/>
      <c r="CH4038" s="48"/>
      <c r="CI4038" s="48"/>
      <c r="CJ4038" s="48"/>
      <c r="CK4038" s="48"/>
      <c r="CL4038" s="48"/>
      <c r="CM4038" s="48"/>
      <c r="CN4038" s="48"/>
      <c r="CO4038" s="48"/>
      <c r="CP4038" s="48"/>
      <c r="CQ4038" s="48"/>
      <c r="CR4038" s="48"/>
      <c r="CS4038" s="48"/>
      <c r="CT4038" s="48"/>
      <c r="CU4038" s="48"/>
      <c r="CV4038" s="48"/>
      <c r="CW4038" s="48"/>
      <c r="CX4038" s="48"/>
      <c r="CY4038" s="48"/>
      <c r="CZ4038" s="48"/>
    </row>
    <row r="4039" spans="27:104" s="4" customFormat="1" x14ac:dyDescent="0.3">
      <c r="AA4039" s="48"/>
      <c r="AB4039" s="48"/>
      <c r="AC4039" s="48"/>
      <c r="AD4039" s="48"/>
      <c r="AE4039" s="48"/>
      <c r="AF4039" s="48"/>
      <c r="AG4039" s="48"/>
      <c r="AH4039" s="48"/>
      <c r="AI4039" s="48"/>
      <c r="AJ4039" s="48"/>
      <c r="AK4039" s="48"/>
      <c r="AL4039" s="48"/>
      <c r="AM4039" s="48"/>
      <c r="AN4039" s="48"/>
      <c r="AO4039" s="48"/>
      <c r="AP4039" s="48"/>
      <c r="AQ4039" s="48"/>
      <c r="AR4039" s="48"/>
      <c r="AS4039" s="48"/>
      <c r="AT4039" s="48"/>
      <c r="AU4039" s="48"/>
      <c r="AV4039" s="48"/>
      <c r="AW4039" s="48"/>
      <c r="AX4039" s="48"/>
      <c r="AY4039" s="48"/>
      <c r="AZ4039" s="48"/>
      <c r="BA4039" s="48"/>
      <c r="BB4039" s="14"/>
      <c r="BC4039" s="48"/>
      <c r="BD4039" s="48"/>
      <c r="BE4039" s="48"/>
      <c r="BF4039" s="48"/>
      <c r="BG4039" s="48"/>
      <c r="BH4039" s="48"/>
      <c r="BI4039" s="48"/>
      <c r="BJ4039" s="48"/>
      <c r="BK4039" s="48"/>
      <c r="BL4039" s="48"/>
      <c r="BM4039" s="48"/>
      <c r="BN4039" s="48"/>
      <c r="BO4039" s="48"/>
      <c r="BP4039" s="48"/>
      <c r="BQ4039" s="48"/>
      <c r="BR4039" s="48"/>
      <c r="BS4039" s="48"/>
      <c r="BT4039" s="48"/>
      <c r="BU4039" s="48"/>
      <c r="BV4039" s="48"/>
      <c r="BW4039" s="48"/>
      <c r="BX4039" s="48"/>
      <c r="BY4039" s="48"/>
      <c r="BZ4039" s="48"/>
      <c r="CA4039" s="48"/>
      <c r="CB4039" s="48"/>
      <c r="CC4039" s="48"/>
      <c r="CD4039" s="48"/>
      <c r="CE4039" s="48"/>
      <c r="CF4039" s="48"/>
      <c r="CG4039" s="48"/>
      <c r="CH4039" s="48"/>
      <c r="CI4039" s="48"/>
      <c r="CJ4039" s="48"/>
      <c r="CK4039" s="48"/>
      <c r="CL4039" s="48"/>
      <c r="CM4039" s="48"/>
      <c r="CN4039" s="48"/>
      <c r="CO4039" s="48"/>
      <c r="CP4039" s="48"/>
      <c r="CQ4039" s="48"/>
      <c r="CR4039" s="48"/>
      <c r="CS4039" s="48"/>
      <c r="CT4039" s="48"/>
      <c r="CU4039" s="48"/>
      <c r="CV4039" s="48"/>
      <c r="CW4039" s="48"/>
      <c r="CX4039" s="48"/>
      <c r="CY4039" s="48"/>
      <c r="CZ4039" s="48"/>
    </row>
    <row r="4040" spans="27:104" s="4" customFormat="1" x14ac:dyDescent="0.3">
      <c r="AA4040" s="48"/>
      <c r="AB4040" s="48"/>
      <c r="AC4040" s="48"/>
      <c r="AD4040" s="48"/>
      <c r="AE4040" s="48"/>
      <c r="AF4040" s="48"/>
      <c r="AG4040" s="48"/>
      <c r="AH4040" s="48"/>
      <c r="AI4040" s="48"/>
      <c r="AJ4040" s="48"/>
      <c r="AK4040" s="48"/>
      <c r="AL4040" s="48"/>
      <c r="AM4040" s="48"/>
      <c r="AN4040" s="48"/>
      <c r="AO4040" s="48"/>
      <c r="AP4040" s="48"/>
      <c r="AQ4040" s="48"/>
      <c r="AR4040" s="48"/>
      <c r="AS4040" s="48"/>
      <c r="AT4040" s="48"/>
      <c r="AU4040" s="48"/>
      <c r="AV4040" s="48"/>
      <c r="AW4040" s="48"/>
      <c r="AX4040" s="48"/>
      <c r="AY4040" s="48"/>
      <c r="AZ4040" s="48"/>
      <c r="BA4040" s="48"/>
      <c r="BB4040" s="14"/>
      <c r="BC4040" s="48"/>
      <c r="BD4040" s="48"/>
      <c r="BE4040" s="48"/>
      <c r="BF4040" s="48"/>
      <c r="BG4040" s="48"/>
      <c r="BH4040" s="48"/>
      <c r="BI4040" s="48"/>
      <c r="BJ4040" s="48"/>
      <c r="BK4040" s="48"/>
      <c r="BL4040" s="48"/>
      <c r="BM4040" s="48"/>
      <c r="BN4040" s="48"/>
      <c r="BO4040" s="48"/>
      <c r="BP4040" s="48"/>
      <c r="BQ4040" s="48"/>
      <c r="BR4040" s="48"/>
      <c r="BS4040" s="48"/>
      <c r="BT4040" s="48"/>
      <c r="BU4040" s="48"/>
      <c r="BV4040" s="48"/>
      <c r="BW4040" s="48"/>
      <c r="BX4040" s="48"/>
      <c r="BY4040" s="48"/>
      <c r="BZ4040" s="48"/>
      <c r="CA4040" s="48"/>
      <c r="CB4040" s="48"/>
      <c r="CC4040" s="48"/>
      <c r="CD4040" s="48"/>
      <c r="CE4040" s="48"/>
      <c r="CF4040" s="48"/>
      <c r="CG4040" s="48"/>
      <c r="CH4040" s="48"/>
      <c r="CI4040" s="48"/>
      <c r="CJ4040" s="48"/>
      <c r="CK4040" s="48"/>
      <c r="CL4040" s="48"/>
      <c r="CM4040" s="48"/>
      <c r="CN4040" s="48"/>
      <c r="CO4040" s="48"/>
      <c r="CP4040" s="48"/>
      <c r="CQ4040" s="48"/>
      <c r="CR4040" s="48"/>
      <c r="CS4040" s="48"/>
      <c r="CT4040" s="48"/>
      <c r="CU4040" s="48"/>
      <c r="CV4040" s="48"/>
      <c r="CW4040" s="48"/>
      <c r="CX4040" s="48"/>
      <c r="CY4040" s="48"/>
      <c r="CZ4040" s="48"/>
    </row>
    <row r="4041" spans="27:104" s="4" customFormat="1" x14ac:dyDescent="0.3">
      <c r="AA4041" s="48"/>
      <c r="AB4041" s="48"/>
      <c r="AC4041" s="48"/>
      <c r="AD4041" s="48"/>
      <c r="AE4041" s="48"/>
      <c r="AF4041" s="48"/>
      <c r="AG4041" s="48"/>
      <c r="AH4041" s="48"/>
      <c r="AI4041" s="48"/>
      <c r="AJ4041" s="48"/>
      <c r="AK4041" s="48"/>
      <c r="AL4041" s="48"/>
      <c r="AM4041" s="48"/>
      <c r="AN4041" s="48"/>
      <c r="AO4041" s="48"/>
      <c r="AP4041" s="48"/>
      <c r="AQ4041" s="48"/>
      <c r="AR4041" s="48"/>
      <c r="AS4041" s="48"/>
      <c r="AT4041" s="48"/>
      <c r="AU4041" s="48"/>
      <c r="AV4041" s="48"/>
      <c r="AW4041" s="48"/>
      <c r="AX4041" s="48"/>
      <c r="AY4041" s="48"/>
      <c r="AZ4041" s="48"/>
      <c r="BA4041" s="48"/>
      <c r="BB4041" s="14"/>
      <c r="BC4041" s="48"/>
      <c r="BD4041" s="48"/>
      <c r="BE4041" s="48"/>
      <c r="BF4041" s="48"/>
      <c r="BG4041" s="48"/>
      <c r="BH4041" s="48"/>
      <c r="BI4041" s="48"/>
      <c r="BJ4041" s="48"/>
      <c r="BK4041" s="48"/>
      <c r="BL4041" s="48"/>
      <c r="BM4041" s="48"/>
      <c r="BN4041" s="48"/>
      <c r="BO4041" s="48"/>
      <c r="BP4041" s="48"/>
      <c r="BQ4041" s="48"/>
      <c r="BR4041" s="48"/>
      <c r="BS4041" s="48"/>
      <c r="BT4041" s="48"/>
      <c r="BU4041" s="48"/>
      <c r="BV4041" s="48"/>
      <c r="BW4041" s="48"/>
      <c r="BX4041" s="48"/>
      <c r="BY4041" s="48"/>
      <c r="BZ4041" s="48"/>
      <c r="CA4041" s="48"/>
      <c r="CB4041" s="48"/>
      <c r="CC4041" s="48"/>
      <c r="CD4041" s="48"/>
      <c r="CE4041" s="48"/>
      <c r="CF4041" s="48"/>
      <c r="CG4041" s="48"/>
      <c r="CH4041" s="48"/>
      <c r="CI4041" s="48"/>
      <c r="CJ4041" s="48"/>
      <c r="CK4041" s="48"/>
      <c r="CL4041" s="48"/>
      <c r="CM4041" s="48"/>
      <c r="CN4041" s="48"/>
      <c r="CO4041" s="48"/>
      <c r="CP4041" s="48"/>
      <c r="CQ4041" s="48"/>
      <c r="CR4041" s="48"/>
      <c r="CS4041" s="48"/>
      <c r="CT4041" s="48"/>
      <c r="CU4041" s="48"/>
      <c r="CV4041" s="48"/>
      <c r="CW4041" s="48"/>
      <c r="CX4041" s="48"/>
      <c r="CY4041" s="48"/>
      <c r="CZ4041" s="48"/>
    </row>
    <row r="4042" spans="27:104" s="4" customFormat="1" x14ac:dyDescent="0.3">
      <c r="AA4042" s="48"/>
      <c r="AB4042" s="48"/>
      <c r="AC4042" s="48"/>
      <c r="AD4042" s="48"/>
      <c r="AE4042" s="48"/>
      <c r="AF4042" s="48"/>
      <c r="AG4042" s="48"/>
      <c r="AH4042" s="48"/>
      <c r="AI4042" s="48"/>
      <c r="AJ4042" s="48"/>
      <c r="AK4042" s="48"/>
      <c r="AL4042" s="48"/>
      <c r="AM4042" s="48"/>
      <c r="AN4042" s="48"/>
      <c r="AO4042" s="48"/>
      <c r="AP4042" s="48"/>
      <c r="AQ4042" s="48"/>
      <c r="AR4042" s="48"/>
      <c r="AS4042" s="48"/>
      <c r="AT4042" s="48"/>
      <c r="AU4042" s="48"/>
      <c r="AV4042" s="48"/>
      <c r="AW4042" s="48"/>
      <c r="AX4042" s="48"/>
      <c r="AY4042" s="48"/>
      <c r="AZ4042" s="48"/>
      <c r="BA4042" s="48"/>
      <c r="BB4042" s="14"/>
      <c r="BC4042" s="48"/>
      <c r="BD4042" s="48"/>
      <c r="BE4042" s="48"/>
      <c r="BF4042" s="48"/>
      <c r="BG4042" s="48"/>
      <c r="BH4042" s="48"/>
      <c r="BI4042" s="48"/>
      <c r="BJ4042" s="48"/>
      <c r="BK4042" s="48"/>
      <c r="BL4042" s="48"/>
      <c r="BM4042" s="48"/>
      <c r="BN4042" s="48"/>
      <c r="BO4042" s="48"/>
      <c r="BP4042" s="48"/>
      <c r="BQ4042" s="48"/>
      <c r="BR4042" s="48"/>
      <c r="BS4042" s="48"/>
      <c r="BT4042" s="48"/>
      <c r="BU4042" s="48"/>
      <c r="BV4042" s="48"/>
      <c r="BW4042" s="48"/>
      <c r="BX4042" s="48"/>
      <c r="BY4042" s="48"/>
      <c r="BZ4042" s="48"/>
      <c r="CA4042" s="48"/>
      <c r="CB4042" s="48"/>
      <c r="CC4042" s="48"/>
      <c r="CD4042" s="48"/>
      <c r="CE4042" s="48"/>
      <c r="CF4042" s="48"/>
      <c r="CG4042" s="48"/>
      <c r="CH4042" s="48"/>
      <c r="CI4042" s="48"/>
      <c r="CJ4042" s="48"/>
      <c r="CK4042" s="48"/>
      <c r="CL4042" s="48"/>
      <c r="CM4042" s="48"/>
      <c r="CN4042" s="48"/>
      <c r="CO4042" s="48"/>
      <c r="CP4042" s="48"/>
      <c r="CQ4042" s="48"/>
      <c r="CR4042" s="48"/>
      <c r="CS4042" s="48"/>
      <c r="CT4042" s="48"/>
      <c r="CU4042" s="48"/>
      <c r="CV4042" s="48"/>
      <c r="CW4042" s="48"/>
      <c r="CX4042" s="48"/>
      <c r="CY4042" s="48"/>
      <c r="CZ4042" s="48"/>
    </row>
    <row r="4043" spans="27:104" s="4" customFormat="1" x14ac:dyDescent="0.3">
      <c r="AA4043" s="48"/>
      <c r="AB4043" s="48"/>
      <c r="AC4043" s="48"/>
      <c r="AD4043" s="48"/>
      <c r="AE4043" s="48"/>
      <c r="AF4043" s="48"/>
      <c r="AG4043" s="48"/>
      <c r="AH4043" s="48"/>
      <c r="AI4043" s="48"/>
      <c r="AJ4043" s="48"/>
      <c r="AK4043" s="48"/>
      <c r="AL4043" s="48"/>
      <c r="AM4043" s="48"/>
      <c r="AN4043" s="48"/>
      <c r="AO4043" s="48"/>
      <c r="AP4043" s="48"/>
      <c r="AQ4043" s="48"/>
      <c r="AR4043" s="48"/>
      <c r="AS4043" s="48"/>
      <c r="AT4043" s="48"/>
      <c r="AU4043" s="48"/>
      <c r="AV4043" s="48"/>
      <c r="AW4043" s="48"/>
      <c r="AX4043" s="48"/>
      <c r="AY4043" s="48"/>
      <c r="AZ4043" s="48"/>
      <c r="BA4043" s="48"/>
      <c r="BB4043" s="14"/>
      <c r="BC4043" s="48"/>
      <c r="BD4043" s="48"/>
      <c r="BE4043" s="48"/>
      <c r="BF4043" s="48"/>
      <c r="BG4043" s="48"/>
      <c r="BH4043" s="48"/>
      <c r="BI4043" s="48"/>
      <c r="BJ4043" s="48"/>
      <c r="BK4043" s="48"/>
      <c r="BL4043" s="48"/>
      <c r="BM4043" s="48"/>
      <c r="BN4043" s="48"/>
      <c r="BO4043" s="48"/>
      <c r="BP4043" s="48"/>
      <c r="BQ4043" s="48"/>
      <c r="BR4043" s="48"/>
      <c r="BS4043" s="48"/>
      <c r="BT4043" s="48"/>
      <c r="BU4043" s="48"/>
      <c r="BV4043" s="48"/>
      <c r="BW4043" s="48"/>
      <c r="BX4043" s="48"/>
      <c r="BY4043" s="48"/>
      <c r="BZ4043" s="48"/>
      <c r="CA4043" s="48"/>
      <c r="CB4043" s="48"/>
      <c r="CC4043" s="48"/>
      <c r="CD4043" s="48"/>
      <c r="CE4043" s="48"/>
      <c r="CF4043" s="48"/>
      <c r="CG4043" s="48"/>
      <c r="CH4043" s="48"/>
      <c r="CI4043" s="48"/>
      <c r="CJ4043" s="48"/>
      <c r="CK4043" s="48"/>
      <c r="CL4043" s="48"/>
      <c r="CM4043" s="48"/>
      <c r="CN4043" s="48"/>
      <c r="CO4043" s="48"/>
      <c r="CP4043" s="48"/>
      <c r="CQ4043" s="48"/>
      <c r="CR4043" s="48"/>
      <c r="CS4043" s="48"/>
      <c r="CT4043" s="48"/>
      <c r="CU4043" s="48"/>
      <c r="CV4043" s="48"/>
      <c r="CW4043" s="48"/>
      <c r="CX4043" s="48"/>
      <c r="CY4043" s="48"/>
      <c r="CZ4043" s="48"/>
    </row>
    <row r="4044" spans="27:104" s="4" customFormat="1" x14ac:dyDescent="0.3">
      <c r="AA4044" s="48"/>
      <c r="AB4044" s="48"/>
      <c r="AC4044" s="48"/>
      <c r="AD4044" s="48"/>
      <c r="AE4044" s="48"/>
      <c r="AF4044" s="48"/>
      <c r="AG4044" s="48"/>
      <c r="AH4044" s="48"/>
      <c r="AI4044" s="48"/>
      <c r="AJ4044" s="48"/>
      <c r="AK4044" s="48"/>
      <c r="AL4044" s="48"/>
      <c r="AM4044" s="48"/>
      <c r="AN4044" s="48"/>
      <c r="AO4044" s="48"/>
      <c r="AP4044" s="48"/>
      <c r="AQ4044" s="48"/>
      <c r="AR4044" s="48"/>
      <c r="AS4044" s="48"/>
      <c r="AT4044" s="48"/>
      <c r="AU4044" s="48"/>
      <c r="AV4044" s="48"/>
      <c r="AW4044" s="48"/>
      <c r="AX4044" s="48"/>
      <c r="AY4044" s="48"/>
      <c r="AZ4044" s="48"/>
      <c r="BA4044" s="48"/>
      <c r="BB4044" s="14"/>
      <c r="BC4044" s="48"/>
      <c r="BD4044" s="48"/>
      <c r="BE4044" s="48"/>
      <c r="BF4044" s="48"/>
      <c r="BG4044" s="48"/>
      <c r="BH4044" s="48"/>
      <c r="BI4044" s="48"/>
      <c r="BJ4044" s="48"/>
      <c r="BK4044" s="48"/>
      <c r="BL4044" s="48"/>
      <c r="BM4044" s="48"/>
      <c r="BN4044" s="48"/>
      <c r="BO4044" s="48"/>
      <c r="BP4044" s="48"/>
      <c r="BQ4044" s="48"/>
      <c r="BR4044" s="48"/>
      <c r="BS4044" s="48"/>
      <c r="BT4044" s="48"/>
      <c r="BU4044" s="48"/>
      <c r="BV4044" s="48"/>
      <c r="BW4044" s="48"/>
      <c r="BX4044" s="48"/>
      <c r="BY4044" s="48"/>
      <c r="BZ4044" s="48"/>
      <c r="CA4044" s="48"/>
      <c r="CB4044" s="48"/>
      <c r="CC4044" s="48"/>
      <c r="CD4044" s="48"/>
      <c r="CE4044" s="48"/>
      <c r="CF4044" s="48"/>
      <c r="CG4044" s="48"/>
      <c r="CH4044" s="48"/>
      <c r="CI4044" s="48"/>
      <c r="CJ4044" s="48"/>
      <c r="CK4044" s="48"/>
      <c r="CL4044" s="48"/>
      <c r="CM4044" s="48"/>
      <c r="CN4044" s="48"/>
      <c r="CO4044" s="48"/>
      <c r="CP4044" s="48"/>
      <c r="CQ4044" s="48"/>
      <c r="CR4044" s="48"/>
      <c r="CS4044" s="48"/>
      <c r="CT4044" s="48"/>
      <c r="CU4044" s="48"/>
      <c r="CV4044" s="48"/>
      <c r="CW4044" s="48"/>
      <c r="CX4044" s="48"/>
      <c r="CY4044" s="48"/>
      <c r="CZ4044" s="48"/>
    </row>
    <row r="4045" spans="27:104" s="4" customFormat="1" x14ac:dyDescent="0.3">
      <c r="AA4045" s="48"/>
      <c r="AB4045" s="48"/>
      <c r="AC4045" s="48"/>
      <c r="AD4045" s="48"/>
      <c r="AE4045" s="48"/>
      <c r="AF4045" s="48"/>
      <c r="AG4045" s="48"/>
      <c r="AH4045" s="48"/>
      <c r="AI4045" s="48"/>
      <c r="AJ4045" s="48"/>
      <c r="AK4045" s="48"/>
      <c r="AL4045" s="48"/>
      <c r="AM4045" s="48"/>
      <c r="AN4045" s="48"/>
      <c r="AO4045" s="48"/>
      <c r="AP4045" s="48"/>
      <c r="AQ4045" s="48"/>
      <c r="AR4045" s="48"/>
      <c r="AS4045" s="48"/>
      <c r="AT4045" s="48"/>
      <c r="AU4045" s="48"/>
      <c r="AV4045" s="48"/>
      <c r="AW4045" s="48"/>
      <c r="AX4045" s="48"/>
      <c r="AY4045" s="48"/>
      <c r="AZ4045" s="48"/>
      <c r="BA4045" s="48"/>
      <c r="BB4045" s="14"/>
      <c r="BC4045" s="48"/>
      <c r="BD4045" s="48"/>
      <c r="BE4045" s="48"/>
      <c r="BF4045" s="48"/>
      <c r="BG4045" s="48"/>
      <c r="BH4045" s="48"/>
      <c r="BI4045" s="48"/>
      <c r="BJ4045" s="48"/>
      <c r="BK4045" s="48"/>
      <c r="BL4045" s="48"/>
      <c r="BM4045" s="48"/>
      <c r="BN4045" s="48"/>
      <c r="BO4045" s="48"/>
      <c r="BP4045" s="48"/>
      <c r="BQ4045" s="48"/>
      <c r="BR4045" s="48"/>
      <c r="BS4045" s="48"/>
      <c r="BT4045" s="48"/>
      <c r="BU4045" s="48"/>
      <c r="BV4045" s="48"/>
      <c r="BW4045" s="48"/>
      <c r="BX4045" s="48"/>
      <c r="BY4045" s="48"/>
      <c r="BZ4045" s="48"/>
      <c r="CA4045" s="48"/>
      <c r="CB4045" s="48"/>
      <c r="CC4045" s="48"/>
      <c r="CD4045" s="48"/>
      <c r="CE4045" s="48"/>
      <c r="CF4045" s="48"/>
      <c r="CG4045" s="48"/>
      <c r="CH4045" s="48"/>
      <c r="CI4045" s="48"/>
      <c r="CJ4045" s="48"/>
      <c r="CK4045" s="48"/>
      <c r="CL4045" s="48"/>
      <c r="CM4045" s="48"/>
      <c r="CN4045" s="48"/>
      <c r="CO4045" s="48"/>
      <c r="CP4045" s="48"/>
      <c r="CQ4045" s="48"/>
      <c r="CR4045" s="48"/>
      <c r="CS4045" s="48"/>
      <c r="CT4045" s="48"/>
      <c r="CU4045" s="48"/>
      <c r="CV4045" s="48"/>
      <c r="CW4045" s="48"/>
      <c r="CX4045" s="48"/>
      <c r="CY4045" s="48"/>
      <c r="CZ4045" s="48"/>
    </row>
    <row r="4046" spans="27:104" s="4" customFormat="1" x14ac:dyDescent="0.3">
      <c r="AA4046" s="48"/>
      <c r="AB4046" s="48"/>
      <c r="AC4046" s="48"/>
      <c r="AD4046" s="48"/>
      <c r="AE4046" s="48"/>
      <c r="AF4046" s="48"/>
      <c r="AG4046" s="48"/>
      <c r="AH4046" s="48"/>
      <c r="AI4046" s="48"/>
      <c r="AJ4046" s="48"/>
      <c r="AK4046" s="48"/>
      <c r="AL4046" s="48"/>
      <c r="AM4046" s="48"/>
      <c r="AN4046" s="48"/>
      <c r="AO4046" s="48"/>
      <c r="AP4046" s="48"/>
      <c r="AQ4046" s="48"/>
      <c r="AR4046" s="48"/>
      <c r="AS4046" s="48"/>
      <c r="AT4046" s="48"/>
      <c r="AU4046" s="48"/>
      <c r="AV4046" s="48"/>
      <c r="AW4046" s="48"/>
      <c r="AX4046" s="48"/>
      <c r="AY4046" s="48"/>
      <c r="AZ4046" s="48"/>
      <c r="BA4046" s="48"/>
      <c r="BB4046" s="14"/>
      <c r="BC4046" s="48"/>
      <c r="BD4046" s="48"/>
      <c r="BE4046" s="48"/>
      <c r="BF4046" s="48"/>
      <c r="BG4046" s="48"/>
      <c r="BH4046" s="48"/>
      <c r="BI4046" s="48"/>
      <c r="BJ4046" s="48"/>
      <c r="BK4046" s="48"/>
      <c r="BL4046" s="48"/>
      <c r="BM4046" s="48"/>
      <c r="BN4046" s="48"/>
      <c r="BO4046" s="48"/>
      <c r="BP4046" s="48"/>
      <c r="BQ4046" s="48"/>
      <c r="BR4046" s="48"/>
      <c r="BS4046" s="48"/>
      <c r="BT4046" s="48"/>
      <c r="BU4046" s="48"/>
      <c r="BV4046" s="48"/>
      <c r="BW4046" s="48"/>
      <c r="BX4046" s="48"/>
      <c r="BY4046" s="48"/>
      <c r="BZ4046" s="48"/>
      <c r="CA4046" s="48"/>
      <c r="CB4046" s="48"/>
      <c r="CC4046" s="48"/>
      <c r="CD4046" s="48"/>
      <c r="CE4046" s="48"/>
      <c r="CF4046" s="48"/>
      <c r="CG4046" s="48"/>
      <c r="CH4046" s="48"/>
      <c r="CI4046" s="48"/>
      <c r="CJ4046" s="48"/>
      <c r="CK4046" s="48"/>
      <c r="CL4046" s="48"/>
      <c r="CM4046" s="48"/>
      <c r="CN4046" s="48"/>
      <c r="CO4046" s="48"/>
      <c r="CP4046" s="48"/>
      <c r="CQ4046" s="48"/>
      <c r="CR4046" s="48"/>
      <c r="CS4046" s="48"/>
      <c r="CT4046" s="48"/>
      <c r="CU4046" s="48"/>
      <c r="CV4046" s="48"/>
      <c r="CW4046" s="48"/>
      <c r="CX4046" s="48"/>
      <c r="CY4046" s="48"/>
      <c r="CZ4046" s="48"/>
    </row>
    <row r="4047" spans="27:104" s="4" customFormat="1" x14ac:dyDescent="0.3">
      <c r="AA4047" s="48"/>
      <c r="AB4047" s="48"/>
      <c r="AC4047" s="48"/>
      <c r="AD4047" s="48"/>
      <c r="AE4047" s="48"/>
      <c r="AF4047" s="48"/>
      <c r="AG4047" s="48"/>
      <c r="AH4047" s="48"/>
      <c r="AI4047" s="48"/>
      <c r="AJ4047" s="48"/>
      <c r="AK4047" s="48"/>
      <c r="AL4047" s="48"/>
      <c r="AM4047" s="48"/>
      <c r="AN4047" s="48"/>
      <c r="AO4047" s="48"/>
      <c r="AP4047" s="48"/>
      <c r="AQ4047" s="48"/>
      <c r="AR4047" s="48"/>
      <c r="AS4047" s="48"/>
      <c r="AT4047" s="48"/>
      <c r="AU4047" s="48"/>
      <c r="AV4047" s="48"/>
      <c r="AW4047" s="48"/>
      <c r="AX4047" s="48"/>
      <c r="AY4047" s="48"/>
      <c r="AZ4047" s="48"/>
      <c r="BA4047" s="48"/>
      <c r="BB4047" s="14"/>
      <c r="BC4047" s="48"/>
      <c r="BD4047" s="48"/>
      <c r="BE4047" s="48"/>
      <c r="BF4047" s="48"/>
      <c r="BG4047" s="48"/>
      <c r="BH4047" s="48"/>
      <c r="BI4047" s="48"/>
      <c r="BJ4047" s="48"/>
      <c r="BK4047" s="48"/>
      <c r="BL4047" s="48"/>
      <c r="BM4047" s="48"/>
      <c r="BN4047" s="48"/>
      <c r="BO4047" s="48"/>
      <c r="BP4047" s="48"/>
      <c r="BQ4047" s="48"/>
      <c r="BR4047" s="48"/>
      <c r="BS4047" s="48"/>
      <c r="BT4047" s="48"/>
      <c r="BU4047" s="48"/>
      <c r="BV4047" s="48"/>
      <c r="BW4047" s="48"/>
      <c r="BX4047" s="48"/>
      <c r="BY4047" s="48"/>
      <c r="BZ4047" s="48"/>
      <c r="CA4047" s="48"/>
      <c r="CB4047" s="48"/>
      <c r="CC4047" s="48"/>
      <c r="CD4047" s="48"/>
      <c r="CE4047" s="48"/>
      <c r="CF4047" s="48"/>
      <c r="CG4047" s="48"/>
      <c r="CH4047" s="48"/>
      <c r="CI4047" s="48"/>
      <c r="CJ4047" s="48"/>
      <c r="CK4047" s="48"/>
      <c r="CL4047" s="48"/>
      <c r="CM4047" s="48"/>
      <c r="CN4047" s="48"/>
      <c r="CO4047" s="48"/>
      <c r="CP4047" s="48"/>
      <c r="CQ4047" s="48"/>
      <c r="CR4047" s="48"/>
      <c r="CS4047" s="48"/>
      <c r="CT4047" s="48"/>
      <c r="CU4047" s="48"/>
      <c r="CV4047" s="48"/>
      <c r="CW4047" s="48"/>
      <c r="CX4047" s="48"/>
      <c r="CY4047" s="48"/>
      <c r="CZ4047" s="48"/>
    </row>
    <row r="4048" spans="27:104" s="4" customFormat="1" x14ac:dyDescent="0.3">
      <c r="AA4048" s="48"/>
      <c r="AB4048" s="48"/>
      <c r="AC4048" s="48"/>
      <c r="AD4048" s="48"/>
      <c r="AE4048" s="48"/>
      <c r="AF4048" s="48"/>
      <c r="AG4048" s="48"/>
      <c r="AH4048" s="48"/>
      <c r="AI4048" s="48"/>
      <c r="AJ4048" s="48"/>
      <c r="AK4048" s="48"/>
      <c r="AL4048" s="48"/>
      <c r="AM4048" s="48"/>
      <c r="AN4048" s="48"/>
      <c r="AO4048" s="48"/>
      <c r="AP4048" s="48"/>
      <c r="AQ4048" s="48"/>
      <c r="AR4048" s="48"/>
      <c r="AS4048" s="48"/>
      <c r="AT4048" s="48"/>
      <c r="AU4048" s="48"/>
      <c r="AV4048" s="48"/>
      <c r="AW4048" s="48"/>
      <c r="AX4048" s="48"/>
      <c r="AY4048" s="48"/>
      <c r="AZ4048" s="48"/>
      <c r="BA4048" s="48"/>
      <c r="BB4048" s="14"/>
      <c r="BC4048" s="48"/>
      <c r="BD4048" s="48"/>
      <c r="BE4048" s="48"/>
      <c r="BF4048" s="48"/>
      <c r="BG4048" s="48"/>
      <c r="BH4048" s="48"/>
      <c r="BI4048" s="48"/>
      <c r="BJ4048" s="48"/>
      <c r="BK4048" s="48"/>
      <c r="BL4048" s="48"/>
      <c r="BM4048" s="48"/>
      <c r="BN4048" s="48"/>
      <c r="BO4048" s="48"/>
      <c r="BP4048" s="48"/>
      <c r="BQ4048" s="48"/>
      <c r="BR4048" s="48"/>
      <c r="BS4048" s="48"/>
      <c r="BT4048" s="48"/>
      <c r="BU4048" s="48"/>
      <c r="BV4048" s="48"/>
      <c r="BW4048" s="48"/>
      <c r="BX4048" s="48"/>
      <c r="BY4048" s="48"/>
      <c r="BZ4048" s="48"/>
      <c r="CA4048" s="48"/>
      <c r="CB4048" s="48"/>
      <c r="CC4048" s="48"/>
      <c r="CD4048" s="48"/>
      <c r="CE4048" s="48"/>
      <c r="CF4048" s="48"/>
      <c r="CG4048" s="48"/>
      <c r="CH4048" s="48"/>
      <c r="CI4048" s="48"/>
      <c r="CJ4048" s="48"/>
      <c r="CK4048" s="48"/>
      <c r="CL4048" s="48"/>
      <c r="CM4048" s="48"/>
      <c r="CN4048" s="48"/>
      <c r="CO4048" s="48"/>
      <c r="CP4048" s="48"/>
      <c r="CQ4048" s="48"/>
      <c r="CR4048" s="48"/>
      <c r="CS4048" s="48"/>
      <c r="CT4048" s="48"/>
      <c r="CU4048" s="48"/>
      <c r="CV4048" s="48"/>
      <c r="CW4048" s="48"/>
      <c r="CX4048" s="48"/>
      <c r="CY4048" s="48"/>
      <c r="CZ4048" s="48"/>
    </row>
    <row r="4049" spans="27:104" s="4" customFormat="1" x14ac:dyDescent="0.3">
      <c r="AA4049" s="48"/>
      <c r="AB4049" s="48"/>
      <c r="AC4049" s="48"/>
      <c r="AD4049" s="48"/>
      <c r="AE4049" s="48"/>
      <c r="AF4049" s="48"/>
      <c r="AG4049" s="48"/>
      <c r="AH4049" s="48"/>
      <c r="AI4049" s="48"/>
      <c r="AJ4049" s="48"/>
      <c r="AK4049" s="48"/>
      <c r="AL4049" s="48"/>
      <c r="AM4049" s="48"/>
      <c r="AN4049" s="48"/>
      <c r="AO4049" s="48"/>
      <c r="AP4049" s="48"/>
      <c r="AQ4049" s="48"/>
      <c r="AR4049" s="48"/>
      <c r="AS4049" s="48"/>
      <c r="AT4049" s="48"/>
      <c r="AU4049" s="48"/>
      <c r="AV4049" s="48"/>
      <c r="AW4049" s="48"/>
      <c r="AX4049" s="48"/>
      <c r="AY4049" s="48"/>
      <c r="AZ4049" s="48"/>
      <c r="BA4049" s="48"/>
      <c r="BB4049" s="14"/>
      <c r="BC4049" s="48"/>
      <c r="BD4049" s="48"/>
      <c r="BE4049" s="48"/>
      <c r="BF4049" s="48"/>
      <c r="BG4049" s="48"/>
      <c r="BH4049" s="48"/>
      <c r="BI4049" s="48"/>
      <c r="BJ4049" s="48"/>
      <c r="BK4049" s="48"/>
      <c r="BL4049" s="48"/>
      <c r="BM4049" s="48"/>
      <c r="BN4049" s="48"/>
      <c r="BO4049" s="48"/>
      <c r="BP4049" s="48"/>
      <c r="BQ4049" s="48"/>
      <c r="BR4049" s="48"/>
      <c r="BS4049" s="48"/>
      <c r="BT4049" s="48"/>
      <c r="BU4049" s="48"/>
      <c r="BV4049" s="48"/>
      <c r="BW4049" s="48"/>
      <c r="BX4049" s="48"/>
      <c r="BY4049" s="48"/>
      <c r="BZ4049" s="48"/>
      <c r="CA4049" s="48"/>
      <c r="CB4049" s="48"/>
      <c r="CC4049" s="48"/>
      <c r="CD4049" s="48"/>
      <c r="CE4049" s="48"/>
      <c r="CF4049" s="48"/>
      <c r="CG4049" s="48"/>
      <c r="CH4049" s="48"/>
      <c r="CI4049" s="48"/>
      <c r="CJ4049" s="48"/>
      <c r="CK4049" s="48"/>
      <c r="CL4049" s="48"/>
      <c r="CM4049" s="48"/>
      <c r="CN4049" s="48"/>
      <c r="CO4049" s="48"/>
      <c r="CP4049" s="48"/>
      <c r="CQ4049" s="48"/>
      <c r="CR4049" s="48"/>
      <c r="CS4049" s="48"/>
      <c r="CT4049" s="48"/>
      <c r="CU4049" s="48"/>
      <c r="CV4049" s="48"/>
      <c r="CW4049" s="48"/>
      <c r="CX4049" s="48"/>
      <c r="CY4049" s="48"/>
      <c r="CZ4049" s="48"/>
    </row>
    <row r="4050" spans="27:104" s="4" customFormat="1" x14ac:dyDescent="0.3">
      <c r="AA4050" s="48"/>
      <c r="AB4050" s="48"/>
      <c r="AC4050" s="48"/>
      <c r="AD4050" s="48"/>
      <c r="AE4050" s="48"/>
      <c r="AF4050" s="48"/>
      <c r="AG4050" s="48"/>
      <c r="AH4050" s="48"/>
      <c r="AI4050" s="48"/>
      <c r="AJ4050" s="48"/>
      <c r="AK4050" s="48"/>
      <c r="AL4050" s="48"/>
      <c r="AM4050" s="48"/>
      <c r="AN4050" s="48"/>
      <c r="AO4050" s="48"/>
      <c r="AP4050" s="48"/>
      <c r="AQ4050" s="48"/>
      <c r="AR4050" s="48"/>
      <c r="AS4050" s="48"/>
      <c r="AT4050" s="48"/>
      <c r="AU4050" s="48"/>
      <c r="AV4050" s="48"/>
      <c r="AW4050" s="48"/>
      <c r="AX4050" s="48"/>
      <c r="AY4050" s="48"/>
      <c r="AZ4050" s="48"/>
      <c r="BA4050" s="48"/>
      <c r="BB4050" s="14"/>
      <c r="BC4050" s="48"/>
      <c r="BD4050" s="48"/>
      <c r="BE4050" s="48"/>
      <c r="BF4050" s="48"/>
      <c r="BG4050" s="48"/>
      <c r="BH4050" s="48"/>
      <c r="BI4050" s="48"/>
      <c r="BJ4050" s="48"/>
      <c r="BK4050" s="48"/>
      <c r="BL4050" s="48"/>
      <c r="BM4050" s="48"/>
      <c r="BN4050" s="48"/>
      <c r="BO4050" s="48"/>
      <c r="BP4050" s="48"/>
      <c r="BQ4050" s="48"/>
      <c r="BR4050" s="48"/>
      <c r="BS4050" s="48"/>
      <c r="BT4050" s="48"/>
      <c r="BU4050" s="48"/>
      <c r="BV4050" s="48"/>
      <c r="BW4050" s="48"/>
      <c r="BX4050" s="48"/>
      <c r="BY4050" s="48"/>
      <c r="BZ4050" s="48"/>
      <c r="CA4050" s="48"/>
      <c r="CB4050" s="48"/>
      <c r="CC4050" s="48"/>
      <c r="CD4050" s="48"/>
      <c r="CE4050" s="48"/>
      <c r="CF4050" s="48"/>
      <c r="CG4050" s="48"/>
      <c r="CH4050" s="48"/>
      <c r="CI4050" s="48"/>
      <c r="CJ4050" s="48"/>
      <c r="CK4050" s="48"/>
      <c r="CL4050" s="48"/>
      <c r="CM4050" s="48"/>
      <c r="CN4050" s="48"/>
      <c r="CO4050" s="48"/>
      <c r="CP4050" s="48"/>
      <c r="CQ4050" s="48"/>
      <c r="CR4050" s="48"/>
      <c r="CS4050" s="48"/>
      <c r="CT4050" s="48"/>
      <c r="CU4050" s="48"/>
      <c r="CV4050" s="48"/>
      <c r="CW4050" s="48"/>
      <c r="CX4050" s="48"/>
      <c r="CY4050" s="48"/>
      <c r="CZ4050" s="48"/>
    </row>
    <row r="4051" spans="27:104" s="4" customFormat="1" x14ac:dyDescent="0.3">
      <c r="AA4051" s="48"/>
      <c r="AB4051" s="48"/>
      <c r="AC4051" s="48"/>
      <c r="AD4051" s="48"/>
      <c r="AE4051" s="48"/>
      <c r="AF4051" s="48"/>
      <c r="AG4051" s="48"/>
      <c r="AH4051" s="48"/>
      <c r="AI4051" s="48"/>
      <c r="AJ4051" s="48"/>
      <c r="AK4051" s="48"/>
      <c r="AL4051" s="48"/>
      <c r="AM4051" s="48"/>
      <c r="AN4051" s="48"/>
      <c r="AO4051" s="48"/>
      <c r="AP4051" s="48"/>
      <c r="AQ4051" s="48"/>
      <c r="AR4051" s="48"/>
      <c r="AS4051" s="48"/>
      <c r="AT4051" s="48"/>
      <c r="AU4051" s="48"/>
      <c r="AV4051" s="48"/>
      <c r="AW4051" s="48"/>
      <c r="AX4051" s="48"/>
      <c r="AY4051" s="48"/>
      <c r="AZ4051" s="48"/>
      <c r="BA4051" s="48"/>
      <c r="BB4051" s="14"/>
      <c r="BC4051" s="48"/>
      <c r="BD4051" s="48"/>
      <c r="BE4051" s="48"/>
      <c r="BF4051" s="48"/>
      <c r="BG4051" s="48"/>
      <c r="BH4051" s="48"/>
      <c r="BI4051" s="48"/>
      <c r="BJ4051" s="48"/>
      <c r="BK4051" s="48"/>
      <c r="BL4051" s="48"/>
      <c r="BM4051" s="48"/>
      <c r="BN4051" s="48"/>
      <c r="BO4051" s="48"/>
      <c r="BP4051" s="48"/>
      <c r="BQ4051" s="48"/>
      <c r="BR4051" s="48"/>
      <c r="BS4051" s="48"/>
      <c r="BT4051" s="48"/>
      <c r="BU4051" s="48"/>
      <c r="BV4051" s="48"/>
      <c r="BW4051" s="48"/>
      <c r="BX4051" s="48"/>
      <c r="BY4051" s="48"/>
      <c r="BZ4051" s="48"/>
      <c r="CA4051" s="48"/>
      <c r="CB4051" s="48"/>
      <c r="CC4051" s="48"/>
      <c r="CD4051" s="48"/>
      <c r="CE4051" s="48"/>
      <c r="CF4051" s="48"/>
      <c r="CG4051" s="48"/>
      <c r="CH4051" s="48"/>
      <c r="CI4051" s="48"/>
      <c r="CJ4051" s="48"/>
      <c r="CK4051" s="48"/>
      <c r="CL4051" s="48"/>
      <c r="CM4051" s="48"/>
      <c r="CN4051" s="48"/>
      <c r="CO4051" s="48"/>
      <c r="CP4051" s="48"/>
      <c r="CQ4051" s="48"/>
      <c r="CR4051" s="48"/>
      <c r="CS4051" s="48"/>
      <c r="CT4051" s="48"/>
      <c r="CU4051" s="48"/>
      <c r="CV4051" s="48"/>
      <c r="CW4051" s="48"/>
      <c r="CX4051" s="48"/>
      <c r="CY4051" s="48"/>
      <c r="CZ4051" s="48"/>
    </row>
    <row r="4052" spans="27:104" s="4" customFormat="1" x14ac:dyDescent="0.3">
      <c r="AA4052" s="48"/>
      <c r="AB4052" s="48"/>
      <c r="AC4052" s="48"/>
      <c r="AD4052" s="48"/>
      <c r="AE4052" s="48"/>
      <c r="AF4052" s="48"/>
      <c r="AG4052" s="48"/>
      <c r="AH4052" s="48"/>
      <c r="AI4052" s="48"/>
      <c r="AJ4052" s="48"/>
      <c r="AK4052" s="48"/>
      <c r="AL4052" s="48"/>
      <c r="AM4052" s="48"/>
      <c r="AN4052" s="48"/>
      <c r="AO4052" s="48"/>
      <c r="AP4052" s="48"/>
      <c r="AQ4052" s="48"/>
      <c r="AR4052" s="48"/>
      <c r="AS4052" s="48"/>
      <c r="AT4052" s="48"/>
      <c r="AU4052" s="48"/>
      <c r="AV4052" s="48"/>
      <c r="AW4052" s="48"/>
      <c r="AX4052" s="48"/>
      <c r="AY4052" s="48"/>
      <c r="AZ4052" s="48"/>
      <c r="BA4052" s="48"/>
      <c r="BB4052" s="14"/>
      <c r="BC4052" s="48"/>
      <c r="BD4052" s="48"/>
      <c r="BE4052" s="48"/>
      <c r="BF4052" s="48"/>
      <c r="BG4052" s="48"/>
      <c r="BH4052" s="48"/>
      <c r="BI4052" s="48"/>
      <c r="BJ4052" s="48"/>
      <c r="BK4052" s="48"/>
      <c r="BL4052" s="48"/>
      <c r="BM4052" s="48"/>
      <c r="BN4052" s="48"/>
      <c r="BO4052" s="48"/>
      <c r="BP4052" s="48"/>
      <c r="BQ4052" s="48"/>
      <c r="BR4052" s="48"/>
      <c r="BS4052" s="48"/>
      <c r="BT4052" s="48"/>
      <c r="BU4052" s="48"/>
      <c r="BV4052" s="48"/>
      <c r="BW4052" s="48"/>
      <c r="BX4052" s="48"/>
      <c r="BY4052" s="48"/>
      <c r="BZ4052" s="48"/>
      <c r="CA4052" s="48"/>
      <c r="CB4052" s="48"/>
      <c r="CC4052" s="48"/>
      <c r="CD4052" s="48"/>
      <c r="CE4052" s="48"/>
      <c r="CF4052" s="48"/>
      <c r="CG4052" s="48"/>
      <c r="CH4052" s="48"/>
      <c r="CI4052" s="48"/>
      <c r="CJ4052" s="48"/>
      <c r="CK4052" s="48"/>
      <c r="CL4052" s="48"/>
      <c r="CM4052" s="48"/>
      <c r="CN4052" s="48"/>
      <c r="CO4052" s="48"/>
      <c r="CP4052" s="48"/>
      <c r="CQ4052" s="48"/>
      <c r="CR4052" s="48"/>
      <c r="CS4052" s="48"/>
      <c r="CT4052" s="48"/>
      <c r="CU4052" s="48"/>
      <c r="CV4052" s="48"/>
      <c r="CW4052" s="48"/>
      <c r="CX4052" s="48"/>
      <c r="CY4052" s="48"/>
      <c r="CZ4052" s="48"/>
    </row>
    <row r="4053" spans="27:104" s="4" customFormat="1" x14ac:dyDescent="0.3">
      <c r="AA4053" s="48"/>
      <c r="AB4053" s="48"/>
      <c r="AC4053" s="48"/>
      <c r="AD4053" s="48"/>
      <c r="AE4053" s="48"/>
      <c r="AF4053" s="48"/>
      <c r="AG4053" s="48"/>
      <c r="AH4053" s="48"/>
      <c r="AI4053" s="48"/>
      <c r="AJ4053" s="48"/>
      <c r="AK4053" s="48"/>
      <c r="AL4053" s="48"/>
      <c r="AM4053" s="48"/>
      <c r="AN4053" s="48"/>
      <c r="AO4053" s="48"/>
      <c r="AP4053" s="48"/>
      <c r="AQ4053" s="48"/>
      <c r="AR4053" s="48"/>
      <c r="AS4053" s="48"/>
      <c r="AT4053" s="48"/>
      <c r="AU4053" s="48"/>
      <c r="AV4053" s="48"/>
      <c r="AW4053" s="48"/>
      <c r="AX4053" s="48"/>
      <c r="AY4053" s="48"/>
      <c r="AZ4053" s="48"/>
      <c r="BA4053" s="48"/>
      <c r="BB4053" s="14"/>
      <c r="BC4053" s="48"/>
      <c r="BD4053" s="48"/>
      <c r="BE4053" s="48"/>
      <c r="BF4053" s="48"/>
      <c r="BG4053" s="48"/>
      <c r="BH4053" s="48"/>
      <c r="BI4053" s="48"/>
      <c r="BJ4053" s="48"/>
      <c r="BK4053" s="48"/>
      <c r="BL4053" s="48"/>
      <c r="BM4053" s="48"/>
      <c r="BN4053" s="48"/>
      <c r="BO4053" s="48"/>
      <c r="BP4053" s="48"/>
      <c r="BQ4053" s="48"/>
      <c r="BR4053" s="48"/>
      <c r="BS4053" s="48"/>
      <c r="BT4053" s="48"/>
      <c r="BU4053" s="48"/>
      <c r="BV4053" s="48"/>
      <c r="BW4053" s="48"/>
      <c r="BX4053" s="48"/>
      <c r="BY4053" s="48"/>
      <c r="BZ4053" s="48"/>
      <c r="CA4053" s="48"/>
      <c r="CB4053" s="48"/>
      <c r="CC4053" s="48"/>
      <c r="CD4053" s="48"/>
      <c r="CE4053" s="48"/>
      <c r="CF4053" s="48"/>
      <c r="CG4053" s="48"/>
      <c r="CH4053" s="48"/>
      <c r="CI4053" s="48"/>
      <c r="CJ4053" s="48"/>
      <c r="CK4053" s="48"/>
      <c r="CL4053" s="48"/>
      <c r="CM4053" s="48"/>
      <c r="CN4053" s="48"/>
      <c r="CO4053" s="48"/>
      <c r="CP4053" s="48"/>
      <c r="CQ4053" s="48"/>
      <c r="CR4053" s="48"/>
      <c r="CS4053" s="48"/>
      <c r="CT4053" s="48"/>
      <c r="CU4053" s="48"/>
      <c r="CV4053" s="48"/>
      <c r="CW4053" s="48"/>
      <c r="CX4053" s="48"/>
      <c r="CY4053" s="48"/>
      <c r="CZ4053" s="48"/>
    </row>
    <row r="4054" spans="27:104" s="4" customFormat="1" x14ac:dyDescent="0.3">
      <c r="AA4054" s="48"/>
      <c r="AB4054" s="48"/>
      <c r="AC4054" s="48"/>
      <c r="AD4054" s="48"/>
      <c r="AE4054" s="48"/>
      <c r="AF4054" s="48"/>
      <c r="AG4054" s="48"/>
      <c r="AH4054" s="48"/>
      <c r="AI4054" s="48"/>
      <c r="AJ4054" s="48"/>
      <c r="AK4054" s="48"/>
      <c r="AL4054" s="48"/>
      <c r="AM4054" s="48"/>
      <c r="AN4054" s="48"/>
      <c r="AO4054" s="48"/>
      <c r="AP4054" s="48"/>
      <c r="AQ4054" s="48"/>
      <c r="AR4054" s="48"/>
      <c r="AS4054" s="48"/>
      <c r="AT4054" s="48"/>
      <c r="AU4054" s="48"/>
      <c r="AV4054" s="48"/>
      <c r="AW4054" s="48"/>
      <c r="AX4054" s="48"/>
      <c r="AY4054" s="48"/>
      <c r="AZ4054" s="48"/>
      <c r="BA4054" s="48"/>
      <c r="BB4054" s="14"/>
      <c r="BC4054" s="48"/>
      <c r="BD4054" s="48"/>
      <c r="BE4054" s="48"/>
      <c r="BF4054" s="48"/>
      <c r="BG4054" s="48"/>
      <c r="BH4054" s="48"/>
      <c r="BI4054" s="48"/>
      <c r="BJ4054" s="48"/>
      <c r="BK4054" s="48"/>
      <c r="BL4054" s="48"/>
      <c r="BM4054" s="48"/>
      <c r="BN4054" s="48"/>
      <c r="BO4054" s="48"/>
      <c r="BP4054" s="48"/>
      <c r="BQ4054" s="48"/>
      <c r="BR4054" s="48"/>
      <c r="BS4054" s="48"/>
      <c r="BT4054" s="48"/>
      <c r="BU4054" s="48"/>
      <c r="BV4054" s="48"/>
      <c r="BW4054" s="48"/>
      <c r="BX4054" s="48"/>
      <c r="BY4054" s="48"/>
      <c r="BZ4054" s="48"/>
      <c r="CA4054" s="48"/>
      <c r="CB4054" s="48"/>
      <c r="CC4054" s="48"/>
      <c r="CD4054" s="48"/>
      <c r="CE4054" s="48"/>
      <c r="CF4054" s="48"/>
      <c r="CG4054" s="48"/>
      <c r="CH4054" s="48"/>
      <c r="CI4054" s="48"/>
      <c r="CJ4054" s="48"/>
      <c r="CK4054" s="48"/>
      <c r="CL4054" s="48"/>
      <c r="CM4054" s="48"/>
      <c r="CN4054" s="48"/>
      <c r="CO4054" s="48"/>
      <c r="CP4054" s="48"/>
      <c r="CQ4054" s="48"/>
      <c r="CR4054" s="48"/>
      <c r="CS4054" s="48"/>
      <c r="CT4054" s="48"/>
      <c r="CU4054" s="48"/>
      <c r="CV4054" s="48"/>
      <c r="CW4054" s="48"/>
      <c r="CX4054" s="48"/>
      <c r="CY4054" s="48"/>
      <c r="CZ4054" s="48"/>
    </row>
    <row r="4055" spans="27:104" s="4" customFormat="1" x14ac:dyDescent="0.3">
      <c r="AA4055" s="48"/>
      <c r="AB4055" s="48"/>
      <c r="AC4055" s="48"/>
      <c r="AD4055" s="48"/>
      <c r="AE4055" s="48"/>
      <c r="AF4055" s="48"/>
      <c r="AG4055" s="48"/>
      <c r="AH4055" s="48"/>
      <c r="AI4055" s="48"/>
      <c r="AJ4055" s="48"/>
      <c r="AK4055" s="48"/>
      <c r="AL4055" s="48"/>
      <c r="AM4055" s="48"/>
      <c r="AN4055" s="48"/>
      <c r="AO4055" s="48"/>
      <c r="AP4055" s="48"/>
      <c r="AQ4055" s="48"/>
      <c r="AR4055" s="48"/>
      <c r="AS4055" s="48"/>
      <c r="AT4055" s="48"/>
      <c r="AU4055" s="48"/>
      <c r="AV4055" s="48"/>
      <c r="AW4055" s="48"/>
      <c r="AX4055" s="48"/>
      <c r="AY4055" s="48"/>
      <c r="AZ4055" s="48"/>
      <c r="BA4055" s="48"/>
      <c r="BB4055" s="14"/>
      <c r="BC4055" s="48"/>
      <c r="BD4055" s="48"/>
      <c r="BE4055" s="48"/>
      <c r="BF4055" s="48"/>
      <c r="BG4055" s="48"/>
      <c r="BH4055" s="48"/>
      <c r="BI4055" s="48"/>
      <c r="BJ4055" s="48"/>
      <c r="BK4055" s="48"/>
      <c r="BL4055" s="48"/>
      <c r="BM4055" s="48"/>
      <c r="BN4055" s="48"/>
      <c r="BO4055" s="48"/>
      <c r="BP4055" s="48"/>
      <c r="BQ4055" s="48"/>
      <c r="BR4055" s="48"/>
      <c r="BS4055" s="48"/>
      <c r="BT4055" s="48"/>
      <c r="BU4055" s="48"/>
      <c r="BV4055" s="48"/>
      <c r="BW4055" s="48"/>
      <c r="BX4055" s="48"/>
      <c r="BY4055" s="48"/>
      <c r="BZ4055" s="48"/>
      <c r="CA4055" s="48"/>
      <c r="CB4055" s="48"/>
      <c r="CC4055" s="48"/>
      <c r="CD4055" s="48"/>
      <c r="CE4055" s="48"/>
      <c r="CF4055" s="48"/>
      <c r="CG4055" s="48"/>
      <c r="CH4055" s="48"/>
      <c r="CI4055" s="48"/>
      <c r="CJ4055" s="48"/>
      <c r="CK4055" s="48"/>
      <c r="CL4055" s="48"/>
      <c r="CM4055" s="48"/>
      <c r="CN4055" s="48"/>
      <c r="CO4055" s="48"/>
      <c r="CP4055" s="48"/>
      <c r="CQ4055" s="48"/>
      <c r="CR4055" s="48"/>
      <c r="CS4055" s="48"/>
      <c r="CT4055" s="48"/>
      <c r="CU4055" s="48"/>
      <c r="CV4055" s="48"/>
      <c r="CW4055" s="48"/>
      <c r="CX4055" s="48"/>
      <c r="CY4055" s="48"/>
      <c r="CZ4055" s="48"/>
    </row>
    <row r="4056" spans="27:104" s="4" customFormat="1" x14ac:dyDescent="0.3">
      <c r="AA4056" s="48"/>
      <c r="AB4056" s="48"/>
      <c r="AC4056" s="48"/>
      <c r="AD4056" s="48"/>
      <c r="AE4056" s="48"/>
      <c r="AF4056" s="48"/>
      <c r="AG4056" s="48"/>
      <c r="AH4056" s="48"/>
      <c r="AI4056" s="48"/>
      <c r="AJ4056" s="48"/>
      <c r="AK4056" s="48"/>
      <c r="AL4056" s="48"/>
      <c r="AM4056" s="48"/>
      <c r="AN4056" s="48"/>
      <c r="AO4056" s="48"/>
      <c r="AP4056" s="48"/>
      <c r="AQ4056" s="48"/>
      <c r="AR4056" s="48"/>
      <c r="AS4056" s="48"/>
      <c r="AT4056" s="48"/>
      <c r="AU4056" s="48"/>
      <c r="AV4056" s="48"/>
      <c r="AW4056" s="48"/>
      <c r="AX4056" s="48"/>
      <c r="AY4056" s="48"/>
      <c r="AZ4056" s="48"/>
      <c r="BA4056" s="48"/>
      <c r="BB4056" s="14"/>
      <c r="BC4056" s="48"/>
      <c r="BD4056" s="48"/>
      <c r="BE4056" s="48"/>
      <c r="BF4056" s="48"/>
      <c r="BG4056" s="48"/>
      <c r="BH4056" s="48"/>
      <c r="BI4056" s="48"/>
      <c r="BJ4056" s="48"/>
      <c r="BK4056" s="48"/>
      <c r="BL4056" s="48"/>
      <c r="BM4056" s="48"/>
      <c r="BN4056" s="48"/>
      <c r="BO4056" s="48"/>
      <c r="BP4056" s="48"/>
      <c r="BQ4056" s="48"/>
      <c r="BR4056" s="48"/>
      <c r="BS4056" s="48"/>
      <c r="BT4056" s="48"/>
      <c r="BU4056" s="48"/>
      <c r="BV4056" s="48"/>
      <c r="BW4056" s="48"/>
      <c r="BX4056" s="48"/>
      <c r="BY4056" s="48"/>
      <c r="BZ4056" s="48"/>
      <c r="CA4056" s="48"/>
      <c r="CB4056" s="48"/>
      <c r="CC4056" s="48"/>
      <c r="CD4056" s="48"/>
      <c r="CE4056" s="48"/>
      <c r="CF4056" s="48"/>
      <c r="CG4056" s="48"/>
      <c r="CH4056" s="48"/>
      <c r="CI4056" s="48"/>
      <c r="CJ4056" s="48"/>
      <c r="CK4056" s="48"/>
      <c r="CL4056" s="48"/>
      <c r="CM4056" s="48"/>
      <c r="CN4056" s="48"/>
      <c r="CO4056" s="48"/>
      <c r="CP4056" s="48"/>
      <c r="CQ4056" s="48"/>
      <c r="CR4056" s="48"/>
      <c r="CS4056" s="48"/>
      <c r="CT4056" s="48"/>
      <c r="CU4056" s="48"/>
      <c r="CV4056" s="48"/>
      <c r="CW4056" s="48"/>
      <c r="CX4056" s="48"/>
      <c r="CY4056" s="48"/>
      <c r="CZ4056" s="48"/>
    </row>
    <row r="4057" spans="27:104" s="4" customFormat="1" x14ac:dyDescent="0.3">
      <c r="AA4057" s="48"/>
      <c r="AB4057" s="48"/>
      <c r="AC4057" s="48"/>
      <c r="AD4057" s="48"/>
      <c r="AE4057" s="48"/>
      <c r="AF4057" s="48"/>
      <c r="AG4057" s="48"/>
      <c r="AH4057" s="48"/>
      <c r="AI4057" s="48"/>
      <c r="AJ4057" s="48"/>
      <c r="AK4057" s="48"/>
      <c r="AL4057" s="48"/>
      <c r="AM4057" s="48"/>
      <c r="AN4057" s="48"/>
      <c r="AO4057" s="48"/>
      <c r="AP4057" s="48"/>
      <c r="AQ4057" s="48"/>
      <c r="AR4057" s="48"/>
      <c r="AS4057" s="48"/>
      <c r="AT4057" s="48"/>
      <c r="AU4057" s="48"/>
      <c r="AV4057" s="48"/>
      <c r="AW4057" s="48"/>
      <c r="AX4057" s="48"/>
      <c r="AY4057" s="48"/>
      <c r="AZ4057" s="48"/>
      <c r="BA4057" s="48"/>
      <c r="BB4057" s="14"/>
      <c r="BC4057" s="48"/>
      <c r="BD4057" s="48"/>
      <c r="BE4057" s="48"/>
      <c r="BF4057" s="48"/>
      <c r="BG4057" s="48"/>
      <c r="BH4057" s="48"/>
      <c r="BI4057" s="48"/>
      <c r="BJ4057" s="48"/>
      <c r="BK4057" s="48"/>
      <c r="BL4057" s="48"/>
      <c r="BM4057" s="48"/>
      <c r="BN4057" s="48"/>
      <c r="BO4057" s="48"/>
      <c r="BP4057" s="48"/>
      <c r="BQ4057" s="48"/>
      <c r="BR4057" s="48"/>
      <c r="BS4057" s="48"/>
      <c r="BT4057" s="48"/>
      <c r="BU4057" s="48"/>
      <c r="BV4057" s="48"/>
      <c r="BW4057" s="48"/>
      <c r="BX4057" s="48"/>
      <c r="BY4057" s="48"/>
      <c r="BZ4057" s="48"/>
      <c r="CA4057" s="48"/>
      <c r="CB4057" s="48"/>
      <c r="CC4057" s="48"/>
      <c r="CD4057" s="48"/>
      <c r="CE4057" s="48"/>
      <c r="CF4057" s="48"/>
      <c r="CG4057" s="48"/>
      <c r="CH4057" s="48"/>
      <c r="CI4057" s="48"/>
      <c r="CJ4057" s="48"/>
      <c r="CK4057" s="48"/>
      <c r="CL4057" s="48"/>
      <c r="CM4057" s="48"/>
      <c r="CN4057" s="48"/>
      <c r="CO4057" s="48"/>
      <c r="CP4057" s="48"/>
      <c r="CQ4057" s="48"/>
      <c r="CR4057" s="48"/>
      <c r="CS4057" s="48"/>
      <c r="CT4057" s="48"/>
      <c r="CU4057" s="48"/>
      <c r="CV4057" s="48"/>
      <c r="CW4057" s="48"/>
      <c r="CX4057" s="48"/>
      <c r="CY4057" s="48"/>
      <c r="CZ4057" s="48"/>
    </row>
    <row r="4058" spans="27:104" s="4" customFormat="1" x14ac:dyDescent="0.3">
      <c r="AA4058" s="48"/>
      <c r="AB4058" s="48"/>
      <c r="AC4058" s="48"/>
      <c r="AD4058" s="48"/>
      <c r="AE4058" s="48"/>
      <c r="AF4058" s="48"/>
      <c r="AG4058" s="48"/>
      <c r="AH4058" s="48"/>
      <c r="AI4058" s="48"/>
      <c r="AJ4058" s="48"/>
      <c r="AK4058" s="48"/>
      <c r="AL4058" s="48"/>
      <c r="AM4058" s="48"/>
      <c r="AN4058" s="48"/>
      <c r="AO4058" s="48"/>
      <c r="AP4058" s="48"/>
      <c r="AQ4058" s="48"/>
      <c r="AR4058" s="48"/>
      <c r="AS4058" s="48"/>
      <c r="AT4058" s="48"/>
      <c r="AU4058" s="48"/>
      <c r="AV4058" s="48"/>
      <c r="AW4058" s="48"/>
      <c r="AX4058" s="48"/>
      <c r="AY4058" s="48"/>
      <c r="AZ4058" s="48"/>
      <c r="BA4058" s="48"/>
      <c r="BB4058" s="14"/>
      <c r="BC4058" s="48"/>
      <c r="BD4058" s="48"/>
      <c r="BE4058" s="48"/>
      <c r="BF4058" s="48"/>
      <c r="BG4058" s="48"/>
      <c r="BH4058" s="48"/>
      <c r="BI4058" s="48"/>
      <c r="BJ4058" s="48"/>
      <c r="BK4058" s="48"/>
      <c r="BL4058" s="48"/>
      <c r="BM4058" s="48"/>
      <c r="BN4058" s="48"/>
      <c r="BO4058" s="48"/>
      <c r="BP4058" s="48"/>
      <c r="BQ4058" s="48"/>
      <c r="BR4058" s="48"/>
      <c r="BS4058" s="48"/>
      <c r="BT4058" s="48"/>
      <c r="BU4058" s="48"/>
      <c r="BV4058" s="48"/>
      <c r="BW4058" s="48"/>
      <c r="BX4058" s="48"/>
      <c r="BY4058" s="48"/>
      <c r="BZ4058" s="48"/>
      <c r="CA4058" s="48"/>
      <c r="CB4058" s="48"/>
      <c r="CC4058" s="48"/>
      <c r="CD4058" s="48"/>
      <c r="CE4058" s="48"/>
      <c r="CF4058" s="48"/>
      <c r="CG4058" s="48"/>
      <c r="CH4058" s="48"/>
      <c r="CI4058" s="48"/>
      <c r="CJ4058" s="48"/>
      <c r="CK4058" s="48"/>
      <c r="CL4058" s="48"/>
      <c r="CM4058" s="48"/>
      <c r="CN4058" s="48"/>
      <c r="CO4058" s="48"/>
      <c r="CP4058" s="48"/>
      <c r="CQ4058" s="48"/>
      <c r="CR4058" s="48"/>
      <c r="CS4058" s="48"/>
      <c r="CT4058" s="48"/>
      <c r="CU4058" s="48"/>
      <c r="CV4058" s="48"/>
      <c r="CW4058" s="48"/>
      <c r="CX4058" s="48"/>
      <c r="CY4058" s="48"/>
      <c r="CZ4058" s="48"/>
    </row>
    <row r="4059" spans="27:104" s="4" customFormat="1" x14ac:dyDescent="0.3">
      <c r="AA4059" s="48"/>
      <c r="AB4059" s="48"/>
      <c r="AC4059" s="48"/>
      <c r="AD4059" s="48"/>
      <c r="AE4059" s="48"/>
      <c r="AF4059" s="48"/>
      <c r="AG4059" s="48"/>
      <c r="AH4059" s="48"/>
      <c r="AI4059" s="48"/>
      <c r="AJ4059" s="48"/>
      <c r="AK4059" s="48"/>
      <c r="AL4059" s="48"/>
      <c r="AM4059" s="48"/>
      <c r="AN4059" s="48"/>
      <c r="AO4059" s="48"/>
      <c r="AP4059" s="48"/>
      <c r="AQ4059" s="48"/>
      <c r="AR4059" s="48"/>
      <c r="AS4059" s="48"/>
      <c r="AT4059" s="48"/>
      <c r="AU4059" s="48"/>
      <c r="AV4059" s="48"/>
      <c r="AW4059" s="48"/>
      <c r="AX4059" s="48"/>
      <c r="AY4059" s="48"/>
      <c r="AZ4059" s="48"/>
      <c r="BA4059" s="48"/>
      <c r="BB4059" s="14"/>
      <c r="BC4059" s="48"/>
      <c r="BD4059" s="48"/>
      <c r="BE4059" s="48"/>
      <c r="BF4059" s="48"/>
      <c r="BG4059" s="48"/>
      <c r="BH4059" s="48"/>
      <c r="BI4059" s="48"/>
      <c r="BJ4059" s="48"/>
      <c r="BK4059" s="48"/>
      <c r="BL4059" s="48"/>
      <c r="BM4059" s="48"/>
      <c r="BN4059" s="48"/>
      <c r="BO4059" s="48"/>
      <c r="BP4059" s="48"/>
      <c r="BQ4059" s="48"/>
      <c r="BR4059" s="48"/>
      <c r="BS4059" s="48"/>
      <c r="BT4059" s="48"/>
      <c r="BU4059" s="48"/>
      <c r="BV4059" s="48"/>
      <c r="BW4059" s="48"/>
      <c r="BX4059" s="48"/>
      <c r="BY4059" s="48"/>
      <c r="BZ4059" s="48"/>
      <c r="CA4059" s="48"/>
      <c r="CB4059" s="48"/>
      <c r="CC4059" s="48"/>
      <c r="CD4059" s="48"/>
      <c r="CE4059" s="48"/>
      <c r="CF4059" s="48"/>
      <c r="CG4059" s="48"/>
      <c r="CH4059" s="48"/>
      <c r="CI4059" s="48"/>
      <c r="CJ4059" s="48"/>
      <c r="CK4059" s="48"/>
      <c r="CL4059" s="48"/>
      <c r="CM4059" s="48"/>
      <c r="CN4059" s="48"/>
      <c r="CO4059" s="48"/>
      <c r="CP4059" s="48"/>
      <c r="CQ4059" s="48"/>
      <c r="CR4059" s="48"/>
      <c r="CS4059" s="48"/>
      <c r="CT4059" s="48"/>
      <c r="CU4059" s="48"/>
      <c r="CV4059" s="48"/>
      <c r="CW4059" s="48"/>
      <c r="CX4059" s="48"/>
      <c r="CY4059" s="48"/>
      <c r="CZ4059" s="48"/>
    </row>
    <row r="4060" spans="27:104" s="4" customFormat="1" x14ac:dyDescent="0.3">
      <c r="AA4060" s="48"/>
      <c r="AB4060" s="48"/>
      <c r="AC4060" s="48"/>
      <c r="AD4060" s="48"/>
      <c r="AE4060" s="48"/>
      <c r="AF4060" s="48"/>
      <c r="AG4060" s="48"/>
      <c r="AH4060" s="48"/>
      <c r="AI4060" s="48"/>
      <c r="AJ4060" s="48"/>
      <c r="AK4060" s="48"/>
      <c r="AL4060" s="48"/>
      <c r="AM4060" s="48"/>
      <c r="AN4060" s="48"/>
      <c r="AO4060" s="48"/>
      <c r="AP4060" s="48"/>
      <c r="AQ4060" s="48"/>
      <c r="AR4060" s="48"/>
      <c r="AS4060" s="48"/>
      <c r="AT4060" s="48"/>
      <c r="AU4060" s="48"/>
      <c r="AV4060" s="48"/>
      <c r="AW4060" s="48"/>
      <c r="AX4060" s="48"/>
      <c r="AY4060" s="48"/>
      <c r="AZ4060" s="48"/>
      <c r="BA4060" s="48"/>
      <c r="BB4060" s="14"/>
      <c r="BC4060" s="48"/>
      <c r="BD4060" s="48"/>
      <c r="BE4060" s="48"/>
      <c r="BF4060" s="48"/>
      <c r="BG4060" s="48"/>
      <c r="BH4060" s="48"/>
      <c r="BI4060" s="48"/>
      <c r="BJ4060" s="48"/>
      <c r="BK4060" s="48"/>
      <c r="BL4060" s="48"/>
      <c r="BM4060" s="48"/>
      <c r="BN4060" s="48"/>
      <c r="BO4060" s="48"/>
      <c r="BP4060" s="48"/>
      <c r="BQ4060" s="48"/>
      <c r="BR4060" s="48"/>
      <c r="BS4060" s="48"/>
      <c r="BT4060" s="48"/>
      <c r="BU4060" s="48"/>
      <c r="BV4060" s="48"/>
      <c r="BW4060" s="48"/>
      <c r="BX4060" s="48"/>
      <c r="BY4060" s="48"/>
      <c r="BZ4060" s="48"/>
      <c r="CA4060" s="48"/>
      <c r="CB4060" s="48"/>
      <c r="CC4060" s="48"/>
      <c r="CD4060" s="48"/>
      <c r="CE4060" s="48"/>
      <c r="CF4060" s="48"/>
      <c r="CG4060" s="48"/>
      <c r="CH4060" s="48"/>
      <c r="CI4060" s="48"/>
      <c r="CJ4060" s="48"/>
      <c r="CK4060" s="48"/>
      <c r="CL4060" s="48"/>
      <c r="CM4060" s="48"/>
      <c r="CN4060" s="48"/>
      <c r="CO4060" s="48"/>
      <c r="CP4060" s="48"/>
      <c r="CQ4060" s="48"/>
      <c r="CR4060" s="48"/>
      <c r="CS4060" s="48"/>
      <c r="CT4060" s="48"/>
      <c r="CU4060" s="48"/>
      <c r="CV4060" s="48"/>
      <c r="CW4060" s="48"/>
      <c r="CX4060" s="48"/>
      <c r="CY4060" s="48"/>
      <c r="CZ4060" s="48"/>
    </row>
    <row r="4061" spans="27:104" s="4" customFormat="1" x14ac:dyDescent="0.3">
      <c r="AA4061" s="48"/>
      <c r="AB4061" s="48"/>
      <c r="AC4061" s="48"/>
      <c r="AD4061" s="48"/>
      <c r="AE4061" s="48"/>
      <c r="AF4061" s="48"/>
      <c r="AG4061" s="48"/>
      <c r="AH4061" s="48"/>
      <c r="AI4061" s="48"/>
      <c r="AJ4061" s="48"/>
      <c r="AK4061" s="48"/>
      <c r="AL4061" s="48"/>
      <c r="AM4061" s="48"/>
      <c r="AN4061" s="48"/>
      <c r="AO4061" s="48"/>
      <c r="AP4061" s="48"/>
      <c r="AQ4061" s="48"/>
      <c r="AR4061" s="48"/>
      <c r="AS4061" s="48"/>
      <c r="AT4061" s="48"/>
      <c r="AU4061" s="48"/>
      <c r="AV4061" s="48"/>
      <c r="AW4061" s="48"/>
      <c r="AX4061" s="48"/>
      <c r="AY4061" s="48"/>
      <c r="AZ4061" s="48"/>
      <c r="BA4061" s="48"/>
      <c r="BB4061" s="14"/>
      <c r="BC4061" s="48"/>
      <c r="BD4061" s="48"/>
      <c r="BE4061" s="48"/>
      <c r="BF4061" s="48"/>
      <c r="BG4061" s="48"/>
      <c r="BH4061" s="48"/>
      <c r="BI4061" s="48"/>
      <c r="BJ4061" s="48"/>
      <c r="BK4061" s="48"/>
      <c r="BL4061" s="48"/>
      <c r="BM4061" s="48"/>
      <c r="BN4061" s="48"/>
      <c r="BO4061" s="48"/>
      <c r="BP4061" s="48"/>
      <c r="BQ4061" s="48"/>
      <c r="BR4061" s="48"/>
      <c r="BS4061" s="48"/>
      <c r="BT4061" s="48"/>
      <c r="BU4061" s="48"/>
      <c r="BV4061" s="48"/>
      <c r="BW4061" s="48"/>
      <c r="BX4061" s="48"/>
      <c r="BY4061" s="48"/>
      <c r="BZ4061" s="48"/>
      <c r="CA4061" s="48"/>
      <c r="CB4061" s="48"/>
      <c r="CC4061" s="48"/>
      <c r="CD4061" s="48"/>
      <c r="CE4061" s="48"/>
      <c r="CF4061" s="48"/>
      <c r="CG4061" s="48"/>
      <c r="CH4061" s="48"/>
      <c r="CI4061" s="48"/>
      <c r="CJ4061" s="48"/>
      <c r="CK4061" s="48"/>
      <c r="CL4061" s="48"/>
      <c r="CM4061" s="48"/>
      <c r="CN4061" s="48"/>
      <c r="CO4061" s="48"/>
      <c r="CP4061" s="48"/>
      <c r="CQ4061" s="48"/>
      <c r="CR4061" s="48"/>
      <c r="CS4061" s="48"/>
      <c r="CT4061" s="48"/>
      <c r="CU4061" s="48"/>
      <c r="CV4061" s="48"/>
      <c r="CW4061" s="48"/>
      <c r="CX4061" s="48"/>
      <c r="CY4061" s="48"/>
      <c r="CZ4061" s="48"/>
    </row>
    <row r="4062" spans="27:104" s="4" customFormat="1" x14ac:dyDescent="0.3">
      <c r="AA4062" s="48"/>
      <c r="AB4062" s="48"/>
      <c r="AC4062" s="48"/>
      <c r="AD4062" s="48"/>
      <c r="AE4062" s="48"/>
      <c r="AF4062" s="48"/>
      <c r="AG4062" s="48"/>
      <c r="AH4062" s="48"/>
      <c r="AI4062" s="48"/>
      <c r="AJ4062" s="48"/>
      <c r="AK4062" s="48"/>
      <c r="AL4062" s="48"/>
      <c r="AM4062" s="48"/>
      <c r="AN4062" s="48"/>
      <c r="AO4062" s="48"/>
      <c r="AP4062" s="48"/>
      <c r="AQ4062" s="48"/>
      <c r="AR4062" s="48"/>
      <c r="AS4062" s="48"/>
      <c r="AT4062" s="48"/>
      <c r="AU4062" s="48"/>
      <c r="AV4062" s="48"/>
      <c r="AW4062" s="48"/>
      <c r="AX4062" s="48"/>
      <c r="AY4062" s="48"/>
      <c r="AZ4062" s="48"/>
      <c r="BA4062" s="48"/>
      <c r="BB4062" s="14"/>
      <c r="BC4062" s="48"/>
      <c r="BD4062" s="48"/>
      <c r="BE4062" s="48"/>
      <c r="BF4062" s="48"/>
      <c r="BG4062" s="48"/>
      <c r="BH4062" s="48"/>
      <c r="BI4062" s="48"/>
      <c r="BJ4062" s="48"/>
      <c r="BK4062" s="48"/>
      <c r="BL4062" s="48"/>
      <c r="BM4062" s="48"/>
      <c r="BN4062" s="48"/>
      <c r="BO4062" s="48"/>
      <c r="BP4062" s="48"/>
      <c r="BQ4062" s="48"/>
      <c r="BR4062" s="48"/>
      <c r="BS4062" s="48"/>
      <c r="BT4062" s="48"/>
      <c r="BU4062" s="48"/>
      <c r="BV4062" s="48"/>
      <c r="BW4062" s="48"/>
      <c r="BX4062" s="48"/>
      <c r="BY4062" s="48"/>
      <c r="BZ4062" s="48"/>
      <c r="CA4062" s="48"/>
      <c r="CB4062" s="48"/>
      <c r="CC4062" s="48"/>
      <c r="CD4062" s="48"/>
      <c r="CE4062" s="48"/>
      <c r="CF4062" s="48"/>
      <c r="CG4062" s="48"/>
      <c r="CH4062" s="48"/>
      <c r="CI4062" s="48"/>
      <c r="CJ4062" s="48"/>
      <c r="CK4062" s="48"/>
      <c r="CL4062" s="48"/>
      <c r="CM4062" s="48"/>
      <c r="CN4062" s="48"/>
      <c r="CO4062" s="48"/>
      <c r="CP4062" s="48"/>
      <c r="CQ4062" s="48"/>
      <c r="CR4062" s="48"/>
      <c r="CS4062" s="48"/>
      <c r="CT4062" s="48"/>
      <c r="CU4062" s="48"/>
      <c r="CV4062" s="48"/>
      <c r="CW4062" s="48"/>
      <c r="CX4062" s="48"/>
      <c r="CY4062" s="48"/>
      <c r="CZ4062" s="48"/>
    </row>
    <row r="4063" spans="27:104" s="4" customFormat="1" x14ac:dyDescent="0.3">
      <c r="AA4063" s="48"/>
      <c r="AB4063" s="48"/>
      <c r="AC4063" s="48"/>
      <c r="AD4063" s="48"/>
      <c r="AE4063" s="48"/>
      <c r="AF4063" s="48"/>
      <c r="AG4063" s="48"/>
      <c r="AH4063" s="48"/>
      <c r="AI4063" s="48"/>
      <c r="AJ4063" s="48"/>
      <c r="AK4063" s="48"/>
      <c r="AL4063" s="48"/>
      <c r="AM4063" s="48"/>
      <c r="AN4063" s="48"/>
      <c r="AO4063" s="48"/>
      <c r="AP4063" s="48"/>
      <c r="AQ4063" s="48"/>
      <c r="AR4063" s="48"/>
      <c r="AS4063" s="48"/>
      <c r="AT4063" s="48"/>
      <c r="AU4063" s="48"/>
      <c r="AV4063" s="48"/>
      <c r="AW4063" s="48"/>
      <c r="AX4063" s="48"/>
      <c r="AY4063" s="48"/>
      <c r="AZ4063" s="48"/>
      <c r="BA4063" s="48"/>
      <c r="BB4063" s="14"/>
      <c r="BC4063" s="48"/>
      <c r="BD4063" s="48"/>
      <c r="BE4063" s="48"/>
      <c r="BF4063" s="48"/>
      <c r="BG4063" s="48"/>
      <c r="BH4063" s="48"/>
      <c r="BI4063" s="48"/>
      <c r="BJ4063" s="48"/>
      <c r="BK4063" s="48"/>
      <c r="BL4063" s="48"/>
      <c r="BM4063" s="48"/>
      <c r="BN4063" s="48"/>
      <c r="BO4063" s="48"/>
      <c r="BP4063" s="48"/>
      <c r="BQ4063" s="48"/>
      <c r="BR4063" s="48"/>
      <c r="BS4063" s="48"/>
      <c r="BT4063" s="48"/>
      <c r="BU4063" s="48"/>
      <c r="BV4063" s="48"/>
      <c r="BW4063" s="48"/>
      <c r="BX4063" s="48"/>
      <c r="BY4063" s="48"/>
      <c r="BZ4063" s="48"/>
      <c r="CA4063" s="48"/>
      <c r="CB4063" s="48"/>
      <c r="CC4063" s="48"/>
      <c r="CD4063" s="48"/>
      <c r="CE4063" s="48"/>
      <c r="CF4063" s="48"/>
      <c r="CG4063" s="48"/>
      <c r="CH4063" s="48"/>
      <c r="CI4063" s="48"/>
      <c r="CJ4063" s="48"/>
      <c r="CK4063" s="48"/>
      <c r="CL4063" s="48"/>
      <c r="CM4063" s="48"/>
      <c r="CN4063" s="48"/>
      <c r="CO4063" s="48"/>
      <c r="CP4063" s="48"/>
      <c r="CQ4063" s="48"/>
      <c r="CR4063" s="48"/>
      <c r="CS4063" s="48"/>
      <c r="CT4063" s="48"/>
      <c r="CU4063" s="48"/>
      <c r="CV4063" s="48"/>
      <c r="CW4063" s="48"/>
      <c r="CX4063" s="48"/>
      <c r="CY4063" s="48"/>
      <c r="CZ4063" s="48"/>
    </row>
    <row r="4064" spans="27:104" s="4" customFormat="1" x14ac:dyDescent="0.3">
      <c r="AA4064" s="48"/>
      <c r="AB4064" s="48"/>
      <c r="AC4064" s="48"/>
      <c r="AD4064" s="48"/>
      <c r="AE4064" s="48"/>
      <c r="AF4064" s="48"/>
      <c r="AG4064" s="48"/>
      <c r="AH4064" s="48"/>
      <c r="AI4064" s="48"/>
      <c r="AJ4064" s="48"/>
      <c r="AK4064" s="48"/>
      <c r="AL4064" s="48"/>
      <c r="AM4064" s="48"/>
      <c r="AN4064" s="48"/>
      <c r="AO4064" s="48"/>
      <c r="AP4064" s="48"/>
      <c r="AQ4064" s="48"/>
      <c r="AR4064" s="48"/>
      <c r="AS4064" s="48"/>
      <c r="AT4064" s="48"/>
      <c r="AU4064" s="48"/>
      <c r="AV4064" s="48"/>
      <c r="AW4064" s="48"/>
      <c r="AX4064" s="48"/>
      <c r="AY4064" s="48"/>
      <c r="AZ4064" s="48"/>
      <c r="BA4064" s="48"/>
      <c r="BB4064" s="14"/>
      <c r="BC4064" s="48"/>
      <c r="BD4064" s="48"/>
      <c r="BE4064" s="48"/>
      <c r="BF4064" s="48"/>
      <c r="BG4064" s="48"/>
      <c r="BH4064" s="48"/>
      <c r="BI4064" s="48"/>
      <c r="BJ4064" s="48"/>
      <c r="BK4064" s="48"/>
      <c r="BL4064" s="48"/>
      <c r="BM4064" s="48"/>
      <c r="BN4064" s="48"/>
      <c r="BO4064" s="48"/>
      <c r="BP4064" s="48"/>
      <c r="BQ4064" s="48"/>
      <c r="BR4064" s="48"/>
      <c r="BS4064" s="48"/>
      <c r="BT4064" s="48"/>
      <c r="BU4064" s="48"/>
      <c r="BV4064" s="48"/>
      <c r="BW4064" s="48"/>
      <c r="BX4064" s="48"/>
      <c r="BY4064" s="48"/>
      <c r="BZ4064" s="48"/>
      <c r="CA4064" s="48"/>
      <c r="CB4064" s="48"/>
      <c r="CC4064" s="48"/>
      <c r="CD4064" s="48"/>
      <c r="CE4064" s="48"/>
      <c r="CF4064" s="48"/>
      <c r="CG4064" s="48"/>
      <c r="CH4064" s="48"/>
      <c r="CI4064" s="48"/>
      <c r="CJ4064" s="48"/>
      <c r="CK4064" s="48"/>
      <c r="CL4064" s="48"/>
      <c r="CM4064" s="48"/>
      <c r="CN4064" s="48"/>
      <c r="CO4064" s="48"/>
      <c r="CP4064" s="48"/>
      <c r="CQ4064" s="48"/>
      <c r="CR4064" s="48"/>
      <c r="CS4064" s="48"/>
      <c r="CT4064" s="48"/>
      <c r="CU4064" s="48"/>
      <c r="CV4064" s="48"/>
      <c r="CW4064" s="48"/>
      <c r="CX4064" s="48"/>
      <c r="CY4064" s="48"/>
      <c r="CZ4064" s="48"/>
    </row>
    <row r="4065" spans="27:104" s="4" customFormat="1" x14ac:dyDescent="0.3">
      <c r="AA4065" s="48"/>
      <c r="AB4065" s="48"/>
      <c r="AC4065" s="48"/>
      <c r="AD4065" s="48"/>
      <c r="AE4065" s="48"/>
      <c r="AF4065" s="48"/>
      <c r="AG4065" s="48"/>
      <c r="AH4065" s="48"/>
      <c r="AI4065" s="48"/>
      <c r="AJ4065" s="48"/>
      <c r="AK4065" s="48"/>
      <c r="AL4065" s="48"/>
      <c r="AM4065" s="48"/>
      <c r="AN4065" s="48"/>
      <c r="AO4065" s="48"/>
      <c r="AP4065" s="48"/>
      <c r="AQ4065" s="48"/>
      <c r="AR4065" s="48"/>
      <c r="AS4065" s="48"/>
      <c r="AT4065" s="48"/>
      <c r="AU4065" s="48"/>
      <c r="AV4065" s="48"/>
      <c r="AW4065" s="48"/>
      <c r="AX4065" s="48"/>
      <c r="AY4065" s="48"/>
      <c r="AZ4065" s="48"/>
      <c r="BA4065" s="48"/>
      <c r="BB4065" s="14"/>
      <c r="BC4065" s="48"/>
      <c r="BD4065" s="48"/>
      <c r="BE4065" s="48"/>
      <c r="BF4065" s="48"/>
      <c r="BG4065" s="48"/>
      <c r="BH4065" s="48"/>
      <c r="BI4065" s="48"/>
      <c r="BJ4065" s="48"/>
      <c r="BK4065" s="48"/>
      <c r="BL4065" s="48"/>
      <c r="BM4065" s="48"/>
      <c r="BN4065" s="48"/>
      <c r="BO4065" s="48"/>
      <c r="BP4065" s="48"/>
      <c r="BQ4065" s="48"/>
      <c r="BR4065" s="48"/>
      <c r="BS4065" s="48"/>
      <c r="BT4065" s="48"/>
      <c r="BU4065" s="48"/>
      <c r="BV4065" s="48"/>
      <c r="BW4065" s="48"/>
      <c r="BX4065" s="48"/>
      <c r="BY4065" s="48"/>
      <c r="BZ4065" s="48"/>
      <c r="CA4065" s="48"/>
      <c r="CB4065" s="48"/>
      <c r="CC4065" s="48"/>
      <c r="CD4065" s="48"/>
      <c r="CE4065" s="48"/>
      <c r="CF4065" s="48"/>
      <c r="CG4065" s="48"/>
      <c r="CH4065" s="48"/>
      <c r="CI4065" s="48"/>
      <c r="CJ4065" s="48"/>
      <c r="CK4065" s="48"/>
      <c r="CL4065" s="48"/>
      <c r="CM4065" s="48"/>
      <c r="CN4065" s="48"/>
      <c r="CO4065" s="48"/>
      <c r="CP4065" s="48"/>
      <c r="CQ4065" s="48"/>
      <c r="CR4065" s="48"/>
      <c r="CS4065" s="48"/>
      <c r="CT4065" s="48"/>
      <c r="CU4065" s="48"/>
      <c r="CV4065" s="48"/>
      <c r="CW4065" s="48"/>
      <c r="CX4065" s="48"/>
      <c r="CY4065" s="48"/>
      <c r="CZ4065" s="48"/>
    </row>
    <row r="4066" spans="27:104" s="4" customFormat="1" x14ac:dyDescent="0.3">
      <c r="AA4066" s="48"/>
      <c r="AB4066" s="48"/>
      <c r="AC4066" s="48"/>
      <c r="AD4066" s="48"/>
      <c r="AE4066" s="48"/>
      <c r="AF4066" s="48"/>
      <c r="AG4066" s="48"/>
      <c r="AH4066" s="48"/>
      <c r="AI4066" s="48"/>
      <c r="AJ4066" s="48"/>
      <c r="AK4066" s="48"/>
      <c r="AL4066" s="48"/>
      <c r="AM4066" s="48"/>
      <c r="AN4066" s="48"/>
      <c r="AO4066" s="48"/>
      <c r="AP4066" s="48"/>
      <c r="AQ4066" s="48"/>
      <c r="AR4066" s="48"/>
      <c r="AS4066" s="48"/>
      <c r="AT4066" s="48"/>
      <c r="AU4066" s="48"/>
      <c r="AV4066" s="48"/>
      <c r="AW4066" s="48"/>
      <c r="AX4066" s="48"/>
      <c r="AY4066" s="48"/>
      <c r="AZ4066" s="48"/>
      <c r="BA4066" s="48"/>
      <c r="BB4066" s="14"/>
      <c r="BC4066" s="48"/>
      <c r="BD4066" s="48"/>
      <c r="BE4066" s="48"/>
      <c r="BF4066" s="48"/>
      <c r="BG4066" s="48"/>
      <c r="BH4066" s="48"/>
      <c r="BI4066" s="48"/>
      <c r="BJ4066" s="48"/>
      <c r="BK4066" s="48"/>
      <c r="BL4066" s="48"/>
      <c r="BM4066" s="48"/>
      <c r="BN4066" s="48"/>
      <c r="BO4066" s="48"/>
      <c r="BP4066" s="48"/>
      <c r="BQ4066" s="48"/>
      <c r="BR4066" s="48"/>
      <c r="BS4066" s="48"/>
      <c r="BT4066" s="48"/>
      <c r="BU4066" s="48"/>
      <c r="BV4066" s="48"/>
      <c r="BW4066" s="48"/>
      <c r="BX4066" s="48"/>
      <c r="BY4066" s="48"/>
      <c r="BZ4066" s="48"/>
      <c r="CA4066" s="48"/>
      <c r="CB4066" s="48"/>
      <c r="CC4066" s="48"/>
      <c r="CD4066" s="48"/>
      <c r="CE4066" s="48"/>
      <c r="CF4066" s="48"/>
      <c r="CG4066" s="48"/>
      <c r="CH4066" s="48"/>
      <c r="CI4066" s="48"/>
      <c r="CJ4066" s="48"/>
      <c r="CK4066" s="48"/>
      <c r="CL4066" s="48"/>
      <c r="CM4066" s="48"/>
      <c r="CN4066" s="48"/>
      <c r="CO4066" s="48"/>
      <c r="CP4066" s="48"/>
      <c r="CQ4066" s="48"/>
      <c r="CR4066" s="48"/>
      <c r="CS4066" s="48"/>
      <c r="CT4066" s="48"/>
      <c r="CU4066" s="48"/>
      <c r="CV4066" s="48"/>
      <c r="CW4066" s="48"/>
      <c r="CX4066" s="48"/>
      <c r="CY4066" s="48"/>
      <c r="CZ4066" s="48"/>
    </row>
    <row r="4067" spans="27:104" s="4" customFormat="1" x14ac:dyDescent="0.3">
      <c r="AA4067" s="48"/>
      <c r="AB4067" s="48"/>
      <c r="AC4067" s="48"/>
      <c r="AD4067" s="48"/>
      <c r="AE4067" s="48"/>
      <c r="AF4067" s="48"/>
      <c r="AG4067" s="48"/>
      <c r="AH4067" s="48"/>
      <c r="AI4067" s="48"/>
      <c r="AJ4067" s="48"/>
      <c r="AK4067" s="48"/>
      <c r="AL4067" s="48"/>
      <c r="AM4067" s="48"/>
      <c r="AN4067" s="48"/>
      <c r="AO4067" s="48"/>
      <c r="AP4067" s="48"/>
      <c r="AQ4067" s="48"/>
      <c r="AR4067" s="48"/>
      <c r="AS4067" s="48"/>
      <c r="AT4067" s="48"/>
      <c r="AU4067" s="48"/>
      <c r="AV4067" s="48"/>
      <c r="AW4067" s="48"/>
      <c r="AX4067" s="48"/>
      <c r="AY4067" s="48"/>
      <c r="AZ4067" s="48"/>
      <c r="BA4067" s="48"/>
      <c r="BB4067" s="14"/>
      <c r="BC4067" s="48"/>
      <c r="BD4067" s="48"/>
      <c r="BE4067" s="48"/>
      <c r="BF4067" s="48"/>
      <c r="BG4067" s="48"/>
      <c r="BH4067" s="48"/>
      <c r="BI4067" s="48"/>
      <c r="BJ4067" s="48"/>
      <c r="BK4067" s="48"/>
      <c r="BL4067" s="48"/>
      <c r="BM4067" s="48"/>
      <c r="BN4067" s="48"/>
      <c r="BO4067" s="48"/>
      <c r="BP4067" s="48"/>
      <c r="BQ4067" s="48"/>
      <c r="BR4067" s="48"/>
      <c r="BS4067" s="48"/>
      <c r="BT4067" s="48"/>
      <c r="BU4067" s="48"/>
      <c r="BV4067" s="48"/>
      <c r="BW4067" s="48"/>
      <c r="BX4067" s="48"/>
      <c r="BY4067" s="48"/>
      <c r="BZ4067" s="48"/>
      <c r="CA4067" s="48"/>
      <c r="CB4067" s="48"/>
      <c r="CC4067" s="48"/>
      <c r="CD4067" s="48"/>
      <c r="CE4067" s="48"/>
      <c r="CF4067" s="48"/>
      <c r="CG4067" s="48"/>
      <c r="CH4067" s="48"/>
      <c r="CI4067" s="48"/>
      <c r="CJ4067" s="48"/>
      <c r="CK4067" s="48"/>
      <c r="CL4067" s="48"/>
      <c r="CM4067" s="48"/>
      <c r="CN4067" s="48"/>
      <c r="CO4067" s="48"/>
      <c r="CP4067" s="48"/>
      <c r="CQ4067" s="48"/>
      <c r="CR4067" s="48"/>
      <c r="CS4067" s="48"/>
      <c r="CT4067" s="48"/>
      <c r="CU4067" s="48"/>
      <c r="CV4067" s="48"/>
      <c r="CW4067" s="48"/>
      <c r="CX4067" s="48"/>
      <c r="CY4067" s="48"/>
      <c r="CZ4067" s="48"/>
    </row>
    <row r="4068" spans="27:104" s="4" customFormat="1" x14ac:dyDescent="0.3">
      <c r="AA4068" s="48"/>
      <c r="AB4068" s="48"/>
      <c r="AC4068" s="48"/>
      <c r="AD4068" s="48"/>
      <c r="AE4068" s="48"/>
      <c r="AF4068" s="48"/>
      <c r="AG4068" s="48"/>
      <c r="AH4068" s="48"/>
      <c r="AI4068" s="48"/>
      <c r="AJ4068" s="48"/>
      <c r="AK4068" s="48"/>
      <c r="AL4068" s="48"/>
      <c r="AM4068" s="48"/>
      <c r="AN4068" s="48"/>
      <c r="AO4068" s="48"/>
      <c r="AP4068" s="48"/>
      <c r="AQ4068" s="48"/>
      <c r="AR4068" s="48"/>
      <c r="AS4068" s="48"/>
      <c r="AT4068" s="48"/>
      <c r="AU4068" s="48"/>
      <c r="AV4068" s="48"/>
      <c r="AW4068" s="48"/>
      <c r="AX4068" s="48"/>
      <c r="AY4068" s="48"/>
      <c r="AZ4068" s="48"/>
      <c r="BA4068" s="48"/>
      <c r="BB4068" s="14"/>
      <c r="BC4068" s="48"/>
      <c r="BD4068" s="48"/>
      <c r="BE4068" s="48"/>
      <c r="BF4068" s="48"/>
      <c r="BG4068" s="48"/>
      <c r="BH4068" s="48"/>
      <c r="BI4068" s="48"/>
      <c r="BJ4068" s="48"/>
      <c r="BK4068" s="48"/>
      <c r="BL4068" s="48"/>
      <c r="BM4068" s="48"/>
      <c r="BN4068" s="48"/>
      <c r="BO4068" s="48"/>
      <c r="BP4068" s="48"/>
      <c r="BQ4068" s="48"/>
      <c r="BR4068" s="48"/>
      <c r="BS4068" s="48"/>
      <c r="BT4068" s="48"/>
      <c r="BU4068" s="48"/>
      <c r="BV4068" s="48"/>
      <c r="BW4068" s="48"/>
      <c r="BX4068" s="48"/>
      <c r="BY4068" s="48"/>
      <c r="BZ4068" s="48"/>
      <c r="CA4068" s="48"/>
      <c r="CB4068" s="48"/>
      <c r="CC4068" s="48"/>
      <c r="CD4068" s="48"/>
      <c r="CE4068" s="48"/>
      <c r="CF4068" s="48"/>
      <c r="CG4068" s="48"/>
      <c r="CH4068" s="48"/>
      <c r="CI4068" s="48"/>
      <c r="CJ4068" s="48"/>
      <c r="CK4068" s="48"/>
      <c r="CL4068" s="48"/>
      <c r="CM4068" s="48"/>
      <c r="CN4068" s="48"/>
      <c r="CO4068" s="48"/>
      <c r="CP4068" s="48"/>
      <c r="CQ4068" s="48"/>
      <c r="CR4068" s="48"/>
      <c r="CS4068" s="48"/>
      <c r="CT4068" s="48"/>
      <c r="CU4068" s="48"/>
      <c r="CV4068" s="48"/>
      <c r="CW4068" s="48"/>
      <c r="CX4068" s="48"/>
      <c r="CY4068" s="48"/>
      <c r="CZ4068" s="48"/>
    </row>
    <row r="4069" spans="27:104" s="4" customFormat="1" x14ac:dyDescent="0.3">
      <c r="AA4069" s="48"/>
      <c r="AB4069" s="48"/>
      <c r="AC4069" s="48"/>
      <c r="AD4069" s="48"/>
      <c r="AE4069" s="48"/>
      <c r="AF4069" s="48"/>
      <c r="AG4069" s="48"/>
      <c r="AH4069" s="48"/>
      <c r="AI4069" s="48"/>
      <c r="AJ4069" s="48"/>
      <c r="AK4069" s="48"/>
      <c r="AL4069" s="48"/>
      <c r="AM4069" s="48"/>
      <c r="AN4069" s="48"/>
      <c r="AO4069" s="48"/>
      <c r="AP4069" s="48"/>
      <c r="AQ4069" s="48"/>
      <c r="AR4069" s="48"/>
      <c r="AS4069" s="48"/>
      <c r="AT4069" s="48"/>
      <c r="AU4069" s="48"/>
      <c r="AV4069" s="48"/>
      <c r="AW4069" s="48"/>
      <c r="AX4069" s="48"/>
      <c r="AY4069" s="48"/>
      <c r="AZ4069" s="48"/>
      <c r="BA4069" s="48"/>
      <c r="BB4069" s="14"/>
      <c r="BC4069" s="48"/>
      <c r="BD4069" s="48"/>
      <c r="BE4069" s="48"/>
      <c r="BF4069" s="48"/>
      <c r="BG4069" s="48"/>
      <c r="BH4069" s="48"/>
      <c r="BI4069" s="48"/>
      <c r="BJ4069" s="48"/>
      <c r="BK4069" s="48"/>
      <c r="BL4069" s="48"/>
      <c r="BM4069" s="48"/>
      <c r="BN4069" s="48"/>
      <c r="BO4069" s="48"/>
      <c r="BP4069" s="48"/>
      <c r="BQ4069" s="48"/>
      <c r="BR4069" s="48"/>
      <c r="BS4069" s="48"/>
      <c r="BT4069" s="48"/>
      <c r="BU4069" s="48"/>
      <c r="BV4069" s="48"/>
      <c r="BW4069" s="48"/>
      <c r="BX4069" s="48"/>
      <c r="BY4069" s="48"/>
      <c r="BZ4069" s="48"/>
      <c r="CA4069" s="48"/>
      <c r="CB4069" s="48"/>
      <c r="CC4069" s="48"/>
      <c r="CD4069" s="48"/>
      <c r="CE4069" s="48"/>
      <c r="CF4069" s="48"/>
      <c r="CG4069" s="48"/>
      <c r="CH4069" s="48"/>
      <c r="CI4069" s="48"/>
      <c r="CJ4069" s="48"/>
      <c r="CK4069" s="48"/>
      <c r="CL4069" s="48"/>
      <c r="CM4069" s="48"/>
      <c r="CN4069" s="48"/>
      <c r="CO4069" s="48"/>
      <c r="CP4069" s="48"/>
      <c r="CQ4069" s="48"/>
      <c r="CR4069" s="48"/>
      <c r="CS4069" s="48"/>
      <c r="CT4069" s="48"/>
      <c r="CU4069" s="48"/>
      <c r="CV4069" s="48"/>
      <c r="CW4069" s="48"/>
      <c r="CX4069" s="48"/>
      <c r="CY4069" s="48"/>
      <c r="CZ4069" s="48"/>
    </row>
    <row r="4070" spans="27:104" s="4" customFormat="1" x14ac:dyDescent="0.3">
      <c r="AA4070" s="48"/>
      <c r="AB4070" s="48"/>
      <c r="AC4070" s="48"/>
      <c r="AD4070" s="48"/>
      <c r="AE4070" s="48"/>
      <c r="AF4070" s="48"/>
      <c r="AG4070" s="48"/>
      <c r="AH4070" s="48"/>
      <c r="AI4070" s="48"/>
      <c r="AJ4070" s="48"/>
      <c r="AK4070" s="48"/>
      <c r="AL4070" s="48"/>
      <c r="AM4070" s="48"/>
      <c r="AN4070" s="48"/>
      <c r="AO4070" s="48"/>
      <c r="AP4070" s="48"/>
      <c r="AQ4070" s="48"/>
      <c r="AR4070" s="48"/>
      <c r="AS4070" s="48"/>
      <c r="AT4070" s="48"/>
      <c r="AU4070" s="48"/>
      <c r="AV4070" s="48"/>
      <c r="AW4070" s="48"/>
      <c r="AX4070" s="48"/>
      <c r="AY4070" s="48"/>
      <c r="AZ4070" s="48"/>
      <c r="BA4070" s="48"/>
      <c r="BB4070" s="14"/>
      <c r="BC4070" s="48"/>
      <c r="BD4070" s="48"/>
      <c r="BE4070" s="48"/>
      <c r="BF4070" s="48"/>
      <c r="BG4070" s="48"/>
      <c r="BH4070" s="48"/>
      <c r="BI4070" s="48"/>
      <c r="BJ4070" s="48"/>
      <c r="BK4070" s="48"/>
      <c r="BL4070" s="48"/>
      <c r="BM4070" s="48"/>
      <c r="BN4070" s="48"/>
      <c r="BO4070" s="48"/>
      <c r="BP4070" s="48"/>
      <c r="BQ4070" s="48"/>
      <c r="BR4070" s="48"/>
      <c r="BS4070" s="48"/>
      <c r="BT4070" s="48"/>
      <c r="BU4070" s="48"/>
      <c r="BV4070" s="48"/>
      <c r="BW4070" s="48"/>
      <c r="BX4070" s="48"/>
      <c r="BY4070" s="48"/>
      <c r="BZ4070" s="48"/>
      <c r="CA4070" s="48"/>
      <c r="CB4070" s="48"/>
      <c r="CC4070" s="48"/>
      <c r="CD4070" s="48"/>
      <c r="CE4070" s="48"/>
      <c r="CF4070" s="48"/>
      <c r="CG4070" s="48"/>
      <c r="CH4070" s="48"/>
      <c r="CI4070" s="48"/>
      <c r="CJ4070" s="48"/>
      <c r="CK4070" s="48"/>
      <c r="CL4070" s="48"/>
      <c r="CM4070" s="48"/>
      <c r="CN4070" s="48"/>
      <c r="CO4070" s="48"/>
      <c r="CP4070" s="48"/>
      <c r="CQ4070" s="48"/>
      <c r="CR4070" s="48"/>
      <c r="CS4070" s="48"/>
      <c r="CT4070" s="48"/>
      <c r="CU4070" s="48"/>
      <c r="CV4070" s="48"/>
      <c r="CW4070" s="48"/>
      <c r="CX4070" s="48"/>
      <c r="CY4070" s="48"/>
      <c r="CZ4070" s="48"/>
    </row>
    <row r="4071" spans="27:104" s="4" customFormat="1" x14ac:dyDescent="0.3">
      <c r="AA4071" s="48"/>
      <c r="AB4071" s="48"/>
      <c r="AC4071" s="48"/>
      <c r="AD4071" s="48"/>
      <c r="AE4071" s="48"/>
      <c r="AF4071" s="48"/>
      <c r="AG4071" s="48"/>
      <c r="AH4071" s="48"/>
      <c r="AI4071" s="48"/>
      <c r="AJ4071" s="48"/>
      <c r="AK4071" s="48"/>
      <c r="AL4071" s="48"/>
      <c r="AM4071" s="48"/>
      <c r="AN4071" s="48"/>
      <c r="AO4071" s="48"/>
      <c r="AP4071" s="48"/>
      <c r="AQ4071" s="48"/>
      <c r="AR4071" s="48"/>
      <c r="AS4071" s="48"/>
      <c r="AT4071" s="48"/>
      <c r="AU4071" s="48"/>
      <c r="AV4071" s="48"/>
      <c r="AW4071" s="48"/>
      <c r="AX4071" s="48"/>
      <c r="AY4071" s="48"/>
      <c r="AZ4071" s="48"/>
      <c r="BA4071" s="48"/>
      <c r="BB4071" s="14"/>
      <c r="BC4071" s="48"/>
      <c r="BD4071" s="48"/>
      <c r="BE4071" s="48"/>
      <c r="BF4071" s="48"/>
      <c r="BG4071" s="48"/>
      <c r="BH4071" s="48"/>
      <c r="BI4071" s="48"/>
      <c r="BJ4071" s="48"/>
      <c r="BK4071" s="48"/>
      <c r="BL4071" s="48"/>
      <c r="BM4071" s="48"/>
      <c r="BN4071" s="48"/>
      <c r="BO4071" s="48"/>
      <c r="BP4071" s="48"/>
      <c r="BQ4071" s="48"/>
      <c r="BR4071" s="48"/>
      <c r="BS4071" s="48"/>
      <c r="BT4071" s="48"/>
      <c r="BU4071" s="48"/>
      <c r="BV4071" s="48"/>
      <c r="BW4071" s="48"/>
      <c r="BX4071" s="48"/>
      <c r="BY4071" s="48"/>
      <c r="BZ4071" s="48"/>
      <c r="CA4071" s="48"/>
      <c r="CB4071" s="48"/>
      <c r="CC4071" s="48"/>
      <c r="CD4071" s="48"/>
      <c r="CE4071" s="48"/>
      <c r="CF4071" s="48"/>
      <c r="CG4071" s="48"/>
      <c r="CH4071" s="48"/>
      <c r="CI4071" s="48"/>
      <c r="CJ4071" s="48"/>
      <c r="CK4071" s="48"/>
      <c r="CL4071" s="48"/>
      <c r="CM4071" s="48"/>
      <c r="CN4071" s="48"/>
      <c r="CO4071" s="48"/>
      <c r="CP4071" s="48"/>
      <c r="CQ4071" s="48"/>
      <c r="CR4071" s="48"/>
      <c r="CS4071" s="48"/>
      <c r="CT4071" s="48"/>
      <c r="CU4071" s="48"/>
      <c r="CV4071" s="48"/>
      <c r="CW4071" s="48"/>
      <c r="CX4071" s="48"/>
      <c r="CY4071" s="48"/>
      <c r="CZ4071" s="48"/>
    </row>
    <row r="4072" spans="27:104" s="4" customFormat="1" x14ac:dyDescent="0.3">
      <c r="AA4072" s="48"/>
      <c r="AB4072" s="48"/>
      <c r="AC4072" s="48"/>
      <c r="AD4072" s="48"/>
      <c r="AE4072" s="48"/>
      <c r="AF4072" s="48"/>
      <c r="AG4072" s="48"/>
      <c r="AH4072" s="48"/>
      <c r="AI4072" s="48"/>
      <c r="AJ4072" s="48"/>
      <c r="AK4072" s="48"/>
      <c r="AL4072" s="48"/>
      <c r="AM4072" s="48"/>
      <c r="AN4072" s="48"/>
      <c r="AO4072" s="48"/>
      <c r="AP4072" s="48"/>
      <c r="AQ4072" s="48"/>
      <c r="AR4072" s="48"/>
      <c r="AS4072" s="48"/>
      <c r="AT4072" s="48"/>
      <c r="AU4072" s="48"/>
      <c r="AV4072" s="48"/>
      <c r="AW4072" s="48"/>
      <c r="AX4072" s="48"/>
      <c r="AY4072" s="48"/>
      <c r="AZ4072" s="48"/>
      <c r="BA4072" s="48"/>
      <c r="BB4072" s="14"/>
      <c r="BC4072" s="48"/>
      <c r="BD4072" s="48"/>
      <c r="BE4072" s="48"/>
      <c r="BF4072" s="48"/>
      <c r="BG4072" s="48"/>
      <c r="BH4072" s="48"/>
      <c r="BI4072" s="48"/>
      <c r="BJ4072" s="48"/>
      <c r="BK4072" s="48"/>
      <c r="BL4072" s="48"/>
      <c r="BM4072" s="48"/>
      <c r="BN4072" s="48"/>
      <c r="BO4072" s="48"/>
      <c r="BP4072" s="48"/>
      <c r="BQ4072" s="48"/>
      <c r="BR4072" s="48"/>
      <c r="BS4072" s="48"/>
      <c r="BT4072" s="48"/>
      <c r="BU4072" s="48"/>
      <c r="BV4072" s="48"/>
      <c r="BW4072" s="48"/>
      <c r="BX4072" s="48"/>
      <c r="BY4072" s="48"/>
      <c r="BZ4072" s="48"/>
      <c r="CA4072" s="48"/>
      <c r="CB4072" s="48"/>
      <c r="CC4072" s="48"/>
      <c r="CD4072" s="48"/>
      <c r="CE4072" s="48"/>
      <c r="CF4072" s="48"/>
      <c r="CG4072" s="48"/>
      <c r="CH4072" s="48"/>
      <c r="CI4072" s="48"/>
      <c r="CJ4072" s="48"/>
      <c r="CK4072" s="48"/>
      <c r="CL4072" s="48"/>
      <c r="CM4072" s="48"/>
      <c r="CN4072" s="48"/>
      <c r="CO4072" s="48"/>
      <c r="CP4072" s="48"/>
      <c r="CQ4072" s="48"/>
      <c r="CR4072" s="48"/>
      <c r="CS4072" s="48"/>
      <c r="CT4072" s="48"/>
      <c r="CU4072" s="48"/>
      <c r="CV4072" s="48"/>
      <c r="CW4072" s="48"/>
      <c r="CX4072" s="48"/>
      <c r="CY4072" s="48"/>
      <c r="CZ4072" s="48"/>
    </row>
    <row r="4073" spans="27:104" s="4" customFormat="1" x14ac:dyDescent="0.3">
      <c r="AA4073" s="48"/>
      <c r="AB4073" s="48"/>
      <c r="AC4073" s="48"/>
      <c r="AD4073" s="48"/>
      <c r="AE4073" s="48"/>
      <c r="AF4073" s="48"/>
      <c r="AG4073" s="48"/>
      <c r="AH4073" s="48"/>
      <c r="AI4073" s="48"/>
      <c r="AJ4073" s="48"/>
      <c r="AK4073" s="48"/>
      <c r="AL4073" s="48"/>
      <c r="AM4073" s="48"/>
      <c r="AN4073" s="48"/>
      <c r="AO4073" s="48"/>
      <c r="AP4073" s="48"/>
      <c r="AQ4073" s="48"/>
      <c r="AR4073" s="48"/>
      <c r="AS4073" s="48"/>
      <c r="AT4073" s="48"/>
      <c r="AU4073" s="48"/>
      <c r="AV4073" s="48"/>
      <c r="AW4073" s="48"/>
      <c r="AX4073" s="48"/>
      <c r="AY4073" s="48"/>
      <c r="AZ4073" s="48"/>
      <c r="BA4073" s="48"/>
      <c r="BB4073" s="14"/>
      <c r="BC4073" s="48"/>
      <c r="BD4073" s="48"/>
      <c r="BE4073" s="48"/>
      <c r="BF4073" s="48"/>
      <c r="BG4073" s="48"/>
      <c r="BH4073" s="48"/>
      <c r="BI4073" s="48"/>
      <c r="BJ4073" s="48"/>
      <c r="BK4073" s="48"/>
      <c r="BL4073" s="48"/>
      <c r="BM4073" s="48"/>
      <c r="BN4073" s="48"/>
      <c r="BO4073" s="48"/>
      <c r="BP4073" s="48"/>
      <c r="BQ4073" s="48"/>
      <c r="BR4073" s="48"/>
      <c r="BS4073" s="48"/>
      <c r="BT4073" s="48"/>
      <c r="BU4073" s="48"/>
      <c r="BV4073" s="48"/>
      <c r="BW4073" s="48"/>
      <c r="BX4073" s="48"/>
      <c r="BY4073" s="48"/>
      <c r="BZ4073" s="48"/>
      <c r="CA4073" s="48"/>
      <c r="CB4073" s="48"/>
      <c r="CC4073" s="48"/>
      <c r="CD4073" s="48"/>
      <c r="CE4073" s="48"/>
      <c r="CF4073" s="48"/>
      <c r="CG4073" s="48"/>
      <c r="CH4073" s="48"/>
      <c r="CI4073" s="48"/>
      <c r="CJ4073" s="48"/>
      <c r="CK4073" s="48"/>
      <c r="CL4073" s="48"/>
      <c r="CM4073" s="48"/>
      <c r="CN4073" s="48"/>
      <c r="CO4073" s="48"/>
      <c r="CP4073" s="48"/>
      <c r="CQ4073" s="48"/>
      <c r="CR4073" s="48"/>
      <c r="CS4073" s="48"/>
      <c r="CT4073" s="48"/>
      <c r="CU4073" s="48"/>
      <c r="CV4073" s="48"/>
      <c r="CW4073" s="48"/>
      <c r="CX4073" s="48"/>
      <c r="CY4073" s="48"/>
      <c r="CZ4073" s="48"/>
    </row>
    <row r="4074" spans="27:104" s="4" customFormat="1" x14ac:dyDescent="0.3">
      <c r="AA4074" s="48"/>
      <c r="AB4074" s="48"/>
      <c r="AC4074" s="48"/>
      <c r="AD4074" s="48"/>
      <c r="AE4074" s="48"/>
      <c r="AF4074" s="48"/>
      <c r="AG4074" s="48"/>
      <c r="AH4074" s="48"/>
      <c r="AI4074" s="48"/>
      <c r="AJ4074" s="48"/>
      <c r="AK4074" s="48"/>
      <c r="AL4074" s="48"/>
      <c r="AM4074" s="48"/>
      <c r="AN4074" s="48"/>
      <c r="AO4074" s="48"/>
      <c r="AP4074" s="48"/>
      <c r="AQ4074" s="48"/>
      <c r="AR4074" s="48"/>
      <c r="AS4074" s="48"/>
      <c r="AT4074" s="48"/>
      <c r="AU4074" s="48"/>
      <c r="AV4074" s="48"/>
      <c r="AW4074" s="48"/>
      <c r="AX4074" s="48"/>
      <c r="AY4074" s="48"/>
      <c r="AZ4074" s="48"/>
      <c r="BA4074" s="48"/>
      <c r="BB4074" s="14"/>
      <c r="BC4074" s="48"/>
      <c r="BD4074" s="48"/>
      <c r="BE4074" s="48"/>
      <c r="BF4074" s="48"/>
      <c r="BG4074" s="48"/>
      <c r="BH4074" s="48"/>
      <c r="BI4074" s="48"/>
      <c r="BJ4074" s="48"/>
      <c r="BK4074" s="48"/>
      <c r="BL4074" s="48"/>
      <c r="BM4074" s="48"/>
      <c r="BN4074" s="48"/>
      <c r="BO4074" s="48"/>
      <c r="BP4074" s="48"/>
      <c r="BQ4074" s="48"/>
      <c r="BR4074" s="48"/>
      <c r="BS4074" s="48"/>
      <c r="BT4074" s="48"/>
      <c r="BU4074" s="48"/>
      <c r="BV4074" s="48"/>
      <c r="BW4074" s="48"/>
      <c r="BX4074" s="48"/>
      <c r="BY4074" s="48"/>
      <c r="BZ4074" s="48"/>
      <c r="CA4074" s="48"/>
      <c r="CB4074" s="48"/>
      <c r="CC4074" s="48"/>
      <c r="CD4074" s="48"/>
      <c r="CE4074" s="48"/>
      <c r="CF4074" s="48"/>
      <c r="CG4074" s="48"/>
      <c r="CH4074" s="48"/>
      <c r="CI4074" s="48"/>
      <c r="CJ4074" s="48"/>
      <c r="CK4074" s="48"/>
      <c r="CL4074" s="48"/>
      <c r="CM4074" s="48"/>
      <c r="CN4074" s="48"/>
      <c r="CO4074" s="48"/>
      <c r="CP4074" s="48"/>
      <c r="CQ4074" s="48"/>
      <c r="CR4074" s="48"/>
      <c r="CS4074" s="48"/>
      <c r="CT4074" s="48"/>
      <c r="CU4074" s="48"/>
      <c r="CV4074" s="48"/>
      <c r="CW4074" s="48"/>
      <c r="CX4074" s="48"/>
      <c r="CY4074" s="48"/>
      <c r="CZ4074" s="48"/>
    </row>
    <row r="4075" spans="27:104" s="4" customFormat="1" x14ac:dyDescent="0.3">
      <c r="AA4075" s="48"/>
      <c r="AB4075" s="48"/>
      <c r="AC4075" s="48"/>
      <c r="AD4075" s="48"/>
      <c r="AE4075" s="48"/>
      <c r="AF4075" s="48"/>
      <c r="AG4075" s="48"/>
      <c r="AH4075" s="48"/>
      <c r="AI4075" s="48"/>
      <c r="AJ4075" s="48"/>
      <c r="AK4075" s="48"/>
      <c r="AL4075" s="48"/>
      <c r="AM4075" s="48"/>
      <c r="AN4075" s="48"/>
      <c r="AO4075" s="48"/>
      <c r="AP4075" s="48"/>
      <c r="AQ4075" s="48"/>
      <c r="AR4075" s="48"/>
      <c r="AS4075" s="48"/>
      <c r="AT4075" s="48"/>
      <c r="AU4075" s="48"/>
      <c r="AV4075" s="48"/>
      <c r="AW4075" s="48"/>
      <c r="AX4075" s="48"/>
      <c r="AY4075" s="48"/>
      <c r="AZ4075" s="48"/>
      <c r="BA4075" s="48"/>
      <c r="BB4075" s="14"/>
      <c r="BC4075" s="48"/>
      <c r="BD4075" s="48"/>
      <c r="BE4075" s="48"/>
      <c r="BF4075" s="48"/>
      <c r="BG4075" s="48"/>
      <c r="BH4075" s="48"/>
      <c r="BI4075" s="48"/>
      <c r="BJ4075" s="48"/>
      <c r="BK4075" s="48"/>
      <c r="BL4075" s="48"/>
      <c r="BM4075" s="48"/>
      <c r="BN4075" s="48"/>
      <c r="BO4075" s="48"/>
      <c r="BP4075" s="48"/>
      <c r="BQ4075" s="48"/>
      <c r="BR4075" s="48"/>
      <c r="BS4075" s="48"/>
      <c r="BT4075" s="48"/>
      <c r="BU4075" s="48"/>
      <c r="BV4075" s="48"/>
      <c r="BW4075" s="48"/>
      <c r="BX4075" s="48"/>
      <c r="BY4075" s="48"/>
      <c r="BZ4075" s="48"/>
      <c r="CA4075" s="48"/>
      <c r="CB4075" s="48"/>
      <c r="CC4075" s="48"/>
      <c r="CD4075" s="48"/>
      <c r="CE4075" s="48"/>
      <c r="CF4075" s="48"/>
      <c r="CG4075" s="48"/>
      <c r="CH4075" s="48"/>
      <c r="CI4075" s="48"/>
      <c r="CJ4075" s="48"/>
      <c r="CK4075" s="48"/>
      <c r="CL4075" s="48"/>
      <c r="CM4075" s="48"/>
      <c r="CN4075" s="48"/>
      <c r="CO4075" s="48"/>
      <c r="CP4075" s="48"/>
      <c r="CQ4075" s="48"/>
      <c r="CR4075" s="48"/>
      <c r="CS4075" s="48"/>
      <c r="CT4075" s="48"/>
      <c r="CU4075" s="48"/>
      <c r="CV4075" s="48"/>
      <c r="CW4075" s="48"/>
      <c r="CX4075" s="48"/>
      <c r="CY4075" s="48"/>
      <c r="CZ4075" s="48"/>
    </row>
  </sheetData>
  <autoFilter ref="BD2366:BK2397" xr:uid="{50D0D17E-9FC9-4D94-9E27-4416EE482E69}"/>
  <mergeCells count="852">
    <mergeCell ref="BO1:BP1"/>
    <mergeCell ref="BQ1:BR1"/>
    <mergeCell ref="B4:D5"/>
    <mergeCell ref="B20:D20"/>
    <mergeCell ref="B21:D21"/>
    <mergeCell ref="B36:D41"/>
    <mergeCell ref="B6:D8"/>
    <mergeCell ref="B15:D15"/>
    <mergeCell ref="B16:D16"/>
    <mergeCell ref="B17:D17"/>
    <mergeCell ref="B18:D18"/>
    <mergeCell ref="B19:D19"/>
    <mergeCell ref="B1:E1"/>
    <mergeCell ref="BK1:BL1"/>
    <mergeCell ref="BM1:BN1"/>
    <mergeCell ref="C66:D66"/>
    <mergeCell ref="C67:D67"/>
    <mergeCell ref="C68:D68"/>
    <mergeCell ref="C69:D69"/>
    <mergeCell ref="C70:D70"/>
    <mergeCell ref="C71:D71"/>
    <mergeCell ref="AR45:AV45"/>
    <mergeCell ref="BM45:BQ45"/>
    <mergeCell ref="B52:B53"/>
    <mergeCell ref="C52:C53"/>
    <mergeCell ref="D53:D61"/>
    <mergeCell ref="B64:D64"/>
    <mergeCell ref="B44:B46"/>
    <mergeCell ref="C44:C46"/>
    <mergeCell ref="D44:D46"/>
    <mergeCell ref="B95:D95"/>
    <mergeCell ref="B96:D96"/>
    <mergeCell ref="B98:D98"/>
    <mergeCell ref="B99:D99"/>
    <mergeCell ref="B101:D101"/>
    <mergeCell ref="B102:D102"/>
    <mergeCell ref="C72:D72"/>
    <mergeCell ref="C73:D73"/>
    <mergeCell ref="C75:D75"/>
    <mergeCell ref="B78:D78"/>
    <mergeCell ref="B83:D83"/>
    <mergeCell ref="B93:D93"/>
    <mergeCell ref="B113:D113"/>
    <mergeCell ref="C134:C135"/>
    <mergeCell ref="D134:E135"/>
    <mergeCell ref="B136:B137"/>
    <mergeCell ref="C136:C137"/>
    <mergeCell ref="D136:E137"/>
    <mergeCell ref="B105:D105"/>
    <mergeCell ref="B106:D106"/>
    <mergeCell ref="B108:D108"/>
    <mergeCell ref="B109:D109"/>
    <mergeCell ref="B110:D110"/>
    <mergeCell ref="B112:D112"/>
    <mergeCell ref="B142:B143"/>
    <mergeCell ref="C142:C143"/>
    <mergeCell ref="D142:E143"/>
    <mergeCell ref="B144:B145"/>
    <mergeCell ref="C144:C145"/>
    <mergeCell ref="D144:E145"/>
    <mergeCell ref="B138:B139"/>
    <mergeCell ref="C138:C139"/>
    <mergeCell ref="D138:E139"/>
    <mergeCell ref="B140:B141"/>
    <mergeCell ref="C140:C141"/>
    <mergeCell ref="D140:E141"/>
    <mergeCell ref="B150:B151"/>
    <mergeCell ref="C150:C151"/>
    <mergeCell ref="D150:E151"/>
    <mergeCell ref="B200:D200"/>
    <mergeCell ref="AX202:BB202"/>
    <mergeCell ref="AX203:BB203"/>
    <mergeCell ref="B146:B147"/>
    <mergeCell ref="C146:C147"/>
    <mergeCell ref="D146:E147"/>
    <mergeCell ref="B148:B149"/>
    <mergeCell ref="C148:C149"/>
    <mergeCell ref="D148:E149"/>
    <mergeCell ref="AQ225:AR225"/>
    <mergeCell ref="B238:D238"/>
    <mergeCell ref="B240:D240"/>
    <mergeCell ref="AQ243:AR243"/>
    <mergeCell ref="C244:D244"/>
    <mergeCell ref="B245:D245"/>
    <mergeCell ref="AJ205:AL205"/>
    <mergeCell ref="AQ205:AR205"/>
    <mergeCell ref="C210:D210"/>
    <mergeCell ref="B220:D220"/>
    <mergeCell ref="AQ220:AR220"/>
    <mergeCell ref="B222:D222"/>
    <mergeCell ref="AQ222:AR222"/>
    <mergeCell ref="B257:D257"/>
    <mergeCell ref="AG259:AH259"/>
    <mergeCell ref="AJ259:AK259"/>
    <mergeCell ref="AQ259:AR259"/>
    <mergeCell ref="B261:D261"/>
    <mergeCell ref="AD265:AH265"/>
    <mergeCell ref="AQ246:AR246"/>
    <mergeCell ref="B247:D247"/>
    <mergeCell ref="B249:D249"/>
    <mergeCell ref="AQ250:AR250"/>
    <mergeCell ref="AI253:AK253"/>
    <mergeCell ref="AQ256:AR256"/>
    <mergeCell ref="AB322:AC322"/>
    <mergeCell ref="B324:C324"/>
    <mergeCell ref="AQ324:AR324"/>
    <mergeCell ref="AQ325:AR325"/>
    <mergeCell ref="AQ326:AR326"/>
    <mergeCell ref="AQ327:AR327"/>
    <mergeCell ref="B278:D278"/>
    <mergeCell ref="B304:D304"/>
    <mergeCell ref="AQ310:AR310"/>
    <mergeCell ref="B312:D312"/>
    <mergeCell ref="AQ314:AR314"/>
    <mergeCell ref="AB321:AC321"/>
    <mergeCell ref="AG321:AH321"/>
    <mergeCell ref="AI321:AJ321"/>
    <mergeCell ref="B331:C331"/>
    <mergeCell ref="AQ337:AR337"/>
    <mergeCell ref="AQ338:AR338"/>
    <mergeCell ref="B339:D339"/>
    <mergeCell ref="B340:D340"/>
    <mergeCell ref="B343:C343"/>
    <mergeCell ref="AQ343:AR343"/>
    <mergeCell ref="B328:C328"/>
    <mergeCell ref="AQ328:AR328"/>
    <mergeCell ref="B329:C329"/>
    <mergeCell ref="B330:C330"/>
    <mergeCell ref="AB330:AC330"/>
    <mergeCell ref="AF330:AG330"/>
    <mergeCell ref="AC355:AD355"/>
    <mergeCell ref="B358:D358"/>
    <mergeCell ref="B359:D359"/>
    <mergeCell ref="AK359:AL359"/>
    <mergeCell ref="AN359:AO359"/>
    <mergeCell ref="B360:D360"/>
    <mergeCell ref="AQ344:AR344"/>
    <mergeCell ref="B345:D345"/>
    <mergeCell ref="B348:D348"/>
    <mergeCell ref="B350:D350"/>
    <mergeCell ref="B351:D351"/>
    <mergeCell ref="B353:D353"/>
    <mergeCell ref="B372:D372"/>
    <mergeCell ref="B378:D378"/>
    <mergeCell ref="B379:D379"/>
    <mergeCell ref="AK379:AL379"/>
    <mergeCell ref="AN379:AO379"/>
    <mergeCell ref="B380:D380"/>
    <mergeCell ref="B362:D362"/>
    <mergeCell ref="B368:D368"/>
    <mergeCell ref="B369:D369"/>
    <mergeCell ref="AK369:AL369"/>
    <mergeCell ref="AN369:AO369"/>
    <mergeCell ref="B370:D370"/>
    <mergeCell ref="B392:D392"/>
    <mergeCell ref="B399:D399"/>
    <mergeCell ref="AK399:AL399"/>
    <mergeCell ref="AN399:AO399"/>
    <mergeCell ref="B400:D400"/>
    <mergeCell ref="B402:D402"/>
    <mergeCell ref="B382:D382"/>
    <mergeCell ref="B388:D388"/>
    <mergeCell ref="B389:D389"/>
    <mergeCell ref="AK389:AL389"/>
    <mergeCell ref="AN389:AO389"/>
    <mergeCell ref="B390:D390"/>
    <mergeCell ref="B418:D418"/>
    <mergeCell ref="B419:D419"/>
    <mergeCell ref="AK419:AL419"/>
    <mergeCell ref="AN419:AO419"/>
    <mergeCell ref="B420:D420"/>
    <mergeCell ref="B422:D422"/>
    <mergeCell ref="B408:D408"/>
    <mergeCell ref="B409:D409"/>
    <mergeCell ref="AK409:AL409"/>
    <mergeCell ref="AN409:AO409"/>
    <mergeCell ref="B410:D410"/>
    <mergeCell ref="B412:D412"/>
    <mergeCell ref="B438:D438"/>
    <mergeCell ref="B439:D439"/>
    <mergeCell ref="AK439:AL439"/>
    <mergeCell ref="AN439:AO439"/>
    <mergeCell ref="B440:D440"/>
    <mergeCell ref="B442:D442"/>
    <mergeCell ref="B428:D428"/>
    <mergeCell ref="B429:D429"/>
    <mergeCell ref="AK429:AL429"/>
    <mergeCell ref="AN429:AO429"/>
    <mergeCell ref="B430:D430"/>
    <mergeCell ref="B432:D432"/>
    <mergeCell ref="B458:D458"/>
    <mergeCell ref="B459:D459"/>
    <mergeCell ref="AK459:AL459"/>
    <mergeCell ref="AN459:AO459"/>
    <mergeCell ref="B460:D460"/>
    <mergeCell ref="B462:D462"/>
    <mergeCell ref="B448:D448"/>
    <mergeCell ref="B449:D449"/>
    <mergeCell ref="AK449:AL449"/>
    <mergeCell ref="AN449:AO449"/>
    <mergeCell ref="B450:D450"/>
    <mergeCell ref="B452:D452"/>
    <mergeCell ref="B478:D478"/>
    <mergeCell ref="B479:D479"/>
    <mergeCell ref="AK479:AL479"/>
    <mergeCell ref="AN479:AO479"/>
    <mergeCell ref="B480:D480"/>
    <mergeCell ref="B482:D482"/>
    <mergeCell ref="B468:D468"/>
    <mergeCell ref="B469:D469"/>
    <mergeCell ref="AK469:AL469"/>
    <mergeCell ref="AN469:AO469"/>
    <mergeCell ref="B470:D470"/>
    <mergeCell ref="B472:D472"/>
    <mergeCell ref="BB499:BC499"/>
    <mergeCell ref="BD499:BE499"/>
    <mergeCell ref="B500:C500"/>
    <mergeCell ref="B524:D524"/>
    <mergeCell ref="B525:D525"/>
    <mergeCell ref="E526:F526"/>
    <mergeCell ref="B488:D488"/>
    <mergeCell ref="B489:D489"/>
    <mergeCell ref="AK489:AL489"/>
    <mergeCell ref="AN489:AO489"/>
    <mergeCell ref="B490:D490"/>
    <mergeCell ref="B492:D492"/>
    <mergeCell ref="B536:D536"/>
    <mergeCell ref="E537:F537"/>
    <mergeCell ref="E538:F538"/>
    <mergeCell ref="B540:D540"/>
    <mergeCell ref="B541:D541"/>
    <mergeCell ref="E542:F542"/>
    <mergeCell ref="E527:F527"/>
    <mergeCell ref="B529:D529"/>
    <mergeCell ref="B530:D530"/>
    <mergeCell ref="E531:F531"/>
    <mergeCell ref="E532:F532"/>
    <mergeCell ref="B535:D535"/>
    <mergeCell ref="B552:D552"/>
    <mergeCell ref="E553:F553"/>
    <mergeCell ref="E554:F554"/>
    <mergeCell ref="B559:D559"/>
    <mergeCell ref="B560:D560"/>
    <mergeCell ref="E561:F561"/>
    <mergeCell ref="E543:F543"/>
    <mergeCell ref="B546:D546"/>
    <mergeCell ref="B547:D547"/>
    <mergeCell ref="E548:F548"/>
    <mergeCell ref="E549:F549"/>
    <mergeCell ref="B551:D551"/>
    <mergeCell ref="B570:D570"/>
    <mergeCell ref="E571:F571"/>
    <mergeCell ref="E572:F572"/>
    <mergeCell ref="B575:D575"/>
    <mergeCell ref="B576:D576"/>
    <mergeCell ref="E577:F577"/>
    <mergeCell ref="E562:F562"/>
    <mergeCell ref="B564:D564"/>
    <mergeCell ref="B565:D565"/>
    <mergeCell ref="E566:F566"/>
    <mergeCell ref="E567:F567"/>
    <mergeCell ref="B569:D569"/>
    <mergeCell ref="B586:D586"/>
    <mergeCell ref="E587:F587"/>
    <mergeCell ref="E588:F588"/>
    <mergeCell ref="B593:D593"/>
    <mergeCell ref="B594:D594"/>
    <mergeCell ref="E595:F595"/>
    <mergeCell ref="E578:F578"/>
    <mergeCell ref="B580:D580"/>
    <mergeCell ref="B581:D581"/>
    <mergeCell ref="E582:F582"/>
    <mergeCell ref="E583:F583"/>
    <mergeCell ref="B585:D585"/>
    <mergeCell ref="B604:D604"/>
    <mergeCell ref="E605:F605"/>
    <mergeCell ref="E606:F606"/>
    <mergeCell ref="B609:D609"/>
    <mergeCell ref="B610:D610"/>
    <mergeCell ref="E611:F611"/>
    <mergeCell ref="E596:F596"/>
    <mergeCell ref="B598:D598"/>
    <mergeCell ref="B599:D599"/>
    <mergeCell ref="E600:F600"/>
    <mergeCell ref="E601:F601"/>
    <mergeCell ref="B603:D603"/>
    <mergeCell ref="B620:D620"/>
    <mergeCell ref="E621:F621"/>
    <mergeCell ref="E622:F622"/>
    <mergeCell ref="B627:D627"/>
    <mergeCell ref="B628:D628"/>
    <mergeCell ref="E629:F629"/>
    <mergeCell ref="E612:F612"/>
    <mergeCell ref="B614:D614"/>
    <mergeCell ref="B615:D615"/>
    <mergeCell ref="E616:F616"/>
    <mergeCell ref="E617:F617"/>
    <mergeCell ref="B619:D619"/>
    <mergeCell ref="B638:D638"/>
    <mergeCell ref="E639:F639"/>
    <mergeCell ref="E640:F640"/>
    <mergeCell ref="B643:D643"/>
    <mergeCell ref="B644:D644"/>
    <mergeCell ref="E645:F645"/>
    <mergeCell ref="E630:F630"/>
    <mergeCell ref="B632:D632"/>
    <mergeCell ref="B633:D633"/>
    <mergeCell ref="E634:F634"/>
    <mergeCell ref="E635:F635"/>
    <mergeCell ref="B637:D637"/>
    <mergeCell ref="B654:D654"/>
    <mergeCell ref="E655:F655"/>
    <mergeCell ref="E656:F656"/>
    <mergeCell ref="B661:D661"/>
    <mergeCell ref="B662:D662"/>
    <mergeCell ref="E663:F663"/>
    <mergeCell ref="E646:F646"/>
    <mergeCell ref="B648:D648"/>
    <mergeCell ref="B649:D649"/>
    <mergeCell ref="E650:F650"/>
    <mergeCell ref="E651:F651"/>
    <mergeCell ref="B653:D653"/>
    <mergeCell ref="B672:D672"/>
    <mergeCell ref="E673:F673"/>
    <mergeCell ref="E674:F674"/>
    <mergeCell ref="B677:D677"/>
    <mergeCell ref="B678:D678"/>
    <mergeCell ref="E679:F679"/>
    <mergeCell ref="E664:F664"/>
    <mergeCell ref="B666:D666"/>
    <mergeCell ref="B667:D667"/>
    <mergeCell ref="E668:F668"/>
    <mergeCell ref="E669:F669"/>
    <mergeCell ref="B671:D671"/>
    <mergeCell ref="B688:D688"/>
    <mergeCell ref="E689:F689"/>
    <mergeCell ref="E690:F690"/>
    <mergeCell ref="B693:D693"/>
    <mergeCell ref="B694:D694"/>
    <mergeCell ref="E695:F695"/>
    <mergeCell ref="E680:F680"/>
    <mergeCell ref="B682:D682"/>
    <mergeCell ref="B683:D683"/>
    <mergeCell ref="E684:F684"/>
    <mergeCell ref="E685:F685"/>
    <mergeCell ref="B687:D687"/>
    <mergeCell ref="B714:D714"/>
    <mergeCell ref="B715:D715"/>
    <mergeCell ref="E716:F716"/>
    <mergeCell ref="E717:F717"/>
    <mergeCell ref="B719:D719"/>
    <mergeCell ref="B720:D720"/>
    <mergeCell ref="E696:F696"/>
    <mergeCell ref="B704:D704"/>
    <mergeCell ref="B709:D709"/>
    <mergeCell ref="B710:D710"/>
    <mergeCell ref="E711:F711"/>
    <mergeCell ref="E712:F712"/>
    <mergeCell ref="B730:D730"/>
    <mergeCell ref="B731:D731"/>
    <mergeCell ref="E732:F732"/>
    <mergeCell ref="E733:F733"/>
    <mergeCell ref="B735:D735"/>
    <mergeCell ref="B736:D736"/>
    <mergeCell ref="E721:F721"/>
    <mergeCell ref="E722:F722"/>
    <mergeCell ref="B725:D725"/>
    <mergeCell ref="B726:D726"/>
    <mergeCell ref="E727:F727"/>
    <mergeCell ref="E728:F728"/>
    <mergeCell ref="B748:D748"/>
    <mergeCell ref="B749:D749"/>
    <mergeCell ref="E750:F750"/>
    <mergeCell ref="E751:F751"/>
    <mergeCell ref="B753:D753"/>
    <mergeCell ref="B758:D758"/>
    <mergeCell ref="E737:F737"/>
    <mergeCell ref="E738:F738"/>
    <mergeCell ref="B740:D740"/>
    <mergeCell ref="B741:D741"/>
    <mergeCell ref="E742:F742"/>
    <mergeCell ref="E743:F743"/>
    <mergeCell ref="E766:F766"/>
    <mergeCell ref="B768:D768"/>
    <mergeCell ref="B769:D769"/>
    <mergeCell ref="E770:F770"/>
    <mergeCell ref="E771:F771"/>
    <mergeCell ref="B773:D773"/>
    <mergeCell ref="B759:D759"/>
    <mergeCell ref="E760:F760"/>
    <mergeCell ref="E761:F761"/>
    <mergeCell ref="B763:D763"/>
    <mergeCell ref="B764:D764"/>
    <mergeCell ref="E765:F765"/>
    <mergeCell ref="E781:F781"/>
    <mergeCell ref="B785:D785"/>
    <mergeCell ref="C787:D787"/>
    <mergeCell ref="C788:D788"/>
    <mergeCell ref="B789:D789"/>
    <mergeCell ref="C791:D791"/>
    <mergeCell ref="B774:D774"/>
    <mergeCell ref="E775:F775"/>
    <mergeCell ref="E776:F776"/>
    <mergeCell ref="B778:D778"/>
    <mergeCell ref="B779:D779"/>
    <mergeCell ref="E780:F780"/>
    <mergeCell ref="B821:D824"/>
    <mergeCell ref="B856:D856"/>
    <mergeCell ref="AC856:BD856"/>
    <mergeCell ref="B875:D875"/>
    <mergeCell ref="AC875:BD875"/>
    <mergeCell ref="B881:D881"/>
    <mergeCell ref="C792:D792"/>
    <mergeCell ref="C795:D795"/>
    <mergeCell ref="C796:D796"/>
    <mergeCell ref="C799:D799"/>
    <mergeCell ref="C800:D800"/>
    <mergeCell ref="B801:D801"/>
    <mergeCell ref="B909:D909"/>
    <mergeCell ref="B912:D912"/>
    <mergeCell ref="C913:D913"/>
    <mergeCell ref="C914:D914"/>
    <mergeCell ref="C915:D915"/>
    <mergeCell ref="C916:D916"/>
    <mergeCell ref="B891:D891"/>
    <mergeCell ref="B900:D900"/>
    <mergeCell ref="AC900:BH900"/>
    <mergeCell ref="B904:D904"/>
    <mergeCell ref="B905:D905"/>
    <mergeCell ref="B908:D908"/>
    <mergeCell ref="B926:D926"/>
    <mergeCell ref="B929:D929"/>
    <mergeCell ref="B931:D931"/>
    <mergeCell ref="B932:D932"/>
    <mergeCell ref="B933:D933"/>
    <mergeCell ref="B934:D934"/>
    <mergeCell ref="C917:D917"/>
    <mergeCell ref="C918:D918"/>
    <mergeCell ref="C919:D919"/>
    <mergeCell ref="C920:D920"/>
    <mergeCell ref="C922:D922"/>
    <mergeCell ref="B925:D925"/>
    <mergeCell ref="B987:D987"/>
    <mergeCell ref="C990:D990"/>
    <mergeCell ref="C995:D995"/>
    <mergeCell ref="C1000:D1000"/>
    <mergeCell ref="C1005:D1005"/>
    <mergeCell ref="C1010:D1010"/>
    <mergeCell ref="B935:D943"/>
    <mergeCell ref="B947:D947"/>
    <mergeCell ref="AO947:AQ947"/>
    <mergeCell ref="B950:D950"/>
    <mergeCell ref="B981:D981"/>
    <mergeCell ref="B983:D983"/>
    <mergeCell ref="AN1103:AO1103"/>
    <mergeCell ref="AT1103:BB1103"/>
    <mergeCell ref="C1045:D1045"/>
    <mergeCell ref="C1050:D1050"/>
    <mergeCell ref="C1055:D1055"/>
    <mergeCell ref="C1060:D1060"/>
    <mergeCell ref="C1065:D1065"/>
    <mergeCell ref="C1070:D1070"/>
    <mergeCell ref="C1015:D1015"/>
    <mergeCell ref="C1020:D1020"/>
    <mergeCell ref="C1025:D1025"/>
    <mergeCell ref="C1030:D1030"/>
    <mergeCell ref="C1035:D1035"/>
    <mergeCell ref="C1040:D1040"/>
    <mergeCell ref="B1104:D1104"/>
    <mergeCell ref="B1106:D1106"/>
    <mergeCell ref="B1109:D1109"/>
    <mergeCell ref="B1127:E1127"/>
    <mergeCell ref="C1131:D1131"/>
    <mergeCell ref="C1133:D1139"/>
    <mergeCell ref="C1075:D1075"/>
    <mergeCell ref="C1080:D1080"/>
    <mergeCell ref="C1085:D1085"/>
    <mergeCell ref="C1090:D1090"/>
    <mergeCell ref="BP1167:BQ1167"/>
    <mergeCell ref="BR1167:BS1167"/>
    <mergeCell ref="B1169:E1169"/>
    <mergeCell ref="AC1172:AE1172"/>
    <mergeCell ref="C1141:D1143"/>
    <mergeCell ref="C1145:D1146"/>
    <mergeCell ref="B1166:D1166"/>
    <mergeCell ref="BL1166:BN1166"/>
    <mergeCell ref="BQ1166:BR1166"/>
    <mergeCell ref="BS1166:BU1166"/>
    <mergeCell ref="AC1173:AE1173"/>
    <mergeCell ref="AC1174:AE1174"/>
    <mergeCell ref="AC1175:AE1175"/>
    <mergeCell ref="AC1176:AE1176"/>
    <mergeCell ref="C1178:D1179"/>
    <mergeCell ref="AC1178:AD1178"/>
    <mergeCell ref="AE1178:AF1178"/>
    <mergeCell ref="BL1167:BM1167"/>
    <mergeCell ref="BN1167:BO1167"/>
    <mergeCell ref="BD1182:BF1182"/>
    <mergeCell ref="C1184:D1185"/>
    <mergeCell ref="AC1184:AD1184"/>
    <mergeCell ref="AH1184:AI1184"/>
    <mergeCell ref="BD1184:BF1184"/>
    <mergeCell ref="BD1185:BF1185"/>
    <mergeCell ref="AH1178:AI1178"/>
    <mergeCell ref="AJ1178:AK1178"/>
    <mergeCell ref="BD1178:BF1178"/>
    <mergeCell ref="BD1179:BF1179"/>
    <mergeCell ref="C1181:D1182"/>
    <mergeCell ref="AC1181:AD1181"/>
    <mergeCell ref="AE1181:AF1181"/>
    <mergeCell ref="AH1181:AI1181"/>
    <mergeCell ref="AJ1181:AK1181"/>
    <mergeCell ref="BD1181:BF1181"/>
    <mergeCell ref="C1187:D1188"/>
    <mergeCell ref="AH1187:AI1187"/>
    <mergeCell ref="AJ1187:AK1187"/>
    <mergeCell ref="BD1187:BF1187"/>
    <mergeCell ref="BD1188:BF1188"/>
    <mergeCell ref="C1190:D1191"/>
    <mergeCell ref="AH1190:AI1190"/>
    <mergeCell ref="AJ1190:AK1190"/>
    <mergeCell ref="BD1190:BF1190"/>
    <mergeCell ref="BD1191:BF1191"/>
    <mergeCell ref="AJ1202:AK1202"/>
    <mergeCell ref="BD1202:BF1202"/>
    <mergeCell ref="BD1203:BF1203"/>
    <mergeCell ref="C1193:D1194"/>
    <mergeCell ref="AH1193:AI1193"/>
    <mergeCell ref="C1196:D1197"/>
    <mergeCell ref="AH1196:AI1196"/>
    <mergeCell ref="AJ1196:AK1196"/>
    <mergeCell ref="BD1196:BF1196"/>
    <mergeCell ref="BD1197:BF1197"/>
    <mergeCell ref="C1205:D1206"/>
    <mergeCell ref="AH1205:AI1205"/>
    <mergeCell ref="C1208:D1209"/>
    <mergeCell ref="AH1208:AI1208"/>
    <mergeCell ref="C1211:D1212"/>
    <mergeCell ref="AH1211:AI1211"/>
    <mergeCell ref="C1199:D1200"/>
    <mergeCell ref="AH1199:AI1199"/>
    <mergeCell ref="C1202:D1203"/>
    <mergeCell ref="AH1202:AI1202"/>
    <mergeCell ref="AI1355:AK1355"/>
    <mergeCell ref="AH1361:AI1361"/>
    <mergeCell ref="AI1362:AJ1362"/>
    <mergeCell ref="AH1371:AI1371"/>
    <mergeCell ref="AI1372:AJ1372"/>
    <mergeCell ref="AH1381:AI1381"/>
    <mergeCell ref="A1214:E1216"/>
    <mergeCell ref="B1218:D1218"/>
    <mergeCell ref="B1353:D1353"/>
    <mergeCell ref="C1355:D1355"/>
    <mergeCell ref="AC1355:AE1355"/>
    <mergeCell ref="AF1355:AH1355"/>
    <mergeCell ref="AI1412:AJ1412"/>
    <mergeCell ref="AH1421:AI1421"/>
    <mergeCell ref="AI1422:AJ1422"/>
    <mergeCell ref="AH1431:AI1431"/>
    <mergeCell ref="AI1432:AJ1432"/>
    <mergeCell ref="AH1441:AI1441"/>
    <mergeCell ref="AI1382:AJ1382"/>
    <mergeCell ref="AH1391:AI1391"/>
    <mergeCell ref="AI1392:AJ1392"/>
    <mergeCell ref="AH1401:AI1401"/>
    <mergeCell ref="AI1402:AJ1402"/>
    <mergeCell ref="AH1411:AI1411"/>
    <mergeCell ref="AI1472:AJ1472"/>
    <mergeCell ref="AH1481:AI1481"/>
    <mergeCell ref="AI1482:AJ1482"/>
    <mergeCell ref="AH1491:AI1491"/>
    <mergeCell ref="AI1492:AJ1492"/>
    <mergeCell ref="AH1501:AI1501"/>
    <mergeCell ref="AI1442:AJ1442"/>
    <mergeCell ref="AH1451:AI1451"/>
    <mergeCell ref="AI1452:AJ1452"/>
    <mergeCell ref="AH1461:AI1461"/>
    <mergeCell ref="AI1462:AJ1462"/>
    <mergeCell ref="AH1471:AI1471"/>
    <mergeCell ref="AI1532:AJ1532"/>
    <mergeCell ref="AH1541:AI1541"/>
    <mergeCell ref="AI1542:AJ1542"/>
    <mergeCell ref="AH1551:AI1551"/>
    <mergeCell ref="AI1552:AJ1552"/>
    <mergeCell ref="AH1561:AI1561"/>
    <mergeCell ref="AI1502:AJ1502"/>
    <mergeCell ref="AH1511:AI1511"/>
    <mergeCell ref="AI1512:AJ1512"/>
    <mergeCell ref="AH1521:AI1521"/>
    <mergeCell ref="AI1522:AJ1522"/>
    <mergeCell ref="AH1531:AI1531"/>
    <mergeCell ref="AI1592:AJ1592"/>
    <mergeCell ref="C1598:D1598"/>
    <mergeCell ref="B1633:D1633"/>
    <mergeCell ref="B1634:D1634"/>
    <mergeCell ref="B1635:D1635"/>
    <mergeCell ref="C1638:D1638"/>
    <mergeCell ref="AI1562:AJ1562"/>
    <mergeCell ref="AH1571:AI1571"/>
    <mergeCell ref="AI1572:AJ1572"/>
    <mergeCell ref="AH1581:AI1581"/>
    <mergeCell ref="AI1582:AJ1582"/>
    <mergeCell ref="AH1591:AI1591"/>
    <mergeCell ref="C1663:D1663"/>
    <mergeCell ref="C1668:D1668"/>
    <mergeCell ref="C1669:D1669"/>
    <mergeCell ref="C1673:D1673"/>
    <mergeCell ref="C1678:D1678"/>
    <mergeCell ref="C1679:D1679"/>
    <mergeCell ref="C1639:D1639"/>
    <mergeCell ref="C1648:D1648"/>
    <mergeCell ref="C1649:D1649"/>
    <mergeCell ref="C1653:D1653"/>
    <mergeCell ref="C1658:D1658"/>
    <mergeCell ref="C1659:D1659"/>
    <mergeCell ref="AI1712:AK1712"/>
    <mergeCell ref="AO1712:AP1712"/>
    <mergeCell ref="AC1713:AD1713"/>
    <mergeCell ref="AI1713:AK1713"/>
    <mergeCell ref="AO1713:AP1713"/>
    <mergeCell ref="AC1718:AD1718"/>
    <mergeCell ref="AI1718:AK1718"/>
    <mergeCell ref="AO1718:AP1718"/>
    <mergeCell ref="C1683:D1683"/>
    <mergeCell ref="C1688:D1688"/>
    <mergeCell ref="C1689:D1689"/>
    <mergeCell ref="C1693:D1693"/>
    <mergeCell ref="B1707:D1707"/>
    <mergeCell ref="AC1712:AD1712"/>
    <mergeCell ref="AC1725:AD1725"/>
    <mergeCell ref="AI1725:AK1725"/>
    <mergeCell ref="AO1725:AP1725"/>
    <mergeCell ref="AC1730:AD1730"/>
    <mergeCell ref="AI1730:AK1730"/>
    <mergeCell ref="AO1730:AP1730"/>
    <mergeCell ref="AC1719:AD1719"/>
    <mergeCell ref="AI1719:AK1719"/>
    <mergeCell ref="AO1719:AP1719"/>
    <mergeCell ref="AC1724:AD1724"/>
    <mergeCell ref="AI1724:AK1724"/>
    <mergeCell ref="AO1724:AP1724"/>
    <mergeCell ref="AC1737:AD1737"/>
    <mergeCell ref="AI1737:AK1737"/>
    <mergeCell ref="AO1737:AP1737"/>
    <mergeCell ref="AC1731:AD1731"/>
    <mergeCell ref="AI1731:AK1731"/>
    <mergeCell ref="AO1731:AP1731"/>
    <mergeCell ref="AC1736:AD1736"/>
    <mergeCell ref="AI1736:AK1736"/>
    <mergeCell ref="AO1736:AP1736"/>
    <mergeCell ref="C1849:C1850"/>
    <mergeCell ref="D1849:E1850"/>
    <mergeCell ref="C1851:C1853"/>
    <mergeCell ref="D1851:E1853"/>
    <mergeCell ref="C1854:C1856"/>
    <mergeCell ref="D1854:D1856"/>
    <mergeCell ref="C1876:C1880"/>
    <mergeCell ref="D1876:D1879"/>
    <mergeCell ref="C1881:C1883"/>
    <mergeCell ref="D1881:D1883"/>
    <mergeCell ref="C1884:C1886"/>
    <mergeCell ref="D1884:D1886"/>
    <mergeCell ref="C1860:C1862"/>
    <mergeCell ref="D1860:D1862"/>
    <mergeCell ref="B1866:B1868"/>
    <mergeCell ref="C1866:C1868"/>
    <mergeCell ref="D1866:D1868"/>
    <mergeCell ref="C1869:C1875"/>
    <mergeCell ref="D1869:D1874"/>
    <mergeCell ref="B1919:E1929"/>
    <mergeCell ref="B1930:E1930"/>
    <mergeCell ref="C1941:E1941"/>
    <mergeCell ref="B1943:E1948"/>
    <mergeCell ref="B1949:E1952"/>
    <mergeCell ref="C1953:D1953"/>
    <mergeCell ref="D1891:E1891"/>
    <mergeCell ref="D1893:E1893"/>
    <mergeCell ref="C1894:E1894"/>
    <mergeCell ref="B1896:E1902"/>
    <mergeCell ref="B1903:E1910"/>
    <mergeCell ref="B1911:E1918"/>
    <mergeCell ref="BI1987:BK1987"/>
    <mergeCell ref="BM1987:BO1987"/>
    <mergeCell ref="B1988:E1988"/>
    <mergeCell ref="B1990:E1990"/>
    <mergeCell ref="B1992:E1997"/>
    <mergeCell ref="B1998:E2002"/>
    <mergeCell ref="C1954:D1954"/>
    <mergeCell ref="C1955:D1955"/>
    <mergeCell ref="B1957:E1961"/>
    <mergeCell ref="B1962:E1967"/>
    <mergeCell ref="B1968:E1973"/>
    <mergeCell ref="B1985:C1985"/>
    <mergeCell ref="D1985:E1985"/>
    <mergeCell ref="C2035:E2035"/>
    <mergeCell ref="B2037:E2041"/>
    <mergeCell ref="B2042:E2046"/>
    <mergeCell ref="B2047:E2051"/>
    <mergeCell ref="B2052:E2056"/>
    <mergeCell ref="B2057:E2062"/>
    <mergeCell ref="B2003:E2009"/>
    <mergeCell ref="B2010:E2013"/>
    <mergeCell ref="C2014:D2014"/>
    <mergeCell ref="C2015:D2015"/>
    <mergeCell ref="C2016:D2016"/>
    <mergeCell ref="B2018:E2023"/>
    <mergeCell ref="B2108:E2115"/>
    <mergeCell ref="C2126:E2126"/>
    <mergeCell ref="C2129:E2129"/>
    <mergeCell ref="B2131:E2136"/>
    <mergeCell ref="B2137:E2142"/>
    <mergeCell ref="B2143:E2148"/>
    <mergeCell ref="B2063:E2068"/>
    <mergeCell ref="B2076:C2076"/>
    <mergeCell ref="C2082:E2082"/>
    <mergeCell ref="B2084:E2091"/>
    <mergeCell ref="B2092:E2099"/>
    <mergeCell ref="B2100:E2107"/>
    <mergeCell ref="E2175:F2175"/>
    <mergeCell ref="E2176:F2176"/>
    <mergeCell ref="E2177:F2177"/>
    <mergeCell ref="E2178:F2178"/>
    <mergeCell ref="E2179:F2179"/>
    <mergeCell ref="E2180:F2180"/>
    <mergeCell ref="B2149:E2154"/>
    <mergeCell ref="B2155:E2160"/>
    <mergeCell ref="A2170:C2170"/>
    <mergeCell ref="D2170:E2170"/>
    <mergeCell ref="E2173:F2173"/>
    <mergeCell ref="E2174:F2174"/>
    <mergeCell ref="E2187:F2187"/>
    <mergeCell ref="E2188:F2188"/>
    <mergeCell ref="E2189:F2189"/>
    <mergeCell ref="E2190:F2190"/>
    <mergeCell ref="E2191:F2191"/>
    <mergeCell ref="E2192:F2192"/>
    <mergeCell ref="E2181:F2181"/>
    <mergeCell ref="E2182:F2182"/>
    <mergeCell ref="E2183:F2183"/>
    <mergeCell ref="E2184:F2184"/>
    <mergeCell ref="E2185:F2185"/>
    <mergeCell ref="E2186:F2186"/>
    <mergeCell ref="E2199:F2199"/>
    <mergeCell ref="E2200:F2200"/>
    <mergeCell ref="E2201:F2201"/>
    <mergeCell ref="E2202:F2202"/>
    <mergeCell ref="E2203:F2203"/>
    <mergeCell ref="E2204:F2204"/>
    <mergeCell ref="E2193:F2193"/>
    <mergeCell ref="E2194:F2194"/>
    <mergeCell ref="E2195:F2195"/>
    <mergeCell ref="E2196:F2196"/>
    <mergeCell ref="E2197:F2197"/>
    <mergeCell ref="E2198:F2198"/>
    <mergeCell ref="E2211:F2211"/>
    <mergeCell ref="E2212:F2212"/>
    <mergeCell ref="E2213:F2213"/>
    <mergeCell ref="E2214:F2214"/>
    <mergeCell ref="E2215:F2215"/>
    <mergeCell ref="E2216:F2216"/>
    <mergeCell ref="E2205:F2205"/>
    <mergeCell ref="E2206:F2206"/>
    <mergeCell ref="E2207:F2207"/>
    <mergeCell ref="E2208:F2208"/>
    <mergeCell ref="E2209:F2209"/>
    <mergeCell ref="E2210:F2210"/>
    <mergeCell ref="B2233:E2237"/>
    <mergeCell ref="B2238:E2242"/>
    <mergeCell ref="B2243:E2247"/>
    <mergeCell ref="B2248:E2252"/>
    <mergeCell ref="C2269:E2269"/>
    <mergeCell ref="B2273:E2277"/>
    <mergeCell ref="E2217:F2217"/>
    <mergeCell ref="B2220:C2220"/>
    <mergeCell ref="C2223:E2223"/>
    <mergeCell ref="D2224:E2224"/>
    <mergeCell ref="C2226:E2226"/>
    <mergeCell ref="B2228:E2232"/>
    <mergeCell ref="B2320:E2322"/>
    <mergeCell ref="B2324:D2325"/>
    <mergeCell ref="C2332:D2332"/>
    <mergeCell ref="C2336:D2336"/>
    <mergeCell ref="B2347:E2350"/>
    <mergeCell ref="B2352:E2355"/>
    <mergeCell ref="B2278:D2281"/>
    <mergeCell ref="B2297:E2300"/>
    <mergeCell ref="D2302:E2313"/>
    <mergeCell ref="B2316:E2316"/>
    <mergeCell ref="B2317:E2317"/>
    <mergeCell ref="C2318:E2318"/>
    <mergeCell ref="C2377:C2378"/>
    <mergeCell ref="C2379:C2380"/>
    <mergeCell ref="C2381:C2382"/>
    <mergeCell ref="C2383:C2384"/>
    <mergeCell ref="C2385:C2386"/>
    <mergeCell ref="C2387:C2388"/>
    <mergeCell ref="B2360:E2360"/>
    <mergeCell ref="B2362:E2365"/>
    <mergeCell ref="B2366:E2370"/>
    <mergeCell ref="B2371:E2371"/>
    <mergeCell ref="C2373:C2374"/>
    <mergeCell ref="C2375:C2376"/>
    <mergeCell ref="B2486:E2487"/>
    <mergeCell ref="B2488:E2491"/>
    <mergeCell ref="AF2917:AL2917"/>
    <mergeCell ref="AM3209:AN3209"/>
    <mergeCell ref="BN3281:BQ3281"/>
    <mergeCell ref="BN3282:BQ3282"/>
    <mergeCell ref="C2389:C2390"/>
    <mergeCell ref="C2392:E2392"/>
    <mergeCell ref="B2393:C2393"/>
    <mergeCell ref="D2393:E2393"/>
    <mergeCell ref="B2394:E2397"/>
    <mergeCell ref="B2449:E2449"/>
    <mergeCell ref="BN3289:BQ3289"/>
    <mergeCell ref="BN3290:BQ3290"/>
    <mergeCell ref="BN3291:BQ3291"/>
    <mergeCell ref="BN3292:BQ3292"/>
    <mergeCell ref="BN3293:BQ3293"/>
    <mergeCell ref="BN3294:BQ3294"/>
    <mergeCell ref="BN3283:BQ3283"/>
    <mergeCell ref="BN3284:BQ3284"/>
    <mergeCell ref="BN3285:BQ3285"/>
    <mergeCell ref="BN3286:BQ3286"/>
    <mergeCell ref="BN3287:BQ3287"/>
    <mergeCell ref="BN3288:BQ3288"/>
    <mergeCell ref="BN3303:BQ3303"/>
    <mergeCell ref="BN3304:BQ3304"/>
    <mergeCell ref="BN3305:BQ3305"/>
    <mergeCell ref="BN3306:BQ3306"/>
    <mergeCell ref="BN3307:BQ3307"/>
    <mergeCell ref="BN3308:BQ3308"/>
    <mergeCell ref="BN3296:BQ3296"/>
    <mergeCell ref="BN3297:BQ3297"/>
    <mergeCell ref="BN3299:BQ3299"/>
    <mergeCell ref="BN3300:BQ3300"/>
    <mergeCell ref="BN3301:BQ3301"/>
    <mergeCell ref="BN3302:BQ3302"/>
    <mergeCell ref="BN3329:BQ3329"/>
    <mergeCell ref="BN3330:BQ3330"/>
    <mergeCell ref="BN3323:BQ3323"/>
    <mergeCell ref="BN3324:BQ3324"/>
    <mergeCell ref="BN3325:BQ3325"/>
    <mergeCell ref="BN3326:BQ3326"/>
    <mergeCell ref="BN3327:BQ3327"/>
    <mergeCell ref="BN3328:BQ3328"/>
    <mergeCell ref="BN3310:BQ3310"/>
    <mergeCell ref="BN3311:BQ3311"/>
    <mergeCell ref="BN3313:BQ3313"/>
    <mergeCell ref="BN3314:BQ3314"/>
    <mergeCell ref="BN3316:BQ3316"/>
    <mergeCell ref="BN3317:BQ3317"/>
  </mergeCells>
  <conditionalFormatting sqref="A1354">
    <cfRule type="cellIs" dxfId="1140" priority="351" operator="equal">
      <formula>0</formula>
    </cfRule>
  </conditionalFormatting>
  <conditionalFormatting sqref="A1357">
    <cfRule type="cellIs" dxfId="1139" priority="572" operator="equal">
      <formula>0</formula>
    </cfRule>
  </conditionalFormatting>
  <conditionalFormatting sqref="A1358:A1364">
    <cfRule type="cellIs" dxfId="1138" priority="647" operator="equal">
      <formula>0</formula>
    </cfRule>
  </conditionalFormatting>
  <conditionalFormatting sqref="A1365">
    <cfRule type="cellIs" dxfId="1137" priority="532" operator="equal">
      <formula>0</formula>
    </cfRule>
  </conditionalFormatting>
  <conditionalFormatting sqref="A1367 A1377 A1387 A1397 A1407 A1417 A1427 A1437 A1447 A1457 A1467 A1477 A1487 A1497 A1507 A1517 A1527 A1537 A1547 A1557 A1567 A1577 A1587">
    <cfRule type="cellIs" dxfId="1136" priority="378" operator="equal">
      <formula>0</formula>
    </cfRule>
  </conditionalFormatting>
  <conditionalFormatting sqref="A1368:A1375 A1378:A1385 A1388:A1395 A1398:A1405 A1408:A1415 A1418:A1425 A1428:A1435 A1438:A1445 A1448:A1455 A1458:A1465 A1468:A1475 A1478:A1485 A1488:A1495 A1498:A1505 A1508:A1515 A1518:A1525 A1528:A1535 A1538:A1545 A1548:A1555 A1558:A1565 A1568:A1575 A1578:A1585">
    <cfRule type="cellIs" dxfId="1135" priority="563" operator="equal">
      <formula>0</formula>
    </cfRule>
  </conditionalFormatting>
  <conditionalFormatting sqref="A1588:A1595">
    <cfRule type="cellIs" dxfId="1134" priority="387" operator="equal">
      <formula>0</formula>
    </cfRule>
  </conditionalFormatting>
  <conditionalFormatting sqref="A1596">
    <cfRule type="cellIs" dxfId="1133" priority="648" operator="equal">
      <formula>0</formula>
    </cfRule>
  </conditionalFormatting>
  <conditionalFormatting sqref="B51">
    <cfRule type="cellIs" dxfId="1132" priority="758" operator="between">
      <formula>0.8</formula>
      <formula>1</formula>
    </cfRule>
    <cfRule type="cellIs" dxfId="1131" priority="759" operator="between">
      <formula>0.6</formula>
      <formula>0.799999</formula>
    </cfRule>
    <cfRule type="cellIs" dxfId="1130" priority="760" operator="between">
      <formula>0.4</formula>
      <formula>0.599999</formula>
    </cfRule>
    <cfRule type="cellIs" dxfId="1129" priority="761" operator="between">
      <formula>0.2</formula>
      <formula>0.399999</formula>
    </cfRule>
    <cfRule type="cellIs" dxfId="1128" priority="762" operator="between">
      <formula>0</formula>
      <formula>0.199999</formula>
    </cfRule>
  </conditionalFormatting>
  <conditionalFormatting sqref="B52">
    <cfRule type="cellIs" dxfId="1127" priority="753" operator="between">
      <formula>0.8</formula>
      <formula>1</formula>
    </cfRule>
    <cfRule type="cellIs" dxfId="1126" priority="754" operator="between">
      <formula>0.6</formula>
      <formula>0.799999</formula>
    </cfRule>
    <cfRule type="cellIs" dxfId="1125" priority="755" operator="between">
      <formula>0.4</formula>
      <formula>0.599999</formula>
    </cfRule>
    <cfRule type="cellIs" dxfId="1124" priority="756" operator="between">
      <formula>0.2</formula>
      <formula>0.399999</formula>
    </cfRule>
    <cfRule type="cellIs" dxfId="1123" priority="757" operator="between">
      <formula>0</formula>
      <formula>0.199999</formula>
    </cfRule>
  </conditionalFormatting>
  <conditionalFormatting sqref="B206">
    <cfRule type="containsText" dxfId="1122" priority="2" operator="containsText" text="MM-DD-YYYY">
      <formula>NOT(ISERROR(SEARCH("MM-DD-YYYY",B206)))</formula>
    </cfRule>
    <cfRule type="cellIs" dxfId="1121" priority="3" operator="equal">
      <formula>"YYYY-MM-DD"</formula>
    </cfRule>
  </conditionalFormatting>
  <conditionalFormatting sqref="B279">
    <cfRule type="containsText" dxfId="1120" priority="328" operator="containsText" text="NAME ">
      <formula>NOT(ISERROR(SEARCH("NAME ",B279)))</formula>
    </cfRule>
  </conditionalFormatting>
  <conditionalFormatting sqref="B280">
    <cfRule type="containsText" dxfId="1119" priority="316" operator="containsText" text="relation?">
      <formula>NOT(ISERROR(SEARCH("relation?",B280)))</formula>
    </cfRule>
    <cfRule type="containsText" dxfId="1118" priority="317" operator="containsText" text="claims to know real culprit?">
      <formula>NOT(ISERROR(SEARCH("claims to know real culprit?",B280)))</formula>
    </cfRule>
    <cfRule type="containsText" dxfId="1117" priority="318" operator="containsText" text="charged as?">
      <formula>NOT(ISERROR(SEARCH("charged as?",B280)))</formula>
    </cfRule>
    <cfRule type="containsText" dxfId="1116" priority="319" operator="containsText" text="convicted as?">
      <formula>NOT(ISERROR(SEARCH("convicted as?",B280)))</formula>
    </cfRule>
    <cfRule type="containsText" dxfId="1115" priority="320" operator="containsText" text="NAME ">
      <formula>NOT(ISERROR(SEARCH("NAME ",B280)))</formula>
    </cfRule>
  </conditionalFormatting>
  <conditionalFormatting sqref="B281">
    <cfRule type="containsText" dxfId="1114" priority="636" operator="containsText" text="know location?">
      <formula>NOT(ISERROR(SEARCH("know location?",B281)))</formula>
    </cfRule>
    <cfRule type="containsText" dxfId="1113" priority="637" operator="containsText" text="relation?">
      <formula>NOT(ISERROR(SEARCH("relation?",B281)))</formula>
    </cfRule>
    <cfRule type="containsText" dxfId="1112" priority="638" operator="containsText" text="claims to know real culprit?">
      <formula>NOT(ISERROR(SEARCH("claims to know real culprit?",B281)))</formula>
    </cfRule>
    <cfRule type="containsText" dxfId="1111" priority="639" operator="containsText" text="charged as?">
      <formula>NOT(ISERROR(SEARCH("charged as?",B281)))</formula>
    </cfRule>
    <cfRule type="containsText" dxfId="1110" priority="640" operator="containsText" text="convicted as?">
      <formula>NOT(ISERROR(SEARCH("convicted as?",B281)))</formula>
    </cfRule>
    <cfRule type="containsText" dxfId="1109" priority="641" operator="containsText" text="NAME ">
      <formula>NOT(ISERROR(SEARCH("NAME ",B281)))</formula>
    </cfRule>
  </conditionalFormatting>
  <conditionalFormatting sqref="B283">
    <cfRule type="containsText" dxfId="1108" priority="286" operator="containsText" text="NAME ">
      <formula>NOT(ISERROR(SEARCH("NAME ",B283)))</formula>
    </cfRule>
  </conditionalFormatting>
  <conditionalFormatting sqref="B284">
    <cfRule type="containsText" dxfId="1107" priority="274" operator="containsText" text="relation?">
      <formula>NOT(ISERROR(SEARCH("relation?",B284)))</formula>
    </cfRule>
    <cfRule type="containsText" dxfId="1106" priority="275" operator="containsText" text="claims to know real culprit?">
      <formula>NOT(ISERROR(SEARCH("claims to know real culprit?",B284)))</formula>
    </cfRule>
    <cfRule type="containsText" dxfId="1105" priority="276" operator="containsText" text="charged as?">
      <formula>NOT(ISERROR(SEARCH("charged as?",B284)))</formula>
    </cfRule>
    <cfRule type="containsText" dxfId="1104" priority="277" operator="containsText" text="convicted as?">
      <formula>NOT(ISERROR(SEARCH("convicted as?",B284)))</formula>
    </cfRule>
    <cfRule type="containsText" dxfId="1103" priority="278" operator="containsText" text="NAME ">
      <formula>NOT(ISERROR(SEARCH("NAME ",B284)))</formula>
    </cfRule>
  </conditionalFormatting>
  <conditionalFormatting sqref="B285">
    <cfRule type="containsText" dxfId="1102" priority="287" operator="containsText" text="know location?">
      <formula>NOT(ISERROR(SEARCH("know location?",B285)))</formula>
    </cfRule>
    <cfRule type="containsText" dxfId="1101" priority="288" operator="containsText" text="relation?">
      <formula>NOT(ISERROR(SEARCH("relation?",B285)))</formula>
    </cfRule>
    <cfRule type="containsText" dxfId="1100" priority="289" operator="containsText" text="claims to know real culprit?">
      <formula>NOT(ISERROR(SEARCH("claims to know real culprit?",B285)))</formula>
    </cfRule>
    <cfRule type="containsText" dxfId="1099" priority="290" operator="containsText" text="charged as?">
      <formula>NOT(ISERROR(SEARCH("charged as?",B285)))</formula>
    </cfRule>
    <cfRule type="containsText" dxfId="1098" priority="291" operator="containsText" text="convicted as?">
      <formula>NOT(ISERROR(SEARCH("convicted as?",B285)))</formula>
    </cfRule>
    <cfRule type="containsText" dxfId="1097" priority="292" operator="containsText" text="NAME ">
      <formula>NOT(ISERROR(SEARCH("NAME ",B285)))</formula>
    </cfRule>
  </conditionalFormatting>
  <conditionalFormatting sqref="B287">
    <cfRule type="containsText" dxfId="1096" priority="267" operator="containsText" text="NAME ">
      <formula>NOT(ISERROR(SEARCH("NAME ",B287)))</formula>
    </cfRule>
  </conditionalFormatting>
  <conditionalFormatting sqref="B288">
    <cfRule type="containsText" dxfId="1095" priority="255" operator="containsText" text="relation?">
      <formula>NOT(ISERROR(SEARCH("relation?",B288)))</formula>
    </cfRule>
    <cfRule type="containsText" dxfId="1094" priority="256" operator="containsText" text="claims to know real culprit?">
      <formula>NOT(ISERROR(SEARCH("claims to know real culprit?",B288)))</formula>
    </cfRule>
    <cfRule type="containsText" dxfId="1093" priority="257" operator="containsText" text="charged as?">
      <formula>NOT(ISERROR(SEARCH("charged as?",B288)))</formula>
    </cfRule>
    <cfRule type="containsText" dxfId="1092" priority="258" operator="containsText" text="convicted as?">
      <formula>NOT(ISERROR(SEARCH("convicted as?",B288)))</formula>
    </cfRule>
    <cfRule type="containsText" dxfId="1091" priority="259" operator="containsText" text="NAME ">
      <formula>NOT(ISERROR(SEARCH("NAME ",B288)))</formula>
    </cfRule>
  </conditionalFormatting>
  <conditionalFormatting sqref="B289">
    <cfRule type="containsText" dxfId="1090" priority="268" operator="containsText" text="know location?">
      <formula>NOT(ISERROR(SEARCH("know location?",B289)))</formula>
    </cfRule>
    <cfRule type="containsText" dxfId="1089" priority="269" operator="containsText" text="relation?">
      <formula>NOT(ISERROR(SEARCH("relation?",B289)))</formula>
    </cfRule>
    <cfRule type="containsText" dxfId="1088" priority="270" operator="containsText" text="claims to know real culprit?">
      <formula>NOT(ISERROR(SEARCH("claims to know real culprit?",B289)))</formula>
    </cfRule>
    <cfRule type="containsText" dxfId="1087" priority="271" operator="containsText" text="charged as?">
      <formula>NOT(ISERROR(SEARCH("charged as?",B289)))</formula>
    </cfRule>
    <cfRule type="containsText" dxfId="1086" priority="272" operator="containsText" text="convicted as?">
      <formula>NOT(ISERROR(SEARCH("convicted as?",B289)))</formula>
    </cfRule>
    <cfRule type="containsText" dxfId="1085" priority="273" operator="containsText" text="NAME ">
      <formula>NOT(ISERROR(SEARCH("NAME ",B289)))</formula>
    </cfRule>
  </conditionalFormatting>
  <conditionalFormatting sqref="B291">
    <cfRule type="containsText" dxfId="1084" priority="248" operator="containsText" text="NAME ">
      <formula>NOT(ISERROR(SEARCH("NAME ",B291)))</formula>
    </cfRule>
  </conditionalFormatting>
  <conditionalFormatting sqref="B292">
    <cfRule type="containsText" dxfId="1083" priority="236" operator="containsText" text="relation?">
      <formula>NOT(ISERROR(SEARCH("relation?",B292)))</formula>
    </cfRule>
    <cfRule type="containsText" dxfId="1082" priority="237" operator="containsText" text="claims to know real culprit?">
      <formula>NOT(ISERROR(SEARCH("claims to know real culprit?",B292)))</formula>
    </cfRule>
    <cfRule type="containsText" dxfId="1081" priority="238" operator="containsText" text="charged as?">
      <formula>NOT(ISERROR(SEARCH("charged as?",B292)))</formula>
    </cfRule>
    <cfRule type="containsText" dxfId="1080" priority="239" operator="containsText" text="convicted as?">
      <formula>NOT(ISERROR(SEARCH("convicted as?",B292)))</formula>
    </cfRule>
    <cfRule type="containsText" dxfId="1079" priority="240" operator="containsText" text="NAME ">
      <formula>NOT(ISERROR(SEARCH("NAME ",B292)))</formula>
    </cfRule>
  </conditionalFormatting>
  <conditionalFormatting sqref="B293">
    <cfRule type="containsText" dxfId="1078" priority="249" operator="containsText" text="know location?">
      <formula>NOT(ISERROR(SEARCH("know location?",B293)))</formula>
    </cfRule>
    <cfRule type="containsText" dxfId="1077" priority="250" operator="containsText" text="relation?">
      <formula>NOT(ISERROR(SEARCH("relation?",B293)))</formula>
    </cfRule>
    <cfRule type="containsText" dxfId="1076" priority="251" operator="containsText" text="claims to know real culprit?">
      <formula>NOT(ISERROR(SEARCH("claims to know real culprit?",B293)))</formula>
    </cfRule>
    <cfRule type="containsText" dxfId="1075" priority="252" operator="containsText" text="charged as?">
      <formula>NOT(ISERROR(SEARCH("charged as?",B293)))</formula>
    </cfRule>
    <cfRule type="containsText" dxfId="1074" priority="253" operator="containsText" text="convicted as?">
      <formula>NOT(ISERROR(SEARCH("convicted as?",B293)))</formula>
    </cfRule>
    <cfRule type="containsText" dxfId="1073" priority="254" operator="containsText" text="NAME ">
      <formula>NOT(ISERROR(SEARCH("NAME ",B293)))</formula>
    </cfRule>
  </conditionalFormatting>
  <conditionalFormatting sqref="B295">
    <cfRule type="containsText" dxfId="1072" priority="229" operator="containsText" text="NAME ">
      <formula>NOT(ISERROR(SEARCH("NAME ",B295)))</formula>
    </cfRule>
  </conditionalFormatting>
  <conditionalFormatting sqref="B296">
    <cfRule type="containsText" dxfId="1071" priority="217" operator="containsText" text="relation?">
      <formula>NOT(ISERROR(SEARCH("relation?",B296)))</formula>
    </cfRule>
    <cfRule type="containsText" dxfId="1070" priority="218" operator="containsText" text="claims to know real culprit?">
      <formula>NOT(ISERROR(SEARCH("claims to know real culprit?",B296)))</formula>
    </cfRule>
    <cfRule type="containsText" dxfId="1069" priority="219" operator="containsText" text="charged as?">
      <formula>NOT(ISERROR(SEARCH("charged as?",B296)))</formula>
    </cfRule>
    <cfRule type="containsText" dxfId="1068" priority="220" operator="containsText" text="convicted as?">
      <formula>NOT(ISERROR(SEARCH("convicted as?",B296)))</formula>
    </cfRule>
    <cfRule type="containsText" dxfId="1067" priority="221" operator="containsText" text="NAME ">
      <formula>NOT(ISERROR(SEARCH("NAME ",B296)))</formula>
    </cfRule>
  </conditionalFormatting>
  <conditionalFormatting sqref="B297">
    <cfRule type="containsText" dxfId="1066" priority="230" operator="containsText" text="know location?">
      <formula>NOT(ISERROR(SEARCH("know location?",B297)))</formula>
    </cfRule>
    <cfRule type="containsText" dxfId="1065" priority="231" operator="containsText" text="relation?">
      <formula>NOT(ISERROR(SEARCH("relation?",B297)))</formula>
    </cfRule>
    <cfRule type="containsText" dxfId="1064" priority="232" operator="containsText" text="claims to know real culprit?">
      <formula>NOT(ISERROR(SEARCH("claims to know real culprit?",B297)))</formula>
    </cfRule>
    <cfRule type="containsText" dxfId="1063" priority="233" operator="containsText" text="charged as?">
      <formula>NOT(ISERROR(SEARCH("charged as?",B297)))</formula>
    </cfRule>
    <cfRule type="containsText" dxfId="1062" priority="234" operator="containsText" text="convicted as?">
      <formula>NOT(ISERROR(SEARCH("convicted as?",B297)))</formula>
    </cfRule>
    <cfRule type="containsText" dxfId="1061" priority="235" operator="containsText" text="NAME ">
      <formula>NOT(ISERROR(SEARCH("NAME ",B297)))</formula>
    </cfRule>
  </conditionalFormatting>
  <conditionalFormatting sqref="B299">
    <cfRule type="containsText" dxfId="1060" priority="210" operator="containsText" text="NAME ">
      <formula>NOT(ISERROR(SEARCH("NAME ",B299)))</formula>
    </cfRule>
  </conditionalFormatting>
  <conditionalFormatting sqref="B300">
    <cfRule type="containsText" dxfId="1059" priority="198" operator="containsText" text="relation?">
      <formula>NOT(ISERROR(SEARCH("relation?",B300)))</formula>
    </cfRule>
    <cfRule type="containsText" dxfId="1058" priority="199" operator="containsText" text="claims to know real culprit?">
      <formula>NOT(ISERROR(SEARCH("claims to know real culprit?",B300)))</formula>
    </cfRule>
    <cfRule type="containsText" dxfId="1057" priority="200" operator="containsText" text="charged as?">
      <formula>NOT(ISERROR(SEARCH("charged as?",B300)))</formula>
    </cfRule>
    <cfRule type="containsText" dxfId="1056" priority="201" operator="containsText" text="convicted as?">
      <formula>NOT(ISERROR(SEARCH("convicted as?",B300)))</formula>
    </cfRule>
    <cfRule type="containsText" dxfId="1055" priority="202" operator="containsText" text="NAME ">
      <formula>NOT(ISERROR(SEARCH("NAME ",B300)))</formula>
    </cfRule>
  </conditionalFormatting>
  <conditionalFormatting sqref="B301">
    <cfRule type="containsText" dxfId="1054" priority="211" operator="containsText" text="know location?">
      <formula>NOT(ISERROR(SEARCH("know location?",B301)))</formula>
    </cfRule>
    <cfRule type="containsText" dxfId="1053" priority="212" operator="containsText" text="relation?">
      <formula>NOT(ISERROR(SEARCH("relation?",B301)))</formula>
    </cfRule>
    <cfRule type="containsText" dxfId="1052" priority="213" operator="containsText" text="claims to know real culprit?">
      <formula>NOT(ISERROR(SEARCH("claims to know real culprit?",B301)))</formula>
    </cfRule>
    <cfRule type="containsText" dxfId="1051" priority="214" operator="containsText" text="charged as?">
      <formula>NOT(ISERROR(SEARCH("charged as?",B301)))</formula>
    </cfRule>
    <cfRule type="containsText" dxfId="1050" priority="215" operator="containsText" text="convicted as?">
      <formula>NOT(ISERROR(SEARCH("convicted as?",B301)))</formula>
    </cfRule>
    <cfRule type="containsText" dxfId="1049" priority="216" operator="containsText" text="NAME ">
      <formula>NOT(ISERROR(SEARCH("NAME ",B301)))</formula>
    </cfRule>
  </conditionalFormatting>
  <conditionalFormatting sqref="B364">
    <cfRule type="containsText" dxfId="1048" priority="737" operator="containsText" text="URL">
      <formula>NOT(ISERROR(SEARCH("URL",B364)))</formula>
    </cfRule>
  </conditionalFormatting>
  <conditionalFormatting sqref="B374">
    <cfRule type="containsText" dxfId="1047" priority="732" operator="containsText" text="URL">
      <formula>NOT(ISERROR(SEARCH("URL",B374)))</formula>
    </cfRule>
  </conditionalFormatting>
  <conditionalFormatting sqref="B384">
    <cfRule type="containsText" dxfId="1046" priority="734" operator="containsText" text="URL">
      <formula>NOT(ISERROR(SEARCH("URL",B384)))</formula>
    </cfRule>
  </conditionalFormatting>
  <conditionalFormatting sqref="B394">
    <cfRule type="containsText" dxfId="1045" priority="730" operator="containsText" text="URL">
      <formula>NOT(ISERROR(SEARCH("URL",B394)))</formula>
    </cfRule>
  </conditionalFormatting>
  <conditionalFormatting sqref="B404">
    <cfRule type="containsText" dxfId="1044" priority="725" operator="containsText" text="URL">
      <formula>NOT(ISERROR(SEARCH("URL",B404)))</formula>
    </cfRule>
  </conditionalFormatting>
  <conditionalFormatting sqref="B411">
    <cfRule type="containsText" dxfId="1043" priority="313" operator="containsText" text="URL">
      <formula>NOT(ISERROR(SEARCH("URL",B411)))</formula>
    </cfRule>
  </conditionalFormatting>
  <conditionalFormatting sqref="B414">
    <cfRule type="containsText" dxfId="1042" priority="720" operator="containsText" text="URL">
      <formula>NOT(ISERROR(SEARCH("URL",B414)))</formula>
    </cfRule>
  </conditionalFormatting>
  <conditionalFormatting sqref="B424">
    <cfRule type="containsText" dxfId="1041" priority="715" operator="containsText" text="URL">
      <formula>NOT(ISERROR(SEARCH("URL",B424)))</formula>
    </cfRule>
  </conditionalFormatting>
  <conditionalFormatting sqref="B434">
    <cfRule type="containsText" dxfId="1040" priority="710" operator="containsText" text="URL">
      <formula>NOT(ISERROR(SEARCH("URL",B434)))</formula>
    </cfRule>
  </conditionalFormatting>
  <conditionalFormatting sqref="B444">
    <cfRule type="containsText" dxfId="1039" priority="705" operator="containsText" text="URL">
      <formula>NOT(ISERROR(SEARCH("URL",B444)))</formula>
    </cfRule>
  </conditionalFormatting>
  <conditionalFormatting sqref="B454">
    <cfRule type="containsText" dxfId="1038" priority="701" operator="containsText" text="URL">
      <formula>NOT(ISERROR(SEARCH("URL",B454)))</formula>
    </cfRule>
  </conditionalFormatting>
  <conditionalFormatting sqref="B464">
    <cfRule type="containsText" dxfId="1037" priority="696" operator="containsText" text="URL">
      <formula>NOT(ISERROR(SEARCH("URL",B464)))</formula>
    </cfRule>
  </conditionalFormatting>
  <conditionalFormatting sqref="B474">
    <cfRule type="containsText" dxfId="1036" priority="691" operator="containsText" text="URL">
      <formula>NOT(ISERROR(SEARCH("URL",B474)))</formula>
    </cfRule>
  </conditionalFormatting>
  <conditionalFormatting sqref="B484">
    <cfRule type="containsText" dxfId="1035" priority="686" operator="containsText" text="URL">
      <formula>NOT(ISERROR(SEARCH("URL",B484)))</formula>
    </cfRule>
  </conditionalFormatting>
  <conditionalFormatting sqref="B494">
    <cfRule type="containsText" dxfId="1034" priority="681" operator="containsText" text="URL">
      <formula>NOT(ISERROR(SEARCH("URL",B494)))</formula>
    </cfRule>
  </conditionalFormatting>
  <conditionalFormatting sqref="B498:B499">
    <cfRule type="cellIs" dxfId="1033" priority="650" operator="equal">
      <formula>0</formula>
    </cfRule>
    <cfRule type="cellIs" dxfId="1032" priority="651" operator="greaterThan">
      <formula>0</formula>
    </cfRule>
  </conditionalFormatting>
  <conditionalFormatting sqref="B503">
    <cfRule type="containsText" dxfId="1031" priority="571" operator="containsText" text="Great!">
      <formula>NOT(ISERROR(SEARCH("Great!",B503)))</formula>
    </cfRule>
  </conditionalFormatting>
  <conditionalFormatting sqref="B504 B506 B516">
    <cfRule type="cellIs" dxfId="1030" priority="1118" operator="equal">
      <formula>$AK$516</formula>
    </cfRule>
    <cfRule type="cellIs" dxfId="1029" priority="1119" operator="equal">
      <formula>$AK$518</formula>
    </cfRule>
    <cfRule type="cellIs" dxfId="1028" priority="1120" operator="equal">
      <formula>$AK$517</formula>
    </cfRule>
  </conditionalFormatting>
  <conditionalFormatting sqref="B421:C421">
    <cfRule type="containsText" dxfId="1023" priority="717" operator="containsText" text="URL">
      <formula>NOT(ISERROR(SEARCH("URL",B421)))</formula>
    </cfRule>
  </conditionalFormatting>
  <conditionalFormatting sqref="B431:C431">
    <cfRule type="containsText" dxfId="1022" priority="712" operator="containsText" text="URL">
      <formula>NOT(ISERROR(SEARCH("URL",B431)))</formula>
    </cfRule>
  </conditionalFormatting>
  <conditionalFormatting sqref="B441:C441">
    <cfRule type="containsText" dxfId="1021" priority="707" operator="containsText" text="URL">
      <formula>NOT(ISERROR(SEARCH("URL",B441)))</formula>
    </cfRule>
  </conditionalFormatting>
  <conditionalFormatting sqref="B451:C451">
    <cfRule type="containsText" dxfId="1020" priority="703" operator="containsText" text="URL">
      <formula>NOT(ISERROR(SEARCH("URL",B451)))</formula>
    </cfRule>
  </conditionalFormatting>
  <conditionalFormatting sqref="B461:C461">
    <cfRule type="containsText" dxfId="1019" priority="698" operator="containsText" text="URL">
      <formula>NOT(ISERROR(SEARCH("URL",B461)))</formula>
    </cfRule>
  </conditionalFormatting>
  <conditionalFormatting sqref="B471:C471">
    <cfRule type="containsText" dxfId="1018" priority="693" operator="containsText" text="URL">
      <formula>NOT(ISERROR(SEARCH("URL",B471)))</formula>
    </cfRule>
  </conditionalFormatting>
  <conditionalFormatting sqref="B481:C481">
    <cfRule type="containsText" dxfId="1017" priority="688" operator="containsText" text="URL">
      <formula>NOT(ISERROR(SEARCH("URL",B481)))</formula>
    </cfRule>
  </conditionalFormatting>
  <conditionalFormatting sqref="B491:C491">
    <cfRule type="containsText" dxfId="1016" priority="683" operator="containsText" text="URL">
      <formula>NOT(ISERROR(SEARCH("URL",B491)))</formula>
    </cfRule>
  </conditionalFormatting>
  <conditionalFormatting sqref="B15:D15">
    <cfRule type="containsText" dxfId="1012" priority="14" operator="containsText" text=".">
      <formula>NOT(ISERROR(SEARCH(".",B15)))</formula>
    </cfRule>
  </conditionalFormatting>
  <conditionalFormatting sqref="B16:D21">
    <cfRule type="containsText" dxfId="1009" priority="10" operator="containsText" text=".">
      <formula>NOT(ISERROR(SEARCH(".",B16)))</formula>
    </cfRule>
    <cfRule type="containsText" dxfId="1008" priority="13" operator="containsText" text=".">
      <formula>NOT(ISERROR(SEARCH(".",B16)))</formula>
    </cfRule>
  </conditionalFormatting>
  <conditionalFormatting sqref="B78:D78">
    <cfRule type="containsText" dxfId="1006" priority="353" operator="containsText" text="FLIPSIDE">
      <formula>NOT(ISERROR(SEARCH("FLIPSIDE",B78)))</formula>
    </cfRule>
  </conditionalFormatting>
  <conditionalFormatting sqref="B83:D83">
    <cfRule type="cellIs" dxfId="1005" priority="611" operator="equal">
      <formula>$AG$83</formula>
    </cfRule>
  </conditionalFormatting>
  <conditionalFormatting sqref="B96:D96">
    <cfRule type="containsText" dxfId="1004" priority="609" operator="containsText" text="being">
      <formula>NOT(ISERROR(SEARCH("being",B96)))</formula>
    </cfRule>
  </conditionalFormatting>
  <conditionalFormatting sqref="B99:D99">
    <cfRule type="containsText" dxfId="1003" priority="608" operator="containsText" text="from">
      <formula>NOT(ISERROR(SEARCH("from",B99)))</formula>
    </cfRule>
  </conditionalFormatting>
  <conditionalFormatting sqref="B102:D102">
    <cfRule type="containsText" dxfId="1002" priority="607" operator="containsText" text="and other">
      <formula>NOT(ISERROR(SEARCH("and other",B102)))</formula>
    </cfRule>
  </conditionalFormatting>
  <conditionalFormatting sqref="B106:D106">
    <cfRule type="containsText" dxfId="1001" priority="605" operator="containsText" text="background check">
      <formula>NOT(ISERROR(SEARCH("background check",B106)))</formula>
    </cfRule>
    <cfRule type="containsText" dxfId="1000" priority="606" operator="containsText" text="and other">
      <formula>NOT(ISERROR(SEARCH("and other",B106)))</formula>
    </cfRule>
  </conditionalFormatting>
  <conditionalFormatting sqref="B113:D113">
    <cfRule type="notContainsText" dxfId="997" priority="352" operator="notContains" text="claimant">
      <formula>ISERROR(SEARCH("claimant",B113))</formula>
    </cfRule>
  </conditionalFormatting>
  <conditionalFormatting sqref="B316:D318">
    <cfRule type="cellIs" dxfId="996" priority="642" operator="greaterThan">
      <formula>0</formula>
    </cfRule>
  </conditionalFormatting>
  <conditionalFormatting sqref="B2360:E2360">
    <cfRule type="containsText" dxfId="993" priority="177" operator="containsText" text="LEGITIMACY">
      <formula>NOT(ISERROR(SEARCH("LEGITIMACY",B2360)))</formula>
    </cfRule>
  </conditionalFormatting>
  <conditionalFormatting sqref="B2449:E2449">
    <cfRule type="containsText" dxfId="987" priority="176" operator="containsText" text="LEGITIMACY">
      <formula>NOT(ISERROR(SEARCH("LEGITIMACY",B2449)))</formula>
    </cfRule>
  </conditionalFormatting>
  <conditionalFormatting sqref="C57">
    <cfRule type="containsText" dxfId="986" priority="598" operator="containsText" text="FIRST NAME">
      <formula>NOT(ISERROR(SEARCH("FIRST NAME",C57)))</formula>
    </cfRule>
  </conditionalFormatting>
  <conditionalFormatting sqref="C58">
    <cfRule type="notContainsText" dxfId="985" priority="596" operator="notContains" text="@">
      <formula>ISERROR(SEARCH("@",C58))</formula>
    </cfRule>
  </conditionalFormatting>
  <conditionalFormatting sqref="C60">
    <cfRule type="containsText" dxfId="984" priority="597" operator="containsText" text="FIRST NAME">
      <formula>NOT(ISERROR(SEARCH("FIRST NAME",C60)))</formula>
    </cfRule>
  </conditionalFormatting>
  <conditionalFormatting sqref="C61">
    <cfRule type="notContainsText" dxfId="983" priority="595" operator="notContains" text="@">
      <formula>ISERROR(SEARCH("@",C61))</formula>
    </cfRule>
  </conditionalFormatting>
  <conditionalFormatting sqref="C75">
    <cfRule type="containsText" dxfId="982" priority="343" operator="containsText" text="Hightlight">
      <formula>NOT(ISERROR(SEARCH("Hightlight",C75)))</formula>
    </cfRule>
    <cfRule type="containsText" dxfId="981" priority="344" operator="containsText" text="Highlight">
      <formula>NOT(ISERROR(SEARCH("Highlight",C75)))</formula>
    </cfRule>
  </conditionalFormatting>
  <conditionalFormatting sqref="C202">
    <cfRule type="containsText" dxfId="980" priority="7" operator="containsText" text="FIRST NAME">
      <formula>NOT(ISERROR(SEARCH("FIRST NAME",C202)))</formula>
    </cfRule>
  </conditionalFormatting>
  <conditionalFormatting sqref="C204">
    <cfRule type="cellIs" dxfId="979" priority="5" operator="equal">
      <formula>"YYYY-MM-DD"</formula>
    </cfRule>
  </conditionalFormatting>
  <conditionalFormatting sqref="C206">
    <cfRule type="cellIs" dxfId="978" priority="4" operator="equal">
      <formula>"YYYY-MM-DD"</formula>
    </cfRule>
  </conditionalFormatting>
  <conditionalFormatting sqref="C208">
    <cfRule type="cellIs" dxfId="977" priority="643" operator="equal">
      <formula>"YYYY-MM-DD"</formula>
    </cfRule>
  </conditionalFormatting>
  <conditionalFormatting sqref="C212">
    <cfRule type="containsText" dxfId="976" priority="197" operator="containsText" text="FIRST NAME">
      <formula>NOT(ISERROR(SEARCH("FIRST NAME",C212)))</formula>
    </cfRule>
  </conditionalFormatting>
  <conditionalFormatting sqref="C214">
    <cfRule type="cellIs" dxfId="975" priority="339" operator="equal">
      <formula>"YYYY-MM-DD"</formula>
    </cfRule>
  </conditionalFormatting>
  <conditionalFormatting sqref="C391">
    <cfRule type="containsText" dxfId="974" priority="739" operator="containsText" text="URL">
      <formula>NOT(ISERROR(SEARCH("URL",C391)))</formula>
    </cfRule>
    <cfRule type="containsText" dxfId="973" priority="741" operator="containsText" text="URL">
      <formula>NOT(ISERROR(SEARCH("URL",C391)))</formula>
    </cfRule>
  </conditionalFormatting>
  <conditionalFormatting sqref="C401">
    <cfRule type="containsText" dxfId="972" priority="727" operator="containsText" text="URL">
      <formula>NOT(ISERROR(SEARCH("URL",C401)))</formula>
    </cfRule>
    <cfRule type="containsText" dxfId="971" priority="728" operator="containsText" text="URL">
      <formula>NOT(ISERROR(SEARCH("URL",C401)))</formula>
    </cfRule>
  </conditionalFormatting>
  <conditionalFormatting sqref="C411">
    <cfRule type="containsText" dxfId="970" priority="722" operator="containsText" text="URL">
      <formula>NOT(ISERROR(SEARCH("URL",C411)))</formula>
    </cfRule>
    <cfRule type="containsText" dxfId="969" priority="723" operator="containsText" text="URL">
      <formula>NOT(ISERROR(SEARCH("URL",C411)))</formula>
    </cfRule>
  </conditionalFormatting>
  <conditionalFormatting sqref="C421">
    <cfRule type="containsText" dxfId="968" priority="718" operator="containsText" text="URL">
      <formula>NOT(ISERROR(SEARCH("URL",C421)))</formula>
    </cfRule>
  </conditionalFormatting>
  <conditionalFormatting sqref="C431">
    <cfRule type="containsText" dxfId="967" priority="713" operator="containsText" text="URL">
      <formula>NOT(ISERROR(SEARCH("URL",C431)))</formula>
    </cfRule>
  </conditionalFormatting>
  <conditionalFormatting sqref="C441">
    <cfRule type="containsText" dxfId="966" priority="708" operator="containsText" text="URL">
      <formula>NOT(ISERROR(SEARCH("URL",C441)))</formula>
    </cfRule>
  </conditionalFormatting>
  <conditionalFormatting sqref="C451">
    <cfRule type="containsText" dxfId="965" priority="704" operator="containsText" text="URL">
      <formula>NOT(ISERROR(SEARCH("URL",C451)))</formula>
    </cfRule>
  </conditionalFormatting>
  <conditionalFormatting sqref="C461">
    <cfRule type="containsText" dxfId="964" priority="699" operator="containsText" text="URL">
      <formula>NOT(ISERROR(SEARCH("URL",C461)))</formula>
    </cfRule>
  </conditionalFormatting>
  <conditionalFormatting sqref="C471">
    <cfRule type="containsText" dxfId="963" priority="694" operator="containsText" text="URL">
      <formula>NOT(ISERROR(SEARCH("URL",C471)))</formula>
    </cfRule>
  </conditionalFormatting>
  <conditionalFormatting sqref="C481">
    <cfRule type="containsText" dxfId="962" priority="689" operator="containsText" text="URL">
      <formula>NOT(ISERROR(SEARCH("URL",C481)))</formula>
    </cfRule>
  </conditionalFormatting>
  <conditionalFormatting sqref="C491">
    <cfRule type="containsText" dxfId="961" priority="684" operator="containsText" text="URL">
      <formula>NOT(ISERROR(SEARCH("URL",C491)))</formula>
    </cfRule>
  </conditionalFormatting>
  <conditionalFormatting sqref="C498">
    <cfRule type="cellIs" dxfId="960" priority="649" operator="equal">
      <formula>0</formula>
    </cfRule>
  </conditionalFormatting>
  <conditionalFormatting sqref="C990">
    <cfRule type="cellIs" dxfId="959" priority="634" operator="equal">
      <formula>AD990</formula>
    </cfRule>
  </conditionalFormatting>
  <conditionalFormatting sqref="C995">
    <cfRule type="cellIs" dxfId="958" priority="633" operator="equal">
      <formula>AD995</formula>
    </cfRule>
  </conditionalFormatting>
  <conditionalFormatting sqref="C1000">
    <cfRule type="cellIs" dxfId="957" priority="632" operator="equal">
      <formula>AD1000</formula>
    </cfRule>
  </conditionalFormatting>
  <conditionalFormatting sqref="C1005">
    <cfRule type="cellIs" dxfId="956" priority="631" operator="equal">
      <formula>AD1005</formula>
    </cfRule>
  </conditionalFormatting>
  <conditionalFormatting sqref="C1010">
    <cfRule type="cellIs" dxfId="955" priority="630" operator="equal">
      <formula>AD1010</formula>
    </cfRule>
  </conditionalFormatting>
  <conditionalFormatting sqref="C1015">
    <cfRule type="cellIs" dxfId="954" priority="629" operator="equal">
      <formula>AD1015</formula>
    </cfRule>
  </conditionalFormatting>
  <conditionalFormatting sqref="C1020">
    <cfRule type="cellIs" dxfId="953" priority="628" operator="equal">
      <formula>AD1020</formula>
    </cfRule>
  </conditionalFormatting>
  <conditionalFormatting sqref="C1025">
    <cfRule type="cellIs" dxfId="952" priority="627" operator="equal">
      <formula>AD1025</formula>
    </cfRule>
  </conditionalFormatting>
  <conditionalFormatting sqref="C1030">
    <cfRule type="cellIs" dxfId="951" priority="626" operator="equal">
      <formula>AD1030</formula>
    </cfRule>
  </conditionalFormatting>
  <conditionalFormatting sqref="C1035">
    <cfRule type="cellIs" dxfId="950" priority="625" operator="equal">
      <formula>AD1035</formula>
    </cfRule>
  </conditionalFormatting>
  <conditionalFormatting sqref="C1040">
    <cfRule type="cellIs" dxfId="949" priority="624" operator="equal">
      <formula>AD1040</formula>
    </cfRule>
  </conditionalFormatting>
  <conditionalFormatting sqref="C1045">
    <cfRule type="cellIs" dxfId="948" priority="623" operator="equal">
      <formula>AD1045</formula>
    </cfRule>
  </conditionalFormatting>
  <conditionalFormatting sqref="C1050">
    <cfRule type="cellIs" dxfId="947" priority="622" operator="equal">
      <formula>AD1050</formula>
    </cfRule>
  </conditionalFormatting>
  <conditionalFormatting sqref="C1055">
    <cfRule type="cellIs" dxfId="946" priority="621" operator="equal">
      <formula>AD1055</formula>
    </cfRule>
  </conditionalFormatting>
  <conditionalFormatting sqref="C1060">
    <cfRule type="cellIs" dxfId="945" priority="620" operator="equal">
      <formula>AD1060</formula>
    </cfRule>
  </conditionalFormatting>
  <conditionalFormatting sqref="C1065">
    <cfRule type="cellIs" dxfId="944" priority="619" operator="equal">
      <formula>AD1065</formula>
    </cfRule>
  </conditionalFormatting>
  <conditionalFormatting sqref="C1070">
    <cfRule type="cellIs" dxfId="943" priority="618" operator="equal">
      <formula>AD1070</formula>
    </cfRule>
  </conditionalFormatting>
  <conditionalFormatting sqref="C1075">
    <cfRule type="cellIs" dxfId="942" priority="617" operator="equal">
      <formula>AD1075</formula>
    </cfRule>
  </conditionalFormatting>
  <conditionalFormatting sqref="C1080">
    <cfRule type="cellIs" dxfId="941" priority="616" operator="equal">
      <formula>AD1080</formula>
    </cfRule>
  </conditionalFormatting>
  <conditionalFormatting sqref="C1085">
    <cfRule type="cellIs" dxfId="940" priority="615" operator="equal">
      <formula>AD1085</formula>
    </cfRule>
  </conditionalFormatting>
  <conditionalFormatting sqref="C1090">
    <cfRule type="cellIs" dxfId="939" priority="614" operator="equal">
      <formula>AD1090</formula>
    </cfRule>
  </conditionalFormatting>
  <conditionalFormatting sqref="C1129">
    <cfRule type="cellIs" dxfId="938" priority="332" operator="equal">
      <formula>$AG$1129</formula>
    </cfRule>
  </conditionalFormatting>
  <conditionalFormatting sqref="C1159">
    <cfRule type="cellIs" dxfId="937" priority="338" operator="between">
      <formula>0</formula>
      <formula>1</formula>
    </cfRule>
  </conditionalFormatting>
  <conditionalFormatting sqref="C1357">
    <cfRule type="cellIs" dxfId="936" priority="1121" operator="equal">
      <formula>$AM$1357</formula>
    </cfRule>
  </conditionalFormatting>
  <conditionalFormatting sqref="C1361">
    <cfRule type="timePeriod" dxfId="935" priority="566" timePeriod="lastWeek">
      <formula>AND(TODAY()-ROUNDDOWN(C1361,0)&gt;=(WEEKDAY(TODAY())),TODAY()-ROUNDDOWN(C1361,0)&lt;(WEEKDAY(TODAY())+7))</formula>
    </cfRule>
    <cfRule type="timePeriod" dxfId="934" priority="568" timePeriod="lastMonth">
      <formula>AND(MONTH(C1361)=MONTH(EDATE(TODAY(),0-1)),YEAR(C1361)=YEAR(EDATE(TODAY(),0-1)))</formula>
    </cfRule>
    <cfRule type="cellIs" dxfId="933" priority="570" operator="equal">
      <formula>$AM$1361</formula>
    </cfRule>
  </conditionalFormatting>
  <conditionalFormatting sqref="C1367">
    <cfRule type="cellIs" dxfId="932" priority="341" operator="equal">
      <formula>$AM$1357</formula>
    </cfRule>
  </conditionalFormatting>
  <conditionalFormatting sqref="C1371">
    <cfRule type="timePeriod" dxfId="931" priority="558" timePeriod="lastWeek">
      <formula>AND(TODAY()-ROUNDDOWN(C1371,0)&gt;=(WEEKDAY(TODAY())),TODAY()-ROUNDDOWN(C1371,0)&lt;(WEEKDAY(TODAY())+7))</formula>
    </cfRule>
    <cfRule type="timePeriod" dxfId="930" priority="560" timePeriod="lastMonth">
      <formula>AND(MONTH(C1371)=MONTH(EDATE(TODAY(),0-1)),YEAR(C1371)=YEAR(EDATE(TODAY(),0-1)))</formula>
    </cfRule>
    <cfRule type="cellIs" dxfId="929" priority="562" operator="equal">
      <formula>$AM$1361</formula>
    </cfRule>
  </conditionalFormatting>
  <conditionalFormatting sqref="C1377">
    <cfRule type="cellIs" dxfId="928" priority="555" operator="equal">
      <formula>$AM$1357</formula>
    </cfRule>
  </conditionalFormatting>
  <conditionalFormatting sqref="C1381">
    <cfRule type="timePeriod" dxfId="927" priority="550" timePeriod="lastWeek">
      <formula>AND(TODAY()-ROUNDDOWN(C1381,0)&gt;=(WEEKDAY(TODAY())),TODAY()-ROUNDDOWN(C1381,0)&lt;(WEEKDAY(TODAY())+7))</formula>
    </cfRule>
    <cfRule type="timePeriod" dxfId="926" priority="552" timePeriod="lastMonth">
      <formula>AND(MONTH(C1381)=MONTH(EDATE(TODAY(),0-1)),YEAR(C1381)=YEAR(EDATE(TODAY(),0-1)))</formula>
    </cfRule>
    <cfRule type="cellIs" dxfId="925" priority="554" operator="equal">
      <formula>$AM$1361</formula>
    </cfRule>
  </conditionalFormatting>
  <conditionalFormatting sqref="C1387">
    <cfRule type="cellIs" dxfId="924" priority="547" operator="equal">
      <formula>$AM$1357</formula>
    </cfRule>
  </conditionalFormatting>
  <conditionalFormatting sqref="C1391">
    <cfRule type="timePeriod" dxfId="923" priority="542" timePeriod="lastWeek">
      <formula>AND(TODAY()-ROUNDDOWN(C1391,0)&gt;=(WEEKDAY(TODAY())),TODAY()-ROUNDDOWN(C1391,0)&lt;(WEEKDAY(TODAY())+7))</formula>
    </cfRule>
    <cfRule type="timePeriod" dxfId="922" priority="544" timePeriod="lastMonth">
      <formula>AND(MONTH(C1391)=MONTH(EDATE(TODAY(),0-1)),YEAR(C1391)=YEAR(EDATE(TODAY(),0-1)))</formula>
    </cfRule>
    <cfRule type="cellIs" dxfId="921" priority="546" operator="equal">
      <formula>$AM$1361</formula>
    </cfRule>
  </conditionalFormatting>
  <conditionalFormatting sqref="C1397">
    <cfRule type="cellIs" dxfId="920" priority="539" operator="equal">
      <formula>$AM$1357</formula>
    </cfRule>
  </conditionalFormatting>
  <conditionalFormatting sqref="C1401">
    <cfRule type="timePeriod" dxfId="919" priority="534" timePeriod="lastWeek">
      <formula>AND(TODAY()-ROUNDDOWN(C1401,0)&gt;=(WEEKDAY(TODAY())),TODAY()-ROUNDDOWN(C1401,0)&lt;(WEEKDAY(TODAY())+7))</formula>
    </cfRule>
    <cfRule type="timePeriod" dxfId="918" priority="536" timePeriod="lastMonth">
      <formula>AND(MONTH(C1401)=MONTH(EDATE(TODAY(),0-1)),YEAR(C1401)=YEAR(EDATE(TODAY(),0-1)))</formula>
    </cfRule>
    <cfRule type="cellIs" dxfId="917" priority="538" operator="equal">
      <formula>$AM$1361</formula>
    </cfRule>
  </conditionalFormatting>
  <conditionalFormatting sqref="C1407">
    <cfRule type="cellIs" dxfId="916" priority="530" operator="equal">
      <formula>$AM$1357</formula>
    </cfRule>
  </conditionalFormatting>
  <conditionalFormatting sqref="C1411">
    <cfRule type="timePeriod" dxfId="915" priority="525" timePeriod="lastWeek">
      <formula>AND(TODAY()-ROUNDDOWN(C1411,0)&gt;=(WEEKDAY(TODAY())),TODAY()-ROUNDDOWN(C1411,0)&lt;(WEEKDAY(TODAY())+7))</formula>
    </cfRule>
    <cfRule type="timePeriod" dxfId="914" priority="527" timePeriod="lastMonth">
      <formula>AND(MONTH(C1411)=MONTH(EDATE(TODAY(),0-1)),YEAR(C1411)=YEAR(EDATE(TODAY(),0-1)))</formula>
    </cfRule>
    <cfRule type="cellIs" dxfId="913" priority="529" operator="equal">
      <formula>$AM$1361</formula>
    </cfRule>
  </conditionalFormatting>
  <conditionalFormatting sqref="C1417">
    <cfRule type="cellIs" dxfId="912" priority="522" operator="equal">
      <formula>$AM$1357</formula>
    </cfRule>
  </conditionalFormatting>
  <conditionalFormatting sqref="C1421">
    <cfRule type="timePeriod" dxfId="911" priority="517" timePeriod="lastWeek">
      <formula>AND(TODAY()-ROUNDDOWN(C1421,0)&gt;=(WEEKDAY(TODAY())),TODAY()-ROUNDDOWN(C1421,0)&lt;(WEEKDAY(TODAY())+7))</formula>
    </cfRule>
    <cfRule type="timePeriod" dxfId="910" priority="519" timePeriod="lastMonth">
      <formula>AND(MONTH(C1421)=MONTH(EDATE(TODAY(),0-1)),YEAR(C1421)=YEAR(EDATE(TODAY(),0-1)))</formula>
    </cfRule>
    <cfRule type="cellIs" dxfId="909" priority="521" operator="equal">
      <formula>$AM$1361</formula>
    </cfRule>
  </conditionalFormatting>
  <conditionalFormatting sqref="C1427">
    <cfRule type="cellIs" dxfId="908" priority="514" operator="equal">
      <formula>$AM$1357</formula>
    </cfRule>
  </conditionalFormatting>
  <conditionalFormatting sqref="C1431">
    <cfRule type="timePeriod" dxfId="907" priority="509" timePeriod="lastWeek">
      <formula>AND(TODAY()-ROUNDDOWN(C1431,0)&gt;=(WEEKDAY(TODAY())),TODAY()-ROUNDDOWN(C1431,0)&lt;(WEEKDAY(TODAY())+7))</formula>
    </cfRule>
    <cfRule type="timePeriod" dxfId="906" priority="511" timePeriod="lastMonth">
      <formula>AND(MONTH(C1431)=MONTH(EDATE(TODAY(),0-1)),YEAR(C1431)=YEAR(EDATE(TODAY(),0-1)))</formula>
    </cfRule>
    <cfRule type="cellIs" dxfId="905" priority="513" operator="equal">
      <formula>$AM$1361</formula>
    </cfRule>
  </conditionalFormatting>
  <conditionalFormatting sqref="C1437">
    <cfRule type="cellIs" dxfId="904" priority="506" operator="equal">
      <formula>$AM$1357</formula>
    </cfRule>
  </conditionalFormatting>
  <conditionalFormatting sqref="C1441">
    <cfRule type="timePeriod" dxfId="903" priority="501" timePeriod="lastWeek">
      <formula>AND(TODAY()-ROUNDDOWN(C1441,0)&gt;=(WEEKDAY(TODAY())),TODAY()-ROUNDDOWN(C1441,0)&lt;(WEEKDAY(TODAY())+7))</formula>
    </cfRule>
    <cfRule type="timePeriod" dxfId="902" priority="503" timePeriod="lastMonth">
      <formula>AND(MONTH(C1441)=MONTH(EDATE(TODAY(),0-1)),YEAR(C1441)=YEAR(EDATE(TODAY(),0-1)))</formula>
    </cfRule>
    <cfRule type="cellIs" dxfId="901" priority="505" operator="equal">
      <formula>$AM$1361</formula>
    </cfRule>
  </conditionalFormatting>
  <conditionalFormatting sqref="C1447">
    <cfRule type="cellIs" dxfId="900" priority="498" operator="equal">
      <formula>$AM$1357</formula>
    </cfRule>
  </conditionalFormatting>
  <conditionalFormatting sqref="C1451">
    <cfRule type="timePeriod" dxfId="899" priority="493" timePeriod="lastWeek">
      <formula>AND(TODAY()-ROUNDDOWN(C1451,0)&gt;=(WEEKDAY(TODAY())),TODAY()-ROUNDDOWN(C1451,0)&lt;(WEEKDAY(TODAY())+7))</formula>
    </cfRule>
    <cfRule type="timePeriod" dxfId="898" priority="495" timePeriod="lastMonth">
      <formula>AND(MONTH(C1451)=MONTH(EDATE(TODAY(),0-1)),YEAR(C1451)=YEAR(EDATE(TODAY(),0-1)))</formula>
    </cfRule>
    <cfRule type="cellIs" dxfId="897" priority="497" operator="equal">
      <formula>$AM$1361</formula>
    </cfRule>
  </conditionalFormatting>
  <conditionalFormatting sqref="C1457">
    <cfRule type="cellIs" dxfId="896" priority="490" operator="equal">
      <formula>$AM$1357</formula>
    </cfRule>
  </conditionalFormatting>
  <conditionalFormatting sqref="C1461">
    <cfRule type="timePeriod" dxfId="895" priority="485" timePeriod="lastWeek">
      <formula>AND(TODAY()-ROUNDDOWN(C1461,0)&gt;=(WEEKDAY(TODAY())),TODAY()-ROUNDDOWN(C1461,0)&lt;(WEEKDAY(TODAY())+7))</formula>
    </cfRule>
    <cfRule type="timePeriod" dxfId="894" priority="487" timePeriod="lastMonth">
      <formula>AND(MONTH(C1461)=MONTH(EDATE(TODAY(),0-1)),YEAR(C1461)=YEAR(EDATE(TODAY(),0-1)))</formula>
    </cfRule>
    <cfRule type="cellIs" dxfId="893" priority="489" operator="equal">
      <formula>$AM$1361</formula>
    </cfRule>
  </conditionalFormatting>
  <conditionalFormatting sqref="C1467">
    <cfRule type="cellIs" dxfId="892" priority="482" operator="equal">
      <formula>$AM$1357</formula>
    </cfRule>
  </conditionalFormatting>
  <conditionalFormatting sqref="C1471">
    <cfRule type="timePeriod" dxfId="891" priority="477" timePeriod="lastWeek">
      <formula>AND(TODAY()-ROUNDDOWN(C1471,0)&gt;=(WEEKDAY(TODAY())),TODAY()-ROUNDDOWN(C1471,0)&lt;(WEEKDAY(TODAY())+7))</formula>
    </cfRule>
    <cfRule type="timePeriod" dxfId="890" priority="479" timePeriod="lastMonth">
      <formula>AND(MONTH(C1471)=MONTH(EDATE(TODAY(),0-1)),YEAR(C1471)=YEAR(EDATE(TODAY(),0-1)))</formula>
    </cfRule>
    <cfRule type="cellIs" dxfId="889" priority="481" operator="equal">
      <formula>$AM$1361</formula>
    </cfRule>
  </conditionalFormatting>
  <conditionalFormatting sqref="C1477">
    <cfRule type="cellIs" dxfId="888" priority="474" operator="equal">
      <formula>$AM$1357</formula>
    </cfRule>
  </conditionalFormatting>
  <conditionalFormatting sqref="C1481">
    <cfRule type="timePeriod" dxfId="887" priority="469" timePeriod="lastWeek">
      <formula>AND(TODAY()-ROUNDDOWN(C1481,0)&gt;=(WEEKDAY(TODAY())),TODAY()-ROUNDDOWN(C1481,0)&lt;(WEEKDAY(TODAY())+7))</formula>
    </cfRule>
    <cfRule type="timePeriod" dxfId="886" priority="471" timePeriod="lastMonth">
      <formula>AND(MONTH(C1481)=MONTH(EDATE(TODAY(),0-1)),YEAR(C1481)=YEAR(EDATE(TODAY(),0-1)))</formula>
    </cfRule>
    <cfRule type="cellIs" dxfId="885" priority="473" operator="equal">
      <formula>$AM$1361</formula>
    </cfRule>
  </conditionalFormatting>
  <conditionalFormatting sqref="C1487">
    <cfRule type="cellIs" dxfId="884" priority="466" operator="equal">
      <formula>$AM$1357</formula>
    </cfRule>
  </conditionalFormatting>
  <conditionalFormatting sqref="C1491">
    <cfRule type="timePeriod" dxfId="883" priority="461" timePeriod="lastWeek">
      <formula>AND(TODAY()-ROUNDDOWN(C1491,0)&gt;=(WEEKDAY(TODAY())),TODAY()-ROUNDDOWN(C1491,0)&lt;(WEEKDAY(TODAY())+7))</formula>
    </cfRule>
    <cfRule type="timePeriod" dxfId="882" priority="463" timePeriod="lastMonth">
      <formula>AND(MONTH(C1491)=MONTH(EDATE(TODAY(),0-1)),YEAR(C1491)=YEAR(EDATE(TODAY(),0-1)))</formula>
    </cfRule>
    <cfRule type="cellIs" dxfId="881" priority="465" operator="equal">
      <formula>$AM$1361</formula>
    </cfRule>
  </conditionalFormatting>
  <conditionalFormatting sqref="C1497">
    <cfRule type="cellIs" dxfId="880" priority="458" operator="equal">
      <formula>$AM$1357</formula>
    </cfRule>
  </conditionalFormatting>
  <conditionalFormatting sqref="C1501">
    <cfRule type="timePeriod" dxfId="879" priority="453" timePeriod="lastWeek">
      <formula>AND(TODAY()-ROUNDDOWN(C1501,0)&gt;=(WEEKDAY(TODAY())),TODAY()-ROUNDDOWN(C1501,0)&lt;(WEEKDAY(TODAY())+7))</formula>
    </cfRule>
    <cfRule type="timePeriod" dxfId="878" priority="455" timePeriod="lastMonth">
      <formula>AND(MONTH(C1501)=MONTH(EDATE(TODAY(),0-1)),YEAR(C1501)=YEAR(EDATE(TODAY(),0-1)))</formula>
    </cfRule>
    <cfRule type="cellIs" dxfId="877" priority="457" operator="equal">
      <formula>$AM$1361</formula>
    </cfRule>
  </conditionalFormatting>
  <conditionalFormatting sqref="C1507">
    <cfRule type="cellIs" dxfId="876" priority="450" operator="equal">
      <formula>$AM$1357</formula>
    </cfRule>
  </conditionalFormatting>
  <conditionalFormatting sqref="C1511">
    <cfRule type="timePeriod" dxfId="875" priority="445" timePeriod="lastWeek">
      <formula>AND(TODAY()-ROUNDDOWN(C1511,0)&gt;=(WEEKDAY(TODAY())),TODAY()-ROUNDDOWN(C1511,0)&lt;(WEEKDAY(TODAY())+7))</formula>
    </cfRule>
    <cfRule type="timePeriod" dxfId="874" priority="447" timePeriod="lastMonth">
      <formula>AND(MONTH(C1511)=MONTH(EDATE(TODAY(),0-1)),YEAR(C1511)=YEAR(EDATE(TODAY(),0-1)))</formula>
    </cfRule>
    <cfRule type="cellIs" dxfId="873" priority="449" operator="equal">
      <formula>$AM$1361</formula>
    </cfRule>
  </conditionalFormatting>
  <conditionalFormatting sqref="C1517">
    <cfRule type="cellIs" dxfId="872" priority="442" operator="equal">
      <formula>$AM$1357</formula>
    </cfRule>
  </conditionalFormatting>
  <conditionalFormatting sqref="C1521">
    <cfRule type="timePeriod" dxfId="871" priority="437" timePeriod="lastWeek">
      <formula>AND(TODAY()-ROUNDDOWN(C1521,0)&gt;=(WEEKDAY(TODAY())),TODAY()-ROUNDDOWN(C1521,0)&lt;(WEEKDAY(TODAY())+7))</formula>
    </cfRule>
    <cfRule type="timePeriod" dxfId="870" priority="439" timePeriod="lastMonth">
      <formula>AND(MONTH(C1521)=MONTH(EDATE(TODAY(),0-1)),YEAR(C1521)=YEAR(EDATE(TODAY(),0-1)))</formula>
    </cfRule>
    <cfRule type="cellIs" dxfId="869" priority="441" operator="equal">
      <formula>$AM$1361</formula>
    </cfRule>
  </conditionalFormatting>
  <conditionalFormatting sqref="C1527">
    <cfRule type="cellIs" dxfId="868" priority="434" operator="equal">
      <formula>$AM$1357</formula>
    </cfRule>
  </conditionalFormatting>
  <conditionalFormatting sqref="C1531">
    <cfRule type="timePeriod" dxfId="867" priority="429" timePeriod="lastWeek">
      <formula>AND(TODAY()-ROUNDDOWN(C1531,0)&gt;=(WEEKDAY(TODAY())),TODAY()-ROUNDDOWN(C1531,0)&lt;(WEEKDAY(TODAY())+7))</formula>
    </cfRule>
    <cfRule type="timePeriod" dxfId="866" priority="431" timePeriod="lastMonth">
      <formula>AND(MONTH(C1531)=MONTH(EDATE(TODAY(),0-1)),YEAR(C1531)=YEAR(EDATE(TODAY(),0-1)))</formula>
    </cfRule>
    <cfRule type="cellIs" dxfId="865" priority="433" operator="equal">
      <formula>$AM$1361</formula>
    </cfRule>
  </conditionalFormatting>
  <conditionalFormatting sqref="C1537">
    <cfRule type="cellIs" dxfId="864" priority="426" operator="equal">
      <formula>$AM$1357</formula>
    </cfRule>
  </conditionalFormatting>
  <conditionalFormatting sqref="C1541">
    <cfRule type="timePeriod" dxfId="863" priority="421" timePeriod="lastWeek">
      <formula>AND(TODAY()-ROUNDDOWN(C1541,0)&gt;=(WEEKDAY(TODAY())),TODAY()-ROUNDDOWN(C1541,0)&lt;(WEEKDAY(TODAY())+7))</formula>
    </cfRule>
    <cfRule type="timePeriod" dxfId="862" priority="423" timePeriod="lastMonth">
      <formula>AND(MONTH(C1541)=MONTH(EDATE(TODAY(),0-1)),YEAR(C1541)=YEAR(EDATE(TODAY(),0-1)))</formula>
    </cfRule>
    <cfRule type="cellIs" dxfId="861" priority="425" operator="equal">
      <formula>$AM$1361</formula>
    </cfRule>
  </conditionalFormatting>
  <conditionalFormatting sqref="C1547">
    <cfRule type="cellIs" dxfId="860" priority="418" operator="equal">
      <formula>$AM$1357</formula>
    </cfRule>
  </conditionalFormatting>
  <conditionalFormatting sqref="C1551">
    <cfRule type="timePeriod" dxfId="859" priority="413" timePeriod="lastWeek">
      <formula>AND(TODAY()-ROUNDDOWN(C1551,0)&gt;=(WEEKDAY(TODAY())),TODAY()-ROUNDDOWN(C1551,0)&lt;(WEEKDAY(TODAY())+7))</formula>
    </cfRule>
    <cfRule type="timePeriod" dxfId="858" priority="415" timePeriod="lastMonth">
      <formula>AND(MONTH(C1551)=MONTH(EDATE(TODAY(),0-1)),YEAR(C1551)=YEAR(EDATE(TODAY(),0-1)))</formula>
    </cfRule>
    <cfRule type="cellIs" dxfId="857" priority="417" operator="equal">
      <formula>$AM$1361</formula>
    </cfRule>
  </conditionalFormatting>
  <conditionalFormatting sqref="C1557">
    <cfRule type="cellIs" dxfId="856" priority="410" operator="equal">
      <formula>$AM$1357</formula>
    </cfRule>
  </conditionalFormatting>
  <conditionalFormatting sqref="C1561">
    <cfRule type="timePeriod" dxfId="855" priority="405" timePeriod="lastWeek">
      <formula>AND(TODAY()-ROUNDDOWN(C1561,0)&gt;=(WEEKDAY(TODAY())),TODAY()-ROUNDDOWN(C1561,0)&lt;(WEEKDAY(TODAY())+7))</formula>
    </cfRule>
    <cfRule type="timePeriod" dxfId="854" priority="407" timePeriod="lastMonth">
      <formula>AND(MONTH(C1561)=MONTH(EDATE(TODAY(),0-1)),YEAR(C1561)=YEAR(EDATE(TODAY(),0-1)))</formula>
    </cfRule>
    <cfRule type="cellIs" dxfId="853" priority="409" operator="equal">
      <formula>$AM$1361</formula>
    </cfRule>
  </conditionalFormatting>
  <conditionalFormatting sqref="C1567">
    <cfRule type="cellIs" dxfId="852" priority="402" operator="equal">
      <formula>$AM$1357</formula>
    </cfRule>
  </conditionalFormatting>
  <conditionalFormatting sqref="C1571">
    <cfRule type="timePeriod" dxfId="851" priority="397" timePeriod="lastWeek">
      <formula>AND(TODAY()-ROUNDDOWN(C1571,0)&gt;=(WEEKDAY(TODAY())),TODAY()-ROUNDDOWN(C1571,0)&lt;(WEEKDAY(TODAY())+7))</formula>
    </cfRule>
    <cfRule type="timePeriod" dxfId="850" priority="399" timePeriod="lastMonth">
      <formula>AND(MONTH(C1571)=MONTH(EDATE(TODAY(),0-1)),YEAR(C1571)=YEAR(EDATE(TODAY(),0-1)))</formula>
    </cfRule>
    <cfRule type="cellIs" dxfId="849" priority="401" operator="equal">
      <formula>$AM$1361</formula>
    </cfRule>
  </conditionalFormatting>
  <conditionalFormatting sqref="C1577">
    <cfRule type="cellIs" dxfId="848" priority="394" operator="equal">
      <formula>$AM$1357</formula>
    </cfRule>
  </conditionalFormatting>
  <conditionalFormatting sqref="C1581">
    <cfRule type="timePeriod" dxfId="847" priority="389" timePeriod="lastWeek">
      <formula>AND(TODAY()-ROUNDDOWN(C1581,0)&gt;=(WEEKDAY(TODAY())),TODAY()-ROUNDDOWN(C1581,0)&lt;(WEEKDAY(TODAY())+7))</formula>
    </cfRule>
    <cfRule type="timePeriod" dxfId="846" priority="391" timePeriod="lastMonth">
      <formula>AND(MONTH(C1581)=MONTH(EDATE(TODAY(),0-1)),YEAR(C1581)=YEAR(EDATE(TODAY(),0-1)))</formula>
    </cfRule>
    <cfRule type="cellIs" dxfId="845" priority="393" operator="equal">
      <formula>$AM$1361</formula>
    </cfRule>
  </conditionalFormatting>
  <conditionalFormatting sqref="C1587">
    <cfRule type="cellIs" dxfId="844" priority="385" operator="equal">
      <formula>$AM$1357</formula>
    </cfRule>
  </conditionalFormatting>
  <conditionalFormatting sqref="C1591">
    <cfRule type="timePeriod" dxfId="843" priority="380" timePeriod="lastWeek">
      <formula>AND(TODAY()-ROUNDDOWN(C1591,0)&gt;=(WEEKDAY(TODAY())),TODAY()-ROUNDDOWN(C1591,0)&lt;(WEEKDAY(TODAY())+7))</formula>
    </cfRule>
    <cfRule type="timePeriod" dxfId="842" priority="382" timePeriod="lastMonth">
      <formula>AND(MONTH(C1591)=MONTH(EDATE(TODAY(),0-1)),YEAR(C1591)=YEAR(EDATE(TODAY(),0-1)))</formula>
    </cfRule>
    <cfRule type="cellIs" dxfId="841" priority="384" operator="equal">
      <formula>$AM$1361</formula>
    </cfRule>
  </conditionalFormatting>
  <conditionalFormatting sqref="C279:D281">
    <cfRule type="containsText" dxfId="770" priority="324" operator="containsText" text="claims to know real culprit?">
      <formula>NOT(ISERROR(SEARCH("claims to know real culprit?",C279)))</formula>
    </cfRule>
    <cfRule type="containsText" dxfId="769" priority="325" operator="containsText" text="charged as?">
      <formula>NOT(ISERROR(SEARCH("charged as?",C279)))</formula>
    </cfRule>
    <cfRule type="containsText" dxfId="768" priority="326" operator="containsText" text="convicted as?">
      <formula>NOT(ISERROR(SEARCH("convicted as?",C279)))</formula>
    </cfRule>
    <cfRule type="containsText" dxfId="767" priority="327" operator="containsText" text="NAME ">
      <formula>NOT(ISERROR(SEARCH("NAME ",C279)))</formula>
    </cfRule>
  </conditionalFormatting>
  <conditionalFormatting sqref="C283:D285">
    <cfRule type="containsText" dxfId="766" priority="282" operator="containsText" text="claims to know real culprit?">
      <formula>NOT(ISERROR(SEARCH("claims to know real culprit?",C283)))</formula>
    </cfRule>
    <cfRule type="containsText" dxfId="765" priority="283" operator="containsText" text="charged as?">
      <formula>NOT(ISERROR(SEARCH("charged as?",C283)))</formula>
    </cfRule>
    <cfRule type="containsText" dxfId="764" priority="284" operator="containsText" text="convicted as?">
      <formula>NOT(ISERROR(SEARCH("convicted as?",C283)))</formula>
    </cfRule>
    <cfRule type="containsText" dxfId="763" priority="285" operator="containsText" text="NAME ">
      <formula>NOT(ISERROR(SEARCH("NAME ",C283)))</formula>
    </cfRule>
  </conditionalFormatting>
  <conditionalFormatting sqref="C287:D289">
    <cfRule type="containsText" dxfId="762" priority="263" operator="containsText" text="claims to know real culprit?">
      <formula>NOT(ISERROR(SEARCH("claims to know real culprit?",C287)))</formula>
    </cfRule>
    <cfRule type="containsText" dxfId="761" priority="264" operator="containsText" text="charged as?">
      <formula>NOT(ISERROR(SEARCH("charged as?",C287)))</formula>
    </cfRule>
    <cfRule type="containsText" dxfId="760" priority="265" operator="containsText" text="convicted as?">
      <formula>NOT(ISERROR(SEARCH("convicted as?",C287)))</formula>
    </cfRule>
    <cfRule type="containsText" dxfId="759" priority="266" operator="containsText" text="NAME ">
      <formula>NOT(ISERROR(SEARCH("NAME ",C287)))</formula>
    </cfRule>
  </conditionalFormatting>
  <conditionalFormatting sqref="C291:D293">
    <cfRule type="containsText" dxfId="758" priority="244" operator="containsText" text="claims to know real culprit?">
      <formula>NOT(ISERROR(SEARCH("claims to know real culprit?",C291)))</formula>
    </cfRule>
    <cfRule type="containsText" dxfId="757" priority="245" operator="containsText" text="charged as?">
      <formula>NOT(ISERROR(SEARCH("charged as?",C291)))</formula>
    </cfRule>
    <cfRule type="containsText" dxfId="756" priority="246" operator="containsText" text="convicted as?">
      <formula>NOT(ISERROR(SEARCH("convicted as?",C291)))</formula>
    </cfRule>
    <cfRule type="containsText" dxfId="755" priority="247" operator="containsText" text="NAME ">
      <formula>NOT(ISERROR(SEARCH("NAME ",C291)))</formula>
    </cfRule>
  </conditionalFormatting>
  <conditionalFormatting sqref="C295:D297">
    <cfRule type="containsText" dxfId="754" priority="225" operator="containsText" text="claims to know real culprit?">
      <formula>NOT(ISERROR(SEARCH("claims to know real culprit?",C295)))</formula>
    </cfRule>
    <cfRule type="containsText" dxfId="753" priority="226" operator="containsText" text="charged as?">
      <formula>NOT(ISERROR(SEARCH("charged as?",C295)))</formula>
    </cfRule>
    <cfRule type="containsText" dxfId="752" priority="227" operator="containsText" text="convicted as?">
      <formula>NOT(ISERROR(SEARCH("convicted as?",C295)))</formula>
    </cfRule>
    <cfRule type="containsText" dxfId="751" priority="228" operator="containsText" text="NAME ">
      <formula>NOT(ISERROR(SEARCH("NAME ",C295)))</formula>
    </cfRule>
  </conditionalFormatting>
  <conditionalFormatting sqref="C299:D301">
    <cfRule type="containsText" dxfId="750" priority="206" operator="containsText" text="claims to know real culprit?">
      <formula>NOT(ISERROR(SEARCH("claims to know real culprit?",C299)))</formula>
    </cfRule>
    <cfRule type="containsText" dxfId="749" priority="207" operator="containsText" text="charged as?">
      <formula>NOT(ISERROR(SEARCH("charged as?",C299)))</formula>
    </cfRule>
    <cfRule type="containsText" dxfId="748" priority="208" operator="containsText" text="convicted as?">
      <formula>NOT(ISERROR(SEARCH("convicted as?",C299)))</formula>
    </cfRule>
    <cfRule type="containsText" dxfId="747" priority="209" operator="containsText" text="NAME ">
      <formula>NOT(ISERROR(SEARCH("NAME ",C299)))</formula>
    </cfRule>
  </conditionalFormatting>
  <conditionalFormatting sqref="C1638:D1638">
    <cfRule type="cellIs" dxfId="745" priority="584" operator="equal">
      <formula>$BN$1638</formula>
    </cfRule>
  </conditionalFormatting>
  <conditionalFormatting sqref="C1639:D1639">
    <cfRule type="beginsWith" dxfId="744" priority="350" operator="beginsWith" text="click">
      <formula>LEFT(C1639,LEN("click"))="click"</formula>
    </cfRule>
  </conditionalFormatting>
  <conditionalFormatting sqref="C1648:D1648">
    <cfRule type="cellIs" dxfId="743" priority="582" operator="equal">
      <formula>$BN$1638</formula>
    </cfRule>
  </conditionalFormatting>
  <conditionalFormatting sqref="C1649:D1649">
    <cfRule type="beginsWith" dxfId="742" priority="349" operator="beginsWith" text="click">
      <formula>LEFT(C1649,LEN("click"))="click"</formula>
    </cfRule>
  </conditionalFormatting>
  <conditionalFormatting sqref="C1658:D1658">
    <cfRule type="cellIs" dxfId="741" priority="580" operator="equal">
      <formula>$BN$1638</formula>
    </cfRule>
  </conditionalFormatting>
  <conditionalFormatting sqref="C1659:D1659">
    <cfRule type="beginsWith" dxfId="740" priority="348" operator="beginsWith" text="click">
      <formula>LEFT(C1659,LEN("click"))="click"</formula>
    </cfRule>
  </conditionalFormatting>
  <conditionalFormatting sqref="C1668:D1668">
    <cfRule type="cellIs" dxfId="739" priority="578" operator="equal">
      <formula>$BN$1638</formula>
    </cfRule>
  </conditionalFormatting>
  <conditionalFormatting sqref="C1669:D1669">
    <cfRule type="beginsWith" dxfId="738" priority="347" operator="beginsWith" text="click">
      <formula>LEFT(C1669,LEN("click"))="click"</formula>
    </cfRule>
  </conditionalFormatting>
  <conditionalFormatting sqref="C1678:D1678">
    <cfRule type="cellIs" dxfId="737" priority="576" operator="equal">
      <formula>$BN$1638</formula>
    </cfRule>
  </conditionalFormatting>
  <conditionalFormatting sqref="C1679:D1679">
    <cfRule type="beginsWith" dxfId="736" priority="346" operator="beginsWith" text="click">
      <formula>LEFT(C1679,LEN("click"))="click"</formula>
    </cfRule>
  </conditionalFormatting>
  <conditionalFormatting sqref="C1688:D1688">
    <cfRule type="cellIs" dxfId="735" priority="574" operator="equal">
      <formula>$BN$1638</formula>
    </cfRule>
  </conditionalFormatting>
  <conditionalFormatting sqref="C1689:D1689">
    <cfRule type="beginsWith" dxfId="734" priority="345" operator="beginsWith" text="click">
      <formula>LEFT(C1689,LEN("click"))="click"</formula>
    </cfRule>
  </conditionalFormatting>
  <conditionalFormatting sqref="C2014:D2014">
    <cfRule type="containsText" dxfId="733" priority="73" operator="containsText" text="Highlight">
      <formula>NOT(ISERROR(SEARCH("Highlight",C2014)))</formula>
    </cfRule>
  </conditionalFormatting>
  <conditionalFormatting sqref="C2015:D2015">
    <cfRule type="containsText" dxfId="732" priority="72" operator="containsText" text="Highlight">
      <formula>NOT(ISERROR(SEARCH("Highlight",C2015)))</formula>
    </cfRule>
  </conditionalFormatting>
  <conditionalFormatting sqref="C2016:D2016">
    <cfRule type="containsText" dxfId="731" priority="71" operator="containsText" text="Highlight">
      <formula>NOT(ISERROR(SEARCH("Highlight",C2016)))</formula>
    </cfRule>
  </conditionalFormatting>
  <conditionalFormatting sqref="D202">
    <cfRule type="containsText" dxfId="719" priority="6" operator="containsText" text="LAST NAME">
      <formula>NOT(ISERROR(SEARCH("LAST NAME",D202)))</formula>
    </cfRule>
  </conditionalFormatting>
  <conditionalFormatting sqref="D206">
    <cfRule type="cellIs" dxfId="718" priority="645" operator="equal">
      <formula>"YYYY-MM-DD"</formula>
    </cfRule>
  </conditionalFormatting>
  <conditionalFormatting sqref="D208">
    <cfRule type="cellIs" dxfId="717" priority="644" operator="equal">
      <formula>"YYYY-MM-DD"</formula>
    </cfRule>
  </conditionalFormatting>
  <conditionalFormatting sqref="D212">
    <cfRule type="containsText" dxfId="716" priority="196" operator="containsText" text="LAST NAME">
      <formula>NOT(ISERROR(SEARCH("LAST NAME",D212)))</formula>
    </cfRule>
  </conditionalFormatting>
  <conditionalFormatting sqref="D248 D250">
    <cfRule type="cellIs" dxfId="715" priority="1125" operator="equal">
      <formula>$C$2775</formula>
    </cfRule>
  </conditionalFormatting>
  <conditionalFormatting sqref="D253">
    <cfRule type="cellIs" dxfId="714" priority="635" operator="greaterThan">
      <formula>$AI$253</formula>
    </cfRule>
  </conditionalFormatting>
  <conditionalFormatting sqref="D279">
    <cfRule type="containsText" dxfId="713" priority="323" operator="containsText" text="how adjudicated?">
      <formula>NOT(ISERROR(SEARCH("how adjudicated?",D279)))</formula>
    </cfRule>
  </conditionalFormatting>
  <conditionalFormatting sqref="D280">
    <cfRule type="containsText" dxfId="712" priority="322" operator="containsText" text="verdict?">
      <formula>NOT(ISERROR(SEARCH("verdict?",D280)))</formula>
    </cfRule>
  </conditionalFormatting>
  <conditionalFormatting sqref="D281">
    <cfRule type="containsText" dxfId="711" priority="321" operator="containsText" text="also claims innocence?">
      <formula>NOT(ISERROR(SEARCH("also claims innocence?",D281)))</formula>
    </cfRule>
  </conditionalFormatting>
  <conditionalFormatting sqref="D283">
    <cfRule type="containsText" dxfId="710" priority="281" operator="containsText" text="how adjudicated?">
      <formula>NOT(ISERROR(SEARCH("how adjudicated?",D283)))</formula>
    </cfRule>
  </conditionalFormatting>
  <conditionalFormatting sqref="D284">
    <cfRule type="containsText" dxfId="709" priority="280" operator="containsText" text="verdict?">
      <formula>NOT(ISERROR(SEARCH("verdict?",D284)))</formula>
    </cfRule>
  </conditionalFormatting>
  <conditionalFormatting sqref="D285">
    <cfRule type="containsText" dxfId="708" priority="279" operator="containsText" text="also claims innocence?">
      <formula>NOT(ISERROR(SEARCH("also claims innocence?",D285)))</formula>
    </cfRule>
  </conditionalFormatting>
  <conditionalFormatting sqref="D287">
    <cfRule type="containsText" dxfId="707" priority="262" operator="containsText" text="how adjudicated?">
      <formula>NOT(ISERROR(SEARCH("how adjudicated?",D287)))</formula>
    </cfRule>
  </conditionalFormatting>
  <conditionalFormatting sqref="D288">
    <cfRule type="containsText" dxfId="706" priority="261" operator="containsText" text="verdict?">
      <formula>NOT(ISERROR(SEARCH("verdict?",D288)))</formula>
    </cfRule>
  </conditionalFormatting>
  <conditionalFormatting sqref="D289">
    <cfRule type="containsText" dxfId="705" priority="260" operator="containsText" text="also claims innocence?">
      <formula>NOT(ISERROR(SEARCH("also claims innocence?",D289)))</formula>
    </cfRule>
  </conditionalFormatting>
  <conditionalFormatting sqref="D291">
    <cfRule type="containsText" dxfId="704" priority="243" operator="containsText" text="how adjudicated?">
      <formula>NOT(ISERROR(SEARCH("how adjudicated?",D291)))</formula>
    </cfRule>
  </conditionalFormatting>
  <conditionalFormatting sqref="D292">
    <cfRule type="containsText" dxfId="703" priority="242" operator="containsText" text="verdict?">
      <formula>NOT(ISERROR(SEARCH("verdict?",D292)))</formula>
    </cfRule>
  </conditionalFormatting>
  <conditionalFormatting sqref="D293">
    <cfRule type="containsText" dxfId="702" priority="241" operator="containsText" text="also claims innocence?">
      <formula>NOT(ISERROR(SEARCH("also claims innocence?",D293)))</formula>
    </cfRule>
  </conditionalFormatting>
  <conditionalFormatting sqref="D295">
    <cfRule type="containsText" dxfId="701" priority="224" operator="containsText" text="how adjudicated?">
      <formula>NOT(ISERROR(SEARCH("how adjudicated?",D295)))</formula>
    </cfRule>
  </conditionalFormatting>
  <conditionalFormatting sqref="D296">
    <cfRule type="containsText" dxfId="700" priority="223" operator="containsText" text="verdict?">
      <formula>NOT(ISERROR(SEARCH("verdict?",D296)))</formula>
    </cfRule>
  </conditionalFormatting>
  <conditionalFormatting sqref="D297">
    <cfRule type="containsText" dxfId="699" priority="222" operator="containsText" text="also claims innocence?">
      <formula>NOT(ISERROR(SEARCH("also claims innocence?",D297)))</formula>
    </cfRule>
  </conditionalFormatting>
  <conditionalFormatting sqref="D299">
    <cfRule type="containsText" dxfId="698" priority="205" operator="containsText" text="how adjudicated?">
      <formula>NOT(ISERROR(SEARCH("how adjudicated?",D299)))</formula>
    </cfRule>
  </conditionalFormatting>
  <conditionalFormatting sqref="D300">
    <cfRule type="containsText" dxfId="697" priority="204" operator="containsText" text="verdict?">
      <formula>NOT(ISERROR(SEARCH("verdict?",D300)))</formula>
    </cfRule>
  </conditionalFormatting>
  <conditionalFormatting sqref="D301">
    <cfRule type="containsText" dxfId="696" priority="203" operator="containsText" text="also claims innocence?">
      <formula>NOT(ISERROR(SEARCH("also claims innocence?",D301)))</formula>
    </cfRule>
  </conditionalFormatting>
  <conditionalFormatting sqref="D357">
    <cfRule type="cellIs" dxfId="694" priority="678" operator="equal">
      <formula>0</formula>
    </cfRule>
    <cfRule type="cellIs" dxfId="693" priority="679" operator="greaterThan">
      <formula>0</formula>
    </cfRule>
  </conditionalFormatting>
  <conditionalFormatting sqref="D364">
    <cfRule type="containsText" dxfId="692" priority="736" operator="containsText" text="URL">
      <formula>NOT(ISERROR(SEARCH("URL",D364)))</formula>
    </cfRule>
  </conditionalFormatting>
  <conditionalFormatting sqref="D365">
    <cfRule type="containsText" dxfId="691" priority="735" operator="containsText" text="URL">
      <formula>NOT(ISERROR(SEARCH("URL",D365)))</formula>
    </cfRule>
  </conditionalFormatting>
  <conditionalFormatting sqref="D367">
    <cfRule type="cellIs" dxfId="690" priority="676" operator="equal">
      <formula>0</formula>
    </cfRule>
    <cfRule type="cellIs" dxfId="689" priority="677" operator="greaterThan">
      <formula>0</formula>
    </cfRule>
  </conditionalFormatting>
  <conditionalFormatting sqref="D374">
    <cfRule type="containsText" dxfId="688" priority="731" operator="containsText" text="URL">
      <formula>NOT(ISERROR(SEARCH("URL",D374)))</formula>
    </cfRule>
  </conditionalFormatting>
  <conditionalFormatting sqref="D375">
    <cfRule type="containsText" dxfId="687" priority="312" operator="containsText" text="URL">
      <formula>NOT(ISERROR(SEARCH("URL",D375)))</formula>
    </cfRule>
  </conditionalFormatting>
  <conditionalFormatting sqref="D377">
    <cfRule type="cellIs" dxfId="686" priority="674" operator="equal">
      <formula>0</formula>
    </cfRule>
    <cfRule type="cellIs" dxfId="685" priority="675" operator="greaterThan">
      <formula>0</formula>
    </cfRule>
  </conditionalFormatting>
  <conditionalFormatting sqref="D384">
    <cfRule type="containsText" dxfId="684" priority="733" operator="containsText" text="URL">
      <formula>NOT(ISERROR(SEARCH("URL",D384)))</formula>
    </cfRule>
  </conditionalFormatting>
  <conditionalFormatting sqref="D385">
    <cfRule type="containsText" dxfId="683" priority="311" operator="containsText" text="URL">
      <formula>NOT(ISERROR(SEARCH("URL",D385)))</formula>
    </cfRule>
  </conditionalFormatting>
  <conditionalFormatting sqref="D387">
    <cfRule type="cellIs" dxfId="682" priority="672" operator="equal">
      <formula>0</formula>
    </cfRule>
    <cfRule type="cellIs" dxfId="681" priority="673" operator="greaterThan">
      <formula>0</formula>
    </cfRule>
  </conditionalFormatting>
  <conditionalFormatting sqref="D391">
    <cfRule type="containsText" dxfId="680" priority="738" operator="containsText" text="URL">
      <formula>NOT(ISERROR(SEARCH("URL",D391)))</formula>
    </cfRule>
  </conditionalFormatting>
  <conditionalFormatting sqref="D394">
    <cfRule type="containsText" dxfId="679" priority="729" operator="containsText" text="URL">
      <formula>NOT(ISERROR(SEARCH("URL",D394)))</formula>
    </cfRule>
  </conditionalFormatting>
  <conditionalFormatting sqref="D395">
    <cfRule type="containsText" dxfId="678" priority="310" operator="containsText" text="URL">
      <formula>NOT(ISERROR(SEARCH("URL",D395)))</formula>
    </cfRule>
  </conditionalFormatting>
  <conditionalFormatting sqref="D397">
    <cfRule type="cellIs" dxfId="677" priority="670" operator="equal">
      <formula>0</formula>
    </cfRule>
    <cfRule type="cellIs" dxfId="676" priority="671" operator="greaterThan">
      <formula>0</formula>
    </cfRule>
  </conditionalFormatting>
  <conditionalFormatting sqref="D398">
    <cfRule type="containsText" dxfId="675" priority="740" operator="containsText" text="URL">
      <formula>NOT(ISERROR(SEARCH("URL",D398)))</formula>
    </cfRule>
  </conditionalFormatting>
  <conditionalFormatting sqref="D401">
    <cfRule type="containsText" dxfId="674" priority="726" operator="containsText" text="URL">
      <formula>NOT(ISERROR(SEARCH("URL",D401)))</formula>
    </cfRule>
  </conditionalFormatting>
  <conditionalFormatting sqref="D404">
    <cfRule type="containsText" dxfId="673" priority="724" operator="containsText" text="URL">
      <formula>NOT(ISERROR(SEARCH("URL",D404)))</formula>
    </cfRule>
  </conditionalFormatting>
  <conditionalFormatting sqref="D405">
    <cfRule type="containsText" dxfId="672" priority="309" operator="containsText" text="URL">
      <formula>NOT(ISERROR(SEARCH("URL",D405)))</formula>
    </cfRule>
  </conditionalFormatting>
  <conditionalFormatting sqref="D407">
    <cfRule type="cellIs" dxfId="671" priority="668" operator="equal">
      <formula>0</formula>
    </cfRule>
    <cfRule type="cellIs" dxfId="670" priority="669" operator="greaterThan">
      <formula>0</formula>
    </cfRule>
  </conditionalFormatting>
  <conditionalFormatting sqref="D411">
    <cfRule type="containsText" dxfId="669" priority="721" operator="containsText" text="URL">
      <formula>NOT(ISERROR(SEARCH("URL",D411)))</formula>
    </cfRule>
  </conditionalFormatting>
  <conditionalFormatting sqref="D414">
    <cfRule type="containsText" dxfId="668" priority="719" operator="containsText" text="URL">
      <formula>NOT(ISERROR(SEARCH("URL",D414)))</formula>
    </cfRule>
  </conditionalFormatting>
  <conditionalFormatting sqref="D415">
    <cfRule type="containsText" dxfId="667" priority="308" operator="containsText" text="URL">
      <formula>NOT(ISERROR(SEARCH("URL",D415)))</formula>
    </cfRule>
  </conditionalFormatting>
  <conditionalFormatting sqref="D417">
    <cfRule type="cellIs" dxfId="666" priority="666" operator="equal">
      <formula>0</formula>
    </cfRule>
    <cfRule type="cellIs" dxfId="665" priority="667" operator="greaterThan">
      <formula>0</formula>
    </cfRule>
  </conditionalFormatting>
  <conditionalFormatting sqref="D421">
    <cfRule type="containsText" dxfId="664" priority="716" operator="containsText" text="URL">
      <formula>NOT(ISERROR(SEARCH("URL",D421)))</formula>
    </cfRule>
  </conditionalFormatting>
  <conditionalFormatting sqref="D424">
    <cfRule type="containsText" dxfId="663" priority="714" operator="containsText" text="URL">
      <formula>NOT(ISERROR(SEARCH("URL",D424)))</formula>
    </cfRule>
  </conditionalFormatting>
  <conditionalFormatting sqref="D425">
    <cfRule type="containsText" dxfId="662" priority="307" operator="containsText" text="URL">
      <formula>NOT(ISERROR(SEARCH("URL",D425)))</formula>
    </cfRule>
  </conditionalFormatting>
  <conditionalFormatting sqref="D427">
    <cfRule type="cellIs" dxfId="661" priority="664" operator="equal">
      <formula>0</formula>
    </cfRule>
    <cfRule type="cellIs" dxfId="660" priority="665" operator="greaterThan">
      <formula>0</formula>
    </cfRule>
  </conditionalFormatting>
  <conditionalFormatting sqref="D431">
    <cfRule type="containsText" dxfId="659" priority="711" operator="containsText" text="URL">
      <formula>NOT(ISERROR(SEARCH("URL",D431)))</formula>
    </cfRule>
  </conditionalFormatting>
  <conditionalFormatting sqref="D434">
    <cfRule type="containsText" dxfId="658" priority="709" operator="containsText" text="URL">
      <formula>NOT(ISERROR(SEARCH("URL",D434)))</formula>
    </cfRule>
  </conditionalFormatting>
  <conditionalFormatting sqref="D435">
    <cfRule type="containsText" dxfId="657" priority="306" operator="containsText" text="URL">
      <formula>NOT(ISERROR(SEARCH("URL",D435)))</formula>
    </cfRule>
  </conditionalFormatting>
  <conditionalFormatting sqref="D437">
    <cfRule type="cellIs" dxfId="656" priority="662" operator="equal">
      <formula>0</formula>
    </cfRule>
    <cfRule type="cellIs" dxfId="655" priority="663" operator="greaterThan">
      <formula>0</formula>
    </cfRule>
  </conditionalFormatting>
  <conditionalFormatting sqref="D441">
    <cfRule type="containsText" dxfId="654" priority="706" operator="containsText" text="URL">
      <formula>NOT(ISERROR(SEARCH("URL",D441)))</formula>
    </cfRule>
  </conditionalFormatting>
  <conditionalFormatting sqref="D444">
    <cfRule type="containsText" dxfId="653" priority="342" operator="containsText" text="URL">
      <formula>NOT(ISERROR(SEARCH("URL",D444)))</formula>
    </cfRule>
  </conditionalFormatting>
  <conditionalFormatting sqref="D445">
    <cfRule type="containsText" dxfId="652" priority="305" operator="containsText" text="URL">
      <formula>NOT(ISERROR(SEARCH("URL",D445)))</formula>
    </cfRule>
  </conditionalFormatting>
  <conditionalFormatting sqref="D447">
    <cfRule type="cellIs" dxfId="651" priority="660" operator="equal">
      <formula>0</formula>
    </cfRule>
    <cfRule type="cellIs" dxfId="650" priority="661" operator="greaterThan">
      <formula>0</formula>
    </cfRule>
  </conditionalFormatting>
  <conditionalFormatting sqref="D451">
    <cfRule type="containsText" dxfId="649" priority="702" operator="containsText" text="URL">
      <formula>NOT(ISERROR(SEARCH("URL",D451)))</formula>
    </cfRule>
  </conditionalFormatting>
  <conditionalFormatting sqref="D454">
    <cfRule type="containsText" dxfId="648" priority="700" operator="containsText" text="URL">
      <formula>NOT(ISERROR(SEARCH("URL",D454)))</formula>
    </cfRule>
  </conditionalFormatting>
  <conditionalFormatting sqref="D455">
    <cfRule type="containsText" dxfId="647" priority="304" operator="containsText" text="URL">
      <formula>NOT(ISERROR(SEARCH("URL",D455)))</formula>
    </cfRule>
  </conditionalFormatting>
  <conditionalFormatting sqref="D457">
    <cfRule type="cellIs" dxfId="646" priority="658" operator="equal">
      <formula>0</formula>
    </cfRule>
    <cfRule type="cellIs" dxfId="645" priority="659" operator="greaterThan">
      <formula>0</formula>
    </cfRule>
  </conditionalFormatting>
  <conditionalFormatting sqref="D461">
    <cfRule type="containsText" dxfId="644" priority="697" operator="containsText" text="URL">
      <formula>NOT(ISERROR(SEARCH("URL",D461)))</formula>
    </cfRule>
  </conditionalFormatting>
  <conditionalFormatting sqref="D464">
    <cfRule type="containsText" dxfId="643" priority="695" operator="containsText" text="URL">
      <formula>NOT(ISERROR(SEARCH("URL",D464)))</formula>
    </cfRule>
  </conditionalFormatting>
  <conditionalFormatting sqref="D465">
    <cfRule type="containsText" dxfId="642" priority="303" operator="containsText" text="URL">
      <formula>NOT(ISERROR(SEARCH("URL",D465)))</formula>
    </cfRule>
  </conditionalFormatting>
  <conditionalFormatting sqref="D467">
    <cfRule type="cellIs" dxfId="641" priority="656" operator="equal">
      <formula>0</formula>
    </cfRule>
    <cfRule type="cellIs" dxfId="640" priority="657" operator="greaterThan">
      <formula>0</formula>
    </cfRule>
  </conditionalFormatting>
  <conditionalFormatting sqref="D471">
    <cfRule type="containsText" dxfId="639" priority="692" operator="containsText" text="URL">
      <formula>NOT(ISERROR(SEARCH("URL",D471)))</formula>
    </cfRule>
  </conditionalFormatting>
  <conditionalFormatting sqref="D474">
    <cfRule type="containsText" dxfId="638" priority="690" operator="containsText" text="URL">
      <formula>NOT(ISERROR(SEARCH("URL",D474)))</formula>
    </cfRule>
  </conditionalFormatting>
  <conditionalFormatting sqref="D475">
    <cfRule type="containsText" dxfId="637" priority="302" operator="containsText" text="URL">
      <formula>NOT(ISERROR(SEARCH("URL",D475)))</formula>
    </cfRule>
  </conditionalFormatting>
  <conditionalFormatting sqref="D477">
    <cfRule type="cellIs" dxfId="636" priority="654" operator="equal">
      <formula>0</formula>
    </cfRule>
    <cfRule type="cellIs" dxfId="635" priority="655" operator="greaterThan">
      <formula>0</formula>
    </cfRule>
  </conditionalFormatting>
  <conditionalFormatting sqref="D481">
    <cfRule type="containsText" dxfId="634" priority="687" operator="containsText" text="URL">
      <formula>NOT(ISERROR(SEARCH("URL",D481)))</formula>
    </cfRule>
  </conditionalFormatting>
  <conditionalFormatting sqref="D484">
    <cfRule type="containsText" dxfId="633" priority="685" operator="containsText" text="URL">
      <formula>NOT(ISERROR(SEARCH("URL",D484)))</formula>
    </cfRule>
  </conditionalFormatting>
  <conditionalFormatting sqref="D485">
    <cfRule type="containsText" dxfId="632" priority="301" operator="containsText" text="URL">
      <formula>NOT(ISERROR(SEARCH("URL",D485)))</formula>
    </cfRule>
  </conditionalFormatting>
  <conditionalFormatting sqref="D487">
    <cfRule type="cellIs" dxfId="631" priority="652" operator="equal">
      <formula>0</formula>
    </cfRule>
    <cfRule type="cellIs" dxfId="630" priority="653" operator="greaterThan">
      <formula>0</formula>
    </cfRule>
  </conditionalFormatting>
  <conditionalFormatting sqref="D491">
    <cfRule type="containsText" dxfId="629" priority="682" operator="containsText" text="URL">
      <formula>NOT(ISERROR(SEARCH("URL",D491)))</formula>
    </cfRule>
  </conditionalFormatting>
  <conditionalFormatting sqref="D494">
    <cfRule type="containsText" dxfId="628" priority="680" operator="containsText" text="URL">
      <formula>NOT(ISERROR(SEARCH("URL",D494)))</formula>
    </cfRule>
  </conditionalFormatting>
  <conditionalFormatting sqref="D495">
    <cfRule type="containsText" dxfId="627" priority="300" operator="containsText" text="URL">
      <formula>NOT(ISERROR(SEARCH("URL",D495)))</formula>
    </cfRule>
  </conditionalFormatting>
  <conditionalFormatting sqref="D1357">
    <cfRule type="cellIs" dxfId="624" priority="1122" operator="equal">
      <formula>$AQ$1357</formula>
    </cfRule>
  </conditionalFormatting>
  <conditionalFormatting sqref="D1359">
    <cfRule type="cellIs" dxfId="623" priority="377" operator="equal">
      <formula>$AS$1359</formula>
    </cfRule>
  </conditionalFormatting>
  <conditionalFormatting sqref="D1361">
    <cfRule type="timePeriod" dxfId="622" priority="565" timePeriod="lastWeek">
      <formula>AND(TODAY()-ROUNDDOWN(D1361,0)&gt;=(WEEKDAY(TODAY())),TODAY()-ROUNDDOWN(D1361,0)&lt;(WEEKDAY(TODAY())+7))</formula>
    </cfRule>
    <cfRule type="timePeriod" dxfId="621" priority="567" timePeriod="lastMonth">
      <formula>AND(MONTH(D1361)=MONTH(EDATE(TODAY(),0-1)),YEAR(D1361)=YEAR(EDATE(TODAY(),0-1)))</formula>
    </cfRule>
    <cfRule type="cellIs" dxfId="620" priority="569" operator="equal">
      <formula>$AM$1361</formula>
    </cfRule>
  </conditionalFormatting>
  <conditionalFormatting sqref="D1367">
    <cfRule type="cellIs" dxfId="619" priority="564" operator="equal">
      <formula>$AQ$1357</formula>
    </cfRule>
  </conditionalFormatting>
  <conditionalFormatting sqref="D1369">
    <cfRule type="cellIs" dxfId="618" priority="354" operator="equal">
      <formula>$AS$1359</formula>
    </cfRule>
  </conditionalFormatting>
  <conditionalFormatting sqref="D1371">
    <cfRule type="timePeriod" dxfId="617" priority="557" timePeriod="lastWeek">
      <formula>AND(TODAY()-ROUNDDOWN(D1371,0)&gt;=(WEEKDAY(TODAY())),TODAY()-ROUNDDOWN(D1371,0)&lt;(WEEKDAY(TODAY())+7))</formula>
    </cfRule>
    <cfRule type="timePeriod" dxfId="616" priority="559" timePeriod="lastMonth">
      <formula>AND(MONTH(D1371)=MONTH(EDATE(TODAY(),0-1)),YEAR(D1371)=YEAR(EDATE(TODAY(),0-1)))</formula>
    </cfRule>
    <cfRule type="cellIs" dxfId="615" priority="561" operator="equal">
      <formula>$AM$1361</formula>
    </cfRule>
  </conditionalFormatting>
  <conditionalFormatting sqref="D1377">
    <cfRule type="cellIs" dxfId="614" priority="556" operator="equal">
      <formula>$AQ$1357</formula>
    </cfRule>
  </conditionalFormatting>
  <conditionalFormatting sqref="D1379">
    <cfRule type="cellIs" dxfId="613" priority="376" operator="equal">
      <formula>$AS$1359</formula>
    </cfRule>
  </conditionalFormatting>
  <conditionalFormatting sqref="D1381">
    <cfRule type="timePeriod" dxfId="612" priority="549" timePeriod="lastWeek">
      <formula>AND(TODAY()-ROUNDDOWN(D1381,0)&gt;=(WEEKDAY(TODAY())),TODAY()-ROUNDDOWN(D1381,0)&lt;(WEEKDAY(TODAY())+7))</formula>
    </cfRule>
    <cfRule type="timePeriod" dxfId="611" priority="551" timePeriod="lastMonth">
      <formula>AND(MONTH(D1381)=MONTH(EDATE(TODAY(),0-1)),YEAR(D1381)=YEAR(EDATE(TODAY(),0-1)))</formula>
    </cfRule>
    <cfRule type="cellIs" dxfId="610" priority="553" operator="equal">
      <formula>$AM$1361</formula>
    </cfRule>
  </conditionalFormatting>
  <conditionalFormatting sqref="D1387">
    <cfRule type="cellIs" dxfId="609" priority="548" operator="equal">
      <formula>$AQ$1357</formula>
    </cfRule>
  </conditionalFormatting>
  <conditionalFormatting sqref="D1389">
    <cfRule type="cellIs" dxfId="608" priority="375" operator="equal">
      <formula>$AS$1359</formula>
    </cfRule>
  </conditionalFormatting>
  <conditionalFormatting sqref="D1391">
    <cfRule type="timePeriod" dxfId="607" priority="541" timePeriod="lastWeek">
      <formula>AND(TODAY()-ROUNDDOWN(D1391,0)&gt;=(WEEKDAY(TODAY())),TODAY()-ROUNDDOWN(D1391,0)&lt;(WEEKDAY(TODAY())+7))</formula>
    </cfRule>
    <cfRule type="timePeriod" dxfId="606" priority="543" timePeriod="lastMonth">
      <formula>AND(MONTH(D1391)=MONTH(EDATE(TODAY(),0-1)),YEAR(D1391)=YEAR(EDATE(TODAY(),0-1)))</formula>
    </cfRule>
    <cfRule type="cellIs" dxfId="605" priority="545" operator="equal">
      <formula>$AM$1361</formula>
    </cfRule>
  </conditionalFormatting>
  <conditionalFormatting sqref="D1397">
    <cfRule type="cellIs" dxfId="604" priority="540" operator="equal">
      <formula>$AQ$1357</formula>
    </cfRule>
  </conditionalFormatting>
  <conditionalFormatting sqref="D1399">
    <cfRule type="cellIs" dxfId="603" priority="374" operator="equal">
      <formula>$AS$1359</formula>
    </cfRule>
  </conditionalFormatting>
  <conditionalFormatting sqref="D1401">
    <cfRule type="timePeriod" dxfId="602" priority="533" timePeriod="lastWeek">
      <formula>AND(TODAY()-ROUNDDOWN(D1401,0)&gt;=(WEEKDAY(TODAY())),TODAY()-ROUNDDOWN(D1401,0)&lt;(WEEKDAY(TODAY())+7))</formula>
    </cfRule>
    <cfRule type="timePeriod" dxfId="601" priority="535" timePeriod="lastMonth">
      <formula>AND(MONTH(D1401)=MONTH(EDATE(TODAY(),0-1)),YEAR(D1401)=YEAR(EDATE(TODAY(),0-1)))</formula>
    </cfRule>
    <cfRule type="cellIs" dxfId="600" priority="537" operator="equal">
      <formula>$AM$1361</formula>
    </cfRule>
  </conditionalFormatting>
  <conditionalFormatting sqref="D1407">
    <cfRule type="cellIs" dxfId="599" priority="531" operator="equal">
      <formula>$AQ$1357</formula>
    </cfRule>
  </conditionalFormatting>
  <conditionalFormatting sqref="D1409">
    <cfRule type="cellIs" dxfId="598" priority="373" operator="equal">
      <formula>$AS$1359</formula>
    </cfRule>
  </conditionalFormatting>
  <conditionalFormatting sqref="D1411">
    <cfRule type="timePeriod" dxfId="597" priority="524" timePeriod="lastWeek">
      <formula>AND(TODAY()-ROUNDDOWN(D1411,0)&gt;=(WEEKDAY(TODAY())),TODAY()-ROUNDDOWN(D1411,0)&lt;(WEEKDAY(TODAY())+7))</formula>
    </cfRule>
    <cfRule type="timePeriod" dxfId="596" priority="526" timePeriod="lastMonth">
      <formula>AND(MONTH(D1411)=MONTH(EDATE(TODAY(),0-1)),YEAR(D1411)=YEAR(EDATE(TODAY(),0-1)))</formula>
    </cfRule>
    <cfRule type="cellIs" dxfId="595" priority="528" operator="equal">
      <formula>$AM$1361</formula>
    </cfRule>
  </conditionalFormatting>
  <conditionalFormatting sqref="D1417">
    <cfRule type="cellIs" dxfId="594" priority="523" operator="equal">
      <formula>$AQ$1357</formula>
    </cfRule>
  </conditionalFormatting>
  <conditionalFormatting sqref="D1419">
    <cfRule type="cellIs" dxfId="593" priority="372" operator="equal">
      <formula>$AS$1359</formula>
    </cfRule>
  </conditionalFormatting>
  <conditionalFormatting sqref="D1421">
    <cfRule type="timePeriod" dxfId="592" priority="516" timePeriod="lastWeek">
      <formula>AND(TODAY()-ROUNDDOWN(D1421,0)&gt;=(WEEKDAY(TODAY())),TODAY()-ROUNDDOWN(D1421,0)&lt;(WEEKDAY(TODAY())+7))</formula>
    </cfRule>
    <cfRule type="timePeriod" dxfId="591" priority="518" timePeriod="lastMonth">
      <formula>AND(MONTH(D1421)=MONTH(EDATE(TODAY(),0-1)),YEAR(D1421)=YEAR(EDATE(TODAY(),0-1)))</formula>
    </cfRule>
    <cfRule type="cellIs" dxfId="590" priority="520" operator="equal">
      <formula>$AM$1361</formula>
    </cfRule>
  </conditionalFormatting>
  <conditionalFormatting sqref="D1427">
    <cfRule type="cellIs" dxfId="589" priority="515" operator="equal">
      <formula>$AQ$1357</formula>
    </cfRule>
  </conditionalFormatting>
  <conditionalFormatting sqref="D1429">
    <cfRule type="cellIs" dxfId="588" priority="371" operator="equal">
      <formula>$AS$1359</formula>
    </cfRule>
  </conditionalFormatting>
  <conditionalFormatting sqref="D1431">
    <cfRule type="timePeriod" dxfId="587" priority="508" timePeriod="lastWeek">
      <formula>AND(TODAY()-ROUNDDOWN(D1431,0)&gt;=(WEEKDAY(TODAY())),TODAY()-ROUNDDOWN(D1431,0)&lt;(WEEKDAY(TODAY())+7))</formula>
    </cfRule>
    <cfRule type="timePeriod" dxfId="586" priority="510" timePeriod="lastMonth">
      <formula>AND(MONTH(D1431)=MONTH(EDATE(TODAY(),0-1)),YEAR(D1431)=YEAR(EDATE(TODAY(),0-1)))</formula>
    </cfRule>
    <cfRule type="cellIs" dxfId="585" priority="512" operator="equal">
      <formula>$AM$1361</formula>
    </cfRule>
  </conditionalFormatting>
  <conditionalFormatting sqref="D1437">
    <cfRule type="cellIs" dxfId="584" priority="507" operator="equal">
      <formula>$AQ$1357</formula>
    </cfRule>
  </conditionalFormatting>
  <conditionalFormatting sqref="D1439">
    <cfRule type="cellIs" dxfId="583" priority="370" operator="equal">
      <formula>$AS$1359</formula>
    </cfRule>
  </conditionalFormatting>
  <conditionalFormatting sqref="D1441">
    <cfRule type="timePeriod" dxfId="582" priority="500" timePeriod="lastWeek">
      <formula>AND(TODAY()-ROUNDDOWN(D1441,0)&gt;=(WEEKDAY(TODAY())),TODAY()-ROUNDDOWN(D1441,0)&lt;(WEEKDAY(TODAY())+7))</formula>
    </cfRule>
    <cfRule type="timePeriod" dxfId="581" priority="502" timePeriod="lastMonth">
      <formula>AND(MONTH(D1441)=MONTH(EDATE(TODAY(),0-1)),YEAR(D1441)=YEAR(EDATE(TODAY(),0-1)))</formula>
    </cfRule>
    <cfRule type="cellIs" dxfId="580" priority="504" operator="equal">
      <formula>$AM$1361</formula>
    </cfRule>
  </conditionalFormatting>
  <conditionalFormatting sqref="D1447">
    <cfRule type="cellIs" dxfId="579" priority="499" operator="equal">
      <formula>$AQ$1357</formula>
    </cfRule>
  </conditionalFormatting>
  <conditionalFormatting sqref="D1449">
    <cfRule type="cellIs" dxfId="578" priority="369" operator="equal">
      <formula>$AS$1359</formula>
    </cfRule>
  </conditionalFormatting>
  <conditionalFormatting sqref="D1451">
    <cfRule type="timePeriod" dxfId="577" priority="492" timePeriod="lastWeek">
      <formula>AND(TODAY()-ROUNDDOWN(D1451,0)&gt;=(WEEKDAY(TODAY())),TODAY()-ROUNDDOWN(D1451,0)&lt;(WEEKDAY(TODAY())+7))</formula>
    </cfRule>
    <cfRule type="timePeriod" dxfId="576" priority="494" timePeriod="lastMonth">
      <formula>AND(MONTH(D1451)=MONTH(EDATE(TODAY(),0-1)),YEAR(D1451)=YEAR(EDATE(TODAY(),0-1)))</formula>
    </cfRule>
    <cfRule type="cellIs" dxfId="575" priority="496" operator="equal">
      <formula>$AM$1361</formula>
    </cfRule>
  </conditionalFormatting>
  <conditionalFormatting sqref="D1457">
    <cfRule type="cellIs" dxfId="574" priority="491" operator="equal">
      <formula>$AQ$1357</formula>
    </cfRule>
  </conditionalFormatting>
  <conditionalFormatting sqref="D1459">
    <cfRule type="cellIs" dxfId="573" priority="368" operator="equal">
      <formula>$AS$1359</formula>
    </cfRule>
  </conditionalFormatting>
  <conditionalFormatting sqref="D1461">
    <cfRule type="timePeriod" dxfId="572" priority="484" timePeriod="lastWeek">
      <formula>AND(TODAY()-ROUNDDOWN(D1461,0)&gt;=(WEEKDAY(TODAY())),TODAY()-ROUNDDOWN(D1461,0)&lt;(WEEKDAY(TODAY())+7))</formula>
    </cfRule>
    <cfRule type="timePeriod" dxfId="571" priority="486" timePeriod="lastMonth">
      <formula>AND(MONTH(D1461)=MONTH(EDATE(TODAY(),0-1)),YEAR(D1461)=YEAR(EDATE(TODAY(),0-1)))</formula>
    </cfRule>
    <cfRule type="cellIs" dxfId="570" priority="488" operator="equal">
      <formula>$AM$1361</formula>
    </cfRule>
  </conditionalFormatting>
  <conditionalFormatting sqref="D1467">
    <cfRule type="cellIs" dxfId="569" priority="483" operator="equal">
      <formula>$AQ$1357</formula>
    </cfRule>
  </conditionalFormatting>
  <conditionalFormatting sqref="D1469">
    <cfRule type="cellIs" dxfId="568" priority="367" operator="equal">
      <formula>$AS$1359</formula>
    </cfRule>
  </conditionalFormatting>
  <conditionalFormatting sqref="D1471">
    <cfRule type="timePeriod" dxfId="567" priority="476" timePeriod="lastWeek">
      <formula>AND(TODAY()-ROUNDDOWN(D1471,0)&gt;=(WEEKDAY(TODAY())),TODAY()-ROUNDDOWN(D1471,0)&lt;(WEEKDAY(TODAY())+7))</formula>
    </cfRule>
    <cfRule type="timePeriod" dxfId="566" priority="478" timePeriod="lastMonth">
      <formula>AND(MONTH(D1471)=MONTH(EDATE(TODAY(),0-1)),YEAR(D1471)=YEAR(EDATE(TODAY(),0-1)))</formula>
    </cfRule>
    <cfRule type="cellIs" dxfId="565" priority="480" operator="equal">
      <formula>$AM$1361</formula>
    </cfRule>
  </conditionalFormatting>
  <conditionalFormatting sqref="D1477">
    <cfRule type="cellIs" dxfId="564" priority="475" operator="equal">
      <formula>$AQ$1357</formula>
    </cfRule>
  </conditionalFormatting>
  <conditionalFormatting sqref="D1479">
    <cfRule type="cellIs" dxfId="563" priority="366" operator="equal">
      <formula>$AS$1359</formula>
    </cfRule>
  </conditionalFormatting>
  <conditionalFormatting sqref="D1481">
    <cfRule type="timePeriod" dxfId="562" priority="468" timePeriod="lastWeek">
      <formula>AND(TODAY()-ROUNDDOWN(D1481,0)&gt;=(WEEKDAY(TODAY())),TODAY()-ROUNDDOWN(D1481,0)&lt;(WEEKDAY(TODAY())+7))</formula>
    </cfRule>
    <cfRule type="timePeriod" dxfId="561" priority="470" timePeriod="lastMonth">
      <formula>AND(MONTH(D1481)=MONTH(EDATE(TODAY(),0-1)),YEAR(D1481)=YEAR(EDATE(TODAY(),0-1)))</formula>
    </cfRule>
    <cfRule type="cellIs" dxfId="560" priority="472" operator="equal">
      <formula>$AM$1361</formula>
    </cfRule>
  </conditionalFormatting>
  <conditionalFormatting sqref="D1487">
    <cfRule type="cellIs" dxfId="559" priority="467" operator="equal">
      <formula>$AQ$1357</formula>
    </cfRule>
  </conditionalFormatting>
  <conditionalFormatting sqref="D1489">
    <cfRule type="cellIs" dxfId="558" priority="365" operator="equal">
      <formula>$AS$1359</formula>
    </cfRule>
  </conditionalFormatting>
  <conditionalFormatting sqref="D1491">
    <cfRule type="timePeriod" dxfId="557" priority="460" timePeriod="lastWeek">
      <formula>AND(TODAY()-ROUNDDOWN(D1491,0)&gt;=(WEEKDAY(TODAY())),TODAY()-ROUNDDOWN(D1491,0)&lt;(WEEKDAY(TODAY())+7))</formula>
    </cfRule>
    <cfRule type="timePeriod" dxfId="556" priority="462" timePeriod="lastMonth">
      <formula>AND(MONTH(D1491)=MONTH(EDATE(TODAY(),0-1)),YEAR(D1491)=YEAR(EDATE(TODAY(),0-1)))</formula>
    </cfRule>
    <cfRule type="cellIs" dxfId="555" priority="464" operator="equal">
      <formula>$AM$1361</formula>
    </cfRule>
  </conditionalFormatting>
  <conditionalFormatting sqref="D1497">
    <cfRule type="cellIs" dxfId="554" priority="459" operator="equal">
      <formula>$AQ$1357</formula>
    </cfRule>
  </conditionalFormatting>
  <conditionalFormatting sqref="D1499">
    <cfRule type="cellIs" dxfId="553" priority="364" operator="equal">
      <formula>$AS$1359</formula>
    </cfRule>
  </conditionalFormatting>
  <conditionalFormatting sqref="D1501">
    <cfRule type="timePeriod" dxfId="552" priority="452" timePeriod="lastWeek">
      <formula>AND(TODAY()-ROUNDDOWN(D1501,0)&gt;=(WEEKDAY(TODAY())),TODAY()-ROUNDDOWN(D1501,0)&lt;(WEEKDAY(TODAY())+7))</formula>
    </cfRule>
    <cfRule type="timePeriod" dxfId="551" priority="454" timePeriod="lastMonth">
      <formula>AND(MONTH(D1501)=MONTH(EDATE(TODAY(),0-1)),YEAR(D1501)=YEAR(EDATE(TODAY(),0-1)))</formula>
    </cfRule>
    <cfRule type="cellIs" dxfId="550" priority="456" operator="equal">
      <formula>$AM$1361</formula>
    </cfRule>
  </conditionalFormatting>
  <conditionalFormatting sqref="D1507">
    <cfRule type="cellIs" dxfId="549" priority="451" operator="equal">
      <formula>$AQ$1357</formula>
    </cfRule>
  </conditionalFormatting>
  <conditionalFormatting sqref="D1509">
    <cfRule type="cellIs" dxfId="548" priority="363" operator="equal">
      <formula>$AS$1359</formula>
    </cfRule>
  </conditionalFormatting>
  <conditionalFormatting sqref="D1511">
    <cfRule type="timePeriod" dxfId="547" priority="444" timePeriod="lastWeek">
      <formula>AND(TODAY()-ROUNDDOWN(D1511,0)&gt;=(WEEKDAY(TODAY())),TODAY()-ROUNDDOWN(D1511,0)&lt;(WEEKDAY(TODAY())+7))</formula>
    </cfRule>
    <cfRule type="timePeriod" dxfId="546" priority="446" timePeriod="lastMonth">
      <formula>AND(MONTH(D1511)=MONTH(EDATE(TODAY(),0-1)),YEAR(D1511)=YEAR(EDATE(TODAY(),0-1)))</formula>
    </cfRule>
    <cfRule type="cellIs" dxfId="545" priority="448" operator="equal">
      <formula>$AM$1361</formula>
    </cfRule>
  </conditionalFormatting>
  <conditionalFormatting sqref="D1517">
    <cfRule type="cellIs" dxfId="544" priority="443" operator="equal">
      <formula>$AQ$1357</formula>
    </cfRule>
  </conditionalFormatting>
  <conditionalFormatting sqref="D1519">
    <cfRule type="cellIs" dxfId="543" priority="362" operator="equal">
      <formula>$AS$1359</formula>
    </cfRule>
  </conditionalFormatting>
  <conditionalFormatting sqref="D1521">
    <cfRule type="timePeriod" dxfId="542" priority="436" timePeriod="lastWeek">
      <formula>AND(TODAY()-ROUNDDOWN(D1521,0)&gt;=(WEEKDAY(TODAY())),TODAY()-ROUNDDOWN(D1521,0)&lt;(WEEKDAY(TODAY())+7))</formula>
    </cfRule>
    <cfRule type="timePeriod" dxfId="541" priority="438" timePeriod="lastMonth">
      <formula>AND(MONTH(D1521)=MONTH(EDATE(TODAY(),0-1)),YEAR(D1521)=YEAR(EDATE(TODAY(),0-1)))</formula>
    </cfRule>
    <cfRule type="cellIs" dxfId="540" priority="440" operator="equal">
      <formula>$AM$1361</formula>
    </cfRule>
  </conditionalFormatting>
  <conditionalFormatting sqref="D1527">
    <cfRule type="cellIs" dxfId="539" priority="435" operator="equal">
      <formula>$AQ$1357</formula>
    </cfRule>
  </conditionalFormatting>
  <conditionalFormatting sqref="D1529">
    <cfRule type="cellIs" dxfId="538" priority="361" operator="equal">
      <formula>$AS$1359</formula>
    </cfRule>
  </conditionalFormatting>
  <conditionalFormatting sqref="D1531">
    <cfRule type="timePeriod" dxfId="537" priority="428" timePeriod="lastWeek">
      <formula>AND(TODAY()-ROUNDDOWN(D1531,0)&gt;=(WEEKDAY(TODAY())),TODAY()-ROUNDDOWN(D1531,0)&lt;(WEEKDAY(TODAY())+7))</formula>
    </cfRule>
    <cfRule type="timePeriod" dxfId="536" priority="430" timePeriod="lastMonth">
      <formula>AND(MONTH(D1531)=MONTH(EDATE(TODAY(),0-1)),YEAR(D1531)=YEAR(EDATE(TODAY(),0-1)))</formula>
    </cfRule>
    <cfRule type="cellIs" dxfId="535" priority="432" operator="equal">
      <formula>$AM$1361</formula>
    </cfRule>
  </conditionalFormatting>
  <conditionalFormatting sqref="D1537">
    <cfRule type="cellIs" dxfId="534" priority="427" operator="equal">
      <formula>$AQ$1357</formula>
    </cfRule>
  </conditionalFormatting>
  <conditionalFormatting sqref="D1539">
    <cfRule type="cellIs" dxfId="533" priority="360" operator="equal">
      <formula>$AS$1359</formula>
    </cfRule>
  </conditionalFormatting>
  <conditionalFormatting sqref="D1541">
    <cfRule type="timePeriod" dxfId="532" priority="420" timePeriod="lastWeek">
      <formula>AND(TODAY()-ROUNDDOWN(D1541,0)&gt;=(WEEKDAY(TODAY())),TODAY()-ROUNDDOWN(D1541,0)&lt;(WEEKDAY(TODAY())+7))</formula>
    </cfRule>
    <cfRule type="timePeriod" dxfId="531" priority="422" timePeriod="lastMonth">
      <formula>AND(MONTH(D1541)=MONTH(EDATE(TODAY(),0-1)),YEAR(D1541)=YEAR(EDATE(TODAY(),0-1)))</formula>
    </cfRule>
    <cfRule type="cellIs" dxfId="530" priority="424" operator="equal">
      <formula>$AM$1361</formula>
    </cfRule>
  </conditionalFormatting>
  <conditionalFormatting sqref="D1547">
    <cfRule type="cellIs" dxfId="529" priority="419" operator="equal">
      <formula>$AQ$1357</formula>
    </cfRule>
  </conditionalFormatting>
  <conditionalFormatting sqref="D1549">
    <cfRule type="cellIs" dxfId="528" priority="359" operator="equal">
      <formula>$AS$1359</formula>
    </cfRule>
  </conditionalFormatting>
  <conditionalFormatting sqref="D1551">
    <cfRule type="timePeriod" dxfId="527" priority="412" timePeriod="lastWeek">
      <formula>AND(TODAY()-ROUNDDOWN(D1551,0)&gt;=(WEEKDAY(TODAY())),TODAY()-ROUNDDOWN(D1551,0)&lt;(WEEKDAY(TODAY())+7))</formula>
    </cfRule>
    <cfRule type="timePeriod" dxfId="526" priority="414" timePeriod="lastMonth">
      <formula>AND(MONTH(D1551)=MONTH(EDATE(TODAY(),0-1)),YEAR(D1551)=YEAR(EDATE(TODAY(),0-1)))</formula>
    </cfRule>
    <cfRule type="cellIs" dxfId="525" priority="416" operator="equal">
      <formula>$AM$1361</formula>
    </cfRule>
  </conditionalFormatting>
  <conditionalFormatting sqref="D1557">
    <cfRule type="cellIs" dxfId="524" priority="411" operator="equal">
      <formula>$AQ$1357</formula>
    </cfRule>
  </conditionalFormatting>
  <conditionalFormatting sqref="D1559">
    <cfRule type="cellIs" dxfId="523" priority="358" operator="equal">
      <formula>$AS$1359</formula>
    </cfRule>
  </conditionalFormatting>
  <conditionalFormatting sqref="D1561">
    <cfRule type="timePeriod" dxfId="522" priority="404" timePeriod="lastWeek">
      <formula>AND(TODAY()-ROUNDDOWN(D1561,0)&gt;=(WEEKDAY(TODAY())),TODAY()-ROUNDDOWN(D1561,0)&lt;(WEEKDAY(TODAY())+7))</formula>
    </cfRule>
    <cfRule type="timePeriod" dxfId="521" priority="406" timePeriod="lastMonth">
      <formula>AND(MONTH(D1561)=MONTH(EDATE(TODAY(),0-1)),YEAR(D1561)=YEAR(EDATE(TODAY(),0-1)))</formula>
    </cfRule>
    <cfRule type="cellIs" dxfId="520" priority="408" operator="equal">
      <formula>$AM$1361</formula>
    </cfRule>
  </conditionalFormatting>
  <conditionalFormatting sqref="D1567">
    <cfRule type="cellIs" dxfId="519" priority="403" operator="equal">
      <formula>$AQ$1357</formula>
    </cfRule>
  </conditionalFormatting>
  <conditionalFormatting sqref="D1569">
    <cfRule type="cellIs" dxfId="518" priority="357" operator="equal">
      <formula>$AS$1359</formula>
    </cfRule>
  </conditionalFormatting>
  <conditionalFormatting sqref="D1571">
    <cfRule type="timePeriod" dxfId="517" priority="396" timePeriod="lastWeek">
      <formula>AND(TODAY()-ROUNDDOWN(D1571,0)&gt;=(WEEKDAY(TODAY())),TODAY()-ROUNDDOWN(D1571,0)&lt;(WEEKDAY(TODAY())+7))</formula>
    </cfRule>
    <cfRule type="timePeriod" dxfId="516" priority="398" timePeriod="lastMonth">
      <formula>AND(MONTH(D1571)=MONTH(EDATE(TODAY(),0-1)),YEAR(D1571)=YEAR(EDATE(TODAY(),0-1)))</formula>
    </cfRule>
    <cfRule type="cellIs" dxfId="515" priority="400" operator="equal">
      <formula>$AM$1361</formula>
    </cfRule>
  </conditionalFormatting>
  <conditionalFormatting sqref="D1577">
    <cfRule type="cellIs" dxfId="514" priority="395" operator="equal">
      <formula>$AQ$1357</formula>
    </cfRule>
  </conditionalFormatting>
  <conditionalFormatting sqref="D1579">
    <cfRule type="cellIs" dxfId="513" priority="356" operator="equal">
      <formula>$AS$1359</formula>
    </cfRule>
  </conditionalFormatting>
  <conditionalFormatting sqref="D1581">
    <cfRule type="timePeriod" dxfId="512" priority="388" timePeriod="lastWeek">
      <formula>AND(TODAY()-ROUNDDOWN(D1581,0)&gt;=(WEEKDAY(TODAY())),TODAY()-ROUNDDOWN(D1581,0)&lt;(WEEKDAY(TODAY())+7))</formula>
    </cfRule>
    <cfRule type="timePeriod" dxfId="511" priority="390" timePeriod="lastMonth">
      <formula>AND(MONTH(D1581)=MONTH(EDATE(TODAY(),0-1)),YEAR(D1581)=YEAR(EDATE(TODAY(),0-1)))</formula>
    </cfRule>
    <cfRule type="cellIs" dxfId="510" priority="392" operator="equal">
      <formula>$AM$1361</formula>
    </cfRule>
  </conditionalFormatting>
  <conditionalFormatting sqref="D1587">
    <cfRule type="cellIs" dxfId="509" priority="386" operator="equal">
      <formula>$AQ$1357</formula>
    </cfRule>
  </conditionalFormatting>
  <conditionalFormatting sqref="D1589">
    <cfRule type="cellIs" dxfId="508" priority="355" operator="equal">
      <formula>$AS$1359</formula>
    </cfRule>
  </conditionalFormatting>
  <conditionalFormatting sqref="D1591">
    <cfRule type="timePeriod" dxfId="507" priority="379" timePeriod="lastWeek">
      <formula>AND(TODAY()-ROUNDDOWN(D1591,0)&gt;=(WEEKDAY(TODAY())),TODAY()-ROUNDDOWN(D1591,0)&lt;(WEEKDAY(TODAY())+7))</formula>
    </cfRule>
    <cfRule type="timePeriod" dxfId="506" priority="381" timePeriod="lastMonth">
      <formula>AND(MONTH(D1591)=MONTH(EDATE(TODAY(),0-1)),YEAR(D1591)=YEAR(EDATE(TODAY(),0-1)))</formula>
    </cfRule>
    <cfRule type="cellIs" dxfId="505" priority="383" operator="equal">
      <formula>$AM$1361</formula>
    </cfRule>
  </conditionalFormatting>
  <conditionalFormatting sqref="D1637">
    <cfRule type="cellIs" dxfId="504" priority="583" operator="equal">
      <formula>$AJ$1636</formula>
    </cfRule>
  </conditionalFormatting>
  <conditionalFormatting sqref="D1647">
    <cfRule type="cellIs" dxfId="503" priority="581" operator="equal">
      <formula>$AJ$1636</formula>
    </cfRule>
  </conditionalFormatting>
  <conditionalFormatting sqref="D1657">
    <cfRule type="cellIs" dxfId="502" priority="579" operator="equal">
      <formula>$AJ$1636</formula>
    </cfRule>
  </conditionalFormatting>
  <conditionalFormatting sqref="D1667">
    <cfRule type="cellIs" dxfId="501" priority="577" operator="equal">
      <formula>$AJ$1636</formula>
    </cfRule>
  </conditionalFormatting>
  <conditionalFormatting sqref="D1677">
    <cfRule type="cellIs" dxfId="500" priority="575" operator="equal">
      <formula>$AJ$1636</formula>
    </cfRule>
  </conditionalFormatting>
  <conditionalFormatting sqref="D1687">
    <cfRule type="cellIs" dxfId="499" priority="573" operator="equal">
      <formula>$AJ$1636</formula>
    </cfRule>
  </conditionalFormatting>
  <conditionalFormatting sqref="D2373">
    <cfRule type="containsText" dxfId="455" priority="105" operator="containsText" text="pro">
      <formula>NOT(ISERROR(SEARCH("pro",D2373)))</formula>
    </cfRule>
    <cfRule type="containsText" dxfId="454" priority="106" operator="containsText" text="non">
      <formula>NOT(ISERROR(SEARCH("non",D2373)))</formula>
    </cfRule>
    <cfRule type="containsText" dxfId="453" priority="107" operator="containsText" text="anti">
      <formula>NOT(ISERROR(SEARCH("anti",D2373)))</formula>
    </cfRule>
  </conditionalFormatting>
  <conditionalFormatting sqref="D2375">
    <cfRule type="containsText" dxfId="452" priority="102" operator="containsText" text="pro">
      <formula>NOT(ISERROR(SEARCH("pro",D2375)))</formula>
    </cfRule>
    <cfRule type="containsText" dxfId="451" priority="103" operator="containsText" text="non">
      <formula>NOT(ISERROR(SEARCH("non",D2375)))</formula>
    </cfRule>
    <cfRule type="containsText" dxfId="450" priority="104" operator="containsText" text="anti">
      <formula>NOT(ISERROR(SEARCH("anti",D2375)))</formula>
    </cfRule>
  </conditionalFormatting>
  <conditionalFormatting sqref="D2377">
    <cfRule type="containsText" dxfId="449" priority="99" operator="containsText" text="pro">
      <formula>NOT(ISERROR(SEARCH("pro",D2377)))</formula>
    </cfRule>
    <cfRule type="containsText" dxfId="448" priority="100" operator="containsText" text="non">
      <formula>NOT(ISERROR(SEARCH("non",D2377)))</formula>
    </cfRule>
    <cfRule type="containsText" dxfId="447" priority="101" operator="containsText" text="anti">
      <formula>NOT(ISERROR(SEARCH("anti",D2377)))</formula>
    </cfRule>
  </conditionalFormatting>
  <conditionalFormatting sqref="D2379">
    <cfRule type="containsText" dxfId="446" priority="96" operator="containsText" text="pro">
      <formula>NOT(ISERROR(SEARCH("pro",D2379)))</formula>
    </cfRule>
    <cfRule type="containsText" dxfId="445" priority="97" operator="containsText" text="non">
      <formula>NOT(ISERROR(SEARCH("non",D2379)))</formula>
    </cfRule>
    <cfRule type="containsText" dxfId="444" priority="98" operator="containsText" text="anti">
      <formula>NOT(ISERROR(SEARCH("anti",D2379)))</formula>
    </cfRule>
  </conditionalFormatting>
  <conditionalFormatting sqref="D2381">
    <cfRule type="containsText" dxfId="443" priority="93" operator="containsText" text="pro">
      <formula>NOT(ISERROR(SEARCH("pro",D2381)))</formula>
    </cfRule>
    <cfRule type="containsText" dxfId="442" priority="94" operator="containsText" text="non">
      <formula>NOT(ISERROR(SEARCH("non",D2381)))</formula>
    </cfRule>
    <cfRule type="containsText" dxfId="441" priority="95" operator="containsText" text="anti">
      <formula>NOT(ISERROR(SEARCH("anti",D2381)))</formula>
    </cfRule>
  </conditionalFormatting>
  <conditionalFormatting sqref="D2383">
    <cfRule type="containsText" dxfId="440" priority="90" operator="containsText" text="pro">
      <formula>NOT(ISERROR(SEARCH("pro",D2383)))</formula>
    </cfRule>
    <cfRule type="containsText" dxfId="439" priority="91" operator="containsText" text="non">
      <formula>NOT(ISERROR(SEARCH("non",D2383)))</formula>
    </cfRule>
    <cfRule type="containsText" dxfId="438" priority="92" operator="containsText" text="anti">
      <formula>NOT(ISERROR(SEARCH("anti",D2383)))</formula>
    </cfRule>
  </conditionalFormatting>
  <conditionalFormatting sqref="D2385">
    <cfRule type="containsText" dxfId="437" priority="87" operator="containsText" text="pro">
      <formula>NOT(ISERROR(SEARCH("pro",D2385)))</formula>
    </cfRule>
    <cfRule type="containsText" dxfId="436" priority="88" operator="containsText" text="non">
      <formula>NOT(ISERROR(SEARCH("non",D2385)))</formula>
    </cfRule>
    <cfRule type="containsText" dxfId="435" priority="89" operator="containsText" text="anti">
      <formula>NOT(ISERROR(SEARCH("anti",D2385)))</formula>
    </cfRule>
  </conditionalFormatting>
  <conditionalFormatting sqref="D2387">
    <cfRule type="containsText" dxfId="434" priority="84" operator="containsText" text="pro">
      <formula>NOT(ISERROR(SEARCH("pro",D2387)))</formula>
    </cfRule>
    <cfRule type="containsText" dxfId="433" priority="85" operator="containsText" text="non">
      <formula>NOT(ISERROR(SEARCH("non",D2387)))</formula>
    </cfRule>
    <cfRule type="containsText" dxfId="432" priority="86" operator="containsText" text="anti">
      <formula>NOT(ISERROR(SEARCH("anti",D2387)))</formula>
    </cfRule>
  </conditionalFormatting>
  <conditionalFormatting sqref="D2389">
    <cfRule type="containsText" dxfId="431" priority="81" operator="containsText" text="pro">
      <formula>NOT(ISERROR(SEARCH("pro",D2389)))</formula>
    </cfRule>
    <cfRule type="containsText" dxfId="430" priority="82" operator="containsText" text="non">
      <formula>NOT(ISERROR(SEARCH("non",D2389)))</formula>
    </cfRule>
    <cfRule type="containsText" dxfId="429" priority="83" operator="containsText" text="anti">
      <formula>NOT(ISERROR(SEARCH("anti",D2389)))</formula>
    </cfRule>
  </conditionalFormatting>
  <conditionalFormatting sqref="E526">
    <cfRule type="cellIs" dxfId="426" priority="604" operator="equal">
      <formula>$B$498</formula>
    </cfRule>
  </conditionalFormatting>
  <conditionalFormatting sqref="E527">
    <cfRule type="cellIs" dxfId="425" priority="603" operator="equal">
      <formula>$B498</formula>
    </cfRule>
  </conditionalFormatting>
  <conditionalFormatting sqref="E531">
    <cfRule type="cellIs" dxfId="424" priority="819" operator="equal">
      <formula>$E526</formula>
    </cfRule>
  </conditionalFormatting>
  <conditionalFormatting sqref="E532">
    <cfRule type="cellIs" dxfId="423" priority="818" operator="equal">
      <formula>$E527</formula>
    </cfRule>
  </conditionalFormatting>
  <conditionalFormatting sqref="E537">
    <cfRule type="cellIs" dxfId="422" priority="817" operator="equal">
      <formula>$E$531</formula>
    </cfRule>
  </conditionalFormatting>
  <conditionalFormatting sqref="E538">
    <cfRule type="cellIs" dxfId="421" priority="816" operator="equal">
      <formula>$E532</formula>
    </cfRule>
  </conditionalFormatting>
  <conditionalFormatting sqref="E539">
    <cfRule type="cellIs" dxfId="420" priority="1117" operator="equal">
      <formula>E534</formula>
    </cfRule>
  </conditionalFormatting>
  <conditionalFormatting sqref="E542">
    <cfRule type="cellIs" dxfId="419" priority="847" operator="equal">
      <formula>$E537</formula>
    </cfRule>
  </conditionalFormatting>
  <conditionalFormatting sqref="E543">
    <cfRule type="cellIs" dxfId="418" priority="848" operator="equal">
      <formula>$E$538</formula>
    </cfRule>
  </conditionalFormatting>
  <conditionalFormatting sqref="E545">
    <cfRule type="cellIs" dxfId="417" priority="1116" operator="equal">
      <formula>E539</formula>
    </cfRule>
  </conditionalFormatting>
  <conditionalFormatting sqref="E548">
    <cfRule type="cellIs" dxfId="416" priority="845" operator="equal">
      <formula>$E$542</formula>
    </cfRule>
  </conditionalFormatting>
  <conditionalFormatting sqref="E549">
    <cfRule type="cellIs" dxfId="415" priority="846" operator="equal">
      <formula>$E543</formula>
    </cfRule>
  </conditionalFormatting>
  <conditionalFormatting sqref="E550">
    <cfRule type="cellIs" dxfId="414" priority="1115" operator="equal">
      <formula>E545</formula>
    </cfRule>
  </conditionalFormatting>
  <conditionalFormatting sqref="E553">
    <cfRule type="cellIs" dxfId="413" priority="840" operator="equal">
      <formula>$E$548</formula>
    </cfRule>
  </conditionalFormatting>
  <conditionalFormatting sqref="E554">
    <cfRule type="cellIs" dxfId="412" priority="844" operator="equal">
      <formula>$E549</formula>
    </cfRule>
  </conditionalFormatting>
  <conditionalFormatting sqref="E561">
    <cfRule type="cellIs" dxfId="411" priority="839" operator="equal">
      <formula>$E$553</formula>
    </cfRule>
  </conditionalFormatting>
  <conditionalFormatting sqref="E562">
    <cfRule type="cellIs" dxfId="410" priority="843" operator="equal">
      <formula>$E554</formula>
    </cfRule>
  </conditionalFormatting>
  <conditionalFormatting sqref="E566">
    <cfRule type="cellIs" dxfId="409" priority="837" operator="equal">
      <formula>$E561</formula>
    </cfRule>
  </conditionalFormatting>
  <conditionalFormatting sqref="E567">
    <cfRule type="cellIs" dxfId="408" priority="842" operator="equal">
      <formula>$E562</formula>
    </cfRule>
  </conditionalFormatting>
  <conditionalFormatting sqref="E571">
    <cfRule type="cellIs" dxfId="407" priority="822" operator="equal">
      <formula>$E566</formula>
    </cfRule>
  </conditionalFormatting>
  <conditionalFormatting sqref="E572">
    <cfRule type="cellIs" dxfId="406" priority="823" operator="equal">
      <formula>$E567</formula>
    </cfRule>
  </conditionalFormatting>
  <conditionalFormatting sqref="E577">
    <cfRule type="cellIs" dxfId="405" priority="821" operator="equal">
      <formula>$E571</formula>
    </cfRule>
  </conditionalFormatting>
  <conditionalFormatting sqref="E578">
    <cfRule type="cellIs" dxfId="404" priority="820" operator="equal">
      <formula>$E572</formula>
    </cfRule>
  </conditionalFormatting>
  <conditionalFormatting sqref="E582">
    <cfRule type="cellIs" dxfId="403" priority="841" operator="equal">
      <formula>$E577</formula>
    </cfRule>
  </conditionalFormatting>
  <conditionalFormatting sqref="E583">
    <cfRule type="cellIs" dxfId="402" priority="836" operator="equal">
      <formula>$E578</formula>
    </cfRule>
  </conditionalFormatting>
  <conditionalFormatting sqref="E587">
    <cfRule type="cellIs" dxfId="401" priority="838" operator="equal">
      <formula>$E582</formula>
    </cfRule>
  </conditionalFormatting>
  <conditionalFormatting sqref="E588">
    <cfRule type="cellIs" dxfId="400" priority="835" operator="equal">
      <formula>$E583</formula>
    </cfRule>
  </conditionalFormatting>
  <conditionalFormatting sqref="E595">
    <cfRule type="cellIs" dxfId="399" priority="831" operator="equal">
      <formula>$E587</formula>
    </cfRule>
  </conditionalFormatting>
  <conditionalFormatting sqref="E596">
    <cfRule type="cellIs" dxfId="398" priority="830" operator="equal">
      <formula>$E588</formula>
    </cfRule>
  </conditionalFormatting>
  <conditionalFormatting sqref="E600">
    <cfRule type="cellIs" dxfId="397" priority="834" operator="equal">
      <formula>$E595</formula>
    </cfRule>
  </conditionalFormatting>
  <conditionalFormatting sqref="E601">
    <cfRule type="cellIs" dxfId="396" priority="833" operator="equal">
      <formula>$E596</formula>
    </cfRule>
  </conditionalFormatting>
  <conditionalFormatting sqref="E605">
    <cfRule type="cellIs" dxfId="395" priority="832" operator="equal">
      <formula>$E600</formula>
    </cfRule>
  </conditionalFormatting>
  <conditionalFormatting sqref="E606">
    <cfRule type="cellIs" dxfId="394" priority="815" operator="equal">
      <formula>$E601</formula>
    </cfRule>
  </conditionalFormatting>
  <conditionalFormatting sqref="E611">
    <cfRule type="cellIs" dxfId="393" priority="814" operator="equal">
      <formula>$E605</formula>
    </cfRule>
  </conditionalFormatting>
  <conditionalFormatting sqref="E612">
    <cfRule type="cellIs" dxfId="392" priority="813" operator="equal">
      <formula>$E606</formula>
    </cfRule>
  </conditionalFormatting>
  <conditionalFormatting sqref="E616">
    <cfRule type="cellIs" dxfId="391" priority="812" operator="equal">
      <formula>$E611</formula>
    </cfRule>
  </conditionalFormatting>
  <conditionalFormatting sqref="E617">
    <cfRule type="cellIs" dxfId="390" priority="811" operator="equal">
      <formula>$E612</formula>
    </cfRule>
  </conditionalFormatting>
  <conditionalFormatting sqref="E621">
    <cfRule type="cellIs" dxfId="389" priority="810" operator="equal">
      <formula>$E616</formula>
    </cfRule>
  </conditionalFormatting>
  <conditionalFormatting sqref="E622">
    <cfRule type="cellIs" dxfId="388" priority="809" operator="equal">
      <formula>$E617</formula>
    </cfRule>
  </conditionalFormatting>
  <conditionalFormatting sqref="E629">
    <cfRule type="cellIs" dxfId="387" priority="829" operator="equal">
      <formula>$E621</formula>
    </cfRule>
  </conditionalFormatting>
  <conditionalFormatting sqref="E630">
    <cfRule type="cellIs" dxfId="386" priority="828" operator="equal">
      <formula>$E622</formula>
    </cfRule>
  </conditionalFormatting>
  <conditionalFormatting sqref="E634">
    <cfRule type="cellIs" dxfId="385" priority="808" operator="equal">
      <formula>$E629</formula>
    </cfRule>
  </conditionalFormatting>
  <conditionalFormatting sqref="E635">
    <cfRule type="cellIs" dxfId="384" priority="807" operator="equal">
      <formula>$E630</formula>
    </cfRule>
  </conditionalFormatting>
  <conditionalFormatting sqref="E639">
    <cfRule type="cellIs" dxfId="383" priority="806" operator="equal">
      <formula>$E634</formula>
    </cfRule>
  </conditionalFormatting>
  <conditionalFormatting sqref="E640">
    <cfRule type="cellIs" dxfId="382" priority="805" operator="equal">
      <formula>$E635</formula>
    </cfRule>
  </conditionalFormatting>
  <conditionalFormatting sqref="E645">
    <cfRule type="cellIs" dxfId="381" priority="800" operator="equal">
      <formula>$E639</formula>
    </cfRule>
  </conditionalFormatting>
  <conditionalFormatting sqref="E646">
    <cfRule type="cellIs" dxfId="380" priority="799" operator="equal">
      <formula>$E640</formula>
    </cfRule>
  </conditionalFormatting>
  <conditionalFormatting sqref="E650">
    <cfRule type="cellIs" dxfId="379" priority="804" operator="equal">
      <formula>$E645</formula>
    </cfRule>
  </conditionalFormatting>
  <conditionalFormatting sqref="E651">
    <cfRule type="cellIs" dxfId="378" priority="803" operator="equal">
      <formula>$E646</formula>
    </cfRule>
  </conditionalFormatting>
  <conditionalFormatting sqref="E655">
    <cfRule type="cellIs" dxfId="377" priority="802" operator="equal">
      <formula>$E650</formula>
    </cfRule>
  </conditionalFormatting>
  <conditionalFormatting sqref="E656">
    <cfRule type="cellIs" dxfId="376" priority="801" operator="equal">
      <formula>$E651</formula>
    </cfRule>
  </conditionalFormatting>
  <conditionalFormatting sqref="E663">
    <cfRule type="cellIs" dxfId="375" priority="827" operator="equal">
      <formula>$E655</formula>
    </cfRule>
  </conditionalFormatting>
  <conditionalFormatting sqref="E664">
    <cfRule type="cellIs" dxfId="374" priority="774" operator="equal">
      <formula>$E656</formula>
    </cfRule>
  </conditionalFormatting>
  <conditionalFormatting sqref="E668">
    <cfRule type="cellIs" dxfId="373" priority="798" operator="equal">
      <formula>$E663</formula>
    </cfRule>
  </conditionalFormatting>
  <conditionalFormatting sqref="E669">
    <cfRule type="cellIs" dxfId="372" priority="797" operator="equal">
      <formula>$E664</formula>
    </cfRule>
  </conditionalFormatting>
  <conditionalFormatting sqref="E673">
    <cfRule type="cellIs" dxfId="371" priority="796" operator="equal">
      <formula>$E668</formula>
    </cfRule>
  </conditionalFormatting>
  <conditionalFormatting sqref="E674">
    <cfRule type="cellIs" dxfId="370" priority="795" operator="equal">
      <formula>$E669</formula>
    </cfRule>
  </conditionalFormatting>
  <conditionalFormatting sqref="E679">
    <cfRule type="cellIs" dxfId="369" priority="773" operator="equal">
      <formula>$E673</formula>
    </cfRule>
  </conditionalFormatting>
  <conditionalFormatting sqref="E680">
    <cfRule type="cellIs" dxfId="368" priority="772" operator="equal">
      <formula>$E674</formula>
    </cfRule>
  </conditionalFormatting>
  <conditionalFormatting sqref="E684">
    <cfRule type="cellIs" dxfId="367" priority="776" operator="equal">
      <formula>$E679</formula>
    </cfRule>
  </conditionalFormatting>
  <conditionalFormatting sqref="E685">
    <cfRule type="cellIs" dxfId="366" priority="775" operator="equal">
      <formula>$E680</formula>
    </cfRule>
  </conditionalFormatting>
  <conditionalFormatting sqref="E689">
    <cfRule type="cellIs" dxfId="365" priority="794" operator="equal">
      <formula>$E684</formula>
    </cfRule>
  </conditionalFormatting>
  <conditionalFormatting sqref="E690">
    <cfRule type="cellIs" dxfId="364" priority="793" operator="equal">
      <formula>$E685</formula>
    </cfRule>
  </conditionalFormatting>
  <conditionalFormatting sqref="E695">
    <cfRule type="cellIs" dxfId="363" priority="792" operator="equal">
      <formula>$E689</formula>
    </cfRule>
  </conditionalFormatting>
  <conditionalFormatting sqref="E696">
    <cfRule type="cellIs" dxfId="362" priority="791" operator="equal">
      <formula>$E690</formula>
    </cfRule>
  </conditionalFormatting>
  <conditionalFormatting sqref="E711">
    <cfRule type="cellIs" dxfId="361" priority="826" operator="equal">
      <formula>$E695</formula>
    </cfRule>
  </conditionalFormatting>
  <conditionalFormatting sqref="E712">
    <cfRule type="cellIs" dxfId="360" priority="777" operator="equal">
      <formula>$E696</formula>
    </cfRule>
  </conditionalFormatting>
  <conditionalFormatting sqref="E716">
    <cfRule type="cellIs" dxfId="359" priority="790" operator="equal">
      <formula>$E711</formula>
    </cfRule>
  </conditionalFormatting>
  <conditionalFormatting sqref="E717">
    <cfRule type="cellIs" dxfId="358" priority="789" operator="equal">
      <formula>$E712</formula>
    </cfRule>
  </conditionalFormatting>
  <conditionalFormatting sqref="E721">
    <cfRule type="cellIs" dxfId="357" priority="788" operator="equal">
      <formula>$E716</formula>
    </cfRule>
  </conditionalFormatting>
  <conditionalFormatting sqref="E722">
    <cfRule type="cellIs" dxfId="356" priority="787" operator="equal">
      <formula>$E717</formula>
    </cfRule>
  </conditionalFormatting>
  <conditionalFormatting sqref="E727">
    <cfRule type="cellIs" dxfId="355" priority="786" operator="equal">
      <formula>$E721</formula>
    </cfRule>
  </conditionalFormatting>
  <conditionalFormatting sqref="E728">
    <cfRule type="cellIs" dxfId="354" priority="785" operator="equal">
      <formula>$E722</formula>
    </cfRule>
  </conditionalFormatting>
  <conditionalFormatting sqref="E732">
    <cfRule type="cellIs" dxfId="353" priority="784" operator="equal">
      <formula>$E727</formula>
    </cfRule>
  </conditionalFormatting>
  <conditionalFormatting sqref="E733">
    <cfRule type="cellIs" dxfId="352" priority="783" operator="equal">
      <formula>$E728</formula>
    </cfRule>
  </conditionalFormatting>
  <conditionalFormatting sqref="E737">
    <cfRule type="cellIs" dxfId="351" priority="782" operator="equal">
      <formula>$E732</formula>
    </cfRule>
  </conditionalFormatting>
  <conditionalFormatting sqref="E738">
    <cfRule type="cellIs" dxfId="350" priority="781" operator="equal">
      <formula>$E733</formula>
    </cfRule>
  </conditionalFormatting>
  <conditionalFormatting sqref="E742">
    <cfRule type="cellIs" dxfId="349" priority="780" operator="equal">
      <formula>$E737</formula>
    </cfRule>
  </conditionalFormatting>
  <conditionalFormatting sqref="E743">
    <cfRule type="cellIs" dxfId="348" priority="779" operator="equal">
      <formula>$E738</formula>
    </cfRule>
  </conditionalFormatting>
  <conditionalFormatting sqref="E750">
    <cfRule type="cellIs" dxfId="347" priority="825" operator="equal">
      <formula>$E742</formula>
    </cfRule>
  </conditionalFormatting>
  <conditionalFormatting sqref="E751">
    <cfRule type="cellIs" dxfId="346" priority="778" operator="equal">
      <formula>$E743</formula>
    </cfRule>
  </conditionalFormatting>
  <conditionalFormatting sqref="E760">
    <cfRule type="cellIs" dxfId="345" priority="824" operator="equal">
      <formula>$E750</formula>
    </cfRule>
  </conditionalFormatting>
  <conditionalFormatting sqref="E761">
    <cfRule type="cellIs" dxfId="344" priority="763" operator="equal">
      <formula>$E751</formula>
    </cfRule>
  </conditionalFormatting>
  <conditionalFormatting sqref="E765">
    <cfRule type="cellIs" dxfId="343" priority="771" operator="equal">
      <formula>$E760</formula>
    </cfRule>
  </conditionalFormatting>
  <conditionalFormatting sqref="E766">
    <cfRule type="cellIs" dxfId="342" priority="770" operator="equal">
      <formula>$E761</formula>
    </cfRule>
  </conditionalFormatting>
  <conditionalFormatting sqref="E770">
    <cfRule type="cellIs" dxfId="341" priority="769" operator="equal">
      <formula>$E765</formula>
    </cfRule>
  </conditionalFormatting>
  <conditionalFormatting sqref="E771">
    <cfRule type="cellIs" dxfId="340" priority="768" operator="equal">
      <formula>$E766</formula>
    </cfRule>
  </conditionalFormatting>
  <conditionalFormatting sqref="E775">
    <cfRule type="cellIs" dxfId="339" priority="767" operator="equal">
      <formula>$E770</formula>
    </cfRule>
  </conditionalFormatting>
  <conditionalFormatting sqref="E776">
    <cfRule type="cellIs" dxfId="338" priority="766" operator="equal">
      <formula>$E771</formula>
    </cfRule>
  </conditionalFormatting>
  <conditionalFormatting sqref="E780">
    <cfRule type="cellIs" dxfId="337" priority="765" operator="equal">
      <formula>$E775</formula>
    </cfRule>
  </conditionalFormatting>
  <conditionalFormatting sqref="E781">
    <cfRule type="cellIs" dxfId="336" priority="764" operator="equal">
      <formula>$E776</formula>
    </cfRule>
  </conditionalFormatting>
  <conditionalFormatting sqref="E2173:F2173">
    <cfRule type="cellIs" dxfId="335" priority="191" operator="equal">
      <formula>0</formula>
    </cfRule>
    <cfRule type="cellIs" dxfId="334" priority="298" operator="equal">
      <formula>0</formula>
    </cfRule>
  </conditionalFormatting>
  <conditionalFormatting sqref="E2174:F2174">
    <cfRule type="cellIs" dxfId="333" priority="192" operator="equal">
      <formula>$E2173</formula>
    </cfRule>
  </conditionalFormatting>
  <conditionalFormatting sqref="E2174:F2217">
    <cfRule type="cellIs" dxfId="332" priority="299" operator="equal">
      <formula>0</formula>
    </cfRule>
  </conditionalFormatting>
  <conditionalFormatting sqref="E2175:F2175">
    <cfRule type="cellIs" dxfId="331" priority="195" operator="equal">
      <formula>$E2174</formula>
    </cfRule>
  </conditionalFormatting>
  <conditionalFormatting sqref="E2176:F2176">
    <cfRule type="cellIs" dxfId="330" priority="194" operator="equal">
      <formula>$E2175</formula>
    </cfRule>
  </conditionalFormatting>
  <conditionalFormatting sqref="E2177:F2216">
    <cfRule type="cellIs" dxfId="329" priority="193" operator="equal">
      <formula>$E2176</formula>
    </cfRule>
  </conditionalFormatting>
  <conditionalFormatting sqref="AC1156:AG1156">
    <cfRule type="cellIs" dxfId="328" priority="337" operator="between">
      <formula>0</formula>
      <formula>1</formula>
    </cfRule>
  </conditionalFormatting>
  <conditionalFormatting sqref="AG527:AL527">
    <cfRule type="cellIs" dxfId="327" priority="1109" operator="lessThan">
      <formula>0</formula>
    </cfRule>
    <cfRule type="cellIs" dxfId="326" priority="1110" operator="greaterThan">
      <formula>0</formula>
    </cfRule>
  </conditionalFormatting>
  <conditionalFormatting sqref="AG532:AL532">
    <cfRule type="cellIs" dxfId="325" priority="1101" operator="lessThan">
      <formula>0</formula>
    </cfRule>
    <cfRule type="cellIs" dxfId="324" priority="1102" operator="greaterThan">
      <formula>0</formula>
    </cfRule>
  </conditionalFormatting>
  <conditionalFormatting sqref="AG538:AL538">
    <cfRule type="cellIs" dxfId="323" priority="1095" operator="lessThan">
      <formula>0</formula>
    </cfRule>
    <cfRule type="cellIs" dxfId="322" priority="1096" operator="greaterThan">
      <formula>0</formula>
    </cfRule>
  </conditionalFormatting>
  <conditionalFormatting sqref="AG543:AL543">
    <cfRule type="cellIs" dxfId="321" priority="1089" operator="lessThan">
      <formula>0</formula>
    </cfRule>
    <cfRule type="cellIs" dxfId="320" priority="1090" operator="greaterThan">
      <formula>0</formula>
    </cfRule>
  </conditionalFormatting>
  <conditionalFormatting sqref="AG549:AL549">
    <cfRule type="cellIs" dxfId="319" priority="1083" operator="lessThan">
      <formula>0</formula>
    </cfRule>
    <cfRule type="cellIs" dxfId="318" priority="1084" operator="greaterThan">
      <formula>0</formula>
    </cfRule>
  </conditionalFormatting>
  <conditionalFormatting sqref="AG554:AL554">
    <cfRule type="cellIs" dxfId="317" priority="1077" operator="lessThan">
      <formula>0</formula>
    </cfRule>
    <cfRule type="cellIs" dxfId="316" priority="1078" operator="greaterThan">
      <formula>0</formula>
    </cfRule>
  </conditionalFormatting>
  <conditionalFormatting sqref="AG562:AL562">
    <cfRule type="cellIs" dxfId="315" priority="1071" operator="lessThan">
      <formula>0</formula>
    </cfRule>
    <cfRule type="cellIs" dxfId="314" priority="1072" operator="greaterThan">
      <formula>0</formula>
    </cfRule>
  </conditionalFormatting>
  <conditionalFormatting sqref="AG567:AL567">
    <cfRule type="cellIs" dxfId="313" priority="1065" operator="lessThan">
      <formula>0</formula>
    </cfRule>
    <cfRule type="cellIs" dxfId="312" priority="1066" operator="greaterThan">
      <formula>0</formula>
    </cfRule>
  </conditionalFormatting>
  <conditionalFormatting sqref="AG572:AL572">
    <cfRule type="cellIs" dxfId="311" priority="1059" operator="lessThan">
      <formula>0</formula>
    </cfRule>
    <cfRule type="cellIs" dxfId="310" priority="1060" operator="greaterThan">
      <formula>0</formula>
    </cfRule>
  </conditionalFormatting>
  <conditionalFormatting sqref="AG578:AL578">
    <cfRule type="cellIs" dxfId="309" priority="1053" operator="lessThan">
      <formula>0</formula>
    </cfRule>
    <cfRule type="cellIs" dxfId="308" priority="1054" operator="greaterThan">
      <formula>0</formula>
    </cfRule>
  </conditionalFormatting>
  <conditionalFormatting sqref="AG583:AL583">
    <cfRule type="cellIs" dxfId="307" priority="1047" operator="lessThan">
      <formula>0</formula>
    </cfRule>
    <cfRule type="cellIs" dxfId="306" priority="1048" operator="greaterThan">
      <formula>0</formula>
    </cfRule>
  </conditionalFormatting>
  <conditionalFormatting sqref="AG588:AL588">
    <cfRule type="cellIs" dxfId="305" priority="1041" operator="lessThan">
      <formula>0</formula>
    </cfRule>
    <cfRule type="cellIs" dxfId="304" priority="1042" operator="greaterThan">
      <formula>0</formula>
    </cfRule>
  </conditionalFormatting>
  <conditionalFormatting sqref="AG596:AL596">
    <cfRule type="cellIs" dxfId="303" priority="1035" operator="lessThan">
      <formula>0</formula>
    </cfRule>
    <cfRule type="cellIs" dxfId="302" priority="1036" operator="greaterThan">
      <formula>0</formula>
    </cfRule>
  </conditionalFormatting>
  <conditionalFormatting sqref="AG601:AL601">
    <cfRule type="cellIs" dxfId="301" priority="1029" operator="lessThan">
      <formula>0</formula>
    </cfRule>
    <cfRule type="cellIs" dxfId="300" priority="1030" operator="greaterThan">
      <formula>0</formula>
    </cfRule>
  </conditionalFormatting>
  <conditionalFormatting sqref="AG606:AL606">
    <cfRule type="cellIs" dxfId="299" priority="1023" operator="lessThan">
      <formula>0</formula>
    </cfRule>
    <cfRule type="cellIs" dxfId="298" priority="1024" operator="greaterThan">
      <formula>0</formula>
    </cfRule>
  </conditionalFormatting>
  <conditionalFormatting sqref="AG612:AL612">
    <cfRule type="cellIs" dxfId="297" priority="1017" operator="lessThan">
      <formula>0</formula>
    </cfRule>
    <cfRule type="cellIs" dxfId="296" priority="1018" operator="greaterThan">
      <formula>0</formula>
    </cfRule>
  </conditionalFormatting>
  <conditionalFormatting sqref="AG617:AL617">
    <cfRule type="cellIs" dxfId="295" priority="1011" operator="lessThan">
      <formula>0</formula>
    </cfRule>
    <cfRule type="cellIs" dxfId="294" priority="1012" operator="greaterThan">
      <formula>0</formula>
    </cfRule>
  </conditionalFormatting>
  <conditionalFormatting sqref="AG622:AL622">
    <cfRule type="cellIs" dxfId="293" priority="1005" operator="lessThan">
      <formula>0</formula>
    </cfRule>
    <cfRule type="cellIs" dxfId="292" priority="1006" operator="greaterThan">
      <formula>0</formula>
    </cfRule>
  </conditionalFormatting>
  <conditionalFormatting sqref="AG630:AL630">
    <cfRule type="cellIs" dxfId="291" priority="999" operator="lessThan">
      <formula>0</formula>
    </cfRule>
    <cfRule type="cellIs" dxfId="290" priority="1000" operator="greaterThan">
      <formula>0</formula>
    </cfRule>
  </conditionalFormatting>
  <conditionalFormatting sqref="AG635:AL635">
    <cfRule type="cellIs" dxfId="289" priority="993" operator="lessThan">
      <formula>0</formula>
    </cfRule>
    <cfRule type="cellIs" dxfId="288" priority="994" operator="greaterThan">
      <formula>0</formula>
    </cfRule>
  </conditionalFormatting>
  <conditionalFormatting sqref="AG640:AL640">
    <cfRule type="cellIs" dxfId="287" priority="987" operator="lessThan">
      <formula>0</formula>
    </cfRule>
    <cfRule type="cellIs" dxfId="286" priority="988" operator="greaterThan">
      <formula>0</formula>
    </cfRule>
  </conditionalFormatting>
  <conditionalFormatting sqref="AG646:AL646">
    <cfRule type="cellIs" dxfId="285" priority="981" operator="lessThan">
      <formula>0</formula>
    </cfRule>
    <cfRule type="cellIs" dxfId="284" priority="982" operator="greaterThan">
      <formula>0</formula>
    </cfRule>
  </conditionalFormatting>
  <conditionalFormatting sqref="AG651:AL651">
    <cfRule type="cellIs" dxfId="283" priority="975" operator="lessThan">
      <formula>0</formula>
    </cfRule>
    <cfRule type="cellIs" dxfId="282" priority="976" operator="greaterThan">
      <formula>0</formula>
    </cfRule>
  </conditionalFormatting>
  <conditionalFormatting sqref="AG656:AL656">
    <cfRule type="cellIs" dxfId="281" priority="969" operator="lessThan">
      <formula>0</formula>
    </cfRule>
    <cfRule type="cellIs" dxfId="280" priority="970" operator="greaterThan">
      <formula>0</formula>
    </cfRule>
  </conditionalFormatting>
  <conditionalFormatting sqref="AG664:AL664">
    <cfRule type="cellIs" dxfId="279" priority="963" operator="lessThan">
      <formula>0</formula>
    </cfRule>
    <cfRule type="cellIs" dxfId="278" priority="964" operator="greaterThan">
      <formula>0</formula>
    </cfRule>
  </conditionalFormatting>
  <conditionalFormatting sqref="AG669:AL669">
    <cfRule type="cellIs" dxfId="277" priority="957" operator="lessThan">
      <formula>0</formula>
    </cfRule>
    <cfRule type="cellIs" dxfId="276" priority="958" operator="greaterThan">
      <formula>0</formula>
    </cfRule>
  </conditionalFormatting>
  <conditionalFormatting sqref="AG674:AL674">
    <cfRule type="cellIs" dxfId="275" priority="951" operator="lessThan">
      <formula>0</formula>
    </cfRule>
    <cfRule type="cellIs" dxfId="274" priority="952" operator="greaterThan">
      <formula>0</formula>
    </cfRule>
  </conditionalFormatting>
  <conditionalFormatting sqref="AG680:AL680">
    <cfRule type="cellIs" dxfId="273" priority="945" operator="lessThan">
      <formula>0</formula>
    </cfRule>
    <cfRule type="cellIs" dxfId="272" priority="946" operator="greaterThan">
      <formula>0</formula>
    </cfRule>
  </conditionalFormatting>
  <conditionalFormatting sqref="AG685:AL685">
    <cfRule type="cellIs" dxfId="271" priority="939" operator="lessThan">
      <formula>0</formula>
    </cfRule>
    <cfRule type="cellIs" dxfId="270" priority="940" operator="greaterThan">
      <formula>0</formula>
    </cfRule>
  </conditionalFormatting>
  <conditionalFormatting sqref="AG690:AL691">
    <cfRule type="cellIs" dxfId="269" priority="933" operator="lessThan">
      <formula>0</formula>
    </cfRule>
    <cfRule type="cellIs" dxfId="268" priority="934" operator="greaterThan">
      <formula>0</formula>
    </cfRule>
  </conditionalFormatting>
  <conditionalFormatting sqref="AG696:AL696">
    <cfRule type="cellIs" dxfId="267" priority="927" operator="lessThan">
      <formula>0</formula>
    </cfRule>
    <cfRule type="cellIs" dxfId="266" priority="928" operator="greaterThan">
      <formula>0</formula>
    </cfRule>
  </conditionalFormatting>
  <conditionalFormatting sqref="AG712:AL712">
    <cfRule type="cellIs" dxfId="265" priority="921" operator="lessThan">
      <formula>0</formula>
    </cfRule>
    <cfRule type="cellIs" dxfId="264" priority="922" operator="greaterThan">
      <formula>0</formula>
    </cfRule>
  </conditionalFormatting>
  <conditionalFormatting sqref="AG717:AL717">
    <cfRule type="cellIs" dxfId="263" priority="915" operator="lessThan">
      <formula>0</formula>
    </cfRule>
    <cfRule type="cellIs" dxfId="262" priority="916" operator="greaterThan">
      <formula>0</formula>
    </cfRule>
  </conditionalFormatting>
  <conditionalFormatting sqref="AG722:AL723">
    <cfRule type="cellIs" dxfId="261" priority="909" operator="lessThan">
      <formula>0</formula>
    </cfRule>
    <cfRule type="cellIs" dxfId="260" priority="910" operator="greaterThan">
      <formula>0</formula>
    </cfRule>
  </conditionalFormatting>
  <conditionalFormatting sqref="AG728:AL728">
    <cfRule type="cellIs" dxfId="259" priority="903" operator="lessThan">
      <formula>0</formula>
    </cfRule>
    <cfRule type="cellIs" dxfId="258" priority="904" operator="greaterThan">
      <formula>0</formula>
    </cfRule>
  </conditionalFormatting>
  <conditionalFormatting sqref="AG733:AL733">
    <cfRule type="cellIs" dxfId="257" priority="897" operator="lessThan">
      <formula>0</formula>
    </cfRule>
    <cfRule type="cellIs" dxfId="256" priority="898" operator="greaterThan">
      <formula>0</formula>
    </cfRule>
  </conditionalFormatting>
  <conditionalFormatting sqref="AG738:AL738">
    <cfRule type="cellIs" dxfId="255" priority="891" operator="lessThan">
      <formula>0</formula>
    </cfRule>
    <cfRule type="cellIs" dxfId="254" priority="892" operator="greaterThan">
      <formula>0</formula>
    </cfRule>
  </conditionalFormatting>
  <conditionalFormatting sqref="AG743:AL743">
    <cfRule type="cellIs" dxfId="253" priority="885" operator="lessThan">
      <formula>0</formula>
    </cfRule>
    <cfRule type="cellIs" dxfId="252" priority="886" operator="greaterThan">
      <formula>0</formula>
    </cfRule>
  </conditionalFormatting>
  <conditionalFormatting sqref="AG751:AL751">
    <cfRule type="cellIs" dxfId="251" priority="879" operator="lessThan">
      <formula>0</formula>
    </cfRule>
    <cfRule type="cellIs" dxfId="250" priority="880" operator="greaterThan">
      <formula>0</formula>
    </cfRule>
  </conditionalFormatting>
  <conditionalFormatting sqref="AG761:AL761">
    <cfRule type="cellIs" dxfId="249" priority="873" operator="lessThan">
      <formula>0</formula>
    </cfRule>
    <cfRule type="cellIs" dxfId="248" priority="874" operator="greaterThan">
      <formula>0</formula>
    </cfRule>
  </conditionalFormatting>
  <conditionalFormatting sqref="AG766:AL766">
    <cfRule type="cellIs" dxfId="247" priority="867" operator="lessThan">
      <formula>0</formula>
    </cfRule>
    <cfRule type="cellIs" dxfId="246" priority="868" operator="greaterThan">
      <formula>0</formula>
    </cfRule>
  </conditionalFormatting>
  <conditionalFormatting sqref="AG771:AL771">
    <cfRule type="cellIs" dxfId="245" priority="861" operator="lessThan">
      <formula>0</formula>
    </cfRule>
    <cfRule type="cellIs" dxfId="244" priority="862" operator="greaterThan">
      <formula>0</formula>
    </cfRule>
  </conditionalFormatting>
  <conditionalFormatting sqref="AG776:AL776">
    <cfRule type="cellIs" dxfId="243" priority="855" operator="lessThan">
      <formula>0</formula>
    </cfRule>
    <cfRule type="cellIs" dxfId="242" priority="856" operator="greaterThan">
      <formula>0</formula>
    </cfRule>
  </conditionalFormatting>
  <conditionalFormatting sqref="AG781:AL781">
    <cfRule type="cellIs" dxfId="241" priority="849" operator="lessThan">
      <formula>0</formula>
    </cfRule>
    <cfRule type="cellIs" dxfId="240" priority="850" operator="greaterThan">
      <formula>0</formula>
    </cfRule>
  </conditionalFormatting>
  <conditionalFormatting sqref="AN527">
    <cfRule type="cellIs" dxfId="239" priority="1113" operator="lessThan">
      <formula>0</formula>
    </cfRule>
  </conditionalFormatting>
  <conditionalFormatting sqref="AN532">
    <cfRule type="cellIs" dxfId="238" priority="1105" operator="lessThan">
      <formula>0</formula>
    </cfRule>
  </conditionalFormatting>
  <conditionalFormatting sqref="AN538">
    <cfRule type="cellIs" dxfId="237" priority="1099" operator="lessThan">
      <formula>0</formula>
    </cfRule>
  </conditionalFormatting>
  <conditionalFormatting sqref="AN543">
    <cfRule type="cellIs" dxfId="236" priority="1093" operator="lessThan">
      <formula>0</formula>
    </cfRule>
  </conditionalFormatting>
  <conditionalFormatting sqref="AN549">
    <cfRule type="cellIs" dxfId="235" priority="1087" operator="lessThan">
      <formula>0</formula>
    </cfRule>
  </conditionalFormatting>
  <conditionalFormatting sqref="AN554">
    <cfRule type="cellIs" dxfId="234" priority="1081" operator="lessThan">
      <formula>0</formula>
    </cfRule>
  </conditionalFormatting>
  <conditionalFormatting sqref="AN562">
    <cfRule type="cellIs" dxfId="233" priority="1075" operator="lessThan">
      <formula>0</formula>
    </cfRule>
  </conditionalFormatting>
  <conditionalFormatting sqref="AN567">
    <cfRule type="cellIs" dxfId="232" priority="1069" operator="lessThan">
      <formula>0</formula>
    </cfRule>
  </conditionalFormatting>
  <conditionalFormatting sqref="AN572">
    <cfRule type="cellIs" dxfId="231" priority="1063" operator="lessThan">
      <formula>0</formula>
    </cfRule>
  </conditionalFormatting>
  <conditionalFormatting sqref="AN578">
    <cfRule type="cellIs" dxfId="230" priority="1057" operator="lessThan">
      <formula>0</formula>
    </cfRule>
  </conditionalFormatting>
  <conditionalFormatting sqref="AN583">
    <cfRule type="cellIs" dxfId="229" priority="1051" operator="lessThan">
      <formula>0</formula>
    </cfRule>
  </conditionalFormatting>
  <conditionalFormatting sqref="AN588">
    <cfRule type="cellIs" dxfId="228" priority="1045" operator="lessThan">
      <formula>0</formula>
    </cfRule>
  </conditionalFormatting>
  <conditionalFormatting sqref="AN596">
    <cfRule type="cellIs" dxfId="227" priority="1039" operator="lessThan">
      <formula>0</formula>
    </cfRule>
  </conditionalFormatting>
  <conditionalFormatting sqref="AN601">
    <cfRule type="cellIs" dxfId="226" priority="1033" operator="lessThan">
      <formula>0</formula>
    </cfRule>
  </conditionalFormatting>
  <conditionalFormatting sqref="AN606">
    <cfRule type="cellIs" dxfId="225" priority="1027" operator="lessThan">
      <formula>0</formula>
    </cfRule>
  </conditionalFormatting>
  <conditionalFormatting sqref="AN612">
    <cfRule type="cellIs" dxfId="224" priority="1021" operator="lessThan">
      <formula>0</formula>
    </cfRule>
  </conditionalFormatting>
  <conditionalFormatting sqref="AN617">
    <cfRule type="cellIs" dxfId="223" priority="1015" operator="lessThan">
      <formula>0</formula>
    </cfRule>
  </conditionalFormatting>
  <conditionalFormatting sqref="AN622">
    <cfRule type="cellIs" dxfId="222" priority="1009" operator="lessThan">
      <formula>0</formula>
    </cfRule>
  </conditionalFormatting>
  <conditionalFormatting sqref="AN630">
    <cfRule type="cellIs" dxfId="221" priority="1003" operator="lessThan">
      <formula>0</formula>
    </cfRule>
  </conditionalFormatting>
  <conditionalFormatting sqref="AN635">
    <cfRule type="cellIs" dxfId="220" priority="997" operator="lessThan">
      <formula>0</formula>
    </cfRule>
  </conditionalFormatting>
  <conditionalFormatting sqref="AN640">
    <cfRule type="cellIs" dxfId="219" priority="991" operator="lessThan">
      <formula>0</formula>
    </cfRule>
  </conditionalFormatting>
  <conditionalFormatting sqref="AN646">
    <cfRule type="cellIs" dxfId="218" priority="985" operator="lessThan">
      <formula>0</formula>
    </cfRule>
  </conditionalFormatting>
  <conditionalFormatting sqref="AN651">
    <cfRule type="cellIs" dxfId="217" priority="979" operator="lessThan">
      <formula>0</formula>
    </cfRule>
  </conditionalFormatting>
  <conditionalFormatting sqref="AN656">
    <cfRule type="cellIs" dxfId="216" priority="973" operator="lessThan">
      <formula>0</formula>
    </cfRule>
  </conditionalFormatting>
  <conditionalFormatting sqref="AN664">
    <cfRule type="cellIs" dxfId="215" priority="967" operator="lessThan">
      <formula>0</formula>
    </cfRule>
  </conditionalFormatting>
  <conditionalFormatting sqref="AN669">
    <cfRule type="cellIs" dxfId="214" priority="961" operator="lessThan">
      <formula>0</formula>
    </cfRule>
  </conditionalFormatting>
  <conditionalFormatting sqref="AN674">
    <cfRule type="cellIs" dxfId="213" priority="955" operator="lessThan">
      <formula>0</formula>
    </cfRule>
  </conditionalFormatting>
  <conditionalFormatting sqref="AN680">
    <cfRule type="cellIs" dxfId="212" priority="949" operator="lessThan">
      <formula>0</formula>
    </cfRule>
  </conditionalFormatting>
  <conditionalFormatting sqref="AN685">
    <cfRule type="cellIs" dxfId="211" priority="943" operator="lessThan">
      <formula>0</formula>
    </cfRule>
  </conditionalFormatting>
  <conditionalFormatting sqref="AN690:AN691">
    <cfRule type="cellIs" dxfId="210" priority="937" operator="lessThan">
      <formula>0</formula>
    </cfRule>
  </conditionalFormatting>
  <conditionalFormatting sqref="AN696">
    <cfRule type="cellIs" dxfId="209" priority="931" operator="lessThan">
      <formula>0</formula>
    </cfRule>
  </conditionalFormatting>
  <conditionalFormatting sqref="AN712">
    <cfRule type="cellIs" dxfId="208" priority="925" operator="lessThan">
      <formula>0</formula>
    </cfRule>
  </conditionalFormatting>
  <conditionalFormatting sqref="AN717">
    <cfRule type="cellIs" dxfId="207" priority="919" operator="lessThan">
      <formula>0</formula>
    </cfRule>
  </conditionalFormatting>
  <conditionalFormatting sqref="AN722:AN723">
    <cfRule type="cellIs" dxfId="206" priority="913" operator="lessThan">
      <formula>0</formula>
    </cfRule>
  </conditionalFormatting>
  <conditionalFormatting sqref="AN728">
    <cfRule type="cellIs" dxfId="205" priority="907" operator="lessThan">
      <formula>0</formula>
    </cfRule>
  </conditionalFormatting>
  <conditionalFormatting sqref="AN733">
    <cfRule type="cellIs" dxfId="204" priority="901" operator="lessThan">
      <formula>0</formula>
    </cfRule>
  </conditionalFormatting>
  <conditionalFormatting sqref="AN738">
    <cfRule type="cellIs" dxfId="203" priority="895" operator="lessThan">
      <formula>0</formula>
    </cfRule>
  </conditionalFormatting>
  <conditionalFormatting sqref="AN743">
    <cfRule type="cellIs" dxfId="202" priority="889" operator="lessThan">
      <formula>0</formula>
    </cfRule>
  </conditionalFormatting>
  <conditionalFormatting sqref="AN751">
    <cfRule type="cellIs" dxfId="201" priority="883" operator="lessThan">
      <formula>0</formula>
    </cfRule>
  </conditionalFormatting>
  <conditionalFormatting sqref="AN761">
    <cfRule type="cellIs" dxfId="200" priority="877" operator="lessThan">
      <formula>0</formula>
    </cfRule>
  </conditionalFormatting>
  <conditionalFormatting sqref="AN766">
    <cfRule type="cellIs" dxfId="199" priority="871" operator="lessThan">
      <formula>0</formula>
    </cfRule>
  </conditionalFormatting>
  <conditionalFormatting sqref="AN771">
    <cfRule type="cellIs" dxfId="198" priority="865" operator="lessThan">
      <formula>0</formula>
    </cfRule>
  </conditionalFormatting>
  <conditionalFormatting sqref="AN776">
    <cfRule type="cellIs" dxfId="197" priority="859" operator="lessThan">
      <formula>0</formula>
    </cfRule>
  </conditionalFormatting>
  <conditionalFormatting sqref="AN781">
    <cfRule type="cellIs" dxfId="196" priority="853" operator="lessThan">
      <formula>0</formula>
    </cfRule>
  </conditionalFormatting>
  <conditionalFormatting sqref="AN527:AU527">
    <cfRule type="cellIs" dxfId="195" priority="1112" operator="greaterThan">
      <formula>0</formula>
    </cfRule>
  </conditionalFormatting>
  <conditionalFormatting sqref="AN532:AU532">
    <cfRule type="cellIs" dxfId="194" priority="1104" operator="greaterThan">
      <formula>0</formula>
    </cfRule>
  </conditionalFormatting>
  <conditionalFormatting sqref="AN538:AU538">
    <cfRule type="cellIs" dxfId="193" priority="1098" operator="greaterThan">
      <formula>0</formula>
    </cfRule>
  </conditionalFormatting>
  <conditionalFormatting sqref="AN543:AU543">
    <cfRule type="cellIs" dxfId="192" priority="1092" operator="greaterThan">
      <formula>0</formula>
    </cfRule>
  </conditionalFormatting>
  <conditionalFormatting sqref="AN549:AU549">
    <cfRule type="cellIs" dxfId="191" priority="1086" operator="greaterThan">
      <formula>0</formula>
    </cfRule>
  </conditionalFormatting>
  <conditionalFormatting sqref="AN554:AU554">
    <cfRule type="cellIs" dxfId="190" priority="1080" operator="greaterThan">
      <formula>0</formula>
    </cfRule>
  </conditionalFormatting>
  <conditionalFormatting sqref="AN562:AU562">
    <cfRule type="cellIs" dxfId="189" priority="1074" operator="greaterThan">
      <formula>0</formula>
    </cfRule>
  </conditionalFormatting>
  <conditionalFormatting sqref="AN567:AU567">
    <cfRule type="cellIs" dxfId="188" priority="1068" operator="greaterThan">
      <formula>0</formula>
    </cfRule>
  </conditionalFormatting>
  <conditionalFormatting sqref="AN572:AU572">
    <cfRule type="cellIs" dxfId="187" priority="1062" operator="greaterThan">
      <formula>0</formula>
    </cfRule>
  </conditionalFormatting>
  <conditionalFormatting sqref="AN578:AU578">
    <cfRule type="cellIs" dxfId="186" priority="1056" operator="greaterThan">
      <formula>0</formula>
    </cfRule>
  </conditionalFormatting>
  <conditionalFormatting sqref="AN583:AU583">
    <cfRule type="cellIs" dxfId="185" priority="1050" operator="greaterThan">
      <formula>0</formula>
    </cfRule>
  </conditionalFormatting>
  <conditionalFormatting sqref="AN588:AU588">
    <cfRule type="cellIs" dxfId="184" priority="1044" operator="greaterThan">
      <formula>0</formula>
    </cfRule>
  </conditionalFormatting>
  <conditionalFormatting sqref="AN596:AU596">
    <cfRule type="cellIs" dxfId="183" priority="1038" operator="greaterThan">
      <formula>0</formula>
    </cfRule>
  </conditionalFormatting>
  <conditionalFormatting sqref="AN601:AU601">
    <cfRule type="cellIs" dxfId="182" priority="1032" operator="greaterThan">
      <formula>0</formula>
    </cfRule>
  </conditionalFormatting>
  <conditionalFormatting sqref="AN606:AU606">
    <cfRule type="cellIs" dxfId="181" priority="1026" operator="greaterThan">
      <formula>0</formula>
    </cfRule>
  </conditionalFormatting>
  <conditionalFormatting sqref="AN612:AU612">
    <cfRule type="cellIs" dxfId="180" priority="1020" operator="greaterThan">
      <formula>0</formula>
    </cfRule>
  </conditionalFormatting>
  <conditionalFormatting sqref="AN617:AU617">
    <cfRule type="cellIs" dxfId="179" priority="1014" operator="greaterThan">
      <formula>0</formula>
    </cfRule>
  </conditionalFormatting>
  <conditionalFormatting sqref="AN622:AU622">
    <cfRule type="cellIs" dxfId="178" priority="1008" operator="greaterThan">
      <formula>0</formula>
    </cfRule>
  </conditionalFormatting>
  <conditionalFormatting sqref="AN630:AU630">
    <cfRule type="cellIs" dxfId="177" priority="1002" operator="greaterThan">
      <formula>0</formula>
    </cfRule>
  </conditionalFormatting>
  <conditionalFormatting sqref="AN635:AU635">
    <cfRule type="cellIs" dxfId="176" priority="996" operator="greaterThan">
      <formula>0</formula>
    </cfRule>
  </conditionalFormatting>
  <conditionalFormatting sqref="AN640:AU640">
    <cfRule type="cellIs" dxfId="175" priority="990" operator="greaterThan">
      <formula>0</formula>
    </cfRule>
  </conditionalFormatting>
  <conditionalFormatting sqref="AN646:AU646">
    <cfRule type="cellIs" dxfId="174" priority="984" operator="greaterThan">
      <formula>0</formula>
    </cfRule>
  </conditionalFormatting>
  <conditionalFormatting sqref="AN651:AU651">
    <cfRule type="cellIs" dxfId="173" priority="978" operator="greaterThan">
      <formula>0</formula>
    </cfRule>
  </conditionalFormatting>
  <conditionalFormatting sqref="AN656:AU656">
    <cfRule type="cellIs" dxfId="172" priority="972" operator="greaterThan">
      <formula>0</formula>
    </cfRule>
  </conditionalFormatting>
  <conditionalFormatting sqref="AN664:AU664">
    <cfRule type="cellIs" dxfId="171" priority="966" operator="greaterThan">
      <formula>0</formula>
    </cfRule>
  </conditionalFormatting>
  <conditionalFormatting sqref="AN669:AU669">
    <cfRule type="cellIs" dxfId="170" priority="960" operator="greaterThan">
      <formula>0</formula>
    </cfRule>
  </conditionalFormatting>
  <conditionalFormatting sqref="AN674:AU674">
    <cfRule type="cellIs" dxfId="169" priority="954" operator="greaterThan">
      <formula>0</formula>
    </cfRule>
  </conditionalFormatting>
  <conditionalFormatting sqref="AN680:AU680">
    <cfRule type="cellIs" dxfId="168" priority="948" operator="greaterThan">
      <formula>0</formula>
    </cfRule>
  </conditionalFormatting>
  <conditionalFormatting sqref="AN685:AU685">
    <cfRule type="cellIs" dxfId="167" priority="942" operator="greaterThan">
      <formula>0</formula>
    </cfRule>
  </conditionalFormatting>
  <conditionalFormatting sqref="AN690:AU691">
    <cfRule type="cellIs" dxfId="166" priority="936" operator="greaterThan">
      <formula>0</formula>
    </cfRule>
  </conditionalFormatting>
  <conditionalFormatting sqref="AN696:AU696">
    <cfRule type="cellIs" dxfId="165" priority="930" operator="greaterThan">
      <formula>0</formula>
    </cfRule>
  </conditionalFormatting>
  <conditionalFormatting sqref="AN712:AU712">
    <cfRule type="cellIs" dxfId="164" priority="924" operator="greaterThan">
      <formula>0</formula>
    </cfRule>
  </conditionalFormatting>
  <conditionalFormatting sqref="AN717:AU717">
    <cfRule type="cellIs" dxfId="163" priority="918" operator="greaterThan">
      <formula>0</formula>
    </cfRule>
  </conditionalFormatting>
  <conditionalFormatting sqref="AN722:AU723">
    <cfRule type="cellIs" dxfId="162" priority="912" operator="greaterThan">
      <formula>0</formula>
    </cfRule>
  </conditionalFormatting>
  <conditionalFormatting sqref="AN728:AU728">
    <cfRule type="cellIs" dxfId="161" priority="906" operator="greaterThan">
      <formula>0</formula>
    </cfRule>
  </conditionalFormatting>
  <conditionalFormatting sqref="AN733:AU733">
    <cfRule type="cellIs" dxfId="160" priority="900" operator="greaterThan">
      <formula>0</formula>
    </cfRule>
  </conditionalFormatting>
  <conditionalFormatting sqref="AN738:AU738">
    <cfRule type="cellIs" dxfId="159" priority="894" operator="greaterThan">
      <formula>0</formula>
    </cfRule>
  </conditionalFormatting>
  <conditionalFormatting sqref="AN743:AU743">
    <cfRule type="cellIs" dxfId="158" priority="888" operator="greaterThan">
      <formula>0</formula>
    </cfRule>
  </conditionalFormatting>
  <conditionalFormatting sqref="AN751:AU751">
    <cfRule type="cellIs" dxfId="157" priority="882" operator="greaterThan">
      <formula>0</formula>
    </cfRule>
  </conditionalFormatting>
  <conditionalFormatting sqref="AN761:AU761">
    <cfRule type="cellIs" dxfId="156" priority="876" operator="greaterThan">
      <formula>0</formula>
    </cfRule>
  </conditionalFormatting>
  <conditionalFormatting sqref="AN766:AU766">
    <cfRule type="cellIs" dxfId="155" priority="870" operator="greaterThan">
      <formula>0</formula>
    </cfRule>
  </conditionalFormatting>
  <conditionalFormatting sqref="AN771:AU771">
    <cfRule type="cellIs" dxfId="154" priority="864" operator="greaterThan">
      <formula>0</formula>
    </cfRule>
  </conditionalFormatting>
  <conditionalFormatting sqref="AN776:AU776">
    <cfRule type="cellIs" dxfId="153" priority="858" operator="greaterThan">
      <formula>0</formula>
    </cfRule>
  </conditionalFormatting>
  <conditionalFormatting sqref="AN781:AU781">
    <cfRule type="cellIs" dxfId="152" priority="852" operator="greaterThan">
      <formula>0</formula>
    </cfRule>
  </conditionalFormatting>
  <conditionalFormatting sqref="AO834:AO853">
    <cfRule type="cellIs" dxfId="151" priority="742" operator="equal">
      <formula>0</formula>
    </cfRule>
  </conditionalFormatting>
  <conditionalFormatting sqref="AO527:AU527">
    <cfRule type="cellIs" dxfId="150" priority="1111" operator="lessThan">
      <formula>0</formula>
    </cfRule>
  </conditionalFormatting>
  <conditionalFormatting sqref="AO532:AU532">
    <cfRule type="cellIs" dxfId="149" priority="1103" operator="lessThan">
      <formula>0</formula>
    </cfRule>
  </conditionalFormatting>
  <conditionalFormatting sqref="AO538:AU538">
    <cfRule type="cellIs" dxfId="148" priority="1097" operator="lessThan">
      <formula>0</formula>
    </cfRule>
  </conditionalFormatting>
  <conditionalFormatting sqref="AO543:AU543">
    <cfRule type="cellIs" dxfId="147" priority="1091" operator="lessThan">
      <formula>0</formula>
    </cfRule>
  </conditionalFormatting>
  <conditionalFormatting sqref="AO549:AU549">
    <cfRule type="cellIs" dxfId="146" priority="1085" operator="lessThan">
      <formula>0</formula>
    </cfRule>
  </conditionalFormatting>
  <conditionalFormatting sqref="AO554:AU554">
    <cfRule type="cellIs" dxfId="145" priority="1079" operator="lessThan">
      <formula>0</formula>
    </cfRule>
  </conditionalFormatting>
  <conditionalFormatting sqref="AO562:AU562">
    <cfRule type="cellIs" dxfId="144" priority="1073" operator="lessThan">
      <formula>0</formula>
    </cfRule>
  </conditionalFormatting>
  <conditionalFormatting sqref="AO567:AU567">
    <cfRule type="cellIs" dxfId="143" priority="1067" operator="lessThan">
      <formula>0</formula>
    </cfRule>
  </conditionalFormatting>
  <conditionalFormatting sqref="AO572:AU572">
    <cfRule type="cellIs" dxfId="142" priority="1061" operator="lessThan">
      <formula>0</formula>
    </cfRule>
  </conditionalFormatting>
  <conditionalFormatting sqref="AO578:AU578">
    <cfRule type="cellIs" dxfId="141" priority="1055" operator="lessThan">
      <formula>0</formula>
    </cfRule>
  </conditionalFormatting>
  <conditionalFormatting sqref="AO583:AU583">
    <cfRule type="cellIs" dxfId="140" priority="1049" operator="lessThan">
      <formula>0</formula>
    </cfRule>
  </conditionalFormatting>
  <conditionalFormatting sqref="AO588:AU588">
    <cfRule type="cellIs" dxfId="139" priority="1043" operator="lessThan">
      <formula>0</formula>
    </cfRule>
  </conditionalFormatting>
  <conditionalFormatting sqref="AO596:AU596">
    <cfRule type="cellIs" dxfId="138" priority="1037" operator="lessThan">
      <formula>0</formula>
    </cfRule>
  </conditionalFormatting>
  <conditionalFormatting sqref="AO601:AU601">
    <cfRule type="cellIs" dxfId="137" priority="1031" operator="lessThan">
      <formula>0</formula>
    </cfRule>
  </conditionalFormatting>
  <conditionalFormatting sqref="AO606:AU606">
    <cfRule type="cellIs" dxfId="136" priority="1025" operator="lessThan">
      <formula>0</formula>
    </cfRule>
  </conditionalFormatting>
  <conditionalFormatting sqref="AO612:AU612">
    <cfRule type="cellIs" dxfId="135" priority="1019" operator="lessThan">
      <formula>0</formula>
    </cfRule>
  </conditionalFormatting>
  <conditionalFormatting sqref="AO617:AU617">
    <cfRule type="cellIs" dxfId="134" priority="1013" operator="lessThan">
      <formula>0</formula>
    </cfRule>
  </conditionalFormatting>
  <conditionalFormatting sqref="AO622:AU622">
    <cfRule type="cellIs" dxfId="133" priority="1007" operator="lessThan">
      <formula>0</formula>
    </cfRule>
  </conditionalFormatting>
  <conditionalFormatting sqref="AO630:AU630">
    <cfRule type="cellIs" dxfId="132" priority="1001" operator="lessThan">
      <formula>0</formula>
    </cfRule>
  </conditionalFormatting>
  <conditionalFormatting sqref="AO635:AU635">
    <cfRule type="cellIs" dxfId="131" priority="995" operator="lessThan">
      <formula>0</formula>
    </cfRule>
  </conditionalFormatting>
  <conditionalFormatting sqref="AO640:AU640">
    <cfRule type="cellIs" dxfId="130" priority="989" operator="lessThan">
      <formula>0</formula>
    </cfRule>
  </conditionalFormatting>
  <conditionalFormatting sqref="AO646:AU646">
    <cfRule type="cellIs" dxfId="129" priority="983" operator="lessThan">
      <formula>0</formula>
    </cfRule>
  </conditionalFormatting>
  <conditionalFormatting sqref="AO651:AU651">
    <cfRule type="cellIs" dxfId="128" priority="977" operator="lessThan">
      <formula>0</formula>
    </cfRule>
  </conditionalFormatting>
  <conditionalFormatting sqref="AO656:AU656">
    <cfRule type="cellIs" dxfId="127" priority="971" operator="lessThan">
      <formula>0</formula>
    </cfRule>
  </conditionalFormatting>
  <conditionalFormatting sqref="AO664:AU664">
    <cfRule type="cellIs" dxfId="126" priority="965" operator="lessThan">
      <formula>0</formula>
    </cfRule>
  </conditionalFormatting>
  <conditionalFormatting sqref="AO669:AU669">
    <cfRule type="cellIs" dxfId="125" priority="959" operator="lessThan">
      <formula>0</formula>
    </cfRule>
  </conditionalFormatting>
  <conditionalFormatting sqref="AO674:AU674">
    <cfRule type="cellIs" dxfId="124" priority="953" operator="lessThan">
      <formula>0</formula>
    </cfRule>
  </conditionalFormatting>
  <conditionalFormatting sqref="AO680:AU680">
    <cfRule type="cellIs" dxfId="123" priority="947" operator="lessThan">
      <formula>0</formula>
    </cfRule>
  </conditionalFormatting>
  <conditionalFormatting sqref="AO685:AU685">
    <cfRule type="cellIs" dxfId="122" priority="941" operator="lessThan">
      <formula>0</formula>
    </cfRule>
  </conditionalFormatting>
  <conditionalFormatting sqref="AO690:AU691">
    <cfRule type="cellIs" dxfId="121" priority="935" operator="lessThan">
      <formula>0</formula>
    </cfRule>
  </conditionalFormatting>
  <conditionalFormatting sqref="AO696:AU696">
    <cfRule type="cellIs" dxfId="120" priority="929" operator="lessThan">
      <formula>0</formula>
    </cfRule>
  </conditionalFormatting>
  <conditionalFormatting sqref="AO712:AU712">
    <cfRule type="cellIs" dxfId="119" priority="923" operator="lessThan">
      <formula>0</formula>
    </cfRule>
  </conditionalFormatting>
  <conditionalFormatting sqref="AO717:AU717">
    <cfRule type="cellIs" dxfId="118" priority="917" operator="lessThan">
      <formula>0</formula>
    </cfRule>
  </conditionalFormatting>
  <conditionalFormatting sqref="AO722:AU723">
    <cfRule type="cellIs" dxfId="117" priority="911" operator="lessThan">
      <formula>0</formula>
    </cfRule>
  </conditionalFormatting>
  <conditionalFormatting sqref="AO728:AU728">
    <cfRule type="cellIs" dxfId="116" priority="905" operator="lessThan">
      <formula>0</formula>
    </cfRule>
  </conditionalFormatting>
  <conditionalFormatting sqref="AO733:AU733">
    <cfRule type="cellIs" dxfId="115" priority="899" operator="lessThan">
      <formula>0</formula>
    </cfRule>
  </conditionalFormatting>
  <conditionalFormatting sqref="AO738:AU738">
    <cfRule type="cellIs" dxfId="114" priority="893" operator="lessThan">
      <formula>0</formula>
    </cfRule>
  </conditionalFormatting>
  <conditionalFormatting sqref="AO743:AU743">
    <cfRule type="cellIs" dxfId="113" priority="887" operator="lessThan">
      <formula>0</formula>
    </cfRule>
  </conditionalFormatting>
  <conditionalFormatting sqref="AO751:AU751">
    <cfRule type="cellIs" dxfId="112" priority="881" operator="lessThan">
      <formula>0</formula>
    </cfRule>
  </conditionalFormatting>
  <conditionalFormatting sqref="AO761:AU761">
    <cfRule type="cellIs" dxfId="111" priority="875" operator="lessThan">
      <formula>0</formula>
    </cfRule>
  </conditionalFormatting>
  <conditionalFormatting sqref="AO766:AU766">
    <cfRule type="cellIs" dxfId="110" priority="869" operator="lessThan">
      <formula>0</formula>
    </cfRule>
  </conditionalFormatting>
  <conditionalFormatting sqref="AO771:AU771">
    <cfRule type="cellIs" dxfId="109" priority="863" operator="lessThan">
      <formula>0</formula>
    </cfRule>
  </conditionalFormatting>
  <conditionalFormatting sqref="AO776:AU776">
    <cfRule type="cellIs" dxfId="108" priority="857" operator="lessThan">
      <formula>0</formula>
    </cfRule>
  </conditionalFormatting>
  <conditionalFormatting sqref="AO781:AU781">
    <cfRule type="cellIs" dxfId="107" priority="851" operator="lessThan">
      <formula>0</formula>
    </cfRule>
  </conditionalFormatting>
  <conditionalFormatting sqref="AP1156">
    <cfRule type="cellIs" dxfId="106" priority="336" operator="between">
      <formula>0</formula>
      <formula>1</formula>
    </cfRule>
  </conditionalFormatting>
  <conditionalFormatting sqref="AZ528">
    <cfRule type="cellIs" dxfId="105" priority="1107" operator="lessThan">
      <formula>0</formula>
    </cfRule>
    <cfRule type="cellIs" dxfId="104" priority="1108" operator="greaterThan">
      <formula>0</formula>
    </cfRule>
  </conditionalFormatting>
  <conditionalFormatting sqref="BG55:BH55">
    <cfRule type="cellIs" dxfId="93" priority="1127" operator="equal">
      <formula>$D$3401</formula>
    </cfRule>
    <cfRule type="cellIs" dxfId="92" priority="1128" operator="equal">
      <formula>$D$3400</formula>
    </cfRule>
    <cfRule type="cellIs" dxfId="91" priority="1129" operator="equal">
      <formula>$D$3399</formula>
    </cfRule>
  </conditionalFormatting>
  <conditionalFormatting sqref="BN3281:BN3284 BN3288 BN3291">
    <cfRule type="cellIs" dxfId="90" priority="333" operator="between">
      <formula>0</formula>
      <formula>1</formula>
    </cfRule>
    <cfRule type="cellIs" dxfId="89" priority="334" operator="between">
      <formula>0</formula>
      <formula>1</formula>
    </cfRule>
  </conditionalFormatting>
  <conditionalFormatting sqref="BN3285:BN3287">
    <cfRule type="cellIs" dxfId="88" priority="69" operator="between">
      <formula>0</formula>
      <formula>1</formula>
    </cfRule>
    <cfRule type="cellIs" dxfId="87" priority="70" operator="between">
      <formula>0</formula>
      <formula>1</formula>
    </cfRule>
  </conditionalFormatting>
  <conditionalFormatting sqref="BN3289:BN3290">
    <cfRule type="cellIs" dxfId="86" priority="67" operator="between">
      <formula>0</formula>
      <formula>1</formula>
    </cfRule>
    <cfRule type="cellIs" dxfId="85" priority="68" operator="between">
      <formula>0</formula>
      <formula>1</formula>
    </cfRule>
  </conditionalFormatting>
  <conditionalFormatting sqref="BN3292">
    <cfRule type="cellIs" dxfId="84" priority="65" operator="between">
      <formula>0</formula>
      <formula>1</formula>
    </cfRule>
    <cfRule type="cellIs" dxfId="83" priority="66" operator="between">
      <formula>0</formula>
      <formula>1</formula>
    </cfRule>
  </conditionalFormatting>
  <conditionalFormatting sqref="BN3293">
    <cfRule type="cellIs" dxfId="82" priority="335" operator="between">
      <formula>0</formula>
      <formula>1</formula>
    </cfRule>
  </conditionalFormatting>
  <conditionalFormatting sqref="BN3294">
    <cfRule type="cellIs" dxfId="81" priority="63" operator="between">
      <formula>0</formula>
      <formula>1</formula>
    </cfRule>
    <cfRule type="cellIs" dxfId="80" priority="64" operator="between">
      <formula>0</formula>
      <formula>1</formula>
    </cfRule>
  </conditionalFormatting>
  <conditionalFormatting sqref="BN3296:BN3297">
    <cfRule type="cellIs" dxfId="79" priority="61" operator="between">
      <formula>0</formula>
      <formula>1</formula>
    </cfRule>
    <cfRule type="cellIs" dxfId="78" priority="62" operator="between">
      <formula>0</formula>
      <formula>1</formula>
    </cfRule>
  </conditionalFormatting>
  <conditionalFormatting sqref="BN3299:BN3308">
    <cfRule type="cellIs" dxfId="77" priority="59" operator="between">
      <formula>0</formula>
      <formula>1</formula>
    </cfRule>
    <cfRule type="cellIs" dxfId="76" priority="60" operator="between">
      <formula>0</formula>
      <formula>1</formula>
    </cfRule>
  </conditionalFormatting>
  <conditionalFormatting sqref="BN3310:BN3311">
    <cfRule type="cellIs" dxfId="75" priority="57" operator="between">
      <formula>0</formula>
      <formula>1</formula>
    </cfRule>
    <cfRule type="cellIs" dxfId="74" priority="58" operator="between">
      <formula>0</formula>
      <formula>1</formula>
    </cfRule>
  </conditionalFormatting>
  <conditionalFormatting sqref="BN3313:BN3314">
    <cfRule type="cellIs" dxfId="73" priority="55" operator="between">
      <formula>0</formula>
      <formula>1</formula>
    </cfRule>
    <cfRule type="cellIs" dxfId="72" priority="56" operator="between">
      <formula>0</formula>
      <formula>1</formula>
    </cfRule>
  </conditionalFormatting>
  <conditionalFormatting sqref="BN3316:BN3317">
    <cfRule type="cellIs" dxfId="71" priority="53" operator="between">
      <formula>0</formula>
      <formula>1</formula>
    </cfRule>
    <cfRule type="cellIs" dxfId="70" priority="54" operator="between">
      <formula>0</formula>
      <formula>1</formula>
    </cfRule>
  </conditionalFormatting>
  <conditionalFormatting sqref="BN3323:BN3330">
    <cfRule type="cellIs" dxfId="69" priority="51" operator="between">
      <formula>0</formula>
      <formula>1</formula>
    </cfRule>
    <cfRule type="cellIs" dxfId="68" priority="52" operator="between">
      <formula>0</formula>
      <formula>1</formula>
    </cfRule>
  </conditionalFormatting>
  <conditionalFormatting sqref="D2314">
    <cfRule type="containsText" dxfId="65" priority="1" operator="containsText" text="Exaction Invoice">
      <formula>NOT(ISERROR(SEARCH("Exaction Invoice",D2314)))</formula>
    </cfRule>
  </conditionalFormatting>
  <dataValidations count="196">
    <dataValidation type="list" errorStyle="information" allowBlank="1" showInputMessage="1" showErrorMessage="1" sqref="B15:D21" xr:uid="{7AC08AE7-4F7E-4600-8156-ECE6C964C5BC}">
      <formula1>$BK$9:$BK$24</formula1>
    </dataValidation>
    <dataValidation type="list" allowBlank="1" showInputMessage="1" showErrorMessage="1" sqref="C2399" xr:uid="{230DE9DA-6F2C-4B40-8D45-A995AF6BFC74}">
      <formula1>$AG$2394:$AG$2397</formula1>
    </dataValidation>
    <dataValidation type="list" allowBlank="1" showInputMessage="1" showErrorMessage="1" sqref="B2342" xr:uid="{AD99F050-418B-42CE-9EEB-11B0AB3E7820}">
      <formula1>$AP$2339:$AP$2343</formula1>
    </dataValidation>
    <dataValidation type="list" allowBlank="1" showInputMessage="1" showErrorMessage="1" sqref="B2340" xr:uid="{EF4FB779-19B8-4C2F-B0A1-B324DAFF96DC}">
      <formula1>$AL$2351:$AL$2352</formula1>
    </dataValidation>
    <dataValidation type="list" allowBlank="1" showInputMessage="1" showErrorMessage="1" sqref="B2339" xr:uid="{7F3ECA2E-59F1-4784-ADED-6983AA12F00C}">
      <formula1>$AL$2349:$AL$2350</formula1>
    </dataValidation>
    <dataValidation type="list" allowBlank="1" showInputMessage="1" showErrorMessage="1" sqref="B2338" xr:uid="{074A3C68-7068-4DEF-9E07-B189712433BE}">
      <formula1>$AL$2347:$AL$2348</formula1>
    </dataValidation>
    <dataValidation type="list" allowBlank="1" showInputMessage="1" showErrorMessage="1" sqref="B2337" xr:uid="{5D1D5C51-A5BD-48EF-8E6B-1CA6159DDE7A}">
      <formula1>$AL$2345:$AL$2346</formula1>
    </dataValidation>
    <dataValidation type="list" allowBlank="1" showInputMessage="1" showErrorMessage="1" sqref="D2327:D2331" xr:uid="{B3CF19FF-A5A7-4E9C-92A6-91FDAB3B904D}">
      <formula1>$AW$2315:$AW$2318</formula1>
    </dataValidation>
    <dataValidation type="list" allowBlank="1" showInputMessage="1" showErrorMessage="1" sqref="D2314" xr:uid="{8A80B1D9-748C-4746-80C7-578448C0ADBB}">
      <formula1>$AD$2315:$AD$2318</formula1>
    </dataValidation>
    <dataValidation type="list" errorStyle="information" allowBlank="1" showInputMessage="1" showErrorMessage="1" sqref="C2336:D2336" xr:uid="{B96311D5-E40F-410B-9F17-F11D76E66251}">
      <formula1>$AD$2345:$AD$2350</formula1>
    </dataValidation>
    <dataValidation type="list" errorStyle="information" allowBlank="1" showInputMessage="1" showErrorMessage="1" errorTitle="Write in another recipient" sqref="C2392:E2392" xr:uid="{859E71DA-6B36-4F85-B0C5-0232AFEF87CA}">
      <formula1>$DX$3227</formula1>
    </dataValidation>
    <dataValidation type="list" allowBlank="1" showInputMessage="1" showErrorMessage="1" sqref="C2389:C2390" xr:uid="{A70B469D-08DC-4A3C-BB04-09EAC42C5589}">
      <formula1>$BF$2389:$BF$2391</formula1>
    </dataValidation>
    <dataValidation type="list" allowBlank="1" showInputMessage="1" showErrorMessage="1" sqref="C2387:C2388" xr:uid="{B2F2E821-64AF-481E-B148-3EC7FACE55A8}">
      <formula1>$BF$2386:$BF$2388</formula1>
    </dataValidation>
    <dataValidation type="list" allowBlank="1" showInputMessage="1" showErrorMessage="1" sqref="C2385:C2386" xr:uid="{3FB30822-1927-4936-8C52-4045E63A0583}">
      <formula1>$BF$2383:$BF$2385</formula1>
    </dataValidation>
    <dataValidation type="list" allowBlank="1" showInputMessage="1" showErrorMessage="1" sqref="C2383:C2384" xr:uid="{2039FFC6-ABDA-441A-8500-4929D739923E}">
      <formula1>$BF$2380:$BF$2382</formula1>
    </dataValidation>
    <dataValidation type="list" allowBlank="1" showInputMessage="1" showErrorMessage="1" sqref="C2381:C2382" xr:uid="{18DBB071-CF73-424E-8F98-87EE6C75AC89}">
      <formula1>$BF$2377:$BF$2379</formula1>
    </dataValidation>
    <dataValidation type="list" allowBlank="1" showInputMessage="1" showErrorMessage="1" sqref="C2379:C2380" xr:uid="{05A572A5-9DF0-4609-A0DD-4CC7FB466893}">
      <formula1>$BF$2374:$BF$2376</formula1>
    </dataValidation>
    <dataValidation type="list" allowBlank="1" showInputMessage="1" showErrorMessage="1" sqref="C2377:C2378" xr:uid="{D3BA213E-EF24-4053-985F-B7C3955B01F1}">
      <formula1>$BF$2371:$BF$2373</formula1>
    </dataValidation>
    <dataValidation type="list" allowBlank="1" showInputMessage="1" showErrorMessage="1" sqref="C2375:C2376" xr:uid="{3A1ECB8C-5ECA-4532-94D2-BB4EBDD95502}">
      <formula1>$BF$2368:$BF$2370</formula1>
    </dataValidation>
    <dataValidation type="list" allowBlank="1" showInputMessage="1" showErrorMessage="1" sqref="C2373:C2374" xr:uid="{1BE5D6F3-C5B3-4006-81BB-0FDB14A8CBAC}">
      <formula1>$BF$2365:$BF$2367</formula1>
    </dataValidation>
    <dataValidation type="whole" errorStyle="warning" allowBlank="1" showInputMessage="1" showErrorMessage="1" errorTitle="TOO HIGH" error="Keep the amount under $1,000,000" sqref="B2328:B2330" xr:uid="{D6594B7D-E12F-4336-8C7A-07A186D68EE8}">
      <formula1>1</formula1>
      <formula2>1000000</formula2>
    </dataValidation>
    <dataValidation type="whole" errorStyle="warning" allowBlank="1" showInputMessage="1" showErrorMessage="1" errorTitle="TOO HIGH" error="Keep the amount under $100,000" sqref="B2327" xr:uid="{A33ADC57-7C2C-42A5-93AC-80EE06215778}">
      <formula1>1</formula1>
      <formula2>100000</formula2>
    </dataValidation>
    <dataValidation type="list" allowBlank="1" showInputMessage="1" showErrorMessage="1" sqref="C2351 E2351" xr:uid="{C7DA3AFB-31E8-4A64-9B77-6E356D055116}">
      <formula1>$BM$2814:$BM$2863</formula1>
    </dataValidation>
    <dataValidation type="list" allowBlank="1" showInputMessage="1" showErrorMessage="1" sqref="C2346" xr:uid="{B292B677-6531-4BD9-BD60-0EB0C69FFC0A}">
      <formula1>$BG$2814:$BG$2864</formula1>
    </dataValidation>
    <dataValidation type="list" allowBlank="1" showInputMessage="1" showErrorMessage="1" sqref="C2226:E2226" xr:uid="{94A2535D-72B9-4237-990D-6EDC248FC010}">
      <formula1>$AI$2222:$AI$2225</formula1>
    </dataValidation>
    <dataValidation type="list" allowBlank="1" showInputMessage="1" showErrorMessage="1" sqref="B2360:E2360" xr:uid="{60ADEAC8-5427-4575-8B14-D8A7BDC44F77}">
      <formula1>$AG$2361:$AG$2364</formula1>
    </dataValidation>
    <dataValidation type="list" errorStyle="warning" allowBlank="1" showInputMessage="1" showErrorMessage="1" sqref="D2168 D1933 D2027 D1980 D2074 D2071 D2121 D2262:D2265" xr:uid="{543503B5-0F13-425A-A5A8-681C1CB34CAF}">
      <formula1>$BY$2164:$BY$2168</formula1>
    </dataValidation>
    <dataValidation type="list" errorStyle="warning" allowBlank="1" showInputMessage="1" showErrorMessage="1" sqref="C2168 C1933 C2027 C1980 C2074 C2071 C2121 C2262:C2265" xr:uid="{3A505CEA-AA81-41E3-8962-0C733D71A40A}">
      <formula1>$BJ$2164:$BJ$2169</formula1>
    </dataValidation>
    <dataValidation type="list" allowBlank="1" showInputMessage="1" showErrorMessage="1" sqref="C2129:E2129" xr:uid="{D66DCB16-CA8A-4A42-9908-635A48D7A64A}">
      <formula1>$AI$2125:$AI$2128</formula1>
    </dataValidation>
    <dataValidation type="list" errorStyle="information" allowBlank="1" showInputMessage="1" showErrorMessage="1" sqref="C2127 C2224" xr:uid="{DDD25969-02EE-4D20-B0D4-DAA83C55449E}">
      <formula1>$AE$2125:$AE$2128</formula1>
    </dataValidation>
    <dataValidation type="list" errorStyle="information" allowBlank="1" showInputMessage="1" showErrorMessage="1" sqref="C2223:E2223 C2318:E2318 C2269:E2269" xr:uid="{76606F09-C6F7-4C17-821F-3AFFB3714774}">
      <formula1>$DX$3227:$DX$3243</formula1>
    </dataValidation>
    <dataValidation type="list" errorStyle="information" allowBlank="1" showInputMessage="1" showErrorMessage="1" sqref="C2126" xr:uid="{7B7FF3B8-70EA-4282-8E0B-B1E9B3227C6A}">
      <formula1>$DZ$3216:$DZ$3222</formula1>
    </dataValidation>
    <dataValidation type="list" allowBlank="1" showInputMessage="1" showErrorMessage="1" sqref="C2080" xr:uid="{77F007E0-2FB6-4641-A622-C4B87DE60111}">
      <formula1>$AX$2031:$AX$2034</formula1>
    </dataValidation>
    <dataValidation type="list" errorStyle="information" allowBlank="1" showInputMessage="1" showErrorMessage="1" sqref="D2079 D2224:E2224" xr:uid="{3DB2F585-C236-4AC4-8F34-889394638343}">
      <formula1>$AG$2079:$AG$2081</formula1>
    </dataValidation>
    <dataValidation type="list" allowBlank="1" showInputMessage="1" showErrorMessage="1" sqref="C2079" xr:uid="{FD4F3B05-EE50-46E3-8443-0250AAE555F4}">
      <formula1>$AE$2078:$AE$2081</formula1>
    </dataValidation>
    <dataValidation type="list" errorStyle="information" allowBlank="1" showInputMessage="1" showErrorMessage="1" sqref="C2033" xr:uid="{74DA5D98-58CE-4BEE-90E6-C5C646C29844}">
      <formula1>$AX$2031:$AX$2034</formula1>
    </dataValidation>
    <dataValidation type="list" errorStyle="information" allowBlank="1" showInputMessage="1" showErrorMessage="1" sqref="C2032" xr:uid="{E9777E5C-C2A8-48B1-B1A4-9956A3515ACC}">
      <formula1>$AE$2031:$AE$2034</formula1>
    </dataValidation>
    <dataValidation type="list" errorStyle="information" allowBlank="1" showInputMessage="1" showErrorMessage="1" sqref="C1955:D1955 C1859 C2016:D2016" xr:uid="{AABD25A5-2357-430A-B389-A7829E985E0B}">
      <formula1>$BK$1937:$BK$1944</formula1>
    </dataValidation>
    <dataValidation type="list" errorStyle="information" allowBlank="1" showInputMessage="1" showErrorMessage="1" sqref="C1954:D1954 C1858 C2015:D2015" xr:uid="{BF98AC32-1FB6-4CF1-806F-DDAF78215DBF}">
      <formula1>$BI$1937:$BI$1944</formula1>
    </dataValidation>
    <dataValidation type="list" errorStyle="information" allowBlank="1" showInputMessage="1" showErrorMessage="1" sqref="C1953:D1953 C1857 C2014:D2014" xr:uid="{AC2746D4-0FEF-4B53-A5D4-A2F5ECE975C7}">
      <formula1>$BG$1937:$BG$1944</formula1>
    </dataValidation>
    <dataValidation type="list" allowBlank="1" showInputMessage="1" showErrorMessage="1" sqref="D1985" xr:uid="{A776E6C2-6378-4434-B686-DEAA1597FE54}">
      <formula1>$AB$1983:$AB$1985</formula1>
    </dataValidation>
    <dataValidation type="list" errorStyle="information" allowBlank="1" showInputMessage="1" showErrorMessage="1" sqref="D1938" xr:uid="{C4E8AEB1-9B27-44A9-93C4-CD613D622BF3}">
      <formula1>$AA$1936:$AA$1938</formula1>
    </dataValidation>
    <dataValidation type="list" errorStyle="information" allowBlank="1" showInputMessage="1" showErrorMessage="1" sqref="B1985" xr:uid="{D46A1853-B50D-4FF1-AAB4-E0C5967F58E3}">
      <formula1>$AD$1983:$AD$1984</formula1>
    </dataValidation>
    <dataValidation type="list" errorStyle="information" allowBlank="1" showInputMessage="1" showErrorMessage="1" sqref="D1939" xr:uid="{5A8D0598-88A0-4009-9450-D7FAA0D2F855}">
      <formula1>$AS$1937:$AS$1942</formula1>
    </dataValidation>
    <dataValidation type="list" allowBlank="1" showInputMessage="1" showErrorMessage="1" sqref="C1938" xr:uid="{FFEF4B79-62B1-4442-81F5-9D1733E4EF73}">
      <formula1>$AP$1937:$AP$1942</formula1>
    </dataValidation>
    <dataValidation type="list" allowBlank="1" showInputMessage="1" showErrorMessage="1" sqref="B500:C500" xr:uid="{57FEBD4F-AFC2-44E0-9CD8-F5E755C4C36D}">
      <formula1>$B$2992:$B$3001</formula1>
    </dataValidation>
    <dataValidation type="list" allowBlank="1" showInputMessage="1" showErrorMessage="1" sqref="D325 D327" xr:uid="{8BAD7C93-EE78-4F06-935A-77CC28486F64}">
      <formula1>$E$2950:$E$2961</formula1>
    </dataValidation>
    <dataValidation type="list" allowBlank="1" showInputMessage="1" showErrorMessage="1" sqref="B222:D222" xr:uid="{4EA3E5FD-6AE4-48E2-A3F5-33CEF932786E}">
      <formula1>$B$2757:$B$2758</formula1>
    </dataValidation>
    <dataValidation type="list" allowBlank="1" showInputMessage="1" showErrorMessage="1" sqref="B220:D220" xr:uid="{5630FD55-73B4-4C43-9181-1CC14637F7FC}">
      <formula1>$B$2748:$B$2754</formula1>
    </dataValidation>
    <dataValidation type="list" allowBlank="1" showInputMessage="1" showErrorMessage="1" sqref="D326" xr:uid="{50737482-89E0-4E8C-B1E9-F266D8776217}">
      <formula1>$D$2929:$D$2936</formula1>
    </dataValidation>
    <dataValidation type="list" allowBlank="1" showInputMessage="1" showErrorMessage="1" prompt="also claims innocence?" sqref="D281 D301 D297 D293 D289 D285" xr:uid="{6C455174-9263-414E-BC7A-EE76F525F04D}">
      <formula1>$D$2900:$D$2902</formula1>
    </dataValidation>
    <dataValidation type="list" allowBlank="1" showInputMessage="1" showErrorMessage="1" prompt="claims to know real culprit?" sqref="C281 C301 C297 C293 C289 C285" xr:uid="{87961949-2E52-4E35-820C-42C06F04EC7A}">
      <formula1>$C$2900:$C$2902</formula1>
    </dataValidation>
    <dataValidation type="list" allowBlank="1" showInputMessage="1" showErrorMessage="1" prompt="know where this codefendant currently lives?" sqref="B281 B301 B297 B293 B289 B285" xr:uid="{40D259C2-4086-4749-81FD-70C8121E115B}">
      <formula1>$B$2900:$B$2908</formula1>
    </dataValidation>
    <dataValidation type="list" allowBlank="1" showInputMessage="1" showErrorMessage="1" prompt="verdict?" sqref="D280 D300 D296 D292 D288 D284" xr:uid="{1C46FE60-E17C-480F-97F9-F279673C96FE}">
      <formula1>$D$2892:$D$2894</formula1>
    </dataValidation>
    <dataValidation type="list" allowBlank="1" showInputMessage="1" showErrorMessage="1" prompt="convicted as?" sqref="C280 C300 C296 C292 C288 C284" xr:uid="{8968648B-832C-4526-9AC7-F336A4EE577E}">
      <formula1>$C$2892:$C$2894</formula1>
    </dataValidation>
    <dataValidation type="list" allowBlank="1" showInputMessage="1" showErrorMessage="1" prompt="relation to claimant?" sqref="B280 B300 B296 B292 B288 B284" xr:uid="{BAEC1012-0093-422E-A79F-407EE3F3561D}">
      <formula1>$B$2892:$B$2898</formula1>
    </dataValidation>
    <dataValidation type="list" allowBlank="1" showInputMessage="1" showErrorMessage="1" prompt="how adjudicated?" sqref="D279 D299 D295 D291 D287 D283" xr:uid="{3B34B866-D200-4530-ACD5-E3F7954E606C}">
      <formula1>$D$2887:$D$2890</formula1>
    </dataValidation>
    <dataValidation type="list" allowBlank="1" showInputMessage="1" showErrorMessage="1" prompt="charged as?" sqref="C279 C299 C295 C291 C287 C283" xr:uid="{3C976961-DCFA-48B1-84D6-BCC304A8ED78}">
      <formula1>$C$2892:$C$2894</formula1>
    </dataValidation>
    <dataValidation type="list" errorStyle="information" allowBlank="1" showInputMessage="1" showErrorMessage="1" sqref="C244:D244" xr:uid="{3BC72FDD-9203-4BF4-B4E4-8C841D986FA0}">
      <formula1>$B$2783:$B$2799</formula1>
    </dataValidation>
    <dataValidation type="list" allowBlank="1" showInputMessage="1" showErrorMessage="1" sqref="BG55:BH55" xr:uid="{3E36DCE1-ADE6-4AF9-BB5F-6FC424BCF474}">
      <formula1>$D$3399:$D$3401</formula1>
    </dataValidation>
    <dataValidation type="list" allowBlank="1" showInputMessage="1" showErrorMessage="1" sqref="C1363 C1593 C1583 C1573 C1563 C1553 C1543 C1533 C1483 C1473 C1463 C1453 C1443 C1433 C1423 C1413 C1403 C1393 C1383 C1373 C1523 C1513 C1503 C1493" xr:uid="{0A36425F-0FF1-4F3C-97BE-B6CA636AEFAC}">
      <formula1>#REF!</formula1>
    </dataValidation>
    <dataValidation type="list" allowBlank="1" showInputMessage="1" showErrorMessage="1" sqref="D887" xr:uid="{7F999882-DE69-4180-B59C-613349EC0724}">
      <formula1>$B$3173:$B$3177</formula1>
    </dataValidation>
    <dataValidation type="list" allowBlank="1" showInputMessage="1" showErrorMessage="1" sqref="D897" xr:uid="{EB991284-62FB-44BD-978E-03B4702530C2}">
      <formula1>$B$3180:$B$3186</formula1>
    </dataValidation>
    <dataValidation type="list" allowBlank="1" showInputMessage="1" showErrorMessage="1" sqref="D872" xr:uid="{07830037-0801-4214-93B7-4AF2968A40F3}">
      <formula1>$B$3162:$B$3169</formula1>
    </dataValidation>
    <dataValidation type="list" allowBlank="1" showInputMessage="1" showErrorMessage="1" sqref="B872" xr:uid="{0F275DA0-9630-4736-9F00-7DB173BFFCD3}">
      <formula1>$B$3157:$B$3160</formula1>
    </dataValidation>
    <dataValidation type="list" allowBlank="1" showInputMessage="1" showErrorMessage="1" sqref="D808" xr:uid="{923CAE63-1974-4171-99EE-9CE9DAEFF0D0}">
      <formula1>$C$3062:$C$3067</formula1>
    </dataValidation>
    <dataValidation type="list" errorStyle="warning" allowBlank="1" showInputMessage="1" showErrorMessage="1" sqref="C800:D800" xr:uid="{0179F467-CE59-48D8-AC0C-5C4BD21D3825}">
      <formula1>$C$3056:$C$3060</formula1>
    </dataValidation>
    <dataValidation type="list" errorStyle="warning" allowBlank="1" showInputMessage="1" showErrorMessage="1" sqref="C799:D799" xr:uid="{168726E0-A437-4CE0-ADCB-4B08A9F8CC0B}">
      <formula1>$C$3050:$C$3054</formula1>
    </dataValidation>
    <dataValidation type="list" errorStyle="warning" allowBlank="1" showInputMessage="1" showErrorMessage="1" sqref="C796:D796 C792:D792" xr:uid="{9B337342-32CF-4D80-8549-2BE8DB64B74D}">
      <formula1>$C$3044:$C$3048</formula1>
    </dataValidation>
    <dataValidation type="list" errorStyle="warning" allowBlank="1" showInputMessage="1" showErrorMessage="1" sqref="C795:D795 C791:D791" xr:uid="{E3AEE4D2-44CB-4F4A-8775-0BF6BC98499B}">
      <formula1>$C$3038:$C$3042</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C385 C365 C495 C485 C475 C465 C455 C445 C435 C425 C415 C405 C395 C375" xr:uid="{99F32015-6427-4E03-86AD-D495E9334254}">
      <formula1>$D$2984:$D$2989</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B389 B439:D439 B489:D489 B479:D479 B469:D469 B459:D459 B449:D449" xr:uid="{EF394056-B129-4333-966B-A93D7797A0AD}">
      <formula1>$B$2984:$B$2989</formula1>
    </dataValidation>
    <dataValidation type="list" allowBlank="1" showInputMessage="1" showErrorMessage="1" sqref="D343" xr:uid="{C1D24107-043F-4B33-9AFD-5507580B73ED}">
      <formula1>$D$2968:$D$2972</formula1>
    </dataValidation>
    <dataValidation type="list" errorStyle="information" allowBlank="1" showInputMessage="1" showErrorMessage="1" sqref="D324" xr:uid="{211F471E-8C74-4B12-97F7-E9AB4200A00A}">
      <formula1>$D$2918:$D$2925</formula1>
    </dataValidation>
    <dataValidation type="list" allowBlank="1" showInputMessage="1" showErrorMessage="1" errorTitle="Oops!" error="Select only from the pulldown list." promptTitle="Custody status" prompt="Select item from list that best characterizes claimant's current custody status." sqref="D314" xr:uid="{EBC341EE-402A-4095-B498-F82865B24F13}">
      <formula1>$C$2918:$C$2939</formula1>
    </dataValidation>
    <dataValidation type="list" errorStyle="information" allowBlank="1" showInputMessage="1" showErrorMessage="1" sqref="C1129" xr:uid="{E29CF06B-74E6-4C30-8D4F-45F40B92523E}">
      <formula1>$A$2814:$A$2873</formula1>
    </dataValidation>
    <dataValidation type="list" allowBlank="1" showInputMessage="1" showErrorMessage="1" sqref="D250" xr:uid="{919B24DF-262E-4830-BE17-AEC1BC1AC2B9}">
      <formula1>$D$2775:$D$2780</formula1>
    </dataValidation>
    <dataValidation type="list" allowBlank="1" showInputMessage="1" showErrorMessage="1" sqref="D248" xr:uid="{79AE810E-C0A1-40DB-84CB-FEC7AFB625D1}">
      <formula1>$C$2775:$C$2780</formula1>
    </dataValidation>
    <dataValidation type="list" allowBlank="1" showInputMessage="1" showErrorMessage="1" sqref="D246" xr:uid="{7082AFEC-D2AE-403F-B57A-B7E94D2A1E49}">
      <formula1>$B$2779:$B$2780</formula1>
    </dataValidation>
    <dataValidation type="list" allowBlank="1" showInputMessage="1" showErrorMessage="1" sqref="D243" xr:uid="{69B8EECF-7676-4D34-9709-718D04083DCD}">
      <formula1>$B$2775:$B$2777</formula1>
    </dataValidation>
    <dataValidation type="list" allowBlank="1" showInputMessage="1" showErrorMessage="1" sqref="D228:D235" xr:uid="{AC953107-9CBD-4FBC-8D3C-780B4FAD58DA}">
      <formula1>$D$2762:$D$2772</formula1>
    </dataValidation>
    <dataValidation type="list" allowBlank="1" showInputMessage="1" showErrorMessage="1" sqref="C228:C235" xr:uid="{9A9C6C8D-6AAE-4892-AF55-07FF40F8D56E}">
      <formula1>$C$2762:$C$2764</formula1>
    </dataValidation>
    <dataValidation type="list" allowBlank="1" showInputMessage="1" showErrorMessage="1" sqref="B228:B235" xr:uid="{5AA9AE76-1787-48BD-842A-8703070FEBFF}">
      <formula1>$B$2762:$B$2769</formula1>
    </dataValidation>
    <dataValidation type="list" allowBlank="1" showInputMessage="1" showErrorMessage="1" errorTitle="Oops" error="Choose from dropdown list" prompt="from list" sqref="C216" xr:uid="{ACE1A44F-C34E-4C36-B080-C4E49516E413}">
      <formula1>$B$2733:$B$2745</formula1>
    </dataValidation>
    <dataValidation type="list" allowBlank="1" showInputMessage="1" showErrorMessage="1" errorTitle="Oops" error="Choose from dropdown list" prompt="from list" sqref="D216" xr:uid="{CB81B986-989E-4250-AB1A-8C907AA559EE}">
      <formula1>$C$2733:$C$2736</formula1>
    </dataValidation>
    <dataValidation type="list" allowBlank="1" showInputMessage="1" showErrorMessage="1" sqref="D208" xr:uid="{F4A6285F-AF8A-4151-B5D4-861875E14AB1}">
      <formula1>$C$2727:$C$2729</formula1>
    </dataValidation>
    <dataValidation type="list" allowBlank="1" showInputMessage="1" showErrorMessage="1" sqref="C208" xr:uid="{535EF6BD-00FC-47E8-833F-863B4BBA9853}">
      <formula1>$B$2727:$B$2730</formula1>
    </dataValidation>
    <dataValidation type="list" errorStyle="information" allowBlank="1" showInputMessage="1" showErrorMessage="1" sqref="A2170" xr:uid="{74A41D88-5233-48FA-8A6F-A095D1DAC43A}">
      <formula1>$AG$2171:$AG$2172</formula1>
    </dataValidation>
    <dataValidation type="list" errorStyle="information" allowBlank="1" showInputMessage="1" showErrorMessage="1" sqref="B789:D789" xr:uid="{C9883D4F-861E-416B-9305-DF2C5FB6453C}">
      <formula1>$DZ$3227:$DZ$3243</formula1>
    </dataValidation>
    <dataValidation type="list" errorStyle="warning" allowBlank="1" showInputMessage="1" showErrorMessage="1" sqref="B785" xr:uid="{EA59B418-E2B1-46FA-B960-AED4C0046FD1}">
      <formula1>$DZ$3217:$DZ$3222</formula1>
    </dataValidation>
    <dataValidation type="list" errorStyle="information" allowBlank="1" showInputMessage="1" showErrorMessage="1" sqref="B1988" xr:uid="{6204EBBC-1EAC-4865-94AF-75B8BCF9C67F}">
      <formula1>$AQ$1983:$AQ$1992</formula1>
    </dataValidation>
    <dataValidation type="list" errorStyle="information" allowBlank="1" showInputMessage="1" showErrorMessage="1" sqref="C1892 C2319" xr:uid="{CB0C29C7-AFA8-4BCA-B1EF-4F1F54E8105C}">
      <formula1>$AQ$1889:$AQ$1891</formula1>
    </dataValidation>
    <dataValidation type="list" allowBlank="1" showInputMessage="1" showErrorMessage="1" sqref="C1894:E1894" xr:uid="{BCA7BCE4-B59B-450C-8034-8457A20DD3FD}">
      <formula1>$AD$1891:$AD$1899</formula1>
    </dataValidation>
    <dataValidation type="list" errorStyle="information" allowBlank="1" showInputMessage="1" showErrorMessage="1" sqref="C1891 C1939" xr:uid="{FD655127-CC43-4095-8B89-AA95431A7E38}">
      <formula1>$AH$1805:$AH$1844</formula1>
    </dataValidation>
    <dataValidation type="list" errorStyle="information" allowBlank="1" showInputMessage="1" showErrorMessage="1" errorTitle="Oops!" error="Check your spelling. Or scroll through list to find the proper name." sqref="C265" xr:uid="{D971335B-772B-4428-B862-C96A5EA53267}">
      <formula1>$BS$3282:$BS$3558</formula1>
    </dataValidation>
    <dataValidation type="list" errorStyle="warning" allowBlank="1" showInputMessage="1" showErrorMessage="1" sqref="D1129" xr:uid="{6A2A62E2-79CF-44F9-87BF-6843408581D0}">
      <formula1>$B$3281:$B$3332</formula1>
    </dataValidation>
    <dataValidation type="list" errorStyle="warning" allowBlank="1" showInputMessage="1" showErrorMessage="1" sqref="B1174" xr:uid="{B5D439A6-503B-4E26-BCD1-AC1ED60D1EF8}">
      <formula1>$AF$1172:$AF$1176</formula1>
    </dataValidation>
    <dataValidation type="list" errorStyle="information" allowBlank="1" showInputMessage="1" showErrorMessage="1" sqref="D206" xr:uid="{E74A0D9A-BF13-4CB8-B598-87D4ECBAB9FF}">
      <formula1>$C$2720:$C$2724</formula1>
    </dataValidation>
    <dataValidation allowBlank="1" showInputMessage="1" showErrorMessage="1" prompt="Be sure to spell exacdtly, or we may lose you. Check your email inbox to verify. Thanks." sqref="C214" xr:uid="{220E806A-2568-485E-8CD4-BD5ABA8A69AC}"/>
    <dataValidation allowBlank="1" showInputMessage="1" showErrorMessage="1" prompt="If still incarcerated or under custody conditions prohibiting Internet access, then write in &quot;see proxy&quot;." sqref="C204" xr:uid="{3EFCACDD-F9DA-4214-8E72-1F6C65C0B230}"/>
    <dataValidation allowBlank="1" showInputMessage="1" showErrorMessage="1" prompt="If still incarcerated or under custody conditions prohibiting direct calling, then write in &quot;see proxy&quot;." sqref="D204" xr:uid="{B3469165-8F73-424F-937F-682BA5C64E67}"/>
    <dataValidation type="list" allowBlank="1" showInputMessage="1" showErrorMessage="1" sqref="C286 C302 C298 C294 C290" xr:uid="{D8FA479D-8D17-4E99-B53F-D05760322D36}">
      <formula1>$AH$278:$AH$280</formula1>
    </dataValidation>
    <dataValidation type="list" allowBlank="1" showInputMessage="1" showErrorMessage="1" sqref="D286 D302 D298 D294 D290" xr:uid="{5DA7210E-A1E0-4AFE-A230-9F6877212852}">
      <formula1>$AC$278:$AC$279</formula1>
    </dataValidation>
    <dataValidation allowBlank="1" showInputMessage="1" showErrorMessage="1" prompt="Name of codefendant" sqref="B279 B283 B287 B291 B295 B299" xr:uid="{1B73A85C-EED3-48B8-A990-024C6815040F}"/>
    <dataValidation type="list" allowBlank="1" showInputMessage="1" showErrorMessage="1" promptTitle="US State or Federal" prompt="Select US State or federal jurisdiction for prosecuting this case." sqref="B265" xr:uid="{529CA333-8B1D-4E55-B5A8-E6E42CFB46E7}">
      <formula1>$B$3281:$B$3333</formula1>
    </dataValidation>
    <dataValidation type="list" allowBlank="1" showInputMessage="1" showErrorMessage="1" promptTitle="Time of impact" prompt="When did or does this item impact claimant?" sqref="D853" xr:uid="{4A146B41-B087-4805-B400-FAF9C9AF30B8}">
      <formula1>$B$3152:$B$3154</formula1>
    </dataValidation>
    <dataValidation type="list" allowBlank="1" showInputMessage="1" showErrorMessage="1" promptTitle="Applicability" prompt="How does this item apply to claimant?" sqref="B853" xr:uid="{0915BF9C-ABED-45CA-BF87-4C14CB6CD55C}">
      <formula1>$B$3148:$B$3150</formula1>
    </dataValidation>
    <dataValidation type="list" allowBlank="1" showInputMessage="1" showErrorMessage="1" errorTitle="Oops!" error="You can only select one of the options given. Contact us if we missed an option vital to your case." promptTitle="Choose one" prompt="Select best option" sqref="B527 B532 B538 B543 B549 B554" xr:uid="{82B1639D-214D-43A6-B120-5CA9760915B9}">
      <formula1>$B$3008:$B$3011</formula1>
    </dataValidation>
    <dataValidation type="list" allowBlank="1" showInputMessage="1" showErrorMessage="1" errorTitle="Oops!" error="You can only select one of the options given. Contact us if we missed an option vital to your case." promptTitle="Choose one" prompt="Select best option" sqref="C527 C532 C538 C543 C549 C554" xr:uid="{D68CF626-73AD-4D59-8192-34BF8DB43ED8}">
      <formula1>$B$3014:$B$3019</formula1>
    </dataValidation>
    <dataValidation type="list" allowBlank="1" showInputMessage="1" showErrorMessage="1" sqref="C781 C669 C612 C766 C761 C606 C722 C617 C733 C728" xr:uid="{5A31E844-4F88-4E50-B1A3-E2E56AFAE4D6}">
      <formula1>$B$3014:$B$3019</formula1>
    </dataValidation>
    <dataValidation type="list" allowBlank="1" showInputMessage="1" showErrorMessage="1" error="You can only select one of the options given. Contact us if we missed an option vital to your case." promptTitle="Choose one" prompt="Select best option" sqref="B781 B669 B612 B766 B761 B606 B722 B617 B733 B728" xr:uid="{8075309B-60EC-4B60-AAD8-5C2C00F08204}">
      <formula1>$B$3008:$B$3011</formula1>
    </dataValidation>
    <dataValidation type="list" allowBlank="1" showInputMessage="1" showErrorMessage="1" sqref="D527 D690 D776 D771 D766 D761 D640 D743 D738 D733 D728 D674 D717 D712 D696 D751 D685 D680 D606 D669 D664 D656 D651 D646 D543 D635 D630 D622 D617 D612 D572 D601 D596 D588 D583 D578 D532 D567 D562 D554 D538 D781 D549 D722" xr:uid="{D4C20C3E-67E6-4F6B-9F84-DA93E5E83CBA}">
      <formula1>$B$3022:$B$3029</formula1>
    </dataValidation>
    <dataValidation type="textLength" operator="lessThanOrEqual" allowBlank="1" showInputMessage="1" showErrorMessage="1" errorTitle="Oops!" error="You've reached the limit of 250 characters. Use fewer words." sqref="B909:D909" xr:uid="{74855EC3-2BE6-4143-AC1E-5D63D9B04AE9}">
      <formula1>250</formula1>
    </dataValidation>
    <dataValidation type="textLength" errorStyle="warning" operator="lessThanOrEqual" allowBlank="1" showInputMessage="1" showErrorMessage="1" errorTitle="Oops! Too many words." error="Try using fewer words, or fewer characters, to make sure this displays correctly above. Click &quot;No&quot; to edit. Click &quot;Yes&quot; to accept as is. Click &quot;Cancel&quot; to start over." sqref="C922:D922 C913:D920" xr:uid="{243E7194-92A4-4B71-88FA-4E0D0C785432}">
      <formula1>75</formula1>
    </dataValidation>
    <dataValidation type="list" allowBlank="1" showInputMessage="1" showErrorMessage="1" promptTitle="1 of 21" prompt="sadness" sqref="C990:D990" xr:uid="{0BC5DC9F-3DDF-46CE-9805-B39EA914107D}">
      <formula1>$C$991:$C$994</formula1>
    </dataValidation>
    <dataValidation type="list" allowBlank="1" showInputMessage="1" showErrorMessage="1" promptTitle="3 of 21" prompt="failures" sqref="C1000:D1000" xr:uid="{6DDF799E-BF5D-407A-8710-F3D1E17D28F0}">
      <formula1>$C$1001:$C$1004</formula1>
    </dataValidation>
    <dataValidation type="list" allowBlank="1" showInputMessage="1" showErrorMessage="1" promptTitle="21 of 21" prompt="sexual interest" sqref="C1090:D1090" xr:uid="{AB7C4BFC-380C-4053-941E-107B410001F1}">
      <formula1>$C$1091:$C$1094</formula1>
    </dataValidation>
    <dataValidation type="list" allowBlank="1" showInputMessage="1" showErrorMessage="1" promptTitle="20 of 21" prompt="worries" sqref="C1085:D1085" xr:uid="{0963EB77-6E73-47F2-B38B-D9180DCF9B75}">
      <formula1>$C$1086:$C$1089</formula1>
    </dataValidation>
    <dataValidation type="list" allowBlank="1" showInputMessage="1" showErrorMessage="1" promptTitle="19 of 21" prompt="weight loss" sqref="C1080:D1080" xr:uid="{F717DE60-7C39-4920-AE77-75A3DE6F12C3}">
      <formula1>$C$1081:$C$1084</formula1>
    </dataValidation>
    <dataValidation type="list" allowBlank="1" showInputMessage="1" showErrorMessage="1" promptTitle="18 of 21" prompt="appetite" sqref="C1075:D1075" xr:uid="{7F5C9E25-5684-4467-9A24-C5E2636A026F}">
      <formula1>$C$1076:$C$1079</formula1>
    </dataValidation>
    <dataValidation type="list" allowBlank="1" showInputMessage="1" showErrorMessage="1" promptTitle="17 of 21" prompt="tiredness" sqref="C1070:D1070" xr:uid="{508EB642-19A5-444B-8FDA-CD904AB24AF0}">
      <formula1>$C$1071:$C$1074</formula1>
    </dataValidation>
    <dataValidation type="list" allowBlank="1" showInputMessage="1" showErrorMessage="1" promptTitle="16 of 21" prompt="sleep" sqref="C1065:D1065" xr:uid="{80B2885D-A5D4-47F6-84FE-8F33E33B8B01}">
      <formula1>$C$1066:$C$1069</formula1>
    </dataValidation>
    <dataValidation type="list" allowBlank="1" showInputMessage="1" showErrorMessage="1" promptTitle="15 of 21" prompt="effort" sqref="C1060:D1060" xr:uid="{D361D5D0-3833-48C7-B27C-571E786D6E29}">
      <formula1>$C$1061:$C$1064</formula1>
    </dataValidation>
    <dataValidation type="list" allowBlank="1" showInputMessage="1" showErrorMessage="1" promptTitle="14 of 21" prompt="self-image" sqref="C1055:D1055" xr:uid="{1FBED261-4DDE-4E17-B706-F04E098470B0}">
      <formula1>$C$1056:$C$1059</formula1>
    </dataValidation>
    <dataValidation type="list" allowBlank="1" showInputMessage="1" showErrorMessage="1" promptTitle="13 of 21" prompt="decisiveness" sqref="C1050:D1050" xr:uid="{1A57C83F-A6DC-4DD3-8247-02AE6694B78E}">
      <formula1>$C$1051:$C$1054</formula1>
    </dataValidation>
    <dataValidation type="list" allowBlank="1" showInputMessage="1" showErrorMessage="1" promptTitle="12 of 21" prompt="socializing" sqref="C1045:D1045" xr:uid="{CA010B8A-9893-4437-8E06-4883A9A7F8D4}">
      <formula1>$C$1046:$C$1049</formula1>
    </dataValidation>
    <dataValidation type="list" allowBlank="1" showInputMessage="1" showErrorMessage="1" promptTitle="11 of 21" prompt="irritability" sqref="C1040:D1040" xr:uid="{33109A53-9C0C-4504-AD98-76FF9DF8C623}">
      <formula1>$C$1041:$C$1044</formula1>
    </dataValidation>
    <dataValidation type="list" allowBlank="1" showInputMessage="1" showErrorMessage="1" promptTitle="10 of 21" prompt="crying" sqref="C1035:D1035" xr:uid="{710C16D4-8C8D-4EF9-90E6-F37F33F74A00}">
      <formula1>$C$1036:$C$1039</formula1>
    </dataValidation>
    <dataValidation type="list" allowBlank="1" showInputMessage="1" showErrorMessage="1" promptTitle="9 of 21" prompt="suicidal thoughts" sqref="C1030:D1030" xr:uid="{79DBE04F-05EE-4B1C-AC96-88C13EF7EF25}">
      <formula1>$C$1031:$C$1034</formula1>
    </dataValidation>
    <dataValidation type="list" allowBlank="1" showInputMessage="1" showErrorMessage="1" promptTitle="8 of 21" prompt="faults" sqref="C1025:D1025" xr:uid="{29E67541-313E-4830-996A-9B642944117A}">
      <formula1>$C$1026:$C$1029</formula1>
    </dataValidation>
    <dataValidation type="list" allowBlank="1" showInputMessage="1" showErrorMessage="1" promptTitle="7 of 21" prompt="self-loath" sqref="C1020:D1020" xr:uid="{282A6D92-EC9B-4050-9BB2-476CBFBDC8AB}">
      <formula1>$C$1021:$C$1024</formula1>
    </dataValidation>
    <dataValidation type="list" allowBlank="1" showInputMessage="1" showErrorMessage="1" promptTitle="6 of 21" prompt="punished" sqref="C1015:D1015" xr:uid="{1756AD6F-B2BB-403C-9A7F-B971B750F9F8}">
      <formula1>$C$1016:$C$1019</formula1>
    </dataValidation>
    <dataValidation type="list" allowBlank="1" showInputMessage="1" showErrorMessage="1" promptTitle="5 of 21" prompt="guilt" sqref="C1010:D1010" xr:uid="{9D537738-1647-4DE3-AC35-33385A094AEC}">
      <formula1>$C$1011:$C$1014</formula1>
    </dataValidation>
    <dataValidation type="list" allowBlank="1" showInputMessage="1" showErrorMessage="1" promptTitle="4 of 21" prompt="satisfaction" sqref="C1005:D1005" xr:uid="{1491DF63-AEA4-477D-A18E-4D5914A6BE0F}">
      <formula1>$C$1006:$C$1009</formula1>
    </dataValidation>
    <dataValidation type="list" allowBlank="1" showInputMessage="1" showErrorMessage="1" promptTitle="2 of 21" prompt="hope" sqref="C995:D995" xr:uid="{4D0B614E-50F1-474C-AFD6-8F037380F154}">
      <formula1>$C$996:$C$999</formula1>
    </dataValidation>
    <dataValidation type="list" allowBlank="1" showInputMessage="1" showErrorMessage="1" promptTitle="Choose one" prompt="Select which best fits your current experience." sqref="D953:D973" xr:uid="{D87DC156-F135-407E-BCA4-1BA70E9BCF88}">
      <formula1>$D$975:$D$978</formula1>
    </dataValidation>
    <dataValidation type="list" allowBlank="1" showInputMessage="1" showErrorMessage="1" sqref="D256" xr:uid="{A5972868-D2E1-4EFA-A607-0E24B44DAEAE}">
      <formula1>$B$2805:$B$2810</formula1>
    </dataValidation>
    <dataValidation type="textLength" errorStyle="information" operator="lessThanOrEqual" allowBlank="1" showInputMessage="1" showErrorMessage="1" errorTitle="Before you go..." error="Make sure email is spelled correctly. It's up to you to provide a working email address." sqref="C1643:D1643 C1693:D1693 C1663:D1663 C1673:D1673 C1683:D1683 C1653:D1653" xr:uid="{F7C2C8B1-3677-4221-B0BD-49A86E52F55B}">
      <formula1>60</formula1>
    </dataValidation>
    <dataValidation type="textLength" errorStyle="information" operator="lessThanOrEqual" allowBlank="1" showInputMessage="1" showErrorMessage="1" errorTitle="Before you go..." error="Make sure this city is spelled correctly" prompt="Street address" sqref="C1644 C1694 C1664 C1674 C1684 C1654" xr:uid="{4558A0A2-A79D-406D-8F6B-933B27EAADF6}">
      <formula1>60</formula1>
    </dataValidation>
    <dataValidation type="textLength" errorStyle="information" operator="lessThanOrEqual" allowBlank="1" showInputMessage="1" showErrorMessage="1" prompt="Suite or apt" sqref="D1644 D1694 D1664 D1674 D1684 D1654" xr:uid="{33CE38AC-B26A-4FF9-89DE-1A124F0AF6E0}">
      <formula1>20</formula1>
    </dataValidation>
    <dataValidation type="textLength" errorStyle="information" operator="lessThanOrEqual" allowBlank="1" showInputMessage="1" showErrorMessage="1" errorTitle="Before you go..." error="Make sure email is spelled correctly. It's up to you to provide a working email address." prompt="City" sqref="C1645 C1655 C1665 C1675 C1685 C1695" xr:uid="{22D0AD0C-4F74-4349-AC03-49C0252569AC}">
      <formula1>35</formula1>
    </dataValidation>
    <dataValidation type="list" operator="lessThanOrEqual" allowBlank="1" showInputMessage="1" showErrorMessage="1" error="Pick from list in dropdown menu" prompt="State" sqref="D1645 D1685 D1695 D1675 D1655 D1665" xr:uid="{E9051D61-3C1A-4D2B-BA22-1D8FD3A9B098}">
      <formula1>$B$3216:$B$3267</formula1>
    </dataValidation>
    <dataValidation type="textLength" errorStyle="information" allowBlank="1" showInputMessage="1" showErrorMessage="1" error="Use either 5-digit or full zip code" prompt="Zip code" sqref="B1645 B1655 B1665 B1675 B1685 B1695" xr:uid="{9D05DC48-0529-47BD-8D12-902A0C4C7B29}">
      <formula1>5</formula1>
      <formula2>10</formula2>
    </dataValidation>
    <dataValidation type="list" errorStyle="information" allowBlank="1" showInputMessage="1" showErrorMessage="1" errorTitle="Select recipient type to notify" promptTitle="Change to recipient type: " prompt="Employer_x000a_Housing_x000a_Debt collector" sqref="B1647 B1637 B1657 B1677 B1667 B1687" xr:uid="{304E2FA9-334B-4C5D-B1F3-3303A612A2B3}">
      <formula1>$BB$1639:$BB$1641</formula1>
    </dataValidation>
    <dataValidation allowBlank="1" showInputMessage="1" showErrorMessage="1" prompt="Click on link" sqref="C1639:D1639 C1649:D1649 C1659:D1659 C1669:D1669 C1679:D1679 C1689:D1689" xr:uid="{47B6B06A-5E05-4242-9C65-2107F05B6449}"/>
    <dataValidation type="list" errorStyle="information" allowBlank="1" showInputMessage="1" showErrorMessage="1" prompt="Select option that best fits your need" sqref="C1638:D1638 C1688:D1688 C1678:D1678 C1668:D1668 C1658:D1658 C1648:D1648" xr:uid="{D5A671B4-C783-454D-A47A-CCA0A61F6D19}">
      <formula1>$CI$1639:$CI$1641</formula1>
    </dataValidation>
    <dataValidation type="list" allowBlank="1" showInputMessage="1" showErrorMessage="1" sqref="B504 B506 B516" xr:uid="{E3A0BC28-F440-40DE-8FED-9FE52C5CAA34}">
      <formula1>$AK$516:$AK$518</formula1>
    </dataValidation>
    <dataValidation errorStyle="information" allowBlank="1" showInputMessage="1" showErrorMessage="1" error="Make sure you provide a working email address, or we may not be able to include this one." sqref="C1358 C1368 C1378 C1388 C1398 C1408 C1418 C1428 C1438 C1448 C1458 C1468 C1478 C1488 C1498 C1508 C1518 C1528 C1538 C1548 C1558 C1568 C1578 C1588" xr:uid="{71118467-6043-4603-9B28-397CF3468FBD}"/>
    <dataValidation type="date" errorStyle="warning" operator="lessThanOrEqual" allowBlank="1" showInputMessage="1" showErrorMessage="1" error="Use format: YEAR-MONTH-DAY" sqref="C1361:D1361 C1371:D1371 C1381:D1381 C1391:D1391 C1401:D1401 C1411:D1411 C1421:D1421 C1431:D1431 C1441:D1441 C1451:D1451 C1461:D1461 C1471:D1471 C1481:D1481 C1491:D1491 C1501:D1501 C1511:D1511 C1521:D1521 C1531:D1531 C1541:D1541 C1551:D1551 C1561:D1561 C1571:D1571 C1581:D1581 C1591:D1591" xr:uid="{316C6617-6C06-458C-9745-4E01104695B9}">
      <formula1>$AI$1355</formula1>
    </dataValidation>
    <dataValidation allowBlank="1" showInputMessage="1" showErrorMessage="1" sqref="D1368 D1378 D1388 D1398 D1408 D1418 D1428 D1438 D1448 D1458 D1468 D1478 D1488 D1498 D1508 D1518 D1528 D1538 D1548 D1558 D1568 D1578 D1588" xr:uid="{9874485B-6E3A-4F94-BFAD-CE6727C63F8F}"/>
    <dataValidation type="list" errorStyle="warning" allowBlank="1" showInputMessage="1" showErrorMessage="1" sqref="D1362 D1592 D1562 D1572 D1582 D1532 D1542 D1552 D1492 D1502 D1512 D1522 D1452 D1462 D1472 D1482 D1412 D1422 D1432 D1442 D1372 D1382 D1392 D1402" xr:uid="{F82AF45F-DB1E-4D8E-9D27-3E5A2A935E48}">
      <formula1>$BM$1357:$BM$1361</formula1>
    </dataValidation>
    <dataValidation type="list" errorStyle="warning" allowBlank="1" showInputMessage="1" showErrorMessage="1" sqref="C1362 C1592 C1562 C1572 C1582 C1532 C1542 C1552 C1492 C1502 C1512 C1522 C1452 C1462 C1472 C1482 C1412 C1422 C1432 C1442 C1372 C1382 C1392 C1402" xr:uid="{201B46B9-6F40-40A3-8EA1-3633C92830C7}">
      <formula1>$BN$1357:$BN$1361</formula1>
    </dataValidation>
    <dataValidation type="list" errorStyle="warning" allowBlank="1" showInputMessage="1" showErrorMessage="1" error="Choose one of these four options, unless you've got one better." sqref="D1359 D1369 D1579 D1569 D1559 D1549 D1539 D1529 D1519 D1509 D1499 D1489 D1479 D1469 D1459 D1449 D1439 D1429 D1419 D1409 D1399 D1389 D1379 D1589" xr:uid="{E2EC3861-F319-4BFD-BB0D-D9D352B1FEFE}">
      <formula1>$BQ$1362:$BQ$1365</formula1>
    </dataValidation>
    <dataValidation type="list" errorStyle="information" allowBlank="1" showInputMessage="1" showErrorMessage="1" sqref="C206" xr:uid="{04CC2D19-9F78-4A89-859D-271BC5B0D115}">
      <formula1>$B$2628:$B$2630</formula1>
    </dataValidation>
    <dataValidation type="list" allowBlank="1" showInputMessage="1" showErrorMessage="1" sqref="D226:D227" xr:uid="{F45E3BA1-B599-45CB-94CD-13231F66B820}">
      <formula1>$D$2670:$D$2680</formula1>
    </dataValidation>
    <dataValidation type="list" allowBlank="1" showInputMessage="1" showErrorMessage="1" sqref="C226:C227" xr:uid="{BEFD86D4-D722-40AF-B06C-5439382D3507}">
      <formula1>$C$2670:$C$2672</formula1>
    </dataValidation>
    <dataValidation type="list" allowBlank="1" showInputMessage="1" showErrorMessage="1" sqref="B226:B227" xr:uid="{B3F3BC94-4B10-4170-91B6-B63D278C472D}">
      <formula1>$B$2670:$B$2677</formula1>
    </dataValidation>
    <dataValidation type="list" allowBlank="1" showInputMessage="1" showErrorMessage="1" sqref="D275" xr:uid="{FC4A4D0A-AA22-4750-B5D6-4ABF9A627719}">
      <formula1>$D$2786:$D$2791</formula1>
    </dataValidation>
    <dataValidation type="list" errorStyle="warning" allowBlank="1" showInputMessage="1" showErrorMessage="1" sqref="D274" xr:uid="{AC512E5C-58BB-4471-8C7F-7BBBC1331CC7}">
      <formula1>$B$2786:$B$2788</formula1>
    </dataValidation>
    <dataValidation type="list" allowBlank="1" showInputMessage="1" showErrorMessage="1" sqref="C275" xr:uid="{8953AB66-E76F-4D4A-8E97-C959A7B002D4}">
      <formula1>$C$2786:$C$2790</formula1>
    </dataValidation>
    <dataValidation type="list" allowBlank="1" showInputMessage="1" showErrorMessage="1" sqref="D307" xr:uid="{B74FA6FD-6911-4660-A323-A78979FDF470}">
      <formula1>$B$2819:$B$2820</formula1>
    </dataValidation>
    <dataValidation type="list" allowBlank="1" showInputMessage="1" showErrorMessage="1" sqref="D310" xr:uid="{8A1A01D0-8E9C-48DA-AED9-87658072ED92}">
      <formula1>$D$2647:$D$2651</formula1>
    </dataValidation>
    <dataValidation type="list" allowBlank="1" showInputMessage="1" showErrorMessage="1" sqref="D332" xr:uid="{F12048F4-2EA5-4B50-8FD1-A6AFD27F15DA}">
      <formula1>$B$2856:$B$2860</formula1>
    </dataValidation>
    <dataValidation type="list" errorStyle="warning" allowBlank="1" showInputMessage="1" showErrorMessage="1" sqref="D331" xr:uid="{E1932811-B0F3-4232-B815-4B79F20D1578}">
      <formula1>$D$2850:$D$2853</formula1>
    </dataValidation>
    <dataValidation type="list" allowBlank="1" showInputMessage="1" showErrorMessage="1" sqref="D329" xr:uid="{B816982B-321F-43DA-A253-FAB5A503C86C}">
      <formula1>$C$2850:$C$2853</formula1>
    </dataValidation>
    <dataValidation type="list" allowBlank="1" showInputMessage="1" showErrorMessage="1" sqref="D328" xr:uid="{9DDC659D-D720-439E-839B-78969FA0DBE3}">
      <formula1>$B$2850:$B$2851</formula1>
    </dataValidation>
    <dataValidation type="list" allowBlank="1" showInputMessage="1" showErrorMessage="1" sqref="D335" xr:uid="{533400F4-FE0A-4F8D-A98D-0384B6C41E05}">
      <formula1>$D$2863:$D$2866</formula1>
    </dataValidation>
    <dataValidation type="list" allowBlank="1" showInputMessage="1" showErrorMessage="1" sqref="C335" xr:uid="{5E2B27DD-E55B-4AED-9125-51022E4BC87F}">
      <formula1>$C$2863:$C$2866</formula1>
    </dataValidation>
    <dataValidation type="list" allowBlank="1" showInputMessage="1" showErrorMessage="1" sqref="B335" xr:uid="{587403B8-67E3-4A11-AFB0-BBDA2BBF2717}">
      <formula1>$B$2863:$B$2866</formula1>
    </dataValidation>
    <dataValidation type="list" allowBlank="1" showInputMessage="1" showErrorMessage="1" sqref="D338" xr:uid="{EF8A4013-D906-4C76-8358-A94A1D1FFDAD}">
      <formula1>$B$2869:$B$2873</formula1>
    </dataValidation>
    <dataValidation type="list" allowBlank="1" showInputMessage="1" showErrorMessage="1" sqref="D337" xr:uid="{192CC04B-8C7D-44F8-913D-C07C2FA008B8}">
      <formula1>$E$2850:$E$2855</formula1>
    </dataValidation>
    <dataValidation type="list" allowBlank="1" showInputMessage="1" showErrorMessage="1" sqref="B343:C343" xr:uid="{B0ECD1FD-103C-4668-B15B-128A7A770D37}">
      <formula1>$B$2876:$B$2885</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B359 B369:D369 B379:D379 B399:D399 B409:D409 B419:D419 B429:D429" xr:uid="{399D675B-ACD3-484D-BC1C-78B62CDC8BD4}">
      <formula1>$B$2892:$B$2897</formula1>
    </dataValidation>
    <dataValidation type="list" allowBlank="1" showInputMessage="1" showErrorMessage="1" errorTitle="Oops!" error="You can only select one of the options given. Contact us if we missed an option vital to your case." promptTitle="Choose one" prompt="Select best option" sqref="B562 B567 B572 B578 B583 B588" xr:uid="{A21A8CFD-3B88-47F7-8C07-26F78C49A3E0}">
      <formula1>$B$2916:$B$2919</formula1>
    </dataValidation>
    <dataValidation type="list" allowBlank="1" showInputMessage="1" showErrorMessage="1" errorTitle="Oops!" error="You can only select one of the options given. Contact us if we missed an option vital to your case." promptTitle="Choose one" prompt="Select best option" sqref="C562 C567 C572 C578 C583 C588" xr:uid="{5C8C5273-FE00-47F3-A304-69BDC29CE2DA}">
      <formula1>$B$2922:$B$2927</formula1>
    </dataValidation>
    <dataValidation type="list" allowBlank="1" showInputMessage="1" showErrorMessage="1" sqref="C596 C601 C622 C630 C635 C640 C646 C651 C656 C664 C674 C680 C685 C690 C696 C712 C717 C738 C743 C751 C771 C776" xr:uid="{24F7F947-24B1-4F63-B55E-1CA27E0761FB}">
      <formula1>$B$2922:$B$2927</formula1>
    </dataValidation>
    <dataValidation type="list" allowBlank="1" showInputMessage="1" showErrorMessage="1" error="You can only select one of the options given. Contact us if we missed an option vital to your case." promptTitle="Choose one" prompt="Select best option" sqref="B596 B601 B622 B630 B635 B640 B646 B651 B656 B664 B674 B680 B685 B690 B696 B712 B717 B738 B743 B751 B771 B776" xr:uid="{749AEB38-A7ED-4C19-9405-54F4D0087C52}">
      <formula1>$B$2916:$B$2919</formula1>
    </dataValidation>
    <dataValidation type="list" errorStyle="warning" allowBlank="1" showInputMessage="1" showErrorMessage="1" sqref="C788:D788" xr:uid="{0ABAF693-9606-4182-BE7B-96285331C66B}">
      <formula1>$C$2952:$C$2956</formula1>
    </dataValidation>
    <dataValidation type="list" errorStyle="warning" allowBlank="1" showInputMessage="1" showErrorMessage="1" sqref="C787:D787" xr:uid="{1072BE5B-F98E-4F21-87E9-81304E7DFDA8}">
      <formula1>$C$2946:$C$2950</formula1>
    </dataValidation>
    <dataValidation type="list" allowBlank="1" showInputMessage="1" showErrorMessage="1" sqref="D802:D807" xr:uid="{68B70E44-4643-46C5-A220-E9BD873BE2FB}">
      <formula1>$C$2970:$C$2975</formula1>
    </dataValidation>
    <dataValidation type="list" errorStyle="warning" allowBlank="1" showInputMessage="1" showErrorMessage="1" sqref="D812" xr:uid="{64CD7768-EDF9-484E-8420-CB63A608086A}">
      <formula1>$AD$763:$AD$768</formula1>
    </dataValidation>
    <dataValidation type="list" errorStyle="warning" allowBlank="1" showInputMessage="1" showErrorMessage="1" sqref="D813" xr:uid="{FC6527BD-240B-4857-9B83-5D12EF9DFB6E}">
      <formula1>$AF$763:$AF$768</formula1>
    </dataValidation>
    <dataValidation type="list" errorStyle="warning" allowBlank="1" showInputMessage="1" showErrorMessage="1" sqref="D814" xr:uid="{C6EFD38A-86BB-4F32-8134-AD43A011DEC8}">
      <formula1>$AH$763:$AH$767</formula1>
    </dataValidation>
    <dataValidation type="list" errorStyle="warning" allowBlank="1" showInputMessage="1" showErrorMessage="1" sqref="D815" xr:uid="{EA22F65B-243E-4C45-9F69-5742DB8680C0}">
      <formula1>$AJ$763:$AJ$767</formula1>
    </dataValidation>
    <dataValidation type="list" errorStyle="warning" allowBlank="1" showInputMessage="1" showErrorMessage="1" sqref="D816" xr:uid="{55B63595-D927-4058-9831-A089AECD6B78}">
      <formula1>$AL$763:$AL$767</formula1>
    </dataValidation>
    <dataValidation type="list" errorStyle="warning" allowBlank="1" showInputMessage="1" showErrorMessage="1" sqref="D817" xr:uid="{262EA5E2-6B90-4C06-AB05-BD173714F13A}">
      <formula1>$AN$763:$AN$767</formula1>
    </dataValidation>
    <dataValidation type="list" errorStyle="warning" allowBlank="1" showInputMessage="1" showErrorMessage="1" sqref="D818" xr:uid="{D4A86F51-E793-4246-A551-587FF7A3BF94}">
      <formula1>$AP$763:$AP$767</formula1>
    </dataValidation>
    <dataValidation type="list" errorStyle="warning" allowBlank="1" showInputMessage="1" showErrorMessage="1" sqref="D819" xr:uid="{E86456AB-5045-4273-AE22-A1C425A0A870}">
      <formula1>$AR$763:$AR$767</formula1>
    </dataValidation>
    <dataValidation type="list" allowBlank="1" showInputMessage="1" showErrorMessage="1" promptTitle="Applicability" prompt="How does this item apply to claimant?" sqref="B834:B852" xr:uid="{9123AC50-750F-4E8C-8F90-9E5852A19C16}">
      <formula1>$B$1976:$B$1978</formula1>
    </dataValidation>
    <dataValidation type="list" allowBlank="1" showInputMessage="1" showErrorMessage="1" promptTitle="Time of impact" prompt="When did or does this item impact claimant?" sqref="D834:D852" xr:uid="{5F5D55BB-D835-4CED-A2F8-DD81748FE95C}">
      <formula1>$B$1980:$B$1982</formula1>
    </dataValidation>
    <dataValidation type="list" allowBlank="1" showInputMessage="1" showErrorMessage="1" sqref="B861:B871" xr:uid="{261AD1BC-222D-4D10-98B5-BDBA3F2745F9}">
      <formula1>$C$2063:$C$2066</formula1>
    </dataValidation>
    <dataValidation type="list" allowBlank="1" showInputMessage="1" showErrorMessage="1" sqref="D861:D871" xr:uid="{DE88E526-5145-477F-9BFC-C2964F24B5D8}">
      <formula1>$C$2070:$C$2077</formula1>
    </dataValidation>
    <dataValidation type="list" allowBlank="1" showInputMessage="1" showErrorMessage="1" sqref="D882:D886" xr:uid="{C15A6203-1FBE-4269-AD0C-8DC151A59165}">
      <formula1>$B$1986:$B$1990</formula1>
    </dataValidation>
    <dataValidation type="list" allowBlank="1" showInputMessage="1" showErrorMessage="1" sqref="D892:D896" xr:uid="{E959AE1F-C255-433B-9146-7E8C81A4E6D3}">
      <formula1>$B$1994:$B$2000</formula1>
    </dataValidation>
    <dataValidation type="textLength" errorStyle="warning" operator="lessThanOrEqual" allowBlank="1" showInputMessage="1" showErrorMessage="1" errorTitle="Oops!" error="You've reached the 2500-characters maximum. Try using fewer words." sqref="B935:D943" xr:uid="{0002F422-ADAB-460A-8C0A-F47EFB1F15CB}">
      <formula1>2500</formula1>
    </dataValidation>
    <dataValidation type="list" errorStyle="information" allowBlank="1" showInputMessage="1" showErrorMessage="1" sqref="E1805:E1844" xr:uid="{68641C5A-B41E-4E4B-AA47-47650974A0FC}">
      <formula1>$AD$1753:$AD$1756</formula1>
    </dataValidation>
  </dataValidations>
  <hyperlinks>
    <hyperlink ref="B523" r:id="rId1" xr:uid="{68FE2712-D091-4EFA-AAEA-6B0148185CF9}"/>
    <hyperlink ref="A591" r:id="rId2" xr:uid="{69CDAE05-87FC-4831-AED9-06EA6FEB8999}"/>
    <hyperlink ref="B907" location="input!B12" display="Claim Synopsis" xr:uid="{A35E4F4F-AB52-4D48-BFD5-1117AF20CC0D}"/>
    <hyperlink ref="A158" location="'EIF E01 sample'!A199:F354" tooltip="&gt;&gt; click to go to section A &lt;&lt;" display="A" xr:uid="{E2CBE6AA-67CD-4009-955D-3F8F221B83DA}"/>
    <hyperlink ref="A160" location="'EIF E01 sample'!A355:F520" tooltip="&gt;&gt; click to go to section B &lt;&lt;" display="B." xr:uid="{02663180-658D-4192-96F2-32724F66EFD2}"/>
    <hyperlink ref="A180" location="'EIF E01 sample'!A826:N902" tooltip="&gt;&gt; click to go to section E &lt;&lt;" display="E." xr:uid="{69D10A14-A887-455C-AAF2-AB5792BE406F}"/>
    <hyperlink ref="A556" location="'EIF E01 sample'!A164" tooltip="Contents menu" display="C.2" xr:uid="{4E6EED94-D6E3-4EC9-8964-D98E9F84F771}"/>
    <hyperlink ref="A590" location="'EIF E01 sample'!A166" tooltip="Contents menu" display="C.3" xr:uid="{2DB0F4D5-50F3-4E30-8504-DB47FA969891}"/>
    <hyperlink ref="A658" location="'EIF E01 sample'!A170" tooltip="Contents menu" display="C.5" xr:uid="{D76D3F19-2E5C-4FB9-B63F-C90574C3F7F4}"/>
    <hyperlink ref="A706" location="'EIF E01 sample'!A172" tooltip="Contents menu" display="C.6" xr:uid="{153D4AF2-84BA-42B5-AEE4-55059F743B66}"/>
    <hyperlink ref="A745" location="'EIF E01 sample'!A174" tooltip="Contents menu" display="C.7" xr:uid="{D4D8EC10-CB78-40CC-96A8-2DBDC2347B7F}"/>
    <hyperlink ref="A755" location="'EIF E01 sample'!A176" tooltip="Contents menu" display="C.8" xr:uid="{45DE726C-4B04-478C-A848-AAB19166E5B9}"/>
    <hyperlink ref="A783" location="'EIF E01 sample'!A178" tooltip="Contents menu" display="D." xr:uid="{B6628423-5DDF-4C9A-898B-2FF4F80AC7F5}"/>
    <hyperlink ref="A826" location="'EIF E01 sample'!A180" tooltip="Contents menu" display="E." xr:uid="{BD85E3CB-BF1A-4BD3-836F-BF67EF9EDDAD}"/>
    <hyperlink ref="A903" location="'EIF E01 sample'!A182" tooltip="Contents menu" display="F." xr:uid="{5CA11D3C-02A1-413D-A2C6-4B1DC0C5E507}"/>
    <hyperlink ref="AD3280" r:id="rId3" xr:uid="{3EABAA3C-DFC6-4CFD-AB60-80272A65B1FA}"/>
    <hyperlink ref="AB3303" r:id="rId4" xr:uid="{E9C96595-2208-488F-84EE-65C35584F258}"/>
    <hyperlink ref="B831" r:id="rId5" xr:uid="{7DD274FE-5BEB-4B5A-B83F-A49E39EDAF59}"/>
    <hyperlink ref="A355" location="'EIF E01 sample'!A160" tooltip="Contents menu" display="B." xr:uid="{B7161330-544F-47E3-B144-2B7969622D55}"/>
    <hyperlink ref="BB51" location="input!A1360" display="input!A1360" xr:uid="{DE2E62C8-9C81-4A58-874D-4616B344186C}"/>
    <hyperlink ref="B1119" r:id="rId6" xr:uid="{AFFE7DD6-C83F-4BAD-B189-BF1809089145}"/>
    <hyperlink ref="A164" location="'EIF E01 sample'!A556:F589" tooltip="&gt;&gt; click to go to section C.2 &lt;&lt;" display="C.2" xr:uid="{22344810-D00B-483B-84B6-ACF838BD7C24}"/>
    <hyperlink ref="A166" location="'EIF E01 sample'!A590:F623" tooltip="&gt;&gt; click to go to section C.3 &lt;&lt;" display="C.3" xr:uid="{DC52A3ED-99F7-4AFE-85E3-245AF1167EEC}"/>
    <hyperlink ref="A168" location="'EIF E01 sample'!A624:F657" tooltip="&gt;&gt; click to go section C.4 &lt;&lt;" display="C.4" xr:uid="{7D7DB97D-90F8-443A-A150-269C0D5A0E1A}"/>
    <hyperlink ref="A170" location="'EIF E01 sample'!A658:F705" tooltip="&gt;&gt; click to go to section C.5 &lt;&lt;" display="C.5" xr:uid="{ED03DD3D-37E4-489C-92F3-881DFEEE85E3}"/>
    <hyperlink ref="A172" location="'EIF E01 sample'!A704:F744" tooltip="&gt;&gt; click to go to section C.6 &lt;&lt;" display="C.6" xr:uid="{C2EEFD9D-B21D-4264-AAC1-F2A3586B6ABC}"/>
    <hyperlink ref="A174" location="'EIF E01 sample'!A745:F754" tooltip="&gt;&gt; click to go to section C.7 &lt;&lt;" display="C.7" xr:uid="{A8894EEA-31C9-4799-A4B4-AA3B0ADA9909}"/>
    <hyperlink ref="A176" location="'EIF E01 sample'!A755:F782" tooltip="&gt;&gt; click to go to section C.8 &lt;&lt;" display="C.8" xr:uid="{F358F3BB-045F-4D07-9AC4-35BA5D40FE5F}"/>
    <hyperlink ref="A178" location="'EIF E01 sample'!A783:F825" tooltip="&gt;&gt; click to go to section D &lt;&lt;" display="D." xr:uid="{52AF3012-BADE-4BB1-9120-B990414D516E}"/>
    <hyperlink ref="A182" location="'EIF E01 sample'!A903:F945" tooltip="&gt;&gt; click to go to section F &lt;&lt;" display="F." xr:uid="{CA5D4FEE-7D2D-4860-AE83-5C60FA5E31A6}"/>
    <hyperlink ref="A199" location="'EIF E01 sample'!A158" tooltip="Contents menu above" display="A." xr:uid="{FAE27B96-236F-4ED2-ABFF-89BAF30D944C}"/>
    <hyperlink ref="A1126" location="'EIF E01 sample'!A184" tooltip="Contents menu" display="G." xr:uid="{9AB486D3-5B0E-4CF2-8608-9C2F7BC9A6D4}"/>
    <hyperlink ref="A1352" location="input!A140" tooltip="Contents menu" display="J." xr:uid="{006935BA-B47C-4230-85D5-3DE10E2FEB61}"/>
    <hyperlink ref="A1706" location="input!A144" tooltip="Contents menu" display="L." xr:uid="{A0B8257E-68DC-401E-B22E-D6E7F1000319}"/>
    <hyperlink ref="AR845" location="input!W214" display="GO" xr:uid="{7D745C82-AB57-40D4-A038-192D2AC9865E}"/>
    <hyperlink ref="BH315" location="input!Z725" display="Z725" xr:uid="{D7616F9A-2C8F-4C66-98E9-CF370FE173BE}"/>
    <hyperlink ref="A946" location="input!A134" tooltip="Contents menu" display="G." xr:uid="{35A4138A-3B5F-4C7F-81F1-D292A5E01251}"/>
    <hyperlink ref="C1649" location="'AI01'!A1" display="'AI01'!A1" xr:uid="{88EE740A-861C-4FE4-973B-AC9A5721C976}"/>
    <hyperlink ref="C1649:D1649" location="'N2'!A1" tooltip="&gt;&gt; click to go to N2 notification &lt;&lt;" display="'N2'!A1" xr:uid="{EF6E5E9A-4F00-41C8-BB6D-6B9F2623EEED}"/>
    <hyperlink ref="C1669" location="'AI01'!A1" display="'AI01'!A1" xr:uid="{052D2547-7288-4D7C-B9FA-DC8DCD20B8FE}"/>
    <hyperlink ref="C1669:D1669" location="'N4'!A1" tooltip="&gt;&gt; click to go to N4 notification &lt;&lt;" display="'N4'!A1" xr:uid="{C6C42867-CE65-408C-812E-0D96599379F7}"/>
    <hyperlink ref="C1679" location="'AI01'!A1" display="'AI01'!A1" xr:uid="{A587AEF6-E314-4D9A-859B-97D42AECF794}"/>
    <hyperlink ref="C1679:D1679" location="'N5'!A1" tooltip="&gt;&gt; click to go to N5 notification &lt;&lt;" display="'N5'!A1" xr:uid="{5196CE81-97A1-4956-BB06-2D8B6A9490F1}"/>
    <hyperlink ref="C1689" location="'AI01'!A1" display="'AI01'!A1" xr:uid="{EC9DFA5F-6424-4892-B940-EBC8C65A49C0}"/>
    <hyperlink ref="C1689:D1689" location="'N6'!A1" tooltip="&gt;&gt; click to go to N6 notification &lt;&lt;" display="'N6'!A1" xr:uid="{4439CACC-0777-4969-9BE3-0F4F52496844}"/>
    <hyperlink ref="A1357:B1357" location="'S01'!C4" display="'S01'!C4" xr:uid="{5A45A0D2-61EB-42A2-8F31-BC2A90990D5D}"/>
    <hyperlink ref="C1639:D1639" location="'N1'!A1:J1" tooltip="&gt;&gt; go to N1 notification &lt;&lt;" display="'N1'!A1:J1" xr:uid="{270FDD76-E62D-44D2-B8F6-423606E8B152}"/>
    <hyperlink ref="B1357" location="'S01'!A1:F1" tooltip="CLICK to go to Supporter 1 tab" display="Supporter 01:" xr:uid="{D5D0CA84-E36B-4F13-8F98-603E7ADA04CA}"/>
    <hyperlink ref="C1659" location="'AI01'!A1" display="'AI01'!A1" xr:uid="{C95BDBDD-6771-43B9-A583-B0E379E2EB90}"/>
    <hyperlink ref="C1659:D1659" location="'N3'!A1" tooltip="&gt;&gt; click to go to N3 notification &lt;&lt;" display="'N3'!A1" xr:uid="{6EE06BDF-552D-4936-B585-CF66DB415BD2}"/>
    <hyperlink ref="A1258" location="input!A138" tooltip="Contents menu" display="I. " xr:uid="{9FB48F95-C9B3-41EF-A714-F52CD8B6242D}"/>
    <hyperlink ref="B199:E199" location="input!A1" tooltip="back to top" display="Case Information" xr:uid="{0EB0A2C5-A417-46CD-895E-5042FE4126C1}"/>
    <hyperlink ref="B355:E355" location="input!A1" tooltip="back to top" display="Documentation for verification" xr:uid="{C868705A-60F3-41B3-BEFE-D264789AE232}"/>
    <hyperlink ref="B521:E521" location="input!A1" tooltip="back to top" display="Common Factors in Wrongful Convictions" xr:uid="{29520804-27F8-42BF-8676-4031395B1C6F}"/>
    <hyperlink ref="B556:E556" location="input!A1" tooltip="back to top" display="Evidentiary Factors" xr:uid="{5BAA1F5B-28A3-4482-BF4B-A363AB14E907}"/>
    <hyperlink ref="B590:E590" location="input!A1" tooltip="back to top" display="Investigative Factors" xr:uid="{39B9954B-30FB-4E43-AC64-00EFCA1C7790}"/>
    <hyperlink ref="B624:E624" location="input!A1" tooltip="back to top" display="Complicating Factors" xr:uid="{977C5FD0-DB50-4BC2-BFA6-D1BD54FAB294}"/>
    <hyperlink ref="B658:E658" location="input!A1" tooltip="back to top" display="Claimant’s demonstratable innocence" xr:uid="{16FDA33B-68AA-408A-90EB-544D65DB17FF}"/>
    <hyperlink ref="B706:E706" location="input!A1" tooltip="back to top" display="Claimant’s innocence recognized by others" xr:uid="{DE2905A4-484D-4D9B-85D6-E941E9EC1F64}"/>
    <hyperlink ref="B745:E745" location="input!A1" tooltip="back to top" display="Other" xr:uid="{7A803619-E474-4152-A3BB-98A49DE87233}"/>
    <hyperlink ref="B755:E755" location="input!A1" tooltip="back to top" display="Process" xr:uid="{DDA8C54F-CB93-49F7-AB30-42DDF5C6FCFD}"/>
    <hyperlink ref="A624" location="'EIF E01 sample'!A168" tooltip="Contents menu" display="C.4" xr:uid="{3E944B33-9E19-470B-A4AD-296C33B58CDE}"/>
    <hyperlink ref="B783:E783" location="input!A1" tooltip="back to top" display="Requests and responses for exoneration help" xr:uid="{9DA167CD-7095-43DD-908E-A84F74E97631}"/>
    <hyperlink ref="B826:E826" location="input!A1" tooltip="back to top" display="Collateral consequences of conviction" xr:uid="{68075750-26D0-463D-9389-1D52D87A0AA5}"/>
    <hyperlink ref="B903:E903" location="input!A1" tooltip="back to top" display="Claimant narrative" xr:uid="{00073154-0731-4877-A406-35FF1A706896}"/>
    <hyperlink ref="B946:E946" location="input!A1" tooltip="back to top" display="Dynamic Relating" xr:uid="{E7109C86-1D3F-43FD-B825-C3947BD4F0CD}"/>
    <hyperlink ref="B1126:E1126" location="input!A1" tooltip="back to top" display="Compensation" xr:uid="{C5A8FB40-078E-41DB-B164-A68A20734500}"/>
    <hyperlink ref="B1258:E1258" location="input!A1" tooltip="back to top" display="Options" xr:uid="{EC8FC12D-9FCA-40DD-A4E7-AEAD49BCAAE7}"/>
    <hyperlink ref="B1352:E1352" location="input!A1" tooltip="back to top" display="Supporter(s)" xr:uid="{E619EA6D-2C95-4D99-8E41-4899A3022BA4}"/>
    <hyperlink ref="B1632:E1632" location="input!A1" tooltip="back to top" display="Notifying" xr:uid="{AE92C690-1007-41CD-875D-AE9F8F0C9288}"/>
    <hyperlink ref="B1706:E1706" location="input!A1" tooltip="back to top" display="Independent Verifier(s)" xr:uid="{988D42AC-602C-4449-AD86-4C7A7853D49B}"/>
    <hyperlink ref="B1168:E1168" location="input!A1" tooltip="back to top" display="Next" xr:uid="{75507B42-D834-44D4-AA44-4CF74164A64E}"/>
    <hyperlink ref="B1367" location="'S02'!A1:F1" tooltip="CLICK to go to Supporter 2 tab" display="Supporter 02" xr:uid="{78255671-BFA1-4810-A01B-36DF0A034B23}"/>
    <hyperlink ref="B1377" location="'S03'!A1:F1" tooltip="CLICK to go to Supporter 3 tab" display="Supporter 03" xr:uid="{B3FC37F8-B7E2-40C3-B19A-53ED6249BF95}"/>
    <hyperlink ref="B1387" location="'S04'!A1:F1" tooltip="CLICK to go to Supporter 4 tab" display="Supporter 04" xr:uid="{432D4257-6F35-4AAE-8514-FA329EB1DD99}"/>
    <hyperlink ref="B1397" location="'N5'!A1:F1" tooltip="CLICK to go to Supporter 5 tab" display="Supporter 05" xr:uid="{A529EA3E-5FEB-459D-BD36-18ACDE57CC1A}"/>
    <hyperlink ref="B1407" location="'S06'!A1:F1" tooltip="CLICK to go to Supporter 6 tab" display="Supporter 06" xr:uid="{62C2D79C-6E2E-4887-B387-3586AC2BD4A3}"/>
    <hyperlink ref="B1417" location="'S07'!A1:F1" tooltip="CLICK to go to Supporter 7 tab" display="Supporter 07" xr:uid="{A771FC0A-00E0-4BED-A150-CAD20BA136D2}"/>
    <hyperlink ref="B1427" location="'S08'!A1:F1" tooltip="CLICK to go to Supporter 8 tab" display="Supporter 08" xr:uid="{47F5D416-46C0-410A-925C-172235D85243}"/>
    <hyperlink ref="B1437" location="'S09'!A1:F1" tooltip="CLICK to go to Supporter 9 tab" display="Supporter 09" xr:uid="{1835AC52-9D4F-4AF0-B71E-1666475736C9}"/>
    <hyperlink ref="B1447" location="'S10'!A1:F1" tooltip="CLICK to go to Supporter 10 tab" display="Supporter 10" xr:uid="{530CF0B0-C2F7-4A7D-A8DC-DB81C3589E35}"/>
    <hyperlink ref="B1457" location="'S11'!A1:F1" tooltip="CLICK to go to Supporter 11 tab" display="Supporter 11" xr:uid="{4D137A40-CD09-4FEA-8AED-0929CB9A2A45}"/>
    <hyperlink ref="B1467" location="'S12'!A1:F1" tooltip="CLICK to go to Supporter 12 tab" display="Supporter 12" xr:uid="{2A0FF036-9C78-42CA-B98E-CB6FDC2D7294}"/>
    <hyperlink ref="B1477" location="'S13'!A1:F1" tooltip="CLICK to go to Supporter 13 tab" display="Supporter 13" xr:uid="{1A37DC6B-2A75-4B08-A046-484169B97CCC}"/>
    <hyperlink ref="B1487" location="'S14'!A1:F1" tooltip="CLICK to go to Supporter 14 tab" display="Supporter 14" xr:uid="{CD4CC5A3-9A9D-4D3B-9999-C0B4943321F9}"/>
    <hyperlink ref="B597" r:id="rId7" tooltip="Wikipedia entry" xr:uid="{3E1ABD10-7946-4FA8-99F6-334BBEE1ED4E}"/>
    <hyperlink ref="B592" r:id="rId8" tooltip="Government website info on tunnel vision" xr:uid="{0E6D9B48-BFD3-4859-BE25-1DAB12789CF2}"/>
    <hyperlink ref="B3200" r:id="rId9" display="http://www.wrongfulconvictionlawyers.com/state-statutes/" xr:uid="{F69758DE-8DE3-47D3-90AF-7DC3594E4F66}"/>
    <hyperlink ref="AB3295" r:id="rId10" xr:uid="{5FDE1AA0-CCAB-4455-B373-1DEA885AAB79}"/>
    <hyperlink ref="AB3297" r:id="rId11" xr:uid="{8996D490-3C50-4342-9780-C85A8628B18F}"/>
    <hyperlink ref="AB3332" r:id="rId12" xr:uid="{487AF275-025A-49AC-89AC-39B0B8413775}"/>
    <hyperlink ref="B1179" r:id="rId13" tooltip="Hoffman, Morris B. (2007). The Myth of Factual Innocence. 82 Chi.-Kent L. Rev. 663. | judicial official | def. &quot;actual innocence&quot; | qualitative method" xr:uid="{DE9DE709-5064-41FF-9179-CDE5E63C3B0F}"/>
    <hyperlink ref="AC1176:AE1176" r:id="rId14" tooltip="source" display="https://leg.mt.gov/content/Committees/Interim/2019-2020/Law-and-Justice/Meetings/Nov-2019/sj19-doj-map-sex-offenders-per-capita-november-2019.pdf" xr:uid="{2370CC4E-E286-4CC0-B7C5-AAAE2371CF4C}"/>
    <hyperlink ref="B1182" r:id="rId15" tooltip="Cassell, Paul G. (2018). Overstating America’s Wrongful Conviction Rate? Reassessing the Conventional Wisdom About the Prevalence of Wrongful Convictions. Arizona Law Review, 60:815." xr:uid="{A0152F21-4331-4714-8DFF-DE39691E1BE1}"/>
    <hyperlink ref="B1185" r:id="rId16" tooltip="Kansas v. Marsh (2006). U.S. Supreme Court Justice Antonin Scalia, quoting Joshua Marquis in U.S. Supreme Court opinion; Marquis, J. (2005). The Myth of Innocence, 95 J. Crim. L. &amp; Criminology 501." xr:uid="{2B6E15FF-8E35-4C88-A7C5-48BB4EF2C80D}"/>
    <hyperlink ref="B1188" r:id="rId17" tooltip="Zalman, Marvin (2012). Qualitatively Estimating the Incidence of Wrongful Convictions. Criminal Law Bulletin, 48:2, 219-279." xr:uid="{E5BD85E2-2626-426C-8979-0BB44562618F}"/>
    <hyperlink ref="B1191" r:id="rId18" tooltip="Ramsey, Robert H. and Frank, James (2007). Wrongful Conviction: Perceptions of Criminal Justice Professionals Regarding the Frequency of Wrongful Conviction and the Extent of System Errors. Crime &amp; Delinq, 53:3, 436-470." xr:uid="{9F3DB330-F2F1-46E5-BBE6-F0C5B0B96EAC}"/>
    <hyperlink ref="B1194" r:id="rId19" tooltip="Gross, Samuel R. (2008). “Frequency and Predictors of False Conviction: Why We Know So Little, and New Data on Capital Cases.” B. O’Brien, co-author. J. Empirical Legal Stud. 5, no. 4: 927-6" xr:uid="{E5BE1631-5CCD-4B29-8F84-48210B45B8C9}"/>
    <hyperlink ref="B1197" r:id="rId20" tooltip="Risinger, D.M. (2007). Innocents Convicted: An Empirical Justified Factual Wrongful Conviction Rate, J. Crim. L. &amp; Criminology 97:761." xr:uid="{2C79EE0D-BA39-4B56-97E6-CED35E1BD7DC}"/>
    <hyperlink ref="B1200" r:id="rId21" tooltip="Samuel R. Gross, Barbara O’Brien, Chen Hu, and Edward H. Kennedy (2014). Rate of False Conviction of Criminal Defendants Who are Sentenced to Death. Proceedings of the National Academy of Science, 111:2, 7230-7235." xr:uid="{A20A5CF2-D61C-4F9D-A9C5-8748935AFD2F}"/>
    <hyperlink ref="B1203" r:id="rId22" tooltip="John Roman, Kelly Walsh, Pamela Lachman, and Jennifer Yahner (2012). Post-Conviction DNA Testing and Wrongful Conviction. Urban Institute." xr:uid="{E31CA3FF-6D1E-4AEC-BFE2-0D5D1D1BAB7C}"/>
    <hyperlink ref="B1206" r:id="rId23" tooltip="Loeffler, C.E., Hyatt, J. &amp; Ridgeway, G. (2019). Measuring Self-Reported Wrongful Convictions Among Prisoners. J Quant Criminol 35, 259–286." xr:uid="{45957AA7-A257-4CA5-875E-666080FCA22F}"/>
    <hyperlink ref="B1209" r:id="rId24" tooltip="Walsh, K., Hussemann, J., Flynn, A., Yahner, J., Golian, L. (2017). Estimating the Prevalence of Wrongful Conviction. Office of Justice Programs’ National Criminal Justice Reference Service." xr:uid="{8D43C046-80D0-41C9-8944-D1F2EA2FDCC7}"/>
    <hyperlink ref="B1212" r:id="rId25" tooltip="Poveda, T.G. (2001). Estimating Wrongful Convictions. Justice Quarterly, 18:3, 689-708." xr:uid="{3D8D2570-3BD4-491D-BAC0-ACE9F6D03A33}"/>
    <hyperlink ref="A162" location="'EIF E01 sample'!A521:F555" tooltip="&gt;&gt; click to go to section C.1 &lt;&lt;" display="C.1" xr:uid="{937E49FA-0E3C-4D66-9BF7-852755E95EB6}"/>
    <hyperlink ref="B199" location="'EIF E01 sample'!A1:F1" tooltip="back to top" display="Case information" xr:uid="{1D93D9E3-B53A-40BF-BBBF-7B8EA02562D7}"/>
    <hyperlink ref="B355" location="'EIF E01 sample'!A1:F1" tooltip="back to top" display="Documentation for verification" xr:uid="{7282BA5E-93B2-40B9-822D-4CEFB06DEBAE}"/>
    <hyperlink ref="B521" location="'EIF E01 sample'!A1:F1" tooltip="back to top" display="Common factors in wrongful convictions" xr:uid="{862D1B77-7A2C-4F69-AAC1-BBF6CBDF8121}"/>
    <hyperlink ref="B590" location="'EIF E01 sample'!A1:F1" tooltip="back to top" display="Investigative factors" xr:uid="{5F0313EE-0920-41AC-B5EF-114C933CF538}"/>
    <hyperlink ref="B624" location="'EIF E01 sample'!A1:F1" tooltip="back to top" display="Complicating factors" xr:uid="{50E47B44-C92A-432B-A763-C2FC24209A4B}"/>
    <hyperlink ref="B658" location="'EIF E01 sample'!A1:F1" tooltip="back to top" display="Claimant’s demonstratable innocence" xr:uid="{EDEDB02D-27A4-468D-A96E-30213E8FCBA9}"/>
    <hyperlink ref="B706" location="'EIF E01 sample'!A1:F1" tooltip="back to top" display="Claimant’s innocence recognized by others" xr:uid="{CE47DAB9-52E9-4DE8-8A79-11D3D8C451A6}"/>
    <hyperlink ref="B745" location="'EIF E01 sample'!A176" tooltip="back to top" display="Other" xr:uid="{7F99B378-8AC0-4162-BA47-7C542B7C2E9A}"/>
    <hyperlink ref="B783" location="'EIF E01 sample'!A1:F1" tooltip="back to top" display="Requests and responses for exoneration help" xr:uid="{46210C54-3FB7-4241-9AC2-27163AD4B6B2}"/>
    <hyperlink ref="B826" location="'EIF E01 sample'!A1:F1" tooltip="back to top" display="Collateral consequences of wrongful conviction" xr:uid="{54C38E5A-D36E-4B97-AA7B-5B537CFC910E}"/>
    <hyperlink ref="B903" location="'EIF E01 sample'!A1:F1" tooltip="back to top" display="Claimant narrative" xr:uid="{CBB21E9C-BED1-4B21-B446-520214F83F0C}"/>
    <hyperlink ref="B1126" location="'EIF E01 sample'!A1:F1" tooltip="back to top" display="Compensation" xr:uid="{29A5A7AD-B701-4890-BFD6-896A117B46F3}"/>
    <hyperlink ref="B1168" location="'EIF E01 sample'!A1:F1" tooltip="back to top" display="You're not alone" xr:uid="{8C00FAB3-6A27-412D-98B7-D1C908ABA9FB}"/>
    <hyperlink ref="A1168" location="'EIF E01 sample'!A186" display="H." xr:uid="{B236FA90-F7F5-4EA3-8590-7C1BE490CA35}"/>
    <hyperlink ref="F199" location="'EIF E01 sample'!A355:F355" tooltip="to B. Documentation for verfication" display="$" xr:uid="{6A752D66-8ED4-40CF-9A7D-2AA6FF876A9D}"/>
    <hyperlink ref="F355" location="'EIF E01 sample'!A521:F521" tooltip="to C.1 Common factors in wrongful convictions" display="$" xr:uid="{5D213B74-CB87-4DF9-A274-97BA42C4C692}"/>
    <hyperlink ref="F521" location="'EIF E01 sample'!A556:F556" tooltip="to C.2 Evidentiary factors" display="$" xr:uid="{AB229056-09E5-44E7-B540-C5AD11221D83}"/>
    <hyperlink ref="F755" location="'EIF E01 sample'!A783:F783" tooltip="to D. Requests &amp; responses for exoneration help" display="$" xr:uid="{31081758-F12D-4765-9B21-99539D1A0E92}"/>
    <hyperlink ref="F745" location="'EIF E01 sample'!A755:F755" tooltip="C.8 Process" display="$" xr:uid="{09AF5ECD-153B-447C-9A38-5887492A4AFF}"/>
    <hyperlink ref="F706" location="'EIF E01 sample'!A745:F745" tooltip="to C.7 Other" display="$" xr:uid="{CCCFADBC-957F-48BD-9D9C-25C9DF6B5414}"/>
    <hyperlink ref="F658" location="'EIF E01 sample'!A706:F706" tooltip="to C.6 Claimant's innocence recognized by others" display="$" xr:uid="{A199FCAA-A99F-4794-B606-03905C44072F}"/>
    <hyperlink ref="F624" location="'EIF E01 sample'!A658:F658" tooltip="to C.5 Claimant's demonstrable innocence" display="$" xr:uid="{7F16D7D8-2880-4C89-A8C1-D6E89C619231}"/>
    <hyperlink ref="F590" location="'EIF E01 sample'!A624:F624" tooltip="to C.4 Complicating factors" display="$" xr:uid="{87851AB6-2304-40A9-B90A-DDAD2271CDEE}"/>
    <hyperlink ref="F556" location="'EIF E01 sample'!A590:F590" tooltip="to C.3 Investigative factors" display="$" xr:uid="{691DACBF-184B-4C08-95C9-762575AD58A9}"/>
    <hyperlink ref="A184" location="'EIF E01 sample'!A1126:F1167" tooltip="&gt;&gt; click to go to section G &lt;&lt;" display="'EIF E01 sample'!A1126:F1167" xr:uid="{7B7DD303-1AA7-43EC-8315-B157E88D6385}"/>
    <hyperlink ref="A186" location="'EIF E01 sample'!A1168:F1217" tooltip="&gt;&gt; click to go to section H &lt;&lt;" display="'EIF E01 sample'!A1168:F1217" xr:uid="{3461534D-C413-480C-9506-18DEC083675F}"/>
    <hyperlink ref="F783" location="'EIF E01 sample'!A826:F826" tooltip="to E. Collateral consequences of wrongful conviction" display="$" xr:uid="{6C88454C-3642-4107-BFDF-168F2C1762C8}"/>
    <hyperlink ref="F826" location="'EIF E01 sample'!A903:F903" tooltip="F. Claimant narrative" display="$" xr:uid="{708082D0-3A82-4BCD-993C-C10617CF895E}"/>
    <hyperlink ref="F903" location="'EIF E01 sample'!A1126:F1126" tooltip="G. Compensation" display="$" xr:uid="{3CE969B1-3795-433C-B729-213279ABA036}"/>
    <hyperlink ref="F1126" location="'EIF E01 sample'!A1168:F1168" tooltip="H. You're not alone" display="$" xr:uid="{5C0F82DB-BC6D-4181-911D-F4AFC3D67BA8}"/>
    <hyperlink ref="F1168" location="'EIF E01 sample'!A1218:F1218" tooltip="Using your Estimated Innocence" display="$" xr:uid="{B3AEED84-DF17-4F74-8D82-A89CD30211D3}"/>
    <hyperlink ref="B556" location="'EIF E01 sample'!A1:F1" tooltip="back to top" display="Evidentiary factors" xr:uid="{D1D2EA4A-0336-48F4-857C-93AE4B4F378A}"/>
    <hyperlink ref="B755" location="'EIF E01 sample'!A1:F1" tooltip="back to top" display="Process" xr:uid="{069D73B4-6893-4F99-82B8-A8CC7C9C45D8}"/>
    <hyperlink ref="D1172" r:id="rId26" tooltip="Click to go online for the lastest count" xr:uid="{AF1FC9A2-F4CA-49B1-98BD-AFC09216BAA8}"/>
    <hyperlink ref="CG3214" r:id="rId27" xr:uid="{4E93AD79-0958-47B5-9AD1-F57C78594FAD}"/>
    <hyperlink ref="BV3213" r:id="rId28" xr:uid="{4EB7021C-A72C-4376-9CDF-AFAA67A2E3B8}"/>
    <hyperlink ref="AD2265" r:id="rId29" xr:uid="{00AD223B-CE93-4FA4-A8B1-569C45B74F93}"/>
    <hyperlink ref="AD2266" r:id="rId30" xr:uid="{49821748-6A5E-4F6B-8756-39E096C29701}"/>
    <hyperlink ref="B2254" r:id="rId31" tooltip="click to view PDF article online" display="https://core.ac.uk/download/pdf/144229415.pdf" xr:uid="{F647EB94-D606-4191-8254-3B6873A53CFF}"/>
    <hyperlink ref="BG2864" r:id="rId32" xr:uid="{3433821E-AE46-44AF-BCD9-8FB0A07998FC}"/>
    <hyperlink ref="B360" r:id="rId33" xr:uid="{04ED4630-E1AC-4C96-B1A8-A185D79C9EBA}"/>
    <hyperlink ref="B370" r:id="rId34" xr:uid="{2D1D4D68-3D6D-48AE-A918-688961FF6449}"/>
    <hyperlink ref="B380" r:id="rId35" xr:uid="{27B0582D-2C4F-4389-88C9-D029400F7623}"/>
    <hyperlink ref="B400" r:id="rId36" xr:uid="{5A546689-8BCE-43EA-B044-916C239B35D6}"/>
    <hyperlink ref="B410" r:id="rId37" xr:uid="{A8E5183D-A668-4E6F-8190-79EE708C4083}"/>
    <hyperlink ref="B420" r:id="rId38" xr:uid="{1767ED09-4C9D-4BEE-BA60-4B9FFD7A25DC}"/>
    <hyperlink ref="B430" r:id="rId39" xr:uid="{56067020-CF99-49BA-A0E0-BD6968AA1448}"/>
    <hyperlink ref="B158" location="'EIF E01 sample'!A1:F1" tooltip="to top of this document" display="'EIF E01 sample'!A1:F1" xr:uid="{55EBB140-6058-4188-AA0A-BEB814B6D882}"/>
    <hyperlink ref="B160" location="'EIF E01 sample'!A1:F1" tooltip="to top of this document" display="'EIF E01 sample'!A1:F1" xr:uid="{13D83F51-3961-40B6-84B2-E4E837B06168}"/>
    <hyperlink ref="B162" location="'EIF E01 sample'!A1:F1" tooltip="to top of this document" display="'EIF E01 sample'!A1:F1" xr:uid="{9B9841C9-270B-43C2-8715-C08E4D66162D}"/>
    <hyperlink ref="B164" location="'EIF E01 sample'!A1:F1" tooltip="to the top of this document" display="'EIF E01 sample'!A1:F1" xr:uid="{3CCF216D-F7F0-4A3F-BAAB-A21E7F3C0ACE}"/>
    <hyperlink ref="B166" location="'EIF E01 sample'!A1:F1" tooltip="to the top of this document" display="'EIF E01 sample'!A1:F1" xr:uid="{980594C9-965E-4AFF-B699-5FF1553601B4}"/>
    <hyperlink ref="B168" location="'EIF E01 sample'!A1:F1" tooltip="to the top of this document" display="'EIF E01 sample'!A1:F1" xr:uid="{98BCE1F5-1927-4907-B928-198FE44C49D5}"/>
    <hyperlink ref="B170" location="'EIF E01 sample'!A1:F1" tooltip="to the top of this document" display="'EIF E01 sample'!A1:F1" xr:uid="{16920C65-C563-45F6-90AD-9F74097E36C5}"/>
    <hyperlink ref="B172" location="'EIF E01 sample'!A1:F1" tooltip="to top of this document" display="'EIF E01 sample'!A1:F1" xr:uid="{555CBBFA-CFDE-4083-BC96-877A463DF922}"/>
    <hyperlink ref="B174" location="'EIF E01 sample'!A1:F1" tooltip="to top of this document" display="'EIF E01 sample'!A1:F1" xr:uid="{AF26FAA9-37EA-4997-905E-5C35359543B9}"/>
    <hyperlink ref="B176" location="'EIF E01 sample'!A1:F1" tooltip="to top of this document" display="'EIF E01 sample'!A1:F1" xr:uid="{219F607F-8DAA-4C89-9E19-311D00E4ED58}"/>
    <hyperlink ref="B178" location="'EIF E01 sample'!A1:F1" tooltip="to top of this document" display="'EIF E01 sample'!A1:F1" xr:uid="{34B5965C-3D78-48EB-A4B9-0F9CEDFB58F0}"/>
    <hyperlink ref="B180" location="'EIF E01 sample'!A1:F1" tooltip="to top of this document" display="'EIF E01 sample'!A1:F1" xr:uid="{76EECC1C-D6BF-43A2-A741-31A368A092A8}"/>
    <hyperlink ref="B182" location="'EIF E01 sample'!A1:F1" tooltip="to top of this document" display="'EIF E01 sample'!A1:F1" xr:uid="{56081E5C-E050-48B5-9E84-29E8DE742C56}"/>
    <hyperlink ref="B184" location="'EIF E01 sample'!A1:F1" tooltip="to top of this document" display="'EIF E01 sample'!A1:F1" xr:uid="{91F94BB0-2B20-4D68-BF3F-45CD674DF66A}"/>
    <hyperlink ref="B186" location="'EIF E01 sample'!A1:F1" tooltip="to top of this document" display="'EIF E01 sample'!A1:F1" xr:uid="{092F63B4-0580-4E04-A0CF-6EE956194843}"/>
    <hyperlink ref="A521" location="'EIF E01 sample'!A162" tooltip="Contents menu" display="C.1" xr:uid="{9339F95E-ACD9-4C00-A08C-001B8B6E5935}"/>
  </hyperlinks>
  <pageMargins left="0.7" right="0.7" top="0.75" bottom="0.75" header="0.3" footer="0.3"/>
  <pageSetup orientation="portrait" r:id="rId40"/>
  <headerFooter>
    <oddHeader xml:space="preserve">&amp;L&amp;"-,Bold"&amp;14&amp;G&amp;C&amp;"Arial Black,Regular"&amp;12&amp;K461E64Estimated Innocence&amp;R&amp;D
</oddHeader>
    <oddFooter>&amp;L&amp;A&amp;C&amp;P&amp;R&amp;G</oddFooter>
  </headerFooter>
  <drawing r:id="rId41"/>
  <legacyDrawing r:id="rId42"/>
  <legacyDrawingHF r:id="rId43"/>
  <extLst>
    <ext xmlns:x14="http://schemas.microsoft.com/office/spreadsheetml/2009/9/main" uri="{78C0D931-6437-407d-A8EE-F0AAD7539E65}">
      <x14:conditionalFormattings>
        <x14:conditionalFormatting xmlns:xm="http://schemas.microsoft.com/office/excel/2006/main">
          <x14:cfRule type="containsText" priority="174" operator="containsText" id="{42F3ACC9-77E4-49A7-B621-D06FD5570D16}">
            <xm:f>NOT(ISERROR(SEARCH($BJ$2249,B2254)))</xm:f>
            <xm:f>$BJ$2249</xm:f>
            <x14:dxf>
              <font>
                <color theme="1" tint="0.24994659260841701"/>
              </font>
            </x14:dxf>
          </x14:cfRule>
          <xm:sqref>B2254</xm:sqref>
        </x14:conditionalFormatting>
        <x14:conditionalFormatting xmlns:xm="http://schemas.microsoft.com/office/excel/2006/main">
          <x14:cfRule type="containsText" priority="173" operator="containsText" id="{3D07537F-6C2B-44C2-8C48-4825DE2187C8}">
            <xm:f>NOT(ISERROR(SEARCH($BH$2812,B2347)))</xm:f>
            <xm:f>$BH$2812</xm:f>
            <x14:dxf>
              <font>
                <color theme="0" tint="-0.24994659260841701"/>
              </font>
            </x14:dxf>
          </x14:cfRule>
          <xm:sqref>B2347</xm:sqref>
        </x14:conditionalFormatting>
        <x14:conditionalFormatting xmlns:xm="http://schemas.microsoft.com/office/excel/2006/main">
          <x14:cfRule type="containsText" priority="172" operator="containsText" id="{BC791304-3EED-41F6-B6F4-3FE12A7059AB}">
            <xm:f>NOT(ISERROR(SEARCH($BH$2812,B2352)))</xm:f>
            <xm:f>$BH$2812</xm:f>
            <x14:dxf>
              <font>
                <color theme="0" tint="-0.24994659260841701"/>
              </font>
            </x14:dxf>
          </x14:cfRule>
          <xm:sqref>B2352</xm:sqref>
        </x14:conditionalFormatting>
        <x14:conditionalFormatting xmlns:xm="http://schemas.microsoft.com/office/excel/2006/main">
          <x14:cfRule type="containsText" priority="1131" operator="containsText" id="{9509276D-E312-4B1A-9B33-9994DD7DC690}">
            <xm:f>NOT(ISERROR(SEARCH($BE$2395,B2394)))</xm:f>
            <xm:f>$BE$2395</xm:f>
            <x14:dxf>
              <fill>
                <patternFill>
                  <bgColor rgb="FFCCFFCC"/>
                </patternFill>
              </fill>
            </x14:dxf>
          </x14:cfRule>
          <xm:sqref>B2394</xm:sqref>
        </x14:conditionalFormatting>
        <x14:conditionalFormatting xmlns:xm="http://schemas.microsoft.com/office/excel/2006/main">
          <x14:cfRule type="containsText" priority="78" operator="containsText" id="{1BD0CD8F-14C6-4ED7-8106-7C399AEB27EE}">
            <xm:f>NOT(ISERROR(SEARCH($BD$2393,B2393)))</xm:f>
            <xm:f>$BD$2393</xm:f>
            <x14:dxf>
              <font>
                <color theme="2" tint="-0.24994659260841701"/>
              </font>
            </x14:dxf>
          </x14:cfRule>
          <x14:cfRule type="containsText" priority="80" operator="containsText" id="{37B8AE21-27D7-46D9-8F26-2682B4AD37B0}">
            <xm:f>NOT(ISERROR(SEARCH($BE$2393,B2393)))</xm:f>
            <xm:f>$BE$2393</xm:f>
            <x14:dxf>
              <fill>
                <patternFill>
                  <bgColor rgb="FFCCFFCC"/>
                </patternFill>
              </fill>
            </x14:dxf>
          </x14:cfRule>
          <xm:sqref>B2393:C2393</xm:sqref>
        </x14:conditionalFormatting>
        <x14:conditionalFormatting xmlns:xm="http://schemas.microsoft.com/office/excel/2006/main">
          <x14:cfRule type="containsText" priority="11" operator="containsText" id="{98D2415B-6291-47F0-8EED-190BEC0666CB}">
            <xm:f>NOT(ISERROR(SEARCH($AH$15,B15)))</xm:f>
            <xm:f>$AH$15</xm:f>
            <x14:dxf>
              <font>
                <color rgb="FFCCFF99"/>
              </font>
            </x14:dxf>
          </x14:cfRule>
          <xm:sqref>B15:D15</xm:sqref>
        </x14:conditionalFormatting>
        <x14:conditionalFormatting xmlns:xm="http://schemas.microsoft.com/office/excel/2006/main">
          <x14:cfRule type="containsText" priority="1133" operator="containsText" id="{5B8F83CE-6F0F-4FC4-8950-F7278B8E560E}">
            <xm:f>NOT(ISERROR(SEARCH($BM$9,B15)))</xm:f>
            <xm:f>$BM$9</xm:f>
            <x14:dxf>
              <fill>
                <patternFill>
                  <bgColor rgb="FFDBFD9F"/>
                </patternFill>
              </fill>
            </x14:dxf>
          </x14:cfRule>
          <xm:sqref>B15:D21</xm:sqref>
        </x14:conditionalFormatting>
        <x14:conditionalFormatting xmlns:xm="http://schemas.microsoft.com/office/excel/2006/main">
          <x14:cfRule type="containsText" priority="9" operator="containsText" id="{39B61760-76DB-47A9-8C85-3F879C3A915A}">
            <xm:f>NOT(ISERROR(SEARCH($AH$15,B16)))</xm:f>
            <xm:f>$AH$15</xm:f>
            <x14:dxf>
              <font>
                <color rgb="FFCCFF99"/>
              </font>
            </x14:dxf>
          </x14:cfRule>
          <xm:sqref>B16:D21</xm:sqref>
        </x14:conditionalFormatting>
        <x14:conditionalFormatting xmlns:xm="http://schemas.microsoft.com/office/excel/2006/main">
          <x14:cfRule type="containsText" priority="610" operator="containsText" id="{E763C9CB-8D62-4189-BA78-E2F22E7AE190}">
            <xm:f>NOT(ISERROR(SEARCH($AG$64,B64)))</xm:f>
            <xm:f>$AG$64</xm:f>
            <x14:dxf>
              <font>
                <color theme="0" tint="-0.499984740745262"/>
              </font>
              <fill>
                <patternFill>
                  <bgColor theme="0" tint="-0.14996795556505021"/>
                </patternFill>
              </fill>
            </x14:dxf>
          </x14:cfRule>
          <xm:sqref>B64:D64</xm:sqref>
        </x14:conditionalFormatting>
        <x14:conditionalFormatting xmlns:xm="http://schemas.microsoft.com/office/excel/2006/main">
          <x14:cfRule type="containsText" priority="602" operator="containsText" id="{66ADEA01-DB42-49D2-901F-FE68B5F7D9A2}">
            <xm:f>NOT(ISERROR(SEARCH($C$202,B109)))</xm:f>
            <xm:f>$C$202</xm:f>
            <x14:dxf>
              <font>
                <color auto="1"/>
              </font>
              <fill>
                <patternFill>
                  <bgColor theme="0"/>
                </patternFill>
              </fill>
            </x14:dxf>
          </x14:cfRule>
          <xm:sqref>B109:D109</xm:sqref>
        </x14:conditionalFormatting>
        <x14:conditionalFormatting xmlns:xm="http://schemas.microsoft.com/office/excel/2006/main">
          <x14:cfRule type="containsText" priority="601" operator="containsText" id="{35314199-A073-4F63-95E9-161947717EC7}">
            <xm:f>NOT(ISERROR(SEARCH($C$202,B110)))</xm:f>
            <xm:f>$C$202</xm:f>
            <x14:dxf>
              <font>
                <color auto="1"/>
              </font>
              <fill>
                <patternFill>
                  <bgColor theme="0"/>
                </patternFill>
              </fill>
            </x14:dxf>
          </x14:cfRule>
          <xm:sqref>B110:D110</xm:sqref>
        </x14:conditionalFormatting>
        <x14:conditionalFormatting xmlns:xm="http://schemas.microsoft.com/office/excel/2006/main">
          <x14:cfRule type="containsText" priority="1126" operator="containsText" id="{0CA2229F-1921-497D-BED5-3754E22E3CD3}">
            <xm:f>NOT(ISERROR(SEARCH($C$2964,B339)))</xm:f>
            <xm:f>$C$2964</xm:f>
            <x14:dxf>
              <font>
                <color auto="1"/>
              </font>
              <fill>
                <patternFill>
                  <bgColor theme="0"/>
                </patternFill>
              </fill>
              <border>
                <bottom style="thin">
                  <color rgb="FFEAE3D2"/>
                </bottom>
              </border>
            </x14:dxf>
          </x14:cfRule>
          <xm:sqref>B339:D339</xm:sqref>
        </x14:conditionalFormatting>
        <x14:conditionalFormatting xmlns:xm="http://schemas.microsoft.com/office/excel/2006/main">
          <x14:cfRule type="containsText" priority="187" operator="containsText" id="{3515DC13-02CB-4358-BDB8-0689DE32D602}">
            <xm:f>NOT(ISERROR(SEARCH($BO$2037,B2037)))</xm:f>
            <xm:f>$BO$2037</xm:f>
            <x14:dxf>
              <font>
                <color rgb="FF9C0006"/>
              </font>
            </x14:dxf>
          </x14:cfRule>
          <xm:sqref>B2037:E2041</xm:sqref>
        </x14:conditionalFormatting>
        <x14:conditionalFormatting xmlns:xm="http://schemas.microsoft.com/office/excel/2006/main">
          <x14:cfRule type="containsText" priority="8" operator="containsText" id="{7FFBFFE8-9666-4F63-8DC1-C5B9AE15E855}">
            <xm:f>NOT(ISERROR(SEARCH($AO$2365,B2362)))</xm:f>
            <xm:f>$AO$2365</xm:f>
            <x14:dxf>
              <font>
                <color theme="1" tint="0.34998626667073579"/>
              </font>
              <fill>
                <patternFill>
                  <bgColor rgb="FFEBFFF5"/>
                </patternFill>
              </fill>
            </x14:dxf>
          </x14:cfRule>
          <xm:sqref>B2362:E2365</xm:sqref>
        </x14:conditionalFormatting>
        <x14:conditionalFormatting xmlns:xm="http://schemas.microsoft.com/office/excel/2006/main">
          <x14:cfRule type="containsText" priority="74" operator="containsText" id="{A2BF6609-FE48-4A35-83CF-356700335D41}">
            <xm:f>NOT(ISERROR(SEARCH($BT$2361,B2366)))</xm:f>
            <xm:f>$BT$2361</xm:f>
            <x14:dxf>
              <font>
                <color rgb="FF669900"/>
              </font>
              <fill>
                <patternFill>
                  <bgColor rgb="FFEBFDC8"/>
                </patternFill>
              </fill>
            </x14:dxf>
          </x14:cfRule>
          <x14:cfRule type="containsText" priority="75" operator="containsText" id="{042AEC33-E97C-4DDA-8E41-4BF220EE1126}">
            <xm:f>NOT(ISERROR(SEARCH($BM$2361,B2366)))</xm:f>
            <xm:f>$BM$2361</xm:f>
            <x14:dxf>
              <font>
                <color theme="7" tint="-0.499984740745262"/>
              </font>
              <fill>
                <patternFill>
                  <bgColor theme="7" tint="0.79998168889431442"/>
                </patternFill>
              </fill>
            </x14:dxf>
          </x14:cfRule>
          <x14:cfRule type="containsText" priority="76" operator="containsText" id="{4C1C6B8B-2B4D-490C-84C7-1BA9FF1C8F72}">
            <xm:f>NOT(ISERROR(SEARCH($BH$2361,B2366)))</xm:f>
            <xm:f>$BH$2361</xm:f>
            <x14:dxf>
              <font>
                <color rgb="FFC00000"/>
              </font>
              <fill>
                <patternFill>
                  <bgColor theme="5" tint="0.79998168889431442"/>
                </patternFill>
              </fill>
            </x14:dxf>
          </x14:cfRule>
          <xm:sqref>B2366:E2370</xm:sqref>
        </x14:conditionalFormatting>
        <x14:conditionalFormatting xmlns:xm="http://schemas.microsoft.com/office/excel/2006/main">
          <x14:cfRule type="containsText" priority="79" operator="containsText" id="{8BC61F7D-F1C5-44B3-BF99-9B5ABE322263}">
            <xm:f>NOT(ISERROR(SEARCH($BD$2395,B2394)))</xm:f>
            <xm:f>$BD$2395</xm:f>
            <x14:dxf>
              <font>
                <color theme="2" tint="-0.24994659260841701"/>
              </font>
              <border>
                <top style="thin">
                  <color rgb="FF99FF99"/>
                </top>
              </border>
            </x14:dxf>
          </x14:cfRule>
          <xm:sqref>B2394:E2397</xm:sqref>
        </x14:conditionalFormatting>
        <x14:conditionalFormatting xmlns:xm="http://schemas.microsoft.com/office/excel/2006/main">
          <x14:cfRule type="containsText" priority="112" operator="containsText" id="{2235654E-0B5C-4B47-B9E6-7E8BF5C0A868}">
            <xm:f>NOT(ISERROR(SEARCH($BJ$2169,C1933)))</xm:f>
            <xm:f>$BJ$2169</xm:f>
            <x14:dxf>
              <font>
                <color rgb="FF9C0006"/>
              </font>
              <fill>
                <patternFill>
                  <bgColor rgb="FFFFC7CE"/>
                </patternFill>
              </fill>
            </x14:dxf>
          </x14:cfRule>
          <x14:cfRule type="containsText" priority="113" operator="containsText" id="{AAEE13F5-EF37-46DE-A2EF-08DD8CB38DE4}">
            <xm:f>NOT(ISERROR(SEARCH($BJ$2168,C1933)))</xm:f>
            <xm:f>$BJ$2168</xm:f>
            <x14:dxf>
              <font>
                <color rgb="FF9C0006"/>
              </font>
              <fill>
                <patternFill>
                  <bgColor rgb="FFFFC7CE"/>
                </patternFill>
              </fill>
            </x14:dxf>
          </x14:cfRule>
          <x14:cfRule type="containsText" priority="114" operator="containsText" id="{CDFA83B4-6F34-4AE4-A977-228E3F0B177B}">
            <xm:f>NOT(ISERROR(SEARCH($BJ$2167,C1933)))</xm:f>
            <xm:f>$BJ$2167</xm:f>
            <x14:dxf>
              <font>
                <color theme="5" tint="-0.24994659260841701"/>
              </font>
              <fill>
                <patternFill>
                  <bgColor theme="7" tint="0.59996337778862885"/>
                </patternFill>
              </fill>
            </x14:dxf>
          </x14:cfRule>
          <x14:cfRule type="containsText" priority="115" operator="containsText" id="{74C17004-F7B0-468A-B136-854A564D6AA1}">
            <xm:f>NOT(ISERROR(SEARCH($BJ$2166,C1933)))</xm:f>
            <xm:f>$BJ$2166</xm:f>
            <x14:dxf>
              <font>
                <color rgb="FF9C5700"/>
              </font>
              <fill>
                <patternFill>
                  <bgColor rgb="FFFFFF99"/>
                </patternFill>
              </fill>
            </x14:dxf>
          </x14:cfRule>
          <x14:cfRule type="containsText" priority="116" operator="containsText" id="{B14F8112-882E-4E1A-9133-3357D792BBA5}">
            <xm:f>NOT(ISERROR(SEARCH($BJ$2165,C1933)))</xm:f>
            <xm:f>$BJ$2165</xm:f>
            <x14:dxf>
              <font>
                <color theme="9" tint="-0.24994659260841701"/>
              </font>
              <fill>
                <patternFill>
                  <bgColor rgb="FFCCFF33"/>
                </patternFill>
              </fill>
            </x14:dxf>
          </x14:cfRule>
          <x14:cfRule type="containsText" priority="117" operator="containsText" id="{8DBAF2CD-38AC-4208-B002-1EECF0B16302}">
            <xm:f>NOT(ISERROR(SEARCH($BJ$2164,C1933)))</xm:f>
            <xm:f>$BJ$2164</xm:f>
            <x14:dxf>
              <font>
                <color rgb="FF006100"/>
              </font>
              <fill>
                <patternFill>
                  <bgColor rgb="FFC6EFCE"/>
                </patternFill>
              </fill>
            </x14:dxf>
          </x14:cfRule>
          <xm:sqref>C1933</xm:sqref>
        </x14:conditionalFormatting>
        <x14:conditionalFormatting xmlns:xm="http://schemas.microsoft.com/office/excel/2006/main">
          <x14:cfRule type="containsText" priority="124" operator="containsText" id="{E3B8D2DC-4A60-4528-A406-BFD82FD74156}">
            <xm:f>NOT(ISERROR(SEARCH($BJ$2169,C1980)))</xm:f>
            <xm:f>$BJ$2169</xm:f>
            <x14:dxf>
              <font>
                <color rgb="FF9C0006"/>
              </font>
              <fill>
                <patternFill>
                  <bgColor rgb="FFFFC7CE"/>
                </patternFill>
              </fill>
            </x14:dxf>
          </x14:cfRule>
          <x14:cfRule type="containsText" priority="125" operator="containsText" id="{ED84E639-82DB-4C2D-8051-38A0006148A2}">
            <xm:f>NOT(ISERROR(SEARCH($BJ$2168,C1980)))</xm:f>
            <xm:f>$BJ$2168</xm:f>
            <x14:dxf>
              <font>
                <color rgb="FF9C0006"/>
              </font>
              <fill>
                <patternFill>
                  <bgColor rgb="FFFFC7CE"/>
                </patternFill>
              </fill>
            </x14:dxf>
          </x14:cfRule>
          <x14:cfRule type="containsText" priority="126" operator="containsText" id="{92C36DF4-2AF4-46B7-9446-6314AB30E811}">
            <xm:f>NOT(ISERROR(SEARCH($BJ$2167,C1980)))</xm:f>
            <xm:f>$BJ$2167</xm:f>
            <x14:dxf>
              <font>
                <color theme="5" tint="-0.24994659260841701"/>
              </font>
              <fill>
                <patternFill>
                  <bgColor theme="7" tint="0.59996337778862885"/>
                </patternFill>
              </fill>
            </x14:dxf>
          </x14:cfRule>
          <x14:cfRule type="containsText" priority="127" operator="containsText" id="{7FCA3C75-224E-4B23-96FA-59758ECE5F85}">
            <xm:f>NOT(ISERROR(SEARCH($BJ$2166,C1980)))</xm:f>
            <xm:f>$BJ$2166</xm:f>
            <x14:dxf>
              <font>
                <color rgb="FF9C5700"/>
              </font>
              <fill>
                <patternFill>
                  <bgColor rgb="FFFFFF99"/>
                </patternFill>
              </fill>
            </x14:dxf>
          </x14:cfRule>
          <x14:cfRule type="containsText" priority="128" operator="containsText" id="{94FF7152-4CD9-4839-A003-3DE21B130A55}">
            <xm:f>NOT(ISERROR(SEARCH($BJ$2165,C1980)))</xm:f>
            <xm:f>$BJ$2165</xm:f>
            <x14:dxf>
              <font>
                <color theme="9" tint="-0.24994659260841701"/>
              </font>
              <fill>
                <patternFill>
                  <bgColor rgb="FFCCFF33"/>
                </patternFill>
              </fill>
            </x14:dxf>
          </x14:cfRule>
          <x14:cfRule type="containsText" priority="129" operator="containsText" id="{31F29488-75CD-4011-86A6-2038E4385834}">
            <xm:f>NOT(ISERROR(SEARCH($BJ$2164,C1980)))</xm:f>
            <xm:f>$BJ$2164</xm:f>
            <x14:dxf>
              <font>
                <color rgb="FF006100"/>
              </font>
              <fill>
                <patternFill>
                  <bgColor rgb="FFC6EFCE"/>
                </patternFill>
              </fill>
            </x14:dxf>
          </x14:cfRule>
          <xm:sqref>C1980</xm:sqref>
        </x14:conditionalFormatting>
        <x14:conditionalFormatting xmlns:xm="http://schemas.microsoft.com/office/excel/2006/main">
          <x14:cfRule type="containsText" priority="118" operator="containsText" id="{4EEAA38C-48FF-4ADD-874D-DA7463ABCB46}">
            <xm:f>NOT(ISERROR(SEARCH($BJ$2169,C2027)))</xm:f>
            <xm:f>$BJ$2169</xm:f>
            <x14:dxf>
              <font>
                <color rgb="FF9C0006"/>
              </font>
              <fill>
                <patternFill>
                  <bgColor rgb="FFFFC7CE"/>
                </patternFill>
              </fill>
            </x14:dxf>
          </x14:cfRule>
          <x14:cfRule type="containsText" priority="119" operator="containsText" id="{2780185D-0575-473B-B492-434244F2B936}">
            <xm:f>NOT(ISERROR(SEARCH($BJ$2168,C2027)))</xm:f>
            <xm:f>$BJ$2168</xm:f>
            <x14:dxf>
              <font>
                <color rgb="FF9C0006"/>
              </font>
              <fill>
                <patternFill>
                  <bgColor rgb="FFFFC7CE"/>
                </patternFill>
              </fill>
            </x14:dxf>
          </x14:cfRule>
          <x14:cfRule type="containsText" priority="120" operator="containsText" id="{C5179FAF-FE04-4474-A837-23B16CD8B6E6}">
            <xm:f>NOT(ISERROR(SEARCH($BJ$2167,C2027)))</xm:f>
            <xm:f>$BJ$2167</xm:f>
            <x14:dxf>
              <font>
                <color theme="5" tint="-0.24994659260841701"/>
              </font>
              <fill>
                <patternFill>
                  <bgColor theme="7" tint="0.59996337778862885"/>
                </patternFill>
              </fill>
            </x14:dxf>
          </x14:cfRule>
          <x14:cfRule type="containsText" priority="121" operator="containsText" id="{DD046E96-50AF-4A44-945D-CDB4AB8ECB40}">
            <xm:f>NOT(ISERROR(SEARCH($BJ$2166,C2027)))</xm:f>
            <xm:f>$BJ$2166</xm:f>
            <x14:dxf>
              <font>
                <color rgb="FF9C5700"/>
              </font>
              <fill>
                <patternFill>
                  <bgColor rgb="FFFFFF99"/>
                </patternFill>
              </fill>
            </x14:dxf>
          </x14:cfRule>
          <x14:cfRule type="containsText" priority="122" operator="containsText" id="{16493519-DD24-45AB-BBC1-95FDDD62EB32}">
            <xm:f>NOT(ISERROR(SEARCH($BJ$2165,C2027)))</xm:f>
            <xm:f>$BJ$2165</xm:f>
            <x14:dxf>
              <font>
                <color theme="9" tint="-0.24994659260841701"/>
              </font>
              <fill>
                <patternFill>
                  <bgColor rgb="FFCCFF33"/>
                </patternFill>
              </fill>
            </x14:dxf>
          </x14:cfRule>
          <x14:cfRule type="containsText" priority="123" operator="containsText" id="{82EDB4D6-5598-49EF-B523-7AF65977D90B}">
            <xm:f>NOT(ISERROR(SEARCH($BJ$2164,C2027)))</xm:f>
            <xm:f>$BJ$2164</xm:f>
            <x14:dxf>
              <font>
                <color rgb="FF006100"/>
              </font>
              <fill>
                <patternFill>
                  <bgColor rgb="FFC6EFCE"/>
                </patternFill>
              </fill>
            </x14:dxf>
          </x14:cfRule>
          <xm:sqref>C2027</xm:sqref>
        </x14:conditionalFormatting>
        <x14:conditionalFormatting xmlns:xm="http://schemas.microsoft.com/office/excel/2006/main">
          <x14:cfRule type="containsText" priority="189" operator="containsText" id="{25D46E91-68F4-4104-84AB-0838B8A5AB56}">
            <xm:f>NOT(ISERROR(SEARCH($AI$2035,C2035)))</xm:f>
            <xm:f>$AI$2035</xm:f>
            <x14:dxf>
              <font>
                <color theme="0" tint="-0.24994659260841701"/>
              </font>
            </x14:dxf>
          </x14:cfRule>
          <xm:sqref>C2035</xm:sqref>
        </x14:conditionalFormatting>
        <x14:conditionalFormatting xmlns:xm="http://schemas.microsoft.com/office/excel/2006/main">
          <x14:cfRule type="containsText" priority="136" operator="containsText" id="{4F6FD6AC-740F-4270-BA9A-41BA225DC64B}">
            <xm:f>NOT(ISERROR(SEARCH($BJ$2169,C2071)))</xm:f>
            <xm:f>$BJ$2169</xm:f>
            <x14:dxf>
              <font>
                <color rgb="FF9C0006"/>
              </font>
              <fill>
                <patternFill>
                  <bgColor rgb="FFFFC7CE"/>
                </patternFill>
              </fill>
            </x14:dxf>
          </x14:cfRule>
          <x14:cfRule type="containsText" priority="137" operator="containsText" id="{5F4BFB74-8630-4978-B918-D708B793B033}">
            <xm:f>NOT(ISERROR(SEARCH($BJ$2168,C2071)))</xm:f>
            <xm:f>$BJ$2168</xm:f>
            <x14:dxf>
              <font>
                <color rgb="FF9C0006"/>
              </font>
              <fill>
                <patternFill>
                  <bgColor rgb="FFFFC7CE"/>
                </patternFill>
              </fill>
            </x14:dxf>
          </x14:cfRule>
          <x14:cfRule type="containsText" priority="138" operator="containsText" id="{0DBED15C-C907-4743-BE90-48E854CCB376}">
            <xm:f>NOT(ISERROR(SEARCH($BJ$2167,C2071)))</xm:f>
            <xm:f>$BJ$2167</xm:f>
            <x14:dxf>
              <font>
                <color theme="5" tint="-0.24994659260841701"/>
              </font>
              <fill>
                <patternFill>
                  <bgColor theme="7" tint="0.59996337778862885"/>
                </patternFill>
              </fill>
            </x14:dxf>
          </x14:cfRule>
          <x14:cfRule type="containsText" priority="139" operator="containsText" id="{DD89E6EA-8F2C-4563-A0EC-3CB935F30180}">
            <xm:f>NOT(ISERROR(SEARCH($BJ$2166,C2071)))</xm:f>
            <xm:f>$BJ$2166</xm:f>
            <x14:dxf>
              <font>
                <color rgb="FF9C5700"/>
              </font>
              <fill>
                <patternFill>
                  <bgColor rgb="FFFFFF99"/>
                </patternFill>
              </fill>
            </x14:dxf>
          </x14:cfRule>
          <x14:cfRule type="containsText" priority="140" operator="containsText" id="{1024229C-70AA-4FCA-AF6E-5B99A5A74258}">
            <xm:f>NOT(ISERROR(SEARCH($BJ$2165,C2071)))</xm:f>
            <xm:f>$BJ$2165</xm:f>
            <x14:dxf>
              <font>
                <color theme="9" tint="-0.24994659260841701"/>
              </font>
              <fill>
                <patternFill>
                  <bgColor rgb="FFCCFF33"/>
                </patternFill>
              </fill>
            </x14:dxf>
          </x14:cfRule>
          <x14:cfRule type="containsText" priority="141" operator="containsText" id="{214F52A1-6B27-4D30-ABFF-1A447D69983A}">
            <xm:f>NOT(ISERROR(SEARCH($BJ$2164,C2071)))</xm:f>
            <xm:f>$BJ$2164</xm:f>
            <x14:dxf>
              <font>
                <color rgb="FF006100"/>
              </font>
              <fill>
                <patternFill>
                  <bgColor rgb="FFC6EFCE"/>
                </patternFill>
              </fill>
            </x14:dxf>
          </x14:cfRule>
          <xm:sqref>C2071</xm:sqref>
        </x14:conditionalFormatting>
        <x14:conditionalFormatting xmlns:xm="http://schemas.microsoft.com/office/excel/2006/main">
          <x14:cfRule type="containsText" priority="130" operator="containsText" id="{C862E837-62BC-494D-81FA-0BFBE9DC4318}">
            <xm:f>NOT(ISERROR(SEARCH($BJ$2169,C2074)))</xm:f>
            <xm:f>$BJ$2169</xm:f>
            <x14:dxf>
              <font>
                <color rgb="FF9C0006"/>
              </font>
              <fill>
                <patternFill>
                  <bgColor rgb="FFFFC7CE"/>
                </patternFill>
              </fill>
            </x14:dxf>
          </x14:cfRule>
          <x14:cfRule type="containsText" priority="131" operator="containsText" id="{2BD7B36A-BA19-4143-8947-D20950360F6F}">
            <xm:f>NOT(ISERROR(SEARCH($BJ$2168,C2074)))</xm:f>
            <xm:f>$BJ$2168</xm:f>
            <x14:dxf>
              <font>
                <color rgb="FF9C0006"/>
              </font>
              <fill>
                <patternFill>
                  <bgColor rgb="FFFFC7CE"/>
                </patternFill>
              </fill>
            </x14:dxf>
          </x14:cfRule>
          <x14:cfRule type="containsText" priority="132" operator="containsText" id="{09F68071-DD45-421E-B4B9-6A68FD2393DE}">
            <xm:f>NOT(ISERROR(SEARCH($BJ$2167,C2074)))</xm:f>
            <xm:f>$BJ$2167</xm:f>
            <x14:dxf>
              <font>
                <color theme="5" tint="-0.24994659260841701"/>
              </font>
              <fill>
                <patternFill>
                  <bgColor theme="7" tint="0.59996337778862885"/>
                </patternFill>
              </fill>
            </x14:dxf>
          </x14:cfRule>
          <x14:cfRule type="containsText" priority="133" operator="containsText" id="{E340A286-0B2F-41C0-9BD8-567698D0A83F}">
            <xm:f>NOT(ISERROR(SEARCH($BJ$2166,C2074)))</xm:f>
            <xm:f>$BJ$2166</xm:f>
            <x14:dxf>
              <font>
                <color rgb="FF9C5700"/>
              </font>
              <fill>
                <patternFill>
                  <bgColor rgb="FFFFFF99"/>
                </patternFill>
              </fill>
            </x14:dxf>
          </x14:cfRule>
          <x14:cfRule type="containsText" priority="134" operator="containsText" id="{BEC3E78A-D105-4C9A-A7F7-B81BA4931E89}">
            <xm:f>NOT(ISERROR(SEARCH($BJ$2165,C2074)))</xm:f>
            <xm:f>$BJ$2165</xm:f>
            <x14:dxf>
              <font>
                <color theme="9" tint="-0.24994659260841701"/>
              </font>
              <fill>
                <patternFill>
                  <bgColor rgb="FFCCFF33"/>
                </patternFill>
              </fill>
            </x14:dxf>
          </x14:cfRule>
          <x14:cfRule type="containsText" priority="135" operator="containsText" id="{27BCA8FB-95A7-4795-8A51-E0F558AAD164}">
            <xm:f>NOT(ISERROR(SEARCH($BJ$2164,C2074)))</xm:f>
            <xm:f>$BJ$2164</xm:f>
            <x14:dxf>
              <font>
                <color rgb="FF006100"/>
              </font>
              <fill>
                <patternFill>
                  <bgColor rgb="FFC6EFCE"/>
                </patternFill>
              </fill>
            </x14:dxf>
          </x14:cfRule>
          <xm:sqref>C2074</xm:sqref>
        </x14:conditionalFormatting>
        <x14:conditionalFormatting xmlns:xm="http://schemas.microsoft.com/office/excel/2006/main">
          <x14:cfRule type="containsText" priority="142" operator="containsText" id="{22845967-3DA5-4E6F-850B-68A1681EC8E8}">
            <xm:f>NOT(ISERROR(SEARCH($BJ$2169,C2121)))</xm:f>
            <xm:f>$BJ$2169</xm:f>
            <x14:dxf>
              <font>
                <color rgb="FF9C0006"/>
              </font>
              <fill>
                <patternFill>
                  <bgColor rgb="FFFFC7CE"/>
                </patternFill>
              </fill>
            </x14:dxf>
          </x14:cfRule>
          <x14:cfRule type="containsText" priority="143" operator="containsText" id="{16751031-01A6-41EF-8558-ED2E8706EC50}">
            <xm:f>NOT(ISERROR(SEARCH($BJ$2168,C2121)))</xm:f>
            <xm:f>$BJ$2168</xm:f>
            <x14:dxf>
              <font>
                <color rgb="FF9C0006"/>
              </font>
              <fill>
                <patternFill>
                  <bgColor rgb="FFFFC7CE"/>
                </patternFill>
              </fill>
            </x14:dxf>
          </x14:cfRule>
          <x14:cfRule type="containsText" priority="144" operator="containsText" id="{DFE30091-989B-4BCF-A67A-784662BA7FC5}">
            <xm:f>NOT(ISERROR(SEARCH($BJ$2167,C2121)))</xm:f>
            <xm:f>$BJ$2167</xm:f>
            <x14:dxf>
              <font>
                <color theme="5" tint="-0.24994659260841701"/>
              </font>
              <fill>
                <patternFill>
                  <bgColor theme="7" tint="0.59996337778862885"/>
                </patternFill>
              </fill>
            </x14:dxf>
          </x14:cfRule>
          <x14:cfRule type="containsText" priority="145" operator="containsText" id="{8BAF8D34-C335-49D2-83BA-2A2C3F87691D}">
            <xm:f>NOT(ISERROR(SEARCH($BJ$2166,C2121)))</xm:f>
            <xm:f>$BJ$2166</xm:f>
            <x14:dxf>
              <font>
                <color rgb="FF9C5700"/>
              </font>
              <fill>
                <patternFill>
                  <bgColor rgb="FFFFFF99"/>
                </patternFill>
              </fill>
            </x14:dxf>
          </x14:cfRule>
          <x14:cfRule type="containsText" priority="146" operator="containsText" id="{BAD0497E-86BE-4018-9965-4FC8A258EC01}">
            <xm:f>NOT(ISERROR(SEARCH($BJ$2165,C2121)))</xm:f>
            <xm:f>$BJ$2165</xm:f>
            <x14:dxf>
              <font>
                <color theme="9" tint="-0.24994659260841701"/>
              </font>
              <fill>
                <patternFill>
                  <bgColor rgb="FFCCFF33"/>
                </patternFill>
              </fill>
            </x14:dxf>
          </x14:cfRule>
          <x14:cfRule type="containsText" priority="147" operator="containsText" id="{E3A66C18-0235-4E0C-AB61-0CBAE0E67153}">
            <xm:f>NOT(ISERROR(SEARCH($BJ$2164,C2121)))</xm:f>
            <xm:f>$BJ$2164</xm:f>
            <x14:dxf>
              <font>
                <color rgb="FF006100"/>
              </font>
              <fill>
                <patternFill>
                  <bgColor rgb="FFC6EFCE"/>
                </patternFill>
              </fill>
            </x14:dxf>
          </x14:cfRule>
          <xm:sqref>C2121</xm:sqref>
        </x14:conditionalFormatting>
        <x14:conditionalFormatting xmlns:xm="http://schemas.microsoft.com/office/excel/2006/main">
          <x14:cfRule type="containsText" priority="180" operator="containsText" id="{A81D67C4-2A79-495A-A2D6-602ABFF034DF}">
            <xm:f>NOT(ISERROR(SEARCH($BJ$2169,C2168)))</xm:f>
            <xm:f>$BJ$2169</xm:f>
            <x14:dxf>
              <font>
                <color rgb="FF9C0006"/>
              </font>
              <fill>
                <patternFill>
                  <bgColor rgb="FFFFC7CE"/>
                </patternFill>
              </fill>
            </x14:dxf>
          </x14:cfRule>
          <x14:cfRule type="containsText" priority="181" operator="containsText" id="{D2F28E28-9B6E-4870-9D07-AC1746A4659D}">
            <xm:f>NOT(ISERROR(SEARCH($BJ$2168,C2168)))</xm:f>
            <xm:f>$BJ$2168</xm:f>
            <x14:dxf>
              <font>
                <color rgb="FF9C0006"/>
              </font>
              <fill>
                <patternFill>
                  <bgColor rgb="FFFFC7CE"/>
                </patternFill>
              </fill>
            </x14:dxf>
          </x14:cfRule>
          <x14:cfRule type="containsText" priority="182" operator="containsText" id="{2211AA7B-E5C1-4758-A4C4-64A5543E3A03}">
            <xm:f>NOT(ISERROR(SEARCH($BJ$2167,C2168)))</xm:f>
            <xm:f>$BJ$2167</xm:f>
            <x14:dxf>
              <font>
                <color theme="5" tint="-0.24994659260841701"/>
              </font>
              <fill>
                <patternFill>
                  <bgColor theme="7" tint="0.59996337778862885"/>
                </patternFill>
              </fill>
            </x14:dxf>
          </x14:cfRule>
          <x14:cfRule type="containsText" priority="183" operator="containsText" id="{02377BFF-AC85-43F6-92D0-4B87CBD0A09A}">
            <xm:f>NOT(ISERROR(SEARCH($BJ$2166,C2168)))</xm:f>
            <xm:f>$BJ$2166</xm:f>
            <x14:dxf>
              <font>
                <color rgb="FF9C5700"/>
              </font>
              <fill>
                <patternFill>
                  <bgColor rgb="FFFFFF99"/>
                </patternFill>
              </fill>
            </x14:dxf>
          </x14:cfRule>
          <x14:cfRule type="containsText" priority="184" operator="containsText" id="{AC60A558-2221-4A29-AB66-658516156B4B}">
            <xm:f>NOT(ISERROR(SEARCH($BJ$2165,C2168)))</xm:f>
            <xm:f>$BJ$2165</xm:f>
            <x14:dxf>
              <font>
                <color theme="9" tint="-0.24994659260841701"/>
              </font>
              <fill>
                <patternFill>
                  <bgColor rgb="FFCCFF33"/>
                </patternFill>
              </fill>
            </x14:dxf>
          </x14:cfRule>
          <x14:cfRule type="containsText" priority="185" operator="containsText" id="{E02182A8-1D2D-4A40-986A-D07B67244FD2}">
            <xm:f>NOT(ISERROR(SEARCH($BJ$2164,C2168)))</xm:f>
            <xm:f>$BJ$2164</xm:f>
            <x14:dxf>
              <font>
                <color rgb="FF006100"/>
              </font>
              <fill>
                <patternFill>
                  <bgColor rgb="FFC6EFCE"/>
                </patternFill>
              </fill>
            </x14:dxf>
          </x14:cfRule>
          <xm:sqref>C2168</xm:sqref>
        </x14:conditionalFormatting>
        <x14:conditionalFormatting xmlns:xm="http://schemas.microsoft.com/office/excel/2006/main">
          <x14:cfRule type="containsText" priority="166" operator="containsText" id="{9A96107B-B168-422F-B5E1-B509732AA9DD}">
            <xm:f>NOT(ISERROR(SEARCH($BJ$2169,C2262)))</xm:f>
            <xm:f>$BJ$2169</xm:f>
            <x14:dxf>
              <font>
                <color rgb="FF9C0006"/>
              </font>
              <fill>
                <patternFill>
                  <bgColor rgb="FFFFC7CE"/>
                </patternFill>
              </fill>
            </x14:dxf>
          </x14:cfRule>
          <x14:cfRule type="containsText" priority="167" operator="containsText" id="{01F21DFB-E90F-4D03-ACC5-7BBBEE2DC4EE}">
            <xm:f>NOT(ISERROR(SEARCH($BJ$2168,C2262)))</xm:f>
            <xm:f>$BJ$2168</xm:f>
            <x14:dxf>
              <font>
                <color rgb="FF9C0006"/>
              </font>
              <fill>
                <patternFill>
                  <bgColor rgb="FFFFC7CE"/>
                </patternFill>
              </fill>
            </x14:dxf>
          </x14:cfRule>
          <x14:cfRule type="containsText" priority="168" operator="containsText" id="{0CFCEC97-FD21-47B4-BEAC-22B96F263875}">
            <xm:f>NOT(ISERROR(SEARCH($BJ$2167,C2262)))</xm:f>
            <xm:f>$BJ$2167</xm:f>
            <x14:dxf>
              <font>
                <color theme="5" tint="-0.24994659260841701"/>
              </font>
              <fill>
                <patternFill>
                  <bgColor theme="7" tint="0.59996337778862885"/>
                </patternFill>
              </fill>
            </x14:dxf>
          </x14:cfRule>
          <x14:cfRule type="containsText" priority="169" operator="containsText" id="{876E6E2F-07ED-4D82-A4D9-4DF8C91190D1}">
            <xm:f>NOT(ISERROR(SEARCH($BJ$2166,C2262)))</xm:f>
            <xm:f>$BJ$2166</xm:f>
            <x14:dxf>
              <font>
                <color rgb="FF9C5700"/>
              </font>
              <fill>
                <patternFill>
                  <bgColor rgb="FFFFFF99"/>
                </patternFill>
              </fill>
            </x14:dxf>
          </x14:cfRule>
          <x14:cfRule type="containsText" priority="170" operator="containsText" id="{FF40F379-7371-4233-AB6C-50E907121255}">
            <xm:f>NOT(ISERROR(SEARCH($BJ$2165,C2262)))</xm:f>
            <xm:f>$BJ$2165</xm:f>
            <x14:dxf>
              <font>
                <color theme="9" tint="-0.24994659260841701"/>
              </font>
              <fill>
                <patternFill>
                  <bgColor rgb="FFCCFF33"/>
                </patternFill>
              </fill>
            </x14:dxf>
          </x14:cfRule>
          <x14:cfRule type="containsText" priority="171" operator="containsText" id="{C22C269C-57E8-467A-89B8-B86E87192C03}">
            <xm:f>NOT(ISERROR(SEARCH($BJ$2164,C2262)))</xm:f>
            <xm:f>$BJ$2164</xm:f>
            <x14:dxf>
              <font>
                <color rgb="FF006100"/>
              </font>
              <fill>
                <patternFill>
                  <bgColor rgb="FFC6EFCE"/>
                </patternFill>
              </fill>
            </x14:dxf>
          </x14:cfRule>
          <xm:sqref>C2262</xm:sqref>
        </x14:conditionalFormatting>
        <x14:conditionalFormatting xmlns:xm="http://schemas.microsoft.com/office/excel/2006/main">
          <x14:cfRule type="containsText" priority="160" operator="containsText" id="{593071E5-B474-485F-9FF8-28E7D3E5D48D}">
            <xm:f>NOT(ISERROR(SEARCH($BJ$2169,C2263)))</xm:f>
            <xm:f>$BJ$2169</xm:f>
            <x14:dxf>
              <font>
                <color rgb="FF9C0006"/>
              </font>
              <fill>
                <patternFill>
                  <bgColor rgb="FFFFC7CE"/>
                </patternFill>
              </fill>
            </x14:dxf>
          </x14:cfRule>
          <x14:cfRule type="containsText" priority="161" operator="containsText" id="{2DCCBC0F-6959-44B7-809C-782408AA1995}">
            <xm:f>NOT(ISERROR(SEARCH($BJ$2168,C2263)))</xm:f>
            <xm:f>$BJ$2168</xm:f>
            <x14:dxf>
              <font>
                <color rgb="FF9C0006"/>
              </font>
              <fill>
                <patternFill>
                  <bgColor rgb="FFFFC7CE"/>
                </patternFill>
              </fill>
            </x14:dxf>
          </x14:cfRule>
          <x14:cfRule type="containsText" priority="162" operator="containsText" id="{164AFFE6-A726-406E-9075-84AC03BA2581}">
            <xm:f>NOT(ISERROR(SEARCH($BJ$2167,C2263)))</xm:f>
            <xm:f>$BJ$2167</xm:f>
            <x14:dxf>
              <font>
                <color theme="5" tint="-0.24994659260841701"/>
              </font>
              <fill>
                <patternFill>
                  <bgColor theme="7" tint="0.59996337778862885"/>
                </patternFill>
              </fill>
            </x14:dxf>
          </x14:cfRule>
          <x14:cfRule type="containsText" priority="163" operator="containsText" id="{DE963688-A24A-4DD1-A0FF-4CD519B28BBB}">
            <xm:f>NOT(ISERROR(SEARCH($BJ$2166,C2263)))</xm:f>
            <xm:f>$BJ$2166</xm:f>
            <x14:dxf>
              <font>
                <color rgb="FF9C5700"/>
              </font>
              <fill>
                <patternFill>
                  <bgColor rgb="FFFFFF99"/>
                </patternFill>
              </fill>
            </x14:dxf>
          </x14:cfRule>
          <x14:cfRule type="containsText" priority="164" operator="containsText" id="{40F88F0E-89F1-4381-870E-DED411C683FC}">
            <xm:f>NOT(ISERROR(SEARCH($BJ$2165,C2263)))</xm:f>
            <xm:f>$BJ$2165</xm:f>
            <x14:dxf>
              <font>
                <color theme="9" tint="-0.24994659260841701"/>
              </font>
              <fill>
                <patternFill>
                  <bgColor rgb="FFCCFF33"/>
                </patternFill>
              </fill>
            </x14:dxf>
          </x14:cfRule>
          <x14:cfRule type="containsText" priority="165" operator="containsText" id="{A13F4C6F-B90A-403E-A8EA-441C0C57A153}">
            <xm:f>NOT(ISERROR(SEARCH($BJ$2164,C2263)))</xm:f>
            <xm:f>$BJ$2164</xm:f>
            <x14:dxf>
              <font>
                <color rgb="FF006100"/>
              </font>
              <fill>
                <patternFill>
                  <bgColor rgb="FFC6EFCE"/>
                </patternFill>
              </fill>
            </x14:dxf>
          </x14:cfRule>
          <xm:sqref>C2263</xm:sqref>
        </x14:conditionalFormatting>
        <x14:conditionalFormatting xmlns:xm="http://schemas.microsoft.com/office/excel/2006/main">
          <x14:cfRule type="containsText" priority="154" operator="containsText" id="{150EF8EA-C8E8-48AD-A1DD-A541AD3A1275}">
            <xm:f>NOT(ISERROR(SEARCH($BJ$2169,C2264)))</xm:f>
            <xm:f>$BJ$2169</xm:f>
            <x14:dxf>
              <font>
                <color rgb="FF9C0006"/>
              </font>
              <fill>
                <patternFill>
                  <bgColor rgb="FFFFC7CE"/>
                </patternFill>
              </fill>
            </x14:dxf>
          </x14:cfRule>
          <x14:cfRule type="containsText" priority="155" operator="containsText" id="{02E8CAC3-7055-4834-A6C2-EE1F1FAEFFDA}">
            <xm:f>NOT(ISERROR(SEARCH($BJ$2168,C2264)))</xm:f>
            <xm:f>$BJ$2168</xm:f>
            <x14:dxf>
              <font>
                <color rgb="FF9C0006"/>
              </font>
              <fill>
                <patternFill>
                  <bgColor rgb="FFFFC7CE"/>
                </patternFill>
              </fill>
            </x14:dxf>
          </x14:cfRule>
          <x14:cfRule type="containsText" priority="156" operator="containsText" id="{3EAEF2C3-5E22-49B4-BD38-3161BA9F99B9}">
            <xm:f>NOT(ISERROR(SEARCH($BJ$2167,C2264)))</xm:f>
            <xm:f>$BJ$2167</xm:f>
            <x14:dxf>
              <font>
                <color theme="5" tint="-0.24994659260841701"/>
              </font>
              <fill>
                <patternFill>
                  <bgColor theme="7" tint="0.59996337778862885"/>
                </patternFill>
              </fill>
            </x14:dxf>
          </x14:cfRule>
          <x14:cfRule type="containsText" priority="157" operator="containsText" id="{16819F6C-D9EC-40F7-A4A0-687808E1EBA7}">
            <xm:f>NOT(ISERROR(SEARCH($BJ$2166,C2264)))</xm:f>
            <xm:f>$BJ$2166</xm:f>
            <x14:dxf>
              <font>
                <color rgb="FF9C5700"/>
              </font>
              <fill>
                <patternFill>
                  <bgColor rgb="FFFFFF99"/>
                </patternFill>
              </fill>
            </x14:dxf>
          </x14:cfRule>
          <x14:cfRule type="containsText" priority="158" operator="containsText" id="{47F948DD-189B-4F40-A9FF-210F29EE32E6}">
            <xm:f>NOT(ISERROR(SEARCH($BJ$2165,C2264)))</xm:f>
            <xm:f>$BJ$2165</xm:f>
            <x14:dxf>
              <font>
                <color theme="9" tint="-0.24994659260841701"/>
              </font>
              <fill>
                <patternFill>
                  <bgColor rgb="FFCCFF33"/>
                </patternFill>
              </fill>
            </x14:dxf>
          </x14:cfRule>
          <x14:cfRule type="containsText" priority="159" operator="containsText" id="{A7A3C8DC-02B9-494D-8FFD-064C938D6546}">
            <xm:f>NOT(ISERROR(SEARCH($BJ$2164,C2264)))</xm:f>
            <xm:f>$BJ$2164</xm:f>
            <x14:dxf>
              <font>
                <color rgb="FF006100"/>
              </font>
              <fill>
                <patternFill>
                  <bgColor rgb="FFC6EFCE"/>
                </patternFill>
              </fill>
            </x14:dxf>
          </x14:cfRule>
          <xm:sqref>C2264</xm:sqref>
        </x14:conditionalFormatting>
        <x14:conditionalFormatting xmlns:xm="http://schemas.microsoft.com/office/excel/2006/main">
          <x14:cfRule type="containsText" priority="148" operator="containsText" id="{FEEB36CE-A35B-473F-A0C1-62EF582E7825}">
            <xm:f>NOT(ISERROR(SEARCH($BJ$2169,C2265)))</xm:f>
            <xm:f>$BJ$2169</xm:f>
            <x14:dxf>
              <font>
                <color rgb="FF9C0006"/>
              </font>
              <fill>
                <patternFill>
                  <bgColor rgb="FFFFC7CE"/>
                </patternFill>
              </fill>
            </x14:dxf>
          </x14:cfRule>
          <x14:cfRule type="containsText" priority="149" operator="containsText" id="{6A8067D6-99AE-4746-97EB-631FAA577E8A}">
            <xm:f>NOT(ISERROR(SEARCH($BJ$2168,C2265)))</xm:f>
            <xm:f>$BJ$2168</xm:f>
            <x14:dxf>
              <font>
                <color rgb="FF9C0006"/>
              </font>
              <fill>
                <patternFill>
                  <bgColor rgb="FFFFC7CE"/>
                </patternFill>
              </fill>
            </x14:dxf>
          </x14:cfRule>
          <x14:cfRule type="containsText" priority="150" operator="containsText" id="{92984C9C-F418-4BF9-BB8E-7E728BB71081}">
            <xm:f>NOT(ISERROR(SEARCH($BJ$2167,C2265)))</xm:f>
            <xm:f>$BJ$2167</xm:f>
            <x14:dxf>
              <font>
                <color theme="5" tint="-0.24994659260841701"/>
              </font>
              <fill>
                <patternFill>
                  <bgColor theme="7" tint="0.59996337778862885"/>
                </patternFill>
              </fill>
            </x14:dxf>
          </x14:cfRule>
          <x14:cfRule type="containsText" priority="151" operator="containsText" id="{C103EC27-1FD1-4B70-BDE3-6D3E4A542C11}">
            <xm:f>NOT(ISERROR(SEARCH($BJ$2166,C2265)))</xm:f>
            <xm:f>$BJ$2166</xm:f>
            <x14:dxf>
              <font>
                <color rgb="FF9C5700"/>
              </font>
              <fill>
                <patternFill>
                  <bgColor rgb="FFFFFF99"/>
                </patternFill>
              </fill>
            </x14:dxf>
          </x14:cfRule>
          <x14:cfRule type="containsText" priority="152" operator="containsText" id="{C5096B51-710F-4504-8007-698053C45A9A}">
            <xm:f>NOT(ISERROR(SEARCH($BJ$2165,C2265)))</xm:f>
            <xm:f>$BJ$2165</xm:f>
            <x14:dxf>
              <font>
                <color theme="9" tint="-0.24994659260841701"/>
              </font>
              <fill>
                <patternFill>
                  <bgColor rgb="FFCCFF33"/>
                </patternFill>
              </fill>
            </x14:dxf>
          </x14:cfRule>
          <x14:cfRule type="containsText" priority="153" operator="containsText" id="{40E6080F-0653-4F4F-80AD-9D55BC153A15}">
            <xm:f>NOT(ISERROR(SEARCH($BJ$2164,C2265)))</xm:f>
            <xm:f>$BJ$2164</xm:f>
            <x14:dxf>
              <font>
                <color rgb="FF006100"/>
              </font>
              <fill>
                <patternFill>
                  <bgColor rgb="FFC6EFCE"/>
                </patternFill>
              </fill>
            </x14:dxf>
          </x14:cfRule>
          <xm:sqref>C2265</xm:sqref>
        </x14:conditionalFormatting>
        <x14:conditionalFormatting xmlns:xm="http://schemas.microsoft.com/office/excel/2006/main">
          <x14:cfRule type="containsText" priority="1132" operator="containsText" id="{03ED732E-E731-4449-85D1-D5F849DC1CB8}">
            <xm:f>NOT(ISERROR(SEARCH($AP$2337,C2342)))</xm:f>
            <xm:f>$AP$2337</xm:f>
            <x14:dxf>
              <font>
                <b/>
                <i val="0"/>
              </font>
            </x14:dxf>
          </x14:cfRule>
          <xm:sqref>C2342</xm:sqref>
        </x14:conditionalFormatting>
        <x14:conditionalFormatting xmlns:xm="http://schemas.microsoft.com/office/excel/2006/main">
          <x14:cfRule type="containsText" priority="329" operator="containsText" id="{0D9BB1CA-E3E0-4694-91FC-C2228CE55BB2}">
            <xm:f>NOT(ISERROR(SEARCH($AR$922,C75)))</xm:f>
            <xm:f>$AR$922</xm:f>
            <x14:dxf>
              <font>
                <color theme="0" tint="-0.34998626667073579"/>
              </font>
              <fill>
                <patternFill>
                  <bgColor theme="0" tint="-4.9989318521683403E-2"/>
                </patternFill>
              </fill>
            </x14:dxf>
          </x14:cfRule>
          <xm:sqref>C75:D75</xm:sqref>
        </x14:conditionalFormatting>
        <x14:conditionalFormatting xmlns:xm="http://schemas.microsoft.com/office/excel/2006/main">
          <x14:cfRule type="containsText" priority="293" operator="containsText" id="{E2BF7E08-9B5A-4870-8C29-D46C402119ED}">
            <xm:f>NOT(ISERROR(SEARCH($AD$244,C244)))</xm:f>
            <xm:f>$AD$244</xm:f>
            <x14:dxf>
              <font>
                <color rgb="FFEAE3D2"/>
              </font>
              <fill>
                <patternFill>
                  <bgColor rgb="FFEAE3D2"/>
                </patternFill>
              </fill>
            </x14:dxf>
          </x14:cfRule>
          <xm:sqref>C244:D244</xm:sqref>
        </x14:conditionalFormatting>
        <x14:conditionalFormatting xmlns:xm="http://schemas.microsoft.com/office/excel/2006/main">
          <x14:cfRule type="containsText" priority="330" operator="containsText" id="{6C0689E1-F3DE-4551-BD47-6C1C087E11AE}">
            <xm:f>NOT(ISERROR(SEARCH($AG$921,C922)))</xm:f>
            <xm:f>$AG$921</xm:f>
            <x14:dxf>
              <font>
                <color theme="0" tint="-0.24994659260841701"/>
              </font>
            </x14:dxf>
          </x14:cfRule>
          <xm:sqref>C922:D922</xm:sqref>
        </x14:conditionalFormatting>
        <x14:conditionalFormatting xmlns:xm="http://schemas.microsoft.com/office/excel/2006/main">
          <x14:cfRule type="containsText" priority="12" operator="containsText" id="{5D0DA971-146B-47C2-83A4-3806C433F4F3}">
            <xm:f>NOT(ISERROR(SEARCH($CD$44,D44)))</xm:f>
            <xm:f>$CD$44</xm:f>
            <x14:dxf>
              <font>
                <color rgb="FF00EB65"/>
              </font>
            </x14:dxf>
          </x14:cfRule>
          <xm:sqref>D44:D46</xm:sqref>
        </x14:conditionalFormatting>
        <x14:conditionalFormatting xmlns:xm="http://schemas.microsoft.com/office/excel/2006/main">
          <x14:cfRule type="containsText" priority="590" operator="containsText" id="{08D3CAFC-9926-4CE7-985A-9930EC0EFDCE}">
            <xm:f>NOT(ISERROR(SEARCH($AM$51,D51)))</xm:f>
            <xm:f>$AM$51</xm:f>
            <x14:dxf>
              <font>
                <color rgb="FF00B050"/>
              </font>
              <fill>
                <patternFill>
                  <bgColor theme="2"/>
                </patternFill>
              </fill>
            </x14:dxf>
          </x14:cfRule>
          <x14:cfRule type="containsText" priority="591" operator="containsText" id="{58E5FFC4-B2CE-4980-B745-A098E2B7778B}">
            <xm:f>NOT(ISERROR(SEARCH($AL$51,D51)))</xm:f>
            <xm:f>$AL$51</xm:f>
            <x14:dxf>
              <font>
                <color rgb="FF92D050"/>
              </font>
              <fill>
                <patternFill>
                  <bgColor theme="2"/>
                </patternFill>
              </fill>
            </x14:dxf>
          </x14:cfRule>
          <x14:cfRule type="containsText" priority="592" operator="containsText" id="{25C856AE-7FD0-4BE4-A180-4B9B6F0633AE}">
            <xm:f>NOT(ISERROR(SEARCH($AK$51,D51)))</xm:f>
            <xm:f>$AK$51</xm:f>
            <x14:dxf>
              <font>
                <color theme="7" tint="-0.24994659260841701"/>
              </font>
              <fill>
                <patternFill patternType="solid">
                  <bgColor theme="2"/>
                </patternFill>
              </fill>
            </x14:dxf>
          </x14:cfRule>
          <x14:cfRule type="containsText" priority="593" operator="containsText" id="{343EAB44-18FA-4230-9582-2DD8EB1243F6}">
            <xm:f>NOT(ISERROR(SEARCH($AJ$51,D51)))</xm:f>
            <xm:f>$AJ$51</xm:f>
            <x14:dxf>
              <font>
                <color theme="5" tint="-0.24994659260841701"/>
              </font>
              <fill>
                <patternFill patternType="solid">
                  <bgColor theme="2"/>
                </patternFill>
              </fill>
            </x14:dxf>
          </x14:cfRule>
          <x14:cfRule type="containsText" priority="594" operator="containsText" id="{37397223-12A1-4582-8313-C4BD4D07AE6C}">
            <xm:f>NOT(ISERROR(SEARCH($AI$51,D51)))</xm:f>
            <xm:f>$AI$51</xm:f>
            <x14:dxf>
              <font>
                <strike val="0"/>
                <color rgb="FF9C0006"/>
              </font>
              <fill>
                <patternFill patternType="solid">
                  <bgColor theme="2"/>
                </patternFill>
              </fill>
            </x14:dxf>
          </x14:cfRule>
          <xm:sqref>D51</xm:sqref>
        </x14:conditionalFormatting>
        <x14:conditionalFormatting xmlns:xm="http://schemas.microsoft.com/office/excel/2006/main">
          <x14:cfRule type="containsText" priority="585" operator="containsText" id="{D8B8C8A1-522A-4D85-9337-CD2DB02B949D}">
            <xm:f>NOT(ISERROR(SEARCH($AM$51,D52)))</xm:f>
            <xm:f>$AM$51</xm:f>
            <x14:dxf>
              <font>
                <color rgb="FF00B050"/>
              </font>
              <fill>
                <patternFill>
                  <bgColor theme="2"/>
                </patternFill>
              </fill>
            </x14:dxf>
          </x14:cfRule>
          <x14:cfRule type="containsText" priority="586" operator="containsText" id="{7E81D21A-1F78-452A-A9A4-8B21A4C1291D}">
            <xm:f>NOT(ISERROR(SEARCH($AL$51,D52)))</xm:f>
            <xm:f>$AL$51</xm:f>
            <x14:dxf>
              <font>
                <color rgb="FF92D050"/>
              </font>
              <fill>
                <patternFill>
                  <bgColor theme="2"/>
                </patternFill>
              </fill>
            </x14:dxf>
          </x14:cfRule>
          <x14:cfRule type="containsText" priority="587" operator="containsText" id="{513B7D75-1EB0-4658-B957-6760DCC07A5F}">
            <xm:f>NOT(ISERROR(SEARCH($AK$51,D52)))</xm:f>
            <xm:f>$AK$51</xm:f>
            <x14:dxf>
              <font>
                <color theme="7" tint="-0.24994659260841701"/>
              </font>
              <fill>
                <patternFill patternType="solid">
                  <bgColor theme="2"/>
                </patternFill>
              </fill>
            </x14:dxf>
          </x14:cfRule>
          <x14:cfRule type="containsText" priority="588" operator="containsText" id="{865DDBB4-E8FF-4CC0-8D77-585B1ECF78C7}">
            <xm:f>NOT(ISERROR(SEARCH($AJ$51,D52)))</xm:f>
            <xm:f>$AJ$51</xm:f>
            <x14:dxf>
              <font>
                <color theme="5" tint="-0.24994659260841701"/>
              </font>
              <fill>
                <patternFill patternType="solid">
                  <bgColor theme="2"/>
                </patternFill>
              </fill>
            </x14:dxf>
          </x14:cfRule>
          <x14:cfRule type="containsText" priority="589" operator="containsText" id="{9DE00E88-DF01-4BA6-BD0D-95CAC547E1B0}">
            <xm:f>NOT(ISERROR(SEARCH($AI$51,D52)))</xm:f>
            <xm:f>$AI$51</xm:f>
            <x14:dxf>
              <font>
                <strike val="0"/>
                <color rgb="FF9C0006"/>
              </font>
              <fill>
                <patternFill patternType="solid">
                  <bgColor theme="2"/>
                </patternFill>
              </fill>
            </x14:dxf>
          </x14:cfRule>
          <xm:sqref>D52</xm:sqref>
        </x14:conditionalFormatting>
        <x14:conditionalFormatting xmlns:xm="http://schemas.microsoft.com/office/excel/2006/main">
          <x14:cfRule type="containsText" priority="295" operator="containsText" id="{38D7BB4B-B964-4415-AA77-97BA59DB0712}">
            <xm:f>NOT(ISERROR(SEARCH($G$2717,D324)))</xm:f>
            <xm:f>$G$2717</xm:f>
            <x14:dxf>
              <font>
                <b/>
                <i val="0"/>
                <color theme="5" tint="0.39994506668294322"/>
              </font>
              <fill>
                <patternFill>
                  <bgColor theme="0" tint="-4.9989318521683403E-2"/>
                </patternFill>
              </fill>
            </x14:dxf>
          </x14:cfRule>
          <xm:sqref>D324:D326</xm:sqref>
        </x14:conditionalFormatting>
        <x14:conditionalFormatting xmlns:xm="http://schemas.microsoft.com/office/excel/2006/main">
          <x14:cfRule type="containsText" priority="294" operator="containsText" id="{4F7E9D39-457D-49D3-9AD8-E0B59B60BD59}">
            <xm:f>NOT(ISERROR(SEARCH($AK$1129,D1129)))</xm:f>
            <xm:f>$AK$1129</xm:f>
            <x14:dxf>
              <font>
                <color theme="5" tint="0.39994506668294322"/>
              </font>
              <fill>
                <patternFill>
                  <bgColor theme="5" tint="0.79998168889431442"/>
                </patternFill>
              </fill>
            </x14:dxf>
          </x14:cfRule>
          <x14:cfRule type="containsText" priority="331" operator="containsText" id="{B845DD65-F6CE-44D7-AFBD-8306DB406C3E}">
            <xm:f>NOT(ISERROR(SEARCH($AJ$1129,D1129)))</xm:f>
            <xm:f>$AJ$1129</xm:f>
            <x14:dxf>
              <fill>
                <patternFill>
                  <bgColor theme="5" tint="0.79998168889431442"/>
                </patternFill>
              </fill>
            </x14:dxf>
          </x14:cfRule>
          <xm:sqref>D1129</xm:sqref>
        </x14:conditionalFormatting>
        <x14:conditionalFormatting xmlns:xm="http://schemas.microsoft.com/office/excel/2006/main">
          <x14:cfRule type="containsText" priority="50" operator="containsText" id="{04E92875-EA7D-4868-96AB-3C90AEF6EB28}">
            <xm:f>NOT(ISERROR(SEARCH($BY$2167,D1933)))</xm:f>
            <xm:f>$BY$2167</xm:f>
            <x14:dxf>
              <font>
                <color theme="5" tint="-0.24994659260841701"/>
              </font>
              <fill>
                <patternFill>
                  <bgColor theme="5" tint="0.79998168889431442"/>
                </patternFill>
              </fill>
            </x14:dxf>
          </x14:cfRule>
          <x14:cfRule type="containsText" priority="108" operator="containsText" id="{7C668963-7A9F-4A6A-B570-1FF2D6264781}">
            <xm:f>NOT(ISERROR(SEARCH($BY$2168,D1933)))</xm:f>
            <xm:f>$BY$2168</xm:f>
            <x14:dxf>
              <font>
                <color rgb="FF9C0006"/>
              </font>
              <fill>
                <patternFill>
                  <bgColor rgb="FFFFC7CE"/>
                </patternFill>
              </fill>
            </x14:dxf>
          </x14:cfRule>
          <x14:cfRule type="containsText" priority="109" operator="containsText" id="{275E49D0-EE3F-425C-AC2C-4C5801921AB3}">
            <xm:f>NOT(ISERROR(SEARCH($BY$2166,D1933)))</xm:f>
            <xm:f>$BY$2166</xm:f>
            <x14:dxf>
              <font>
                <color rgb="FF9C5700"/>
              </font>
              <fill>
                <patternFill>
                  <bgColor rgb="FFFFFF99"/>
                </patternFill>
              </fill>
            </x14:dxf>
          </x14:cfRule>
          <x14:cfRule type="containsText" priority="110" operator="containsText" id="{8DB7AAA5-0BCD-463C-8D19-05A42F55587D}">
            <xm:f>NOT(ISERROR(SEARCH($BY$2165,D1933)))</xm:f>
            <xm:f>$BY$2165</xm:f>
            <x14:dxf>
              <font>
                <color theme="9" tint="-0.24994659260841701"/>
              </font>
              <fill>
                <patternFill>
                  <bgColor rgb="FFCCFF33"/>
                </patternFill>
              </fill>
            </x14:dxf>
          </x14:cfRule>
          <x14:cfRule type="containsText" priority="111" operator="containsText" id="{851FDB1B-F7CD-4A1F-B26B-B35F02C17135}">
            <xm:f>NOT(ISERROR(SEARCH($BY$2164,D1933)))</xm:f>
            <xm:f>$BY$2164</xm:f>
            <x14:dxf>
              <font>
                <color rgb="FF006100"/>
              </font>
              <fill>
                <patternFill>
                  <bgColor rgb="FFC6EFCE"/>
                </patternFill>
              </fill>
            </x14:dxf>
          </x14:cfRule>
          <xm:sqref>D1933</xm:sqref>
        </x14:conditionalFormatting>
        <x14:conditionalFormatting xmlns:xm="http://schemas.microsoft.com/office/excel/2006/main">
          <x14:cfRule type="containsText" priority="190" operator="containsText" id="{D44EC750-A92B-47B9-86DD-DC10B2413225}">
            <xm:f>NOT(ISERROR(SEARCH($AS$1936,D1939)))</xm:f>
            <xm:f>$AS$1936</xm:f>
            <x14:dxf>
              <font>
                <color theme="0" tint="-0.34998626667073579"/>
              </font>
            </x14:dxf>
          </x14:cfRule>
          <xm:sqref>D1939</xm:sqref>
        </x14:conditionalFormatting>
        <x14:conditionalFormatting xmlns:xm="http://schemas.microsoft.com/office/excel/2006/main">
          <x14:cfRule type="containsText" priority="45" operator="containsText" id="{730DBF7B-5573-4DFF-811E-453B629F12DD}">
            <xm:f>NOT(ISERROR(SEARCH($BY$2167,D1980)))</xm:f>
            <xm:f>$BY$2167</xm:f>
            <x14:dxf>
              <font>
                <color theme="5" tint="-0.24994659260841701"/>
              </font>
              <fill>
                <patternFill>
                  <bgColor theme="5" tint="0.79998168889431442"/>
                </patternFill>
              </fill>
            </x14:dxf>
          </x14:cfRule>
          <x14:cfRule type="containsText" priority="46" operator="containsText" id="{52F44800-3ACE-4480-80CF-B0CD40226CAD}">
            <xm:f>NOT(ISERROR(SEARCH($BY$2168,D1980)))</xm:f>
            <xm:f>$BY$2168</xm:f>
            <x14:dxf>
              <font>
                <color rgb="FF9C0006"/>
              </font>
              <fill>
                <patternFill>
                  <bgColor rgb="FFFFC7CE"/>
                </patternFill>
              </fill>
            </x14:dxf>
          </x14:cfRule>
          <x14:cfRule type="containsText" priority="47" operator="containsText" id="{5923590E-5291-411B-A376-1DA11669DBBC}">
            <xm:f>NOT(ISERROR(SEARCH($BY$2166,D1980)))</xm:f>
            <xm:f>$BY$2166</xm:f>
            <x14:dxf>
              <font>
                <color rgb="FF9C5700"/>
              </font>
              <fill>
                <patternFill>
                  <bgColor rgb="FFFFFF99"/>
                </patternFill>
              </fill>
            </x14:dxf>
          </x14:cfRule>
          <x14:cfRule type="containsText" priority="48" operator="containsText" id="{8F9833F7-0F59-478C-AF4A-F61CE6FA815C}">
            <xm:f>NOT(ISERROR(SEARCH($BY$2165,D1980)))</xm:f>
            <xm:f>$BY$2165</xm:f>
            <x14:dxf>
              <font>
                <color theme="9" tint="-0.24994659260841701"/>
              </font>
              <fill>
                <patternFill>
                  <bgColor rgb="FFCCFF33"/>
                </patternFill>
              </fill>
            </x14:dxf>
          </x14:cfRule>
          <x14:cfRule type="containsText" priority="49" operator="containsText" id="{540ED386-A4CD-44B8-A63B-658C97481D1E}">
            <xm:f>NOT(ISERROR(SEARCH($BY$2164,D1980)))</xm:f>
            <xm:f>$BY$2164</xm:f>
            <x14:dxf>
              <font>
                <color rgb="FF006100"/>
              </font>
              <fill>
                <patternFill>
                  <bgColor rgb="FFC6EFCE"/>
                </patternFill>
              </fill>
            </x14:dxf>
          </x14:cfRule>
          <xm:sqref>D1980</xm:sqref>
        </x14:conditionalFormatting>
        <x14:conditionalFormatting xmlns:xm="http://schemas.microsoft.com/office/excel/2006/main">
          <x14:cfRule type="containsText" priority="40" operator="containsText" id="{A8D299C6-D182-42D5-A48F-20290D34E2FA}">
            <xm:f>NOT(ISERROR(SEARCH($BY$2167,D2027)))</xm:f>
            <xm:f>$BY$2167</xm:f>
            <x14:dxf>
              <font>
                <color theme="5" tint="-0.24994659260841701"/>
              </font>
              <fill>
                <patternFill>
                  <bgColor theme="5" tint="0.79998168889431442"/>
                </patternFill>
              </fill>
            </x14:dxf>
          </x14:cfRule>
          <x14:cfRule type="containsText" priority="41" operator="containsText" id="{91C5B654-9B60-4221-9EC7-0674227E5D83}">
            <xm:f>NOT(ISERROR(SEARCH($BY$2168,D2027)))</xm:f>
            <xm:f>$BY$2168</xm:f>
            <x14:dxf>
              <font>
                <color rgb="FF9C0006"/>
              </font>
              <fill>
                <patternFill>
                  <bgColor rgb="FFFFC7CE"/>
                </patternFill>
              </fill>
            </x14:dxf>
          </x14:cfRule>
          <x14:cfRule type="containsText" priority="42" operator="containsText" id="{8D8F8F14-62EE-425E-8374-29FF9C391926}">
            <xm:f>NOT(ISERROR(SEARCH($BY$2166,D2027)))</xm:f>
            <xm:f>$BY$2166</xm:f>
            <x14:dxf>
              <font>
                <color rgb="FF9C5700"/>
              </font>
              <fill>
                <patternFill>
                  <bgColor rgb="FFFFFF99"/>
                </patternFill>
              </fill>
            </x14:dxf>
          </x14:cfRule>
          <x14:cfRule type="containsText" priority="43" operator="containsText" id="{625A6946-0165-45CF-8DFF-D735A01857E3}">
            <xm:f>NOT(ISERROR(SEARCH($BY$2165,D2027)))</xm:f>
            <xm:f>$BY$2165</xm:f>
            <x14:dxf>
              <font>
                <color theme="9" tint="-0.24994659260841701"/>
              </font>
              <fill>
                <patternFill>
                  <bgColor rgb="FFCCFF33"/>
                </patternFill>
              </fill>
            </x14:dxf>
          </x14:cfRule>
          <x14:cfRule type="containsText" priority="44" operator="containsText" id="{E5732424-FB59-4D40-B4BF-AE977860A2D7}">
            <xm:f>NOT(ISERROR(SEARCH($BY$2164,D2027)))</xm:f>
            <xm:f>$BY$2164</xm:f>
            <x14:dxf>
              <font>
                <color rgb="FF006100"/>
              </font>
              <fill>
                <patternFill>
                  <bgColor rgb="FFC6EFCE"/>
                </patternFill>
              </fill>
            </x14:dxf>
          </x14:cfRule>
          <xm:sqref>D2027</xm:sqref>
        </x14:conditionalFormatting>
        <x14:conditionalFormatting xmlns:xm="http://schemas.microsoft.com/office/excel/2006/main">
          <x14:cfRule type="containsText" priority="35" operator="containsText" id="{A1AD1406-D813-470A-93C6-06455FC689A1}">
            <xm:f>NOT(ISERROR(SEARCH($BY$2167,D2071)))</xm:f>
            <xm:f>$BY$2167</xm:f>
            <x14:dxf>
              <font>
                <color theme="5" tint="-0.24994659260841701"/>
              </font>
              <fill>
                <patternFill>
                  <bgColor theme="5" tint="0.79998168889431442"/>
                </patternFill>
              </fill>
            </x14:dxf>
          </x14:cfRule>
          <x14:cfRule type="containsText" priority="36" operator="containsText" id="{9F7DC1CC-CBB9-44D2-A0AC-5825F09952E9}">
            <xm:f>NOT(ISERROR(SEARCH($BY$2168,D2071)))</xm:f>
            <xm:f>$BY$2168</xm:f>
            <x14:dxf>
              <font>
                <color rgb="FF9C0006"/>
              </font>
              <fill>
                <patternFill>
                  <bgColor rgb="FFFFC7CE"/>
                </patternFill>
              </fill>
            </x14:dxf>
          </x14:cfRule>
          <x14:cfRule type="containsText" priority="37" operator="containsText" id="{892E5766-22C0-433F-9E17-ABFD5F7327A9}">
            <xm:f>NOT(ISERROR(SEARCH($BY$2166,D2071)))</xm:f>
            <xm:f>$BY$2166</xm:f>
            <x14:dxf>
              <font>
                <color rgb="FF9C5700"/>
              </font>
              <fill>
                <patternFill>
                  <bgColor rgb="FFFFFF99"/>
                </patternFill>
              </fill>
            </x14:dxf>
          </x14:cfRule>
          <x14:cfRule type="containsText" priority="38" operator="containsText" id="{007E13A1-780F-43F0-BA03-75DAC03574E0}">
            <xm:f>NOT(ISERROR(SEARCH($BY$2165,D2071)))</xm:f>
            <xm:f>$BY$2165</xm:f>
            <x14:dxf>
              <font>
                <color theme="9" tint="-0.24994659260841701"/>
              </font>
              <fill>
                <patternFill>
                  <bgColor rgb="FFCCFF33"/>
                </patternFill>
              </fill>
            </x14:dxf>
          </x14:cfRule>
          <x14:cfRule type="containsText" priority="39" operator="containsText" id="{09226952-16C6-4498-B30F-C8BB1C43DC60}">
            <xm:f>NOT(ISERROR(SEARCH($BY$2164,D2071)))</xm:f>
            <xm:f>$BY$2164</xm:f>
            <x14:dxf>
              <font>
                <color rgb="FF006100"/>
              </font>
              <fill>
                <patternFill>
                  <bgColor rgb="FFC6EFCE"/>
                </patternFill>
              </fill>
            </x14:dxf>
          </x14:cfRule>
          <xm:sqref>D2071</xm:sqref>
        </x14:conditionalFormatting>
        <x14:conditionalFormatting xmlns:xm="http://schemas.microsoft.com/office/excel/2006/main">
          <x14:cfRule type="containsText" priority="30" operator="containsText" id="{6C289492-26D1-4915-9A95-A4FAB250ECDD}">
            <xm:f>NOT(ISERROR(SEARCH($BY$2167,D2074)))</xm:f>
            <xm:f>$BY$2167</xm:f>
            <x14:dxf>
              <font>
                <color theme="5" tint="-0.24994659260841701"/>
              </font>
              <fill>
                <patternFill>
                  <bgColor theme="5" tint="0.79998168889431442"/>
                </patternFill>
              </fill>
            </x14:dxf>
          </x14:cfRule>
          <x14:cfRule type="containsText" priority="31" operator="containsText" id="{AC877BA3-BD38-4A78-98C0-1195EE54AC5D}">
            <xm:f>NOT(ISERROR(SEARCH($BY$2168,D2074)))</xm:f>
            <xm:f>$BY$2168</xm:f>
            <x14:dxf>
              <font>
                <color rgb="FF9C0006"/>
              </font>
              <fill>
                <patternFill>
                  <bgColor rgb="FFFFC7CE"/>
                </patternFill>
              </fill>
            </x14:dxf>
          </x14:cfRule>
          <x14:cfRule type="containsText" priority="32" operator="containsText" id="{D1319C98-EB31-4869-8025-C8431CD12ABF}">
            <xm:f>NOT(ISERROR(SEARCH($BY$2166,D2074)))</xm:f>
            <xm:f>$BY$2166</xm:f>
            <x14:dxf>
              <font>
                <color rgb="FF9C5700"/>
              </font>
              <fill>
                <patternFill>
                  <bgColor rgb="FFFFFF99"/>
                </patternFill>
              </fill>
            </x14:dxf>
          </x14:cfRule>
          <x14:cfRule type="containsText" priority="33" operator="containsText" id="{02DC73E0-5060-412C-A007-37208A6056A6}">
            <xm:f>NOT(ISERROR(SEARCH($BY$2165,D2074)))</xm:f>
            <xm:f>$BY$2165</xm:f>
            <x14:dxf>
              <font>
                <color theme="9" tint="-0.24994659260841701"/>
              </font>
              <fill>
                <patternFill>
                  <bgColor rgb="FFCCFF33"/>
                </patternFill>
              </fill>
            </x14:dxf>
          </x14:cfRule>
          <x14:cfRule type="containsText" priority="34" operator="containsText" id="{3DBC9211-0621-46C0-8F0A-BF6CB151ACF4}">
            <xm:f>NOT(ISERROR(SEARCH($BY$2164,D2074)))</xm:f>
            <xm:f>$BY$2164</xm:f>
            <x14:dxf>
              <font>
                <color rgb="FF006100"/>
              </font>
              <fill>
                <patternFill>
                  <bgColor rgb="FFC6EFCE"/>
                </patternFill>
              </fill>
            </x14:dxf>
          </x14:cfRule>
          <xm:sqref>D2074</xm:sqref>
        </x14:conditionalFormatting>
        <x14:conditionalFormatting xmlns:xm="http://schemas.microsoft.com/office/excel/2006/main">
          <x14:cfRule type="containsText" priority="188" operator="containsText" id="{DFB84871-6E07-4DA0-9600-31ACAB70A606}">
            <xm:f>NOT(ISERROR(SEARCH($AG$2078,D2079)))</xm:f>
            <xm:f>$AG$2078</xm:f>
            <x14:dxf>
              <font>
                <color rgb="FFCC99FF"/>
              </font>
            </x14:dxf>
          </x14:cfRule>
          <xm:sqref>D2079</xm:sqref>
        </x14:conditionalFormatting>
        <x14:conditionalFormatting xmlns:xm="http://schemas.microsoft.com/office/excel/2006/main">
          <x14:cfRule type="containsText" priority="25" operator="containsText" id="{A013002D-2DE9-4C8B-9BF6-A24311E45CD7}">
            <xm:f>NOT(ISERROR(SEARCH($BY$2167,D2121)))</xm:f>
            <xm:f>$BY$2167</xm:f>
            <x14:dxf>
              <font>
                <color theme="5" tint="-0.24994659260841701"/>
              </font>
              <fill>
                <patternFill>
                  <bgColor theme="5" tint="0.79998168889431442"/>
                </patternFill>
              </fill>
            </x14:dxf>
          </x14:cfRule>
          <x14:cfRule type="containsText" priority="26" operator="containsText" id="{2A986680-0182-40AA-95BB-DCAE5F48E93A}">
            <xm:f>NOT(ISERROR(SEARCH($BY$2168,D2121)))</xm:f>
            <xm:f>$BY$2168</xm:f>
            <x14:dxf>
              <font>
                <color rgb="FF9C0006"/>
              </font>
              <fill>
                <patternFill>
                  <bgColor rgb="FFFFC7CE"/>
                </patternFill>
              </fill>
            </x14:dxf>
          </x14:cfRule>
          <x14:cfRule type="containsText" priority="27" operator="containsText" id="{2078AC63-AC28-46C2-86E2-650BA6556FC3}">
            <xm:f>NOT(ISERROR(SEARCH($BY$2166,D2121)))</xm:f>
            <xm:f>$BY$2166</xm:f>
            <x14:dxf>
              <font>
                <color rgb="FF9C5700"/>
              </font>
              <fill>
                <patternFill>
                  <bgColor rgb="FFFFFF99"/>
                </patternFill>
              </fill>
            </x14:dxf>
          </x14:cfRule>
          <x14:cfRule type="containsText" priority="28" operator="containsText" id="{86BA7248-C034-4208-B69E-9B368F6552DD}">
            <xm:f>NOT(ISERROR(SEARCH($BY$2165,D2121)))</xm:f>
            <xm:f>$BY$2165</xm:f>
            <x14:dxf>
              <font>
                <color theme="9" tint="-0.24994659260841701"/>
              </font>
              <fill>
                <patternFill>
                  <bgColor rgb="FFCCFF33"/>
                </patternFill>
              </fill>
            </x14:dxf>
          </x14:cfRule>
          <x14:cfRule type="containsText" priority="29" operator="containsText" id="{3FD7CDE0-A773-4597-8743-6A164FD0EC87}">
            <xm:f>NOT(ISERROR(SEARCH($BY$2164,D2121)))</xm:f>
            <xm:f>$BY$2164</xm:f>
            <x14:dxf>
              <font>
                <color rgb="FF006100"/>
              </font>
              <fill>
                <patternFill>
                  <bgColor rgb="FFC6EFCE"/>
                </patternFill>
              </fill>
            </x14:dxf>
          </x14:cfRule>
          <xm:sqref>D2121</xm:sqref>
        </x14:conditionalFormatting>
        <x14:conditionalFormatting xmlns:xm="http://schemas.microsoft.com/office/excel/2006/main">
          <x14:cfRule type="containsText" priority="20" operator="containsText" id="{EA222B07-9340-4AEE-8C9A-F7759C4EC528}">
            <xm:f>NOT(ISERROR(SEARCH($BY$2167,D2168)))</xm:f>
            <xm:f>$BY$2167</xm:f>
            <x14:dxf>
              <font>
                <color theme="5" tint="-0.24994659260841701"/>
              </font>
              <fill>
                <patternFill>
                  <bgColor theme="5" tint="0.79998168889431442"/>
                </patternFill>
              </fill>
            </x14:dxf>
          </x14:cfRule>
          <x14:cfRule type="containsText" priority="21" operator="containsText" id="{4122189C-38C7-4D61-BCFD-A5CB833BA038}">
            <xm:f>NOT(ISERROR(SEARCH($BY$2168,D2168)))</xm:f>
            <xm:f>$BY$2168</xm:f>
            <x14:dxf>
              <font>
                <color rgb="FF9C0006"/>
              </font>
              <fill>
                <patternFill>
                  <bgColor rgb="FFFFC7CE"/>
                </patternFill>
              </fill>
            </x14:dxf>
          </x14:cfRule>
          <x14:cfRule type="containsText" priority="22" operator="containsText" id="{43DCB58A-7A29-4B0E-B5A3-C2C53A7D2E03}">
            <xm:f>NOT(ISERROR(SEARCH($BY$2166,D2168)))</xm:f>
            <xm:f>$BY$2166</xm:f>
            <x14:dxf>
              <font>
                <color rgb="FF9C5700"/>
              </font>
              <fill>
                <patternFill>
                  <bgColor rgb="FFFFFF99"/>
                </patternFill>
              </fill>
            </x14:dxf>
          </x14:cfRule>
          <x14:cfRule type="containsText" priority="23" operator="containsText" id="{F095E0EA-3691-4F3E-9D2A-E2C347F2E96F}">
            <xm:f>NOT(ISERROR(SEARCH($BY$2165,D2168)))</xm:f>
            <xm:f>$BY$2165</xm:f>
            <x14:dxf>
              <font>
                <color theme="9" tint="-0.24994659260841701"/>
              </font>
              <fill>
                <patternFill>
                  <bgColor rgb="FFCCFF33"/>
                </patternFill>
              </fill>
            </x14:dxf>
          </x14:cfRule>
          <x14:cfRule type="containsText" priority="24" operator="containsText" id="{26F4C20B-F8AF-43F0-B1D7-19E795B0C539}">
            <xm:f>NOT(ISERROR(SEARCH($BY$2164,D2168)))</xm:f>
            <xm:f>$BY$2164</xm:f>
            <x14:dxf>
              <font>
                <color rgb="FF006100"/>
              </font>
              <fill>
                <patternFill>
                  <bgColor rgb="FFC6EFCE"/>
                </patternFill>
              </fill>
            </x14:dxf>
          </x14:cfRule>
          <xm:sqref>D2168</xm:sqref>
        </x14:conditionalFormatting>
        <x14:conditionalFormatting xmlns:xm="http://schemas.microsoft.com/office/excel/2006/main">
          <x14:cfRule type="containsText" priority="175" operator="containsText" id="{9071D540-8BED-44C0-AA14-F0759197C312}">
            <xm:f>NOT(ISERROR(SEARCH($AG$2078,D2224)))</xm:f>
            <xm:f>$AG$2078</xm:f>
            <x14:dxf>
              <font>
                <color rgb="FFCC99FF"/>
              </font>
            </x14:dxf>
          </x14:cfRule>
          <xm:sqref>D2224</xm:sqref>
        </x14:conditionalFormatting>
        <x14:conditionalFormatting xmlns:xm="http://schemas.microsoft.com/office/excel/2006/main">
          <x14:cfRule type="containsText" priority="15" operator="containsText" id="{E2F78672-B08A-40BC-874C-E856FB052ADB}">
            <xm:f>NOT(ISERROR(SEARCH($BY$2167,D2262)))</xm:f>
            <xm:f>$BY$2167</xm:f>
            <x14:dxf>
              <font>
                <color theme="5" tint="-0.24994659260841701"/>
              </font>
              <fill>
                <patternFill>
                  <bgColor theme="5" tint="0.79998168889431442"/>
                </patternFill>
              </fill>
            </x14:dxf>
          </x14:cfRule>
          <x14:cfRule type="containsText" priority="16" operator="containsText" id="{E9067D04-0885-4D59-81C4-E47A9BF6758C}">
            <xm:f>NOT(ISERROR(SEARCH($BY$2168,D2262)))</xm:f>
            <xm:f>$BY$2168</xm:f>
            <x14:dxf>
              <font>
                <color rgb="FF9C0006"/>
              </font>
              <fill>
                <patternFill>
                  <bgColor rgb="FFFFC7CE"/>
                </patternFill>
              </fill>
            </x14:dxf>
          </x14:cfRule>
          <x14:cfRule type="containsText" priority="17" operator="containsText" id="{F3C13185-F029-4309-9BA0-3ED4B2C97B32}">
            <xm:f>NOT(ISERROR(SEARCH($BY$2166,D2262)))</xm:f>
            <xm:f>$BY$2166</xm:f>
            <x14:dxf>
              <font>
                <color rgb="FF9C5700"/>
              </font>
              <fill>
                <patternFill>
                  <bgColor rgb="FFFFFF99"/>
                </patternFill>
              </fill>
            </x14:dxf>
          </x14:cfRule>
          <x14:cfRule type="containsText" priority="18" operator="containsText" id="{147C2429-B105-4928-A46D-0FE4F81914EF}">
            <xm:f>NOT(ISERROR(SEARCH($BY$2165,D2262)))</xm:f>
            <xm:f>$BY$2165</xm:f>
            <x14:dxf>
              <font>
                <color theme="9" tint="-0.24994659260841701"/>
              </font>
              <fill>
                <patternFill>
                  <bgColor rgb="FFCCFF33"/>
                </patternFill>
              </fill>
            </x14:dxf>
          </x14:cfRule>
          <x14:cfRule type="containsText" priority="19" operator="containsText" id="{15234912-C25C-4B90-92BB-BEA840EBDBC3}">
            <xm:f>NOT(ISERROR(SEARCH($BY$2164,D2262)))</xm:f>
            <xm:f>$BY$2164</xm:f>
            <x14:dxf>
              <font>
                <color rgb="FF006100"/>
              </font>
              <fill>
                <patternFill>
                  <bgColor rgb="FFC6EFCE"/>
                </patternFill>
              </fill>
            </x14:dxf>
          </x14:cfRule>
          <xm:sqref>D2262:D2265</xm:sqref>
        </x14:conditionalFormatting>
        <x14:conditionalFormatting xmlns:xm="http://schemas.microsoft.com/office/excel/2006/main">
          <x14:cfRule type="containsText" priority="1130" operator="containsText" id="{3623557A-3471-4275-B1CD-3C3A5FA8A1F2}">
            <xm:f>NOT(ISERROR(SEARCH($BE$2394,D2393)))</xm:f>
            <xm:f>$BE$2394</xm:f>
            <x14:dxf>
              <fill>
                <patternFill>
                  <bgColor rgb="FFCCFFCC"/>
                </patternFill>
              </fill>
            </x14:dxf>
          </x14:cfRule>
          <xm:sqref>D2393</xm:sqref>
        </x14:conditionalFormatting>
        <x14:conditionalFormatting xmlns:xm="http://schemas.microsoft.com/office/excel/2006/main">
          <x14:cfRule type="containsText" priority="77" operator="containsText" id="{D7D5C854-1957-49CE-8546-DEDCF6FC3129}">
            <xm:f>NOT(ISERROR(SEARCH($BD$2394,D2393)))</xm:f>
            <xm:f>$BD$2394</xm:f>
            <x14:dxf>
              <font>
                <color theme="2" tint="-0.24994659260841701"/>
              </font>
            </x14:dxf>
          </x14:cfRule>
          <xm:sqref>D2393:E2393</xm:sqref>
        </x14:conditionalFormatting>
        <x14:conditionalFormatting xmlns:xm="http://schemas.microsoft.com/office/excel/2006/main">
          <x14:cfRule type="containsText" priority="748" operator="containsText" id="{032A0A64-0DC2-48BD-B8CA-34FF17A2A741}">
            <xm:f>NOT(ISERROR(SEARCH($AM$51,BG51)))</xm:f>
            <xm:f>$AM$51</xm:f>
            <x14:dxf>
              <font>
                <color rgb="FF00B050"/>
              </font>
              <fill>
                <patternFill>
                  <bgColor theme="2"/>
                </patternFill>
              </fill>
            </x14:dxf>
          </x14:cfRule>
          <x14:cfRule type="containsText" priority="749" operator="containsText" id="{F10F9F3A-7ACF-40EC-A74F-2B66E76465C6}">
            <xm:f>NOT(ISERROR(SEARCH($AL$51,BG51)))</xm:f>
            <xm:f>$AL$51</xm:f>
            <x14:dxf>
              <font>
                <color rgb="FF92D050"/>
              </font>
              <fill>
                <patternFill>
                  <bgColor theme="2"/>
                </patternFill>
              </fill>
            </x14:dxf>
          </x14:cfRule>
          <x14:cfRule type="containsText" priority="750" operator="containsText" id="{072BA184-DDC3-4612-8E2B-4027645295B1}">
            <xm:f>NOT(ISERROR(SEARCH($AK$51,BG51)))</xm:f>
            <xm:f>$AK$51</xm:f>
            <x14:dxf>
              <font>
                <color theme="7" tint="-0.24994659260841701"/>
              </font>
              <fill>
                <patternFill patternType="solid">
                  <bgColor theme="2"/>
                </patternFill>
              </fill>
            </x14:dxf>
          </x14:cfRule>
          <x14:cfRule type="containsText" priority="751" operator="containsText" id="{8C1FFFDB-0761-4D3A-A314-4A65F3E051F2}">
            <xm:f>NOT(ISERROR(SEARCH($AJ$51,BG51)))</xm:f>
            <xm:f>$AJ$51</xm:f>
            <x14:dxf>
              <font>
                <color theme="5" tint="-0.24994659260841701"/>
              </font>
              <fill>
                <patternFill patternType="solid">
                  <bgColor theme="2"/>
                </patternFill>
              </fill>
            </x14:dxf>
          </x14:cfRule>
          <x14:cfRule type="containsText" priority="752" operator="containsText" id="{D21A7460-37C4-4B0E-B480-22E22CF06639}">
            <xm:f>NOT(ISERROR(SEARCH($AI$51,BG51)))</xm:f>
            <xm:f>$AI$51</xm:f>
            <x14:dxf>
              <font>
                <strike val="0"/>
                <color rgb="FF9C0006"/>
              </font>
              <fill>
                <patternFill patternType="solid">
                  <bgColor theme="2"/>
                </patternFill>
              </fill>
            </x14:dxf>
          </x14:cfRule>
          <xm:sqref>BG51</xm:sqref>
        </x14:conditionalFormatting>
        <x14:conditionalFormatting xmlns:xm="http://schemas.microsoft.com/office/excel/2006/main">
          <x14:cfRule type="containsText" priority="743" operator="containsText" id="{D132A2BB-DD93-450C-8172-781DD22D2F95}">
            <xm:f>NOT(ISERROR(SEARCH($AM$51,BG52)))</xm:f>
            <xm:f>$AM$51</xm:f>
            <x14:dxf>
              <font>
                <color rgb="FF00B050"/>
              </font>
              <fill>
                <patternFill>
                  <bgColor theme="2"/>
                </patternFill>
              </fill>
            </x14:dxf>
          </x14:cfRule>
          <x14:cfRule type="containsText" priority="744" operator="containsText" id="{05AD6871-93FE-4B0F-B22B-01AA31990706}">
            <xm:f>NOT(ISERROR(SEARCH($AL$51,BG52)))</xm:f>
            <xm:f>$AL$51</xm:f>
            <x14:dxf>
              <font>
                <color rgb="FF92D050"/>
              </font>
              <fill>
                <patternFill>
                  <bgColor theme="2"/>
                </patternFill>
              </fill>
            </x14:dxf>
          </x14:cfRule>
          <x14:cfRule type="containsText" priority="745" operator="containsText" id="{8C565FBB-2DAC-4FF2-9540-ABE5CA81CA28}">
            <xm:f>NOT(ISERROR(SEARCH($AK$51,BG52)))</xm:f>
            <xm:f>$AK$51</xm:f>
            <x14:dxf>
              <font>
                <color theme="7" tint="-0.24994659260841701"/>
              </font>
              <fill>
                <patternFill patternType="solid">
                  <bgColor theme="2"/>
                </patternFill>
              </fill>
            </x14:dxf>
          </x14:cfRule>
          <x14:cfRule type="containsText" priority="746" operator="containsText" id="{35D2BFF8-F03C-41CA-B55F-60E079C23679}">
            <xm:f>NOT(ISERROR(SEARCH($AJ$51,BG52)))</xm:f>
            <xm:f>$AJ$51</xm:f>
            <x14:dxf>
              <font>
                <color theme="5" tint="-0.24994659260841701"/>
              </font>
              <fill>
                <patternFill patternType="solid">
                  <bgColor theme="2"/>
                </patternFill>
              </fill>
            </x14:dxf>
          </x14:cfRule>
          <x14:cfRule type="containsText" priority="747" operator="containsText" id="{EC09B284-D587-443A-B4B3-665553A6E2DD}">
            <xm:f>NOT(ISERROR(SEARCH($AI$51,BG52)))</xm:f>
            <xm:f>$AI$51</xm:f>
            <x14:dxf>
              <font>
                <strike val="0"/>
                <color rgb="FF9C0006"/>
              </font>
              <fill>
                <patternFill patternType="solid">
                  <bgColor theme="2"/>
                </patternFill>
              </fill>
            </x14:dxf>
          </x14:cfRule>
          <xm:sqref>BG52:BG53</xm:sqref>
        </x14:conditionalFormatting>
        <x14:conditionalFormatting xmlns:xm="http://schemas.microsoft.com/office/excel/2006/main">
          <x14:cfRule type="containsText" priority="179" operator="containsText" id="{E62CC427-0846-49D5-BF39-43AB038C2ADA}">
            <xm:f>NOT(ISERROR(SEARCH($BJ$2167,BY2167)))</xm:f>
            <xm:f>$BJ$2167</xm:f>
            <x14:dxf>
              <font>
                <color theme="5" tint="-0.24994659260841701"/>
              </font>
              <fill>
                <patternFill>
                  <bgColor theme="7" tint="0.59996337778862885"/>
                </patternFill>
              </fill>
            </x14:dxf>
          </x14:cfRule>
          <xm:sqref>BY2167</xm:sqref>
        </x14:conditionalFormatting>
        <x14:conditionalFormatting xmlns:xm="http://schemas.microsoft.com/office/excel/2006/main">
          <x14:cfRule type="containsText" priority="178" operator="containsText" id="{9C0DD976-1D5F-4295-8A7D-85B86075C9A8}">
            <xm:f>NOT(ISERROR(SEARCH($BJ$2168,BY2168)))</xm:f>
            <xm:f>$BJ$2168</xm:f>
            <x14:dxf>
              <font>
                <color rgb="FF9C0006"/>
              </font>
              <fill>
                <patternFill>
                  <bgColor rgb="FFFFC7CE"/>
                </patternFill>
              </fill>
            </x14:dxf>
          </x14:cfRule>
          <xm:sqref>BY2168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C497C-FB97-41FA-8A41-BFE5013DB3F4}">
  <dimension ref="A1:CZ1501"/>
  <sheetViews>
    <sheetView showGridLines="0" showRowColHeaders="0" zoomScaleNormal="100" workbookViewId="0">
      <selection activeCell="F1" sqref="A1:F1"/>
    </sheetView>
  </sheetViews>
  <sheetFormatPr defaultColWidth="8.90625" defaultRowHeight="14" x14ac:dyDescent="0.3"/>
  <cols>
    <col min="1" max="1" width="3.81640625" style="48" customWidth="1"/>
    <col min="2" max="2" width="15.81640625" style="48" customWidth="1"/>
    <col min="3" max="3" width="35.81640625" style="48" customWidth="1"/>
    <col min="4" max="4" width="28.81640625" style="48" customWidth="1"/>
    <col min="5" max="6" width="2.81640625" style="48" customWidth="1"/>
    <col min="7" max="26" width="8.90625" style="4" customWidth="1"/>
    <col min="27" max="47" width="3.81640625" style="48" hidden="1" customWidth="1"/>
    <col min="48" max="48" width="4.81640625" style="48" hidden="1" customWidth="1"/>
    <col min="49" max="49" width="1.81640625" style="48" hidden="1" customWidth="1"/>
    <col min="50" max="50" width="3.81640625" style="48" hidden="1" customWidth="1"/>
    <col min="51" max="51" width="1.81640625" style="48" hidden="1" customWidth="1"/>
    <col min="52" max="52" width="3.81640625" style="48" hidden="1" customWidth="1"/>
    <col min="53" max="53" width="1.81640625" style="48" hidden="1" customWidth="1"/>
    <col min="54" max="54" width="6.81640625" style="14" hidden="1" customWidth="1"/>
    <col min="55" max="55" width="1.81640625" style="48" hidden="1" customWidth="1"/>
    <col min="56" max="56" width="6.81640625" style="48" hidden="1" customWidth="1"/>
    <col min="57" max="57" width="1.81640625" style="48" hidden="1" customWidth="1"/>
    <col min="58" max="58" width="5.81640625" style="48" hidden="1" customWidth="1"/>
    <col min="59" max="62" width="7.81640625" style="48" hidden="1" customWidth="1"/>
    <col min="63" max="77" width="3.81640625" style="48" hidden="1" customWidth="1"/>
    <col min="78" max="85" width="8.90625" style="48" hidden="1" customWidth="1"/>
    <col min="86" max="87" width="11.90625" style="48" hidden="1" customWidth="1"/>
    <col min="88" max="104" width="8.90625" style="48" hidden="1" customWidth="1"/>
    <col min="105" max="128" width="8.90625" style="48" customWidth="1"/>
    <col min="129" max="129" width="8.90625" style="48"/>
    <col min="130" max="130" width="25.81640625" style="48" customWidth="1"/>
    <col min="131" max="16384" width="8.90625" style="48"/>
  </cols>
  <sheetData>
    <row r="1" spans="1:70" ht="30" customHeight="1" x14ac:dyDescent="0.3">
      <c r="A1" s="40"/>
      <c r="B1" s="1127" t="str">
        <f>'EIF draft E01'!$B$1:$E$1</f>
        <v>GENERAL INSTRUCTIONS</v>
      </c>
      <c r="C1" s="1127"/>
      <c r="D1" s="1127"/>
      <c r="E1" s="1127"/>
      <c r="F1" s="436"/>
      <c r="AD1" s="642" t="e">
        <f>IF(BK1&lt;BK2,AI1,IF(AND(BK1=BK2,BM1&gt;0),AQ1,IF(AND(BK1=BK2,BQ1&gt;=BM1),BB1,"")))</f>
        <v>#REF!</v>
      </c>
      <c r="AI1" s="52" t="s">
        <v>5425</v>
      </c>
      <c r="AQ1" s="52" t="s">
        <v>5420</v>
      </c>
      <c r="BA1" s="52" t="s">
        <v>5424</v>
      </c>
      <c r="BK1" s="1159" t="e">
        <f>#REF!</f>
        <v>#REF!</v>
      </c>
      <c r="BL1" s="1159"/>
      <c r="BM1" s="1159" t="e">
        <f>#REF!</f>
        <v>#REF!</v>
      </c>
      <c r="BN1" s="1159"/>
      <c r="BO1" s="1160"/>
      <c r="BP1" s="1160"/>
      <c r="BQ1" s="1158" t="e">
        <f>#REF!</f>
        <v>#REF!</v>
      </c>
      <c r="BR1" s="1158"/>
    </row>
    <row r="2" spans="1:70" ht="19" customHeight="1" x14ac:dyDescent="0.3">
      <c r="A2" s="839"/>
      <c r="B2" s="839"/>
      <c r="C2" s="839"/>
      <c r="D2" s="839"/>
      <c r="E2" s="839"/>
      <c r="F2" s="230"/>
      <c r="BK2" s="48" t="e">
        <f>#REF!+1</f>
        <v>#REF!</v>
      </c>
      <c r="BL2" s="48" t="e">
        <f>#REF!-5</f>
        <v>#REF!</v>
      </c>
    </row>
    <row r="3" spans="1:70" ht="15" customHeight="1" x14ac:dyDescent="0.3">
      <c r="A3" s="839"/>
      <c r="B3" s="842"/>
      <c r="C3" s="840"/>
      <c r="D3" s="840"/>
      <c r="E3" s="840"/>
      <c r="F3" s="230"/>
    </row>
    <row r="4" spans="1:70" ht="20" customHeight="1" x14ac:dyDescent="0.3">
      <c r="A4" s="839"/>
      <c r="B4" s="1169" t="str">
        <f>'EIF draft E01'!B4:D5</f>
        <v>First, to use this form, click on ENABLE EDITING. Then save a copy of this form on your computer, using the Save As option in the File menu of Excel.</v>
      </c>
      <c r="C4" s="1169"/>
      <c r="D4" s="1169"/>
      <c r="E4" s="840"/>
      <c r="F4" s="230"/>
      <c r="AD4" s="642" t="e">
        <f>IF(AD$1=AI$1,AF4,IF(AD$1=AQ$1,AH4,IF(AD$1=BA$1,AX4,"")))</f>
        <v>#REF!</v>
      </c>
      <c r="AE4" s="245" t="s">
        <v>885</v>
      </c>
      <c r="AF4" s="230" t="s">
        <v>5426</v>
      </c>
      <c r="AG4" s="245" t="s">
        <v>885</v>
      </c>
      <c r="AH4" s="813" t="e">
        <f>CONCATENATE(AI4,AJ4,AK4,AL4,AM4,AN4,AO4,AP4,AQ4,AR4,AS4,AT4)</f>
        <v>#REF!</v>
      </c>
      <c r="AI4" s="48" t="s">
        <v>5371</v>
      </c>
      <c r="AJ4" s="48" t="e">
        <f>#REF!</f>
        <v>#REF!</v>
      </c>
      <c r="AK4" s="48" t="s">
        <v>5372</v>
      </c>
      <c r="AL4" s="48" t="e">
        <f>#REF!</f>
        <v>#REF!</v>
      </c>
      <c r="AM4" s="48" t="e">
        <f>IF(AL4="they"," were"," was")</f>
        <v>#REF!</v>
      </c>
      <c r="AN4" s="245" t="s">
        <v>5430</v>
      </c>
      <c r="AO4" s="48" t="e">
        <f>#REF!</f>
        <v>#REF!</v>
      </c>
      <c r="AP4" s="48" t="s">
        <v>5373</v>
      </c>
      <c r="AQ4" s="48" t="e">
        <f>#REF!</f>
        <v>#REF!</v>
      </c>
      <c r="AR4" s="48" t="s">
        <v>5374</v>
      </c>
      <c r="AS4" s="48" t="e">
        <f>#REF!</f>
        <v>#REF!</v>
      </c>
      <c r="AT4" s="48" t="s">
        <v>5375</v>
      </c>
      <c r="AX4" s="854"/>
    </row>
    <row r="5" spans="1:70" ht="19.75" customHeight="1" x14ac:dyDescent="0.3">
      <c r="A5" s="839"/>
      <c r="B5" s="1169"/>
      <c r="C5" s="1169"/>
      <c r="D5" s="1169"/>
      <c r="E5" s="840"/>
      <c r="F5" s="230"/>
      <c r="AN5" s="245"/>
    </row>
    <row r="6" spans="1:70" ht="20" customHeight="1" x14ac:dyDescent="0.3">
      <c r="A6" s="839"/>
      <c r="B6" s="1169" t="str">
        <f>'EIF draft E01'!B6:D8</f>
        <v>Next, fill out the form below. After filling in every field, these instructions turn into a notification of verifiable innocence. Once verified, it changes again to a notification of verified innocence. First, we check if "verifiable innocence" is enough.</v>
      </c>
      <c r="C6" s="1169"/>
      <c r="D6" s="1169"/>
      <c r="E6" s="840"/>
      <c r="F6" s="230"/>
      <c r="AD6" s="642" t="e">
        <f>IF(AD$1=AI$1,AF6,IF(AD$1=AQ$1,AH6,IF(AD$1=BA$1,AO6,"")))</f>
        <v>#REF!</v>
      </c>
      <c r="AE6" s="245" t="s">
        <v>885</v>
      </c>
      <c r="AF6" s="230" t="s">
        <v>5435</v>
      </c>
      <c r="AG6" s="245" t="s">
        <v>885</v>
      </c>
      <c r="AH6" s="813" t="e">
        <f>CONCATENATE(AI6,AJ6,AK6,AL6,AM6)</f>
        <v>#REF!</v>
      </c>
      <c r="AI6" s="48" t="s">
        <v>5371</v>
      </c>
      <c r="AJ6" s="48" t="e">
        <f>#REF!</f>
        <v>#REF!</v>
      </c>
      <c r="AK6" s="48" t="e">
        <f>#REF!</f>
        <v>#REF!</v>
      </c>
      <c r="AN6" s="245" t="s">
        <v>885</v>
      </c>
      <c r="AO6" s="854"/>
    </row>
    <row r="7" spans="1:70" ht="20" customHeight="1" x14ac:dyDescent="0.3">
      <c r="A7" s="839"/>
      <c r="B7" s="1169"/>
      <c r="C7" s="1169"/>
      <c r="D7" s="1169"/>
      <c r="E7" s="840"/>
      <c r="F7" s="230"/>
      <c r="AD7" s="642" t="e">
        <f>IF(AD$1=AI$1,AF7,IF(AD$1=AQ$1,AH7,IF(AD$1=BA$1,AO7,"")))</f>
        <v>#REF!</v>
      </c>
      <c r="AE7" s="245" t="s">
        <v>885</v>
      </c>
      <c r="AF7" s="230"/>
      <c r="AG7" s="245" t="s">
        <v>885</v>
      </c>
      <c r="AH7" s="813" t="str">
        <f>CONCATENATE(AI7,AJ7,AK7,AL7,AM7)</f>
        <v>― Most admit to the crime while, at least initially, denying the harm they caused.</v>
      </c>
      <c r="AI7" s="48" t="s">
        <v>5376</v>
      </c>
      <c r="AN7" s="245" t="s">
        <v>885</v>
      </c>
      <c r="AO7" s="854"/>
      <c r="BK7" s="245" t="s">
        <v>5415</v>
      </c>
    </row>
    <row r="8" spans="1:70" ht="13.75" customHeight="1" x14ac:dyDescent="0.3">
      <c r="A8" s="839"/>
      <c r="B8" s="1169"/>
      <c r="C8" s="1169"/>
      <c r="D8" s="1169"/>
      <c r="E8" s="840"/>
      <c r="F8" s="230"/>
      <c r="AN8" s="245"/>
    </row>
    <row r="9" spans="1:70" ht="15" customHeight="1" x14ac:dyDescent="0.3">
      <c r="A9" s="839"/>
      <c r="B9" s="841" t="str">
        <f>'EIF draft E01'!B9</f>
        <v>Basic instructions:</v>
      </c>
      <c r="C9" s="840"/>
      <c r="D9" s="840"/>
      <c r="E9" s="840"/>
      <c r="F9" s="230"/>
      <c r="AD9" s="642" t="e">
        <f>IF(AD$1=AI$1,AF9,IF(AD$1=AQ$1,AH9,IF(AD$1=BA$1,AO9,"")))</f>
        <v>#REF!</v>
      </c>
      <c r="AE9" s="245" t="s">
        <v>885</v>
      </c>
      <c r="AF9" s="230" t="s">
        <v>5427</v>
      </c>
      <c r="AG9" s="245" t="s">
        <v>885</v>
      </c>
      <c r="AH9" s="813" t="str">
        <f>CONCATENATE(AI9,AJ9,AK9,AL9,AM9)</f>
        <v>PLEASE BE INFORMED that felons or prisoners rarely claim full or actual innocence.</v>
      </c>
      <c r="AI9" s="48" t="s">
        <v>5378</v>
      </c>
      <c r="AN9" s="245" t="s">
        <v>885</v>
      </c>
      <c r="AO9" s="854"/>
      <c r="BK9" s="642" t="e">
        <f>IF(BN9="","",CONCATENATE(BM9,BN9,BO9))</f>
        <v>#REF!</v>
      </c>
      <c r="BL9" s="844" t="e">
        <f>#REF!</f>
        <v>#REF!</v>
      </c>
      <c r="BM9" s="48" t="s">
        <v>5383</v>
      </c>
      <c r="BN9" s="642" t="e">
        <f>#REF!</f>
        <v>#REF!</v>
      </c>
    </row>
    <row r="10" spans="1:70" ht="15" customHeight="1" x14ac:dyDescent="0.3">
      <c r="A10" s="839"/>
      <c r="B10" s="841" t="str">
        <f>'EIF draft E01'!B10</f>
        <v>1. Fill in each white field with your best answer. Most fields use dropdown menus.</v>
      </c>
      <c r="C10" s="840"/>
      <c r="D10" s="840"/>
      <c r="E10" s="840"/>
      <c r="F10" s="230"/>
      <c r="AD10" s="642" t="e">
        <f t="shared" ref="AD10:AD36" si="0">IF(AD$1=AI$1,AF10,IF(AD$1=AQ$1,AH10,IF(AD$1=BA$1,AO10,"")))</f>
        <v>#REF!</v>
      </c>
      <c r="AE10" s="245" t="s">
        <v>885</v>
      </c>
      <c r="AF10" s="230" t="s">
        <v>5428</v>
      </c>
      <c r="AG10" s="245" t="s">
        <v>885</v>
      </c>
      <c r="AH10" s="813" t="str">
        <f>CONCATENATE(AI10,AJ10,AK10,AL10,AM10)</f>
        <v>― Most admit to the charged criminal activity while denying it caused harm.</v>
      </c>
      <c r="AI10" s="48" t="s">
        <v>5433</v>
      </c>
      <c r="AN10" s="245" t="s">
        <v>885</v>
      </c>
      <c r="AO10" s="854"/>
      <c r="BK10" s="642" t="e">
        <f t="shared" ref="BK10:BK19" si="1">IF(BN10="","",CONCATENATE(BM10,BN10,BO10))</f>
        <v>#REF!</v>
      </c>
      <c r="BL10" s="844" t="e">
        <f>#REF!</f>
        <v>#REF!</v>
      </c>
      <c r="BM10" s="48" t="s">
        <v>5383</v>
      </c>
      <c r="BN10" s="642" t="e">
        <f>#REF!</f>
        <v>#REF!</v>
      </c>
    </row>
    <row r="11" spans="1:70" ht="15" customHeight="1" x14ac:dyDescent="0.3">
      <c r="A11" s="839"/>
      <c r="B11" s="841" t="str">
        <f>'EIF draft E01'!B11</f>
        <v xml:space="preserve">2. After filling in item #70, the last item to answer, save this document. </v>
      </c>
      <c r="C11" s="840"/>
      <c r="D11" s="840"/>
      <c r="E11" s="840"/>
      <c r="F11" s="230"/>
      <c r="AD11" s="642" t="e">
        <f t="shared" si="0"/>
        <v>#REF!</v>
      </c>
      <c r="AE11" s="245" t="s">
        <v>885</v>
      </c>
      <c r="AF11" s="230" t="s">
        <v>5429</v>
      </c>
      <c r="AG11" s="245" t="s">
        <v>885</v>
      </c>
      <c r="AH11" s="813" t="str">
        <f t="shared" ref="AH11:AH36" si="2">CONCATENATE(AI11,AJ11,AK11,AL11,AM11)</f>
        <v>― Most complain about the harsh punishment for their admitted offenses.</v>
      </c>
      <c r="AI11" s="48" t="s">
        <v>5434</v>
      </c>
      <c r="AN11" s="245" t="s">
        <v>885</v>
      </c>
      <c r="AO11" s="854"/>
      <c r="BK11" s="642" t="e">
        <f t="shared" si="1"/>
        <v>#REF!</v>
      </c>
      <c r="BL11" s="844" t="e">
        <f>#REF!</f>
        <v>#REF!</v>
      </c>
      <c r="BM11" s="48" t="s">
        <v>5383</v>
      </c>
      <c r="BN11" s="642" t="e">
        <f>#REF!</f>
        <v>#REF!</v>
      </c>
    </row>
    <row r="12" spans="1:70" ht="15" customHeight="1" x14ac:dyDescent="0.3">
      <c r="A12" s="839"/>
      <c r="B12" s="841" t="str">
        <f>'EIF draft E01'!B12</f>
        <v>3. Scroll back to the top and review this Notification of Verifiable Innocence.</v>
      </c>
      <c r="C12" s="840"/>
      <c r="D12" s="840"/>
      <c r="E12" s="840"/>
      <c r="F12" s="230"/>
      <c r="AD12" s="642" t="e">
        <f t="shared" si="0"/>
        <v>#REF!</v>
      </c>
      <c r="AE12" s="245" t="s">
        <v>885</v>
      </c>
      <c r="AF12" s="230" t="s">
        <v>5432</v>
      </c>
      <c r="AG12" s="245" t="s">
        <v>885</v>
      </c>
      <c r="AH12" s="813" t="str">
        <f t="shared" si="2"/>
        <v>― Only about 15% claim actual innocence, asserting they played no role in any crime.</v>
      </c>
      <c r="AI12" s="48" t="s">
        <v>5377</v>
      </c>
      <c r="AN12" s="245" t="s">
        <v>885</v>
      </c>
      <c r="AO12" s="854"/>
      <c r="BK12" s="642" t="e">
        <f t="shared" si="1"/>
        <v>#REF!</v>
      </c>
      <c r="BL12" s="844" t="e">
        <f>#REF!</f>
        <v>#REF!</v>
      </c>
      <c r="BM12" s="48" t="s">
        <v>5383</v>
      </c>
      <c r="BN12" s="642" t="e">
        <f>#REF!</f>
        <v>#REF!</v>
      </c>
    </row>
    <row r="13" spans="1:70" ht="15" customHeight="1" x14ac:dyDescent="0.3">
      <c r="A13" s="839"/>
      <c r="B13" s="842"/>
      <c r="C13" s="840"/>
      <c r="D13" s="840"/>
      <c r="E13" s="840"/>
      <c r="F13" s="230"/>
      <c r="AN13" s="245"/>
      <c r="BK13" s="642" t="e">
        <f t="shared" si="1"/>
        <v>#REF!</v>
      </c>
      <c r="BL13" s="844" t="e">
        <f>#REF!</f>
        <v>#REF!</v>
      </c>
      <c r="BM13" s="48" t="s">
        <v>5383</v>
      </c>
      <c r="BN13" s="642" t="e">
        <f>#REF!</f>
        <v>#REF!</v>
      </c>
    </row>
    <row r="14" spans="1:70" ht="15" customHeight="1" thickBot="1" x14ac:dyDescent="0.35">
      <c r="A14" s="839"/>
      <c r="B14" s="841" t="str">
        <f>'EIF draft E01'!B14</f>
        <v>Save each tab as a PDF that you can send online or print out:</v>
      </c>
      <c r="C14" s="840"/>
      <c r="D14" s="840"/>
      <c r="E14" s="840"/>
      <c r="F14" s="230"/>
      <c r="AD14" s="642" t="e">
        <f t="shared" si="0"/>
        <v>#REF!</v>
      </c>
      <c r="AE14" s="245" t="s">
        <v>885</v>
      </c>
      <c r="AF14" s="230" t="s">
        <v>5427</v>
      </c>
      <c r="AG14" s="245" t="s">
        <v>885</v>
      </c>
      <c r="AH14" s="813" t="e">
        <f t="shared" si="2"/>
        <v>#REF!</v>
      </c>
      <c r="AI14" s="48" t="s">
        <v>5394</v>
      </c>
      <c r="AJ14" s="48" t="e">
        <f>#REF!</f>
        <v>#REF!</v>
      </c>
      <c r="AK14" s="245" t="s">
        <v>5395</v>
      </c>
      <c r="AN14" s="245" t="s">
        <v>885</v>
      </c>
      <c r="AO14" s="854"/>
      <c r="BK14" s="642" t="e">
        <f t="shared" si="1"/>
        <v>#REF!</v>
      </c>
      <c r="BL14" s="844" t="e">
        <f>#REF!</f>
        <v>#REF!</v>
      </c>
      <c r="BM14" s="48" t="s">
        <v>5383</v>
      </c>
      <c r="BN14" s="642" t="e">
        <f>#REF!</f>
        <v>#REF!</v>
      </c>
    </row>
    <row r="15" spans="1:70" ht="15" customHeight="1" thickBot="1" x14ac:dyDescent="0.35">
      <c r="A15" s="839"/>
      <c r="B15" s="880" t="str">
        <f>'EIF draft E01'!B15:D15</f>
        <v>1. Start with the NOVI tab. Select the NOVI tab below. Review to spot any mistakes.</v>
      </c>
      <c r="C15" s="840"/>
      <c r="D15" s="840"/>
      <c r="E15" s="840"/>
      <c r="F15" s="230"/>
      <c r="AD15" s="642" t="e">
        <f t="shared" si="0"/>
        <v>#REF!</v>
      </c>
      <c r="AE15" s="245" t="s">
        <v>885</v>
      </c>
      <c r="AF15" s="230" t="s">
        <v>5436</v>
      </c>
      <c r="AG15" s="245" t="s">
        <v>885</v>
      </c>
      <c r="AH15" s="813" t="s">
        <v>5458</v>
      </c>
      <c r="AI15" s="855" t="s">
        <v>5383</v>
      </c>
      <c r="AJ15" s="855" t="s">
        <v>5389</v>
      </c>
      <c r="AK15" s="855"/>
      <c r="AL15" s="855"/>
      <c r="AM15" s="855"/>
      <c r="AN15" s="245" t="s">
        <v>885</v>
      </c>
      <c r="AO15" s="813" t="str">
        <f>AH15</f>
        <v>SELECT FROM DROPDOWN LIST</v>
      </c>
      <c r="BK15" s="642" t="e">
        <f t="shared" si="1"/>
        <v>#REF!</v>
      </c>
      <c r="BL15" s="844" t="e">
        <f>#REF!</f>
        <v>#REF!</v>
      </c>
      <c r="BM15" s="48" t="s">
        <v>5383</v>
      </c>
      <c r="BN15" s="642" t="e">
        <f>#REF!</f>
        <v>#REF!</v>
      </c>
    </row>
    <row r="16" spans="1:70" ht="15" customHeight="1" thickBot="1" x14ac:dyDescent="0.35">
      <c r="A16" s="839"/>
      <c r="B16" s="880" t="str">
        <f>'EIF draft E01'!B16:D16</f>
        <v>2. Come back here to correct any mistakes you find. Then click Save.</v>
      </c>
      <c r="C16" s="840"/>
      <c r="D16" s="840"/>
      <c r="E16" s="840"/>
      <c r="F16" s="230"/>
      <c r="AD16" s="642" t="e">
        <f t="shared" si="0"/>
        <v>#REF!</v>
      </c>
      <c r="AE16" s="245" t="s">
        <v>885</v>
      </c>
      <c r="AF16" s="230" t="s">
        <v>5437</v>
      </c>
      <c r="AG16" s="245" t="s">
        <v>885</v>
      </c>
      <c r="AH16" s="813" t="s">
        <v>5458</v>
      </c>
      <c r="AI16" s="855" t="s">
        <v>5383</v>
      </c>
      <c r="AJ16" s="855" t="s">
        <v>5390</v>
      </c>
      <c r="AK16" s="855"/>
      <c r="AL16" s="855"/>
      <c r="AM16" s="855"/>
      <c r="AN16" s="245" t="s">
        <v>885</v>
      </c>
      <c r="AO16" s="813" t="str">
        <f t="shared" ref="AO16:AO21" si="3">AH16</f>
        <v>SELECT FROM DROPDOWN LIST</v>
      </c>
      <c r="BK16" s="642" t="e">
        <f t="shared" si="1"/>
        <v>#REF!</v>
      </c>
      <c r="BL16" s="844" t="e">
        <f>#REF!</f>
        <v>#REF!</v>
      </c>
      <c r="BM16" s="48" t="s">
        <v>5383</v>
      </c>
      <c r="BN16" s="642" t="e">
        <f>#REF!</f>
        <v>#REF!</v>
      </c>
    </row>
    <row r="17" spans="1:66" ht="15" customHeight="1" thickBot="1" x14ac:dyDescent="0.35">
      <c r="A17" s="839"/>
      <c r="B17" s="880" t="str">
        <f>'EIF draft E01'!B17:D17</f>
        <v>3. Select the File menu. Click on Save As. Choose a location on your device.</v>
      </c>
      <c r="C17" s="840"/>
      <c r="D17" s="840"/>
      <c r="E17" s="840"/>
      <c r="F17" s="230"/>
      <c r="AD17" s="642" t="e">
        <f t="shared" si="0"/>
        <v>#REF!</v>
      </c>
      <c r="AE17" s="245" t="s">
        <v>885</v>
      </c>
      <c r="AF17" s="230" t="s">
        <v>5438</v>
      </c>
      <c r="AG17" s="245" t="s">
        <v>885</v>
      </c>
      <c r="AH17" s="813" t="s">
        <v>5458</v>
      </c>
      <c r="AI17" s="855" t="s">
        <v>5383</v>
      </c>
      <c r="AJ17" s="855" t="s">
        <v>5391</v>
      </c>
      <c r="AK17" s="855"/>
      <c r="AL17" s="855"/>
      <c r="AM17" s="855"/>
      <c r="AN17" s="245" t="s">
        <v>885</v>
      </c>
      <c r="AO17" s="813" t="str">
        <f t="shared" si="3"/>
        <v>SELECT FROM DROPDOWN LIST</v>
      </c>
      <c r="BK17" s="642" t="e">
        <f t="shared" si="1"/>
        <v>#REF!</v>
      </c>
      <c r="BM17" s="48" t="s">
        <v>5383</v>
      </c>
      <c r="BN17" s="813" t="e">
        <f>#REF!</f>
        <v>#REF!</v>
      </c>
    </row>
    <row r="18" spans="1:66" ht="15" customHeight="1" thickBot="1" x14ac:dyDescent="0.35">
      <c r="A18" s="839"/>
      <c r="B18" s="880" t="str">
        <f>'EIF draft E01'!B18:D18</f>
        <v>4. Below File name, click Save as type dropdown list and select “PDF (*.pdf)”.</v>
      </c>
      <c r="C18" s="840"/>
      <c r="D18" s="840"/>
      <c r="E18" s="840"/>
      <c r="F18" s="230"/>
      <c r="AD18" s="642" t="e">
        <f t="shared" si="0"/>
        <v>#REF!</v>
      </c>
      <c r="AE18" s="245" t="s">
        <v>885</v>
      </c>
      <c r="AF18" s="230" t="s">
        <v>5439</v>
      </c>
      <c r="AG18" s="245" t="s">
        <v>885</v>
      </c>
      <c r="AH18" s="813" t="s">
        <v>5458</v>
      </c>
      <c r="AN18" s="245" t="s">
        <v>885</v>
      </c>
      <c r="AO18" s="813" t="str">
        <f t="shared" si="3"/>
        <v>SELECT FROM DROPDOWN LIST</v>
      </c>
      <c r="BK18" s="642" t="e">
        <f t="shared" si="1"/>
        <v>#REF!</v>
      </c>
      <c r="BM18" s="48" t="s">
        <v>5383</v>
      </c>
      <c r="BN18" s="813" t="e">
        <f>#REF!</f>
        <v>#REF!</v>
      </c>
    </row>
    <row r="19" spans="1:66" ht="15" customHeight="1" thickBot="1" x14ac:dyDescent="0.35">
      <c r="A19" s="839"/>
      <c r="B19" s="880" t="str">
        <f>'EIF draft E01'!B19:D19</f>
        <v>5. Click the Save button at the lower right of the dialog box.</v>
      </c>
      <c r="C19" s="840"/>
      <c r="D19" s="840"/>
      <c r="E19" s="840"/>
      <c r="F19" s="230"/>
      <c r="AD19" s="642" t="e">
        <f t="shared" si="0"/>
        <v>#REF!</v>
      </c>
      <c r="AE19" s="245" t="s">
        <v>885</v>
      </c>
      <c r="AF19" s="230" t="s">
        <v>5440</v>
      </c>
      <c r="AG19" s="245" t="s">
        <v>885</v>
      </c>
      <c r="AH19" s="813" t="s">
        <v>5458</v>
      </c>
      <c r="AN19" s="245" t="s">
        <v>885</v>
      </c>
      <c r="AO19" s="813" t="str">
        <f t="shared" si="3"/>
        <v>SELECT FROM DROPDOWN LIST</v>
      </c>
      <c r="BK19" s="642" t="e">
        <f t="shared" si="1"/>
        <v>#REF!</v>
      </c>
      <c r="BM19" s="48" t="s">
        <v>5383</v>
      </c>
      <c r="BN19" s="813" t="e">
        <f>#REF!</f>
        <v>#REF!</v>
      </c>
    </row>
    <row r="20" spans="1:66" ht="15" customHeight="1" thickBot="1" x14ac:dyDescent="0.35">
      <c r="A20" s="839"/>
      <c r="B20" s="880" t="str">
        <f>'EIF draft E01'!B20:D20</f>
        <v xml:space="preserve">6. Review your saved version in your Acrobat PDF Reader. </v>
      </c>
      <c r="C20" s="840"/>
      <c r="D20" s="840"/>
      <c r="E20" s="840"/>
      <c r="F20" s="230"/>
      <c r="AD20" s="642" t="e">
        <f t="shared" si="0"/>
        <v>#REF!</v>
      </c>
      <c r="AE20" s="245" t="s">
        <v>885</v>
      </c>
      <c r="AF20" s="230" t="s">
        <v>5441</v>
      </c>
      <c r="AG20" s="245" t="s">
        <v>885</v>
      </c>
      <c r="AH20" s="813" t="s">
        <v>5458</v>
      </c>
      <c r="AN20" s="245" t="s">
        <v>885</v>
      </c>
      <c r="AO20" s="813" t="str">
        <f t="shared" si="3"/>
        <v>SELECT FROM DROPDOWN LIST</v>
      </c>
      <c r="BK20" s="642" t="e">
        <f>IF(BN20="","",CONCATENATE(BM20,BN20,BO20))</f>
        <v>#REF!</v>
      </c>
      <c r="BM20" s="48" t="s">
        <v>5383</v>
      </c>
      <c r="BN20" s="813" t="e">
        <f>#REF!</f>
        <v>#REF!</v>
      </c>
    </row>
    <row r="21" spans="1:66" ht="15" customHeight="1" thickBot="1" x14ac:dyDescent="0.35">
      <c r="A21" s="839"/>
      <c r="B21" s="880" t="str">
        <f>'EIF draft E01'!B21:D21</f>
        <v>Repeat these step to save the other tabs as a PDF: COVI, EIR, &amp; CQR.</v>
      </c>
      <c r="C21" s="840"/>
      <c r="D21" s="840"/>
      <c r="E21" s="840"/>
      <c r="F21" s="230"/>
      <c r="AD21" s="642" t="e">
        <f t="shared" si="0"/>
        <v>#REF!</v>
      </c>
      <c r="AE21" s="245" t="s">
        <v>885</v>
      </c>
      <c r="AF21" s="230" t="s">
        <v>5442</v>
      </c>
      <c r="AG21" s="245" t="s">
        <v>885</v>
      </c>
      <c r="AH21" s="813" t="s">
        <v>5458</v>
      </c>
      <c r="AN21" s="245" t="s">
        <v>885</v>
      </c>
      <c r="AO21" s="813" t="str">
        <f t="shared" si="3"/>
        <v>SELECT FROM DROPDOWN LIST</v>
      </c>
      <c r="BK21" s="642" t="e">
        <f>IF(BN21="","",CONCATENATE(BM21,BN21,BO21))</f>
        <v>#REF!</v>
      </c>
      <c r="BM21" s="48" t="s">
        <v>5383</v>
      </c>
      <c r="BN21" s="813" t="e">
        <f>#REF!</f>
        <v>#REF!</v>
      </c>
    </row>
    <row r="22" spans="1:66" ht="15" customHeight="1" x14ac:dyDescent="0.3">
      <c r="A22" s="839"/>
      <c r="B22" s="841" t="str">
        <f>'EIF draft E01'!B22</f>
        <v>The default setting here lets you print this whole spreadsheet through the last page.</v>
      </c>
      <c r="C22" s="840"/>
      <c r="D22" s="840"/>
      <c r="E22" s="840"/>
      <c r="F22" s="230"/>
      <c r="AD22" s="642" t="e">
        <f t="shared" si="0"/>
        <v>#REF!</v>
      </c>
      <c r="AE22" s="245" t="s">
        <v>885</v>
      </c>
      <c r="AF22" s="230" t="s">
        <v>5462</v>
      </c>
      <c r="AG22" s="245" t="s">
        <v>885</v>
      </c>
      <c r="AH22" s="813" t="e">
        <f t="shared" si="2"/>
        <v>#REF!</v>
      </c>
      <c r="AI22" s="48" t="s">
        <v>5404</v>
      </c>
      <c r="AJ22" s="48" t="e">
        <f>#REF!</f>
        <v>#REF!</v>
      </c>
      <c r="AK22" s="48" t="s">
        <v>5405</v>
      </c>
      <c r="AN22" s="245" t="s">
        <v>885</v>
      </c>
      <c r="AO22" s="854"/>
      <c r="BK22" s="642" t="e">
        <f>IF(BN22="","",CONCATENATE(BM22,BN22,BO22))</f>
        <v>#REF!</v>
      </c>
      <c r="BM22" s="48" t="s">
        <v>5383</v>
      </c>
      <c r="BN22" s="813" t="e">
        <f>#REF!</f>
        <v>#REF!</v>
      </c>
    </row>
    <row r="23" spans="1:66" ht="15" customHeight="1" x14ac:dyDescent="0.3">
      <c r="A23" s="839"/>
      <c r="B23" s="841"/>
      <c r="C23" s="840"/>
      <c r="D23" s="840"/>
      <c r="E23" s="840"/>
      <c r="F23" s="230"/>
      <c r="AN23" s="245"/>
      <c r="BK23" s="642" t="e">
        <f>IF(BN23="","",CONCATENATE(BM23,BN23,BO23))</f>
        <v>#REF!</v>
      </c>
      <c r="BM23" s="48" t="s">
        <v>5383</v>
      </c>
      <c r="BN23" s="813" t="e">
        <f>#REF!</f>
        <v>#REF!</v>
      </c>
    </row>
    <row r="24" spans="1:66" ht="15" customHeight="1" thickBot="1" x14ac:dyDescent="0.35">
      <c r="A24" s="839"/>
      <c r="B24" s="841" t="str">
        <f>'EIF draft E01'!B24</f>
        <v>Potential uses for your Notification and Certificate of Innocence.</v>
      </c>
      <c r="C24" s="840"/>
      <c r="D24" s="840"/>
      <c r="E24" s="840"/>
      <c r="F24" s="230"/>
      <c r="AD24" s="642" t="e">
        <f t="shared" si="0"/>
        <v>#REF!</v>
      </c>
      <c r="AE24" s="245" t="s">
        <v>885</v>
      </c>
      <c r="AF24" s="230" t="s">
        <v>5443</v>
      </c>
      <c r="AG24" s="245" t="s">
        <v>885</v>
      </c>
      <c r="AH24" s="813" t="str">
        <f t="shared" si="2"/>
        <v>PLEASE BE INFORMED of the scope of the problem of wrongful convictions in the U.S.</v>
      </c>
      <c r="AI24" s="48" t="s">
        <v>5381</v>
      </c>
      <c r="AN24" s="245" t="s">
        <v>885</v>
      </c>
      <c r="AO24" s="854"/>
      <c r="BK24" s="642" t="e">
        <f>IF(BN24="","",CONCATENATE(BM24,BN24,BO24))</f>
        <v>#REF!</v>
      </c>
      <c r="BM24" s="48" t="s">
        <v>5383</v>
      </c>
      <c r="BN24" s="813" t="e">
        <f>#REF!</f>
        <v>#REF!</v>
      </c>
    </row>
    <row r="25" spans="1:66" ht="15" customHeight="1" thickBot="1" x14ac:dyDescent="0.35">
      <c r="A25" s="839"/>
      <c r="B25" s="880" t="str">
        <f>'EIF draft E01'!B25:D25</f>
        <v>1. If still incarcerated, send to an innocence project when asking for their help.</v>
      </c>
      <c r="C25" s="840"/>
      <c r="D25" s="840"/>
      <c r="E25" s="840"/>
      <c r="F25" s="230"/>
      <c r="AD25" s="642" t="e">
        <f t="shared" si="0"/>
        <v>#REF!</v>
      </c>
      <c r="AE25" s="245" t="s">
        <v>885</v>
      </c>
      <c r="AF25" s="230" t="s">
        <v>5444</v>
      </c>
      <c r="AG25" s="245" t="s">
        <v>885</v>
      </c>
      <c r="AH25" s="813" t="str">
        <f t="shared" si="2"/>
        <v>― The volume of criminal cases police and prosecutors process often tempt costly shortcuts.</v>
      </c>
      <c r="AI25" s="48" t="s">
        <v>5388</v>
      </c>
      <c r="AN25" s="245" t="s">
        <v>885</v>
      </c>
      <c r="AO25" s="854"/>
    </row>
    <row r="26" spans="1:66" ht="15" customHeight="1" thickBot="1" x14ac:dyDescent="0.35">
      <c r="A26" s="839"/>
      <c r="B26" s="880" t="str">
        <f>'EIF draft E01'!B26:D26</f>
        <v>2. If still incarcerated, send to the CIU or DA to demonstrate grounds for review.</v>
      </c>
      <c r="C26" s="840"/>
      <c r="D26" s="840"/>
      <c r="E26" s="840"/>
      <c r="F26" s="230"/>
      <c r="AD26" s="642" t="e">
        <f t="shared" si="0"/>
        <v>#REF!</v>
      </c>
      <c r="AE26" s="245" t="s">
        <v>885</v>
      </c>
      <c r="AF26" s="230" t="s">
        <v>5445</v>
      </c>
      <c r="AG26" s="245" t="s">
        <v>885</v>
      </c>
      <c r="AH26" s="813" t="str">
        <f t="shared" si="2"/>
        <v xml:space="preserve">― Our judicial system seeks a fair process more than measurably just outcomes or impacts. </v>
      </c>
      <c r="AI26" s="48" t="s">
        <v>5386</v>
      </c>
      <c r="AN26" s="245" t="s">
        <v>885</v>
      </c>
      <c r="AO26" s="854"/>
    </row>
    <row r="27" spans="1:66" ht="15" customHeight="1" thickBot="1" x14ac:dyDescent="0.35">
      <c r="A27" s="839"/>
      <c r="B27" s="880" t="str">
        <f>'EIF draft E01'!B27:D27</f>
        <v>3. If post-incarcerated, send to prospect employer when they conduct a background check.</v>
      </c>
      <c r="C27" s="840"/>
      <c r="D27" s="840"/>
      <c r="E27" s="840"/>
      <c r="F27" s="230"/>
      <c r="AD27" s="642" t="e">
        <f t="shared" si="0"/>
        <v>#REF!</v>
      </c>
      <c r="AE27" s="245" t="s">
        <v>885</v>
      </c>
      <c r="AF27" s="230" t="s">
        <v>5446</v>
      </c>
      <c r="AG27" s="245" t="s">
        <v>885</v>
      </c>
      <c r="AH27" s="813" t="str">
        <f t="shared" si="2"/>
        <v>― The appellate process routinely misses innocence later discovered by DNA or other means.</v>
      </c>
      <c r="AI27" s="48" t="s">
        <v>5380</v>
      </c>
      <c r="AN27" s="245" t="s">
        <v>885</v>
      </c>
      <c r="AO27" s="854"/>
    </row>
    <row r="28" spans="1:66" ht="15" customHeight="1" thickBot="1" x14ac:dyDescent="0.35">
      <c r="A28" s="839"/>
      <c r="B28" s="880" t="str">
        <f>'EIF draft E01'!B28:D28</f>
        <v>4. If post-incarcerated, accompany a lease application for housing.</v>
      </c>
      <c r="C28" s="840"/>
      <c r="D28" s="840"/>
      <c r="E28" s="840"/>
      <c r="F28" s="230"/>
      <c r="AD28" s="642" t="e">
        <f t="shared" si="0"/>
        <v>#REF!</v>
      </c>
      <c r="AE28" s="245" t="s">
        <v>885</v>
      </c>
      <c r="AF28" s="230" t="s">
        <v>5447</v>
      </c>
      <c r="AG28" s="245" t="s">
        <v>885</v>
      </c>
      <c r="AH28" s="813" t="str">
        <f t="shared" si="2"/>
        <v>― Research finds up to 15% are wrongly convicted, while only about 15% claim full innocence.</v>
      </c>
      <c r="AI28" s="48" t="s">
        <v>5379</v>
      </c>
      <c r="AN28" s="245" t="s">
        <v>885</v>
      </c>
      <c r="AO28" s="854"/>
    </row>
    <row r="29" spans="1:66" ht="15" customHeight="1" thickBot="1" x14ac:dyDescent="0.35">
      <c r="A29" s="839"/>
      <c r="B29" s="880" t="str">
        <f>'EIF draft E01'!B29:D29</f>
        <v>5. Any other way you can think to notify those who would wrongly discriminate against you.</v>
      </c>
      <c r="C29" s="840"/>
      <c r="D29" s="840"/>
      <c r="E29" s="840"/>
      <c r="F29" s="230"/>
      <c r="AD29" s="642" t="e">
        <f t="shared" si="0"/>
        <v>#REF!</v>
      </c>
      <c r="AE29" s="245" t="s">
        <v>885</v>
      </c>
      <c r="AF29" s="230" t="s">
        <v>5448</v>
      </c>
      <c r="AG29" s="245" t="s">
        <v>885</v>
      </c>
      <c r="AH29" s="813" t="str">
        <f t="shared" si="2"/>
        <v>― Innocence projects and conviction review units receive more requests than they can serve.</v>
      </c>
      <c r="AI29" s="48" t="s">
        <v>5387</v>
      </c>
      <c r="AN29" s="245" t="s">
        <v>885</v>
      </c>
      <c r="AO29" s="854"/>
    </row>
    <row r="30" spans="1:66" ht="15" customHeight="1" x14ac:dyDescent="0.3">
      <c r="A30" s="839"/>
      <c r="B30" s="840"/>
      <c r="C30" s="840"/>
      <c r="D30" s="840"/>
      <c r="E30" s="840"/>
      <c r="F30" s="230"/>
      <c r="AN30" s="245"/>
    </row>
    <row r="31" spans="1:66" ht="15" customHeight="1" thickBot="1" x14ac:dyDescent="0.35">
      <c r="A31" s="839"/>
      <c r="B31" s="841" t="str">
        <f>'EIF draft E01'!B31</f>
        <v>Receive support how to best use this tool. Explore our support and advocacy options.</v>
      </c>
      <c r="C31" s="840"/>
      <c r="D31" s="840"/>
      <c r="E31" s="840"/>
      <c r="F31" s="230"/>
      <c r="AD31" s="642" t="e">
        <f t="shared" si="0"/>
        <v>#REF!</v>
      </c>
      <c r="AE31" s="245" t="s">
        <v>885</v>
      </c>
      <c r="AF31" s="230" t="s">
        <v>5449</v>
      </c>
      <c r="AG31" s="245" t="s">
        <v>885</v>
      </c>
      <c r="AH31" s="813" t="e">
        <f t="shared" si="2"/>
        <v>#REF!</v>
      </c>
      <c r="AI31" s="48" t="s">
        <v>5421</v>
      </c>
      <c r="AJ31" s="48" t="e">
        <f>#REF!</f>
        <v>#REF!</v>
      </c>
      <c r="AK31" s="245" t="s">
        <v>5382</v>
      </c>
      <c r="AN31" s="245" t="s">
        <v>885</v>
      </c>
      <c r="AO31" s="854"/>
    </row>
    <row r="32" spans="1:66" ht="15" customHeight="1" thickBot="1" x14ac:dyDescent="0.35">
      <c r="A32" s="839"/>
      <c r="B32" s="880" t="str">
        <f>'EIF draft E01'!B32</f>
        <v>1. Join our online forum “Estimated Innocence” to engage others interested in this tool.</v>
      </c>
      <c r="C32" s="840"/>
      <c r="D32" s="840"/>
      <c r="E32" s="840"/>
      <c r="F32" s="230"/>
      <c r="AD32" s="642" t="e">
        <f t="shared" si="0"/>
        <v>#REF!</v>
      </c>
      <c r="AE32" s="245" t="s">
        <v>885</v>
      </c>
      <c r="AF32" s="230" t="s">
        <v>5450</v>
      </c>
      <c r="AG32" s="245" t="s">
        <v>885</v>
      </c>
      <c r="AH32" s="813" t="e">
        <f t="shared" si="2"/>
        <v>#REF!</v>
      </c>
      <c r="AI32" s="245" t="s">
        <v>5383</v>
      </c>
      <c r="AJ32" s="245" t="e">
        <f>#REF!</f>
        <v>#REF!</v>
      </c>
      <c r="AK32" s="245" t="s">
        <v>5423</v>
      </c>
      <c r="AL32" s="48" t="e">
        <f>#REF!</f>
        <v>#REF!</v>
      </c>
      <c r="AM32" s="48" t="s">
        <v>5384</v>
      </c>
      <c r="AN32" s="245" t="s">
        <v>885</v>
      </c>
      <c r="AO32" s="854"/>
    </row>
    <row r="33" spans="1:41" ht="15" customHeight="1" thickBot="1" x14ac:dyDescent="0.35">
      <c r="A33" s="839"/>
      <c r="B33" s="880" t="str">
        <f>'EIF draft E01'!B33</f>
        <v>2. Listen to the Need-Response podcast for insights from the creator of this tool.</v>
      </c>
      <c r="C33" s="840"/>
      <c r="D33" s="840"/>
      <c r="E33" s="840"/>
      <c r="F33" s="230"/>
      <c r="AD33" s="642" t="e">
        <f t="shared" si="0"/>
        <v>#REF!</v>
      </c>
      <c r="AE33" s="245" t="s">
        <v>885</v>
      </c>
      <c r="AF33" s="230" t="s">
        <v>5451</v>
      </c>
      <c r="AG33" s="245" t="s">
        <v>885</v>
      </c>
      <c r="AH33" s="813" t="str">
        <f t="shared" si="2"/>
        <v>― This claim is not yet verified, due largely to economic and familial damage.</v>
      </c>
      <c r="AI33" s="48" t="s">
        <v>5383</v>
      </c>
      <c r="AJ33" s="48" t="s">
        <v>5422</v>
      </c>
      <c r="AN33" s="245" t="s">
        <v>885</v>
      </c>
      <c r="AO33" s="854"/>
    </row>
    <row r="34" spans="1:41" ht="15" customHeight="1" thickBot="1" x14ac:dyDescent="0.35">
      <c r="A34" s="839"/>
      <c r="B34" s="880" t="str">
        <f>'EIF draft E01'!B34</f>
        <v>3. Book a free online session with this tool's creator; donate afterwards.</v>
      </c>
      <c r="C34" s="840"/>
      <c r="D34" s="840"/>
      <c r="E34" s="840"/>
      <c r="F34" s="230"/>
      <c r="AD34" s="642" t="e">
        <f t="shared" si="0"/>
        <v>#REF!</v>
      </c>
      <c r="AE34" s="245" t="s">
        <v>885</v>
      </c>
      <c r="AF34" s="230" t="s">
        <v>5452</v>
      </c>
      <c r="AG34" s="245" t="s">
        <v>885</v>
      </c>
      <c r="AH34" s="813" t="e">
        <f t="shared" si="2"/>
        <v>#REF!</v>
      </c>
      <c r="AI34" s="245" t="s">
        <v>5383</v>
      </c>
      <c r="AJ34" s="245" t="e">
        <f>#REF!</f>
        <v>#REF!</v>
      </c>
      <c r="AK34" s="245" t="s">
        <v>5385</v>
      </c>
      <c r="AN34" s="245" t="s">
        <v>885</v>
      </c>
      <c r="AO34" s="854"/>
    </row>
    <row r="35" spans="1:41" ht="15" customHeight="1" x14ac:dyDescent="0.3">
      <c r="A35" s="839"/>
      <c r="B35" s="840"/>
      <c r="C35" s="840"/>
      <c r="D35" s="840"/>
      <c r="E35" s="840"/>
      <c r="F35" s="230"/>
      <c r="AE35" s="245" t="s">
        <v>885</v>
      </c>
      <c r="AG35" s="245" t="s">
        <v>885</v>
      </c>
      <c r="AI35" s="245" t="s">
        <v>885</v>
      </c>
      <c r="AN35" s="245"/>
    </row>
    <row r="36" spans="1:41" ht="15" customHeight="1" x14ac:dyDescent="0.3">
      <c r="A36" s="839"/>
      <c r="B36" s="1169" t="str">
        <f>'EIF draft E01'!B36:D41</f>
        <v>This is a pioneering tool. You could be among the first to utilize this radical approach. You could help make history. But it comes without any promises. By using this tool, you agree to our terms of use and privacy policy. As a new approach to address the problem of wrongful convictions, you agree we cannot guarantee it will result in exoneration. But it may improve your chances.</v>
      </c>
      <c r="C36" s="1169"/>
      <c r="D36" s="1169"/>
      <c r="E36" s="840"/>
      <c r="F36" s="230"/>
      <c r="AD36" s="642" t="e">
        <f t="shared" si="0"/>
        <v>#REF!</v>
      </c>
      <c r="AE36" s="245" t="s">
        <v>885</v>
      </c>
      <c r="AF36" s="230" t="s">
        <v>5453</v>
      </c>
      <c r="AG36" s="245" t="s">
        <v>885</v>
      </c>
      <c r="AH36" s="813" t="e">
        <f t="shared" si="2"/>
        <v>#REF!</v>
      </c>
      <c r="AI36" s="48" t="s">
        <v>5392</v>
      </c>
      <c r="AJ36" s="48" t="e">
        <f>#REF!</f>
        <v>#REF!</v>
      </c>
      <c r="AK36" s="48" t="s">
        <v>5393</v>
      </c>
      <c r="AN36" s="245" t="s">
        <v>885</v>
      </c>
      <c r="AO36" s="854"/>
    </row>
    <row r="37" spans="1:41" ht="15" customHeight="1" x14ac:dyDescent="0.3">
      <c r="A37" s="839"/>
      <c r="B37" s="1169"/>
      <c r="C37" s="1169"/>
      <c r="D37" s="1169"/>
      <c r="E37" s="840"/>
      <c r="F37" s="230"/>
    </row>
    <row r="38" spans="1:41" ht="15" customHeight="1" x14ac:dyDescent="0.3">
      <c r="A38" s="839"/>
      <c r="B38" s="1169"/>
      <c r="C38" s="1169"/>
      <c r="D38" s="1169"/>
      <c r="E38" s="840"/>
      <c r="F38" s="230"/>
    </row>
    <row r="39" spans="1:41" ht="15" customHeight="1" x14ac:dyDescent="0.3">
      <c r="A39" s="839"/>
      <c r="B39" s="1169"/>
      <c r="C39" s="1169"/>
      <c r="D39" s="1169"/>
      <c r="E39" s="840"/>
      <c r="F39" s="230"/>
    </row>
    <row r="40" spans="1:41" ht="15" customHeight="1" x14ac:dyDescent="0.3">
      <c r="A40" s="839"/>
      <c r="B40" s="1169"/>
      <c r="C40" s="1169"/>
      <c r="D40" s="1169"/>
      <c r="E40" s="840"/>
      <c r="F40" s="230"/>
    </row>
    <row r="41" spans="1:41" ht="15" customHeight="1" x14ac:dyDescent="0.3">
      <c r="A41" s="839"/>
      <c r="B41" s="1169"/>
      <c r="C41" s="1169"/>
      <c r="D41" s="1169"/>
      <c r="E41" s="840"/>
      <c r="F41" s="230"/>
    </row>
    <row r="42" spans="1:41" ht="19" customHeight="1" x14ac:dyDescent="0.3">
      <c r="A42" s="839"/>
      <c r="B42" s="839"/>
      <c r="C42" s="839"/>
      <c r="D42" s="839"/>
      <c r="E42" s="839"/>
      <c r="F42" s="230"/>
    </row>
    <row r="43" spans="1:41" x14ac:dyDescent="0.3">
      <c r="A43" s="4"/>
      <c r="B43" s="4"/>
      <c r="C43" s="4"/>
      <c r="D43" s="4"/>
      <c r="E43" s="4"/>
      <c r="F43" s="4"/>
    </row>
    <row r="44" spans="1:41" x14ac:dyDescent="0.3">
      <c r="A44" s="4"/>
      <c r="B44" s="4"/>
      <c r="C44" s="4"/>
      <c r="D44" s="4"/>
      <c r="E44" s="4"/>
      <c r="F44" s="4"/>
    </row>
    <row r="45" spans="1:41" x14ac:dyDescent="0.3">
      <c r="A45" s="4"/>
      <c r="B45" s="4"/>
      <c r="C45" s="4"/>
      <c r="D45" s="4"/>
      <c r="E45" s="4"/>
      <c r="F45" s="4"/>
    </row>
    <row r="46" spans="1:41" x14ac:dyDescent="0.3">
      <c r="A46" s="4"/>
      <c r="B46" s="4"/>
      <c r="C46" s="4"/>
      <c r="D46" s="4"/>
      <c r="E46" s="4"/>
      <c r="F46" s="4"/>
    </row>
    <row r="47" spans="1:41" x14ac:dyDescent="0.3">
      <c r="A47" s="4"/>
      <c r="B47" s="4"/>
      <c r="C47" s="4"/>
      <c r="D47" s="4"/>
      <c r="E47" s="4"/>
      <c r="F47" s="4"/>
    </row>
    <row r="48" spans="1:41" x14ac:dyDescent="0.3">
      <c r="A48" s="4"/>
      <c r="B48" s="4"/>
      <c r="C48" s="4"/>
      <c r="D48" s="4"/>
      <c r="E48" s="4"/>
      <c r="F48" s="4"/>
    </row>
    <row r="49" spans="1:6" x14ac:dyDescent="0.3">
      <c r="A49" s="4"/>
      <c r="B49" s="4"/>
      <c r="C49" s="4"/>
      <c r="D49" s="4"/>
      <c r="E49" s="4"/>
      <c r="F49" s="4"/>
    </row>
    <row r="50" spans="1:6" x14ac:dyDescent="0.3">
      <c r="A50" s="4"/>
      <c r="B50" s="4"/>
      <c r="C50" s="4"/>
      <c r="D50" s="4"/>
      <c r="E50" s="4"/>
      <c r="F50" s="4"/>
    </row>
    <row r="51" spans="1:6" x14ac:dyDescent="0.3">
      <c r="A51" s="4"/>
      <c r="B51" s="4"/>
      <c r="C51" s="4"/>
      <c r="D51" s="4"/>
      <c r="E51" s="4"/>
      <c r="F51" s="4"/>
    </row>
    <row r="52" spans="1:6" x14ac:dyDescent="0.3">
      <c r="A52" s="4"/>
      <c r="B52" s="4"/>
      <c r="C52" s="4"/>
      <c r="D52" s="4"/>
      <c r="E52" s="4"/>
      <c r="F52" s="4"/>
    </row>
    <row r="53" spans="1:6" x14ac:dyDescent="0.3">
      <c r="A53" s="4"/>
      <c r="B53" s="4"/>
      <c r="C53" s="4"/>
      <c r="D53" s="4"/>
      <c r="E53" s="4"/>
      <c r="F53" s="4"/>
    </row>
    <row r="54" spans="1:6" x14ac:dyDescent="0.3">
      <c r="A54" s="4"/>
      <c r="B54" s="4"/>
      <c r="C54" s="4"/>
      <c r="D54" s="4"/>
      <c r="E54" s="4"/>
      <c r="F54" s="4"/>
    </row>
    <row r="55" spans="1:6" x14ac:dyDescent="0.3">
      <c r="A55" s="4"/>
      <c r="B55" s="4"/>
      <c r="C55" s="4"/>
      <c r="D55" s="4"/>
      <c r="E55" s="4"/>
      <c r="F55" s="4"/>
    </row>
    <row r="56" spans="1:6" x14ac:dyDescent="0.3">
      <c r="A56" s="4"/>
      <c r="B56" s="4"/>
      <c r="C56" s="4"/>
      <c r="D56" s="4"/>
      <c r="E56" s="4"/>
      <c r="F56" s="4"/>
    </row>
    <row r="57" spans="1:6" x14ac:dyDescent="0.3">
      <c r="A57" s="4"/>
      <c r="B57" s="4"/>
      <c r="C57" s="4"/>
      <c r="D57" s="4"/>
      <c r="E57" s="4"/>
      <c r="F57" s="4"/>
    </row>
    <row r="58" spans="1:6" x14ac:dyDescent="0.3">
      <c r="A58" s="4"/>
      <c r="B58" s="4"/>
      <c r="C58" s="4"/>
      <c r="D58" s="4"/>
      <c r="E58" s="4"/>
      <c r="F58" s="4"/>
    </row>
    <row r="59" spans="1:6" x14ac:dyDescent="0.3">
      <c r="A59" s="4"/>
      <c r="B59" s="4"/>
      <c r="C59" s="4"/>
      <c r="D59" s="4"/>
      <c r="E59" s="4"/>
      <c r="F59" s="4"/>
    </row>
    <row r="60" spans="1:6" x14ac:dyDescent="0.3">
      <c r="A60" s="4"/>
      <c r="B60" s="4"/>
      <c r="C60" s="4"/>
      <c r="D60" s="4"/>
      <c r="E60" s="4"/>
      <c r="F60" s="4"/>
    </row>
    <row r="61" spans="1:6" x14ac:dyDescent="0.3">
      <c r="A61" s="4"/>
      <c r="B61" s="4"/>
      <c r="C61" s="4"/>
      <c r="D61" s="4"/>
      <c r="E61" s="4"/>
      <c r="F61" s="4"/>
    </row>
    <row r="62" spans="1:6" x14ac:dyDescent="0.3">
      <c r="A62" s="4"/>
      <c r="B62" s="4"/>
      <c r="C62" s="4"/>
      <c r="D62" s="4"/>
      <c r="E62" s="4"/>
      <c r="F62" s="4"/>
    </row>
    <row r="63" spans="1:6" x14ac:dyDescent="0.3">
      <c r="A63" s="4"/>
      <c r="B63" s="4"/>
      <c r="C63" s="4"/>
      <c r="D63" s="4"/>
      <c r="E63" s="4"/>
      <c r="F63" s="4"/>
    </row>
    <row r="64" spans="1:6" x14ac:dyDescent="0.3">
      <c r="A64" s="4"/>
      <c r="B64" s="4"/>
      <c r="C64" s="4"/>
      <c r="D64" s="4"/>
      <c r="E64" s="4"/>
      <c r="F64" s="4"/>
    </row>
    <row r="65" spans="1:6" x14ac:dyDescent="0.3">
      <c r="A65" s="4"/>
      <c r="B65" s="4"/>
      <c r="C65" s="4"/>
      <c r="D65" s="4"/>
      <c r="E65" s="4"/>
      <c r="F65" s="4"/>
    </row>
    <row r="66" spans="1:6" x14ac:dyDescent="0.3">
      <c r="A66" s="4"/>
      <c r="B66" s="4"/>
      <c r="C66" s="4"/>
      <c r="D66" s="4"/>
      <c r="E66" s="4"/>
      <c r="F66" s="4"/>
    </row>
    <row r="67" spans="1:6" x14ac:dyDescent="0.3">
      <c r="A67" s="4"/>
      <c r="B67" s="4"/>
      <c r="C67" s="4"/>
      <c r="D67" s="4"/>
      <c r="E67" s="4"/>
      <c r="F67" s="4"/>
    </row>
    <row r="68" spans="1:6" x14ac:dyDescent="0.3">
      <c r="A68" s="4"/>
      <c r="B68" s="4"/>
      <c r="C68" s="4"/>
      <c r="D68" s="4"/>
      <c r="E68" s="4"/>
      <c r="F68" s="4"/>
    </row>
    <row r="69" spans="1:6" x14ac:dyDescent="0.3">
      <c r="A69" s="4"/>
      <c r="B69" s="4"/>
      <c r="C69" s="4"/>
      <c r="D69" s="4"/>
      <c r="E69" s="4"/>
      <c r="F69" s="4"/>
    </row>
    <row r="70" spans="1:6" x14ac:dyDescent="0.3">
      <c r="A70" s="4"/>
      <c r="B70" s="4"/>
      <c r="C70" s="4"/>
      <c r="D70" s="4"/>
      <c r="E70" s="4"/>
      <c r="F70" s="4"/>
    </row>
    <row r="71" spans="1:6" x14ac:dyDescent="0.3">
      <c r="A71" s="4"/>
      <c r="B71" s="4"/>
      <c r="C71" s="4"/>
      <c r="D71" s="4"/>
      <c r="E71" s="4"/>
      <c r="F71" s="4"/>
    </row>
    <row r="72" spans="1:6" x14ac:dyDescent="0.3">
      <c r="A72" s="4"/>
      <c r="B72" s="4"/>
      <c r="C72" s="4"/>
      <c r="D72" s="4"/>
      <c r="E72" s="4"/>
      <c r="F72" s="4"/>
    </row>
    <row r="73" spans="1:6" x14ac:dyDescent="0.3">
      <c r="A73" s="4"/>
      <c r="B73" s="4"/>
      <c r="C73" s="4"/>
      <c r="D73" s="4"/>
      <c r="E73" s="4"/>
      <c r="F73" s="4"/>
    </row>
    <row r="74" spans="1:6" x14ac:dyDescent="0.3">
      <c r="A74" s="4"/>
      <c r="B74" s="4"/>
      <c r="C74" s="4"/>
      <c r="D74" s="4"/>
      <c r="E74" s="4"/>
      <c r="F74" s="4"/>
    </row>
    <row r="75" spans="1:6" x14ac:dyDescent="0.3">
      <c r="A75" s="4"/>
      <c r="B75" s="4"/>
      <c r="C75" s="4"/>
      <c r="D75" s="4"/>
      <c r="E75" s="4"/>
      <c r="F75" s="4"/>
    </row>
    <row r="76" spans="1:6" x14ac:dyDescent="0.3">
      <c r="A76" s="4"/>
      <c r="B76" s="4"/>
      <c r="C76" s="4"/>
      <c r="D76" s="4"/>
      <c r="E76" s="4"/>
      <c r="F76" s="4"/>
    </row>
    <row r="77" spans="1:6" x14ac:dyDescent="0.3">
      <c r="A77" s="4"/>
      <c r="B77" s="4"/>
      <c r="C77" s="4"/>
      <c r="D77" s="4"/>
      <c r="E77" s="4"/>
      <c r="F77" s="4"/>
    </row>
    <row r="78" spans="1:6" x14ac:dyDescent="0.3">
      <c r="A78" s="4"/>
      <c r="B78" s="4"/>
      <c r="C78" s="4"/>
      <c r="D78" s="4"/>
      <c r="E78" s="4"/>
      <c r="F78" s="4"/>
    </row>
    <row r="79" spans="1:6" x14ac:dyDescent="0.3">
      <c r="A79" s="4"/>
      <c r="B79" s="4"/>
      <c r="C79" s="4"/>
      <c r="D79" s="4"/>
      <c r="E79" s="4"/>
      <c r="F79" s="4"/>
    </row>
    <row r="80" spans="1:6" x14ac:dyDescent="0.3">
      <c r="A80" s="4"/>
      <c r="B80" s="4"/>
      <c r="C80" s="4"/>
      <c r="D80" s="4"/>
      <c r="E80" s="4"/>
      <c r="F80" s="4"/>
    </row>
    <row r="81" spans="1:6" x14ac:dyDescent="0.3">
      <c r="A81" s="4"/>
      <c r="B81" s="4"/>
      <c r="C81" s="4"/>
      <c r="D81" s="4"/>
      <c r="E81" s="4"/>
      <c r="F81" s="4"/>
    </row>
    <row r="82" spans="1:6" x14ac:dyDescent="0.3">
      <c r="A82" s="4"/>
      <c r="B82" s="4"/>
      <c r="C82" s="4"/>
      <c r="D82" s="4"/>
      <c r="E82" s="4"/>
      <c r="F82" s="4"/>
    </row>
    <row r="83" spans="1:6" x14ac:dyDescent="0.3">
      <c r="A83" s="4"/>
      <c r="B83" s="4"/>
      <c r="C83" s="4"/>
      <c r="D83" s="4"/>
      <c r="E83" s="4"/>
      <c r="F83" s="4"/>
    </row>
    <row r="84" spans="1:6" x14ac:dyDescent="0.3">
      <c r="A84" s="4"/>
      <c r="B84" s="4"/>
      <c r="C84" s="4"/>
      <c r="D84" s="4"/>
      <c r="E84" s="4"/>
      <c r="F84" s="4"/>
    </row>
    <row r="85" spans="1:6" x14ac:dyDescent="0.3">
      <c r="A85" s="4"/>
      <c r="B85" s="4"/>
      <c r="C85" s="4"/>
      <c r="D85" s="4"/>
      <c r="E85" s="4"/>
      <c r="F85" s="4"/>
    </row>
    <row r="86" spans="1:6" x14ac:dyDescent="0.3">
      <c r="A86" s="4"/>
      <c r="B86" s="4"/>
      <c r="C86" s="4"/>
      <c r="D86" s="4"/>
      <c r="E86" s="4"/>
      <c r="F86" s="4"/>
    </row>
    <row r="87" spans="1:6" x14ac:dyDescent="0.3">
      <c r="A87" s="4"/>
      <c r="B87" s="4"/>
      <c r="C87" s="4"/>
      <c r="D87" s="4"/>
      <c r="E87" s="4"/>
      <c r="F87" s="4"/>
    </row>
    <row r="88" spans="1:6" x14ac:dyDescent="0.3">
      <c r="A88" s="4"/>
      <c r="B88" s="4"/>
      <c r="C88" s="4"/>
      <c r="D88" s="4"/>
      <c r="E88" s="4"/>
      <c r="F88" s="4"/>
    </row>
    <row r="89" spans="1:6" x14ac:dyDescent="0.3">
      <c r="A89" s="4"/>
      <c r="B89" s="4"/>
      <c r="C89" s="4"/>
      <c r="D89" s="4"/>
      <c r="E89" s="4"/>
      <c r="F89" s="4"/>
    </row>
    <row r="90" spans="1:6" x14ac:dyDescent="0.3">
      <c r="A90" s="4"/>
      <c r="B90" s="4"/>
      <c r="C90" s="4"/>
      <c r="D90" s="4"/>
      <c r="E90" s="4"/>
      <c r="F90" s="4"/>
    </row>
    <row r="91" spans="1:6" x14ac:dyDescent="0.3">
      <c r="A91" s="4"/>
      <c r="B91" s="4"/>
      <c r="C91" s="4"/>
      <c r="D91" s="4"/>
      <c r="E91" s="4"/>
      <c r="F91" s="4"/>
    </row>
    <row r="92" spans="1:6" x14ac:dyDescent="0.3">
      <c r="A92" s="4"/>
      <c r="B92" s="4"/>
      <c r="C92" s="4"/>
      <c r="D92" s="4"/>
      <c r="E92" s="4"/>
      <c r="F92" s="4"/>
    </row>
    <row r="93" spans="1:6" x14ac:dyDescent="0.3">
      <c r="A93" s="4"/>
      <c r="B93" s="4"/>
      <c r="C93" s="4"/>
      <c r="D93" s="4"/>
      <c r="E93" s="4"/>
      <c r="F93" s="4"/>
    </row>
    <row r="94" spans="1:6" x14ac:dyDescent="0.3">
      <c r="A94" s="4"/>
      <c r="B94" s="4"/>
      <c r="C94" s="4"/>
      <c r="D94" s="4"/>
      <c r="E94" s="4"/>
      <c r="F94" s="4"/>
    </row>
    <row r="95" spans="1:6" x14ac:dyDescent="0.3">
      <c r="A95" s="4"/>
      <c r="B95" s="4"/>
      <c r="C95" s="4"/>
      <c r="D95" s="4"/>
      <c r="E95" s="4"/>
      <c r="F95" s="4"/>
    </row>
    <row r="96" spans="1:6" x14ac:dyDescent="0.3">
      <c r="A96" s="4"/>
      <c r="B96" s="4"/>
      <c r="C96" s="4"/>
      <c r="D96" s="4"/>
      <c r="E96" s="4"/>
      <c r="F96" s="4"/>
    </row>
    <row r="97" spans="1:6" x14ac:dyDescent="0.3">
      <c r="A97" s="4"/>
      <c r="B97" s="4"/>
      <c r="C97" s="4"/>
      <c r="D97" s="4"/>
      <c r="E97" s="4"/>
      <c r="F97" s="4"/>
    </row>
    <row r="98" spans="1:6" x14ac:dyDescent="0.3">
      <c r="A98" s="4"/>
      <c r="B98" s="4"/>
      <c r="C98" s="4"/>
      <c r="D98" s="4"/>
      <c r="E98" s="4"/>
      <c r="F98" s="4"/>
    </row>
    <row r="99" spans="1:6" x14ac:dyDescent="0.3">
      <c r="A99" s="4"/>
      <c r="B99" s="4"/>
      <c r="C99" s="4"/>
      <c r="D99" s="4"/>
      <c r="E99" s="4"/>
      <c r="F99" s="4"/>
    </row>
    <row r="100" spans="1:6" x14ac:dyDescent="0.3">
      <c r="A100" s="4"/>
      <c r="B100" s="4"/>
      <c r="C100" s="4"/>
      <c r="D100" s="4"/>
      <c r="E100" s="4"/>
      <c r="F100" s="4"/>
    </row>
    <row r="101" spans="1:6" x14ac:dyDescent="0.3">
      <c r="A101" s="4"/>
      <c r="B101" s="4"/>
      <c r="C101" s="4"/>
      <c r="D101" s="4"/>
      <c r="E101" s="4"/>
      <c r="F101" s="4"/>
    </row>
    <row r="102" spans="1:6" x14ac:dyDescent="0.3">
      <c r="A102" s="4"/>
      <c r="B102" s="4"/>
      <c r="C102" s="4"/>
      <c r="D102" s="4"/>
      <c r="E102" s="4"/>
      <c r="F102" s="4"/>
    </row>
    <row r="103" spans="1:6" x14ac:dyDescent="0.3">
      <c r="A103" s="4"/>
      <c r="B103" s="4"/>
      <c r="C103" s="4"/>
      <c r="D103" s="4"/>
      <c r="E103" s="4"/>
      <c r="F103" s="4"/>
    </row>
    <row r="104" spans="1:6" x14ac:dyDescent="0.3">
      <c r="A104" s="4"/>
      <c r="B104" s="4"/>
      <c r="C104" s="4"/>
      <c r="D104" s="4"/>
      <c r="E104" s="4"/>
      <c r="F104" s="4"/>
    </row>
    <row r="105" spans="1:6" x14ac:dyDescent="0.3">
      <c r="A105" s="4"/>
      <c r="B105" s="4"/>
      <c r="C105" s="4"/>
      <c r="D105" s="4"/>
      <c r="E105" s="4"/>
      <c r="F105" s="4"/>
    </row>
    <row r="106" spans="1:6" x14ac:dyDescent="0.3">
      <c r="A106" s="4"/>
      <c r="B106" s="4"/>
      <c r="C106" s="4"/>
      <c r="D106" s="4"/>
      <c r="E106" s="4"/>
      <c r="F106" s="4"/>
    </row>
    <row r="107" spans="1:6" x14ac:dyDescent="0.3">
      <c r="A107" s="4"/>
      <c r="B107" s="4"/>
      <c r="C107" s="4"/>
      <c r="D107" s="4"/>
      <c r="E107" s="4"/>
      <c r="F107" s="4"/>
    </row>
    <row r="108" spans="1:6" x14ac:dyDescent="0.3">
      <c r="A108" s="4"/>
      <c r="B108" s="4"/>
      <c r="C108" s="4"/>
      <c r="D108" s="4"/>
      <c r="E108" s="4"/>
      <c r="F108" s="4"/>
    </row>
    <row r="109" spans="1:6" x14ac:dyDescent="0.3">
      <c r="A109" s="4"/>
      <c r="B109" s="4"/>
      <c r="C109" s="4"/>
      <c r="D109" s="4"/>
      <c r="E109" s="4"/>
      <c r="F109" s="4"/>
    </row>
    <row r="110" spans="1:6" x14ac:dyDescent="0.3">
      <c r="A110" s="4"/>
      <c r="B110" s="4"/>
      <c r="C110" s="4"/>
      <c r="D110" s="4"/>
      <c r="E110" s="4"/>
      <c r="F110" s="4"/>
    </row>
    <row r="111" spans="1:6" x14ac:dyDescent="0.3">
      <c r="A111" s="4"/>
      <c r="B111" s="4"/>
      <c r="C111" s="4"/>
      <c r="D111" s="4"/>
      <c r="E111" s="4"/>
      <c r="F111" s="4"/>
    </row>
    <row r="112" spans="1:6" x14ac:dyDescent="0.3">
      <c r="A112" s="4"/>
      <c r="B112" s="4"/>
      <c r="C112" s="4"/>
      <c r="D112" s="4"/>
      <c r="E112" s="4"/>
      <c r="F112" s="4"/>
    </row>
    <row r="113" spans="1:6" x14ac:dyDescent="0.3">
      <c r="A113" s="4"/>
      <c r="B113" s="4"/>
      <c r="C113" s="4"/>
      <c r="D113" s="4"/>
      <c r="E113" s="4"/>
      <c r="F113" s="4"/>
    </row>
    <row r="114" spans="1:6" x14ac:dyDescent="0.3">
      <c r="A114" s="4"/>
      <c r="B114" s="4"/>
      <c r="C114" s="4"/>
      <c r="D114" s="4"/>
      <c r="E114" s="4"/>
      <c r="F114" s="4"/>
    </row>
    <row r="115" spans="1:6" x14ac:dyDescent="0.3">
      <c r="A115" s="4"/>
      <c r="B115" s="4"/>
      <c r="C115" s="4"/>
      <c r="D115" s="4"/>
      <c r="E115" s="4"/>
      <c r="F115" s="4"/>
    </row>
    <row r="116" spans="1:6" x14ac:dyDescent="0.3">
      <c r="A116" s="4"/>
      <c r="B116" s="4"/>
      <c r="C116" s="4"/>
      <c r="D116" s="4"/>
      <c r="E116" s="4"/>
      <c r="F116" s="4"/>
    </row>
    <row r="117" spans="1:6" x14ac:dyDescent="0.3">
      <c r="A117" s="4"/>
      <c r="B117" s="4"/>
      <c r="C117" s="4"/>
      <c r="D117" s="4"/>
      <c r="E117" s="4"/>
      <c r="F117" s="4"/>
    </row>
    <row r="118" spans="1:6" x14ac:dyDescent="0.3">
      <c r="A118" s="4"/>
      <c r="B118" s="4"/>
      <c r="C118" s="4"/>
      <c r="D118" s="4"/>
      <c r="E118" s="4"/>
      <c r="F118" s="4"/>
    </row>
    <row r="119" spans="1:6" x14ac:dyDescent="0.3">
      <c r="A119" s="4"/>
      <c r="B119" s="4"/>
      <c r="C119" s="4"/>
      <c r="D119" s="4"/>
      <c r="E119" s="4"/>
      <c r="F119" s="4"/>
    </row>
    <row r="120" spans="1:6" x14ac:dyDescent="0.3">
      <c r="A120" s="4"/>
      <c r="B120" s="4"/>
      <c r="C120" s="4"/>
      <c r="D120" s="4"/>
      <c r="E120" s="4"/>
      <c r="F120" s="4"/>
    </row>
    <row r="121" spans="1:6" x14ac:dyDescent="0.3">
      <c r="A121" s="4"/>
      <c r="B121" s="4"/>
      <c r="C121" s="4"/>
      <c r="D121" s="4"/>
      <c r="E121" s="4"/>
      <c r="F121" s="4"/>
    </row>
    <row r="122" spans="1:6" x14ac:dyDescent="0.3">
      <c r="A122" s="4"/>
      <c r="B122" s="4"/>
      <c r="C122" s="4"/>
      <c r="D122" s="4"/>
      <c r="E122" s="4"/>
      <c r="F122" s="4"/>
    </row>
    <row r="123" spans="1:6" x14ac:dyDescent="0.3">
      <c r="A123" s="4"/>
      <c r="B123" s="4"/>
      <c r="C123" s="4"/>
      <c r="D123" s="4"/>
      <c r="E123" s="4"/>
      <c r="F123" s="4"/>
    </row>
    <row r="124" spans="1:6" x14ac:dyDescent="0.3">
      <c r="A124" s="4"/>
      <c r="B124" s="4"/>
      <c r="C124" s="4"/>
      <c r="D124" s="4"/>
      <c r="E124" s="4"/>
      <c r="F124" s="4"/>
    </row>
    <row r="125" spans="1:6" x14ac:dyDescent="0.3">
      <c r="A125" s="4"/>
      <c r="B125" s="4"/>
      <c r="C125" s="4"/>
      <c r="D125" s="4"/>
      <c r="E125" s="4"/>
      <c r="F125" s="4"/>
    </row>
    <row r="126" spans="1:6" x14ac:dyDescent="0.3">
      <c r="A126" s="4"/>
      <c r="B126" s="4"/>
      <c r="C126" s="4"/>
      <c r="D126" s="4"/>
      <c r="E126" s="4"/>
      <c r="F126" s="4"/>
    </row>
    <row r="127" spans="1:6" x14ac:dyDescent="0.3">
      <c r="A127" s="4"/>
      <c r="B127" s="4"/>
      <c r="C127" s="4"/>
      <c r="D127" s="4"/>
      <c r="E127" s="4"/>
      <c r="F127" s="4"/>
    </row>
    <row r="128" spans="1:6" x14ac:dyDescent="0.3">
      <c r="A128" s="4"/>
      <c r="B128" s="4"/>
      <c r="C128" s="4"/>
      <c r="D128" s="4"/>
      <c r="E128" s="4"/>
      <c r="F128" s="4"/>
    </row>
    <row r="129" spans="1:6" x14ac:dyDescent="0.3">
      <c r="A129" s="4"/>
      <c r="B129" s="4"/>
      <c r="C129" s="4"/>
      <c r="D129" s="4"/>
      <c r="E129" s="4"/>
      <c r="F129" s="4"/>
    </row>
    <row r="130" spans="1:6" x14ac:dyDescent="0.3">
      <c r="A130" s="4"/>
      <c r="B130" s="4"/>
      <c r="C130" s="4"/>
      <c r="D130" s="4"/>
      <c r="E130" s="4"/>
      <c r="F130" s="4"/>
    </row>
    <row r="131" spans="1:6" x14ac:dyDescent="0.3">
      <c r="A131" s="4"/>
      <c r="B131" s="4"/>
      <c r="C131" s="4"/>
      <c r="D131" s="4"/>
      <c r="E131" s="4"/>
      <c r="F131" s="4"/>
    </row>
    <row r="132" spans="1:6" x14ac:dyDescent="0.3">
      <c r="A132" s="4"/>
      <c r="B132" s="4"/>
      <c r="C132" s="4"/>
      <c r="D132" s="4"/>
      <c r="E132" s="4"/>
      <c r="F132" s="4"/>
    </row>
    <row r="133" spans="1:6" x14ac:dyDescent="0.3">
      <c r="A133" s="4"/>
      <c r="B133" s="4"/>
      <c r="C133" s="4"/>
      <c r="D133" s="4"/>
      <c r="E133" s="4"/>
      <c r="F133" s="4"/>
    </row>
    <row r="134" spans="1:6" x14ac:dyDescent="0.3">
      <c r="A134" s="4"/>
      <c r="B134" s="4"/>
      <c r="C134" s="4"/>
      <c r="D134" s="4"/>
      <c r="E134" s="4"/>
      <c r="F134" s="4"/>
    </row>
    <row r="135" spans="1:6" x14ac:dyDescent="0.3">
      <c r="A135" s="4"/>
      <c r="B135" s="4"/>
      <c r="C135" s="4"/>
      <c r="D135" s="4"/>
      <c r="E135" s="4"/>
      <c r="F135" s="4"/>
    </row>
    <row r="136" spans="1:6" x14ac:dyDescent="0.3">
      <c r="A136" s="4"/>
      <c r="B136" s="4"/>
      <c r="C136" s="4"/>
      <c r="D136" s="4"/>
      <c r="E136" s="4"/>
      <c r="F136" s="4"/>
    </row>
    <row r="137" spans="1:6" x14ac:dyDescent="0.3">
      <c r="A137" s="4"/>
      <c r="B137" s="4"/>
      <c r="C137" s="4"/>
      <c r="D137" s="4"/>
      <c r="E137" s="4"/>
      <c r="F137" s="4"/>
    </row>
    <row r="138" spans="1:6" x14ac:dyDescent="0.3">
      <c r="A138" s="4"/>
      <c r="B138" s="4"/>
      <c r="C138" s="4"/>
      <c r="D138" s="4"/>
      <c r="E138" s="4"/>
      <c r="F138" s="4"/>
    </row>
    <row r="139" spans="1:6" x14ac:dyDescent="0.3">
      <c r="A139" s="4"/>
      <c r="B139" s="4"/>
      <c r="C139" s="4"/>
      <c r="D139" s="4"/>
      <c r="E139" s="4"/>
      <c r="F139" s="4"/>
    </row>
    <row r="140" spans="1:6" x14ac:dyDescent="0.3">
      <c r="A140" s="4"/>
      <c r="B140" s="4"/>
      <c r="C140" s="4"/>
      <c r="D140" s="4"/>
      <c r="E140" s="4"/>
      <c r="F140" s="4"/>
    </row>
    <row r="141" spans="1:6" x14ac:dyDescent="0.3">
      <c r="A141" s="4"/>
      <c r="B141" s="4"/>
      <c r="C141" s="4"/>
      <c r="D141" s="4"/>
      <c r="E141" s="4"/>
      <c r="F141" s="4"/>
    </row>
    <row r="142" spans="1:6" x14ac:dyDescent="0.3">
      <c r="A142" s="4"/>
      <c r="B142" s="4"/>
      <c r="C142" s="4"/>
      <c r="D142" s="4"/>
      <c r="E142" s="4"/>
      <c r="F142" s="4"/>
    </row>
    <row r="143" spans="1:6" x14ac:dyDescent="0.3">
      <c r="A143" s="4"/>
      <c r="B143" s="4"/>
      <c r="C143" s="4"/>
      <c r="D143" s="4"/>
      <c r="E143" s="4"/>
      <c r="F143" s="4"/>
    </row>
    <row r="144" spans="1:6" x14ac:dyDescent="0.3">
      <c r="A144" s="4"/>
      <c r="B144" s="4"/>
      <c r="C144" s="4"/>
      <c r="D144" s="4"/>
      <c r="E144" s="4"/>
      <c r="F144" s="4"/>
    </row>
    <row r="145" spans="1:6" x14ac:dyDescent="0.3">
      <c r="A145" s="4"/>
      <c r="B145" s="4"/>
      <c r="C145" s="4"/>
      <c r="D145" s="4"/>
      <c r="E145" s="4"/>
      <c r="F145" s="4"/>
    </row>
    <row r="146" spans="1:6" x14ac:dyDescent="0.3">
      <c r="A146" s="4"/>
      <c r="B146" s="4"/>
      <c r="C146" s="4"/>
      <c r="D146" s="4"/>
      <c r="E146" s="4"/>
      <c r="F146" s="4"/>
    </row>
    <row r="147" spans="1:6" x14ac:dyDescent="0.3">
      <c r="A147" s="4"/>
      <c r="B147" s="4"/>
      <c r="C147" s="4"/>
      <c r="D147" s="4"/>
      <c r="E147" s="4"/>
      <c r="F147" s="4"/>
    </row>
    <row r="148" spans="1:6" x14ac:dyDescent="0.3">
      <c r="A148" s="4"/>
      <c r="B148" s="4"/>
      <c r="C148" s="4"/>
      <c r="D148" s="4"/>
      <c r="E148" s="4"/>
      <c r="F148" s="4"/>
    </row>
    <row r="149" spans="1:6" x14ac:dyDescent="0.3">
      <c r="A149" s="4"/>
      <c r="B149" s="4"/>
      <c r="C149" s="4"/>
      <c r="D149" s="4"/>
      <c r="E149" s="4"/>
      <c r="F149" s="4"/>
    </row>
    <row r="150" spans="1:6" x14ac:dyDescent="0.3">
      <c r="A150" s="4"/>
      <c r="B150" s="4"/>
      <c r="C150" s="4"/>
      <c r="D150" s="4"/>
      <c r="E150" s="4"/>
      <c r="F150" s="4"/>
    </row>
    <row r="151" spans="1:6" x14ac:dyDescent="0.3">
      <c r="A151" s="4"/>
      <c r="B151" s="4"/>
      <c r="C151" s="4"/>
      <c r="D151" s="4"/>
      <c r="E151" s="4"/>
      <c r="F151" s="4"/>
    </row>
    <row r="152" spans="1:6" x14ac:dyDescent="0.3">
      <c r="A152" s="4"/>
      <c r="B152" s="4"/>
      <c r="C152" s="4"/>
      <c r="D152" s="4"/>
      <c r="E152" s="4"/>
      <c r="F152" s="4"/>
    </row>
    <row r="153" spans="1:6" x14ac:dyDescent="0.3">
      <c r="A153" s="4"/>
      <c r="B153" s="4"/>
      <c r="C153" s="4"/>
      <c r="D153" s="4"/>
      <c r="E153" s="4"/>
      <c r="F153" s="4"/>
    </row>
    <row r="154" spans="1:6" x14ac:dyDescent="0.3">
      <c r="A154" s="4"/>
      <c r="B154" s="4"/>
      <c r="C154" s="4"/>
      <c r="D154" s="4"/>
      <c r="E154" s="4"/>
      <c r="F154" s="4"/>
    </row>
    <row r="155" spans="1:6" x14ac:dyDescent="0.3">
      <c r="A155" s="4"/>
      <c r="B155" s="4"/>
      <c r="C155" s="4"/>
      <c r="D155" s="4"/>
      <c r="E155" s="4"/>
      <c r="F155" s="4"/>
    </row>
    <row r="156" spans="1:6" x14ac:dyDescent="0.3">
      <c r="A156" s="4"/>
      <c r="B156" s="4"/>
      <c r="C156" s="4"/>
      <c r="D156" s="4"/>
      <c r="E156" s="4"/>
      <c r="F156" s="4"/>
    </row>
    <row r="157" spans="1:6" x14ac:dyDescent="0.3">
      <c r="A157" s="4"/>
      <c r="B157" s="4"/>
      <c r="C157" s="4"/>
      <c r="D157" s="4"/>
      <c r="E157" s="4"/>
      <c r="F157" s="4"/>
    </row>
    <row r="158" spans="1:6" x14ac:dyDescent="0.3">
      <c r="A158" s="4"/>
      <c r="B158" s="4"/>
      <c r="C158" s="4"/>
      <c r="D158" s="4"/>
      <c r="E158" s="4"/>
      <c r="F158" s="4"/>
    </row>
    <row r="159" spans="1:6" x14ac:dyDescent="0.3">
      <c r="A159" s="4"/>
      <c r="B159" s="4"/>
      <c r="C159" s="4"/>
      <c r="D159" s="4"/>
      <c r="E159" s="4"/>
      <c r="F159" s="4"/>
    </row>
    <row r="160" spans="1:6" x14ac:dyDescent="0.3">
      <c r="A160" s="4"/>
      <c r="B160" s="4"/>
      <c r="C160" s="4"/>
      <c r="D160" s="4"/>
      <c r="E160" s="4"/>
      <c r="F160" s="4"/>
    </row>
    <row r="161" spans="1:6" x14ac:dyDescent="0.3">
      <c r="A161" s="4"/>
      <c r="B161" s="4"/>
      <c r="C161" s="4"/>
      <c r="D161" s="4"/>
      <c r="E161" s="4"/>
      <c r="F161" s="4"/>
    </row>
    <row r="162" spans="1:6" x14ac:dyDescent="0.3">
      <c r="A162" s="4"/>
      <c r="B162" s="4"/>
      <c r="C162" s="4"/>
      <c r="D162" s="4"/>
      <c r="E162" s="4"/>
      <c r="F162" s="4"/>
    </row>
    <row r="163" spans="1:6" x14ac:dyDescent="0.3">
      <c r="A163" s="4"/>
      <c r="B163" s="4"/>
      <c r="C163" s="4"/>
      <c r="D163" s="4"/>
      <c r="E163" s="4"/>
      <c r="F163" s="4"/>
    </row>
    <row r="164" spans="1:6" x14ac:dyDescent="0.3">
      <c r="A164" s="4"/>
      <c r="B164" s="4"/>
      <c r="C164" s="4"/>
      <c r="D164" s="4"/>
      <c r="E164" s="4"/>
      <c r="F164" s="4"/>
    </row>
    <row r="165" spans="1:6" x14ac:dyDescent="0.3">
      <c r="A165" s="4"/>
      <c r="B165" s="4"/>
      <c r="C165" s="4"/>
      <c r="D165" s="4"/>
      <c r="E165" s="4"/>
      <c r="F165" s="4"/>
    </row>
    <row r="166" spans="1:6" x14ac:dyDescent="0.3">
      <c r="A166" s="4"/>
      <c r="B166" s="4"/>
      <c r="C166" s="4"/>
      <c r="D166" s="4"/>
      <c r="E166" s="4"/>
      <c r="F166" s="4"/>
    </row>
    <row r="167" spans="1:6" x14ac:dyDescent="0.3">
      <c r="A167" s="4"/>
      <c r="B167" s="4"/>
      <c r="C167" s="4"/>
      <c r="D167" s="4"/>
      <c r="E167" s="4"/>
      <c r="F167" s="4"/>
    </row>
    <row r="168" spans="1:6" x14ac:dyDescent="0.3">
      <c r="A168" s="4"/>
      <c r="B168" s="4"/>
      <c r="C168" s="4"/>
      <c r="D168" s="4"/>
      <c r="E168" s="4"/>
      <c r="F168" s="4"/>
    </row>
    <row r="169" spans="1:6" x14ac:dyDescent="0.3">
      <c r="A169" s="4"/>
      <c r="B169" s="4"/>
      <c r="C169" s="4"/>
      <c r="D169" s="4"/>
      <c r="E169" s="4"/>
      <c r="F169" s="4"/>
    </row>
    <row r="170" spans="1:6" x14ac:dyDescent="0.3">
      <c r="A170" s="4"/>
      <c r="B170" s="4"/>
      <c r="C170" s="4"/>
      <c r="D170" s="4"/>
      <c r="E170" s="4"/>
      <c r="F170" s="4"/>
    </row>
    <row r="171" spans="1:6" x14ac:dyDescent="0.3">
      <c r="A171" s="4"/>
      <c r="B171" s="4"/>
      <c r="C171" s="4"/>
      <c r="D171" s="4"/>
      <c r="E171" s="4"/>
      <c r="F171" s="4"/>
    </row>
    <row r="172" spans="1:6" x14ac:dyDescent="0.3">
      <c r="A172" s="4"/>
      <c r="B172" s="4"/>
      <c r="C172" s="4"/>
      <c r="D172" s="4"/>
      <c r="E172" s="4"/>
      <c r="F172" s="4"/>
    </row>
    <row r="173" spans="1:6" x14ac:dyDescent="0.3">
      <c r="A173" s="4"/>
      <c r="B173" s="4"/>
      <c r="C173" s="4"/>
      <c r="D173" s="4"/>
      <c r="E173" s="4"/>
      <c r="F173" s="4"/>
    </row>
    <row r="174" spans="1:6" x14ac:dyDescent="0.3">
      <c r="A174" s="4"/>
      <c r="B174" s="4"/>
      <c r="C174" s="4"/>
      <c r="D174" s="4"/>
      <c r="E174" s="4"/>
      <c r="F174" s="4"/>
    </row>
    <row r="175" spans="1:6" x14ac:dyDescent="0.3">
      <c r="A175" s="4"/>
      <c r="B175" s="4"/>
      <c r="C175" s="4"/>
      <c r="D175" s="4"/>
      <c r="E175" s="4"/>
      <c r="F175" s="4"/>
    </row>
    <row r="176" spans="1:6" x14ac:dyDescent="0.3">
      <c r="A176" s="4"/>
      <c r="B176" s="4"/>
      <c r="C176" s="4"/>
      <c r="D176" s="4"/>
      <c r="E176" s="4"/>
      <c r="F176" s="4"/>
    </row>
    <row r="177" spans="1:6" x14ac:dyDescent="0.3">
      <c r="A177" s="4"/>
      <c r="B177" s="4"/>
      <c r="C177" s="4"/>
      <c r="D177" s="4"/>
      <c r="E177" s="4"/>
      <c r="F177" s="4"/>
    </row>
    <row r="178" spans="1:6" x14ac:dyDescent="0.3">
      <c r="A178" s="4"/>
      <c r="B178" s="4"/>
      <c r="C178" s="4"/>
      <c r="D178" s="4"/>
      <c r="E178" s="4"/>
      <c r="F178" s="4"/>
    </row>
    <row r="179" spans="1:6" x14ac:dyDescent="0.3">
      <c r="A179" s="4"/>
      <c r="B179" s="4"/>
      <c r="C179" s="4"/>
      <c r="D179" s="4"/>
      <c r="E179" s="4"/>
      <c r="F179" s="4"/>
    </row>
    <row r="180" spans="1:6" x14ac:dyDescent="0.3">
      <c r="A180" s="4"/>
      <c r="B180" s="4"/>
      <c r="C180" s="4"/>
      <c r="D180" s="4"/>
      <c r="E180" s="4"/>
      <c r="F180" s="4"/>
    </row>
    <row r="181" spans="1:6" x14ac:dyDescent="0.3">
      <c r="A181" s="4"/>
      <c r="B181" s="4"/>
      <c r="C181" s="4"/>
      <c r="D181" s="4"/>
      <c r="E181" s="4"/>
      <c r="F181" s="4"/>
    </row>
    <row r="182" spans="1:6" x14ac:dyDescent="0.3">
      <c r="A182" s="4"/>
      <c r="B182" s="4"/>
      <c r="C182" s="4"/>
      <c r="D182" s="4"/>
      <c r="E182" s="4"/>
      <c r="F182" s="4"/>
    </row>
    <row r="183" spans="1:6" x14ac:dyDescent="0.3">
      <c r="A183" s="4"/>
      <c r="B183" s="4"/>
      <c r="C183" s="4"/>
      <c r="D183" s="4"/>
      <c r="E183" s="4"/>
      <c r="F183" s="4"/>
    </row>
    <row r="184" spans="1:6" x14ac:dyDescent="0.3">
      <c r="A184" s="4"/>
      <c r="B184" s="4"/>
      <c r="C184" s="4"/>
      <c r="D184" s="4"/>
      <c r="E184" s="4"/>
      <c r="F184" s="4"/>
    </row>
    <row r="185" spans="1:6" x14ac:dyDescent="0.3">
      <c r="A185" s="4"/>
      <c r="B185" s="4"/>
      <c r="C185" s="4"/>
      <c r="D185" s="4"/>
      <c r="E185" s="4"/>
      <c r="F185" s="4"/>
    </row>
    <row r="186" spans="1:6" x14ac:dyDescent="0.3">
      <c r="A186" s="4"/>
      <c r="B186" s="4"/>
      <c r="C186" s="4"/>
      <c r="D186" s="4"/>
      <c r="E186" s="4"/>
      <c r="F186" s="4"/>
    </row>
    <row r="187" spans="1:6" x14ac:dyDescent="0.3">
      <c r="A187" s="4"/>
      <c r="B187" s="4"/>
      <c r="C187" s="4"/>
      <c r="D187" s="4"/>
      <c r="E187" s="4"/>
      <c r="F187" s="4"/>
    </row>
    <row r="188" spans="1:6" x14ac:dyDescent="0.3">
      <c r="A188" s="4"/>
      <c r="B188" s="4"/>
      <c r="C188" s="4"/>
      <c r="D188" s="4"/>
      <c r="E188" s="4"/>
      <c r="F188" s="4"/>
    </row>
    <row r="189" spans="1:6" x14ac:dyDescent="0.3">
      <c r="A189" s="4"/>
      <c r="B189" s="4"/>
      <c r="C189" s="4"/>
      <c r="D189" s="4"/>
      <c r="E189" s="4"/>
      <c r="F189" s="4"/>
    </row>
    <row r="190" spans="1:6" x14ac:dyDescent="0.3">
      <c r="A190" s="4"/>
      <c r="B190" s="4"/>
      <c r="C190" s="4"/>
      <c r="D190" s="4"/>
      <c r="E190" s="4"/>
      <c r="F190" s="4"/>
    </row>
    <row r="191" spans="1:6" x14ac:dyDescent="0.3">
      <c r="A191" s="4"/>
      <c r="B191" s="4"/>
      <c r="C191" s="4"/>
      <c r="D191" s="4"/>
      <c r="E191" s="4"/>
      <c r="F191" s="4"/>
    </row>
    <row r="192" spans="1:6" x14ac:dyDescent="0.3">
      <c r="A192" s="4"/>
      <c r="B192" s="4"/>
      <c r="C192" s="4"/>
      <c r="D192" s="4"/>
      <c r="E192" s="4"/>
      <c r="F192" s="4"/>
    </row>
    <row r="193" spans="1:6" x14ac:dyDescent="0.3">
      <c r="A193" s="4"/>
      <c r="B193" s="4"/>
      <c r="C193" s="4"/>
      <c r="D193" s="4"/>
      <c r="E193" s="4"/>
      <c r="F193" s="4"/>
    </row>
    <row r="194" spans="1:6" x14ac:dyDescent="0.3">
      <c r="A194" s="4"/>
      <c r="B194" s="4"/>
      <c r="C194" s="4"/>
      <c r="D194" s="4"/>
      <c r="E194" s="4"/>
      <c r="F194" s="4"/>
    </row>
    <row r="195" spans="1:6" x14ac:dyDescent="0.3">
      <c r="A195" s="4"/>
      <c r="B195" s="4"/>
      <c r="C195" s="4"/>
      <c r="D195" s="4"/>
      <c r="E195" s="4"/>
      <c r="F195" s="4"/>
    </row>
    <row r="196" spans="1:6" x14ac:dyDescent="0.3">
      <c r="A196" s="4"/>
      <c r="B196" s="4"/>
      <c r="C196" s="4"/>
      <c r="D196" s="4"/>
      <c r="E196" s="4"/>
      <c r="F196" s="4"/>
    </row>
    <row r="197" spans="1:6" x14ac:dyDescent="0.3">
      <c r="A197" s="4"/>
      <c r="B197" s="4"/>
      <c r="C197" s="4"/>
      <c r="D197" s="4"/>
      <c r="E197" s="4"/>
      <c r="F197" s="4"/>
    </row>
    <row r="198" spans="1:6" x14ac:dyDescent="0.3">
      <c r="A198" s="4"/>
      <c r="B198" s="4"/>
      <c r="C198" s="4"/>
      <c r="D198" s="4"/>
      <c r="E198" s="4"/>
      <c r="F198" s="4"/>
    </row>
    <row r="199" spans="1:6" x14ac:dyDescent="0.3">
      <c r="A199" s="4"/>
      <c r="B199" s="4"/>
      <c r="C199" s="4"/>
      <c r="D199" s="4"/>
      <c r="E199" s="4"/>
      <c r="F199" s="4"/>
    </row>
    <row r="200" spans="1:6" x14ac:dyDescent="0.3">
      <c r="A200" s="4"/>
      <c r="B200" s="4"/>
      <c r="C200" s="4"/>
      <c r="D200" s="4"/>
      <c r="E200" s="4"/>
      <c r="F200" s="4"/>
    </row>
    <row r="201" spans="1:6" x14ac:dyDescent="0.3">
      <c r="A201" s="4"/>
      <c r="B201" s="4"/>
      <c r="C201" s="4"/>
      <c r="D201" s="4"/>
      <c r="E201" s="4"/>
      <c r="F201" s="4"/>
    </row>
    <row r="202" spans="1:6" x14ac:dyDescent="0.3">
      <c r="A202" s="4"/>
      <c r="B202" s="4"/>
      <c r="C202" s="4"/>
      <c r="D202" s="4"/>
      <c r="E202" s="4"/>
      <c r="F202" s="4"/>
    </row>
    <row r="203" spans="1:6" x14ac:dyDescent="0.3">
      <c r="A203" s="4"/>
      <c r="B203" s="4"/>
      <c r="C203" s="4"/>
      <c r="D203" s="4"/>
      <c r="E203" s="4"/>
      <c r="F203" s="4"/>
    </row>
    <row r="204" spans="1:6" x14ac:dyDescent="0.3">
      <c r="A204" s="4"/>
      <c r="B204" s="4"/>
      <c r="C204" s="4"/>
      <c r="D204" s="4"/>
      <c r="E204" s="4"/>
      <c r="F204" s="4"/>
    </row>
    <row r="205" spans="1:6" x14ac:dyDescent="0.3">
      <c r="A205" s="4"/>
      <c r="B205" s="4"/>
      <c r="C205" s="4"/>
      <c r="D205" s="4"/>
      <c r="E205" s="4"/>
      <c r="F205" s="4"/>
    </row>
    <row r="206" spans="1:6" x14ac:dyDescent="0.3">
      <c r="A206" s="4"/>
      <c r="B206" s="4"/>
      <c r="C206" s="4"/>
      <c r="D206" s="4"/>
      <c r="E206" s="4"/>
      <c r="F206" s="4"/>
    </row>
    <row r="207" spans="1:6" x14ac:dyDescent="0.3">
      <c r="A207" s="4"/>
      <c r="B207" s="4"/>
      <c r="C207" s="4"/>
      <c r="D207" s="4"/>
      <c r="E207" s="4"/>
      <c r="F207" s="4"/>
    </row>
    <row r="208" spans="1:6" x14ac:dyDescent="0.3">
      <c r="A208" s="4"/>
      <c r="B208" s="4"/>
      <c r="C208" s="4"/>
      <c r="D208" s="4"/>
      <c r="E208" s="4"/>
      <c r="F208" s="4"/>
    </row>
    <row r="209" spans="1:6" x14ac:dyDescent="0.3">
      <c r="A209" s="4"/>
      <c r="B209" s="4"/>
      <c r="C209" s="4"/>
      <c r="D209" s="4"/>
      <c r="E209" s="4"/>
      <c r="F209" s="4"/>
    </row>
    <row r="210" spans="1:6" x14ac:dyDescent="0.3">
      <c r="A210" s="4"/>
      <c r="B210" s="4"/>
      <c r="C210" s="4"/>
      <c r="D210" s="4"/>
      <c r="E210" s="4"/>
      <c r="F210" s="4"/>
    </row>
    <row r="211" spans="1:6" x14ac:dyDescent="0.3">
      <c r="A211" s="4"/>
      <c r="B211" s="4"/>
      <c r="C211" s="4"/>
      <c r="D211" s="4"/>
      <c r="E211" s="4"/>
      <c r="F211" s="4"/>
    </row>
    <row r="212" spans="1:6" x14ac:dyDescent="0.3">
      <c r="A212" s="4"/>
      <c r="B212" s="4"/>
      <c r="C212" s="4"/>
      <c r="D212" s="4"/>
      <c r="E212" s="4"/>
      <c r="F212" s="4"/>
    </row>
    <row r="213" spans="1:6" x14ac:dyDescent="0.3">
      <c r="A213" s="4"/>
      <c r="B213" s="4"/>
      <c r="C213" s="4"/>
      <c r="D213" s="4"/>
      <c r="E213" s="4"/>
      <c r="F213" s="4"/>
    </row>
    <row r="214" spans="1:6" x14ac:dyDescent="0.3">
      <c r="A214" s="4"/>
      <c r="B214" s="4"/>
      <c r="C214" s="4"/>
      <c r="D214" s="4"/>
      <c r="E214" s="4"/>
      <c r="F214" s="4"/>
    </row>
    <row r="215" spans="1:6" x14ac:dyDescent="0.3">
      <c r="A215" s="4"/>
      <c r="B215" s="4"/>
      <c r="C215" s="4"/>
      <c r="D215" s="4"/>
      <c r="E215" s="4"/>
      <c r="F215" s="4"/>
    </row>
    <row r="216" spans="1:6" x14ac:dyDescent="0.3">
      <c r="A216" s="4"/>
      <c r="B216" s="4"/>
      <c r="C216" s="4"/>
      <c r="D216" s="4"/>
      <c r="E216" s="4"/>
      <c r="F216" s="4"/>
    </row>
    <row r="217" spans="1:6" x14ac:dyDescent="0.3">
      <c r="A217" s="4"/>
      <c r="B217" s="4"/>
      <c r="C217" s="4"/>
      <c r="D217" s="4"/>
      <c r="E217" s="4"/>
      <c r="F217" s="4"/>
    </row>
    <row r="218" spans="1:6" x14ac:dyDescent="0.3">
      <c r="A218" s="4"/>
      <c r="B218" s="4"/>
      <c r="C218" s="4"/>
      <c r="D218" s="4"/>
      <c r="E218" s="4"/>
      <c r="F218" s="4"/>
    </row>
    <row r="219" spans="1:6" x14ac:dyDescent="0.3">
      <c r="A219" s="4"/>
      <c r="B219" s="4"/>
      <c r="C219" s="4"/>
      <c r="D219" s="4"/>
      <c r="E219" s="4"/>
      <c r="F219" s="4"/>
    </row>
    <row r="220" spans="1:6" x14ac:dyDescent="0.3">
      <c r="A220" s="4"/>
      <c r="B220" s="4"/>
      <c r="C220" s="4"/>
      <c r="D220" s="4"/>
      <c r="E220" s="4"/>
      <c r="F220" s="4"/>
    </row>
    <row r="221" spans="1:6" x14ac:dyDescent="0.3">
      <c r="A221" s="4"/>
      <c r="B221" s="4"/>
      <c r="C221" s="4"/>
      <c r="D221" s="4"/>
      <c r="E221" s="4"/>
      <c r="F221" s="4"/>
    </row>
    <row r="222" spans="1:6" x14ac:dyDescent="0.3">
      <c r="A222" s="4"/>
      <c r="B222" s="4"/>
      <c r="C222" s="4"/>
      <c r="D222" s="4"/>
      <c r="E222" s="4"/>
      <c r="F222" s="4"/>
    </row>
    <row r="223" spans="1:6" x14ac:dyDescent="0.3">
      <c r="A223" s="4"/>
      <c r="B223" s="4"/>
      <c r="C223" s="4"/>
      <c r="D223" s="4"/>
      <c r="E223" s="4"/>
      <c r="F223" s="4"/>
    </row>
    <row r="224" spans="1:6" x14ac:dyDescent="0.3">
      <c r="A224" s="4"/>
      <c r="B224" s="4"/>
      <c r="C224" s="4"/>
      <c r="D224" s="4"/>
      <c r="E224" s="4"/>
      <c r="F224" s="4"/>
    </row>
    <row r="225" spans="1:6" x14ac:dyDescent="0.3">
      <c r="A225" s="4"/>
      <c r="B225" s="4"/>
      <c r="C225" s="4"/>
      <c r="D225" s="4"/>
      <c r="E225" s="4"/>
      <c r="F225" s="4"/>
    </row>
    <row r="226" spans="1:6" x14ac:dyDescent="0.3">
      <c r="A226" s="4"/>
      <c r="B226" s="4"/>
      <c r="C226" s="4"/>
      <c r="D226" s="4"/>
      <c r="E226" s="4"/>
      <c r="F226" s="4"/>
    </row>
    <row r="227" spans="1:6" x14ac:dyDescent="0.3">
      <c r="A227" s="4"/>
      <c r="B227" s="4"/>
      <c r="C227" s="4"/>
      <c r="D227" s="4"/>
      <c r="E227" s="4"/>
      <c r="F227" s="4"/>
    </row>
    <row r="228" spans="1:6" x14ac:dyDescent="0.3">
      <c r="A228" s="4"/>
      <c r="B228" s="4"/>
      <c r="C228" s="4"/>
      <c r="D228" s="4"/>
      <c r="E228" s="4"/>
      <c r="F228" s="4"/>
    </row>
    <row r="229" spans="1:6" x14ac:dyDescent="0.3">
      <c r="A229" s="4"/>
      <c r="B229" s="4"/>
      <c r="C229" s="4"/>
      <c r="D229" s="4"/>
      <c r="E229" s="4"/>
      <c r="F229" s="4"/>
    </row>
    <row r="230" spans="1:6" x14ac:dyDescent="0.3">
      <c r="A230" s="4"/>
      <c r="B230" s="4"/>
      <c r="C230" s="4"/>
      <c r="D230" s="4"/>
      <c r="E230" s="4"/>
      <c r="F230" s="4"/>
    </row>
    <row r="231" spans="1:6" x14ac:dyDescent="0.3">
      <c r="A231" s="4"/>
      <c r="B231" s="4"/>
      <c r="C231" s="4"/>
      <c r="D231" s="4"/>
      <c r="E231" s="4"/>
      <c r="F231" s="4"/>
    </row>
    <row r="232" spans="1:6" x14ac:dyDescent="0.3">
      <c r="A232" s="4"/>
      <c r="B232" s="4"/>
      <c r="C232" s="4"/>
      <c r="D232" s="4"/>
      <c r="E232" s="4"/>
      <c r="F232" s="4"/>
    </row>
    <row r="233" spans="1:6" x14ac:dyDescent="0.3">
      <c r="A233" s="4"/>
      <c r="B233" s="4"/>
      <c r="C233" s="4"/>
      <c r="D233" s="4"/>
      <c r="E233" s="4"/>
      <c r="F233" s="4"/>
    </row>
    <row r="234" spans="1:6" x14ac:dyDescent="0.3">
      <c r="A234" s="4"/>
      <c r="B234" s="4"/>
      <c r="C234" s="4"/>
      <c r="D234" s="4"/>
      <c r="E234" s="4"/>
      <c r="F234" s="4"/>
    </row>
    <row r="235" spans="1:6" x14ac:dyDescent="0.3">
      <c r="A235" s="4"/>
      <c r="B235" s="4"/>
      <c r="C235" s="4"/>
      <c r="D235" s="4"/>
      <c r="E235" s="4"/>
      <c r="F235" s="4"/>
    </row>
    <row r="236" spans="1:6" x14ac:dyDescent="0.3">
      <c r="A236" s="4"/>
      <c r="B236" s="4"/>
      <c r="C236" s="4"/>
      <c r="D236" s="4"/>
      <c r="E236" s="4"/>
      <c r="F236" s="4"/>
    </row>
    <row r="237" spans="1:6" x14ac:dyDescent="0.3">
      <c r="A237" s="4"/>
      <c r="B237" s="4"/>
      <c r="C237" s="4"/>
      <c r="D237" s="4"/>
      <c r="E237" s="4"/>
      <c r="F237" s="4"/>
    </row>
    <row r="238" spans="1:6" x14ac:dyDescent="0.3">
      <c r="A238" s="4"/>
      <c r="B238" s="4"/>
      <c r="C238" s="4"/>
      <c r="D238" s="4"/>
      <c r="E238" s="4"/>
      <c r="F238" s="4"/>
    </row>
    <row r="239" spans="1:6" x14ac:dyDescent="0.3">
      <c r="A239" s="4"/>
      <c r="B239" s="4"/>
      <c r="C239" s="4"/>
      <c r="D239" s="4"/>
      <c r="E239" s="4"/>
      <c r="F239" s="4"/>
    </row>
    <row r="240" spans="1:6" x14ac:dyDescent="0.3">
      <c r="A240" s="4"/>
      <c r="B240" s="4"/>
      <c r="C240" s="4"/>
      <c r="D240" s="4"/>
      <c r="E240" s="4"/>
      <c r="F240" s="4"/>
    </row>
    <row r="241" spans="1:6" x14ac:dyDescent="0.3">
      <c r="A241" s="4"/>
      <c r="B241" s="4"/>
      <c r="C241" s="4"/>
      <c r="D241" s="4"/>
      <c r="E241" s="4"/>
      <c r="F241" s="4"/>
    </row>
    <row r="242" spans="1:6" x14ac:dyDescent="0.3">
      <c r="A242" s="4"/>
      <c r="B242" s="4"/>
      <c r="C242" s="4"/>
      <c r="D242" s="4"/>
      <c r="E242" s="4"/>
      <c r="F242" s="4"/>
    </row>
    <row r="243" spans="1:6" x14ac:dyDescent="0.3">
      <c r="A243" s="4"/>
      <c r="B243" s="4"/>
      <c r="C243" s="4"/>
      <c r="D243" s="4"/>
      <c r="E243" s="4"/>
      <c r="F243" s="4"/>
    </row>
    <row r="244" spans="1:6" x14ac:dyDescent="0.3">
      <c r="A244" s="4"/>
      <c r="B244" s="4"/>
      <c r="C244" s="4"/>
      <c r="D244" s="4"/>
      <c r="E244" s="4"/>
      <c r="F244" s="4"/>
    </row>
    <row r="245" spans="1:6" x14ac:dyDescent="0.3">
      <c r="A245" s="4"/>
      <c r="B245" s="4"/>
      <c r="C245" s="4"/>
      <c r="D245" s="4"/>
      <c r="E245" s="4"/>
      <c r="F245" s="4"/>
    </row>
    <row r="246" spans="1:6" x14ac:dyDescent="0.3">
      <c r="A246" s="4"/>
      <c r="B246" s="4"/>
      <c r="C246" s="4"/>
      <c r="D246" s="4"/>
      <c r="E246" s="4"/>
      <c r="F246" s="4"/>
    </row>
    <row r="247" spans="1:6" x14ac:dyDescent="0.3">
      <c r="A247" s="4"/>
      <c r="B247" s="4"/>
      <c r="C247" s="4"/>
      <c r="D247" s="4"/>
      <c r="E247" s="4"/>
      <c r="F247" s="4"/>
    </row>
    <row r="248" spans="1:6" x14ac:dyDescent="0.3">
      <c r="A248" s="4"/>
      <c r="B248" s="4"/>
      <c r="C248" s="4"/>
      <c r="D248" s="4"/>
      <c r="E248" s="4"/>
      <c r="F248" s="4"/>
    </row>
    <row r="249" spans="1:6" x14ac:dyDescent="0.3">
      <c r="A249" s="4"/>
      <c r="B249" s="4"/>
      <c r="C249" s="4"/>
      <c r="D249" s="4"/>
      <c r="E249" s="4"/>
      <c r="F249" s="4"/>
    </row>
    <row r="250" spans="1:6" x14ac:dyDescent="0.3">
      <c r="A250" s="4"/>
      <c r="B250" s="4"/>
      <c r="C250" s="4"/>
      <c r="D250" s="4"/>
      <c r="E250" s="4"/>
      <c r="F250" s="4"/>
    </row>
    <row r="251" spans="1:6" x14ac:dyDescent="0.3">
      <c r="A251" s="4"/>
      <c r="B251" s="4"/>
      <c r="C251" s="4"/>
      <c r="D251" s="4"/>
      <c r="E251" s="4"/>
      <c r="F251" s="4"/>
    </row>
    <row r="252" spans="1:6" x14ac:dyDescent="0.3">
      <c r="A252" s="4"/>
      <c r="B252" s="4"/>
      <c r="C252" s="4"/>
      <c r="D252" s="4"/>
      <c r="E252" s="4"/>
      <c r="F252" s="4"/>
    </row>
    <row r="253" spans="1:6" x14ac:dyDescent="0.3">
      <c r="A253" s="4"/>
      <c r="B253" s="4"/>
      <c r="C253" s="4"/>
      <c r="D253" s="4"/>
      <c r="E253" s="4"/>
      <c r="F253" s="4"/>
    </row>
    <row r="254" spans="1:6" x14ac:dyDescent="0.3">
      <c r="A254" s="4"/>
      <c r="B254" s="4"/>
      <c r="C254" s="4"/>
      <c r="D254" s="4"/>
      <c r="E254" s="4"/>
      <c r="F254" s="4"/>
    </row>
    <row r="255" spans="1:6" x14ac:dyDescent="0.3">
      <c r="A255" s="4"/>
      <c r="B255" s="4"/>
      <c r="C255" s="4"/>
      <c r="D255" s="4"/>
      <c r="E255" s="4"/>
      <c r="F255" s="4"/>
    </row>
    <row r="256" spans="1:6" x14ac:dyDescent="0.3">
      <c r="A256" s="4"/>
      <c r="B256" s="4"/>
      <c r="C256" s="4"/>
      <c r="D256" s="4"/>
      <c r="E256" s="4"/>
      <c r="F256" s="4"/>
    </row>
    <row r="257" spans="1:6" x14ac:dyDescent="0.3">
      <c r="A257" s="4"/>
      <c r="B257" s="4"/>
      <c r="C257" s="4"/>
      <c r="D257" s="4"/>
      <c r="E257" s="4"/>
      <c r="F257" s="4"/>
    </row>
    <row r="258" spans="1:6" x14ac:dyDescent="0.3">
      <c r="A258" s="4"/>
      <c r="B258" s="4"/>
      <c r="C258" s="4"/>
      <c r="D258" s="4"/>
      <c r="E258" s="4"/>
      <c r="F258" s="4"/>
    </row>
    <row r="259" spans="1:6" x14ac:dyDescent="0.3">
      <c r="A259" s="4"/>
      <c r="B259" s="4"/>
      <c r="C259" s="4"/>
      <c r="D259" s="4"/>
      <c r="E259" s="4"/>
      <c r="F259" s="4"/>
    </row>
    <row r="260" spans="1:6" x14ac:dyDescent="0.3">
      <c r="A260" s="4"/>
      <c r="B260" s="4"/>
      <c r="C260" s="4"/>
      <c r="D260" s="4"/>
      <c r="E260" s="4"/>
      <c r="F260" s="4"/>
    </row>
    <row r="261" spans="1:6" x14ac:dyDescent="0.3">
      <c r="A261" s="4"/>
      <c r="B261" s="4"/>
      <c r="C261" s="4"/>
      <c r="D261" s="4"/>
      <c r="E261" s="4"/>
      <c r="F261" s="4"/>
    </row>
    <row r="262" spans="1:6" x14ac:dyDescent="0.3">
      <c r="A262" s="4"/>
      <c r="B262" s="4"/>
      <c r="C262" s="4"/>
      <c r="D262" s="4"/>
      <c r="E262" s="4"/>
      <c r="F262" s="4"/>
    </row>
    <row r="263" spans="1:6" x14ac:dyDescent="0.3">
      <c r="A263" s="4"/>
      <c r="B263" s="4"/>
      <c r="C263" s="4"/>
      <c r="D263" s="4"/>
      <c r="E263" s="4"/>
      <c r="F263" s="4"/>
    </row>
    <row r="264" spans="1:6" x14ac:dyDescent="0.3">
      <c r="A264" s="4"/>
      <c r="B264" s="4"/>
      <c r="C264" s="4"/>
      <c r="D264" s="4"/>
      <c r="E264" s="4"/>
      <c r="F264" s="4"/>
    </row>
    <row r="265" spans="1:6" x14ac:dyDescent="0.3">
      <c r="A265" s="4"/>
      <c r="B265" s="4"/>
      <c r="C265" s="4"/>
      <c r="D265" s="4"/>
      <c r="E265" s="4"/>
      <c r="F265" s="4"/>
    </row>
    <row r="266" spans="1:6" x14ac:dyDescent="0.3">
      <c r="A266" s="4"/>
      <c r="B266" s="4"/>
      <c r="C266" s="4"/>
      <c r="D266" s="4"/>
      <c r="E266" s="4"/>
      <c r="F266" s="4"/>
    </row>
    <row r="267" spans="1:6" x14ac:dyDescent="0.3">
      <c r="A267" s="4"/>
      <c r="B267" s="4"/>
      <c r="C267" s="4"/>
      <c r="D267" s="4"/>
      <c r="E267" s="4"/>
      <c r="F267" s="4"/>
    </row>
    <row r="268" spans="1:6" x14ac:dyDescent="0.3">
      <c r="A268" s="4"/>
      <c r="B268" s="4"/>
      <c r="C268" s="4"/>
      <c r="D268" s="4"/>
      <c r="E268" s="4"/>
      <c r="F268" s="4"/>
    </row>
    <row r="269" spans="1:6" x14ac:dyDescent="0.3">
      <c r="A269" s="4"/>
      <c r="B269" s="4"/>
      <c r="C269" s="4"/>
      <c r="D269" s="4"/>
      <c r="E269" s="4"/>
      <c r="F269" s="4"/>
    </row>
    <row r="270" spans="1:6" x14ac:dyDescent="0.3">
      <c r="A270" s="4"/>
      <c r="B270" s="4"/>
      <c r="C270" s="4"/>
      <c r="D270" s="4"/>
      <c r="E270" s="4"/>
      <c r="F270" s="4"/>
    </row>
    <row r="271" spans="1:6" x14ac:dyDescent="0.3">
      <c r="A271" s="4"/>
      <c r="B271" s="4"/>
      <c r="C271" s="4"/>
      <c r="D271" s="4"/>
      <c r="E271" s="4"/>
      <c r="F271" s="4"/>
    </row>
    <row r="272" spans="1:6" x14ac:dyDescent="0.3">
      <c r="A272" s="4"/>
      <c r="B272" s="4"/>
      <c r="C272" s="4"/>
      <c r="D272" s="4"/>
      <c r="E272" s="4"/>
      <c r="F272" s="4"/>
    </row>
    <row r="273" spans="1:6" x14ac:dyDescent="0.3">
      <c r="A273" s="4"/>
      <c r="B273" s="4"/>
      <c r="C273" s="4"/>
      <c r="D273" s="4"/>
      <c r="E273" s="4"/>
      <c r="F273" s="4"/>
    </row>
    <row r="274" spans="1:6" x14ac:dyDescent="0.3">
      <c r="A274" s="4"/>
      <c r="B274" s="4"/>
      <c r="C274" s="4"/>
      <c r="D274" s="4"/>
      <c r="E274" s="4"/>
      <c r="F274" s="4"/>
    </row>
    <row r="275" spans="1:6" x14ac:dyDescent="0.3">
      <c r="A275" s="4"/>
      <c r="B275" s="4"/>
      <c r="C275" s="4"/>
      <c r="D275" s="4"/>
      <c r="E275" s="4"/>
      <c r="F275" s="4"/>
    </row>
    <row r="276" spans="1:6" x14ac:dyDescent="0.3">
      <c r="A276" s="4"/>
      <c r="B276" s="4"/>
      <c r="C276" s="4"/>
      <c r="D276" s="4"/>
      <c r="E276" s="4"/>
      <c r="F276" s="4"/>
    </row>
    <row r="277" spans="1:6" x14ac:dyDescent="0.3">
      <c r="A277" s="4"/>
      <c r="B277" s="4"/>
      <c r="C277" s="4"/>
      <c r="D277" s="4"/>
      <c r="E277" s="4"/>
      <c r="F277" s="4"/>
    </row>
    <row r="278" spans="1:6" x14ac:dyDescent="0.3">
      <c r="A278" s="4"/>
      <c r="B278" s="4"/>
      <c r="C278" s="4"/>
      <c r="D278" s="4"/>
      <c r="E278" s="4"/>
      <c r="F278" s="4"/>
    </row>
    <row r="279" spans="1:6" x14ac:dyDescent="0.3">
      <c r="A279" s="4"/>
      <c r="B279" s="4"/>
      <c r="C279" s="4"/>
      <c r="D279" s="4"/>
      <c r="E279" s="4"/>
      <c r="F279" s="4"/>
    </row>
    <row r="280" spans="1:6" x14ac:dyDescent="0.3">
      <c r="A280" s="4"/>
      <c r="B280" s="4"/>
      <c r="C280" s="4"/>
      <c r="D280" s="4"/>
      <c r="E280" s="4"/>
      <c r="F280" s="4"/>
    </row>
    <row r="281" spans="1:6" x14ac:dyDescent="0.3">
      <c r="A281" s="4"/>
      <c r="B281" s="4"/>
      <c r="C281" s="4"/>
      <c r="D281" s="4"/>
      <c r="E281" s="4"/>
      <c r="F281" s="4"/>
    </row>
    <row r="282" spans="1:6" x14ac:dyDescent="0.3">
      <c r="A282" s="4"/>
      <c r="B282" s="4"/>
      <c r="C282" s="4"/>
      <c r="D282" s="4"/>
      <c r="E282" s="4"/>
      <c r="F282" s="4"/>
    </row>
    <row r="283" spans="1:6" x14ac:dyDescent="0.3">
      <c r="A283" s="4"/>
      <c r="B283" s="4"/>
      <c r="C283" s="4"/>
      <c r="D283" s="4"/>
      <c r="E283" s="4"/>
      <c r="F283" s="4"/>
    </row>
    <row r="284" spans="1:6" x14ac:dyDescent="0.3">
      <c r="A284" s="4"/>
      <c r="B284" s="4"/>
      <c r="C284" s="4"/>
      <c r="D284" s="4"/>
      <c r="E284" s="4"/>
      <c r="F284" s="4"/>
    </row>
    <row r="285" spans="1:6" x14ac:dyDescent="0.3">
      <c r="A285" s="4"/>
      <c r="B285" s="4"/>
      <c r="C285" s="4"/>
      <c r="D285" s="4"/>
      <c r="E285" s="4"/>
      <c r="F285" s="4"/>
    </row>
    <row r="286" spans="1:6" x14ac:dyDescent="0.3">
      <c r="A286" s="4"/>
      <c r="B286" s="4"/>
      <c r="C286" s="4"/>
      <c r="D286" s="4"/>
      <c r="E286" s="4"/>
      <c r="F286" s="4"/>
    </row>
    <row r="287" spans="1:6" x14ac:dyDescent="0.3">
      <c r="A287" s="4"/>
      <c r="B287" s="4"/>
      <c r="C287" s="4"/>
      <c r="D287" s="4"/>
      <c r="E287" s="4"/>
      <c r="F287" s="4"/>
    </row>
    <row r="288" spans="1:6" x14ac:dyDescent="0.3">
      <c r="A288" s="4"/>
      <c r="B288" s="4"/>
      <c r="C288" s="4"/>
      <c r="D288" s="4"/>
      <c r="E288" s="4"/>
      <c r="F288" s="4"/>
    </row>
    <row r="289" spans="1:6" x14ac:dyDescent="0.3">
      <c r="A289" s="4"/>
      <c r="B289" s="4"/>
      <c r="C289" s="4"/>
      <c r="D289" s="4"/>
      <c r="E289" s="4"/>
      <c r="F289" s="4"/>
    </row>
    <row r="290" spans="1:6" x14ac:dyDescent="0.3">
      <c r="A290" s="4"/>
      <c r="B290" s="4"/>
      <c r="C290" s="4"/>
      <c r="D290" s="4"/>
      <c r="E290" s="4"/>
      <c r="F290" s="4"/>
    </row>
    <row r="291" spans="1:6" x14ac:dyDescent="0.3">
      <c r="A291" s="4"/>
      <c r="B291" s="4"/>
      <c r="C291" s="4"/>
      <c r="D291" s="4"/>
      <c r="E291" s="4"/>
      <c r="F291" s="4"/>
    </row>
    <row r="292" spans="1:6" x14ac:dyDescent="0.3">
      <c r="A292" s="4"/>
      <c r="B292" s="4"/>
      <c r="C292" s="4"/>
      <c r="D292" s="4"/>
      <c r="E292" s="4"/>
      <c r="F292" s="4"/>
    </row>
    <row r="293" spans="1:6" x14ac:dyDescent="0.3">
      <c r="A293" s="4"/>
      <c r="B293" s="4"/>
      <c r="C293" s="4"/>
      <c r="D293" s="4"/>
      <c r="E293" s="4"/>
      <c r="F293" s="4"/>
    </row>
    <row r="294" spans="1:6" x14ac:dyDescent="0.3">
      <c r="A294" s="4"/>
      <c r="B294" s="4"/>
      <c r="C294" s="4"/>
      <c r="D294" s="4"/>
      <c r="E294" s="4"/>
      <c r="F294" s="4"/>
    </row>
    <row r="295" spans="1:6" x14ac:dyDescent="0.3">
      <c r="A295" s="4"/>
      <c r="B295" s="4"/>
      <c r="C295" s="4"/>
      <c r="D295" s="4"/>
      <c r="E295" s="4"/>
      <c r="F295" s="4"/>
    </row>
    <row r="296" spans="1:6" x14ac:dyDescent="0.3">
      <c r="A296" s="4"/>
      <c r="B296" s="4"/>
      <c r="C296" s="4"/>
      <c r="D296" s="4"/>
      <c r="E296" s="4"/>
      <c r="F296" s="4"/>
    </row>
    <row r="297" spans="1:6" x14ac:dyDescent="0.3">
      <c r="A297" s="4"/>
      <c r="B297" s="4"/>
      <c r="C297" s="4"/>
      <c r="D297" s="4"/>
      <c r="E297" s="4"/>
      <c r="F297" s="4"/>
    </row>
    <row r="298" spans="1:6" x14ac:dyDescent="0.3">
      <c r="A298" s="4"/>
      <c r="B298" s="4"/>
      <c r="C298" s="4"/>
      <c r="D298" s="4"/>
      <c r="E298" s="4"/>
      <c r="F298" s="4"/>
    </row>
    <row r="299" spans="1:6" x14ac:dyDescent="0.3">
      <c r="A299" s="4"/>
      <c r="B299" s="4"/>
      <c r="C299" s="4"/>
      <c r="D299" s="4"/>
      <c r="E299" s="4"/>
      <c r="F299" s="4"/>
    </row>
    <row r="300" spans="1:6" x14ac:dyDescent="0.3">
      <c r="A300" s="4"/>
      <c r="B300" s="4"/>
      <c r="C300" s="4"/>
      <c r="D300" s="4"/>
      <c r="E300" s="4"/>
      <c r="F300" s="4"/>
    </row>
    <row r="301" spans="1:6" x14ac:dyDescent="0.3">
      <c r="A301" s="4"/>
      <c r="B301" s="4"/>
      <c r="C301" s="4"/>
      <c r="D301" s="4"/>
      <c r="E301" s="4"/>
      <c r="F301" s="4"/>
    </row>
    <row r="302" spans="1:6" x14ac:dyDescent="0.3">
      <c r="A302" s="4"/>
      <c r="B302" s="4"/>
      <c r="C302" s="4"/>
      <c r="D302" s="4"/>
      <c r="E302" s="4"/>
      <c r="F302" s="4"/>
    </row>
    <row r="303" spans="1:6" x14ac:dyDescent="0.3">
      <c r="A303" s="4"/>
      <c r="B303" s="4"/>
      <c r="C303" s="4"/>
      <c r="D303" s="4"/>
      <c r="E303" s="4"/>
      <c r="F303" s="4"/>
    </row>
    <row r="304" spans="1:6" x14ac:dyDescent="0.3">
      <c r="A304" s="4"/>
      <c r="B304" s="4"/>
      <c r="C304" s="4"/>
      <c r="D304" s="4"/>
      <c r="E304" s="4"/>
      <c r="F304" s="4"/>
    </row>
    <row r="305" spans="1:6" x14ac:dyDescent="0.3">
      <c r="A305" s="4"/>
      <c r="B305" s="4"/>
      <c r="C305" s="4"/>
      <c r="D305" s="4"/>
      <c r="E305" s="4"/>
      <c r="F305" s="4"/>
    </row>
    <row r="306" spans="1:6" x14ac:dyDescent="0.3">
      <c r="A306" s="4"/>
      <c r="B306" s="4"/>
      <c r="C306" s="4"/>
      <c r="D306" s="4"/>
      <c r="E306" s="4"/>
      <c r="F306" s="4"/>
    </row>
    <row r="307" spans="1:6" x14ac:dyDescent="0.3">
      <c r="A307" s="4"/>
      <c r="B307" s="4"/>
      <c r="C307" s="4"/>
      <c r="D307" s="4"/>
      <c r="E307" s="4"/>
      <c r="F307" s="4"/>
    </row>
    <row r="308" spans="1:6" x14ac:dyDescent="0.3">
      <c r="A308" s="4"/>
      <c r="B308" s="4"/>
      <c r="C308" s="4"/>
      <c r="D308" s="4"/>
      <c r="E308" s="4"/>
      <c r="F308" s="4"/>
    </row>
    <row r="309" spans="1:6" x14ac:dyDescent="0.3">
      <c r="A309" s="4"/>
      <c r="B309" s="4"/>
      <c r="C309" s="4"/>
      <c r="D309" s="4"/>
      <c r="E309" s="4"/>
      <c r="F309" s="4"/>
    </row>
    <row r="310" spans="1:6" x14ac:dyDescent="0.3">
      <c r="A310" s="4"/>
      <c r="B310" s="4"/>
      <c r="C310" s="4"/>
      <c r="D310" s="4"/>
      <c r="E310" s="4"/>
      <c r="F310" s="4"/>
    </row>
    <row r="311" spans="1:6" x14ac:dyDescent="0.3">
      <c r="A311" s="4"/>
      <c r="B311" s="4"/>
      <c r="C311" s="4"/>
      <c r="D311" s="4"/>
      <c r="E311" s="4"/>
      <c r="F311" s="4"/>
    </row>
    <row r="312" spans="1:6" x14ac:dyDescent="0.3">
      <c r="A312" s="4"/>
      <c r="B312" s="4"/>
      <c r="C312" s="4"/>
      <c r="D312" s="4"/>
      <c r="E312" s="4"/>
      <c r="F312" s="4"/>
    </row>
    <row r="313" spans="1:6" x14ac:dyDescent="0.3">
      <c r="A313" s="4"/>
      <c r="B313" s="4"/>
      <c r="C313" s="4"/>
      <c r="D313" s="4"/>
      <c r="E313" s="4"/>
      <c r="F313" s="4"/>
    </row>
    <row r="314" spans="1:6" x14ac:dyDescent="0.3">
      <c r="A314" s="4"/>
      <c r="B314" s="4"/>
      <c r="C314" s="4"/>
      <c r="D314" s="4"/>
      <c r="E314" s="4"/>
      <c r="F314" s="4"/>
    </row>
    <row r="315" spans="1:6" x14ac:dyDescent="0.3">
      <c r="A315" s="4"/>
      <c r="B315" s="4"/>
      <c r="C315" s="4"/>
      <c r="D315" s="4"/>
      <c r="E315" s="4"/>
      <c r="F315" s="4"/>
    </row>
    <row r="316" spans="1:6" x14ac:dyDescent="0.3">
      <c r="A316" s="4"/>
      <c r="B316" s="4"/>
      <c r="C316" s="4"/>
      <c r="D316" s="4"/>
      <c r="E316" s="4"/>
      <c r="F316" s="4"/>
    </row>
    <row r="317" spans="1:6" x14ac:dyDescent="0.3">
      <c r="A317" s="4"/>
      <c r="B317" s="4"/>
      <c r="C317" s="4"/>
      <c r="D317" s="4"/>
      <c r="E317" s="4"/>
      <c r="F317" s="4"/>
    </row>
    <row r="318" spans="1:6" x14ac:dyDescent="0.3">
      <c r="A318" s="4"/>
      <c r="B318" s="4"/>
      <c r="C318" s="4"/>
      <c r="D318" s="4"/>
      <c r="E318" s="4"/>
      <c r="F318" s="4"/>
    </row>
    <row r="319" spans="1:6" x14ac:dyDescent="0.3">
      <c r="A319" s="4"/>
      <c r="B319" s="4"/>
      <c r="C319" s="4"/>
      <c r="D319" s="4"/>
      <c r="E319" s="4"/>
      <c r="F319" s="4"/>
    </row>
    <row r="320" spans="1:6" x14ac:dyDescent="0.3">
      <c r="A320" s="4"/>
      <c r="B320" s="4"/>
      <c r="C320" s="4"/>
      <c r="D320" s="4"/>
      <c r="E320" s="4"/>
      <c r="F320" s="4"/>
    </row>
    <row r="321" spans="1:6" x14ac:dyDescent="0.3">
      <c r="A321" s="4"/>
      <c r="B321" s="4"/>
      <c r="C321" s="4"/>
      <c r="D321" s="4"/>
      <c r="E321" s="4"/>
      <c r="F321" s="4"/>
    </row>
    <row r="322" spans="1:6" x14ac:dyDescent="0.3">
      <c r="A322" s="4"/>
      <c r="B322" s="4"/>
      <c r="C322" s="4"/>
      <c r="D322" s="4"/>
      <c r="E322" s="4"/>
      <c r="F322" s="4"/>
    </row>
    <row r="323" spans="1:6" x14ac:dyDescent="0.3">
      <c r="A323" s="4"/>
      <c r="B323" s="4"/>
      <c r="C323" s="4"/>
      <c r="D323" s="4"/>
      <c r="E323" s="4"/>
      <c r="F323" s="4"/>
    </row>
    <row r="324" spans="1:6" x14ac:dyDescent="0.3">
      <c r="A324" s="4"/>
      <c r="B324" s="4"/>
      <c r="C324" s="4"/>
      <c r="D324" s="4"/>
      <c r="E324" s="4"/>
      <c r="F324" s="4"/>
    </row>
    <row r="325" spans="1:6" x14ac:dyDescent="0.3">
      <c r="A325" s="4"/>
      <c r="B325" s="4"/>
      <c r="C325" s="4"/>
      <c r="D325" s="4"/>
      <c r="E325" s="4"/>
      <c r="F325" s="4"/>
    </row>
    <row r="326" spans="1:6" x14ac:dyDescent="0.3">
      <c r="A326" s="4"/>
      <c r="B326" s="4"/>
      <c r="C326" s="4"/>
      <c r="D326" s="4"/>
      <c r="E326" s="4"/>
      <c r="F326" s="4"/>
    </row>
    <row r="327" spans="1:6" x14ac:dyDescent="0.3">
      <c r="A327" s="4"/>
      <c r="B327" s="4"/>
      <c r="C327" s="4"/>
      <c r="D327" s="4"/>
      <c r="E327" s="4"/>
      <c r="F327" s="4"/>
    </row>
    <row r="328" spans="1:6" x14ac:dyDescent="0.3">
      <c r="A328" s="4"/>
      <c r="B328" s="4"/>
      <c r="C328" s="4"/>
      <c r="D328" s="4"/>
      <c r="E328" s="4"/>
      <c r="F328" s="4"/>
    </row>
    <row r="329" spans="1:6" x14ac:dyDescent="0.3">
      <c r="A329" s="4"/>
      <c r="B329" s="4"/>
      <c r="C329" s="4"/>
      <c r="D329" s="4"/>
      <c r="E329" s="4"/>
      <c r="F329" s="4"/>
    </row>
    <row r="330" spans="1:6" x14ac:dyDescent="0.3">
      <c r="A330" s="4"/>
      <c r="B330" s="4"/>
      <c r="C330" s="4"/>
      <c r="D330" s="4"/>
      <c r="E330" s="4"/>
      <c r="F330" s="4"/>
    </row>
    <row r="331" spans="1:6" x14ac:dyDescent="0.3">
      <c r="A331" s="4"/>
      <c r="B331" s="4"/>
      <c r="C331" s="4"/>
      <c r="D331" s="4"/>
      <c r="E331" s="4"/>
      <c r="F331" s="4"/>
    </row>
    <row r="332" spans="1:6" x14ac:dyDescent="0.3">
      <c r="A332" s="4"/>
      <c r="B332" s="4"/>
      <c r="C332" s="4"/>
      <c r="D332" s="4"/>
      <c r="E332" s="4"/>
      <c r="F332" s="4"/>
    </row>
    <row r="333" spans="1:6" x14ac:dyDescent="0.3">
      <c r="A333" s="4"/>
      <c r="B333" s="4"/>
      <c r="C333" s="4"/>
      <c r="D333" s="4"/>
      <c r="E333" s="4"/>
      <c r="F333" s="4"/>
    </row>
    <row r="334" spans="1:6" x14ac:dyDescent="0.3">
      <c r="A334" s="4"/>
      <c r="B334" s="4"/>
      <c r="C334" s="4"/>
      <c r="D334" s="4"/>
      <c r="E334" s="4"/>
      <c r="F334" s="4"/>
    </row>
    <row r="335" spans="1:6" x14ac:dyDescent="0.3">
      <c r="A335" s="4"/>
      <c r="B335" s="4"/>
      <c r="C335" s="4"/>
      <c r="D335" s="4"/>
      <c r="E335" s="4"/>
      <c r="F335" s="4"/>
    </row>
    <row r="336" spans="1:6" x14ac:dyDescent="0.3">
      <c r="A336" s="4"/>
      <c r="B336" s="4"/>
      <c r="C336" s="4"/>
      <c r="D336" s="4"/>
      <c r="E336" s="4"/>
      <c r="F336" s="4"/>
    </row>
    <row r="337" spans="1:6" x14ac:dyDescent="0.3">
      <c r="A337" s="4"/>
      <c r="B337" s="4"/>
      <c r="C337" s="4"/>
      <c r="D337" s="4"/>
      <c r="E337" s="4"/>
      <c r="F337" s="4"/>
    </row>
    <row r="338" spans="1:6" x14ac:dyDescent="0.3">
      <c r="A338" s="4"/>
      <c r="B338" s="4"/>
      <c r="C338" s="4"/>
      <c r="D338" s="4"/>
      <c r="E338" s="4"/>
      <c r="F338" s="4"/>
    </row>
    <row r="339" spans="1:6" x14ac:dyDescent="0.3">
      <c r="A339" s="4"/>
      <c r="B339" s="4"/>
      <c r="C339" s="4"/>
      <c r="D339" s="4"/>
      <c r="E339" s="4"/>
      <c r="F339" s="4"/>
    </row>
    <row r="340" spans="1:6" x14ac:dyDescent="0.3">
      <c r="A340" s="4"/>
      <c r="B340" s="4"/>
      <c r="C340" s="4"/>
      <c r="D340" s="4"/>
      <c r="E340" s="4"/>
      <c r="F340" s="4"/>
    </row>
    <row r="341" spans="1:6" x14ac:dyDescent="0.3">
      <c r="A341" s="4"/>
      <c r="B341" s="4"/>
      <c r="C341" s="4"/>
      <c r="D341" s="4"/>
      <c r="E341" s="4"/>
      <c r="F341" s="4"/>
    </row>
    <row r="342" spans="1:6" x14ac:dyDescent="0.3">
      <c r="A342" s="4"/>
      <c r="B342" s="4"/>
      <c r="C342" s="4"/>
      <c r="D342" s="4"/>
      <c r="E342" s="4"/>
      <c r="F342" s="4"/>
    </row>
    <row r="343" spans="1:6" x14ac:dyDescent="0.3">
      <c r="A343" s="4"/>
      <c r="B343" s="4"/>
      <c r="C343" s="4"/>
      <c r="D343" s="4"/>
      <c r="E343" s="4"/>
      <c r="F343" s="4"/>
    </row>
    <row r="344" spans="1:6" x14ac:dyDescent="0.3">
      <c r="A344" s="4"/>
      <c r="B344" s="4"/>
      <c r="C344" s="4"/>
      <c r="D344" s="4"/>
      <c r="E344" s="4"/>
      <c r="F344" s="4"/>
    </row>
    <row r="345" spans="1:6" x14ac:dyDescent="0.3">
      <c r="A345" s="4"/>
      <c r="B345" s="4"/>
      <c r="C345" s="4"/>
      <c r="D345" s="4"/>
      <c r="E345" s="4"/>
      <c r="F345" s="4"/>
    </row>
    <row r="346" spans="1:6" x14ac:dyDescent="0.3">
      <c r="A346" s="4"/>
      <c r="B346" s="4"/>
      <c r="C346" s="4"/>
      <c r="D346" s="4"/>
      <c r="E346" s="4"/>
      <c r="F346" s="4"/>
    </row>
    <row r="347" spans="1:6" x14ac:dyDescent="0.3">
      <c r="A347" s="4"/>
      <c r="B347" s="4"/>
      <c r="C347" s="4"/>
      <c r="D347" s="4"/>
      <c r="E347" s="4"/>
      <c r="F347" s="4"/>
    </row>
    <row r="348" spans="1:6" x14ac:dyDescent="0.3">
      <c r="A348" s="4"/>
      <c r="B348" s="4"/>
      <c r="C348" s="4"/>
      <c r="D348" s="4"/>
      <c r="E348" s="4"/>
      <c r="F348" s="4"/>
    </row>
    <row r="349" spans="1:6" x14ac:dyDescent="0.3">
      <c r="A349" s="4"/>
      <c r="B349" s="4"/>
      <c r="C349" s="4"/>
      <c r="D349" s="4"/>
      <c r="E349" s="4"/>
      <c r="F349" s="4"/>
    </row>
    <row r="350" spans="1:6" x14ac:dyDescent="0.3">
      <c r="A350" s="4"/>
      <c r="B350" s="4"/>
      <c r="C350" s="4"/>
      <c r="D350" s="4"/>
      <c r="E350" s="4"/>
      <c r="F350" s="4"/>
    </row>
    <row r="351" spans="1:6" x14ac:dyDescent="0.3">
      <c r="A351" s="4"/>
      <c r="B351" s="4"/>
      <c r="C351" s="4"/>
      <c r="D351" s="4"/>
      <c r="E351" s="4"/>
      <c r="F351" s="4"/>
    </row>
    <row r="352" spans="1:6" x14ac:dyDescent="0.3">
      <c r="A352" s="4"/>
      <c r="B352" s="4"/>
      <c r="C352" s="4"/>
      <c r="D352" s="4"/>
      <c r="E352" s="4"/>
      <c r="F352" s="4"/>
    </row>
    <row r="353" spans="1:6" x14ac:dyDescent="0.3">
      <c r="A353" s="4"/>
      <c r="B353" s="4"/>
      <c r="C353" s="4"/>
      <c r="D353" s="4"/>
      <c r="E353" s="4"/>
      <c r="F353" s="4"/>
    </row>
    <row r="354" spans="1:6" x14ac:dyDescent="0.3">
      <c r="A354" s="4"/>
      <c r="B354" s="4"/>
      <c r="C354" s="4"/>
      <c r="D354" s="4"/>
      <c r="E354" s="4"/>
      <c r="F354" s="4"/>
    </row>
    <row r="355" spans="1:6" x14ac:dyDescent="0.3">
      <c r="A355" s="4"/>
      <c r="B355" s="4"/>
      <c r="C355" s="4"/>
      <c r="D355" s="4"/>
      <c r="E355" s="4"/>
      <c r="F355" s="4"/>
    </row>
    <row r="356" spans="1:6" x14ac:dyDescent="0.3">
      <c r="A356" s="4"/>
      <c r="B356" s="4"/>
      <c r="C356" s="4"/>
      <c r="D356" s="4"/>
      <c r="E356" s="4"/>
      <c r="F356" s="4"/>
    </row>
    <row r="357" spans="1:6" x14ac:dyDescent="0.3">
      <c r="A357" s="4"/>
      <c r="B357" s="4"/>
      <c r="C357" s="4"/>
      <c r="D357" s="4"/>
      <c r="E357" s="4"/>
      <c r="F357" s="4"/>
    </row>
    <row r="358" spans="1:6" x14ac:dyDescent="0.3">
      <c r="A358" s="4"/>
      <c r="B358" s="4"/>
      <c r="C358" s="4"/>
      <c r="D358" s="4"/>
      <c r="E358" s="4"/>
      <c r="F358" s="4"/>
    </row>
    <row r="359" spans="1:6" x14ac:dyDescent="0.3">
      <c r="A359" s="4"/>
      <c r="B359" s="4"/>
      <c r="C359" s="4"/>
      <c r="D359" s="4"/>
      <c r="E359" s="4"/>
      <c r="F359" s="4"/>
    </row>
    <row r="360" spans="1:6" x14ac:dyDescent="0.3">
      <c r="A360" s="4"/>
      <c r="B360" s="4"/>
      <c r="C360" s="4"/>
      <c r="D360" s="4"/>
      <c r="E360" s="4"/>
      <c r="F360" s="4"/>
    </row>
    <row r="361" spans="1:6" x14ac:dyDescent="0.3">
      <c r="A361" s="4"/>
      <c r="B361" s="4"/>
      <c r="C361" s="4"/>
      <c r="D361" s="4"/>
      <c r="E361" s="4"/>
      <c r="F361" s="4"/>
    </row>
    <row r="362" spans="1:6" x14ac:dyDescent="0.3">
      <c r="A362" s="4"/>
      <c r="B362" s="4"/>
      <c r="C362" s="4"/>
      <c r="D362" s="4"/>
      <c r="E362" s="4"/>
      <c r="F362" s="4"/>
    </row>
    <row r="363" spans="1:6" x14ac:dyDescent="0.3">
      <c r="A363" s="4"/>
      <c r="B363" s="4"/>
      <c r="C363" s="4"/>
      <c r="D363" s="4"/>
      <c r="E363" s="4"/>
      <c r="F363" s="4"/>
    </row>
    <row r="364" spans="1:6" x14ac:dyDescent="0.3">
      <c r="A364" s="4"/>
      <c r="B364" s="4"/>
      <c r="C364" s="4"/>
      <c r="D364" s="4"/>
      <c r="E364" s="4"/>
      <c r="F364" s="4"/>
    </row>
    <row r="365" spans="1:6" x14ac:dyDescent="0.3">
      <c r="A365" s="4"/>
      <c r="B365" s="4"/>
      <c r="C365" s="4"/>
      <c r="D365" s="4"/>
      <c r="E365" s="4"/>
      <c r="F365" s="4"/>
    </row>
    <row r="366" spans="1:6" x14ac:dyDescent="0.3">
      <c r="A366" s="4"/>
      <c r="B366" s="4"/>
      <c r="C366" s="4"/>
      <c r="D366" s="4"/>
      <c r="E366" s="4"/>
      <c r="F366" s="4"/>
    </row>
    <row r="367" spans="1:6" x14ac:dyDescent="0.3">
      <c r="A367" s="4"/>
      <c r="B367" s="4"/>
      <c r="C367" s="4"/>
      <c r="D367" s="4"/>
      <c r="E367" s="4"/>
      <c r="F367" s="4"/>
    </row>
    <row r="368" spans="1:6" x14ac:dyDescent="0.3">
      <c r="A368" s="4"/>
      <c r="B368" s="4"/>
      <c r="C368" s="4"/>
      <c r="D368" s="4"/>
      <c r="E368" s="4"/>
      <c r="F368" s="4"/>
    </row>
    <row r="369" spans="1:6" x14ac:dyDescent="0.3">
      <c r="A369" s="4"/>
      <c r="B369" s="4"/>
      <c r="C369" s="4"/>
      <c r="D369" s="4"/>
      <c r="E369" s="4"/>
      <c r="F369" s="4"/>
    </row>
    <row r="370" spans="1:6" x14ac:dyDescent="0.3">
      <c r="A370" s="4"/>
      <c r="B370" s="4"/>
      <c r="C370" s="4"/>
      <c r="D370" s="4"/>
      <c r="E370" s="4"/>
      <c r="F370" s="4"/>
    </row>
    <row r="371" spans="1:6" x14ac:dyDescent="0.3">
      <c r="A371" s="4"/>
      <c r="B371" s="4"/>
      <c r="C371" s="4"/>
      <c r="D371" s="4"/>
      <c r="E371" s="4"/>
      <c r="F371" s="4"/>
    </row>
    <row r="372" spans="1:6" x14ac:dyDescent="0.3">
      <c r="A372" s="4"/>
      <c r="B372" s="4"/>
      <c r="C372" s="4"/>
      <c r="D372" s="4"/>
      <c r="E372" s="4"/>
      <c r="F372" s="4"/>
    </row>
    <row r="373" spans="1:6" x14ac:dyDescent="0.3">
      <c r="A373" s="4"/>
      <c r="B373" s="4"/>
      <c r="C373" s="4"/>
      <c r="D373" s="4"/>
      <c r="E373" s="4"/>
      <c r="F373" s="4"/>
    </row>
    <row r="374" spans="1:6" x14ac:dyDescent="0.3">
      <c r="A374" s="4"/>
      <c r="B374" s="4"/>
      <c r="C374" s="4"/>
      <c r="D374" s="4"/>
      <c r="E374" s="4"/>
      <c r="F374" s="4"/>
    </row>
    <row r="375" spans="1:6" x14ac:dyDescent="0.3">
      <c r="A375" s="4"/>
      <c r="B375" s="4"/>
      <c r="C375" s="4"/>
      <c r="D375" s="4"/>
      <c r="E375" s="4"/>
      <c r="F375" s="4"/>
    </row>
    <row r="376" spans="1:6" x14ac:dyDescent="0.3">
      <c r="A376" s="4"/>
      <c r="B376" s="4"/>
      <c r="C376" s="4"/>
      <c r="D376" s="4"/>
      <c r="E376" s="4"/>
      <c r="F376" s="4"/>
    </row>
    <row r="377" spans="1:6" x14ac:dyDescent="0.3">
      <c r="A377" s="4"/>
      <c r="B377" s="4"/>
      <c r="C377" s="4"/>
      <c r="D377" s="4"/>
      <c r="E377" s="4"/>
      <c r="F377" s="4"/>
    </row>
    <row r="378" spans="1:6" x14ac:dyDescent="0.3">
      <c r="A378" s="4"/>
      <c r="B378" s="4"/>
      <c r="C378" s="4"/>
      <c r="D378" s="4"/>
      <c r="E378" s="4"/>
      <c r="F378" s="4"/>
    </row>
    <row r="379" spans="1:6" x14ac:dyDescent="0.3">
      <c r="A379" s="4"/>
      <c r="B379" s="4"/>
      <c r="C379" s="4"/>
      <c r="D379" s="4"/>
      <c r="E379" s="4"/>
      <c r="F379" s="4"/>
    </row>
    <row r="380" spans="1:6" x14ac:dyDescent="0.3">
      <c r="A380" s="4"/>
      <c r="B380" s="4"/>
      <c r="C380" s="4"/>
      <c r="D380" s="4"/>
      <c r="E380" s="4"/>
      <c r="F380" s="4"/>
    </row>
    <row r="381" spans="1:6" x14ac:dyDescent="0.3">
      <c r="A381" s="4"/>
      <c r="B381" s="4"/>
      <c r="C381" s="4"/>
      <c r="D381" s="4"/>
      <c r="E381" s="4"/>
      <c r="F381" s="4"/>
    </row>
    <row r="382" spans="1:6" x14ac:dyDescent="0.3">
      <c r="A382" s="4"/>
      <c r="B382" s="4"/>
      <c r="C382" s="4"/>
      <c r="D382" s="4"/>
      <c r="E382" s="4"/>
      <c r="F382" s="4"/>
    </row>
    <row r="383" spans="1:6" x14ac:dyDescent="0.3">
      <c r="A383" s="4"/>
      <c r="B383" s="4"/>
      <c r="C383" s="4"/>
      <c r="D383" s="4"/>
      <c r="E383" s="4"/>
      <c r="F383" s="4"/>
    </row>
    <row r="384" spans="1:6" x14ac:dyDescent="0.3">
      <c r="A384" s="4"/>
      <c r="B384" s="4"/>
      <c r="C384" s="4"/>
      <c r="D384" s="4"/>
      <c r="E384" s="4"/>
      <c r="F384" s="4"/>
    </row>
    <row r="385" spans="1:6" x14ac:dyDescent="0.3">
      <c r="A385" s="4"/>
      <c r="B385" s="4"/>
      <c r="C385" s="4"/>
      <c r="D385" s="4"/>
      <c r="E385" s="4"/>
      <c r="F385" s="4"/>
    </row>
    <row r="386" spans="1:6" x14ac:dyDescent="0.3">
      <c r="A386" s="4"/>
      <c r="B386" s="4"/>
      <c r="C386" s="4"/>
      <c r="D386" s="4"/>
      <c r="E386" s="4"/>
      <c r="F386" s="4"/>
    </row>
    <row r="387" spans="1:6" x14ac:dyDescent="0.3">
      <c r="A387" s="4"/>
      <c r="B387" s="4"/>
      <c r="C387" s="4"/>
      <c r="D387" s="4"/>
      <c r="E387" s="4"/>
      <c r="F387" s="4"/>
    </row>
    <row r="388" spans="1:6" x14ac:dyDescent="0.3">
      <c r="A388" s="4"/>
      <c r="B388" s="4"/>
      <c r="C388" s="4"/>
      <c r="D388" s="4"/>
      <c r="E388" s="4"/>
      <c r="F388" s="4"/>
    </row>
    <row r="389" spans="1:6" x14ac:dyDescent="0.3">
      <c r="A389" s="4"/>
      <c r="B389" s="4"/>
      <c r="C389" s="4"/>
      <c r="D389" s="4"/>
      <c r="E389" s="4"/>
      <c r="F389" s="4"/>
    </row>
    <row r="390" spans="1:6" x14ac:dyDescent="0.3">
      <c r="A390" s="4"/>
      <c r="B390" s="4"/>
      <c r="C390" s="4"/>
      <c r="D390" s="4"/>
      <c r="E390" s="4"/>
      <c r="F390" s="4"/>
    </row>
    <row r="391" spans="1:6" x14ac:dyDescent="0.3">
      <c r="A391" s="4"/>
      <c r="B391" s="4"/>
      <c r="C391" s="4"/>
      <c r="D391" s="4"/>
      <c r="E391" s="4"/>
      <c r="F391" s="4"/>
    </row>
    <row r="392" spans="1:6" x14ac:dyDescent="0.3">
      <c r="A392" s="4"/>
      <c r="B392" s="4"/>
      <c r="C392" s="4"/>
      <c r="D392" s="4"/>
      <c r="E392" s="4"/>
      <c r="F392" s="4"/>
    </row>
    <row r="393" spans="1:6" x14ac:dyDescent="0.3">
      <c r="A393" s="4"/>
      <c r="B393" s="4"/>
      <c r="C393" s="4"/>
      <c r="D393" s="4"/>
      <c r="E393" s="4"/>
      <c r="F393" s="4"/>
    </row>
    <row r="394" spans="1:6" x14ac:dyDescent="0.3">
      <c r="A394" s="4"/>
      <c r="B394" s="4"/>
      <c r="C394" s="4"/>
      <c r="D394" s="4"/>
      <c r="E394" s="4"/>
      <c r="F394" s="4"/>
    </row>
    <row r="395" spans="1:6" x14ac:dyDescent="0.3">
      <c r="A395" s="4"/>
      <c r="B395" s="4"/>
      <c r="C395" s="4"/>
      <c r="D395" s="4"/>
      <c r="E395" s="4"/>
      <c r="F395" s="4"/>
    </row>
    <row r="396" spans="1:6" x14ac:dyDescent="0.3">
      <c r="A396" s="4"/>
      <c r="B396" s="4"/>
      <c r="C396" s="4"/>
      <c r="D396" s="4"/>
      <c r="E396" s="4"/>
      <c r="F396" s="4"/>
    </row>
    <row r="397" spans="1:6" x14ac:dyDescent="0.3">
      <c r="A397" s="4"/>
      <c r="B397" s="4"/>
      <c r="C397" s="4"/>
      <c r="D397" s="4"/>
      <c r="E397" s="4"/>
      <c r="F397" s="4"/>
    </row>
    <row r="398" spans="1:6" x14ac:dyDescent="0.3">
      <c r="A398" s="4"/>
      <c r="B398" s="4"/>
      <c r="C398" s="4"/>
      <c r="D398" s="4"/>
      <c r="E398" s="4"/>
      <c r="F398" s="4"/>
    </row>
    <row r="399" spans="1:6" x14ac:dyDescent="0.3">
      <c r="A399" s="4"/>
      <c r="B399" s="4"/>
      <c r="C399" s="4"/>
      <c r="D399" s="4"/>
      <c r="E399" s="4"/>
      <c r="F399" s="4"/>
    </row>
    <row r="400" spans="1:6" x14ac:dyDescent="0.3">
      <c r="A400" s="4"/>
      <c r="B400" s="4"/>
      <c r="C400" s="4"/>
      <c r="D400" s="4"/>
      <c r="E400" s="4"/>
      <c r="F400" s="4"/>
    </row>
    <row r="401" spans="1:6" x14ac:dyDescent="0.3">
      <c r="A401" s="4"/>
      <c r="B401" s="4"/>
      <c r="C401" s="4"/>
      <c r="D401" s="4"/>
      <c r="E401" s="4"/>
      <c r="F401" s="4"/>
    </row>
    <row r="402" spans="1:6" x14ac:dyDescent="0.3">
      <c r="A402" s="4"/>
      <c r="B402" s="4"/>
      <c r="C402" s="4"/>
      <c r="D402" s="4"/>
      <c r="E402" s="4"/>
      <c r="F402" s="4"/>
    </row>
    <row r="403" spans="1:6" x14ac:dyDescent="0.3">
      <c r="A403" s="4"/>
      <c r="B403" s="4"/>
      <c r="C403" s="4"/>
      <c r="D403" s="4"/>
      <c r="E403" s="4"/>
      <c r="F403" s="4"/>
    </row>
    <row r="404" spans="1:6" x14ac:dyDescent="0.3">
      <c r="A404" s="4"/>
      <c r="B404" s="4"/>
      <c r="C404" s="4"/>
      <c r="D404" s="4"/>
      <c r="E404" s="4"/>
      <c r="F404" s="4"/>
    </row>
    <row r="405" spans="1:6" x14ac:dyDescent="0.3">
      <c r="A405" s="4"/>
      <c r="B405" s="4"/>
      <c r="C405" s="4"/>
      <c r="D405" s="4"/>
      <c r="E405" s="4"/>
      <c r="F405" s="4"/>
    </row>
    <row r="406" spans="1:6" x14ac:dyDescent="0.3">
      <c r="A406" s="4"/>
      <c r="B406" s="4"/>
      <c r="C406" s="4"/>
      <c r="D406" s="4"/>
      <c r="E406" s="4"/>
      <c r="F406" s="4"/>
    </row>
    <row r="407" spans="1:6" x14ac:dyDescent="0.3">
      <c r="A407" s="4"/>
      <c r="B407" s="4"/>
      <c r="C407" s="4"/>
      <c r="D407" s="4"/>
      <c r="E407" s="4"/>
      <c r="F407" s="4"/>
    </row>
    <row r="408" spans="1:6" x14ac:dyDescent="0.3">
      <c r="A408" s="4"/>
      <c r="B408" s="4"/>
      <c r="C408" s="4"/>
      <c r="D408" s="4"/>
      <c r="E408" s="4"/>
      <c r="F408" s="4"/>
    </row>
    <row r="409" spans="1:6" x14ac:dyDescent="0.3">
      <c r="A409" s="4"/>
      <c r="B409" s="4"/>
      <c r="C409" s="4"/>
      <c r="D409" s="4"/>
      <c r="E409" s="4"/>
      <c r="F409" s="4"/>
    </row>
    <row r="410" spans="1:6" x14ac:dyDescent="0.3">
      <c r="A410" s="4"/>
      <c r="B410" s="4"/>
      <c r="C410" s="4"/>
      <c r="D410" s="4"/>
      <c r="E410" s="4"/>
      <c r="F410" s="4"/>
    </row>
    <row r="411" spans="1:6" x14ac:dyDescent="0.3">
      <c r="A411" s="4"/>
      <c r="B411" s="4"/>
      <c r="C411" s="4"/>
      <c r="D411" s="4"/>
      <c r="E411" s="4"/>
      <c r="F411" s="4"/>
    </row>
    <row r="412" spans="1:6" x14ac:dyDescent="0.3">
      <c r="A412" s="4"/>
      <c r="B412" s="4"/>
      <c r="C412" s="4"/>
      <c r="D412" s="4"/>
      <c r="E412" s="4"/>
      <c r="F412" s="4"/>
    </row>
    <row r="413" spans="1:6" x14ac:dyDescent="0.3">
      <c r="A413" s="4"/>
      <c r="B413" s="4"/>
      <c r="C413" s="4"/>
      <c r="D413" s="4"/>
      <c r="E413" s="4"/>
      <c r="F413" s="4"/>
    </row>
    <row r="414" spans="1:6" x14ac:dyDescent="0.3">
      <c r="A414" s="4"/>
      <c r="B414" s="4"/>
      <c r="C414" s="4"/>
      <c r="D414" s="4"/>
      <c r="E414" s="4"/>
      <c r="F414" s="4"/>
    </row>
    <row r="415" spans="1:6" x14ac:dyDescent="0.3">
      <c r="A415" s="4"/>
      <c r="B415" s="4"/>
      <c r="C415" s="4"/>
      <c r="D415" s="4"/>
      <c r="E415" s="4"/>
      <c r="F415" s="4"/>
    </row>
    <row r="416" spans="1:6" x14ac:dyDescent="0.3">
      <c r="A416" s="4"/>
      <c r="B416" s="4"/>
      <c r="C416" s="4"/>
      <c r="D416" s="4"/>
      <c r="E416" s="4"/>
      <c r="F416" s="4"/>
    </row>
    <row r="417" spans="1:6" x14ac:dyDescent="0.3">
      <c r="A417" s="4"/>
      <c r="B417" s="4"/>
      <c r="C417" s="4"/>
      <c r="D417" s="4"/>
      <c r="E417" s="4"/>
      <c r="F417" s="4"/>
    </row>
    <row r="418" spans="1:6" x14ac:dyDescent="0.3">
      <c r="A418" s="4"/>
      <c r="B418" s="4"/>
      <c r="C418" s="4"/>
      <c r="D418" s="4"/>
      <c r="E418" s="4"/>
      <c r="F418" s="4"/>
    </row>
    <row r="419" spans="1:6" x14ac:dyDescent="0.3">
      <c r="A419" s="4"/>
      <c r="B419" s="4"/>
      <c r="C419" s="4"/>
      <c r="D419" s="4"/>
      <c r="E419" s="4"/>
      <c r="F419" s="4"/>
    </row>
    <row r="420" spans="1:6" x14ac:dyDescent="0.3">
      <c r="A420" s="4"/>
      <c r="B420" s="4"/>
      <c r="C420" s="4"/>
      <c r="D420" s="4"/>
      <c r="E420" s="4"/>
      <c r="F420" s="4"/>
    </row>
    <row r="421" spans="1:6" x14ac:dyDescent="0.3">
      <c r="A421" s="4"/>
      <c r="B421" s="4"/>
      <c r="C421" s="4"/>
      <c r="D421" s="4"/>
      <c r="E421" s="4"/>
      <c r="F421" s="4"/>
    </row>
    <row r="422" spans="1:6" x14ac:dyDescent="0.3">
      <c r="A422" s="4"/>
      <c r="B422" s="4"/>
      <c r="C422" s="4"/>
      <c r="D422" s="4"/>
      <c r="E422" s="4"/>
      <c r="F422" s="4"/>
    </row>
    <row r="423" spans="1:6" x14ac:dyDescent="0.3">
      <c r="A423" s="4"/>
      <c r="B423" s="4"/>
      <c r="C423" s="4"/>
      <c r="D423" s="4"/>
      <c r="E423" s="4"/>
      <c r="F423" s="4"/>
    </row>
    <row r="424" spans="1:6" x14ac:dyDescent="0.3">
      <c r="A424" s="4"/>
      <c r="B424" s="4"/>
      <c r="C424" s="4"/>
      <c r="D424" s="4"/>
      <c r="E424" s="4"/>
      <c r="F424" s="4"/>
    </row>
    <row r="425" spans="1:6" x14ac:dyDescent="0.3">
      <c r="A425" s="4"/>
      <c r="B425" s="4"/>
      <c r="C425" s="4"/>
      <c r="D425" s="4"/>
      <c r="E425" s="4"/>
      <c r="F425" s="4"/>
    </row>
    <row r="426" spans="1:6" x14ac:dyDescent="0.3">
      <c r="A426" s="4"/>
      <c r="B426" s="4"/>
      <c r="C426" s="4"/>
      <c r="D426" s="4"/>
      <c r="E426" s="4"/>
      <c r="F426" s="4"/>
    </row>
    <row r="427" spans="1:6" x14ac:dyDescent="0.3">
      <c r="A427" s="4"/>
      <c r="B427" s="4"/>
      <c r="C427" s="4"/>
      <c r="D427" s="4"/>
      <c r="E427" s="4"/>
      <c r="F427" s="4"/>
    </row>
    <row r="428" spans="1:6" x14ac:dyDescent="0.3">
      <c r="A428" s="4"/>
      <c r="B428" s="4"/>
      <c r="C428" s="4"/>
      <c r="D428" s="4"/>
      <c r="E428" s="4"/>
      <c r="F428" s="4"/>
    </row>
    <row r="429" spans="1:6" x14ac:dyDescent="0.3">
      <c r="A429" s="4"/>
      <c r="B429" s="4"/>
      <c r="C429" s="4"/>
      <c r="D429" s="4"/>
      <c r="E429" s="4"/>
      <c r="F429" s="4"/>
    </row>
    <row r="430" spans="1:6" x14ac:dyDescent="0.3">
      <c r="A430" s="4"/>
      <c r="B430" s="4"/>
      <c r="C430" s="4"/>
      <c r="D430" s="4"/>
      <c r="E430" s="4"/>
      <c r="F430" s="4"/>
    </row>
    <row r="431" spans="1:6" x14ac:dyDescent="0.3">
      <c r="A431" s="4"/>
      <c r="B431" s="4"/>
      <c r="C431" s="4"/>
      <c r="D431" s="4"/>
      <c r="E431" s="4"/>
      <c r="F431" s="4"/>
    </row>
    <row r="432" spans="1:6" x14ac:dyDescent="0.3">
      <c r="A432" s="4"/>
      <c r="B432" s="4"/>
      <c r="C432" s="4"/>
      <c r="D432" s="4"/>
      <c r="E432" s="4"/>
      <c r="F432" s="4"/>
    </row>
    <row r="433" spans="1:6" x14ac:dyDescent="0.3">
      <c r="A433" s="4"/>
      <c r="B433" s="4"/>
      <c r="C433" s="4"/>
      <c r="D433" s="4"/>
      <c r="E433" s="4"/>
      <c r="F433" s="4"/>
    </row>
    <row r="434" spans="1:6" x14ac:dyDescent="0.3">
      <c r="A434" s="4"/>
      <c r="B434" s="4"/>
      <c r="C434" s="4"/>
      <c r="D434" s="4"/>
      <c r="E434" s="4"/>
      <c r="F434" s="4"/>
    </row>
    <row r="435" spans="1:6" x14ac:dyDescent="0.3">
      <c r="A435" s="4"/>
      <c r="B435" s="4"/>
      <c r="C435" s="4"/>
      <c r="D435" s="4"/>
      <c r="E435" s="4"/>
      <c r="F435" s="4"/>
    </row>
    <row r="436" spans="1:6" x14ac:dyDescent="0.3">
      <c r="A436" s="4"/>
      <c r="B436" s="4"/>
      <c r="C436" s="4"/>
      <c r="D436" s="4"/>
      <c r="E436" s="4"/>
      <c r="F436" s="4"/>
    </row>
    <row r="437" spans="1:6" x14ac:dyDescent="0.3">
      <c r="A437" s="4"/>
      <c r="B437" s="4"/>
      <c r="C437" s="4"/>
      <c r="D437" s="4"/>
      <c r="E437" s="4"/>
      <c r="F437" s="4"/>
    </row>
    <row r="438" spans="1:6" x14ac:dyDescent="0.3">
      <c r="A438" s="4"/>
      <c r="B438" s="4"/>
      <c r="C438" s="4"/>
      <c r="D438" s="4"/>
      <c r="E438" s="4"/>
      <c r="F438" s="4"/>
    </row>
    <row r="439" spans="1:6" x14ac:dyDescent="0.3">
      <c r="A439" s="4"/>
      <c r="B439" s="4"/>
      <c r="C439" s="4"/>
      <c r="D439" s="4"/>
      <c r="E439" s="4"/>
      <c r="F439" s="4"/>
    </row>
    <row r="440" spans="1:6" x14ac:dyDescent="0.3">
      <c r="A440" s="4"/>
      <c r="B440" s="4"/>
      <c r="C440" s="4"/>
      <c r="D440" s="4"/>
      <c r="E440" s="4"/>
      <c r="F440" s="4"/>
    </row>
    <row r="441" spans="1:6" x14ac:dyDescent="0.3">
      <c r="A441" s="4"/>
      <c r="B441" s="4"/>
      <c r="C441" s="4"/>
      <c r="D441" s="4"/>
      <c r="E441" s="4"/>
      <c r="F441" s="4"/>
    </row>
    <row r="442" spans="1:6" x14ac:dyDescent="0.3">
      <c r="A442" s="4"/>
      <c r="B442" s="4"/>
      <c r="C442" s="4"/>
      <c r="D442" s="4"/>
      <c r="E442" s="4"/>
      <c r="F442" s="4"/>
    </row>
    <row r="443" spans="1:6" x14ac:dyDescent="0.3">
      <c r="A443" s="4"/>
      <c r="B443" s="4"/>
      <c r="C443" s="4"/>
      <c r="D443" s="4"/>
      <c r="E443" s="4"/>
      <c r="F443" s="4"/>
    </row>
    <row r="444" spans="1:6" x14ac:dyDescent="0.3">
      <c r="A444" s="4"/>
      <c r="B444" s="4"/>
      <c r="C444" s="4"/>
      <c r="D444" s="4"/>
      <c r="E444" s="4"/>
      <c r="F444" s="4"/>
    </row>
    <row r="445" spans="1:6" x14ac:dyDescent="0.3">
      <c r="A445" s="4"/>
      <c r="B445" s="4"/>
      <c r="C445" s="4"/>
      <c r="D445" s="4"/>
      <c r="E445" s="4"/>
      <c r="F445" s="4"/>
    </row>
    <row r="446" spans="1:6" x14ac:dyDescent="0.3">
      <c r="A446" s="4"/>
      <c r="B446" s="4"/>
      <c r="C446" s="4"/>
      <c r="D446" s="4"/>
      <c r="E446" s="4"/>
      <c r="F446" s="4"/>
    </row>
    <row r="447" spans="1:6" x14ac:dyDescent="0.3">
      <c r="A447" s="4"/>
      <c r="B447" s="4"/>
      <c r="C447" s="4"/>
      <c r="D447" s="4"/>
      <c r="E447" s="4"/>
      <c r="F447" s="4"/>
    </row>
    <row r="448" spans="1:6" x14ac:dyDescent="0.3">
      <c r="A448" s="4"/>
      <c r="B448" s="4"/>
      <c r="C448" s="4"/>
      <c r="D448" s="4"/>
      <c r="E448" s="4"/>
      <c r="F448" s="4"/>
    </row>
    <row r="449" spans="1:6" x14ac:dyDescent="0.3">
      <c r="A449" s="4"/>
      <c r="B449" s="4"/>
      <c r="C449" s="4"/>
      <c r="D449" s="4"/>
      <c r="E449" s="4"/>
      <c r="F449" s="4"/>
    </row>
    <row r="450" spans="1:6" x14ac:dyDescent="0.3">
      <c r="A450" s="4"/>
      <c r="B450" s="4"/>
      <c r="C450" s="4"/>
      <c r="D450" s="4"/>
      <c r="E450" s="4"/>
      <c r="F450" s="4"/>
    </row>
    <row r="451" spans="1:6" x14ac:dyDescent="0.3">
      <c r="A451" s="4"/>
      <c r="B451" s="4"/>
      <c r="C451" s="4"/>
      <c r="D451" s="4"/>
      <c r="E451" s="4"/>
      <c r="F451" s="4"/>
    </row>
    <row r="452" spans="1:6" x14ac:dyDescent="0.3">
      <c r="A452" s="4"/>
      <c r="B452" s="4"/>
      <c r="C452" s="4"/>
      <c r="D452" s="4"/>
      <c r="E452" s="4"/>
      <c r="F452" s="4"/>
    </row>
    <row r="453" spans="1:6" x14ac:dyDescent="0.3">
      <c r="A453" s="4"/>
      <c r="B453" s="4"/>
      <c r="C453" s="4"/>
      <c r="D453" s="4"/>
      <c r="E453" s="4"/>
      <c r="F453" s="4"/>
    </row>
    <row r="454" spans="1:6" x14ac:dyDescent="0.3">
      <c r="A454" s="4"/>
      <c r="B454" s="4"/>
      <c r="C454" s="4"/>
      <c r="D454" s="4"/>
      <c r="E454" s="4"/>
      <c r="F454" s="4"/>
    </row>
    <row r="455" spans="1:6" x14ac:dyDescent="0.3">
      <c r="A455" s="4"/>
      <c r="B455" s="4"/>
      <c r="C455" s="4"/>
      <c r="D455" s="4"/>
      <c r="E455" s="4"/>
      <c r="F455" s="4"/>
    </row>
    <row r="456" spans="1:6" x14ac:dyDescent="0.3">
      <c r="A456" s="4"/>
      <c r="B456" s="4"/>
      <c r="C456" s="4"/>
      <c r="D456" s="4"/>
      <c r="E456" s="4"/>
      <c r="F456" s="4"/>
    </row>
    <row r="457" spans="1:6" x14ac:dyDescent="0.3">
      <c r="A457" s="4"/>
      <c r="B457" s="4"/>
      <c r="C457" s="4"/>
      <c r="D457" s="4"/>
      <c r="E457" s="4"/>
      <c r="F457" s="4"/>
    </row>
    <row r="458" spans="1:6" x14ac:dyDescent="0.3">
      <c r="A458" s="4"/>
      <c r="B458" s="4"/>
      <c r="C458" s="4"/>
      <c r="D458" s="4"/>
      <c r="E458" s="4"/>
      <c r="F458" s="4"/>
    </row>
    <row r="459" spans="1:6" x14ac:dyDescent="0.3">
      <c r="A459" s="4"/>
      <c r="B459" s="4"/>
      <c r="C459" s="4"/>
      <c r="D459" s="4"/>
      <c r="E459" s="4"/>
      <c r="F459" s="4"/>
    </row>
    <row r="460" spans="1:6" x14ac:dyDescent="0.3">
      <c r="A460" s="4"/>
      <c r="B460" s="4"/>
      <c r="C460" s="4"/>
      <c r="D460" s="4"/>
      <c r="E460" s="4"/>
      <c r="F460" s="4"/>
    </row>
    <row r="461" spans="1:6" x14ac:dyDescent="0.3">
      <c r="A461" s="4"/>
      <c r="B461" s="4"/>
      <c r="C461" s="4"/>
      <c r="D461" s="4"/>
      <c r="E461" s="4"/>
      <c r="F461" s="4"/>
    </row>
    <row r="462" spans="1:6" x14ac:dyDescent="0.3">
      <c r="A462" s="4"/>
      <c r="B462" s="4"/>
      <c r="C462" s="4"/>
      <c r="D462" s="4"/>
      <c r="E462" s="4"/>
      <c r="F462" s="4"/>
    </row>
    <row r="463" spans="1:6" x14ac:dyDescent="0.3">
      <c r="A463" s="4"/>
      <c r="B463" s="4"/>
      <c r="C463" s="4"/>
      <c r="D463" s="4"/>
      <c r="E463" s="4"/>
      <c r="F463" s="4"/>
    </row>
    <row r="464" spans="1:6" x14ac:dyDescent="0.3">
      <c r="A464" s="4"/>
      <c r="B464" s="4"/>
      <c r="C464" s="4"/>
      <c r="D464" s="4"/>
      <c r="E464" s="4"/>
      <c r="F464" s="4"/>
    </row>
    <row r="465" spans="1:6" x14ac:dyDescent="0.3">
      <c r="A465" s="4"/>
      <c r="B465" s="4"/>
      <c r="C465" s="4"/>
      <c r="D465" s="4"/>
      <c r="E465" s="4"/>
      <c r="F465" s="4"/>
    </row>
    <row r="466" spans="1:6" x14ac:dyDescent="0.3">
      <c r="A466" s="4"/>
      <c r="B466" s="4"/>
      <c r="C466" s="4"/>
      <c r="D466" s="4"/>
      <c r="E466" s="4"/>
      <c r="F466" s="4"/>
    </row>
    <row r="467" spans="1:6" x14ac:dyDescent="0.3">
      <c r="A467" s="4"/>
      <c r="B467" s="4"/>
      <c r="C467" s="4"/>
      <c r="D467" s="4"/>
      <c r="E467" s="4"/>
      <c r="F467" s="4"/>
    </row>
    <row r="468" spans="1:6" x14ac:dyDescent="0.3">
      <c r="A468" s="4"/>
      <c r="B468" s="4"/>
      <c r="C468" s="4"/>
      <c r="D468" s="4"/>
      <c r="E468" s="4"/>
      <c r="F468" s="4"/>
    </row>
    <row r="469" spans="1:6" x14ac:dyDescent="0.3">
      <c r="A469" s="4"/>
      <c r="B469" s="4"/>
      <c r="C469" s="4"/>
      <c r="D469" s="4"/>
      <c r="E469" s="4"/>
      <c r="F469" s="4"/>
    </row>
    <row r="470" spans="1:6" x14ac:dyDescent="0.3">
      <c r="A470" s="4"/>
      <c r="B470" s="4"/>
      <c r="C470" s="4"/>
      <c r="D470" s="4"/>
      <c r="E470" s="4"/>
      <c r="F470" s="4"/>
    </row>
    <row r="471" spans="1:6" x14ac:dyDescent="0.3">
      <c r="A471" s="4"/>
      <c r="B471" s="4"/>
      <c r="C471" s="4"/>
      <c r="D471" s="4"/>
      <c r="E471" s="4"/>
      <c r="F471" s="4"/>
    </row>
    <row r="472" spans="1:6" x14ac:dyDescent="0.3">
      <c r="A472" s="4"/>
      <c r="B472" s="4"/>
      <c r="C472" s="4"/>
      <c r="D472" s="4"/>
      <c r="E472" s="4"/>
      <c r="F472" s="4"/>
    </row>
    <row r="473" spans="1:6" x14ac:dyDescent="0.3">
      <c r="A473" s="4"/>
      <c r="B473" s="4"/>
      <c r="C473" s="4"/>
      <c r="D473" s="4"/>
      <c r="E473" s="4"/>
      <c r="F473" s="4"/>
    </row>
    <row r="474" spans="1:6" x14ac:dyDescent="0.3">
      <c r="A474" s="4"/>
      <c r="B474" s="4"/>
      <c r="C474" s="4"/>
      <c r="D474" s="4"/>
      <c r="E474" s="4"/>
      <c r="F474" s="4"/>
    </row>
    <row r="475" spans="1:6" x14ac:dyDescent="0.3">
      <c r="A475" s="4"/>
      <c r="B475" s="4"/>
      <c r="C475" s="4"/>
      <c r="D475" s="4"/>
      <c r="E475" s="4"/>
      <c r="F475" s="4"/>
    </row>
    <row r="476" spans="1:6" x14ac:dyDescent="0.3">
      <c r="A476" s="4"/>
      <c r="B476" s="4"/>
      <c r="C476" s="4"/>
      <c r="D476" s="4"/>
      <c r="E476" s="4"/>
      <c r="F476" s="4"/>
    </row>
    <row r="477" spans="1:6" x14ac:dyDescent="0.3">
      <c r="A477" s="4"/>
      <c r="B477" s="4"/>
      <c r="C477" s="4"/>
      <c r="D477" s="4"/>
      <c r="E477" s="4"/>
      <c r="F477" s="4"/>
    </row>
    <row r="478" spans="1:6" x14ac:dyDescent="0.3">
      <c r="A478" s="4"/>
      <c r="B478" s="4"/>
      <c r="C478" s="4"/>
      <c r="D478" s="4"/>
      <c r="E478" s="4"/>
      <c r="F478" s="4"/>
    </row>
    <row r="479" spans="1:6" x14ac:dyDescent="0.3">
      <c r="A479" s="4"/>
      <c r="B479" s="4"/>
      <c r="C479" s="4"/>
      <c r="D479" s="4"/>
      <c r="E479" s="4"/>
      <c r="F479" s="4"/>
    </row>
    <row r="480" spans="1:6" x14ac:dyDescent="0.3">
      <c r="A480" s="4"/>
      <c r="B480" s="4"/>
      <c r="C480" s="4"/>
      <c r="D480" s="4"/>
      <c r="E480" s="4"/>
      <c r="F480" s="4"/>
    </row>
    <row r="481" spans="1:6" x14ac:dyDescent="0.3">
      <c r="A481" s="4"/>
      <c r="B481" s="4"/>
      <c r="C481" s="4"/>
      <c r="D481" s="4"/>
      <c r="E481" s="4"/>
      <c r="F481" s="4"/>
    </row>
    <row r="482" spans="1:6" x14ac:dyDescent="0.3">
      <c r="A482" s="4"/>
      <c r="B482" s="4"/>
      <c r="C482" s="4"/>
      <c r="D482" s="4"/>
      <c r="E482" s="4"/>
      <c r="F482" s="4"/>
    </row>
    <row r="483" spans="1:6" x14ac:dyDescent="0.3">
      <c r="A483" s="4"/>
      <c r="B483" s="4"/>
      <c r="C483" s="4"/>
      <c r="D483" s="4"/>
      <c r="E483" s="4"/>
      <c r="F483" s="4"/>
    </row>
    <row r="484" spans="1:6" x14ac:dyDescent="0.3">
      <c r="A484" s="4"/>
      <c r="B484" s="4"/>
      <c r="C484" s="4"/>
      <c r="D484" s="4"/>
      <c r="E484" s="4"/>
      <c r="F484" s="4"/>
    </row>
    <row r="485" spans="1:6" x14ac:dyDescent="0.3">
      <c r="A485" s="4"/>
      <c r="B485" s="4"/>
      <c r="C485" s="4"/>
      <c r="D485" s="4"/>
      <c r="E485" s="4"/>
      <c r="F485" s="4"/>
    </row>
    <row r="486" spans="1:6" x14ac:dyDescent="0.3">
      <c r="A486" s="4"/>
      <c r="B486" s="4"/>
      <c r="C486" s="4"/>
      <c r="D486" s="4"/>
      <c r="E486" s="4"/>
      <c r="F486" s="4"/>
    </row>
    <row r="487" spans="1:6" x14ac:dyDescent="0.3">
      <c r="A487" s="4"/>
      <c r="B487" s="4"/>
      <c r="C487" s="4"/>
      <c r="D487" s="4"/>
      <c r="E487" s="4"/>
      <c r="F487" s="4"/>
    </row>
    <row r="488" spans="1:6" x14ac:dyDescent="0.3">
      <c r="A488" s="4"/>
      <c r="B488" s="4"/>
      <c r="C488" s="4"/>
      <c r="D488" s="4"/>
      <c r="E488" s="4"/>
      <c r="F488" s="4"/>
    </row>
    <row r="489" spans="1:6" x14ac:dyDescent="0.3">
      <c r="A489" s="4"/>
      <c r="B489" s="4"/>
      <c r="C489" s="4"/>
      <c r="D489" s="4"/>
      <c r="E489" s="4"/>
      <c r="F489" s="4"/>
    </row>
    <row r="490" spans="1:6" x14ac:dyDescent="0.3">
      <c r="A490" s="4"/>
      <c r="B490" s="4"/>
      <c r="C490" s="4"/>
      <c r="D490" s="4"/>
      <c r="E490" s="4"/>
      <c r="F490" s="4"/>
    </row>
    <row r="491" spans="1:6" x14ac:dyDescent="0.3">
      <c r="A491" s="4"/>
      <c r="B491" s="4"/>
      <c r="C491" s="4"/>
      <c r="D491" s="4"/>
      <c r="E491" s="4"/>
      <c r="F491" s="4"/>
    </row>
    <row r="492" spans="1:6" x14ac:dyDescent="0.3">
      <c r="A492" s="4"/>
      <c r="B492" s="4"/>
      <c r="C492" s="4"/>
      <c r="D492" s="4"/>
      <c r="E492" s="4"/>
      <c r="F492" s="4"/>
    </row>
    <row r="493" spans="1:6" x14ac:dyDescent="0.3">
      <c r="A493" s="4"/>
      <c r="B493" s="4"/>
      <c r="C493" s="4"/>
      <c r="D493" s="4"/>
      <c r="E493" s="4"/>
      <c r="F493" s="4"/>
    </row>
    <row r="494" spans="1:6" x14ac:dyDescent="0.3">
      <c r="A494" s="4"/>
      <c r="B494" s="4"/>
      <c r="C494" s="4"/>
      <c r="D494" s="4"/>
      <c r="E494" s="4"/>
      <c r="F494" s="4"/>
    </row>
    <row r="495" spans="1:6" x14ac:dyDescent="0.3">
      <c r="A495" s="4"/>
      <c r="B495" s="4"/>
      <c r="C495" s="4"/>
      <c r="D495" s="4"/>
      <c r="E495" s="4"/>
      <c r="F495" s="4"/>
    </row>
    <row r="496" spans="1:6" x14ac:dyDescent="0.3">
      <c r="A496" s="4"/>
      <c r="B496" s="4"/>
      <c r="C496" s="4"/>
      <c r="D496" s="4"/>
      <c r="E496" s="4"/>
      <c r="F496" s="4"/>
    </row>
    <row r="497" spans="1:6" x14ac:dyDescent="0.3">
      <c r="A497" s="4"/>
      <c r="B497" s="4"/>
      <c r="C497" s="4"/>
      <c r="D497" s="4"/>
      <c r="E497" s="4"/>
      <c r="F497" s="4"/>
    </row>
    <row r="498" spans="1:6" x14ac:dyDescent="0.3">
      <c r="A498" s="4"/>
      <c r="B498" s="4"/>
      <c r="C498" s="4"/>
      <c r="D498" s="4"/>
      <c r="E498" s="4"/>
      <c r="F498" s="4"/>
    </row>
    <row r="499" spans="1:6" x14ac:dyDescent="0.3">
      <c r="A499" s="4"/>
      <c r="B499" s="4"/>
      <c r="C499" s="4"/>
      <c r="D499" s="4"/>
      <c r="E499" s="4"/>
      <c r="F499" s="4"/>
    </row>
    <row r="500" spans="1:6" x14ac:dyDescent="0.3">
      <c r="A500" s="4"/>
      <c r="B500" s="4"/>
      <c r="C500" s="4"/>
      <c r="D500" s="4"/>
      <c r="E500" s="4"/>
      <c r="F500" s="4"/>
    </row>
    <row r="501" spans="1:6" x14ac:dyDescent="0.3">
      <c r="A501" s="4"/>
      <c r="B501" s="4"/>
      <c r="C501" s="4"/>
      <c r="D501" s="4"/>
      <c r="E501" s="4"/>
      <c r="F501" s="4"/>
    </row>
    <row r="502" spans="1:6" x14ac:dyDescent="0.3">
      <c r="A502" s="4"/>
      <c r="B502" s="4"/>
      <c r="C502" s="4"/>
      <c r="D502" s="4"/>
      <c r="E502" s="4"/>
      <c r="F502" s="4"/>
    </row>
    <row r="503" spans="1:6" x14ac:dyDescent="0.3">
      <c r="A503" s="4"/>
      <c r="B503" s="4"/>
      <c r="C503" s="4"/>
      <c r="D503" s="4"/>
      <c r="E503" s="4"/>
      <c r="F503" s="4"/>
    </row>
    <row r="504" spans="1:6" x14ac:dyDescent="0.3">
      <c r="A504" s="4"/>
      <c r="B504" s="4"/>
      <c r="C504" s="4"/>
      <c r="D504" s="4"/>
      <c r="E504" s="4"/>
      <c r="F504" s="4"/>
    </row>
    <row r="505" spans="1:6" x14ac:dyDescent="0.3">
      <c r="A505" s="4"/>
      <c r="B505" s="4"/>
      <c r="C505" s="4"/>
      <c r="D505" s="4"/>
      <c r="E505" s="4"/>
      <c r="F505" s="4"/>
    </row>
    <row r="506" spans="1:6" x14ac:dyDescent="0.3">
      <c r="A506" s="4"/>
      <c r="B506" s="4"/>
      <c r="C506" s="4"/>
      <c r="D506" s="4"/>
      <c r="E506" s="4"/>
      <c r="F506" s="4"/>
    </row>
    <row r="507" spans="1:6" x14ac:dyDescent="0.3">
      <c r="A507" s="4"/>
      <c r="B507" s="4"/>
      <c r="C507" s="4"/>
      <c r="D507" s="4"/>
      <c r="E507" s="4"/>
      <c r="F507" s="4"/>
    </row>
    <row r="508" spans="1:6" x14ac:dyDescent="0.3">
      <c r="A508" s="4"/>
      <c r="B508" s="4"/>
      <c r="C508" s="4"/>
      <c r="D508" s="4"/>
      <c r="E508" s="4"/>
      <c r="F508" s="4"/>
    </row>
    <row r="509" spans="1:6" x14ac:dyDescent="0.3">
      <c r="A509" s="4"/>
      <c r="B509" s="4"/>
      <c r="C509" s="4"/>
      <c r="D509" s="4"/>
      <c r="E509" s="4"/>
      <c r="F509" s="4"/>
    </row>
    <row r="510" spans="1:6" x14ac:dyDescent="0.3">
      <c r="A510" s="4"/>
      <c r="B510" s="4"/>
      <c r="C510" s="4"/>
      <c r="D510" s="4"/>
      <c r="E510" s="4"/>
      <c r="F510" s="4"/>
    </row>
    <row r="511" spans="1:6" x14ac:dyDescent="0.3">
      <c r="A511" s="4"/>
      <c r="B511" s="4"/>
      <c r="C511" s="4"/>
      <c r="D511" s="4"/>
      <c r="E511" s="4"/>
      <c r="F511" s="4"/>
    </row>
    <row r="512" spans="1:6" x14ac:dyDescent="0.3">
      <c r="A512" s="4"/>
      <c r="B512" s="4"/>
      <c r="C512" s="4"/>
      <c r="D512" s="4"/>
      <c r="E512" s="4"/>
      <c r="F512" s="4"/>
    </row>
    <row r="513" spans="1:6" x14ac:dyDescent="0.3">
      <c r="A513" s="4"/>
      <c r="B513" s="4"/>
      <c r="C513" s="4"/>
      <c r="D513" s="4"/>
      <c r="E513" s="4"/>
      <c r="F513" s="4"/>
    </row>
    <row r="514" spans="1:6" x14ac:dyDescent="0.3">
      <c r="A514" s="4"/>
      <c r="B514" s="4"/>
      <c r="C514" s="4"/>
      <c r="D514" s="4"/>
      <c r="E514" s="4"/>
      <c r="F514" s="4"/>
    </row>
    <row r="515" spans="1:6" x14ac:dyDescent="0.3">
      <c r="A515" s="4"/>
      <c r="B515" s="4"/>
      <c r="C515" s="4"/>
      <c r="D515" s="4"/>
      <c r="E515" s="4"/>
      <c r="F515" s="4"/>
    </row>
    <row r="516" spans="1:6" x14ac:dyDescent="0.3">
      <c r="A516" s="4"/>
      <c r="B516" s="4"/>
      <c r="C516" s="4"/>
      <c r="D516" s="4"/>
      <c r="E516" s="4"/>
      <c r="F516" s="4"/>
    </row>
    <row r="517" spans="1:6" x14ac:dyDescent="0.3">
      <c r="A517" s="4"/>
      <c r="B517" s="4"/>
      <c r="C517" s="4"/>
      <c r="D517" s="4"/>
      <c r="E517" s="4"/>
      <c r="F517" s="4"/>
    </row>
    <row r="518" spans="1:6" x14ac:dyDescent="0.3">
      <c r="A518" s="4"/>
      <c r="B518" s="4"/>
      <c r="C518" s="4"/>
      <c r="D518" s="4"/>
      <c r="E518" s="4"/>
      <c r="F518" s="4"/>
    </row>
    <row r="519" spans="1:6" x14ac:dyDescent="0.3">
      <c r="A519" s="4"/>
      <c r="B519" s="4"/>
      <c r="C519" s="4"/>
      <c r="D519" s="4"/>
      <c r="E519" s="4"/>
      <c r="F519" s="4"/>
    </row>
    <row r="520" spans="1:6" x14ac:dyDescent="0.3">
      <c r="A520" s="4"/>
      <c r="B520" s="4"/>
      <c r="C520" s="4"/>
      <c r="D520" s="4"/>
      <c r="E520" s="4"/>
      <c r="F520" s="4"/>
    </row>
    <row r="521" spans="1:6" x14ac:dyDescent="0.3">
      <c r="A521" s="4"/>
      <c r="B521" s="4"/>
      <c r="C521" s="4"/>
      <c r="D521" s="4"/>
      <c r="E521" s="4"/>
      <c r="F521" s="4"/>
    </row>
    <row r="522" spans="1:6" x14ac:dyDescent="0.3">
      <c r="A522" s="4"/>
      <c r="B522" s="4"/>
      <c r="C522" s="4"/>
      <c r="D522" s="4"/>
      <c r="E522" s="4"/>
      <c r="F522" s="4"/>
    </row>
    <row r="523" spans="1:6" x14ac:dyDescent="0.3">
      <c r="A523" s="4"/>
      <c r="B523" s="4"/>
      <c r="C523" s="4"/>
      <c r="D523" s="4"/>
      <c r="E523" s="4"/>
      <c r="F523" s="4"/>
    </row>
    <row r="524" spans="1:6" x14ac:dyDescent="0.3">
      <c r="A524" s="4"/>
      <c r="B524" s="4"/>
      <c r="C524" s="4"/>
      <c r="D524" s="4"/>
      <c r="E524" s="4"/>
      <c r="F524" s="4"/>
    </row>
    <row r="525" spans="1:6" x14ac:dyDescent="0.3">
      <c r="A525" s="4"/>
      <c r="B525" s="4"/>
      <c r="C525" s="4"/>
      <c r="D525" s="4"/>
      <c r="E525" s="4"/>
      <c r="F525" s="4"/>
    </row>
    <row r="526" spans="1:6" x14ac:dyDescent="0.3">
      <c r="A526" s="4"/>
      <c r="B526" s="4"/>
      <c r="C526" s="4"/>
      <c r="D526" s="4"/>
      <c r="E526" s="4"/>
      <c r="F526" s="4"/>
    </row>
    <row r="527" spans="1:6" x14ac:dyDescent="0.3">
      <c r="A527" s="4"/>
      <c r="B527" s="4"/>
      <c r="C527" s="4"/>
      <c r="D527" s="4"/>
      <c r="E527" s="4"/>
      <c r="F527" s="4"/>
    </row>
    <row r="528" spans="1:6" x14ac:dyDescent="0.3">
      <c r="A528" s="4"/>
      <c r="B528" s="4"/>
      <c r="C528" s="4"/>
      <c r="D528" s="4"/>
      <c r="E528" s="4"/>
      <c r="F528" s="4"/>
    </row>
    <row r="529" spans="1:6" x14ac:dyDescent="0.3">
      <c r="A529" s="4"/>
      <c r="B529" s="4"/>
      <c r="C529" s="4"/>
      <c r="D529" s="4"/>
      <c r="E529" s="4"/>
      <c r="F529" s="4"/>
    </row>
    <row r="530" spans="1:6" x14ac:dyDescent="0.3">
      <c r="A530" s="4"/>
      <c r="B530" s="4"/>
      <c r="C530" s="4"/>
      <c r="D530" s="4"/>
      <c r="E530" s="4"/>
      <c r="F530" s="4"/>
    </row>
    <row r="531" spans="1:6" x14ac:dyDescent="0.3">
      <c r="A531" s="4"/>
      <c r="B531" s="4"/>
      <c r="C531" s="4"/>
      <c r="D531" s="4"/>
      <c r="E531" s="4"/>
      <c r="F531" s="4"/>
    </row>
    <row r="532" spans="1:6" x14ac:dyDescent="0.3">
      <c r="A532" s="4"/>
      <c r="B532" s="4"/>
      <c r="C532" s="4"/>
      <c r="D532" s="4"/>
      <c r="E532" s="4"/>
      <c r="F532" s="4"/>
    </row>
    <row r="533" spans="1:6" x14ac:dyDescent="0.3">
      <c r="A533" s="4"/>
      <c r="B533" s="4"/>
      <c r="C533" s="4"/>
      <c r="D533" s="4"/>
      <c r="E533" s="4"/>
      <c r="F533" s="4"/>
    </row>
    <row r="534" spans="1:6" x14ac:dyDescent="0.3">
      <c r="A534" s="4"/>
      <c r="B534" s="4"/>
      <c r="C534" s="4"/>
      <c r="D534" s="4"/>
      <c r="E534" s="4"/>
      <c r="F534" s="4"/>
    </row>
    <row r="535" spans="1:6" x14ac:dyDescent="0.3">
      <c r="A535" s="4"/>
      <c r="B535" s="4"/>
      <c r="C535" s="4"/>
      <c r="D535" s="4"/>
      <c r="E535" s="4"/>
      <c r="F535" s="4"/>
    </row>
    <row r="536" spans="1:6" x14ac:dyDescent="0.3">
      <c r="A536" s="4"/>
      <c r="B536" s="4"/>
      <c r="C536" s="4"/>
      <c r="D536" s="4"/>
      <c r="E536" s="4"/>
      <c r="F536" s="4"/>
    </row>
    <row r="537" spans="1:6" x14ac:dyDescent="0.3">
      <c r="A537" s="4"/>
      <c r="B537" s="4"/>
      <c r="C537" s="4"/>
      <c r="D537" s="4"/>
      <c r="E537" s="4"/>
      <c r="F537" s="4"/>
    </row>
    <row r="538" spans="1:6" x14ac:dyDescent="0.3">
      <c r="A538" s="4"/>
      <c r="B538" s="4"/>
      <c r="C538" s="4"/>
      <c r="D538" s="4"/>
      <c r="E538" s="4"/>
      <c r="F538" s="4"/>
    </row>
    <row r="539" spans="1:6" x14ac:dyDescent="0.3">
      <c r="A539" s="4"/>
      <c r="B539" s="4"/>
      <c r="C539" s="4"/>
      <c r="D539" s="4"/>
      <c r="E539" s="4"/>
      <c r="F539" s="4"/>
    </row>
    <row r="540" spans="1:6" x14ac:dyDescent="0.3">
      <c r="A540" s="4"/>
      <c r="B540" s="4"/>
      <c r="C540" s="4"/>
      <c r="D540" s="4"/>
      <c r="E540" s="4"/>
      <c r="F540" s="4"/>
    </row>
    <row r="541" spans="1:6" x14ac:dyDescent="0.3">
      <c r="A541" s="4"/>
      <c r="B541" s="4"/>
      <c r="C541" s="4"/>
      <c r="D541" s="4"/>
      <c r="E541" s="4"/>
      <c r="F541" s="4"/>
    </row>
    <row r="542" spans="1:6" x14ac:dyDescent="0.3">
      <c r="A542" s="4"/>
      <c r="B542" s="4"/>
      <c r="C542" s="4"/>
      <c r="D542" s="4"/>
      <c r="E542" s="4"/>
      <c r="F542" s="4"/>
    </row>
    <row r="543" spans="1:6" x14ac:dyDescent="0.3">
      <c r="A543" s="4"/>
      <c r="B543" s="4"/>
      <c r="C543" s="4"/>
      <c r="D543" s="4"/>
      <c r="E543" s="4"/>
      <c r="F543" s="4"/>
    </row>
    <row r="544" spans="1:6" x14ac:dyDescent="0.3">
      <c r="A544" s="4"/>
      <c r="B544" s="4"/>
      <c r="C544" s="4"/>
      <c r="D544" s="4"/>
      <c r="E544" s="4"/>
      <c r="F544" s="4"/>
    </row>
    <row r="545" spans="1:6" x14ac:dyDescent="0.3">
      <c r="A545" s="4"/>
      <c r="B545" s="4"/>
      <c r="C545" s="4"/>
      <c r="D545" s="4"/>
      <c r="E545" s="4"/>
      <c r="F545" s="4"/>
    </row>
    <row r="546" spans="1:6" x14ac:dyDescent="0.3">
      <c r="A546" s="4"/>
      <c r="B546" s="4"/>
      <c r="C546" s="4"/>
      <c r="D546" s="4"/>
      <c r="E546" s="4"/>
      <c r="F546" s="4"/>
    </row>
    <row r="547" spans="1:6" x14ac:dyDescent="0.3">
      <c r="A547" s="4"/>
      <c r="B547" s="4"/>
      <c r="C547" s="4"/>
      <c r="D547" s="4"/>
      <c r="E547" s="4"/>
      <c r="F547" s="4"/>
    </row>
    <row r="548" spans="1:6" x14ac:dyDescent="0.3">
      <c r="A548" s="4"/>
      <c r="B548" s="4"/>
      <c r="C548" s="4"/>
      <c r="D548" s="4"/>
      <c r="E548" s="4"/>
      <c r="F548" s="4"/>
    </row>
    <row r="549" spans="1:6" x14ac:dyDescent="0.3">
      <c r="A549" s="4"/>
      <c r="B549" s="4"/>
      <c r="C549" s="4"/>
      <c r="D549" s="4"/>
      <c r="E549" s="4"/>
      <c r="F549" s="4"/>
    </row>
    <row r="550" spans="1:6" x14ac:dyDescent="0.3">
      <c r="A550" s="4"/>
      <c r="B550" s="4"/>
      <c r="C550" s="4"/>
      <c r="D550" s="4"/>
      <c r="E550" s="4"/>
      <c r="F550" s="4"/>
    </row>
    <row r="551" spans="1:6" x14ac:dyDescent="0.3">
      <c r="A551" s="4"/>
      <c r="B551" s="4"/>
      <c r="C551" s="4"/>
      <c r="D551" s="4"/>
      <c r="E551" s="4"/>
      <c r="F551" s="4"/>
    </row>
    <row r="552" spans="1:6" x14ac:dyDescent="0.3">
      <c r="A552" s="4"/>
      <c r="B552" s="4"/>
      <c r="C552" s="4"/>
      <c r="D552" s="4"/>
      <c r="E552" s="4"/>
      <c r="F552" s="4"/>
    </row>
    <row r="553" spans="1:6" x14ac:dyDescent="0.3">
      <c r="A553" s="4"/>
      <c r="B553" s="4"/>
      <c r="C553" s="4"/>
      <c r="D553" s="4"/>
      <c r="E553" s="4"/>
      <c r="F553" s="4"/>
    </row>
    <row r="554" spans="1:6" x14ac:dyDescent="0.3">
      <c r="A554" s="4"/>
      <c r="B554" s="4"/>
      <c r="C554" s="4"/>
      <c r="D554" s="4"/>
      <c r="E554" s="4"/>
      <c r="F554" s="4"/>
    </row>
    <row r="555" spans="1:6" x14ac:dyDescent="0.3">
      <c r="A555" s="4"/>
      <c r="B555" s="4"/>
      <c r="C555" s="4"/>
      <c r="D555" s="4"/>
      <c r="E555" s="4"/>
      <c r="F555" s="4"/>
    </row>
    <row r="556" spans="1:6" x14ac:dyDescent="0.3">
      <c r="A556" s="4"/>
      <c r="B556" s="4"/>
      <c r="C556" s="4"/>
      <c r="D556" s="4"/>
      <c r="E556" s="4"/>
      <c r="F556" s="4"/>
    </row>
    <row r="557" spans="1:6" x14ac:dyDescent="0.3">
      <c r="A557" s="4"/>
      <c r="B557" s="4"/>
      <c r="C557" s="4"/>
      <c r="D557" s="4"/>
      <c r="E557" s="4"/>
      <c r="F557" s="4"/>
    </row>
    <row r="558" spans="1:6" x14ac:dyDescent="0.3">
      <c r="A558" s="4"/>
      <c r="B558" s="4"/>
      <c r="C558" s="4"/>
      <c r="D558" s="4"/>
      <c r="E558" s="4"/>
      <c r="F558" s="4"/>
    </row>
    <row r="559" spans="1:6" x14ac:dyDescent="0.3">
      <c r="A559" s="4"/>
      <c r="B559" s="4"/>
      <c r="C559" s="4"/>
      <c r="D559" s="4"/>
      <c r="E559" s="4"/>
      <c r="F559" s="4"/>
    </row>
    <row r="560" spans="1:6" x14ac:dyDescent="0.3">
      <c r="A560" s="4"/>
      <c r="B560" s="4"/>
      <c r="C560" s="4"/>
      <c r="D560" s="4"/>
      <c r="E560" s="4"/>
      <c r="F560" s="4"/>
    </row>
    <row r="561" spans="1:6" x14ac:dyDescent="0.3">
      <c r="A561" s="4"/>
      <c r="B561" s="4"/>
      <c r="C561" s="4"/>
      <c r="D561" s="4"/>
      <c r="E561" s="4"/>
      <c r="F561" s="4"/>
    </row>
    <row r="562" spans="1:6" x14ac:dyDescent="0.3">
      <c r="A562" s="4"/>
      <c r="B562" s="4"/>
      <c r="C562" s="4"/>
      <c r="D562" s="4"/>
      <c r="E562" s="4"/>
      <c r="F562" s="4"/>
    </row>
    <row r="563" spans="1:6" x14ac:dyDescent="0.3">
      <c r="A563" s="4"/>
      <c r="B563" s="4"/>
      <c r="C563" s="4"/>
      <c r="D563" s="4"/>
      <c r="E563" s="4"/>
      <c r="F563" s="4"/>
    </row>
    <row r="564" spans="1:6" x14ac:dyDescent="0.3">
      <c r="A564" s="4"/>
      <c r="B564" s="4"/>
      <c r="C564" s="4"/>
      <c r="D564" s="4"/>
      <c r="E564" s="4"/>
      <c r="F564" s="4"/>
    </row>
    <row r="565" spans="1:6" x14ac:dyDescent="0.3">
      <c r="A565" s="4"/>
      <c r="B565" s="4"/>
      <c r="C565" s="4"/>
      <c r="D565" s="4"/>
      <c r="E565" s="4"/>
      <c r="F565" s="4"/>
    </row>
    <row r="566" spans="1:6" x14ac:dyDescent="0.3">
      <c r="A566" s="4"/>
      <c r="B566" s="4"/>
      <c r="C566" s="4"/>
      <c r="D566" s="4"/>
      <c r="E566" s="4"/>
      <c r="F566" s="4"/>
    </row>
    <row r="567" spans="1:6" x14ac:dyDescent="0.3">
      <c r="A567" s="4"/>
      <c r="B567" s="4"/>
      <c r="C567" s="4"/>
      <c r="D567" s="4"/>
      <c r="E567" s="4"/>
      <c r="F567" s="4"/>
    </row>
    <row r="568" spans="1:6" x14ac:dyDescent="0.3">
      <c r="A568" s="4"/>
      <c r="B568" s="4"/>
      <c r="C568" s="4"/>
      <c r="D568" s="4"/>
      <c r="E568" s="4"/>
      <c r="F568" s="4"/>
    </row>
    <row r="569" spans="1:6" x14ac:dyDescent="0.3">
      <c r="A569" s="4"/>
      <c r="B569" s="4"/>
      <c r="C569" s="4"/>
      <c r="D569" s="4"/>
      <c r="E569" s="4"/>
      <c r="F569" s="4"/>
    </row>
    <row r="570" spans="1:6" x14ac:dyDescent="0.3">
      <c r="A570" s="4"/>
      <c r="B570" s="4"/>
      <c r="C570" s="4"/>
      <c r="D570" s="4"/>
      <c r="E570" s="4"/>
      <c r="F570" s="4"/>
    </row>
    <row r="571" spans="1:6" x14ac:dyDescent="0.3">
      <c r="A571" s="4"/>
      <c r="B571" s="4"/>
      <c r="C571" s="4"/>
      <c r="D571" s="4"/>
      <c r="E571" s="4"/>
      <c r="F571" s="4"/>
    </row>
    <row r="572" spans="1:6" x14ac:dyDescent="0.3">
      <c r="A572" s="4"/>
      <c r="B572" s="4"/>
      <c r="C572" s="4"/>
      <c r="D572" s="4"/>
      <c r="E572" s="4"/>
      <c r="F572" s="4"/>
    </row>
    <row r="573" spans="1:6" x14ac:dyDescent="0.3">
      <c r="A573" s="4"/>
      <c r="B573" s="4"/>
      <c r="C573" s="4"/>
      <c r="D573" s="4"/>
      <c r="E573" s="4"/>
      <c r="F573" s="4"/>
    </row>
    <row r="574" spans="1:6" x14ac:dyDescent="0.3">
      <c r="A574" s="4"/>
      <c r="B574" s="4"/>
      <c r="C574" s="4"/>
      <c r="D574" s="4"/>
      <c r="E574" s="4"/>
      <c r="F574" s="4"/>
    </row>
    <row r="575" spans="1:6" x14ac:dyDescent="0.3">
      <c r="A575" s="4"/>
      <c r="B575" s="4"/>
      <c r="C575" s="4"/>
      <c r="D575" s="4"/>
      <c r="E575" s="4"/>
      <c r="F575" s="4"/>
    </row>
    <row r="576" spans="1:6" x14ac:dyDescent="0.3">
      <c r="A576" s="4"/>
      <c r="B576" s="4"/>
      <c r="C576" s="4"/>
      <c r="D576" s="4"/>
      <c r="E576" s="4"/>
      <c r="F576" s="4"/>
    </row>
    <row r="577" spans="1:6" x14ac:dyDescent="0.3">
      <c r="A577" s="4"/>
      <c r="B577" s="4"/>
      <c r="C577" s="4"/>
      <c r="D577" s="4"/>
      <c r="E577" s="4"/>
      <c r="F577" s="4"/>
    </row>
    <row r="578" spans="1:6" x14ac:dyDescent="0.3">
      <c r="A578" s="4"/>
      <c r="B578" s="4"/>
      <c r="C578" s="4"/>
      <c r="D578" s="4"/>
      <c r="E578" s="4"/>
      <c r="F578" s="4"/>
    </row>
    <row r="579" spans="1:6" x14ac:dyDescent="0.3">
      <c r="A579" s="4"/>
      <c r="B579" s="4"/>
      <c r="C579" s="4"/>
      <c r="D579" s="4"/>
      <c r="E579" s="4"/>
      <c r="F579" s="4"/>
    </row>
    <row r="580" spans="1:6" x14ac:dyDescent="0.3">
      <c r="A580" s="4"/>
      <c r="B580" s="4"/>
      <c r="C580" s="4"/>
      <c r="D580" s="4"/>
      <c r="E580" s="4"/>
      <c r="F580" s="4"/>
    </row>
    <row r="581" spans="1:6" x14ac:dyDescent="0.3">
      <c r="A581" s="4"/>
      <c r="B581" s="4"/>
      <c r="C581" s="4"/>
      <c r="D581" s="4"/>
      <c r="E581" s="4"/>
      <c r="F581" s="4"/>
    </row>
    <row r="582" spans="1:6" x14ac:dyDescent="0.3">
      <c r="A582" s="4"/>
      <c r="B582" s="4"/>
      <c r="C582" s="4"/>
      <c r="D582" s="4"/>
      <c r="E582" s="4"/>
      <c r="F582" s="4"/>
    </row>
    <row r="583" spans="1:6" x14ac:dyDescent="0.3">
      <c r="A583" s="4"/>
      <c r="B583" s="4"/>
      <c r="C583" s="4"/>
      <c r="D583" s="4"/>
      <c r="E583" s="4"/>
      <c r="F583" s="4"/>
    </row>
    <row r="584" spans="1:6" x14ac:dyDescent="0.3">
      <c r="A584" s="4"/>
      <c r="B584" s="4"/>
      <c r="C584" s="4"/>
      <c r="D584" s="4"/>
      <c r="E584" s="4"/>
      <c r="F584" s="4"/>
    </row>
    <row r="585" spans="1:6" x14ac:dyDescent="0.3">
      <c r="A585" s="4"/>
      <c r="B585" s="4"/>
      <c r="C585" s="4"/>
      <c r="D585" s="4"/>
      <c r="E585" s="4"/>
      <c r="F585" s="4"/>
    </row>
    <row r="586" spans="1:6" x14ac:dyDescent="0.3">
      <c r="A586" s="4"/>
      <c r="B586" s="4"/>
      <c r="C586" s="4"/>
      <c r="D586" s="4"/>
      <c r="E586" s="4"/>
      <c r="F586" s="4"/>
    </row>
    <row r="587" spans="1:6" x14ac:dyDescent="0.3">
      <c r="A587" s="4"/>
      <c r="B587" s="4"/>
      <c r="C587" s="4"/>
      <c r="D587" s="4"/>
      <c r="E587" s="4"/>
      <c r="F587" s="4"/>
    </row>
    <row r="588" spans="1:6" x14ac:dyDescent="0.3">
      <c r="A588" s="4"/>
      <c r="B588" s="4"/>
      <c r="C588" s="4"/>
      <c r="D588" s="4"/>
      <c r="E588" s="4"/>
      <c r="F588" s="4"/>
    </row>
    <row r="589" spans="1:6" x14ac:dyDescent="0.3">
      <c r="A589" s="4"/>
      <c r="B589" s="4"/>
      <c r="C589" s="4"/>
      <c r="D589" s="4"/>
      <c r="E589" s="4"/>
      <c r="F589" s="4"/>
    </row>
    <row r="590" spans="1:6" x14ac:dyDescent="0.3">
      <c r="A590" s="4"/>
      <c r="B590" s="4"/>
      <c r="C590" s="4"/>
      <c r="D590" s="4"/>
      <c r="E590" s="4"/>
      <c r="F590" s="4"/>
    </row>
    <row r="591" spans="1:6" x14ac:dyDescent="0.3">
      <c r="A591" s="4"/>
      <c r="B591" s="4"/>
      <c r="C591" s="4"/>
      <c r="D591" s="4"/>
      <c r="E591" s="4"/>
      <c r="F591" s="4"/>
    </row>
    <row r="592" spans="1:6" x14ac:dyDescent="0.3">
      <c r="A592" s="4"/>
      <c r="B592" s="4"/>
      <c r="C592" s="4"/>
      <c r="D592" s="4"/>
      <c r="E592" s="4"/>
      <c r="F592" s="4"/>
    </row>
    <row r="593" spans="1:6" x14ac:dyDescent="0.3">
      <c r="A593" s="4"/>
      <c r="B593" s="4"/>
      <c r="C593" s="4"/>
      <c r="D593" s="4"/>
      <c r="E593" s="4"/>
      <c r="F593" s="4"/>
    </row>
    <row r="594" spans="1:6" x14ac:dyDescent="0.3">
      <c r="A594" s="4"/>
      <c r="B594" s="4"/>
      <c r="C594" s="4"/>
      <c r="D594" s="4"/>
      <c r="E594" s="4"/>
      <c r="F594" s="4"/>
    </row>
    <row r="595" spans="1:6" x14ac:dyDescent="0.3">
      <c r="A595" s="4"/>
      <c r="B595" s="4"/>
      <c r="C595" s="4"/>
      <c r="D595" s="4"/>
      <c r="E595" s="4"/>
      <c r="F595" s="4"/>
    </row>
    <row r="596" spans="1:6" x14ac:dyDescent="0.3">
      <c r="A596" s="4"/>
      <c r="B596" s="4"/>
      <c r="C596" s="4"/>
      <c r="D596" s="4"/>
      <c r="E596" s="4"/>
      <c r="F596" s="4"/>
    </row>
    <row r="597" spans="1:6" x14ac:dyDescent="0.3">
      <c r="A597" s="4"/>
      <c r="B597" s="4"/>
      <c r="C597" s="4"/>
      <c r="D597" s="4"/>
      <c r="E597" s="4"/>
      <c r="F597" s="4"/>
    </row>
    <row r="598" spans="1:6" x14ac:dyDescent="0.3">
      <c r="A598" s="4"/>
      <c r="B598" s="4"/>
      <c r="C598" s="4"/>
      <c r="D598" s="4"/>
      <c r="E598" s="4"/>
      <c r="F598" s="4"/>
    </row>
    <row r="599" spans="1:6" x14ac:dyDescent="0.3">
      <c r="A599" s="4"/>
      <c r="B599" s="4"/>
      <c r="C599" s="4"/>
      <c r="D599" s="4"/>
      <c r="E599" s="4"/>
      <c r="F599" s="4"/>
    </row>
    <row r="600" spans="1:6" x14ac:dyDescent="0.3">
      <c r="A600" s="4"/>
      <c r="B600" s="4"/>
      <c r="C600" s="4"/>
      <c r="D600" s="4"/>
      <c r="E600" s="4"/>
      <c r="F600" s="4"/>
    </row>
    <row r="601" spans="1:6" x14ac:dyDescent="0.3">
      <c r="A601" s="4"/>
      <c r="B601" s="4"/>
      <c r="C601" s="4"/>
      <c r="D601" s="4"/>
      <c r="E601" s="4"/>
      <c r="F601" s="4"/>
    </row>
    <row r="602" spans="1:6" x14ac:dyDescent="0.3">
      <c r="A602" s="4"/>
      <c r="B602" s="4"/>
      <c r="C602" s="4"/>
      <c r="D602" s="4"/>
      <c r="E602" s="4"/>
      <c r="F602" s="4"/>
    </row>
    <row r="603" spans="1:6" x14ac:dyDescent="0.3">
      <c r="A603" s="4"/>
      <c r="B603" s="4"/>
      <c r="C603" s="4"/>
      <c r="D603" s="4"/>
      <c r="E603" s="4"/>
      <c r="F603" s="4"/>
    </row>
    <row r="604" spans="1:6" x14ac:dyDescent="0.3">
      <c r="A604" s="4"/>
      <c r="B604" s="4"/>
      <c r="C604" s="4"/>
      <c r="D604" s="4"/>
      <c r="E604" s="4"/>
      <c r="F604" s="4"/>
    </row>
    <row r="605" spans="1:6" x14ac:dyDescent="0.3">
      <c r="A605" s="4"/>
      <c r="B605" s="4"/>
      <c r="C605" s="4"/>
      <c r="D605" s="4"/>
      <c r="E605" s="4"/>
      <c r="F605" s="4"/>
    </row>
    <row r="606" spans="1:6" x14ac:dyDescent="0.3">
      <c r="A606" s="4"/>
      <c r="B606" s="4"/>
      <c r="C606" s="4"/>
      <c r="D606" s="4"/>
      <c r="E606" s="4"/>
      <c r="F606" s="4"/>
    </row>
    <row r="607" spans="1:6" x14ac:dyDescent="0.3">
      <c r="A607" s="4"/>
      <c r="B607" s="4"/>
      <c r="C607" s="4"/>
      <c r="D607" s="4"/>
      <c r="E607" s="4"/>
      <c r="F607" s="4"/>
    </row>
    <row r="608" spans="1:6" x14ac:dyDescent="0.3">
      <c r="A608" s="4"/>
      <c r="B608" s="4"/>
      <c r="C608" s="4"/>
      <c r="D608" s="4"/>
      <c r="E608" s="4"/>
      <c r="F608" s="4"/>
    </row>
    <row r="609" spans="1:6" x14ac:dyDescent="0.3">
      <c r="A609" s="4"/>
      <c r="B609" s="4"/>
      <c r="C609" s="4"/>
      <c r="D609" s="4"/>
      <c r="E609" s="4"/>
      <c r="F609" s="4"/>
    </row>
    <row r="610" spans="1:6" x14ac:dyDescent="0.3">
      <c r="A610" s="4"/>
      <c r="B610" s="4"/>
      <c r="C610" s="4"/>
      <c r="D610" s="4"/>
      <c r="E610" s="4"/>
      <c r="F610" s="4"/>
    </row>
    <row r="611" spans="1:6" x14ac:dyDescent="0.3">
      <c r="A611" s="4"/>
      <c r="B611" s="4"/>
      <c r="C611" s="4"/>
      <c r="D611" s="4"/>
      <c r="E611" s="4"/>
      <c r="F611" s="4"/>
    </row>
    <row r="612" spans="1:6" x14ac:dyDescent="0.3">
      <c r="A612" s="4"/>
      <c r="B612" s="4"/>
      <c r="C612" s="4"/>
      <c r="D612" s="4"/>
      <c r="E612" s="4"/>
      <c r="F612" s="4"/>
    </row>
    <row r="613" spans="1:6" x14ac:dyDescent="0.3">
      <c r="A613" s="4"/>
      <c r="B613" s="4"/>
      <c r="C613" s="4"/>
      <c r="D613" s="4"/>
      <c r="E613" s="4"/>
      <c r="F613" s="4"/>
    </row>
    <row r="614" spans="1:6" x14ac:dyDescent="0.3">
      <c r="A614" s="4"/>
      <c r="B614" s="4"/>
      <c r="C614" s="4"/>
      <c r="D614" s="4"/>
      <c r="E614" s="4"/>
      <c r="F614" s="4"/>
    </row>
    <row r="615" spans="1:6" x14ac:dyDescent="0.3">
      <c r="A615" s="4"/>
      <c r="B615" s="4"/>
      <c r="C615" s="4"/>
      <c r="D615" s="4"/>
      <c r="E615" s="4"/>
      <c r="F615" s="4"/>
    </row>
    <row r="616" spans="1:6" x14ac:dyDescent="0.3">
      <c r="A616" s="4"/>
      <c r="B616" s="4"/>
      <c r="C616" s="4"/>
      <c r="D616" s="4"/>
      <c r="E616" s="4"/>
      <c r="F616" s="4"/>
    </row>
    <row r="617" spans="1:6" x14ac:dyDescent="0.3">
      <c r="A617" s="4"/>
      <c r="B617" s="4"/>
      <c r="C617" s="4"/>
      <c r="D617" s="4"/>
      <c r="E617" s="4"/>
      <c r="F617" s="4"/>
    </row>
    <row r="618" spans="1:6" x14ac:dyDescent="0.3">
      <c r="A618" s="4"/>
      <c r="B618" s="4"/>
      <c r="C618" s="4"/>
      <c r="D618" s="4"/>
      <c r="E618" s="4"/>
      <c r="F618" s="4"/>
    </row>
    <row r="619" spans="1:6" x14ac:dyDescent="0.3">
      <c r="A619" s="4"/>
      <c r="B619" s="4"/>
      <c r="C619" s="4"/>
      <c r="D619" s="4"/>
      <c r="E619" s="4"/>
      <c r="F619" s="4"/>
    </row>
    <row r="620" spans="1:6" x14ac:dyDescent="0.3">
      <c r="A620" s="4"/>
      <c r="B620" s="4"/>
      <c r="C620" s="4"/>
      <c r="D620" s="4"/>
      <c r="E620" s="4"/>
      <c r="F620" s="4"/>
    </row>
    <row r="621" spans="1:6" x14ac:dyDescent="0.3">
      <c r="A621" s="4"/>
      <c r="B621" s="4"/>
      <c r="C621" s="4"/>
      <c r="D621" s="4"/>
      <c r="E621" s="4"/>
      <c r="F621" s="4"/>
    </row>
    <row r="622" spans="1:6" x14ac:dyDescent="0.3">
      <c r="A622" s="4"/>
      <c r="B622" s="4"/>
      <c r="C622" s="4"/>
      <c r="D622" s="4"/>
      <c r="E622" s="4"/>
      <c r="F622" s="4"/>
    </row>
    <row r="623" spans="1:6" x14ac:dyDescent="0.3">
      <c r="A623" s="4"/>
      <c r="B623" s="4"/>
      <c r="C623" s="4"/>
      <c r="D623" s="4"/>
      <c r="E623" s="4"/>
      <c r="F623" s="4"/>
    </row>
    <row r="624" spans="1:6" x14ac:dyDescent="0.3">
      <c r="A624" s="4"/>
      <c r="B624" s="4"/>
      <c r="C624" s="4"/>
      <c r="D624" s="4"/>
      <c r="E624" s="4"/>
      <c r="F624" s="4"/>
    </row>
    <row r="625" spans="1:6" x14ac:dyDescent="0.3">
      <c r="A625" s="4"/>
      <c r="B625" s="4"/>
      <c r="C625" s="4"/>
      <c r="D625" s="4"/>
      <c r="E625" s="4"/>
      <c r="F625" s="4"/>
    </row>
    <row r="626" spans="1:6" x14ac:dyDescent="0.3">
      <c r="A626" s="4"/>
      <c r="B626" s="4"/>
      <c r="C626" s="4"/>
      <c r="D626" s="4"/>
      <c r="E626" s="4"/>
      <c r="F626" s="4"/>
    </row>
    <row r="627" spans="1:6" x14ac:dyDescent="0.3">
      <c r="A627" s="4"/>
      <c r="B627" s="4"/>
      <c r="C627" s="4"/>
      <c r="D627" s="4"/>
      <c r="E627" s="4"/>
      <c r="F627" s="4"/>
    </row>
    <row r="628" spans="1:6" x14ac:dyDescent="0.3">
      <c r="A628" s="4"/>
      <c r="B628" s="4"/>
      <c r="C628" s="4"/>
      <c r="D628" s="4"/>
      <c r="E628" s="4"/>
      <c r="F628" s="4"/>
    </row>
    <row r="629" spans="1:6" x14ac:dyDescent="0.3">
      <c r="A629" s="4"/>
      <c r="B629" s="4"/>
      <c r="C629" s="4"/>
      <c r="D629" s="4"/>
      <c r="E629" s="4"/>
      <c r="F629" s="4"/>
    </row>
    <row r="630" spans="1:6" x14ac:dyDescent="0.3">
      <c r="A630" s="4"/>
      <c r="B630" s="4"/>
      <c r="C630" s="4"/>
      <c r="D630" s="4"/>
      <c r="E630" s="4"/>
      <c r="F630" s="4"/>
    </row>
    <row r="631" spans="1:6" x14ac:dyDescent="0.3">
      <c r="A631" s="4"/>
      <c r="B631" s="4"/>
      <c r="C631" s="4"/>
      <c r="D631" s="4"/>
      <c r="E631" s="4"/>
      <c r="F631" s="4"/>
    </row>
    <row r="632" spans="1:6" x14ac:dyDescent="0.3">
      <c r="A632" s="4"/>
      <c r="B632" s="4"/>
      <c r="C632" s="4"/>
      <c r="D632" s="4"/>
      <c r="E632" s="4"/>
      <c r="F632" s="4"/>
    </row>
    <row r="633" spans="1:6" x14ac:dyDescent="0.3">
      <c r="A633" s="4"/>
      <c r="B633" s="4"/>
      <c r="C633" s="4"/>
      <c r="D633" s="4"/>
      <c r="E633" s="4"/>
      <c r="F633" s="4"/>
    </row>
    <row r="634" spans="1:6" x14ac:dyDescent="0.3">
      <c r="A634" s="4"/>
      <c r="B634" s="4"/>
      <c r="C634" s="4"/>
      <c r="D634" s="4"/>
      <c r="E634" s="4"/>
      <c r="F634" s="4"/>
    </row>
    <row r="635" spans="1:6" x14ac:dyDescent="0.3">
      <c r="A635" s="4"/>
      <c r="B635" s="4"/>
      <c r="C635" s="4"/>
      <c r="D635" s="4"/>
      <c r="E635" s="4"/>
      <c r="F635" s="4"/>
    </row>
    <row r="636" spans="1:6" x14ac:dyDescent="0.3">
      <c r="A636" s="4"/>
      <c r="B636" s="4"/>
      <c r="C636" s="4"/>
      <c r="D636" s="4"/>
      <c r="E636" s="4"/>
      <c r="F636" s="4"/>
    </row>
    <row r="637" spans="1:6" x14ac:dyDescent="0.3">
      <c r="A637" s="4"/>
      <c r="B637" s="4"/>
      <c r="C637" s="4"/>
      <c r="D637" s="4"/>
      <c r="E637" s="4"/>
      <c r="F637" s="4"/>
    </row>
    <row r="638" spans="1:6" x14ac:dyDescent="0.3">
      <c r="A638" s="4"/>
      <c r="B638" s="4"/>
      <c r="C638" s="4"/>
      <c r="D638" s="4"/>
      <c r="E638" s="4"/>
      <c r="F638" s="4"/>
    </row>
    <row r="639" spans="1:6" x14ac:dyDescent="0.3">
      <c r="A639" s="4"/>
      <c r="B639" s="4"/>
      <c r="C639" s="4"/>
      <c r="D639" s="4"/>
      <c r="E639" s="4"/>
      <c r="F639" s="4"/>
    </row>
    <row r="640" spans="1:6" x14ac:dyDescent="0.3">
      <c r="A640" s="4"/>
      <c r="B640" s="4"/>
      <c r="C640" s="4"/>
      <c r="D640" s="4"/>
      <c r="E640" s="4"/>
      <c r="F640" s="4"/>
    </row>
    <row r="641" spans="1:6" x14ac:dyDescent="0.3">
      <c r="A641" s="4"/>
      <c r="B641" s="4"/>
      <c r="C641" s="4"/>
      <c r="D641" s="4"/>
      <c r="E641" s="4"/>
      <c r="F641" s="4"/>
    </row>
    <row r="642" spans="1:6" x14ac:dyDescent="0.3">
      <c r="A642" s="4"/>
      <c r="B642" s="4"/>
      <c r="C642" s="4"/>
      <c r="D642" s="4"/>
      <c r="E642" s="4"/>
      <c r="F642" s="4"/>
    </row>
    <row r="643" spans="1:6" x14ac:dyDescent="0.3">
      <c r="A643" s="4"/>
      <c r="B643" s="4"/>
      <c r="C643" s="4"/>
      <c r="D643" s="4"/>
      <c r="E643" s="4"/>
      <c r="F643" s="4"/>
    </row>
    <row r="644" spans="1:6" x14ac:dyDescent="0.3">
      <c r="A644" s="4"/>
      <c r="B644" s="4"/>
      <c r="C644" s="4"/>
      <c r="D644" s="4"/>
      <c r="E644" s="4"/>
      <c r="F644" s="4"/>
    </row>
    <row r="645" spans="1:6" x14ac:dyDescent="0.3">
      <c r="A645" s="4"/>
      <c r="B645" s="4"/>
      <c r="C645" s="4"/>
      <c r="D645" s="4"/>
      <c r="E645" s="4"/>
      <c r="F645" s="4"/>
    </row>
    <row r="646" spans="1:6" x14ac:dyDescent="0.3">
      <c r="A646" s="4"/>
      <c r="B646" s="4"/>
      <c r="C646" s="4"/>
      <c r="D646" s="4"/>
      <c r="E646" s="4"/>
      <c r="F646" s="4"/>
    </row>
    <row r="647" spans="1:6" x14ac:dyDescent="0.3">
      <c r="A647" s="4"/>
      <c r="B647" s="4"/>
      <c r="C647" s="4"/>
      <c r="D647" s="4"/>
      <c r="E647" s="4"/>
      <c r="F647" s="4"/>
    </row>
    <row r="648" spans="1:6" x14ac:dyDescent="0.3">
      <c r="A648" s="4"/>
      <c r="B648" s="4"/>
      <c r="C648" s="4"/>
      <c r="D648" s="4"/>
      <c r="E648" s="4"/>
      <c r="F648" s="4"/>
    </row>
    <row r="649" spans="1:6" x14ac:dyDescent="0.3">
      <c r="A649" s="4"/>
      <c r="B649" s="4"/>
      <c r="C649" s="4"/>
      <c r="D649" s="4"/>
      <c r="E649" s="4"/>
      <c r="F649" s="4"/>
    </row>
    <row r="650" spans="1:6" x14ac:dyDescent="0.3">
      <c r="A650" s="4"/>
      <c r="B650" s="4"/>
      <c r="C650" s="4"/>
      <c r="D650" s="4"/>
      <c r="E650" s="4"/>
      <c r="F650" s="4"/>
    </row>
    <row r="651" spans="1:6" x14ac:dyDescent="0.3">
      <c r="A651" s="4"/>
      <c r="B651" s="4"/>
      <c r="C651" s="4"/>
      <c r="D651" s="4"/>
      <c r="E651" s="4"/>
      <c r="F651" s="4"/>
    </row>
    <row r="652" spans="1:6" x14ac:dyDescent="0.3">
      <c r="A652" s="4"/>
      <c r="B652" s="4"/>
      <c r="C652" s="4"/>
      <c r="D652" s="4"/>
      <c r="E652" s="4"/>
      <c r="F652" s="4"/>
    </row>
    <row r="653" spans="1:6" x14ac:dyDescent="0.3">
      <c r="A653" s="4"/>
      <c r="B653" s="4"/>
      <c r="C653" s="4"/>
      <c r="D653" s="4"/>
      <c r="E653" s="4"/>
      <c r="F653" s="4"/>
    </row>
    <row r="654" spans="1:6" x14ac:dyDescent="0.3">
      <c r="A654" s="4"/>
      <c r="B654" s="4"/>
      <c r="C654" s="4"/>
      <c r="D654" s="4"/>
      <c r="E654" s="4"/>
      <c r="F654" s="4"/>
    </row>
    <row r="655" spans="1:6" x14ac:dyDescent="0.3">
      <c r="A655" s="4"/>
      <c r="B655" s="4"/>
      <c r="C655" s="4"/>
      <c r="D655" s="4"/>
      <c r="E655" s="4"/>
      <c r="F655" s="4"/>
    </row>
    <row r="656" spans="1:6" x14ac:dyDescent="0.3">
      <c r="A656" s="4"/>
      <c r="B656" s="4"/>
      <c r="C656" s="4"/>
      <c r="D656" s="4"/>
      <c r="E656" s="4"/>
      <c r="F656" s="4"/>
    </row>
    <row r="657" spans="1:6" x14ac:dyDescent="0.3">
      <c r="A657" s="4"/>
      <c r="B657" s="4"/>
      <c r="C657" s="4"/>
      <c r="D657" s="4"/>
      <c r="E657" s="4"/>
      <c r="F657" s="4"/>
    </row>
    <row r="658" spans="1:6" x14ac:dyDescent="0.3">
      <c r="A658" s="4"/>
      <c r="B658" s="4"/>
      <c r="C658" s="4"/>
      <c r="D658" s="4"/>
      <c r="E658" s="4"/>
      <c r="F658" s="4"/>
    </row>
    <row r="659" spans="1:6" x14ac:dyDescent="0.3">
      <c r="A659" s="4"/>
      <c r="B659" s="4"/>
      <c r="C659" s="4"/>
      <c r="D659" s="4"/>
      <c r="E659" s="4"/>
      <c r="F659" s="4"/>
    </row>
    <row r="660" spans="1:6" x14ac:dyDescent="0.3">
      <c r="A660" s="4"/>
      <c r="B660" s="4"/>
      <c r="C660" s="4"/>
      <c r="D660" s="4"/>
      <c r="E660" s="4"/>
      <c r="F660" s="4"/>
    </row>
    <row r="661" spans="1:6" x14ac:dyDescent="0.3">
      <c r="A661" s="4"/>
      <c r="B661" s="4"/>
      <c r="C661" s="4"/>
      <c r="D661" s="4"/>
      <c r="E661" s="4"/>
      <c r="F661" s="4"/>
    </row>
    <row r="662" spans="1:6" x14ac:dyDescent="0.3">
      <c r="A662" s="4"/>
      <c r="B662" s="4"/>
      <c r="C662" s="4"/>
      <c r="D662" s="4"/>
      <c r="E662" s="4"/>
      <c r="F662" s="4"/>
    </row>
    <row r="663" spans="1:6" x14ac:dyDescent="0.3">
      <c r="A663" s="4"/>
      <c r="B663" s="4"/>
      <c r="C663" s="4"/>
      <c r="D663" s="4"/>
      <c r="E663" s="4"/>
      <c r="F663" s="4"/>
    </row>
    <row r="664" spans="1:6" x14ac:dyDescent="0.3">
      <c r="A664" s="4"/>
      <c r="B664" s="4"/>
      <c r="C664" s="4"/>
      <c r="D664" s="4"/>
      <c r="E664" s="4"/>
      <c r="F664" s="4"/>
    </row>
    <row r="665" spans="1:6" x14ac:dyDescent="0.3">
      <c r="A665" s="4"/>
      <c r="B665" s="4"/>
      <c r="C665" s="4"/>
      <c r="D665" s="4"/>
      <c r="E665" s="4"/>
      <c r="F665" s="4"/>
    </row>
    <row r="666" spans="1:6" x14ac:dyDescent="0.3">
      <c r="A666" s="4"/>
      <c r="B666" s="4"/>
      <c r="C666" s="4"/>
      <c r="D666" s="4"/>
      <c r="E666" s="4"/>
      <c r="F666" s="4"/>
    </row>
    <row r="667" spans="1:6" x14ac:dyDescent="0.3">
      <c r="A667" s="4"/>
      <c r="B667" s="4"/>
      <c r="C667" s="4"/>
      <c r="D667" s="4"/>
      <c r="E667" s="4"/>
      <c r="F667" s="4"/>
    </row>
    <row r="668" spans="1:6" x14ac:dyDescent="0.3">
      <c r="A668" s="4"/>
      <c r="B668" s="4"/>
      <c r="C668" s="4"/>
      <c r="D668" s="4"/>
      <c r="E668" s="4"/>
      <c r="F668" s="4"/>
    </row>
    <row r="669" spans="1:6" x14ac:dyDescent="0.3">
      <c r="A669" s="4"/>
      <c r="B669" s="4"/>
      <c r="C669" s="4"/>
      <c r="D669" s="4"/>
      <c r="E669" s="4"/>
      <c r="F669" s="4"/>
    </row>
    <row r="670" spans="1:6" x14ac:dyDescent="0.3">
      <c r="A670" s="4"/>
      <c r="B670" s="4"/>
      <c r="C670" s="4"/>
      <c r="D670" s="4"/>
      <c r="E670" s="4"/>
      <c r="F670" s="4"/>
    </row>
    <row r="671" spans="1:6" x14ac:dyDescent="0.3">
      <c r="A671" s="4"/>
      <c r="B671" s="4"/>
      <c r="C671" s="4"/>
      <c r="D671" s="4"/>
      <c r="E671" s="4"/>
      <c r="F671" s="4"/>
    </row>
    <row r="672" spans="1:6" x14ac:dyDescent="0.3">
      <c r="A672" s="4"/>
      <c r="B672" s="4"/>
      <c r="C672" s="4"/>
      <c r="D672" s="4"/>
      <c r="E672" s="4"/>
      <c r="F672" s="4"/>
    </row>
    <row r="673" spans="1:6" x14ac:dyDescent="0.3">
      <c r="A673" s="4"/>
      <c r="B673" s="4"/>
      <c r="C673" s="4"/>
      <c r="D673" s="4"/>
      <c r="E673" s="4"/>
      <c r="F673" s="4"/>
    </row>
    <row r="674" spans="1:6" x14ac:dyDescent="0.3">
      <c r="A674" s="4"/>
      <c r="B674" s="4"/>
      <c r="C674" s="4"/>
      <c r="D674" s="4"/>
      <c r="E674" s="4"/>
      <c r="F674" s="4"/>
    </row>
    <row r="675" spans="1:6" x14ac:dyDescent="0.3">
      <c r="A675" s="4"/>
      <c r="B675" s="4"/>
      <c r="C675" s="4"/>
      <c r="D675" s="4"/>
      <c r="E675" s="4"/>
      <c r="F675" s="4"/>
    </row>
    <row r="676" spans="1:6" x14ac:dyDescent="0.3">
      <c r="A676" s="4"/>
      <c r="B676" s="4"/>
      <c r="C676" s="4"/>
      <c r="D676" s="4"/>
      <c r="E676" s="4"/>
      <c r="F676" s="4"/>
    </row>
    <row r="677" spans="1:6" x14ac:dyDescent="0.3">
      <c r="A677" s="4"/>
      <c r="B677" s="4"/>
      <c r="C677" s="4"/>
      <c r="D677" s="4"/>
      <c r="E677" s="4"/>
      <c r="F677" s="4"/>
    </row>
    <row r="678" spans="1:6" x14ac:dyDescent="0.3">
      <c r="A678" s="4"/>
      <c r="B678" s="4"/>
      <c r="C678" s="4"/>
      <c r="D678" s="4"/>
      <c r="E678" s="4"/>
      <c r="F678" s="4"/>
    </row>
    <row r="679" spans="1:6" x14ac:dyDescent="0.3">
      <c r="A679" s="4"/>
      <c r="B679" s="4"/>
      <c r="C679" s="4"/>
      <c r="D679" s="4"/>
      <c r="E679" s="4"/>
      <c r="F679" s="4"/>
    </row>
    <row r="680" spans="1:6" x14ac:dyDescent="0.3">
      <c r="A680" s="4"/>
      <c r="B680" s="4"/>
      <c r="C680" s="4"/>
      <c r="D680" s="4"/>
      <c r="E680" s="4"/>
      <c r="F680" s="4"/>
    </row>
    <row r="681" spans="1:6" x14ac:dyDescent="0.3">
      <c r="A681" s="4"/>
      <c r="B681" s="4"/>
      <c r="C681" s="4"/>
      <c r="D681" s="4"/>
      <c r="E681" s="4"/>
      <c r="F681" s="4"/>
    </row>
    <row r="682" spans="1:6" x14ac:dyDescent="0.3">
      <c r="A682" s="4"/>
      <c r="B682" s="4"/>
      <c r="C682" s="4"/>
      <c r="D682" s="4"/>
      <c r="E682" s="4"/>
      <c r="F682" s="4"/>
    </row>
    <row r="683" spans="1:6" x14ac:dyDescent="0.3">
      <c r="A683" s="4"/>
      <c r="B683" s="4"/>
      <c r="C683" s="4"/>
      <c r="D683" s="4"/>
      <c r="E683" s="4"/>
      <c r="F683" s="4"/>
    </row>
    <row r="684" spans="1:6" x14ac:dyDescent="0.3">
      <c r="A684" s="4"/>
      <c r="B684" s="4"/>
      <c r="C684" s="4"/>
      <c r="D684" s="4"/>
      <c r="E684" s="4"/>
      <c r="F684" s="4"/>
    </row>
    <row r="685" spans="1:6" x14ac:dyDescent="0.3">
      <c r="A685" s="4"/>
      <c r="B685" s="4"/>
      <c r="C685" s="4"/>
      <c r="D685" s="4"/>
      <c r="E685" s="4"/>
      <c r="F685" s="4"/>
    </row>
    <row r="686" spans="1:6" x14ac:dyDescent="0.3">
      <c r="A686" s="4"/>
      <c r="B686" s="4"/>
      <c r="C686" s="4"/>
      <c r="D686" s="4"/>
      <c r="E686" s="4"/>
      <c r="F686" s="4"/>
    </row>
    <row r="687" spans="1:6" x14ac:dyDescent="0.3">
      <c r="A687" s="4"/>
      <c r="B687" s="4"/>
      <c r="C687" s="4"/>
      <c r="D687" s="4"/>
      <c r="E687" s="4"/>
      <c r="F687" s="4"/>
    </row>
    <row r="688" spans="1:6" x14ac:dyDescent="0.3">
      <c r="A688" s="4"/>
      <c r="B688" s="4"/>
      <c r="C688" s="4"/>
      <c r="D688" s="4"/>
      <c r="E688" s="4"/>
      <c r="F688" s="4"/>
    </row>
    <row r="689" spans="1:6" x14ac:dyDescent="0.3">
      <c r="A689" s="4"/>
      <c r="B689" s="4"/>
      <c r="C689" s="4"/>
      <c r="D689" s="4"/>
      <c r="E689" s="4"/>
      <c r="F689" s="4"/>
    </row>
    <row r="690" spans="1:6" x14ac:dyDescent="0.3">
      <c r="A690" s="4"/>
      <c r="B690" s="4"/>
      <c r="C690" s="4"/>
      <c r="D690" s="4"/>
      <c r="E690" s="4"/>
      <c r="F690" s="4"/>
    </row>
    <row r="691" spans="1:6" x14ac:dyDescent="0.3">
      <c r="A691" s="4"/>
      <c r="B691" s="4"/>
      <c r="C691" s="4"/>
      <c r="D691" s="4"/>
      <c r="E691" s="4"/>
      <c r="F691" s="4"/>
    </row>
    <row r="692" spans="1:6" x14ac:dyDescent="0.3">
      <c r="A692" s="4"/>
      <c r="B692" s="4"/>
      <c r="C692" s="4"/>
      <c r="D692" s="4"/>
      <c r="E692" s="4"/>
      <c r="F692" s="4"/>
    </row>
    <row r="693" spans="1:6" x14ac:dyDescent="0.3">
      <c r="A693" s="4"/>
      <c r="B693" s="4"/>
      <c r="C693" s="4"/>
      <c r="D693" s="4"/>
      <c r="E693" s="4"/>
      <c r="F693" s="4"/>
    </row>
    <row r="694" spans="1:6" x14ac:dyDescent="0.3">
      <c r="A694" s="4"/>
      <c r="B694" s="4"/>
      <c r="C694" s="4"/>
      <c r="D694" s="4"/>
      <c r="E694" s="4"/>
      <c r="F694" s="4"/>
    </row>
    <row r="695" spans="1:6" x14ac:dyDescent="0.3">
      <c r="A695" s="4"/>
      <c r="B695" s="4"/>
      <c r="C695" s="4"/>
      <c r="D695" s="4"/>
      <c r="E695" s="4"/>
      <c r="F695" s="4"/>
    </row>
    <row r="696" spans="1:6" x14ac:dyDescent="0.3">
      <c r="A696" s="4"/>
      <c r="B696" s="4"/>
      <c r="C696" s="4"/>
      <c r="D696" s="4"/>
      <c r="E696" s="4"/>
      <c r="F696" s="4"/>
    </row>
    <row r="697" spans="1:6" x14ac:dyDescent="0.3">
      <c r="A697" s="4"/>
      <c r="B697" s="4"/>
      <c r="C697" s="4"/>
      <c r="D697" s="4"/>
      <c r="E697" s="4"/>
      <c r="F697" s="4"/>
    </row>
    <row r="698" spans="1:6" x14ac:dyDescent="0.3">
      <c r="A698" s="4"/>
      <c r="B698" s="4"/>
      <c r="C698" s="4"/>
      <c r="D698" s="4"/>
      <c r="E698" s="4"/>
      <c r="F698" s="4"/>
    </row>
    <row r="699" spans="1:6" x14ac:dyDescent="0.3">
      <c r="A699" s="4"/>
      <c r="B699" s="4"/>
      <c r="C699" s="4"/>
      <c r="D699" s="4"/>
      <c r="E699" s="4"/>
      <c r="F699" s="4"/>
    </row>
    <row r="700" spans="1:6" x14ac:dyDescent="0.3">
      <c r="A700" s="4"/>
      <c r="B700" s="4"/>
      <c r="C700" s="4"/>
      <c r="D700" s="4"/>
      <c r="E700" s="4"/>
      <c r="F700" s="4"/>
    </row>
    <row r="701" spans="1:6" x14ac:dyDescent="0.3">
      <c r="A701" s="4"/>
      <c r="B701" s="4"/>
      <c r="C701" s="4"/>
      <c r="D701" s="4"/>
      <c r="E701" s="4"/>
      <c r="F701" s="4"/>
    </row>
    <row r="702" spans="1:6" x14ac:dyDescent="0.3">
      <c r="A702" s="4"/>
      <c r="B702" s="4"/>
      <c r="C702" s="4"/>
      <c r="D702" s="4"/>
      <c r="E702" s="4"/>
      <c r="F702" s="4"/>
    </row>
    <row r="703" spans="1:6" x14ac:dyDescent="0.3">
      <c r="A703" s="4"/>
      <c r="B703" s="4"/>
      <c r="C703" s="4"/>
      <c r="D703" s="4"/>
      <c r="E703" s="4"/>
      <c r="F703" s="4"/>
    </row>
    <row r="704" spans="1:6" x14ac:dyDescent="0.3">
      <c r="A704" s="4"/>
      <c r="B704" s="4"/>
      <c r="C704" s="4"/>
      <c r="D704" s="4"/>
      <c r="E704" s="4"/>
      <c r="F704" s="4"/>
    </row>
    <row r="705" spans="1:6" x14ac:dyDescent="0.3">
      <c r="A705" s="4"/>
      <c r="B705" s="4"/>
      <c r="C705" s="4"/>
      <c r="D705" s="4"/>
      <c r="E705" s="4"/>
      <c r="F705" s="4"/>
    </row>
    <row r="706" spans="1:6" x14ac:dyDescent="0.3">
      <c r="A706" s="4"/>
      <c r="B706" s="4"/>
      <c r="C706" s="4"/>
      <c r="D706" s="4"/>
      <c r="E706" s="4"/>
      <c r="F706" s="4"/>
    </row>
    <row r="707" spans="1:6" x14ac:dyDescent="0.3">
      <c r="A707" s="4"/>
      <c r="B707" s="4"/>
      <c r="C707" s="4"/>
      <c r="D707" s="4"/>
      <c r="E707" s="4"/>
      <c r="F707" s="4"/>
    </row>
    <row r="708" spans="1:6" x14ac:dyDescent="0.3">
      <c r="A708" s="4"/>
      <c r="B708" s="4"/>
      <c r="C708" s="4"/>
      <c r="D708" s="4"/>
      <c r="E708" s="4"/>
      <c r="F708" s="4"/>
    </row>
    <row r="709" spans="1:6" x14ac:dyDescent="0.3">
      <c r="A709" s="4"/>
      <c r="B709" s="4"/>
      <c r="C709" s="4"/>
      <c r="D709" s="4"/>
      <c r="E709" s="4"/>
      <c r="F709" s="4"/>
    </row>
    <row r="710" spans="1:6" x14ac:dyDescent="0.3">
      <c r="A710" s="4"/>
      <c r="B710" s="4"/>
      <c r="C710" s="4"/>
      <c r="D710" s="4"/>
      <c r="E710" s="4"/>
      <c r="F710" s="4"/>
    </row>
    <row r="711" spans="1:6" x14ac:dyDescent="0.3">
      <c r="A711" s="4"/>
      <c r="B711" s="4"/>
      <c r="C711" s="4"/>
      <c r="D711" s="4"/>
      <c r="E711" s="4"/>
      <c r="F711" s="4"/>
    </row>
    <row r="712" spans="1:6" x14ac:dyDescent="0.3">
      <c r="A712" s="4"/>
      <c r="B712" s="4"/>
      <c r="C712" s="4"/>
      <c r="D712" s="4"/>
      <c r="E712" s="4"/>
      <c r="F712" s="4"/>
    </row>
    <row r="713" spans="1:6" x14ac:dyDescent="0.3">
      <c r="A713" s="4"/>
      <c r="B713" s="4"/>
      <c r="C713" s="4"/>
      <c r="D713" s="4"/>
      <c r="E713" s="4"/>
      <c r="F713" s="4"/>
    </row>
    <row r="714" spans="1:6" x14ac:dyDescent="0.3">
      <c r="A714" s="4"/>
      <c r="B714" s="4"/>
      <c r="C714" s="4"/>
      <c r="D714" s="4"/>
      <c r="E714" s="4"/>
      <c r="F714" s="4"/>
    </row>
    <row r="715" spans="1:6" x14ac:dyDescent="0.3">
      <c r="A715" s="4"/>
      <c r="B715" s="4"/>
      <c r="C715" s="4"/>
      <c r="D715" s="4"/>
      <c r="E715" s="4"/>
      <c r="F715" s="4"/>
    </row>
    <row r="716" spans="1:6" x14ac:dyDescent="0.3">
      <c r="A716" s="4"/>
      <c r="B716" s="4"/>
      <c r="C716" s="4"/>
      <c r="D716" s="4"/>
      <c r="E716" s="4"/>
      <c r="F716" s="4"/>
    </row>
    <row r="717" spans="1:6" x14ac:dyDescent="0.3">
      <c r="A717" s="4"/>
      <c r="B717" s="4"/>
      <c r="C717" s="4"/>
      <c r="D717" s="4"/>
      <c r="E717" s="4"/>
      <c r="F717" s="4"/>
    </row>
    <row r="718" spans="1:6" x14ac:dyDescent="0.3">
      <c r="A718" s="4"/>
      <c r="B718" s="4"/>
      <c r="C718" s="4"/>
      <c r="D718" s="4"/>
      <c r="E718" s="4"/>
      <c r="F718" s="4"/>
    </row>
    <row r="719" spans="1:6" x14ac:dyDescent="0.3">
      <c r="A719" s="4"/>
      <c r="B719" s="4"/>
      <c r="C719" s="4"/>
      <c r="D719" s="4"/>
      <c r="E719" s="4"/>
      <c r="F719" s="4"/>
    </row>
    <row r="720" spans="1:6" x14ac:dyDescent="0.3">
      <c r="A720" s="4"/>
      <c r="B720" s="4"/>
      <c r="C720" s="4"/>
      <c r="D720" s="4"/>
      <c r="E720" s="4"/>
      <c r="F720" s="4"/>
    </row>
    <row r="721" spans="1:6" x14ac:dyDescent="0.3">
      <c r="A721" s="4"/>
      <c r="B721" s="4"/>
      <c r="C721" s="4"/>
      <c r="D721" s="4"/>
      <c r="E721" s="4"/>
      <c r="F721" s="4"/>
    </row>
    <row r="722" spans="1:6" x14ac:dyDescent="0.3">
      <c r="A722" s="4"/>
      <c r="B722" s="4"/>
      <c r="C722" s="4"/>
      <c r="D722" s="4"/>
      <c r="E722" s="4"/>
      <c r="F722" s="4"/>
    </row>
    <row r="723" spans="1:6" x14ac:dyDescent="0.3">
      <c r="A723" s="4"/>
      <c r="B723" s="4"/>
      <c r="C723" s="4"/>
      <c r="D723" s="4"/>
      <c r="E723" s="4"/>
      <c r="F723" s="4"/>
    </row>
    <row r="724" spans="1:6" x14ac:dyDescent="0.3">
      <c r="A724" s="4"/>
      <c r="B724" s="4"/>
      <c r="C724" s="4"/>
      <c r="D724" s="4"/>
      <c r="E724" s="4"/>
      <c r="F724" s="4"/>
    </row>
    <row r="725" spans="1:6" x14ac:dyDescent="0.3">
      <c r="A725" s="4"/>
      <c r="B725" s="4"/>
      <c r="C725" s="4"/>
      <c r="D725" s="4"/>
      <c r="E725" s="4"/>
      <c r="F725" s="4"/>
    </row>
    <row r="726" spans="1:6" x14ac:dyDescent="0.3">
      <c r="A726" s="4"/>
      <c r="B726" s="4"/>
      <c r="C726" s="4"/>
      <c r="D726" s="4"/>
      <c r="E726" s="4"/>
      <c r="F726" s="4"/>
    </row>
    <row r="727" spans="1:6" x14ac:dyDescent="0.3">
      <c r="A727" s="4"/>
      <c r="B727" s="4"/>
      <c r="C727" s="4"/>
      <c r="D727" s="4"/>
      <c r="E727" s="4"/>
      <c r="F727" s="4"/>
    </row>
    <row r="728" spans="1:6" x14ac:dyDescent="0.3">
      <c r="A728" s="4"/>
      <c r="B728" s="4"/>
      <c r="C728" s="4"/>
      <c r="D728" s="4"/>
      <c r="E728" s="4"/>
      <c r="F728" s="4"/>
    </row>
    <row r="729" spans="1:6" x14ac:dyDescent="0.3">
      <c r="A729" s="4"/>
      <c r="B729" s="4"/>
      <c r="C729" s="4"/>
      <c r="D729" s="4"/>
      <c r="E729" s="4"/>
      <c r="F729" s="4"/>
    </row>
    <row r="730" spans="1:6" x14ac:dyDescent="0.3">
      <c r="A730" s="4"/>
      <c r="B730" s="4"/>
      <c r="C730" s="4"/>
      <c r="D730" s="4"/>
      <c r="E730" s="4"/>
      <c r="F730" s="4"/>
    </row>
    <row r="731" spans="1:6" x14ac:dyDescent="0.3">
      <c r="A731" s="4"/>
      <c r="B731" s="4"/>
      <c r="C731" s="4"/>
      <c r="D731" s="4"/>
      <c r="E731" s="4"/>
      <c r="F731" s="4"/>
    </row>
    <row r="732" spans="1:6" x14ac:dyDescent="0.3">
      <c r="A732" s="4"/>
      <c r="B732" s="4"/>
      <c r="C732" s="4"/>
      <c r="D732" s="4"/>
      <c r="E732" s="4"/>
      <c r="F732" s="4"/>
    </row>
    <row r="733" spans="1:6" x14ac:dyDescent="0.3">
      <c r="A733" s="4"/>
      <c r="B733" s="4"/>
      <c r="C733" s="4"/>
      <c r="D733" s="4"/>
      <c r="E733" s="4"/>
      <c r="F733" s="4"/>
    </row>
    <row r="734" spans="1:6" x14ac:dyDescent="0.3">
      <c r="A734" s="4"/>
      <c r="B734" s="4"/>
      <c r="C734" s="4"/>
      <c r="D734" s="4"/>
      <c r="E734" s="4"/>
      <c r="F734" s="4"/>
    </row>
    <row r="735" spans="1:6" x14ac:dyDescent="0.3">
      <c r="A735" s="4"/>
      <c r="B735" s="4"/>
      <c r="C735" s="4"/>
      <c r="D735" s="4"/>
      <c r="E735" s="4"/>
      <c r="F735" s="4"/>
    </row>
    <row r="736" spans="1:6" x14ac:dyDescent="0.3">
      <c r="A736" s="4"/>
      <c r="B736" s="4"/>
      <c r="C736" s="4"/>
      <c r="D736" s="4"/>
      <c r="E736" s="4"/>
      <c r="F736" s="4"/>
    </row>
    <row r="737" spans="1:6" x14ac:dyDescent="0.3">
      <c r="A737" s="4"/>
      <c r="B737" s="4"/>
      <c r="C737" s="4"/>
      <c r="D737" s="4"/>
      <c r="E737" s="4"/>
      <c r="F737" s="4"/>
    </row>
    <row r="738" spans="1:6" x14ac:dyDescent="0.3">
      <c r="A738" s="4"/>
      <c r="B738" s="4"/>
      <c r="C738" s="4"/>
      <c r="D738" s="4"/>
      <c r="E738" s="4"/>
      <c r="F738" s="4"/>
    </row>
    <row r="739" spans="1:6" x14ac:dyDescent="0.3">
      <c r="A739" s="4"/>
      <c r="B739" s="4"/>
      <c r="C739" s="4"/>
      <c r="D739" s="4"/>
      <c r="E739" s="4"/>
      <c r="F739" s="4"/>
    </row>
    <row r="740" spans="1:6" x14ac:dyDescent="0.3">
      <c r="A740" s="4"/>
      <c r="B740" s="4"/>
      <c r="C740" s="4"/>
      <c r="D740" s="4"/>
      <c r="E740" s="4"/>
      <c r="F740" s="4"/>
    </row>
    <row r="741" spans="1:6" x14ac:dyDescent="0.3">
      <c r="A741" s="4"/>
      <c r="B741" s="4"/>
      <c r="C741" s="4"/>
      <c r="D741" s="4"/>
      <c r="E741" s="4"/>
      <c r="F741" s="4"/>
    </row>
    <row r="742" spans="1:6" x14ac:dyDescent="0.3">
      <c r="A742" s="4"/>
      <c r="B742" s="4"/>
      <c r="C742" s="4"/>
      <c r="D742" s="4"/>
      <c r="E742" s="4"/>
      <c r="F742" s="4"/>
    </row>
    <row r="743" spans="1:6" x14ac:dyDescent="0.3">
      <c r="A743" s="4"/>
      <c r="B743" s="4"/>
      <c r="C743" s="4"/>
      <c r="D743" s="4"/>
      <c r="E743" s="4"/>
      <c r="F743" s="4"/>
    </row>
    <row r="744" spans="1:6" x14ac:dyDescent="0.3">
      <c r="A744" s="4"/>
      <c r="B744" s="4"/>
      <c r="C744" s="4"/>
      <c r="D744" s="4"/>
      <c r="E744" s="4"/>
      <c r="F744" s="4"/>
    </row>
    <row r="745" spans="1:6" x14ac:dyDescent="0.3">
      <c r="A745" s="4"/>
      <c r="B745" s="4"/>
      <c r="C745" s="4"/>
      <c r="D745" s="4"/>
      <c r="E745" s="4"/>
      <c r="F745" s="4"/>
    </row>
    <row r="746" spans="1:6" x14ac:dyDescent="0.3">
      <c r="A746" s="4"/>
      <c r="B746" s="4"/>
      <c r="C746" s="4"/>
      <c r="D746" s="4"/>
      <c r="E746" s="4"/>
      <c r="F746" s="4"/>
    </row>
    <row r="747" spans="1:6" x14ac:dyDescent="0.3">
      <c r="A747" s="4"/>
      <c r="B747" s="4"/>
      <c r="C747" s="4"/>
      <c r="D747" s="4"/>
      <c r="E747" s="4"/>
      <c r="F747" s="4"/>
    </row>
    <row r="748" spans="1:6" x14ac:dyDescent="0.3">
      <c r="A748" s="4"/>
      <c r="B748" s="4"/>
      <c r="C748" s="4"/>
      <c r="D748" s="4"/>
      <c r="E748" s="4"/>
      <c r="F748" s="4"/>
    </row>
    <row r="749" spans="1:6" x14ac:dyDescent="0.3">
      <c r="A749" s="4"/>
      <c r="B749" s="4"/>
      <c r="C749" s="4"/>
      <c r="D749" s="4"/>
      <c r="E749" s="4"/>
      <c r="F749" s="4"/>
    </row>
    <row r="750" spans="1:6" x14ac:dyDescent="0.3">
      <c r="A750" s="4"/>
      <c r="B750" s="4"/>
      <c r="C750" s="4"/>
      <c r="D750" s="4"/>
      <c r="E750" s="4"/>
      <c r="F750" s="4"/>
    </row>
    <row r="751" spans="1:6" x14ac:dyDescent="0.3">
      <c r="A751" s="4"/>
      <c r="B751" s="4"/>
      <c r="C751" s="4"/>
      <c r="D751" s="4"/>
      <c r="E751" s="4"/>
      <c r="F751" s="4"/>
    </row>
    <row r="752" spans="1:6" x14ac:dyDescent="0.3">
      <c r="A752" s="4"/>
      <c r="B752" s="4"/>
      <c r="C752" s="4"/>
      <c r="D752" s="4"/>
      <c r="E752" s="4"/>
      <c r="F752" s="4"/>
    </row>
    <row r="753" spans="1:6" x14ac:dyDescent="0.3">
      <c r="A753" s="4"/>
      <c r="B753" s="4"/>
      <c r="C753" s="4"/>
      <c r="D753" s="4"/>
      <c r="E753" s="4"/>
      <c r="F753" s="4"/>
    </row>
    <row r="754" spans="1:6" x14ac:dyDescent="0.3">
      <c r="A754" s="4"/>
      <c r="B754" s="4"/>
      <c r="C754" s="4"/>
      <c r="D754" s="4"/>
      <c r="E754" s="4"/>
      <c r="F754" s="4"/>
    </row>
    <row r="755" spans="1:6" x14ac:dyDescent="0.3">
      <c r="A755" s="4"/>
      <c r="B755" s="4"/>
      <c r="C755" s="4"/>
      <c r="D755" s="4"/>
      <c r="E755" s="4"/>
      <c r="F755" s="4"/>
    </row>
    <row r="756" spans="1:6" x14ac:dyDescent="0.3">
      <c r="A756" s="4"/>
      <c r="B756" s="4"/>
      <c r="C756" s="4"/>
      <c r="D756" s="4"/>
      <c r="E756" s="4"/>
      <c r="F756" s="4"/>
    </row>
    <row r="757" spans="1:6" x14ac:dyDescent="0.3">
      <c r="A757" s="4"/>
      <c r="B757" s="4"/>
      <c r="C757" s="4"/>
      <c r="D757" s="4"/>
      <c r="E757" s="4"/>
      <c r="F757" s="4"/>
    </row>
    <row r="758" spans="1:6" x14ac:dyDescent="0.3">
      <c r="A758" s="4"/>
      <c r="B758" s="4"/>
      <c r="C758" s="4"/>
      <c r="D758" s="4"/>
      <c r="E758" s="4"/>
      <c r="F758" s="4"/>
    </row>
    <row r="759" spans="1:6" x14ac:dyDescent="0.3">
      <c r="A759" s="4"/>
      <c r="B759" s="4"/>
      <c r="C759" s="4"/>
      <c r="D759" s="4"/>
      <c r="E759" s="4"/>
      <c r="F759" s="4"/>
    </row>
    <row r="760" spans="1:6" x14ac:dyDescent="0.3">
      <c r="A760" s="4"/>
      <c r="B760" s="4"/>
      <c r="C760" s="4"/>
      <c r="D760" s="4"/>
      <c r="E760" s="4"/>
      <c r="F760" s="4"/>
    </row>
    <row r="761" spans="1:6" x14ac:dyDescent="0.3">
      <c r="A761" s="4"/>
      <c r="B761" s="4"/>
      <c r="C761" s="4"/>
      <c r="D761" s="4"/>
      <c r="E761" s="4"/>
      <c r="F761" s="4"/>
    </row>
    <row r="762" spans="1:6" x14ac:dyDescent="0.3">
      <c r="A762" s="4"/>
      <c r="B762" s="4"/>
      <c r="C762" s="4"/>
      <c r="D762" s="4"/>
      <c r="E762" s="4"/>
      <c r="F762" s="4"/>
    </row>
    <row r="763" spans="1:6" x14ac:dyDescent="0.3">
      <c r="A763" s="4"/>
      <c r="B763" s="4"/>
      <c r="C763" s="4"/>
      <c r="D763" s="4"/>
      <c r="E763" s="4"/>
      <c r="F763" s="4"/>
    </row>
    <row r="764" spans="1:6" x14ac:dyDescent="0.3">
      <c r="A764" s="4"/>
      <c r="B764" s="4"/>
      <c r="C764" s="4"/>
      <c r="D764" s="4"/>
      <c r="E764" s="4"/>
      <c r="F764" s="4"/>
    </row>
    <row r="765" spans="1:6" x14ac:dyDescent="0.3">
      <c r="A765" s="4"/>
      <c r="B765" s="4"/>
      <c r="C765" s="4"/>
      <c r="D765" s="4"/>
      <c r="E765" s="4"/>
      <c r="F765" s="4"/>
    </row>
    <row r="766" spans="1:6" x14ac:dyDescent="0.3">
      <c r="A766" s="4"/>
      <c r="B766" s="4"/>
      <c r="C766" s="4"/>
      <c r="D766" s="4"/>
      <c r="E766" s="4"/>
      <c r="F766" s="4"/>
    </row>
    <row r="767" spans="1:6" x14ac:dyDescent="0.3">
      <c r="A767" s="4"/>
      <c r="B767" s="4"/>
      <c r="C767" s="4"/>
      <c r="D767" s="4"/>
      <c r="E767" s="4"/>
      <c r="F767" s="4"/>
    </row>
    <row r="768" spans="1:6" x14ac:dyDescent="0.3">
      <c r="A768" s="4"/>
      <c r="B768" s="4"/>
      <c r="C768" s="4"/>
      <c r="D768" s="4"/>
      <c r="E768" s="4"/>
      <c r="F768" s="4"/>
    </row>
    <row r="769" spans="1:6" x14ac:dyDescent="0.3">
      <c r="A769" s="4"/>
      <c r="B769" s="4"/>
      <c r="C769" s="4"/>
      <c r="D769" s="4"/>
      <c r="E769" s="4"/>
      <c r="F769" s="4"/>
    </row>
    <row r="770" spans="1:6" x14ac:dyDescent="0.3">
      <c r="A770" s="4"/>
      <c r="B770" s="4"/>
      <c r="C770" s="4"/>
      <c r="D770" s="4"/>
      <c r="E770" s="4"/>
      <c r="F770" s="4"/>
    </row>
    <row r="771" spans="1:6" x14ac:dyDescent="0.3">
      <c r="A771" s="4"/>
      <c r="B771" s="4"/>
      <c r="C771" s="4"/>
      <c r="D771" s="4"/>
      <c r="E771" s="4"/>
      <c r="F771" s="4"/>
    </row>
    <row r="772" spans="1:6" x14ac:dyDescent="0.3">
      <c r="A772" s="4"/>
      <c r="B772" s="4"/>
      <c r="C772" s="4"/>
      <c r="D772" s="4"/>
      <c r="E772" s="4"/>
      <c r="F772" s="4"/>
    </row>
    <row r="773" spans="1:6" x14ac:dyDescent="0.3">
      <c r="A773" s="4"/>
      <c r="B773" s="4"/>
      <c r="C773" s="4"/>
      <c r="D773" s="4"/>
      <c r="E773" s="4"/>
      <c r="F773" s="4"/>
    </row>
    <row r="774" spans="1:6" x14ac:dyDescent="0.3">
      <c r="A774" s="4"/>
      <c r="B774" s="4"/>
      <c r="C774" s="4"/>
      <c r="D774" s="4"/>
      <c r="E774" s="4"/>
      <c r="F774" s="4"/>
    </row>
    <row r="775" spans="1:6" x14ac:dyDescent="0.3">
      <c r="A775" s="4"/>
      <c r="B775" s="4"/>
      <c r="C775" s="4"/>
      <c r="D775" s="4"/>
      <c r="E775" s="4"/>
      <c r="F775" s="4"/>
    </row>
    <row r="776" spans="1:6" x14ac:dyDescent="0.3">
      <c r="A776" s="4"/>
      <c r="B776" s="4"/>
      <c r="C776" s="4"/>
      <c r="D776" s="4"/>
      <c r="E776" s="4"/>
      <c r="F776" s="4"/>
    </row>
    <row r="777" spans="1:6" x14ac:dyDescent="0.3">
      <c r="A777" s="4"/>
      <c r="B777" s="4"/>
      <c r="C777" s="4"/>
      <c r="D777" s="4"/>
      <c r="E777" s="4"/>
      <c r="F777" s="4"/>
    </row>
    <row r="778" spans="1:6" x14ac:dyDescent="0.3">
      <c r="A778" s="4"/>
      <c r="B778" s="4"/>
      <c r="C778" s="4"/>
      <c r="D778" s="4"/>
      <c r="E778" s="4"/>
      <c r="F778" s="4"/>
    </row>
    <row r="779" spans="1:6" x14ac:dyDescent="0.3">
      <c r="A779" s="4"/>
      <c r="B779" s="4"/>
      <c r="C779" s="4"/>
      <c r="D779" s="4"/>
      <c r="E779" s="4"/>
      <c r="F779" s="4"/>
    </row>
    <row r="780" spans="1:6" x14ac:dyDescent="0.3">
      <c r="A780" s="4"/>
      <c r="B780" s="4"/>
      <c r="C780" s="4"/>
      <c r="D780" s="4"/>
      <c r="E780" s="4"/>
      <c r="F780" s="4"/>
    </row>
    <row r="781" spans="1:6" x14ac:dyDescent="0.3">
      <c r="A781" s="4"/>
      <c r="B781" s="4"/>
      <c r="C781" s="4"/>
      <c r="D781" s="4"/>
      <c r="E781" s="4"/>
      <c r="F781" s="4"/>
    </row>
    <row r="782" spans="1:6" x14ac:dyDescent="0.3">
      <c r="A782" s="4"/>
      <c r="B782" s="4"/>
      <c r="C782" s="4"/>
      <c r="D782" s="4"/>
      <c r="E782" s="4"/>
      <c r="F782" s="4"/>
    </row>
    <row r="783" spans="1:6" x14ac:dyDescent="0.3">
      <c r="A783" s="4"/>
      <c r="B783" s="4"/>
      <c r="C783" s="4"/>
      <c r="D783" s="4"/>
      <c r="E783" s="4"/>
      <c r="F783" s="4"/>
    </row>
    <row r="784" spans="1:6" x14ac:dyDescent="0.3">
      <c r="A784" s="4"/>
      <c r="B784" s="4"/>
      <c r="C784" s="4"/>
      <c r="D784" s="4"/>
      <c r="E784" s="4"/>
      <c r="F784" s="4"/>
    </row>
    <row r="785" spans="1:6" x14ac:dyDescent="0.3">
      <c r="A785" s="4"/>
      <c r="B785" s="4"/>
      <c r="C785" s="4"/>
      <c r="D785" s="4"/>
      <c r="E785" s="4"/>
      <c r="F785" s="4"/>
    </row>
    <row r="786" spans="1:6" x14ac:dyDescent="0.3">
      <c r="A786" s="4"/>
      <c r="B786" s="4"/>
      <c r="C786" s="4"/>
      <c r="D786" s="4"/>
      <c r="E786" s="4"/>
      <c r="F786" s="4"/>
    </row>
    <row r="787" spans="1:6" x14ac:dyDescent="0.3">
      <c r="A787" s="4"/>
      <c r="B787" s="4"/>
      <c r="C787" s="4"/>
      <c r="D787" s="4"/>
      <c r="E787" s="4"/>
      <c r="F787" s="4"/>
    </row>
    <row r="788" spans="1:6" x14ac:dyDescent="0.3">
      <c r="A788" s="4"/>
      <c r="B788" s="4"/>
      <c r="C788" s="4"/>
      <c r="D788" s="4"/>
      <c r="E788" s="4"/>
      <c r="F788" s="4"/>
    </row>
    <row r="789" spans="1:6" x14ac:dyDescent="0.3">
      <c r="A789" s="4"/>
      <c r="B789" s="4"/>
      <c r="C789" s="4"/>
      <c r="D789" s="4"/>
      <c r="E789" s="4"/>
      <c r="F789" s="4"/>
    </row>
    <row r="790" spans="1:6" x14ac:dyDescent="0.3">
      <c r="A790" s="4"/>
      <c r="B790" s="4"/>
      <c r="C790" s="4"/>
      <c r="D790" s="4"/>
      <c r="E790" s="4"/>
      <c r="F790" s="4"/>
    </row>
    <row r="791" spans="1:6" x14ac:dyDescent="0.3">
      <c r="A791" s="4"/>
      <c r="B791" s="4"/>
      <c r="C791" s="4"/>
      <c r="D791" s="4"/>
      <c r="E791" s="4"/>
      <c r="F791" s="4"/>
    </row>
    <row r="792" spans="1:6" x14ac:dyDescent="0.3">
      <c r="A792" s="4"/>
      <c r="B792" s="4"/>
      <c r="C792" s="4"/>
      <c r="D792" s="4"/>
      <c r="E792" s="4"/>
      <c r="F792" s="4"/>
    </row>
    <row r="793" spans="1:6" x14ac:dyDescent="0.3">
      <c r="A793" s="4"/>
      <c r="B793" s="4"/>
      <c r="C793" s="4"/>
      <c r="D793" s="4"/>
      <c r="E793" s="4"/>
      <c r="F793" s="4"/>
    </row>
    <row r="794" spans="1:6" x14ac:dyDescent="0.3">
      <c r="A794" s="4"/>
      <c r="B794" s="4"/>
      <c r="C794" s="4"/>
      <c r="D794" s="4"/>
      <c r="E794" s="4"/>
      <c r="F794" s="4"/>
    </row>
    <row r="795" spans="1:6" x14ac:dyDescent="0.3">
      <c r="A795" s="4"/>
      <c r="B795" s="4"/>
      <c r="C795" s="4"/>
      <c r="D795" s="4"/>
      <c r="E795" s="4"/>
      <c r="F795" s="4"/>
    </row>
    <row r="796" spans="1:6" x14ac:dyDescent="0.3">
      <c r="A796" s="4"/>
      <c r="B796" s="4"/>
      <c r="C796" s="4"/>
      <c r="D796" s="4"/>
      <c r="E796" s="4"/>
      <c r="F796" s="4"/>
    </row>
    <row r="797" spans="1:6" x14ac:dyDescent="0.3">
      <c r="A797" s="4"/>
      <c r="B797" s="4"/>
      <c r="C797" s="4"/>
      <c r="D797" s="4"/>
      <c r="E797" s="4"/>
      <c r="F797" s="4"/>
    </row>
    <row r="798" spans="1:6" x14ac:dyDescent="0.3">
      <c r="A798" s="4"/>
      <c r="B798" s="4"/>
      <c r="C798" s="4"/>
      <c r="D798" s="4"/>
      <c r="E798" s="4"/>
      <c r="F798" s="4"/>
    </row>
    <row r="799" spans="1:6" x14ac:dyDescent="0.3">
      <c r="A799" s="4"/>
      <c r="B799" s="4"/>
      <c r="C799" s="4"/>
      <c r="D799" s="4"/>
      <c r="E799" s="4"/>
      <c r="F799" s="4"/>
    </row>
    <row r="800" spans="1:6" x14ac:dyDescent="0.3">
      <c r="A800" s="4"/>
      <c r="B800" s="4"/>
      <c r="C800" s="4"/>
      <c r="D800" s="4"/>
      <c r="E800" s="4"/>
      <c r="F800" s="4"/>
    </row>
    <row r="801" spans="1:6" x14ac:dyDescent="0.3">
      <c r="A801" s="4"/>
      <c r="B801" s="4"/>
      <c r="C801" s="4"/>
      <c r="D801" s="4"/>
      <c r="E801" s="4"/>
      <c r="F801" s="4"/>
    </row>
    <row r="802" spans="1:6" x14ac:dyDescent="0.3">
      <c r="A802" s="4"/>
      <c r="B802" s="4"/>
      <c r="C802" s="4"/>
      <c r="D802" s="4"/>
      <c r="E802" s="4"/>
      <c r="F802" s="4"/>
    </row>
    <row r="803" spans="1:6" x14ac:dyDescent="0.3">
      <c r="A803" s="4"/>
      <c r="B803" s="4"/>
      <c r="C803" s="4"/>
      <c r="D803" s="4"/>
      <c r="E803" s="4"/>
      <c r="F803" s="4"/>
    </row>
    <row r="804" spans="1:6" x14ac:dyDescent="0.3">
      <c r="A804" s="4"/>
      <c r="B804" s="4"/>
      <c r="C804" s="4"/>
      <c r="D804" s="4"/>
      <c r="E804" s="4"/>
      <c r="F804" s="4"/>
    </row>
    <row r="805" spans="1:6" x14ac:dyDescent="0.3">
      <c r="A805" s="4"/>
      <c r="B805" s="4"/>
      <c r="C805" s="4"/>
      <c r="D805" s="4"/>
      <c r="E805" s="4"/>
      <c r="F805" s="4"/>
    </row>
    <row r="806" spans="1:6" x14ac:dyDescent="0.3">
      <c r="A806" s="4"/>
      <c r="B806" s="4"/>
      <c r="C806" s="4"/>
      <c r="D806" s="4"/>
      <c r="E806" s="4"/>
      <c r="F806" s="4"/>
    </row>
    <row r="807" spans="1:6" x14ac:dyDescent="0.3">
      <c r="A807" s="4"/>
      <c r="B807" s="4"/>
      <c r="C807" s="4"/>
      <c r="D807" s="4"/>
      <c r="E807" s="4"/>
      <c r="F807" s="4"/>
    </row>
    <row r="808" spans="1:6" x14ac:dyDescent="0.3">
      <c r="A808" s="4"/>
      <c r="B808" s="4"/>
      <c r="C808" s="4"/>
      <c r="D808" s="4"/>
      <c r="E808" s="4"/>
      <c r="F808" s="4"/>
    </row>
    <row r="809" spans="1:6" x14ac:dyDescent="0.3">
      <c r="A809" s="4"/>
      <c r="B809" s="4"/>
      <c r="C809" s="4"/>
      <c r="D809" s="4"/>
      <c r="E809" s="4"/>
      <c r="F809" s="4"/>
    </row>
    <row r="810" spans="1:6" x14ac:dyDescent="0.3">
      <c r="A810" s="4"/>
      <c r="B810" s="4"/>
      <c r="C810" s="4"/>
      <c r="D810" s="4"/>
      <c r="E810" s="4"/>
      <c r="F810" s="4"/>
    </row>
    <row r="811" spans="1:6" x14ac:dyDescent="0.3">
      <c r="A811" s="4"/>
      <c r="B811" s="4"/>
      <c r="C811" s="4"/>
      <c r="D811" s="4"/>
      <c r="E811" s="4"/>
      <c r="F811" s="4"/>
    </row>
    <row r="812" spans="1:6" x14ac:dyDescent="0.3">
      <c r="A812" s="4"/>
      <c r="B812" s="4"/>
      <c r="C812" s="4"/>
      <c r="D812" s="4"/>
      <c r="E812" s="4"/>
      <c r="F812" s="4"/>
    </row>
    <row r="813" spans="1:6" x14ac:dyDescent="0.3">
      <c r="A813" s="4"/>
      <c r="B813" s="4"/>
      <c r="C813" s="4"/>
      <c r="D813" s="4"/>
      <c r="E813" s="4"/>
      <c r="F813" s="4"/>
    </row>
    <row r="814" spans="1:6" x14ac:dyDescent="0.3">
      <c r="A814" s="4"/>
      <c r="B814" s="4"/>
      <c r="C814" s="4"/>
      <c r="D814" s="4"/>
      <c r="E814" s="4"/>
      <c r="F814" s="4"/>
    </row>
    <row r="815" spans="1:6" x14ac:dyDescent="0.3">
      <c r="A815" s="4"/>
      <c r="B815" s="4"/>
      <c r="C815" s="4"/>
      <c r="D815" s="4"/>
      <c r="E815" s="4"/>
      <c r="F815" s="4"/>
    </row>
    <row r="816" spans="1:6" x14ac:dyDescent="0.3">
      <c r="A816" s="4"/>
      <c r="B816" s="4"/>
      <c r="C816" s="4"/>
      <c r="D816" s="4"/>
      <c r="E816" s="4"/>
      <c r="F816" s="4"/>
    </row>
    <row r="817" spans="1:6" x14ac:dyDescent="0.3">
      <c r="A817" s="4"/>
      <c r="B817" s="4"/>
      <c r="C817" s="4"/>
      <c r="D817" s="4"/>
      <c r="E817" s="4"/>
      <c r="F817" s="4"/>
    </row>
    <row r="818" spans="1:6" x14ac:dyDescent="0.3">
      <c r="A818" s="4"/>
      <c r="B818" s="4"/>
      <c r="C818" s="4"/>
      <c r="D818" s="4"/>
      <c r="E818" s="4"/>
      <c r="F818" s="4"/>
    </row>
    <row r="819" spans="1:6" x14ac:dyDescent="0.3">
      <c r="A819" s="4"/>
      <c r="B819" s="4"/>
      <c r="C819" s="4"/>
      <c r="D819" s="4"/>
      <c r="E819" s="4"/>
      <c r="F819" s="4"/>
    </row>
    <row r="820" spans="1:6" x14ac:dyDescent="0.3">
      <c r="A820" s="4"/>
      <c r="B820" s="4"/>
      <c r="C820" s="4"/>
      <c r="D820" s="4"/>
      <c r="E820" s="4"/>
      <c r="F820" s="4"/>
    </row>
    <row r="821" spans="1:6" x14ac:dyDescent="0.3">
      <c r="A821" s="4"/>
      <c r="B821" s="4"/>
      <c r="C821" s="4"/>
      <c r="D821" s="4"/>
      <c r="E821" s="4"/>
      <c r="F821" s="4"/>
    </row>
    <row r="822" spans="1:6" x14ac:dyDescent="0.3">
      <c r="A822" s="4"/>
      <c r="B822" s="4"/>
      <c r="C822" s="4"/>
      <c r="D822" s="4"/>
      <c r="E822" s="4"/>
      <c r="F822" s="4"/>
    </row>
    <row r="823" spans="1:6" x14ac:dyDescent="0.3">
      <c r="A823" s="4"/>
      <c r="B823" s="4"/>
      <c r="C823" s="4"/>
      <c r="D823" s="4"/>
      <c r="E823" s="4"/>
      <c r="F823" s="4"/>
    </row>
    <row r="824" spans="1:6" x14ac:dyDescent="0.3">
      <c r="A824" s="4"/>
      <c r="B824" s="4"/>
      <c r="C824" s="4"/>
      <c r="D824" s="4"/>
      <c r="E824" s="4"/>
      <c r="F824" s="4"/>
    </row>
    <row r="825" spans="1:6" x14ac:dyDescent="0.3">
      <c r="A825" s="4"/>
      <c r="B825" s="4"/>
      <c r="C825" s="4"/>
      <c r="D825" s="4"/>
      <c r="E825" s="4"/>
      <c r="F825" s="4"/>
    </row>
    <row r="826" spans="1:6" x14ac:dyDescent="0.3">
      <c r="A826" s="4"/>
      <c r="B826" s="4"/>
      <c r="C826" s="4"/>
      <c r="D826" s="4"/>
      <c r="E826" s="4"/>
      <c r="F826" s="4"/>
    </row>
    <row r="827" spans="1:6" x14ac:dyDescent="0.3">
      <c r="A827" s="4"/>
      <c r="B827" s="4"/>
      <c r="C827" s="4"/>
      <c r="D827" s="4"/>
      <c r="E827" s="4"/>
      <c r="F827" s="4"/>
    </row>
    <row r="828" spans="1:6" x14ac:dyDescent="0.3">
      <c r="A828" s="4"/>
      <c r="B828" s="4"/>
      <c r="C828" s="4"/>
      <c r="D828" s="4"/>
      <c r="E828" s="4"/>
      <c r="F828" s="4"/>
    </row>
    <row r="829" spans="1:6" x14ac:dyDescent="0.3">
      <c r="A829" s="4"/>
      <c r="B829" s="4"/>
      <c r="C829" s="4"/>
      <c r="D829" s="4"/>
      <c r="E829" s="4"/>
      <c r="F829" s="4"/>
    </row>
    <row r="830" spans="1:6" x14ac:dyDescent="0.3">
      <c r="A830" s="4"/>
      <c r="B830" s="4"/>
      <c r="C830" s="4"/>
      <c r="D830" s="4"/>
      <c r="E830" s="4"/>
      <c r="F830" s="4"/>
    </row>
    <row r="831" spans="1:6" x14ac:dyDescent="0.3">
      <c r="A831" s="4"/>
      <c r="B831" s="4"/>
      <c r="C831" s="4"/>
      <c r="D831" s="4"/>
      <c r="E831" s="4"/>
      <c r="F831" s="4"/>
    </row>
    <row r="832" spans="1:6" x14ac:dyDescent="0.3">
      <c r="A832" s="4"/>
      <c r="B832" s="4"/>
      <c r="C832" s="4"/>
      <c r="D832" s="4"/>
      <c r="E832" s="4"/>
      <c r="F832" s="4"/>
    </row>
    <row r="833" spans="1:6" x14ac:dyDescent="0.3">
      <c r="A833" s="4"/>
      <c r="B833" s="4"/>
      <c r="C833" s="4"/>
      <c r="D833" s="4"/>
      <c r="E833" s="4"/>
      <c r="F833" s="4"/>
    </row>
    <row r="834" spans="1:6" x14ac:dyDescent="0.3">
      <c r="A834" s="4"/>
      <c r="B834" s="4"/>
      <c r="C834" s="4"/>
      <c r="D834" s="4"/>
      <c r="E834" s="4"/>
      <c r="F834" s="4"/>
    </row>
    <row r="835" spans="1:6" x14ac:dyDescent="0.3">
      <c r="A835" s="4"/>
      <c r="B835" s="4"/>
      <c r="C835" s="4"/>
      <c r="D835" s="4"/>
      <c r="E835" s="4"/>
      <c r="F835" s="4"/>
    </row>
    <row r="836" spans="1:6" x14ac:dyDescent="0.3">
      <c r="A836" s="4"/>
      <c r="B836" s="4"/>
      <c r="C836" s="4"/>
      <c r="D836" s="4"/>
      <c r="E836" s="4"/>
      <c r="F836" s="4"/>
    </row>
    <row r="837" spans="1:6" x14ac:dyDescent="0.3">
      <c r="A837" s="4"/>
      <c r="B837" s="4"/>
      <c r="C837" s="4"/>
      <c r="D837" s="4"/>
      <c r="E837" s="4"/>
      <c r="F837" s="4"/>
    </row>
    <row r="838" spans="1:6" x14ac:dyDescent="0.3">
      <c r="A838" s="4"/>
      <c r="B838" s="4"/>
      <c r="C838" s="4"/>
      <c r="D838" s="4"/>
      <c r="E838" s="4"/>
      <c r="F838" s="4"/>
    </row>
    <row r="839" spans="1:6" x14ac:dyDescent="0.3">
      <c r="A839" s="4"/>
      <c r="B839" s="4"/>
      <c r="C839" s="4"/>
      <c r="D839" s="4"/>
      <c r="E839" s="4"/>
      <c r="F839" s="4"/>
    </row>
    <row r="840" spans="1:6" x14ac:dyDescent="0.3">
      <c r="A840" s="4"/>
      <c r="B840" s="4"/>
      <c r="C840" s="4"/>
      <c r="D840" s="4"/>
      <c r="E840" s="4"/>
      <c r="F840" s="4"/>
    </row>
    <row r="841" spans="1:6" x14ac:dyDescent="0.3">
      <c r="A841" s="4"/>
      <c r="B841" s="4"/>
      <c r="C841" s="4"/>
      <c r="D841" s="4"/>
      <c r="E841" s="4"/>
      <c r="F841" s="4"/>
    </row>
    <row r="842" spans="1:6" x14ac:dyDescent="0.3">
      <c r="A842" s="4"/>
      <c r="B842" s="4"/>
      <c r="C842" s="4"/>
      <c r="D842" s="4"/>
      <c r="E842" s="4"/>
      <c r="F842" s="4"/>
    </row>
    <row r="843" spans="1:6" x14ac:dyDescent="0.3">
      <c r="A843" s="4"/>
      <c r="B843" s="4"/>
      <c r="C843" s="4"/>
      <c r="D843" s="4"/>
      <c r="E843" s="4"/>
      <c r="F843" s="4"/>
    </row>
    <row r="844" spans="1:6" x14ac:dyDescent="0.3">
      <c r="A844" s="4"/>
      <c r="B844" s="4"/>
      <c r="C844" s="4"/>
      <c r="D844" s="4"/>
      <c r="E844" s="4"/>
      <c r="F844" s="4"/>
    </row>
    <row r="845" spans="1:6" x14ac:dyDescent="0.3">
      <c r="A845" s="4"/>
      <c r="B845" s="4"/>
      <c r="C845" s="4"/>
      <c r="D845" s="4"/>
      <c r="E845" s="4"/>
      <c r="F845" s="4"/>
    </row>
    <row r="846" spans="1:6" x14ac:dyDescent="0.3">
      <c r="A846" s="4"/>
      <c r="B846" s="4"/>
      <c r="C846" s="4"/>
      <c r="D846" s="4"/>
      <c r="E846" s="4"/>
      <c r="F846" s="4"/>
    </row>
    <row r="847" spans="1:6" x14ac:dyDescent="0.3">
      <c r="A847" s="4"/>
      <c r="B847" s="4"/>
      <c r="C847" s="4"/>
      <c r="D847" s="4"/>
      <c r="E847" s="4"/>
      <c r="F847" s="4"/>
    </row>
    <row r="848" spans="1:6" x14ac:dyDescent="0.3">
      <c r="A848" s="4"/>
      <c r="B848" s="4"/>
      <c r="C848" s="4"/>
      <c r="D848" s="4"/>
      <c r="E848" s="4"/>
      <c r="F848" s="4"/>
    </row>
    <row r="849" spans="1:6" x14ac:dyDescent="0.3">
      <c r="A849" s="4"/>
      <c r="B849" s="4"/>
      <c r="C849" s="4"/>
      <c r="D849" s="4"/>
      <c r="E849" s="4"/>
      <c r="F849" s="4"/>
    </row>
    <row r="850" spans="1:6" x14ac:dyDescent="0.3">
      <c r="A850" s="4"/>
      <c r="B850" s="4"/>
      <c r="C850" s="4"/>
      <c r="D850" s="4"/>
      <c r="E850" s="4"/>
      <c r="F850" s="4"/>
    </row>
    <row r="851" spans="1:6" x14ac:dyDescent="0.3">
      <c r="A851" s="4"/>
      <c r="B851" s="4"/>
      <c r="C851" s="4"/>
      <c r="D851" s="4"/>
      <c r="E851" s="4"/>
      <c r="F851" s="4"/>
    </row>
    <row r="852" spans="1:6" x14ac:dyDescent="0.3">
      <c r="A852" s="4"/>
      <c r="B852" s="4"/>
      <c r="C852" s="4"/>
      <c r="D852" s="4"/>
      <c r="E852" s="4"/>
      <c r="F852" s="4"/>
    </row>
    <row r="853" spans="1:6" x14ac:dyDescent="0.3">
      <c r="A853" s="4"/>
      <c r="B853" s="4"/>
      <c r="C853" s="4"/>
      <c r="D853" s="4"/>
      <c r="E853" s="4"/>
      <c r="F853" s="4"/>
    </row>
    <row r="854" spans="1:6" x14ac:dyDescent="0.3">
      <c r="A854" s="4"/>
      <c r="B854" s="4"/>
      <c r="C854" s="4"/>
      <c r="D854" s="4"/>
      <c r="E854" s="4"/>
      <c r="F854" s="4"/>
    </row>
    <row r="855" spans="1:6" x14ac:dyDescent="0.3">
      <c r="A855" s="4"/>
      <c r="B855" s="4"/>
      <c r="C855" s="4"/>
      <c r="D855" s="4"/>
      <c r="E855" s="4"/>
      <c r="F855" s="4"/>
    </row>
    <row r="856" spans="1:6" x14ac:dyDescent="0.3">
      <c r="A856" s="4"/>
      <c r="B856" s="4"/>
      <c r="C856" s="4"/>
      <c r="D856" s="4"/>
      <c r="E856" s="4"/>
      <c r="F856" s="4"/>
    </row>
    <row r="857" spans="1:6" x14ac:dyDescent="0.3">
      <c r="A857" s="4"/>
      <c r="B857" s="4"/>
      <c r="C857" s="4"/>
      <c r="D857" s="4"/>
      <c r="E857" s="4"/>
      <c r="F857" s="4"/>
    </row>
    <row r="858" spans="1:6" x14ac:dyDescent="0.3">
      <c r="A858" s="4"/>
      <c r="B858" s="4"/>
      <c r="C858" s="4"/>
      <c r="D858" s="4"/>
      <c r="E858" s="4"/>
      <c r="F858" s="4"/>
    </row>
    <row r="859" spans="1:6" x14ac:dyDescent="0.3">
      <c r="A859" s="4"/>
      <c r="B859" s="4"/>
      <c r="C859" s="4"/>
      <c r="D859" s="4"/>
      <c r="E859" s="4"/>
      <c r="F859" s="4"/>
    </row>
    <row r="860" spans="1:6" x14ac:dyDescent="0.3">
      <c r="A860" s="4"/>
      <c r="B860" s="4"/>
      <c r="C860" s="4"/>
      <c r="D860" s="4"/>
      <c r="E860" s="4"/>
      <c r="F860" s="4"/>
    </row>
    <row r="861" spans="1:6" x14ac:dyDescent="0.3">
      <c r="A861" s="4"/>
      <c r="B861" s="4"/>
      <c r="C861" s="4"/>
      <c r="D861" s="4"/>
      <c r="E861" s="4"/>
      <c r="F861" s="4"/>
    </row>
    <row r="862" spans="1:6" x14ac:dyDescent="0.3">
      <c r="A862" s="4"/>
      <c r="B862" s="4"/>
      <c r="C862" s="4"/>
      <c r="D862" s="4"/>
      <c r="E862" s="4"/>
      <c r="F862" s="4"/>
    </row>
    <row r="863" spans="1:6" x14ac:dyDescent="0.3">
      <c r="A863" s="4"/>
      <c r="B863" s="4"/>
      <c r="C863" s="4"/>
      <c r="D863" s="4"/>
      <c r="E863" s="4"/>
      <c r="F863" s="4"/>
    </row>
    <row r="864" spans="1:6" x14ac:dyDescent="0.3">
      <c r="A864" s="4"/>
      <c r="B864" s="4"/>
      <c r="C864" s="4"/>
      <c r="D864" s="4"/>
      <c r="E864" s="4"/>
      <c r="F864" s="4"/>
    </row>
    <row r="865" spans="1:6" x14ac:dyDescent="0.3">
      <c r="A865" s="4"/>
      <c r="B865" s="4"/>
      <c r="C865" s="4"/>
      <c r="D865" s="4"/>
      <c r="E865" s="4"/>
      <c r="F865" s="4"/>
    </row>
    <row r="866" spans="1:6" x14ac:dyDescent="0.3">
      <c r="A866" s="4"/>
      <c r="B866" s="4"/>
      <c r="C866" s="4"/>
      <c r="D866" s="4"/>
      <c r="E866" s="4"/>
      <c r="F866" s="4"/>
    </row>
    <row r="867" spans="1:6" x14ac:dyDescent="0.3">
      <c r="A867" s="4"/>
      <c r="B867" s="4"/>
      <c r="C867" s="4"/>
      <c r="D867" s="4"/>
      <c r="E867" s="4"/>
      <c r="F867" s="4"/>
    </row>
    <row r="868" spans="1:6" x14ac:dyDescent="0.3">
      <c r="A868" s="4"/>
      <c r="B868" s="4"/>
      <c r="C868" s="4"/>
      <c r="D868" s="4"/>
      <c r="E868" s="4"/>
      <c r="F868" s="4"/>
    </row>
    <row r="869" spans="1:6" x14ac:dyDescent="0.3">
      <c r="A869" s="4"/>
      <c r="B869" s="4"/>
      <c r="C869" s="4"/>
      <c r="D869" s="4"/>
      <c r="E869" s="4"/>
      <c r="F869" s="4"/>
    </row>
    <row r="870" spans="1:6" x14ac:dyDescent="0.3">
      <c r="A870" s="4"/>
      <c r="B870" s="4"/>
      <c r="C870" s="4"/>
      <c r="D870" s="4"/>
      <c r="E870" s="4"/>
      <c r="F870" s="4"/>
    </row>
    <row r="871" spans="1:6" x14ac:dyDescent="0.3">
      <c r="A871" s="4"/>
      <c r="B871" s="4"/>
      <c r="C871" s="4"/>
      <c r="D871" s="4"/>
      <c r="E871" s="4"/>
      <c r="F871" s="4"/>
    </row>
    <row r="872" spans="1:6" x14ac:dyDescent="0.3">
      <c r="A872" s="4"/>
      <c r="B872" s="4"/>
      <c r="C872" s="4"/>
      <c r="D872" s="4"/>
      <c r="E872" s="4"/>
      <c r="F872" s="4"/>
    </row>
    <row r="873" spans="1:6" x14ac:dyDescent="0.3">
      <c r="A873" s="4"/>
      <c r="B873" s="4"/>
      <c r="C873" s="4"/>
      <c r="D873" s="4"/>
      <c r="E873" s="4"/>
      <c r="F873" s="4"/>
    </row>
    <row r="874" spans="1:6" x14ac:dyDescent="0.3">
      <c r="A874" s="4"/>
      <c r="B874" s="4"/>
      <c r="C874" s="4"/>
      <c r="D874" s="4"/>
      <c r="E874" s="4"/>
      <c r="F874" s="4"/>
    </row>
    <row r="875" spans="1:6" x14ac:dyDescent="0.3">
      <c r="A875" s="4"/>
      <c r="B875" s="4"/>
      <c r="C875" s="4"/>
      <c r="D875" s="4"/>
      <c r="E875" s="4"/>
      <c r="F875" s="4"/>
    </row>
    <row r="876" spans="1:6" x14ac:dyDescent="0.3">
      <c r="A876" s="4"/>
      <c r="B876" s="4"/>
      <c r="C876" s="4"/>
      <c r="D876" s="4"/>
      <c r="E876" s="4"/>
      <c r="F876" s="4"/>
    </row>
    <row r="877" spans="1:6" x14ac:dyDescent="0.3">
      <c r="A877" s="4"/>
      <c r="B877" s="4"/>
      <c r="C877" s="4"/>
      <c r="D877" s="4"/>
      <c r="E877" s="4"/>
      <c r="F877" s="4"/>
    </row>
    <row r="878" spans="1:6" x14ac:dyDescent="0.3">
      <c r="A878" s="4"/>
      <c r="B878" s="4"/>
      <c r="C878" s="4"/>
      <c r="D878" s="4"/>
      <c r="E878" s="4"/>
      <c r="F878" s="4"/>
    </row>
    <row r="879" spans="1:6" x14ac:dyDescent="0.3">
      <c r="A879" s="4"/>
      <c r="B879" s="4"/>
      <c r="C879" s="4"/>
      <c r="D879" s="4"/>
      <c r="E879" s="4"/>
      <c r="F879" s="4"/>
    </row>
    <row r="880" spans="1:6" x14ac:dyDescent="0.3">
      <c r="A880" s="4"/>
      <c r="B880" s="4"/>
      <c r="C880" s="4"/>
      <c r="D880" s="4"/>
      <c r="E880" s="4"/>
      <c r="F880" s="4"/>
    </row>
    <row r="881" spans="1:6" x14ac:dyDescent="0.3">
      <c r="A881" s="4"/>
      <c r="B881" s="4"/>
      <c r="C881" s="4"/>
      <c r="D881" s="4"/>
      <c r="E881" s="4"/>
      <c r="F881" s="4"/>
    </row>
    <row r="882" spans="1:6" x14ac:dyDescent="0.3">
      <c r="A882" s="4"/>
      <c r="B882" s="4"/>
      <c r="C882" s="4"/>
      <c r="D882" s="4"/>
      <c r="E882" s="4"/>
      <c r="F882" s="4"/>
    </row>
    <row r="883" spans="1:6" x14ac:dyDescent="0.3">
      <c r="A883" s="4"/>
      <c r="B883" s="4"/>
      <c r="C883" s="4"/>
      <c r="D883" s="4"/>
      <c r="E883" s="4"/>
      <c r="F883" s="4"/>
    </row>
    <row r="884" spans="1:6" x14ac:dyDescent="0.3">
      <c r="A884" s="4"/>
      <c r="B884" s="4"/>
      <c r="C884" s="4"/>
      <c r="D884" s="4"/>
      <c r="E884" s="4"/>
      <c r="F884" s="4"/>
    </row>
    <row r="885" spans="1:6" x14ac:dyDescent="0.3">
      <c r="A885" s="4"/>
      <c r="B885" s="4"/>
      <c r="C885" s="4"/>
      <c r="D885" s="4"/>
      <c r="E885" s="4"/>
      <c r="F885" s="4"/>
    </row>
    <row r="886" spans="1:6" x14ac:dyDescent="0.3">
      <c r="A886" s="4"/>
      <c r="B886" s="4"/>
      <c r="C886" s="4"/>
      <c r="D886" s="4"/>
      <c r="E886" s="4"/>
      <c r="F886" s="4"/>
    </row>
    <row r="887" spans="1:6" x14ac:dyDescent="0.3">
      <c r="A887" s="4"/>
      <c r="B887" s="4"/>
      <c r="C887" s="4"/>
      <c r="D887" s="4"/>
      <c r="E887" s="4"/>
      <c r="F887" s="4"/>
    </row>
    <row r="888" spans="1:6" x14ac:dyDescent="0.3">
      <c r="A888" s="4"/>
      <c r="B888" s="4"/>
      <c r="C888" s="4"/>
      <c r="D888" s="4"/>
      <c r="E888" s="4"/>
      <c r="F888" s="4"/>
    </row>
    <row r="889" spans="1:6" x14ac:dyDescent="0.3">
      <c r="A889" s="4"/>
      <c r="B889" s="4"/>
      <c r="C889" s="4"/>
      <c r="D889" s="4"/>
      <c r="E889" s="4"/>
      <c r="F889" s="4"/>
    </row>
    <row r="890" spans="1:6" x14ac:dyDescent="0.3">
      <c r="A890" s="4"/>
      <c r="B890" s="4"/>
      <c r="C890" s="4"/>
      <c r="D890" s="4"/>
      <c r="E890" s="4"/>
      <c r="F890" s="4"/>
    </row>
    <row r="891" spans="1:6" x14ac:dyDescent="0.3">
      <c r="A891" s="4"/>
      <c r="B891" s="4"/>
      <c r="C891" s="4"/>
      <c r="D891" s="4"/>
      <c r="E891" s="4"/>
      <c r="F891" s="4"/>
    </row>
    <row r="892" spans="1:6" x14ac:dyDescent="0.3">
      <c r="A892" s="4"/>
      <c r="B892" s="4"/>
      <c r="C892" s="4"/>
      <c r="D892" s="4"/>
      <c r="E892" s="4"/>
      <c r="F892" s="4"/>
    </row>
    <row r="893" spans="1:6" x14ac:dyDescent="0.3">
      <c r="A893" s="4"/>
      <c r="B893" s="4"/>
      <c r="C893" s="4"/>
      <c r="D893" s="4"/>
      <c r="E893" s="4"/>
      <c r="F893" s="4"/>
    </row>
    <row r="894" spans="1:6" x14ac:dyDescent="0.3">
      <c r="A894" s="4"/>
      <c r="B894" s="4"/>
      <c r="C894" s="4"/>
      <c r="D894" s="4"/>
      <c r="E894" s="4"/>
      <c r="F894" s="4"/>
    </row>
    <row r="895" spans="1:6" x14ac:dyDescent="0.3">
      <c r="A895" s="4"/>
      <c r="B895" s="4"/>
      <c r="C895" s="4"/>
      <c r="D895" s="4"/>
      <c r="E895" s="4"/>
      <c r="F895" s="4"/>
    </row>
    <row r="896" spans="1:6" x14ac:dyDescent="0.3">
      <c r="A896" s="4"/>
      <c r="B896" s="4"/>
      <c r="C896" s="4"/>
      <c r="D896" s="4"/>
      <c r="E896" s="4"/>
      <c r="F896" s="4"/>
    </row>
    <row r="897" spans="1:6" x14ac:dyDescent="0.3">
      <c r="A897" s="4"/>
      <c r="B897" s="4"/>
      <c r="C897" s="4"/>
      <c r="D897" s="4"/>
      <c r="E897" s="4"/>
      <c r="F897" s="4"/>
    </row>
    <row r="898" spans="1:6" x14ac:dyDescent="0.3">
      <c r="A898" s="4"/>
      <c r="B898" s="4"/>
      <c r="C898" s="4"/>
      <c r="D898" s="4"/>
      <c r="E898" s="4"/>
      <c r="F898" s="4"/>
    </row>
    <row r="899" spans="1:6" x14ac:dyDescent="0.3">
      <c r="A899" s="4"/>
      <c r="B899" s="4"/>
      <c r="C899" s="4"/>
      <c r="D899" s="4"/>
      <c r="E899" s="4"/>
      <c r="F899" s="4"/>
    </row>
    <row r="900" spans="1:6" x14ac:dyDescent="0.3">
      <c r="A900" s="4"/>
      <c r="B900" s="4"/>
      <c r="C900" s="4"/>
      <c r="D900" s="4"/>
      <c r="E900" s="4"/>
      <c r="F900" s="4"/>
    </row>
    <row r="901" spans="1:6" x14ac:dyDescent="0.3">
      <c r="A901" s="4"/>
      <c r="B901" s="4"/>
      <c r="C901" s="4"/>
      <c r="D901" s="4"/>
      <c r="E901" s="4"/>
      <c r="F901" s="4"/>
    </row>
    <row r="902" spans="1:6" x14ac:dyDescent="0.3">
      <c r="A902" s="4"/>
      <c r="B902" s="4"/>
      <c r="C902" s="4"/>
      <c r="D902" s="4"/>
      <c r="E902" s="4"/>
      <c r="F902" s="4"/>
    </row>
    <row r="903" spans="1:6" x14ac:dyDescent="0.3">
      <c r="A903" s="4"/>
      <c r="B903" s="4"/>
      <c r="C903" s="4"/>
      <c r="D903" s="4"/>
      <c r="E903" s="4"/>
      <c r="F903" s="4"/>
    </row>
    <row r="904" spans="1:6" x14ac:dyDescent="0.3">
      <c r="A904" s="4"/>
      <c r="B904" s="4"/>
      <c r="C904" s="4"/>
      <c r="D904" s="4"/>
      <c r="E904" s="4"/>
      <c r="F904" s="4"/>
    </row>
    <row r="905" spans="1:6" x14ac:dyDescent="0.3">
      <c r="A905" s="4"/>
      <c r="B905" s="4"/>
      <c r="C905" s="4"/>
      <c r="D905" s="4"/>
      <c r="E905" s="4"/>
      <c r="F905" s="4"/>
    </row>
    <row r="906" spans="1:6" x14ac:dyDescent="0.3">
      <c r="A906" s="4"/>
      <c r="B906" s="4"/>
      <c r="C906" s="4"/>
      <c r="D906" s="4"/>
      <c r="E906" s="4"/>
      <c r="F906" s="4"/>
    </row>
    <row r="907" spans="1:6" x14ac:dyDescent="0.3">
      <c r="A907" s="4"/>
      <c r="B907" s="4"/>
      <c r="C907" s="4"/>
      <c r="D907" s="4"/>
      <c r="E907" s="4"/>
      <c r="F907" s="4"/>
    </row>
    <row r="908" spans="1:6" x14ac:dyDescent="0.3">
      <c r="A908" s="4"/>
      <c r="B908" s="4"/>
      <c r="C908" s="4"/>
      <c r="D908" s="4"/>
      <c r="E908" s="4"/>
      <c r="F908" s="4"/>
    </row>
    <row r="909" spans="1:6" x14ac:dyDescent="0.3">
      <c r="A909" s="4"/>
      <c r="B909" s="4"/>
      <c r="C909" s="4"/>
      <c r="D909" s="4"/>
      <c r="E909" s="4"/>
      <c r="F909" s="4"/>
    </row>
    <row r="910" spans="1:6" x14ac:dyDescent="0.3">
      <c r="A910" s="4"/>
      <c r="B910" s="4"/>
      <c r="C910" s="4"/>
      <c r="D910" s="4"/>
      <c r="E910" s="4"/>
      <c r="F910" s="4"/>
    </row>
    <row r="911" spans="1:6" x14ac:dyDescent="0.3">
      <c r="A911" s="4"/>
      <c r="B911" s="4"/>
      <c r="C911" s="4"/>
      <c r="D911" s="4"/>
      <c r="E911" s="4"/>
      <c r="F911" s="4"/>
    </row>
    <row r="912" spans="1:6" x14ac:dyDescent="0.3">
      <c r="A912" s="4"/>
      <c r="B912" s="4"/>
      <c r="C912" s="4"/>
      <c r="D912" s="4"/>
      <c r="E912" s="4"/>
      <c r="F912" s="4"/>
    </row>
    <row r="913" spans="1:6" x14ac:dyDescent="0.3">
      <c r="A913" s="4"/>
      <c r="B913" s="4"/>
      <c r="C913" s="4"/>
      <c r="D913" s="4"/>
      <c r="E913" s="4"/>
      <c r="F913" s="4"/>
    </row>
    <row r="914" spans="1:6" x14ac:dyDescent="0.3">
      <c r="A914" s="4"/>
      <c r="B914" s="4"/>
      <c r="C914" s="4"/>
      <c r="D914" s="4"/>
      <c r="E914" s="4"/>
      <c r="F914" s="4"/>
    </row>
    <row r="915" spans="1:6" x14ac:dyDescent="0.3">
      <c r="A915" s="4"/>
      <c r="B915" s="4"/>
      <c r="C915" s="4"/>
      <c r="D915" s="4"/>
      <c r="E915" s="4"/>
      <c r="F915" s="4"/>
    </row>
    <row r="916" spans="1:6" x14ac:dyDescent="0.3">
      <c r="A916" s="4"/>
      <c r="B916" s="4"/>
      <c r="C916" s="4"/>
      <c r="D916" s="4"/>
      <c r="E916" s="4"/>
      <c r="F916" s="4"/>
    </row>
    <row r="917" spans="1:6" x14ac:dyDescent="0.3">
      <c r="A917" s="4"/>
      <c r="B917" s="4"/>
      <c r="C917" s="4"/>
      <c r="D917" s="4"/>
      <c r="E917" s="4"/>
      <c r="F917" s="4"/>
    </row>
    <row r="918" spans="1:6" x14ac:dyDescent="0.3">
      <c r="A918" s="4"/>
      <c r="B918" s="4"/>
      <c r="C918" s="4"/>
      <c r="D918" s="4"/>
      <c r="E918" s="4"/>
      <c r="F918" s="4"/>
    </row>
    <row r="919" spans="1:6" x14ac:dyDescent="0.3">
      <c r="A919" s="4"/>
      <c r="B919" s="4"/>
      <c r="C919" s="4"/>
      <c r="D919" s="4"/>
      <c r="E919" s="4"/>
      <c r="F919" s="4"/>
    </row>
    <row r="920" spans="1:6" x14ac:dyDescent="0.3">
      <c r="A920" s="4"/>
      <c r="B920" s="4"/>
      <c r="C920" s="4"/>
      <c r="D920" s="4"/>
      <c r="E920" s="4"/>
      <c r="F920" s="4"/>
    </row>
    <row r="921" spans="1:6" x14ac:dyDescent="0.3">
      <c r="A921" s="4"/>
      <c r="B921" s="4"/>
      <c r="C921" s="4"/>
      <c r="D921" s="4"/>
      <c r="E921" s="4"/>
      <c r="F921" s="4"/>
    </row>
    <row r="922" spans="1:6" x14ac:dyDescent="0.3">
      <c r="A922" s="4"/>
      <c r="B922" s="4"/>
      <c r="C922" s="4"/>
      <c r="D922" s="4"/>
      <c r="E922" s="4"/>
      <c r="F922" s="4"/>
    </row>
    <row r="923" spans="1:6" x14ac:dyDescent="0.3">
      <c r="A923" s="4"/>
      <c r="B923" s="4"/>
      <c r="C923" s="4"/>
      <c r="D923" s="4"/>
      <c r="E923" s="4"/>
      <c r="F923" s="4"/>
    </row>
    <row r="924" spans="1:6" x14ac:dyDescent="0.3">
      <c r="A924" s="4"/>
      <c r="B924" s="4"/>
      <c r="C924" s="4"/>
      <c r="D924" s="4"/>
      <c r="E924" s="4"/>
      <c r="F924" s="4"/>
    </row>
    <row r="925" spans="1:6" x14ac:dyDescent="0.3">
      <c r="A925" s="4"/>
      <c r="B925" s="4"/>
      <c r="C925" s="4"/>
      <c r="D925" s="4"/>
      <c r="E925" s="4"/>
      <c r="F925" s="4"/>
    </row>
    <row r="926" spans="1:6" x14ac:dyDescent="0.3">
      <c r="A926" s="4"/>
      <c r="B926" s="4"/>
      <c r="C926" s="4"/>
      <c r="D926" s="4"/>
      <c r="E926" s="4"/>
      <c r="F926" s="4"/>
    </row>
    <row r="927" spans="1:6" x14ac:dyDescent="0.3">
      <c r="A927" s="4"/>
      <c r="B927" s="4"/>
      <c r="C927" s="4"/>
      <c r="D927" s="4"/>
      <c r="E927" s="4"/>
      <c r="F927" s="4"/>
    </row>
    <row r="928" spans="1:6" x14ac:dyDescent="0.3">
      <c r="A928" s="4"/>
      <c r="B928" s="4"/>
      <c r="C928" s="4"/>
      <c r="D928" s="4"/>
      <c r="E928" s="4"/>
      <c r="F928" s="4"/>
    </row>
    <row r="929" spans="1:6" x14ac:dyDescent="0.3">
      <c r="A929" s="4"/>
      <c r="B929" s="4"/>
      <c r="C929" s="4"/>
      <c r="D929" s="4"/>
      <c r="E929" s="4"/>
      <c r="F929" s="4"/>
    </row>
    <row r="930" spans="1:6" x14ac:dyDescent="0.3">
      <c r="A930" s="4"/>
      <c r="B930" s="4"/>
      <c r="C930" s="4"/>
      <c r="D930" s="4"/>
      <c r="E930" s="4"/>
      <c r="F930" s="4"/>
    </row>
    <row r="931" spans="1:6" x14ac:dyDescent="0.3">
      <c r="A931" s="4"/>
      <c r="B931" s="4"/>
      <c r="C931" s="4"/>
      <c r="D931" s="4"/>
      <c r="E931" s="4"/>
      <c r="F931" s="4"/>
    </row>
    <row r="932" spans="1:6" x14ac:dyDescent="0.3">
      <c r="A932" s="4"/>
      <c r="B932" s="4"/>
      <c r="C932" s="4"/>
      <c r="D932" s="4"/>
      <c r="E932" s="4"/>
      <c r="F932" s="4"/>
    </row>
    <row r="933" spans="1:6" x14ac:dyDescent="0.3">
      <c r="A933" s="4"/>
      <c r="B933" s="4"/>
      <c r="C933" s="4"/>
      <c r="D933" s="4"/>
      <c r="E933" s="4"/>
      <c r="F933" s="4"/>
    </row>
    <row r="934" spans="1:6" x14ac:dyDescent="0.3">
      <c r="A934" s="4"/>
      <c r="B934" s="4"/>
      <c r="C934" s="4"/>
      <c r="D934" s="4"/>
      <c r="E934" s="4"/>
      <c r="F934" s="4"/>
    </row>
    <row r="935" spans="1:6" x14ac:dyDescent="0.3">
      <c r="A935" s="4"/>
      <c r="B935" s="4"/>
      <c r="C935" s="4"/>
      <c r="D935" s="4"/>
      <c r="E935" s="4"/>
      <c r="F935" s="4"/>
    </row>
    <row r="936" spans="1:6" x14ac:dyDescent="0.3">
      <c r="A936" s="4"/>
      <c r="B936" s="4"/>
      <c r="C936" s="4"/>
      <c r="D936" s="4"/>
      <c r="E936" s="4"/>
      <c r="F936" s="4"/>
    </row>
    <row r="937" spans="1:6" x14ac:dyDescent="0.3">
      <c r="A937" s="4"/>
      <c r="B937" s="4"/>
      <c r="C937" s="4"/>
      <c r="D937" s="4"/>
      <c r="E937" s="4"/>
      <c r="F937" s="4"/>
    </row>
    <row r="938" spans="1:6" x14ac:dyDescent="0.3">
      <c r="A938" s="4"/>
      <c r="B938" s="4"/>
      <c r="C938" s="4"/>
      <c r="D938" s="4"/>
      <c r="E938" s="4"/>
      <c r="F938" s="4"/>
    </row>
    <row r="939" spans="1:6" x14ac:dyDescent="0.3">
      <c r="A939" s="4"/>
      <c r="B939" s="4"/>
      <c r="C939" s="4"/>
      <c r="D939" s="4"/>
      <c r="E939" s="4"/>
      <c r="F939" s="4"/>
    </row>
    <row r="940" spans="1:6" x14ac:dyDescent="0.3">
      <c r="A940" s="4"/>
      <c r="B940" s="4"/>
      <c r="C940" s="4"/>
      <c r="D940" s="4"/>
      <c r="E940" s="4"/>
      <c r="F940" s="4"/>
    </row>
    <row r="941" spans="1:6" x14ac:dyDescent="0.3">
      <c r="A941" s="4"/>
      <c r="B941" s="4"/>
      <c r="C941" s="4"/>
      <c r="D941" s="4"/>
      <c r="E941" s="4"/>
      <c r="F941" s="4"/>
    </row>
    <row r="942" spans="1:6" x14ac:dyDescent="0.3">
      <c r="A942" s="4"/>
      <c r="B942" s="4"/>
      <c r="C942" s="4"/>
      <c r="D942" s="4"/>
      <c r="E942" s="4"/>
      <c r="F942" s="4"/>
    </row>
    <row r="943" spans="1:6" x14ac:dyDescent="0.3">
      <c r="A943" s="4"/>
      <c r="B943" s="4"/>
      <c r="C943" s="4"/>
      <c r="D943" s="4"/>
      <c r="E943" s="4"/>
      <c r="F943" s="4"/>
    </row>
    <row r="944" spans="1:6" x14ac:dyDescent="0.3">
      <c r="A944" s="4"/>
      <c r="B944" s="4"/>
      <c r="C944" s="4"/>
      <c r="D944" s="4"/>
      <c r="E944" s="4"/>
      <c r="F944" s="4"/>
    </row>
    <row r="945" spans="1:6" x14ac:dyDescent="0.3">
      <c r="A945" s="4"/>
      <c r="B945" s="4"/>
      <c r="C945" s="4"/>
      <c r="D945" s="4"/>
      <c r="E945" s="4"/>
      <c r="F945" s="4"/>
    </row>
    <row r="946" spans="1:6" x14ac:dyDescent="0.3">
      <c r="A946" s="4"/>
      <c r="B946" s="4"/>
      <c r="C946" s="4"/>
      <c r="D946" s="4"/>
      <c r="E946" s="4"/>
      <c r="F946" s="4"/>
    </row>
    <row r="947" spans="1:6" x14ac:dyDescent="0.3">
      <c r="A947" s="4"/>
      <c r="B947" s="4"/>
      <c r="C947" s="4"/>
      <c r="D947" s="4"/>
      <c r="E947" s="4"/>
      <c r="F947" s="4"/>
    </row>
    <row r="948" spans="1:6" x14ac:dyDescent="0.3">
      <c r="A948" s="4"/>
      <c r="B948" s="4"/>
      <c r="C948" s="4"/>
      <c r="D948" s="4"/>
      <c r="E948" s="4"/>
      <c r="F948" s="4"/>
    </row>
    <row r="949" spans="1:6" x14ac:dyDescent="0.3">
      <c r="A949" s="4"/>
      <c r="B949" s="4"/>
      <c r="C949" s="4"/>
      <c r="D949" s="4"/>
      <c r="E949" s="4"/>
      <c r="F949" s="4"/>
    </row>
    <row r="950" spans="1:6" x14ac:dyDescent="0.3">
      <c r="A950" s="4"/>
      <c r="B950" s="4"/>
      <c r="C950" s="4"/>
      <c r="D950" s="4"/>
      <c r="E950" s="4"/>
      <c r="F950" s="4"/>
    </row>
    <row r="951" spans="1:6" x14ac:dyDescent="0.3">
      <c r="A951" s="4"/>
      <c r="B951" s="4"/>
      <c r="C951" s="4"/>
      <c r="D951" s="4"/>
      <c r="E951" s="4"/>
      <c r="F951" s="4"/>
    </row>
    <row r="952" spans="1:6" x14ac:dyDescent="0.3">
      <c r="A952" s="4"/>
      <c r="B952" s="4"/>
      <c r="C952" s="4"/>
      <c r="D952" s="4"/>
      <c r="E952" s="4"/>
      <c r="F952" s="4"/>
    </row>
    <row r="953" spans="1:6" x14ac:dyDescent="0.3">
      <c r="A953" s="4"/>
      <c r="B953" s="4"/>
      <c r="C953" s="4"/>
      <c r="D953" s="4"/>
      <c r="E953" s="4"/>
      <c r="F953" s="4"/>
    </row>
    <row r="954" spans="1:6" x14ac:dyDescent="0.3">
      <c r="A954" s="4"/>
      <c r="B954" s="4"/>
      <c r="C954" s="4"/>
      <c r="D954" s="4"/>
      <c r="E954" s="4"/>
      <c r="F954" s="4"/>
    </row>
    <row r="955" spans="1:6" x14ac:dyDescent="0.3">
      <c r="A955" s="4"/>
      <c r="B955" s="4"/>
      <c r="C955" s="4"/>
      <c r="D955" s="4"/>
      <c r="E955" s="4"/>
      <c r="F955" s="4"/>
    </row>
    <row r="956" spans="1:6" x14ac:dyDescent="0.3">
      <c r="A956" s="4"/>
      <c r="B956" s="4"/>
      <c r="C956" s="4"/>
      <c r="D956" s="4"/>
      <c r="E956" s="4"/>
      <c r="F956" s="4"/>
    </row>
    <row r="957" spans="1:6" x14ac:dyDescent="0.3">
      <c r="A957" s="4"/>
      <c r="B957" s="4"/>
      <c r="C957" s="4"/>
      <c r="D957" s="4"/>
      <c r="E957" s="4"/>
      <c r="F957" s="4"/>
    </row>
    <row r="958" spans="1:6" x14ac:dyDescent="0.3">
      <c r="A958" s="4"/>
      <c r="B958" s="4"/>
      <c r="C958" s="4"/>
      <c r="D958" s="4"/>
      <c r="E958" s="4"/>
      <c r="F958" s="4"/>
    </row>
    <row r="959" spans="1:6" x14ac:dyDescent="0.3">
      <c r="A959" s="4"/>
      <c r="B959" s="4"/>
      <c r="C959" s="4"/>
      <c r="D959" s="4"/>
      <c r="E959" s="4"/>
      <c r="F959" s="4"/>
    </row>
    <row r="960" spans="1:6" x14ac:dyDescent="0.3">
      <c r="A960" s="4"/>
      <c r="B960" s="4"/>
      <c r="C960" s="4"/>
      <c r="D960" s="4"/>
      <c r="E960" s="4"/>
      <c r="F960" s="4"/>
    </row>
    <row r="961" spans="1:6" x14ac:dyDescent="0.3">
      <c r="A961" s="4"/>
      <c r="B961" s="4"/>
      <c r="C961" s="4"/>
      <c r="D961" s="4"/>
      <c r="E961" s="4"/>
      <c r="F961" s="4"/>
    </row>
    <row r="962" spans="1:6" x14ac:dyDescent="0.3">
      <c r="A962" s="4"/>
      <c r="B962" s="4"/>
      <c r="C962" s="4"/>
      <c r="D962" s="4"/>
      <c r="E962" s="4"/>
      <c r="F962" s="4"/>
    </row>
    <row r="963" spans="1:6" x14ac:dyDescent="0.3">
      <c r="A963" s="4"/>
      <c r="B963" s="4"/>
      <c r="C963" s="4"/>
      <c r="D963" s="4"/>
      <c r="E963" s="4"/>
      <c r="F963" s="4"/>
    </row>
    <row r="964" spans="1:6" x14ac:dyDescent="0.3">
      <c r="A964" s="4"/>
      <c r="B964" s="4"/>
      <c r="C964" s="4"/>
      <c r="D964" s="4"/>
      <c r="E964" s="4"/>
      <c r="F964" s="4"/>
    </row>
    <row r="965" spans="1:6" x14ac:dyDescent="0.3">
      <c r="A965" s="4"/>
      <c r="B965" s="4"/>
      <c r="C965" s="4"/>
      <c r="D965" s="4"/>
      <c r="E965" s="4"/>
      <c r="F965" s="4"/>
    </row>
    <row r="966" spans="1:6" x14ac:dyDescent="0.3">
      <c r="A966" s="4"/>
      <c r="B966" s="4"/>
      <c r="C966" s="4"/>
      <c r="D966" s="4"/>
      <c r="E966" s="4"/>
      <c r="F966" s="4"/>
    </row>
    <row r="967" spans="1:6" x14ac:dyDescent="0.3">
      <c r="A967" s="4"/>
      <c r="B967" s="4"/>
      <c r="C967" s="4"/>
      <c r="D967" s="4"/>
      <c r="E967" s="4"/>
      <c r="F967" s="4"/>
    </row>
    <row r="968" spans="1:6" x14ac:dyDescent="0.3">
      <c r="A968" s="4"/>
      <c r="B968" s="4"/>
      <c r="C968" s="4"/>
      <c r="D968" s="4"/>
      <c r="E968" s="4"/>
      <c r="F968" s="4"/>
    </row>
    <row r="969" spans="1:6" x14ac:dyDescent="0.3">
      <c r="A969" s="4"/>
      <c r="B969" s="4"/>
      <c r="C969" s="4"/>
      <c r="D969" s="4"/>
      <c r="E969" s="4"/>
      <c r="F969" s="4"/>
    </row>
    <row r="970" spans="1:6" x14ac:dyDescent="0.3">
      <c r="A970" s="4"/>
      <c r="B970" s="4"/>
      <c r="C970" s="4"/>
      <c r="D970" s="4"/>
      <c r="E970" s="4"/>
      <c r="F970" s="4"/>
    </row>
    <row r="971" spans="1:6" x14ac:dyDescent="0.3">
      <c r="A971" s="4"/>
      <c r="B971" s="4"/>
      <c r="C971" s="4"/>
      <c r="D971" s="4"/>
      <c r="E971" s="4"/>
      <c r="F971" s="4"/>
    </row>
    <row r="972" spans="1:6" x14ac:dyDescent="0.3">
      <c r="A972" s="4"/>
      <c r="B972" s="4"/>
      <c r="C972" s="4"/>
      <c r="D972" s="4"/>
      <c r="E972" s="4"/>
      <c r="F972" s="4"/>
    </row>
    <row r="973" spans="1:6" x14ac:dyDescent="0.3">
      <c r="A973" s="4"/>
      <c r="B973" s="4"/>
      <c r="C973" s="4"/>
      <c r="D973" s="4"/>
      <c r="E973" s="4"/>
      <c r="F973" s="4"/>
    </row>
    <row r="974" spans="1:6" x14ac:dyDescent="0.3">
      <c r="A974" s="4"/>
      <c r="B974" s="4"/>
      <c r="C974" s="4"/>
      <c r="D974" s="4"/>
      <c r="E974" s="4"/>
      <c r="F974" s="4"/>
    </row>
    <row r="975" spans="1:6" x14ac:dyDescent="0.3">
      <c r="A975" s="4"/>
      <c r="B975" s="4"/>
      <c r="C975" s="4"/>
      <c r="D975" s="4"/>
      <c r="E975" s="4"/>
      <c r="F975" s="4"/>
    </row>
    <row r="976" spans="1:6" x14ac:dyDescent="0.3">
      <c r="A976" s="4"/>
      <c r="B976" s="4"/>
      <c r="C976" s="4"/>
      <c r="D976" s="4"/>
      <c r="E976" s="4"/>
      <c r="F976" s="4"/>
    </row>
    <row r="977" spans="1:6" x14ac:dyDescent="0.3">
      <c r="A977" s="4"/>
      <c r="B977" s="4"/>
      <c r="C977" s="4"/>
      <c r="D977" s="4"/>
      <c r="E977" s="4"/>
      <c r="F977" s="4"/>
    </row>
    <row r="978" spans="1:6" x14ac:dyDescent="0.3">
      <c r="A978" s="4"/>
      <c r="B978" s="4"/>
      <c r="C978" s="4"/>
      <c r="D978" s="4"/>
      <c r="E978" s="4"/>
      <c r="F978" s="4"/>
    </row>
    <row r="979" spans="1:6" x14ac:dyDescent="0.3">
      <c r="A979" s="4"/>
      <c r="B979" s="4"/>
      <c r="C979" s="4"/>
      <c r="D979" s="4"/>
      <c r="E979" s="4"/>
      <c r="F979" s="4"/>
    </row>
    <row r="980" spans="1:6" x14ac:dyDescent="0.3">
      <c r="A980" s="4"/>
      <c r="B980" s="4"/>
      <c r="C980" s="4"/>
      <c r="D980" s="4"/>
      <c r="E980" s="4"/>
      <c r="F980" s="4"/>
    </row>
    <row r="981" spans="1:6" x14ac:dyDescent="0.3">
      <c r="A981" s="4"/>
      <c r="B981" s="4"/>
      <c r="C981" s="4"/>
      <c r="D981" s="4"/>
      <c r="E981" s="4"/>
      <c r="F981" s="4"/>
    </row>
    <row r="982" spans="1:6" x14ac:dyDescent="0.3">
      <c r="A982" s="4"/>
      <c r="B982" s="4"/>
      <c r="C982" s="4"/>
      <c r="D982" s="4"/>
      <c r="E982" s="4"/>
      <c r="F982" s="4"/>
    </row>
    <row r="983" spans="1:6" x14ac:dyDescent="0.3">
      <c r="A983" s="4"/>
      <c r="B983" s="4"/>
      <c r="C983" s="4"/>
      <c r="D983" s="4"/>
      <c r="E983" s="4"/>
      <c r="F983" s="4"/>
    </row>
    <row r="984" spans="1:6" x14ac:dyDescent="0.3">
      <c r="A984" s="4"/>
      <c r="B984" s="4"/>
      <c r="C984" s="4"/>
      <c r="D984" s="4"/>
      <c r="E984" s="4"/>
      <c r="F984" s="4"/>
    </row>
    <row r="985" spans="1:6" x14ac:dyDescent="0.3">
      <c r="A985" s="4"/>
      <c r="B985" s="4"/>
      <c r="C985" s="4"/>
      <c r="D985" s="4"/>
      <c r="E985" s="4"/>
      <c r="F985" s="4"/>
    </row>
    <row r="986" spans="1:6" x14ac:dyDescent="0.3">
      <c r="A986" s="4"/>
      <c r="B986" s="4"/>
      <c r="C986" s="4"/>
      <c r="D986" s="4"/>
      <c r="E986" s="4"/>
      <c r="F986" s="4"/>
    </row>
    <row r="987" spans="1:6" x14ac:dyDescent="0.3">
      <c r="A987" s="4"/>
      <c r="B987" s="4"/>
      <c r="C987" s="4"/>
      <c r="D987" s="4"/>
      <c r="E987" s="4"/>
      <c r="F987" s="4"/>
    </row>
    <row r="988" spans="1:6" x14ac:dyDescent="0.3">
      <c r="A988" s="4"/>
      <c r="B988" s="4"/>
      <c r="C988" s="4"/>
      <c r="D988" s="4"/>
      <c r="E988" s="4"/>
      <c r="F988" s="4"/>
    </row>
    <row r="989" spans="1:6" x14ac:dyDescent="0.3">
      <c r="A989" s="4"/>
      <c r="B989" s="4"/>
      <c r="C989" s="4"/>
      <c r="D989" s="4"/>
      <c r="E989" s="4"/>
      <c r="F989" s="4"/>
    </row>
    <row r="990" spans="1:6" x14ac:dyDescent="0.3">
      <c r="A990" s="4"/>
      <c r="B990" s="4"/>
      <c r="C990" s="4"/>
      <c r="D990" s="4"/>
      <c r="E990" s="4"/>
      <c r="F990" s="4"/>
    </row>
    <row r="991" spans="1:6" x14ac:dyDescent="0.3">
      <c r="A991" s="4"/>
      <c r="B991" s="4"/>
      <c r="C991" s="4"/>
      <c r="D991" s="4"/>
      <c r="E991" s="4"/>
      <c r="F991" s="4"/>
    </row>
    <row r="992" spans="1:6" x14ac:dyDescent="0.3">
      <c r="A992" s="4"/>
      <c r="B992" s="4"/>
      <c r="C992" s="4"/>
      <c r="D992" s="4"/>
      <c r="E992" s="4"/>
      <c r="F992" s="4"/>
    </row>
    <row r="993" spans="1:6" x14ac:dyDescent="0.3">
      <c r="A993" s="4"/>
      <c r="B993" s="4"/>
      <c r="C993" s="4"/>
      <c r="D993" s="4"/>
      <c r="E993" s="4"/>
      <c r="F993" s="4"/>
    </row>
    <row r="994" spans="1:6" x14ac:dyDescent="0.3">
      <c r="A994" s="4"/>
      <c r="B994" s="4"/>
      <c r="C994" s="4"/>
      <c r="D994" s="4"/>
      <c r="E994" s="4"/>
      <c r="F994" s="4"/>
    </row>
    <row r="995" spans="1:6" x14ac:dyDescent="0.3">
      <c r="A995" s="4"/>
      <c r="B995" s="4"/>
      <c r="C995" s="4"/>
      <c r="D995" s="4"/>
      <c r="E995" s="4"/>
      <c r="F995" s="4"/>
    </row>
    <row r="996" spans="1:6" x14ac:dyDescent="0.3">
      <c r="A996" s="4"/>
      <c r="B996" s="4"/>
      <c r="C996" s="4"/>
      <c r="D996" s="4"/>
      <c r="E996" s="4"/>
      <c r="F996" s="4"/>
    </row>
    <row r="997" spans="1:6" x14ac:dyDescent="0.3">
      <c r="A997" s="4"/>
      <c r="B997" s="4"/>
      <c r="C997" s="4"/>
      <c r="D997" s="4"/>
      <c r="E997" s="4"/>
      <c r="F997" s="4"/>
    </row>
    <row r="998" spans="1:6" x14ac:dyDescent="0.3">
      <c r="A998" s="4"/>
      <c r="B998" s="4"/>
      <c r="C998" s="4"/>
      <c r="D998" s="4"/>
      <c r="E998" s="4"/>
      <c r="F998" s="4"/>
    </row>
    <row r="999" spans="1:6" x14ac:dyDescent="0.3">
      <c r="A999" s="4"/>
      <c r="B999" s="4"/>
      <c r="C999" s="4"/>
      <c r="D999" s="4"/>
      <c r="E999" s="4"/>
      <c r="F999" s="4"/>
    </row>
    <row r="1000" spans="1:6" x14ac:dyDescent="0.3">
      <c r="A1000" s="4"/>
      <c r="B1000" s="4"/>
      <c r="C1000" s="4"/>
      <c r="D1000" s="4"/>
      <c r="E1000" s="4"/>
      <c r="F1000" s="4"/>
    </row>
    <row r="1001" spans="1:6" x14ac:dyDescent="0.3">
      <c r="A1001" s="4"/>
      <c r="B1001" s="4"/>
      <c r="C1001" s="4"/>
      <c r="D1001" s="4"/>
      <c r="E1001" s="4"/>
      <c r="F1001" s="4"/>
    </row>
    <row r="1002" spans="1:6" x14ac:dyDescent="0.3">
      <c r="A1002" s="4"/>
      <c r="B1002" s="4"/>
      <c r="C1002" s="4"/>
      <c r="D1002" s="4"/>
      <c r="E1002" s="4"/>
      <c r="F1002" s="4"/>
    </row>
    <row r="1003" spans="1:6" x14ac:dyDescent="0.3">
      <c r="A1003" s="4"/>
      <c r="B1003" s="4"/>
      <c r="C1003" s="4"/>
      <c r="D1003" s="4"/>
      <c r="E1003" s="4"/>
      <c r="F1003" s="4"/>
    </row>
    <row r="1004" spans="1:6" x14ac:dyDescent="0.3">
      <c r="A1004" s="4"/>
      <c r="B1004" s="4"/>
      <c r="C1004" s="4"/>
      <c r="D1004" s="4"/>
      <c r="E1004" s="4"/>
      <c r="F1004" s="4"/>
    </row>
    <row r="1005" spans="1:6" x14ac:dyDescent="0.3">
      <c r="A1005" s="4"/>
      <c r="B1005" s="4"/>
      <c r="C1005" s="4"/>
      <c r="D1005" s="4"/>
      <c r="E1005" s="4"/>
      <c r="F1005" s="4"/>
    </row>
    <row r="1006" spans="1:6" x14ac:dyDescent="0.3">
      <c r="A1006" s="4"/>
      <c r="B1006" s="4"/>
      <c r="C1006" s="4"/>
      <c r="D1006" s="4"/>
      <c r="E1006" s="4"/>
      <c r="F1006" s="4"/>
    </row>
    <row r="1007" spans="1:6" x14ac:dyDescent="0.3">
      <c r="A1007" s="4"/>
      <c r="B1007" s="4"/>
      <c r="C1007" s="4"/>
      <c r="D1007" s="4"/>
      <c r="E1007" s="4"/>
      <c r="F1007" s="4"/>
    </row>
    <row r="1008" spans="1:6" x14ac:dyDescent="0.3">
      <c r="A1008" s="4"/>
      <c r="B1008" s="4"/>
      <c r="C1008" s="4"/>
      <c r="D1008" s="4"/>
      <c r="E1008" s="4"/>
      <c r="F1008" s="4"/>
    </row>
    <row r="1009" spans="1:6" x14ac:dyDescent="0.3">
      <c r="A1009" s="4"/>
      <c r="B1009" s="4"/>
      <c r="C1009" s="4"/>
      <c r="D1009" s="4"/>
      <c r="E1009" s="4"/>
      <c r="F1009" s="4"/>
    </row>
    <row r="1010" spans="1:6" x14ac:dyDescent="0.3">
      <c r="A1010" s="4"/>
      <c r="B1010" s="4"/>
      <c r="C1010" s="4"/>
      <c r="D1010" s="4"/>
      <c r="E1010" s="4"/>
      <c r="F1010" s="4"/>
    </row>
    <row r="1011" spans="1:6" x14ac:dyDescent="0.3">
      <c r="A1011" s="4"/>
      <c r="B1011" s="4"/>
      <c r="C1011" s="4"/>
      <c r="D1011" s="4"/>
      <c r="E1011" s="4"/>
      <c r="F1011" s="4"/>
    </row>
    <row r="1012" spans="1:6" x14ac:dyDescent="0.3">
      <c r="A1012" s="4"/>
      <c r="B1012" s="4"/>
      <c r="C1012" s="4"/>
      <c r="D1012" s="4"/>
      <c r="E1012" s="4"/>
      <c r="F1012" s="4"/>
    </row>
    <row r="1013" spans="1:6" x14ac:dyDescent="0.3">
      <c r="A1013" s="4"/>
      <c r="B1013" s="4"/>
      <c r="C1013" s="4"/>
      <c r="D1013" s="4"/>
      <c r="E1013" s="4"/>
      <c r="F1013" s="4"/>
    </row>
    <row r="1014" spans="1:6" x14ac:dyDescent="0.3">
      <c r="A1014" s="4"/>
      <c r="B1014" s="4"/>
      <c r="C1014" s="4"/>
      <c r="D1014" s="4"/>
      <c r="E1014" s="4"/>
      <c r="F1014" s="4"/>
    </row>
    <row r="1015" spans="1:6" x14ac:dyDescent="0.3">
      <c r="A1015" s="4"/>
      <c r="B1015" s="4"/>
      <c r="C1015" s="4"/>
      <c r="D1015" s="4"/>
      <c r="E1015" s="4"/>
      <c r="F1015" s="4"/>
    </row>
    <row r="1016" spans="1:6" x14ac:dyDescent="0.3">
      <c r="A1016" s="4"/>
      <c r="B1016" s="4"/>
      <c r="C1016" s="4"/>
      <c r="D1016" s="4"/>
      <c r="E1016" s="4"/>
      <c r="F1016" s="4"/>
    </row>
    <row r="1017" spans="1:6" x14ac:dyDescent="0.3">
      <c r="A1017" s="4"/>
      <c r="B1017" s="4"/>
      <c r="C1017" s="4"/>
      <c r="D1017" s="4"/>
      <c r="E1017" s="4"/>
      <c r="F1017" s="4"/>
    </row>
    <row r="1018" spans="1:6" x14ac:dyDescent="0.3">
      <c r="A1018" s="4"/>
      <c r="B1018" s="4"/>
      <c r="C1018" s="4"/>
      <c r="D1018" s="4"/>
      <c r="E1018" s="4"/>
      <c r="F1018" s="4"/>
    </row>
    <row r="1019" spans="1:6" x14ac:dyDescent="0.3">
      <c r="A1019" s="4"/>
      <c r="B1019" s="4"/>
      <c r="C1019" s="4"/>
      <c r="D1019" s="4"/>
      <c r="E1019" s="4"/>
      <c r="F1019" s="4"/>
    </row>
    <row r="1020" spans="1:6" x14ac:dyDescent="0.3">
      <c r="A1020" s="4"/>
      <c r="B1020" s="4"/>
      <c r="C1020" s="4"/>
      <c r="D1020" s="4"/>
      <c r="E1020" s="4"/>
      <c r="F1020" s="4"/>
    </row>
    <row r="1021" spans="1:6" x14ac:dyDescent="0.3">
      <c r="A1021" s="4"/>
      <c r="B1021" s="4"/>
      <c r="C1021" s="4"/>
      <c r="D1021" s="4"/>
      <c r="E1021" s="4"/>
      <c r="F1021" s="4"/>
    </row>
    <row r="1022" spans="1:6" x14ac:dyDescent="0.3">
      <c r="A1022" s="4"/>
      <c r="B1022" s="4"/>
      <c r="C1022" s="4"/>
      <c r="D1022" s="4"/>
      <c r="E1022" s="4"/>
      <c r="F1022" s="4"/>
    </row>
    <row r="1023" spans="1:6" x14ac:dyDescent="0.3">
      <c r="A1023" s="4"/>
      <c r="B1023" s="4"/>
      <c r="C1023" s="4"/>
      <c r="D1023" s="4"/>
      <c r="E1023" s="4"/>
      <c r="F1023" s="4"/>
    </row>
    <row r="1024" spans="1:6" x14ac:dyDescent="0.3">
      <c r="A1024" s="4"/>
      <c r="B1024" s="4"/>
      <c r="C1024" s="4"/>
      <c r="D1024" s="4"/>
      <c r="E1024" s="4"/>
      <c r="F1024" s="4"/>
    </row>
    <row r="1025" spans="1:6" x14ac:dyDescent="0.3">
      <c r="A1025" s="4"/>
      <c r="B1025" s="4"/>
      <c r="C1025" s="4"/>
      <c r="D1025" s="4"/>
      <c r="E1025" s="4"/>
      <c r="F1025" s="4"/>
    </row>
    <row r="1026" spans="1:6" x14ac:dyDescent="0.3">
      <c r="A1026" s="4"/>
      <c r="B1026" s="4"/>
      <c r="C1026" s="4"/>
      <c r="D1026" s="4"/>
      <c r="E1026" s="4"/>
      <c r="F1026" s="4"/>
    </row>
    <row r="1027" spans="1:6" x14ac:dyDescent="0.3">
      <c r="A1027" s="4"/>
      <c r="B1027" s="4"/>
      <c r="C1027" s="4"/>
      <c r="D1027" s="4"/>
      <c r="E1027" s="4"/>
      <c r="F1027" s="4"/>
    </row>
    <row r="1028" spans="1:6" x14ac:dyDescent="0.3">
      <c r="A1028" s="4"/>
      <c r="B1028" s="4"/>
      <c r="C1028" s="4"/>
      <c r="D1028" s="4"/>
      <c r="E1028" s="4"/>
      <c r="F1028" s="4"/>
    </row>
    <row r="1029" spans="1:6" x14ac:dyDescent="0.3">
      <c r="A1029" s="4"/>
      <c r="B1029" s="4"/>
      <c r="C1029" s="4"/>
      <c r="D1029" s="4"/>
      <c r="E1029" s="4"/>
      <c r="F1029" s="4"/>
    </row>
    <row r="1030" spans="1:6" x14ac:dyDescent="0.3">
      <c r="A1030" s="4"/>
      <c r="B1030" s="4"/>
      <c r="C1030" s="4"/>
      <c r="D1030" s="4"/>
      <c r="E1030" s="4"/>
      <c r="F1030" s="4"/>
    </row>
    <row r="1031" spans="1:6" x14ac:dyDescent="0.3">
      <c r="A1031" s="4"/>
      <c r="B1031" s="4"/>
      <c r="C1031" s="4"/>
      <c r="D1031" s="4"/>
      <c r="E1031" s="4"/>
      <c r="F1031" s="4"/>
    </row>
    <row r="1032" spans="1:6" x14ac:dyDescent="0.3">
      <c r="A1032" s="4"/>
      <c r="B1032" s="4"/>
      <c r="C1032" s="4"/>
      <c r="D1032" s="4"/>
      <c r="E1032" s="4"/>
      <c r="F1032" s="4"/>
    </row>
    <row r="1033" spans="1:6" x14ac:dyDescent="0.3">
      <c r="A1033" s="4"/>
      <c r="B1033" s="4"/>
      <c r="C1033" s="4"/>
      <c r="D1033" s="4"/>
      <c r="E1033" s="4"/>
      <c r="F1033" s="4"/>
    </row>
    <row r="1034" spans="1:6" x14ac:dyDescent="0.3">
      <c r="A1034" s="4"/>
      <c r="B1034" s="4"/>
      <c r="C1034" s="4"/>
      <c r="D1034" s="4"/>
      <c r="E1034" s="4"/>
      <c r="F1034" s="4"/>
    </row>
    <row r="1035" spans="1:6" x14ac:dyDescent="0.3">
      <c r="A1035" s="4"/>
      <c r="B1035" s="4"/>
      <c r="C1035" s="4"/>
      <c r="D1035" s="4"/>
      <c r="E1035" s="4"/>
      <c r="F1035" s="4"/>
    </row>
    <row r="1036" spans="1:6" x14ac:dyDescent="0.3">
      <c r="A1036" s="4"/>
      <c r="B1036" s="4"/>
      <c r="C1036" s="4"/>
      <c r="D1036" s="4"/>
      <c r="E1036" s="4"/>
      <c r="F1036" s="4"/>
    </row>
    <row r="1037" spans="1:6" x14ac:dyDescent="0.3">
      <c r="A1037" s="4"/>
      <c r="B1037" s="4"/>
      <c r="C1037" s="4"/>
      <c r="D1037" s="4"/>
      <c r="E1037" s="4"/>
      <c r="F1037" s="4"/>
    </row>
    <row r="1038" spans="1:6" x14ac:dyDescent="0.3">
      <c r="A1038" s="4"/>
      <c r="B1038" s="4"/>
      <c r="C1038" s="4"/>
      <c r="D1038" s="4"/>
      <c r="E1038" s="4"/>
      <c r="F1038" s="4"/>
    </row>
    <row r="1039" spans="1:6" x14ac:dyDescent="0.3">
      <c r="A1039" s="4"/>
      <c r="B1039" s="4"/>
      <c r="C1039" s="4"/>
      <c r="D1039" s="4"/>
      <c r="E1039" s="4"/>
      <c r="F1039" s="4"/>
    </row>
    <row r="1040" spans="1:6" x14ac:dyDescent="0.3">
      <c r="A1040" s="4"/>
      <c r="B1040" s="4"/>
      <c r="C1040" s="4"/>
      <c r="D1040" s="4"/>
      <c r="E1040" s="4"/>
      <c r="F1040" s="4"/>
    </row>
    <row r="1041" spans="1:6" x14ac:dyDescent="0.3">
      <c r="A1041" s="4"/>
      <c r="B1041" s="4"/>
      <c r="C1041" s="4"/>
      <c r="D1041" s="4"/>
      <c r="E1041" s="4"/>
      <c r="F1041" s="4"/>
    </row>
    <row r="1042" spans="1:6" x14ac:dyDescent="0.3">
      <c r="A1042" s="4"/>
      <c r="B1042" s="4"/>
      <c r="C1042" s="4"/>
      <c r="D1042" s="4"/>
      <c r="E1042" s="4"/>
      <c r="F1042" s="4"/>
    </row>
    <row r="1043" spans="1:6" x14ac:dyDescent="0.3">
      <c r="A1043" s="4"/>
      <c r="B1043" s="4"/>
      <c r="C1043" s="4"/>
      <c r="D1043" s="4"/>
      <c r="E1043" s="4"/>
      <c r="F1043" s="4"/>
    </row>
    <row r="1044" spans="1:6" x14ac:dyDescent="0.3">
      <c r="A1044" s="4"/>
      <c r="B1044" s="4"/>
      <c r="C1044" s="4"/>
      <c r="D1044" s="4"/>
      <c r="E1044" s="4"/>
      <c r="F1044" s="4"/>
    </row>
    <row r="1045" spans="1:6" x14ac:dyDescent="0.3">
      <c r="A1045" s="4"/>
      <c r="B1045" s="4"/>
      <c r="C1045" s="4"/>
      <c r="D1045" s="4"/>
      <c r="E1045" s="4"/>
      <c r="F1045" s="4"/>
    </row>
    <row r="1046" spans="1:6" x14ac:dyDescent="0.3">
      <c r="A1046" s="4"/>
      <c r="B1046" s="4"/>
      <c r="C1046" s="4"/>
      <c r="D1046" s="4"/>
      <c r="E1046" s="4"/>
      <c r="F1046" s="4"/>
    </row>
    <row r="1047" spans="1:6" x14ac:dyDescent="0.3">
      <c r="A1047" s="4"/>
      <c r="B1047" s="4"/>
      <c r="C1047" s="4"/>
      <c r="D1047" s="4"/>
      <c r="E1047" s="4"/>
      <c r="F1047" s="4"/>
    </row>
    <row r="1048" spans="1:6" x14ac:dyDescent="0.3">
      <c r="A1048" s="4"/>
      <c r="B1048" s="4"/>
      <c r="C1048" s="4"/>
      <c r="D1048" s="4"/>
      <c r="E1048" s="4"/>
      <c r="F1048" s="4"/>
    </row>
    <row r="1049" spans="1:6" x14ac:dyDescent="0.3">
      <c r="A1049" s="4"/>
      <c r="B1049" s="4"/>
      <c r="C1049" s="4"/>
      <c r="D1049" s="4"/>
      <c r="E1049" s="4"/>
      <c r="F1049" s="4"/>
    </row>
    <row r="1050" spans="1:6" x14ac:dyDescent="0.3">
      <c r="A1050" s="4"/>
      <c r="B1050" s="4"/>
      <c r="C1050" s="4"/>
      <c r="D1050" s="4"/>
      <c r="E1050" s="4"/>
      <c r="F1050" s="4"/>
    </row>
    <row r="1051" spans="1:6" x14ac:dyDescent="0.3">
      <c r="A1051" s="4"/>
      <c r="B1051" s="4"/>
      <c r="C1051" s="4"/>
      <c r="D1051" s="4"/>
      <c r="E1051" s="4"/>
      <c r="F1051" s="4"/>
    </row>
    <row r="1052" spans="1:6" x14ac:dyDescent="0.3">
      <c r="A1052" s="4"/>
      <c r="B1052" s="4"/>
      <c r="C1052" s="4"/>
      <c r="D1052" s="4"/>
      <c r="E1052" s="4"/>
      <c r="F1052" s="4"/>
    </row>
    <row r="1053" spans="1:6" x14ac:dyDescent="0.3">
      <c r="A1053" s="4"/>
      <c r="B1053" s="4"/>
      <c r="C1053" s="4"/>
      <c r="D1053" s="4"/>
      <c r="E1053" s="4"/>
      <c r="F1053" s="4"/>
    </row>
    <row r="1054" spans="1:6" x14ac:dyDescent="0.3">
      <c r="A1054" s="4"/>
      <c r="B1054" s="4"/>
      <c r="C1054" s="4"/>
      <c r="D1054" s="4"/>
      <c r="E1054" s="4"/>
      <c r="F1054" s="4"/>
    </row>
    <row r="1055" spans="1:6" x14ac:dyDescent="0.3">
      <c r="A1055" s="4"/>
      <c r="B1055" s="4"/>
      <c r="C1055" s="4"/>
      <c r="D1055" s="4"/>
      <c r="E1055" s="4"/>
      <c r="F1055" s="4"/>
    </row>
    <row r="1056" spans="1:6" x14ac:dyDescent="0.3">
      <c r="A1056" s="4"/>
      <c r="B1056" s="4"/>
      <c r="C1056" s="4"/>
      <c r="D1056" s="4"/>
      <c r="E1056" s="4"/>
      <c r="F1056" s="4"/>
    </row>
    <row r="1057" spans="1:6" x14ac:dyDescent="0.3">
      <c r="A1057" s="4"/>
      <c r="B1057" s="4"/>
      <c r="C1057" s="4"/>
      <c r="D1057" s="4"/>
      <c r="E1057" s="4"/>
      <c r="F1057" s="4"/>
    </row>
    <row r="1058" spans="1:6" x14ac:dyDescent="0.3">
      <c r="A1058" s="4"/>
      <c r="B1058" s="4"/>
      <c r="C1058" s="4"/>
      <c r="D1058" s="4"/>
      <c r="E1058" s="4"/>
      <c r="F1058" s="4"/>
    </row>
    <row r="1059" spans="1:6" x14ac:dyDescent="0.3">
      <c r="A1059" s="4"/>
      <c r="B1059" s="4"/>
      <c r="C1059" s="4"/>
      <c r="D1059" s="4"/>
      <c r="E1059" s="4"/>
      <c r="F1059" s="4"/>
    </row>
    <row r="1060" spans="1:6" x14ac:dyDescent="0.3">
      <c r="A1060" s="4"/>
      <c r="B1060" s="4"/>
      <c r="C1060" s="4"/>
      <c r="D1060" s="4"/>
      <c r="E1060" s="4"/>
      <c r="F1060" s="4"/>
    </row>
    <row r="1061" spans="1:6" x14ac:dyDescent="0.3">
      <c r="A1061" s="4"/>
      <c r="B1061" s="4"/>
      <c r="C1061" s="4"/>
      <c r="D1061" s="4"/>
      <c r="E1061" s="4"/>
      <c r="F1061" s="4"/>
    </row>
    <row r="1062" spans="1:6" x14ac:dyDescent="0.3">
      <c r="A1062" s="4"/>
      <c r="B1062" s="4"/>
      <c r="C1062" s="4"/>
      <c r="D1062" s="4"/>
      <c r="E1062" s="4"/>
      <c r="F1062" s="4"/>
    </row>
    <row r="1063" spans="1:6" x14ac:dyDescent="0.3">
      <c r="A1063" s="4"/>
      <c r="B1063" s="4"/>
      <c r="C1063" s="4"/>
      <c r="D1063" s="4"/>
      <c r="E1063" s="4"/>
      <c r="F1063" s="4"/>
    </row>
    <row r="1064" spans="1:6" x14ac:dyDescent="0.3">
      <c r="A1064" s="4"/>
      <c r="B1064" s="4"/>
      <c r="C1064" s="4"/>
      <c r="D1064" s="4"/>
      <c r="E1064" s="4"/>
      <c r="F1064" s="4"/>
    </row>
    <row r="1065" spans="1:6" x14ac:dyDescent="0.3">
      <c r="A1065" s="4"/>
      <c r="B1065" s="4"/>
      <c r="C1065" s="4"/>
      <c r="D1065" s="4"/>
      <c r="E1065" s="4"/>
      <c r="F1065" s="4"/>
    </row>
    <row r="1066" spans="1:6" x14ac:dyDescent="0.3">
      <c r="A1066" s="4"/>
      <c r="B1066" s="4"/>
      <c r="C1066" s="4"/>
      <c r="D1066" s="4"/>
      <c r="E1066" s="4"/>
      <c r="F1066" s="4"/>
    </row>
    <row r="1067" spans="1:6" x14ac:dyDescent="0.3">
      <c r="A1067" s="4"/>
      <c r="B1067" s="4"/>
      <c r="C1067" s="4"/>
      <c r="D1067" s="4"/>
      <c r="E1067" s="4"/>
      <c r="F1067" s="4"/>
    </row>
    <row r="1068" spans="1:6" x14ac:dyDescent="0.3">
      <c r="A1068" s="4"/>
      <c r="B1068" s="4"/>
      <c r="C1068" s="4"/>
      <c r="D1068" s="4"/>
      <c r="E1068" s="4"/>
      <c r="F1068" s="4"/>
    </row>
    <row r="1069" spans="1:6" x14ac:dyDescent="0.3">
      <c r="A1069" s="4"/>
      <c r="B1069" s="4"/>
      <c r="C1069" s="4"/>
      <c r="D1069" s="4"/>
      <c r="E1069" s="4"/>
      <c r="F1069" s="4"/>
    </row>
    <row r="1070" spans="1:6" x14ac:dyDescent="0.3">
      <c r="A1070" s="4"/>
      <c r="B1070" s="4"/>
      <c r="C1070" s="4"/>
      <c r="D1070" s="4"/>
      <c r="E1070" s="4"/>
      <c r="F1070" s="4"/>
    </row>
    <row r="1071" spans="1:6" x14ac:dyDescent="0.3">
      <c r="A1071" s="4"/>
      <c r="B1071" s="4"/>
      <c r="C1071" s="4"/>
      <c r="D1071" s="4"/>
      <c r="E1071" s="4"/>
      <c r="F1071" s="4"/>
    </row>
    <row r="1072" spans="1:6" x14ac:dyDescent="0.3">
      <c r="A1072" s="4"/>
      <c r="B1072" s="4"/>
      <c r="C1072" s="4"/>
      <c r="D1072" s="4"/>
      <c r="E1072" s="4"/>
      <c r="F1072" s="4"/>
    </row>
    <row r="1073" spans="1:6" x14ac:dyDescent="0.3">
      <c r="A1073" s="4"/>
      <c r="B1073" s="4"/>
      <c r="C1073" s="4"/>
      <c r="D1073" s="4"/>
      <c r="E1073" s="4"/>
      <c r="F1073" s="4"/>
    </row>
    <row r="1074" spans="1:6" x14ac:dyDescent="0.3">
      <c r="A1074" s="4"/>
      <c r="B1074" s="4"/>
      <c r="C1074" s="4"/>
      <c r="D1074" s="4"/>
      <c r="E1074" s="4"/>
      <c r="F1074" s="4"/>
    </row>
    <row r="1075" spans="1:6" x14ac:dyDescent="0.3">
      <c r="A1075" s="4"/>
      <c r="B1075" s="4"/>
      <c r="C1075" s="4"/>
      <c r="D1075" s="4"/>
      <c r="E1075" s="4"/>
      <c r="F1075" s="4"/>
    </row>
    <row r="1076" spans="1:6" x14ac:dyDescent="0.3">
      <c r="A1076" s="4"/>
      <c r="B1076" s="4"/>
      <c r="C1076" s="4"/>
      <c r="D1076" s="4"/>
      <c r="E1076" s="4"/>
      <c r="F1076" s="4"/>
    </row>
    <row r="1077" spans="1:6" x14ac:dyDescent="0.3">
      <c r="A1077" s="4"/>
      <c r="B1077" s="4"/>
      <c r="C1077" s="4"/>
      <c r="D1077" s="4"/>
      <c r="E1077" s="4"/>
      <c r="F1077" s="4"/>
    </row>
    <row r="1078" spans="1:6" x14ac:dyDescent="0.3">
      <c r="A1078" s="4"/>
      <c r="B1078" s="4"/>
      <c r="C1078" s="4"/>
      <c r="D1078" s="4"/>
      <c r="E1078" s="4"/>
      <c r="F1078" s="4"/>
    </row>
    <row r="1079" spans="1:6" x14ac:dyDescent="0.3">
      <c r="A1079" s="4"/>
      <c r="B1079" s="4"/>
      <c r="C1079" s="4"/>
      <c r="D1079" s="4"/>
      <c r="E1079" s="4"/>
      <c r="F1079" s="4"/>
    </row>
    <row r="1080" spans="1:6" x14ac:dyDescent="0.3">
      <c r="A1080" s="4"/>
      <c r="B1080" s="4"/>
      <c r="C1080" s="4"/>
      <c r="D1080" s="4"/>
      <c r="E1080" s="4"/>
      <c r="F1080" s="4"/>
    </row>
    <row r="1081" spans="1:6" x14ac:dyDescent="0.3">
      <c r="A1081" s="4"/>
      <c r="B1081" s="4"/>
      <c r="C1081" s="4"/>
      <c r="D1081" s="4"/>
      <c r="E1081" s="4"/>
      <c r="F1081" s="4"/>
    </row>
    <row r="1082" spans="1:6" x14ac:dyDescent="0.3">
      <c r="A1082" s="4"/>
      <c r="B1082" s="4"/>
      <c r="C1082" s="4"/>
      <c r="D1082" s="4"/>
      <c r="E1082" s="4"/>
      <c r="F1082" s="4"/>
    </row>
    <row r="1083" spans="1:6" x14ac:dyDescent="0.3">
      <c r="A1083" s="4"/>
      <c r="B1083" s="4"/>
      <c r="C1083" s="4"/>
      <c r="D1083" s="4"/>
      <c r="E1083" s="4"/>
      <c r="F1083" s="4"/>
    </row>
    <row r="1084" spans="1:6" x14ac:dyDescent="0.3">
      <c r="A1084" s="4"/>
      <c r="B1084" s="4"/>
      <c r="C1084" s="4"/>
      <c r="D1084" s="4"/>
      <c r="E1084" s="4"/>
      <c r="F1084" s="4"/>
    </row>
    <row r="1085" spans="1:6" x14ac:dyDescent="0.3">
      <c r="A1085" s="4"/>
      <c r="B1085" s="4"/>
      <c r="C1085" s="4"/>
      <c r="D1085" s="4"/>
      <c r="E1085" s="4"/>
      <c r="F1085" s="4"/>
    </row>
    <row r="1086" spans="1:6" x14ac:dyDescent="0.3">
      <c r="A1086" s="4"/>
      <c r="B1086" s="4"/>
      <c r="C1086" s="4"/>
      <c r="D1086" s="4"/>
      <c r="E1086" s="4"/>
      <c r="F1086" s="4"/>
    </row>
    <row r="1087" spans="1:6" x14ac:dyDescent="0.3">
      <c r="A1087" s="4"/>
      <c r="B1087" s="4"/>
      <c r="C1087" s="4"/>
      <c r="D1087" s="4"/>
      <c r="E1087" s="4"/>
      <c r="F1087" s="4"/>
    </row>
    <row r="1088" spans="1:6" x14ac:dyDescent="0.3">
      <c r="A1088" s="4"/>
      <c r="B1088" s="4"/>
      <c r="C1088" s="4"/>
      <c r="D1088" s="4"/>
      <c r="E1088" s="4"/>
      <c r="F1088" s="4"/>
    </row>
    <row r="1089" spans="1:6" x14ac:dyDescent="0.3">
      <c r="A1089" s="4"/>
      <c r="B1089" s="4"/>
      <c r="C1089" s="4"/>
      <c r="D1089" s="4"/>
      <c r="E1089" s="4"/>
      <c r="F1089" s="4"/>
    </row>
    <row r="1090" spans="1:6" x14ac:dyDescent="0.3">
      <c r="A1090" s="4"/>
      <c r="B1090" s="4"/>
      <c r="C1090" s="4"/>
      <c r="D1090" s="4"/>
      <c r="E1090" s="4"/>
      <c r="F1090" s="4"/>
    </row>
    <row r="1091" spans="1:6" x14ac:dyDescent="0.3">
      <c r="A1091" s="4"/>
      <c r="B1091" s="4"/>
      <c r="C1091" s="4"/>
      <c r="D1091" s="4"/>
      <c r="E1091" s="4"/>
      <c r="F1091" s="4"/>
    </row>
    <row r="1092" spans="1:6" x14ac:dyDescent="0.3">
      <c r="A1092" s="4"/>
      <c r="B1092" s="4"/>
      <c r="C1092" s="4"/>
      <c r="D1092" s="4"/>
      <c r="E1092" s="4"/>
      <c r="F1092" s="4"/>
    </row>
    <row r="1093" spans="1:6" x14ac:dyDescent="0.3">
      <c r="A1093" s="4"/>
      <c r="B1093" s="4"/>
      <c r="C1093" s="4"/>
      <c r="D1093" s="4"/>
      <c r="E1093" s="4"/>
      <c r="F1093" s="4"/>
    </row>
    <row r="1094" spans="1:6" x14ac:dyDescent="0.3">
      <c r="A1094" s="4"/>
      <c r="B1094" s="4"/>
      <c r="C1094" s="4"/>
      <c r="D1094" s="4"/>
      <c r="E1094" s="4"/>
      <c r="F1094" s="4"/>
    </row>
    <row r="1095" spans="1:6" x14ac:dyDescent="0.3">
      <c r="A1095" s="4"/>
      <c r="B1095" s="4"/>
      <c r="C1095" s="4"/>
      <c r="D1095" s="4"/>
      <c r="E1095" s="4"/>
      <c r="F1095" s="4"/>
    </row>
    <row r="1096" spans="1:6" x14ac:dyDescent="0.3">
      <c r="A1096" s="4"/>
      <c r="B1096" s="4"/>
      <c r="C1096" s="4"/>
      <c r="D1096" s="4"/>
      <c r="E1096" s="4"/>
      <c r="F1096" s="4"/>
    </row>
    <row r="1097" spans="1:6" x14ac:dyDescent="0.3">
      <c r="A1097" s="4"/>
      <c r="B1097" s="4"/>
      <c r="C1097" s="4"/>
      <c r="D1097" s="4"/>
      <c r="E1097" s="4"/>
      <c r="F1097" s="4"/>
    </row>
    <row r="1098" spans="1:6" x14ac:dyDescent="0.3">
      <c r="A1098" s="4"/>
      <c r="B1098" s="4"/>
      <c r="C1098" s="4"/>
      <c r="D1098" s="4"/>
      <c r="E1098" s="4"/>
      <c r="F1098" s="4"/>
    </row>
    <row r="1099" spans="1:6" x14ac:dyDescent="0.3">
      <c r="A1099" s="4"/>
      <c r="B1099" s="4"/>
      <c r="C1099" s="4"/>
      <c r="D1099" s="4"/>
      <c r="E1099" s="4"/>
      <c r="F1099" s="4"/>
    </row>
    <row r="1100" spans="1:6" x14ac:dyDescent="0.3">
      <c r="A1100" s="4"/>
      <c r="B1100" s="4"/>
      <c r="C1100" s="4"/>
      <c r="D1100" s="4"/>
      <c r="E1100" s="4"/>
      <c r="F1100" s="4"/>
    </row>
    <row r="1101" spans="1:6" x14ac:dyDescent="0.3">
      <c r="A1101" s="4"/>
      <c r="B1101" s="4"/>
      <c r="C1101" s="4"/>
      <c r="D1101" s="4"/>
      <c r="E1101" s="4"/>
      <c r="F1101" s="4"/>
    </row>
    <row r="1102" spans="1:6" x14ac:dyDescent="0.3">
      <c r="A1102" s="4"/>
      <c r="B1102" s="4"/>
      <c r="C1102" s="4"/>
      <c r="D1102" s="4"/>
      <c r="E1102" s="4"/>
      <c r="F1102" s="4"/>
    </row>
    <row r="1103" spans="1:6" x14ac:dyDescent="0.3">
      <c r="A1103" s="4"/>
      <c r="B1103" s="4"/>
      <c r="C1103" s="4"/>
      <c r="D1103" s="4"/>
      <c r="E1103" s="4"/>
      <c r="F1103" s="4"/>
    </row>
    <row r="1104" spans="1:6" x14ac:dyDescent="0.3">
      <c r="A1104" s="4"/>
      <c r="B1104" s="4"/>
      <c r="C1104" s="4"/>
      <c r="D1104" s="4"/>
      <c r="E1104" s="4"/>
      <c r="F1104" s="4"/>
    </row>
    <row r="1105" spans="1:6" x14ac:dyDescent="0.3">
      <c r="A1105" s="4"/>
      <c r="B1105" s="4"/>
      <c r="C1105" s="4"/>
      <c r="D1105" s="4"/>
      <c r="E1105" s="4"/>
      <c r="F1105" s="4"/>
    </row>
    <row r="1106" spans="1:6" x14ac:dyDescent="0.3">
      <c r="A1106" s="4"/>
      <c r="B1106" s="4"/>
      <c r="C1106" s="4"/>
      <c r="D1106" s="4"/>
      <c r="E1106" s="4"/>
      <c r="F1106" s="4"/>
    </row>
    <row r="1107" spans="1:6" x14ac:dyDescent="0.3">
      <c r="A1107" s="4"/>
      <c r="B1107" s="4"/>
      <c r="C1107" s="4"/>
      <c r="D1107" s="4"/>
      <c r="E1107" s="4"/>
      <c r="F1107" s="4"/>
    </row>
    <row r="1108" spans="1:6" x14ac:dyDescent="0.3">
      <c r="A1108" s="4"/>
      <c r="B1108" s="4"/>
      <c r="C1108" s="4"/>
      <c r="D1108" s="4"/>
      <c r="E1108" s="4"/>
      <c r="F1108" s="4"/>
    </row>
    <row r="1109" spans="1:6" x14ac:dyDescent="0.3">
      <c r="A1109" s="4"/>
      <c r="B1109" s="4"/>
      <c r="C1109" s="4"/>
      <c r="D1109" s="4"/>
      <c r="E1109" s="4"/>
      <c r="F1109" s="4"/>
    </row>
    <row r="1110" spans="1:6" x14ac:dyDescent="0.3">
      <c r="A1110" s="4"/>
      <c r="B1110" s="4"/>
      <c r="C1110" s="4"/>
      <c r="D1110" s="4"/>
      <c r="E1110" s="4"/>
      <c r="F1110" s="4"/>
    </row>
    <row r="1111" spans="1:6" x14ac:dyDescent="0.3">
      <c r="A1111" s="4"/>
      <c r="B1111" s="4"/>
      <c r="C1111" s="4"/>
      <c r="D1111" s="4"/>
      <c r="E1111" s="4"/>
      <c r="F1111" s="4"/>
    </row>
    <row r="1112" spans="1:6" x14ac:dyDescent="0.3">
      <c r="A1112" s="4"/>
      <c r="B1112" s="4"/>
      <c r="C1112" s="4"/>
      <c r="D1112" s="4"/>
      <c r="E1112" s="4"/>
      <c r="F1112" s="4"/>
    </row>
    <row r="1113" spans="1:6" x14ac:dyDescent="0.3">
      <c r="A1113" s="4"/>
      <c r="B1113" s="4"/>
      <c r="C1113" s="4"/>
      <c r="D1113" s="4"/>
      <c r="E1113" s="4"/>
      <c r="F1113" s="4"/>
    </row>
    <row r="1114" spans="1:6" x14ac:dyDescent="0.3">
      <c r="A1114" s="4"/>
      <c r="B1114" s="4"/>
      <c r="C1114" s="4"/>
      <c r="D1114" s="4"/>
      <c r="E1114" s="4"/>
      <c r="F1114" s="4"/>
    </row>
    <row r="1115" spans="1:6" x14ac:dyDescent="0.3">
      <c r="A1115" s="4"/>
      <c r="B1115" s="4"/>
      <c r="C1115" s="4"/>
      <c r="D1115" s="4"/>
      <c r="E1115" s="4"/>
      <c r="F1115" s="4"/>
    </row>
    <row r="1116" spans="1:6" x14ac:dyDescent="0.3">
      <c r="A1116" s="4"/>
      <c r="B1116" s="4"/>
      <c r="C1116" s="4"/>
      <c r="D1116" s="4"/>
      <c r="E1116" s="4"/>
      <c r="F1116" s="4"/>
    </row>
    <row r="1117" spans="1:6" x14ac:dyDescent="0.3">
      <c r="A1117" s="4"/>
      <c r="B1117" s="4"/>
      <c r="C1117" s="4"/>
      <c r="D1117" s="4"/>
      <c r="E1117" s="4"/>
      <c r="F1117" s="4"/>
    </row>
    <row r="1118" spans="1:6" x14ac:dyDescent="0.3">
      <c r="A1118" s="4"/>
      <c r="B1118" s="4"/>
      <c r="C1118" s="4"/>
      <c r="D1118" s="4"/>
      <c r="E1118" s="4"/>
      <c r="F1118" s="4"/>
    </row>
    <row r="1119" spans="1:6" x14ac:dyDescent="0.3">
      <c r="A1119" s="4"/>
      <c r="B1119" s="4"/>
      <c r="C1119" s="4"/>
      <c r="D1119" s="4"/>
      <c r="E1119" s="4"/>
      <c r="F1119" s="4"/>
    </row>
    <row r="1120" spans="1:6" x14ac:dyDescent="0.3">
      <c r="A1120" s="4"/>
      <c r="B1120" s="4"/>
      <c r="C1120" s="4"/>
      <c r="D1120" s="4"/>
      <c r="E1120" s="4"/>
      <c r="F1120" s="4"/>
    </row>
    <row r="1121" spans="1:6" x14ac:dyDescent="0.3">
      <c r="A1121" s="4"/>
      <c r="B1121" s="4"/>
      <c r="C1121" s="4"/>
      <c r="D1121" s="4"/>
      <c r="E1121" s="4"/>
      <c r="F1121" s="4"/>
    </row>
    <row r="1122" spans="1:6" x14ac:dyDescent="0.3">
      <c r="A1122" s="4"/>
      <c r="B1122" s="4"/>
      <c r="C1122" s="4"/>
      <c r="D1122" s="4"/>
      <c r="E1122" s="4"/>
      <c r="F1122" s="4"/>
    </row>
    <row r="1123" spans="1:6" x14ac:dyDescent="0.3">
      <c r="A1123" s="4"/>
      <c r="B1123" s="4"/>
      <c r="C1123" s="4"/>
      <c r="D1123" s="4"/>
      <c r="E1123" s="4"/>
      <c r="F1123" s="4"/>
    </row>
    <row r="1124" spans="1:6" x14ac:dyDescent="0.3">
      <c r="A1124" s="4"/>
      <c r="B1124" s="4"/>
      <c r="C1124" s="4"/>
      <c r="D1124" s="4"/>
      <c r="E1124" s="4"/>
      <c r="F1124" s="4"/>
    </row>
    <row r="1125" spans="1:6" x14ac:dyDescent="0.3">
      <c r="A1125" s="4"/>
      <c r="B1125" s="4"/>
      <c r="C1125" s="4"/>
      <c r="D1125" s="4"/>
      <c r="E1125" s="4"/>
      <c r="F1125" s="4"/>
    </row>
    <row r="1126" spans="1:6" x14ac:dyDescent="0.3">
      <c r="A1126" s="4"/>
      <c r="B1126" s="4"/>
      <c r="C1126" s="4"/>
      <c r="D1126" s="4"/>
      <c r="E1126" s="4"/>
      <c r="F1126" s="4"/>
    </row>
    <row r="1127" spans="1:6" x14ac:dyDescent="0.3">
      <c r="A1127" s="4"/>
      <c r="B1127" s="4"/>
      <c r="C1127" s="4"/>
      <c r="D1127" s="4"/>
      <c r="E1127" s="4"/>
      <c r="F1127" s="4"/>
    </row>
    <row r="1128" spans="1:6" x14ac:dyDescent="0.3">
      <c r="A1128" s="4"/>
      <c r="B1128" s="4"/>
      <c r="C1128" s="4"/>
      <c r="D1128" s="4"/>
      <c r="E1128" s="4"/>
      <c r="F1128" s="4"/>
    </row>
    <row r="1129" spans="1:6" x14ac:dyDescent="0.3">
      <c r="A1129" s="4"/>
      <c r="B1129" s="4"/>
      <c r="C1129" s="4"/>
      <c r="D1129" s="4"/>
      <c r="E1129" s="4"/>
      <c r="F1129" s="4"/>
    </row>
    <row r="1130" spans="1:6" x14ac:dyDescent="0.3">
      <c r="A1130" s="4"/>
      <c r="B1130" s="4"/>
      <c r="C1130" s="4"/>
      <c r="D1130" s="4"/>
      <c r="E1130" s="4"/>
      <c r="F1130" s="4"/>
    </row>
    <row r="1131" spans="1:6" x14ac:dyDescent="0.3">
      <c r="A1131" s="4"/>
      <c r="B1131" s="4"/>
      <c r="C1131" s="4"/>
      <c r="D1131" s="4"/>
      <c r="E1131" s="4"/>
      <c r="F1131" s="4"/>
    </row>
    <row r="1132" spans="1:6" x14ac:dyDescent="0.3">
      <c r="A1132" s="4"/>
      <c r="B1132" s="4"/>
      <c r="C1132" s="4"/>
      <c r="D1132" s="4"/>
      <c r="E1132" s="4"/>
      <c r="F1132" s="4"/>
    </row>
    <row r="1133" spans="1:6" x14ac:dyDescent="0.3">
      <c r="A1133" s="4"/>
      <c r="B1133" s="4"/>
      <c r="C1133" s="4"/>
      <c r="D1133" s="4"/>
      <c r="E1133" s="4"/>
      <c r="F1133" s="4"/>
    </row>
    <row r="1134" spans="1:6" x14ac:dyDescent="0.3">
      <c r="A1134" s="4"/>
      <c r="B1134" s="4"/>
      <c r="C1134" s="4"/>
      <c r="D1134" s="4"/>
      <c r="E1134" s="4"/>
      <c r="F1134" s="4"/>
    </row>
    <row r="1135" spans="1:6" x14ac:dyDescent="0.3">
      <c r="A1135" s="4"/>
      <c r="B1135" s="4"/>
      <c r="C1135" s="4"/>
      <c r="D1135" s="4"/>
      <c r="E1135" s="4"/>
      <c r="F1135" s="4"/>
    </row>
    <row r="1136" spans="1:6" x14ac:dyDescent="0.3">
      <c r="A1136" s="4"/>
      <c r="B1136" s="4"/>
      <c r="C1136" s="4"/>
      <c r="D1136" s="4"/>
      <c r="E1136" s="4"/>
      <c r="F1136" s="4"/>
    </row>
    <row r="1137" spans="1:6" x14ac:dyDescent="0.3">
      <c r="A1137" s="4"/>
      <c r="B1137" s="4"/>
      <c r="C1137" s="4"/>
      <c r="D1137" s="4"/>
      <c r="E1137" s="4"/>
      <c r="F1137" s="4"/>
    </row>
    <row r="1138" spans="1:6" x14ac:dyDescent="0.3">
      <c r="A1138" s="4"/>
      <c r="B1138" s="4"/>
      <c r="C1138" s="4"/>
      <c r="D1138" s="4"/>
      <c r="E1138" s="4"/>
      <c r="F1138" s="4"/>
    </row>
    <row r="1139" spans="1:6" x14ac:dyDescent="0.3">
      <c r="A1139" s="4"/>
      <c r="B1139" s="4"/>
      <c r="C1139" s="4"/>
      <c r="D1139" s="4"/>
      <c r="E1139" s="4"/>
      <c r="F1139" s="4"/>
    </row>
    <row r="1140" spans="1:6" x14ac:dyDescent="0.3">
      <c r="A1140" s="4"/>
      <c r="B1140" s="4"/>
      <c r="C1140" s="4"/>
      <c r="D1140" s="4"/>
      <c r="E1140" s="4"/>
      <c r="F1140" s="4"/>
    </row>
    <row r="1141" spans="1:6" x14ac:dyDescent="0.3">
      <c r="A1141" s="4"/>
      <c r="B1141" s="4"/>
      <c r="C1141" s="4"/>
      <c r="D1141" s="4"/>
      <c r="E1141" s="4"/>
      <c r="F1141" s="4"/>
    </row>
    <row r="1142" spans="1:6" x14ac:dyDescent="0.3">
      <c r="A1142" s="4"/>
      <c r="B1142" s="4"/>
      <c r="C1142" s="4"/>
      <c r="D1142" s="4"/>
      <c r="E1142" s="4"/>
      <c r="F1142" s="4"/>
    </row>
    <row r="1143" spans="1:6" x14ac:dyDescent="0.3">
      <c r="A1143" s="4"/>
      <c r="B1143" s="4"/>
      <c r="C1143" s="4"/>
      <c r="D1143" s="4"/>
      <c r="E1143" s="4"/>
      <c r="F1143" s="4"/>
    </row>
    <row r="1144" spans="1:6" x14ac:dyDescent="0.3">
      <c r="A1144" s="4"/>
      <c r="B1144" s="4"/>
      <c r="C1144" s="4"/>
      <c r="D1144" s="4"/>
      <c r="E1144" s="4"/>
      <c r="F1144" s="4"/>
    </row>
    <row r="1145" spans="1:6" x14ac:dyDescent="0.3">
      <c r="A1145" s="4"/>
      <c r="B1145" s="4"/>
      <c r="C1145" s="4"/>
      <c r="D1145" s="4"/>
      <c r="E1145" s="4"/>
      <c r="F1145" s="4"/>
    </row>
    <row r="1146" spans="1:6" x14ac:dyDescent="0.3">
      <c r="A1146" s="4"/>
      <c r="B1146" s="4"/>
      <c r="C1146" s="4"/>
      <c r="D1146" s="4"/>
      <c r="E1146" s="4"/>
      <c r="F1146" s="4"/>
    </row>
    <row r="1147" spans="1:6" x14ac:dyDescent="0.3">
      <c r="A1147" s="4"/>
      <c r="B1147" s="4"/>
      <c r="C1147" s="4"/>
      <c r="D1147" s="4"/>
      <c r="E1147" s="4"/>
      <c r="F1147" s="4"/>
    </row>
    <row r="1148" spans="1:6" x14ac:dyDescent="0.3">
      <c r="A1148" s="4"/>
      <c r="B1148" s="4"/>
      <c r="C1148" s="4"/>
      <c r="D1148" s="4"/>
      <c r="E1148" s="4"/>
      <c r="F1148" s="4"/>
    </row>
    <row r="1149" spans="1:6" x14ac:dyDescent="0.3">
      <c r="A1149" s="4"/>
      <c r="B1149" s="4"/>
      <c r="C1149" s="4"/>
      <c r="D1149" s="4"/>
      <c r="E1149" s="4"/>
      <c r="F1149" s="4"/>
    </row>
    <row r="1150" spans="1:6" x14ac:dyDescent="0.3">
      <c r="A1150" s="4"/>
      <c r="B1150" s="4"/>
      <c r="C1150" s="4"/>
      <c r="D1150" s="4"/>
      <c r="E1150" s="4"/>
      <c r="F1150" s="4"/>
    </row>
    <row r="1151" spans="1:6" x14ac:dyDescent="0.3">
      <c r="A1151" s="4"/>
      <c r="B1151" s="4"/>
      <c r="C1151" s="4"/>
      <c r="D1151" s="4"/>
      <c r="E1151" s="4"/>
      <c r="F1151" s="4"/>
    </row>
    <row r="1152" spans="1:6" x14ac:dyDescent="0.3">
      <c r="A1152" s="4"/>
      <c r="B1152" s="4"/>
      <c r="C1152" s="4"/>
      <c r="D1152" s="4"/>
      <c r="E1152" s="4"/>
      <c r="F1152" s="4"/>
    </row>
    <row r="1153" spans="1:6" x14ac:dyDescent="0.3">
      <c r="A1153" s="4"/>
      <c r="B1153" s="4"/>
      <c r="C1153" s="4"/>
      <c r="D1153" s="4"/>
      <c r="E1153" s="4"/>
      <c r="F1153" s="4"/>
    </row>
    <row r="1154" spans="1:6" x14ac:dyDescent="0.3">
      <c r="A1154" s="4"/>
      <c r="B1154" s="4"/>
      <c r="C1154" s="4"/>
      <c r="D1154" s="4"/>
      <c r="E1154" s="4"/>
      <c r="F1154" s="4"/>
    </row>
    <row r="1155" spans="1:6" x14ac:dyDescent="0.3">
      <c r="A1155" s="4"/>
      <c r="B1155" s="4"/>
      <c r="C1155" s="4"/>
      <c r="D1155" s="4"/>
      <c r="E1155" s="4"/>
      <c r="F1155" s="4"/>
    </row>
    <row r="1156" spans="1:6" x14ac:dyDescent="0.3">
      <c r="A1156" s="4"/>
      <c r="B1156" s="4"/>
      <c r="C1156" s="4"/>
      <c r="D1156" s="4"/>
      <c r="E1156" s="4"/>
      <c r="F1156" s="4"/>
    </row>
    <row r="1157" spans="1:6" x14ac:dyDescent="0.3">
      <c r="A1157" s="4"/>
      <c r="B1157" s="4"/>
      <c r="C1157" s="4"/>
      <c r="D1157" s="4"/>
      <c r="E1157" s="4"/>
      <c r="F1157" s="4"/>
    </row>
    <row r="1158" spans="1:6" x14ac:dyDescent="0.3">
      <c r="A1158" s="4"/>
      <c r="B1158" s="4"/>
      <c r="C1158" s="4"/>
      <c r="D1158" s="4"/>
      <c r="E1158" s="4"/>
      <c r="F1158" s="4"/>
    </row>
    <row r="1159" spans="1:6" x14ac:dyDescent="0.3">
      <c r="A1159" s="4"/>
      <c r="B1159" s="4"/>
      <c r="C1159" s="4"/>
      <c r="D1159" s="4"/>
      <c r="E1159" s="4"/>
      <c r="F1159" s="4"/>
    </row>
    <row r="1160" spans="1:6" x14ac:dyDescent="0.3">
      <c r="A1160" s="4"/>
      <c r="B1160" s="4"/>
      <c r="C1160" s="4"/>
      <c r="D1160" s="4"/>
      <c r="E1160" s="4"/>
      <c r="F1160" s="4"/>
    </row>
    <row r="1161" spans="1:6" x14ac:dyDescent="0.3">
      <c r="A1161" s="4"/>
      <c r="B1161" s="4"/>
      <c r="C1161" s="4"/>
      <c r="D1161" s="4"/>
      <c r="E1161" s="4"/>
      <c r="F1161" s="4"/>
    </row>
    <row r="1162" spans="1:6" x14ac:dyDescent="0.3">
      <c r="A1162" s="4"/>
      <c r="B1162" s="4"/>
      <c r="C1162" s="4"/>
      <c r="D1162" s="4"/>
      <c r="E1162" s="4"/>
      <c r="F1162" s="4"/>
    </row>
    <row r="1163" spans="1:6" x14ac:dyDescent="0.3">
      <c r="A1163" s="4"/>
      <c r="B1163" s="4"/>
      <c r="C1163" s="4"/>
      <c r="D1163" s="4"/>
      <c r="E1163" s="4"/>
      <c r="F1163" s="4"/>
    </row>
    <row r="1164" spans="1:6" x14ac:dyDescent="0.3">
      <c r="A1164" s="4"/>
      <c r="B1164" s="4"/>
      <c r="C1164" s="4"/>
      <c r="D1164" s="4"/>
      <c r="E1164" s="4"/>
      <c r="F1164" s="4"/>
    </row>
    <row r="1165" spans="1:6" x14ac:dyDescent="0.3">
      <c r="A1165" s="4"/>
      <c r="B1165" s="4"/>
      <c r="C1165" s="4"/>
      <c r="D1165" s="4"/>
      <c r="E1165" s="4"/>
      <c r="F1165" s="4"/>
    </row>
    <row r="1166" spans="1:6" x14ac:dyDescent="0.3">
      <c r="A1166" s="4"/>
      <c r="B1166" s="4"/>
      <c r="C1166" s="4"/>
      <c r="D1166" s="4"/>
      <c r="E1166" s="4"/>
      <c r="F1166" s="4"/>
    </row>
    <row r="1167" spans="1:6" x14ac:dyDescent="0.3">
      <c r="A1167" s="4"/>
      <c r="B1167" s="4"/>
      <c r="C1167" s="4"/>
      <c r="D1167" s="4"/>
      <c r="E1167" s="4"/>
      <c r="F1167" s="4"/>
    </row>
    <row r="1168" spans="1:6" x14ac:dyDescent="0.3">
      <c r="A1168" s="4"/>
      <c r="B1168" s="4"/>
      <c r="C1168" s="4"/>
      <c r="D1168" s="4"/>
      <c r="E1168" s="4"/>
      <c r="F1168" s="4"/>
    </row>
    <row r="1169" spans="1:6" x14ac:dyDescent="0.3">
      <c r="A1169" s="4"/>
      <c r="B1169" s="4"/>
      <c r="C1169" s="4"/>
      <c r="D1169" s="4"/>
      <c r="E1169" s="4"/>
      <c r="F1169" s="4"/>
    </row>
    <row r="1170" spans="1:6" x14ac:dyDescent="0.3">
      <c r="A1170" s="4"/>
      <c r="B1170" s="4"/>
      <c r="C1170" s="4"/>
      <c r="D1170" s="4"/>
      <c r="E1170" s="4"/>
      <c r="F1170" s="4"/>
    </row>
    <row r="1171" spans="1:6" x14ac:dyDescent="0.3">
      <c r="A1171" s="4"/>
      <c r="B1171" s="4"/>
      <c r="C1171" s="4"/>
      <c r="D1171" s="4"/>
      <c r="E1171" s="4"/>
      <c r="F1171" s="4"/>
    </row>
    <row r="1172" spans="1:6" x14ac:dyDescent="0.3">
      <c r="A1172" s="4"/>
      <c r="B1172" s="4"/>
      <c r="C1172" s="4"/>
      <c r="D1172" s="4"/>
      <c r="E1172" s="4"/>
      <c r="F1172" s="4"/>
    </row>
    <row r="1173" spans="1:6" x14ac:dyDescent="0.3">
      <c r="A1173" s="4"/>
      <c r="B1173" s="4"/>
      <c r="C1173" s="4"/>
      <c r="D1173" s="4"/>
      <c r="E1173" s="4"/>
      <c r="F1173" s="4"/>
    </row>
    <row r="1174" spans="1:6" x14ac:dyDescent="0.3">
      <c r="A1174" s="4"/>
      <c r="B1174" s="4"/>
      <c r="C1174" s="4"/>
      <c r="D1174" s="4"/>
      <c r="E1174" s="4"/>
      <c r="F1174" s="4"/>
    </row>
    <row r="1175" spans="1:6" x14ac:dyDescent="0.3">
      <c r="A1175" s="4"/>
      <c r="B1175" s="4"/>
      <c r="C1175" s="4"/>
      <c r="D1175" s="4"/>
      <c r="E1175" s="4"/>
      <c r="F1175" s="4"/>
    </row>
    <row r="1176" spans="1:6" x14ac:dyDescent="0.3">
      <c r="A1176" s="4"/>
      <c r="B1176" s="4"/>
      <c r="C1176" s="4"/>
      <c r="D1176" s="4"/>
      <c r="E1176" s="4"/>
      <c r="F1176" s="4"/>
    </row>
    <row r="1177" spans="1:6" x14ac:dyDescent="0.3">
      <c r="A1177" s="4"/>
      <c r="B1177" s="4"/>
      <c r="C1177" s="4"/>
      <c r="D1177" s="4"/>
      <c r="E1177" s="4"/>
      <c r="F1177" s="4"/>
    </row>
    <row r="1178" spans="1:6" x14ac:dyDescent="0.3">
      <c r="A1178" s="4"/>
      <c r="B1178" s="4"/>
      <c r="C1178" s="4"/>
      <c r="D1178" s="4"/>
      <c r="E1178" s="4"/>
      <c r="F1178" s="4"/>
    </row>
    <row r="1179" spans="1:6" x14ac:dyDescent="0.3">
      <c r="A1179" s="4"/>
      <c r="B1179" s="4"/>
      <c r="C1179" s="4"/>
      <c r="D1179" s="4"/>
      <c r="E1179" s="4"/>
      <c r="F1179" s="4"/>
    </row>
    <row r="1180" spans="1:6" x14ac:dyDescent="0.3">
      <c r="A1180" s="4"/>
      <c r="B1180" s="4"/>
      <c r="C1180" s="4"/>
      <c r="D1180" s="4"/>
      <c r="E1180" s="4"/>
      <c r="F1180" s="4"/>
    </row>
    <row r="1181" spans="1:6" x14ac:dyDescent="0.3">
      <c r="A1181" s="4"/>
      <c r="B1181" s="4"/>
      <c r="C1181" s="4"/>
      <c r="D1181" s="4"/>
      <c r="E1181" s="4"/>
      <c r="F1181" s="4"/>
    </row>
    <row r="1182" spans="1:6" x14ac:dyDescent="0.3">
      <c r="A1182" s="4"/>
      <c r="B1182" s="4"/>
      <c r="C1182" s="4"/>
      <c r="D1182" s="4"/>
      <c r="E1182" s="4"/>
      <c r="F1182" s="4"/>
    </row>
    <row r="1183" spans="1:6" x14ac:dyDescent="0.3">
      <c r="A1183" s="4"/>
      <c r="B1183" s="4"/>
      <c r="C1183" s="4"/>
      <c r="D1183" s="4"/>
      <c r="E1183" s="4"/>
      <c r="F1183" s="4"/>
    </row>
    <row r="1184" spans="1:6" x14ac:dyDescent="0.3">
      <c r="A1184" s="4"/>
      <c r="B1184" s="4"/>
      <c r="C1184" s="4"/>
      <c r="D1184" s="4"/>
      <c r="E1184" s="4"/>
      <c r="F1184" s="4"/>
    </row>
    <row r="1185" spans="1:6" x14ac:dyDescent="0.3">
      <c r="A1185" s="4"/>
      <c r="B1185" s="4"/>
      <c r="C1185" s="4"/>
      <c r="D1185" s="4"/>
      <c r="E1185" s="4"/>
      <c r="F1185" s="4"/>
    </row>
    <row r="1186" spans="1:6" x14ac:dyDescent="0.3">
      <c r="A1186" s="4"/>
      <c r="B1186" s="4"/>
      <c r="C1186" s="4"/>
      <c r="D1186" s="4"/>
      <c r="E1186" s="4"/>
      <c r="F1186" s="4"/>
    </row>
    <row r="1187" spans="1:6" x14ac:dyDescent="0.3">
      <c r="A1187" s="4"/>
      <c r="B1187" s="4"/>
      <c r="C1187" s="4"/>
      <c r="D1187" s="4"/>
      <c r="E1187" s="4"/>
      <c r="F1187" s="4"/>
    </row>
    <row r="1188" spans="1:6" x14ac:dyDescent="0.3">
      <c r="A1188" s="4"/>
      <c r="B1188" s="4"/>
      <c r="C1188" s="4"/>
      <c r="D1188" s="4"/>
      <c r="E1188" s="4"/>
      <c r="F1188" s="4"/>
    </row>
    <row r="1189" spans="1:6" x14ac:dyDescent="0.3">
      <c r="A1189" s="4"/>
      <c r="B1189" s="4"/>
      <c r="C1189" s="4"/>
      <c r="D1189" s="4"/>
      <c r="E1189" s="4"/>
      <c r="F1189" s="4"/>
    </row>
    <row r="1190" spans="1:6" x14ac:dyDescent="0.3">
      <c r="A1190" s="4"/>
      <c r="B1190" s="4"/>
      <c r="C1190" s="4"/>
      <c r="D1190" s="4"/>
      <c r="E1190" s="4"/>
      <c r="F1190" s="4"/>
    </row>
    <row r="1191" spans="1:6" x14ac:dyDescent="0.3">
      <c r="A1191" s="4"/>
      <c r="B1191" s="4"/>
      <c r="C1191" s="4"/>
      <c r="D1191" s="4"/>
      <c r="E1191" s="4"/>
      <c r="F1191" s="4"/>
    </row>
    <row r="1192" spans="1:6" x14ac:dyDescent="0.3">
      <c r="A1192" s="4"/>
      <c r="B1192" s="4"/>
      <c r="C1192" s="4"/>
      <c r="D1192" s="4"/>
      <c r="E1192" s="4"/>
      <c r="F1192" s="4"/>
    </row>
    <row r="1193" spans="1:6" x14ac:dyDescent="0.3">
      <c r="A1193" s="4"/>
      <c r="B1193" s="4"/>
      <c r="C1193" s="4"/>
      <c r="D1193" s="4"/>
      <c r="E1193" s="4"/>
      <c r="F1193" s="4"/>
    </row>
    <row r="1194" spans="1:6" x14ac:dyDescent="0.3">
      <c r="A1194" s="4"/>
      <c r="B1194" s="4"/>
      <c r="C1194" s="4"/>
      <c r="D1194" s="4"/>
      <c r="E1194" s="4"/>
      <c r="F1194" s="4"/>
    </row>
    <row r="1195" spans="1:6" x14ac:dyDescent="0.3">
      <c r="A1195" s="4"/>
      <c r="B1195" s="4"/>
      <c r="C1195" s="4"/>
      <c r="D1195" s="4"/>
      <c r="E1195" s="4"/>
      <c r="F1195" s="4"/>
    </row>
    <row r="1196" spans="1:6" x14ac:dyDescent="0.3">
      <c r="A1196" s="4"/>
      <c r="B1196" s="4"/>
      <c r="C1196" s="4"/>
      <c r="D1196" s="4"/>
      <c r="E1196" s="4"/>
      <c r="F1196" s="4"/>
    </row>
    <row r="1197" spans="1:6" x14ac:dyDescent="0.3">
      <c r="A1197" s="4"/>
      <c r="B1197" s="4"/>
      <c r="C1197" s="4"/>
      <c r="D1197" s="4"/>
      <c r="E1197" s="4"/>
      <c r="F1197" s="4"/>
    </row>
    <row r="1198" spans="1:6" x14ac:dyDescent="0.3">
      <c r="A1198" s="4"/>
      <c r="B1198" s="4"/>
      <c r="C1198" s="4"/>
      <c r="D1198" s="4"/>
      <c r="E1198" s="4"/>
      <c r="F1198" s="4"/>
    </row>
    <row r="1199" spans="1:6" x14ac:dyDescent="0.3">
      <c r="A1199" s="4"/>
      <c r="B1199" s="4"/>
      <c r="C1199" s="4"/>
      <c r="D1199" s="4"/>
      <c r="E1199" s="4"/>
      <c r="F1199" s="4"/>
    </row>
    <row r="1200" spans="1:6" x14ac:dyDescent="0.3">
      <c r="A1200" s="4"/>
      <c r="B1200" s="4"/>
      <c r="C1200" s="4"/>
      <c r="D1200" s="4"/>
      <c r="E1200" s="4"/>
      <c r="F1200" s="4"/>
    </row>
    <row r="1201" spans="1:6" x14ac:dyDescent="0.3">
      <c r="A1201" s="4"/>
      <c r="B1201" s="4"/>
      <c r="C1201" s="4"/>
      <c r="D1201" s="4"/>
      <c r="E1201" s="4"/>
      <c r="F1201" s="4"/>
    </row>
    <row r="1202" spans="1:6" x14ac:dyDescent="0.3">
      <c r="A1202" s="4"/>
      <c r="B1202" s="4"/>
      <c r="C1202" s="4"/>
      <c r="D1202" s="4"/>
      <c r="E1202" s="4"/>
      <c r="F1202" s="4"/>
    </row>
    <row r="1203" spans="1:6" x14ac:dyDescent="0.3">
      <c r="A1203" s="4"/>
      <c r="B1203" s="4"/>
      <c r="C1203" s="4"/>
      <c r="D1203" s="4"/>
      <c r="E1203" s="4"/>
      <c r="F1203" s="4"/>
    </row>
    <row r="1204" spans="1:6" x14ac:dyDescent="0.3">
      <c r="A1204" s="4"/>
      <c r="B1204" s="4"/>
      <c r="C1204" s="4"/>
      <c r="D1204" s="4"/>
      <c r="E1204" s="4"/>
      <c r="F1204" s="4"/>
    </row>
    <row r="1205" spans="1:6" x14ac:dyDescent="0.3">
      <c r="A1205" s="4"/>
      <c r="B1205" s="4"/>
      <c r="C1205" s="4"/>
      <c r="D1205" s="4"/>
      <c r="E1205" s="4"/>
      <c r="F1205" s="4"/>
    </row>
    <row r="1206" spans="1:6" x14ac:dyDescent="0.3">
      <c r="A1206" s="4"/>
      <c r="B1206" s="4"/>
      <c r="C1206" s="4"/>
      <c r="D1206" s="4"/>
      <c r="E1206" s="4"/>
      <c r="F1206" s="4"/>
    </row>
    <row r="1207" spans="1:6" x14ac:dyDescent="0.3">
      <c r="A1207" s="4"/>
      <c r="B1207" s="4"/>
      <c r="C1207" s="4"/>
      <c r="D1207" s="4"/>
      <c r="E1207" s="4"/>
      <c r="F1207" s="4"/>
    </row>
    <row r="1208" spans="1:6" x14ac:dyDescent="0.3">
      <c r="A1208" s="4"/>
      <c r="B1208" s="4"/>
      <c r="C1208" s="4"/>
      <c r="D1208" s="4"/>
      <c r="E1208" s="4"/>
      <c r="F1208" s="4"/>
    </row>
    <row r="1209" spans="1:6" x14ac:dyDescent="0.3">
      <c r="A1209" s="4"/>
      <c r="B1209" s="4"/>
      <c r="C1209" s="4"/>
      <c r="D1209" s="4"/>
      <c r="E1209" s="4"/>
      <c r="F1209" s="4"/>
    </row>
    <row r="1210" spans="1:6" x14ac:dyDescent="0.3">
      <c r="A1210" s="4"/>
      <c r="B1210" s="4"/>
      <c r="C1210" s="4"/>
      <c r="D1210" s="4"/>
      <c r="E1210" s="4"/>
      <c r="F1210" s="4"/>
    </row>
    <row r="1211" spans="1:6" x14ac:dyDescent="0.3">
      <c r="A1211" s="4"/>
      <c r="B1211" s="4"/>
      <c r="C1211" s="4"/>
      <c r="D1211" s="4"/>
      <c r="E1211" s="4"/>
      <c r="F1211" s="4"/>
    </row>
    <row r="1212" spans="1:6" x14ac:dyDescent="0.3">
      <c r="A1212" s="4"/>
      <c r="B1212" s="4"/>
      <c r="C1212" s="4"/>
      <c r="D1212" s="4"/>
      <c r="E1212" s="4"/>
      <c r="F1212" s="4"/>
    </row>
    <row r="1213" spans="1:6" x14ac:dyDescent="0.3">
      <c r="A1213" s="4"/>
      <c r="B1213" s="4"/>
      <c r="C1213" s="4"/>
      <c r="D1213" s="4"/>
      <c r="E1213" s="4"/>
      <c r="F1213" s="4"/>
    </row>
    <row r="1214" spans="1:6" x14ac:dyDescent="0.3">
      <c r="A1214" s="4"/>
      <c r="B1214" s="4"/>
      <c r="C1214" s="4"/>
      <c r="D1214" s="4"/>
      <c r="E1214" s="4"/>
      <c r="F1214" s="4"/>
    </row>
    <row r="1215" spans="1:6" x14ac:dyDescent="0.3">
      <c r="A1215" s="4"/>
      <c r="B1215" s="4"/>
      <c r="C1215" s="4"/>
      <c r="D1215" s="4"/>
      <c r="E1215" s="4"/>
      <c r="F1215" s="4"/>
    </row>
    <row r="1216" spans="1:6" x14ac:dyDescent="0.3">
      <c r="A1216" s="4"/>
      <c r="B1216" s="4"/>
      <c r="C1216" s="4"/>
      <c r="D1216" s="4"/>
      <c r="E1216" s="4"/>
      <c r="F1216" s="4"/>
    </row>
    <row r="1217" spans="1:6" x14ac:dyDescent="0.3">
      <c r="A1217" s="4"/>
      <c r="B1217" s="4"/>
      <c r="C1217" s="4"/>
      <c r="D1217" s="4"/>
      <c r="E1217" s="4"/>
      <c r="F1217" s="4"/>
    </row>
    <row r="1218" spans="1:6" x14ac:dyDescent="0.3">
      <c r="A1218" s="4"/>
      <c r="B1218" s="4"/>
      <c r="C1218" s="4"/>
      <c r="D1218" s="4"/>
      <c r="E1218" s="4"/>
      <c r="F1218" s="4"/>
    </row>
    <row r="1219" spans="1:6" x14ac:dyDescent="0.3">
      <c r="A1219" s="4"/>
      <c r="B1219" s="4"/>
      <c r="C1219" s="4"/>
      <c r="D1219" s="4"/>
      <c r="E1219" s="4"/>
      <c r="F1219" s="4"/>
    </row>
    <row r="1220" spans="1:6" x14ac:dyDescent="0.3">
      <c r="A1220" s="4"/>
      <c r="B1220" s="4"/>
      <c r="C1220" s="4"/>
      <c r="D1220" s="4"/>
      <c r="E1220" s="4"/>
      <c r="F1220" s="4"/>
    </row>
    <row r="1221" spans="1:6" x14ac:dyDescent="0.3">
      <c r="A1221" s="4"/>
      <c r="B1221" s="4"/>
      <c r="C1221" s="4"/>
      <c r="D1221" s="4"/>
      <c r="E1221" s="4"/>
      <c r="F1221" s="4"/>
    </row>
    <row r="1222" spans="1:6" x14ac:dyDescent="0.3">
      <c r="A1222" s="4"/>
      <c r="B1222" s="4"/>
      <c r="C1222" s="4"/>
      <c r="D1222" s="4"/>
      <c r="E1222" s="4"/>
      <c r="F1222" s="4"/>
    </row>
    <row r="1223" spans="1:6" x14ac:dyDescent="0.3">
      <c r="A1223" s="4"/>
      <c r="B1223" s="4"/>
      <c r="C1223" s="4"/>
      <c r="D1223" s="4"/>
      <c r="E1223" s="4"/>
      <c r="F1223" s="4"/>
    </row>
    <row r="1224" spans="1:6" x14ac:dyDescent="0.3">
      <c r="A1224" s="4"/>
      <c r="B1224" s="4"/>
      <c r="C1224" s="4"/>
      <c r="D1224" s="4"/>
      <c r="E1224" s="4"/>
      <c r="F1224" s="4"/>
    </row>
    <row r="1225" spans="1:6" x14ac:dyDescent="0.3">
      <c r="A1225" s="4"/>
      <c r="B1225" s="4"/>
      <c r="C1225" s="4"/>
      <c r="D1225" s="4"/>
      <c r="E1225" s="4"/>
      <c r="F1225" s="4"/>
    </row>
    <row r="1226" spans="1:6" x14ac:dyDescent="0.3">
      <c r="A1226" s="4"/>
      <c r="B1226" s="4"/>
      <c r="C1226" s="4"/>
      <c r="D1226" s="4"/>
      <c r="E1226" s="4"/>
      <c r="F1226" s="4"/>
    </row>
    <row r="1227" spans="1:6" x14ac:dyDescent="0.3">
      <c r="A1227" s="4"/>
      <c r="B1227" s="4"/>
      <c r="C1227" s="4"/>
      <c r="D1227" s="4"/>
      <c r="E1227" s="4"/>
      <c r="F1227" s="4"/>
    </row>
    <row r="1228" spans="1:6" x14ac:dyDescent="0.3">
      <c r="A1228" s="4"/>
      <c r="B1228" s="4"/>
      <c r="C1228" s="4"/>
      <c r="D1228" s="4"/>
      <c r="E1228" s="4"/>
      <c r="F1228" s="4"/>
    </row>
    <row r="1229" spans="1:6" x14ac:dyDescent="0.3">
      <c r="A1229" s="4"/>
      <c r="B1229" s="4"/>
      <c r="C1229" s="4"/>
      <c r="D1229" s="4"/>
      <c r="E1229" s="4"/>
      <c r="F1229" s="4"/>
    </row>
    <row r="1230" spans="1:6" x14ac:dyDescent="0.3">
      <c r="A1230" s="4"/>
      <c r="B1230" s="4"/>
      <c r="C1230" s="4"/>
      <c r="D1230" s="4"/>
      <c r="E1230" s="4"/>
      <c r="F1230" s="4"/>
    </row>
    <row r="1231" spans="1:6" x14ac:dyDescent="0.3">
      <c r="A1231" s="4"/>
      <c r="B1231" s="4"/>
      <c r="C1231" s="4"/>
      <c r="D1231" s="4"/>
      <c r="E1231" s="4"/>
      <c r="F1231" s="4"/>
    </row>
    <row r="1232" spans="1:6" x14ac:dyDescent="0.3">
      <c r="A1232" s="4"/>
      <c r="B1232" s="4"/>
      <c r="C1232" s="4"/>
      <c r="D1232" s="4"/>
      <c r="E1232" s="4"/>
      <c r="F1232" s="4"/>
    </row>
    <row r="1233" spans="1:6" x14ac:dyDescent="0.3">
      <c r="A1233" s="4"/>
      <c r="B1233" s="4"/>
      <c r="C1233" s="4"/>
      <c r="D1233" s="4"/>
      <c r="E1233" s="4"/>
      <c r="F1233" s="4"/>
    </row>
    <row r="1234" spans="1:6" x14ac:dyDescent="0.3">
      <c r="A1234" s="4"/>
      <c r="B1234" s="4"/>
      <c r="C1234" s="4"/>
      <c r="D1234" s="4"/>
      <c r="E1234" s="4"/>
      <c r="F1234" s="4"/>
    </row>
    <row r="1235" spans="1:6" x14ac:dyDescent="0.3">
      <c r="A1235" s="4"/>
      <c r="B1235" s="4"/>
      <c r="C1235" s="4"/>
      <c r="D1235" s="4"/>
      <c r="E1235" s="4"/>
      <c r="F1235" s="4"/>
    </row>
    <row r="1236" spans="1:6" x14ac:dyDescent="0.3">
      <c r="A1236" s="4"/>
      <c r="B1236" s="4"/>
      <c r="C1236" s="4"/>
      <c r="D1236" s="4"/>
      <c r="E1236" s="4"/>
      <c r="F1236" s="4"/>
    </row>
    <row r="1237" spans="1:6" x14ac:dyDescent="0.3">
      <c r="A1237" s="4"/>
      <c r="B1237" s="4"/>
      <c r="C1237" s="4"/>
      <c r="D1237" s="4"/>
      <c r="E1237" s="4"/>
      <c r="F1237" s="4"/>
    </row>
    <row r="1238" spans="1:6" x14ac:dyDescent="0.3">
      <c r="A1238" s="4"/>
      <c r="B1238" s="4"/>
      <c r="C1238" s="4"/>
      <c r="D1238" s="4"/>
      <c r="E1238" s="4"/>
      <c r="F1238" s="4"/>
    </row>
    <row r="1239" spans="1:6" x14ac:dyDescent="0.3">
      <c r="A1239" s="4"/>
      <c r="B1239" s="4"/>
      <c r="C1239" s="4"/>
      <c r="D1239" s="4"/>
      <c r="E1239" s="4"/>
      <c r="F1239" s="4"/>
    </row>
    <row r="1240" spans="1:6" x14ac:dyDescent="0.3">
      <c r="A1240" s="4"/>
      <c r="B1240" s="4"/>
      <c r="C1240" s="4"/>
      <c r="D1240" s="4"/>
      <c r="E1240" s="4"/>
      <c r="F1240" s="4"/>
    </row>
    <row r="1241" spans="1:6" x14ac:dyDescent="0.3">
      <c r="A1241" s="4"/>
      <c r="B1241" s="4"/>
      <c r="C1241" s="4"/>
      <c r="D1241" s="4"/>
      <c r="E1241" s="4"/>
      <c r="F1241" s="4"/>
    </row>
    <row r="1242" spans="1:6" x14ac:dyDescent="0.3">
      <c r="A1242" s="4"/>
      <c r="B1242" s="4"/>
      <c r="C1242" s="4"/>
      <c r="D1242" s="4"/>
      <c r="E1242" s="4"/>
      <c r="F1242" s="4"/>
    </row>
    <row r="1243" spans="1:6" x14ac:dyDescent="0.3">
      <c r="A1243" s="4"/>
      <c r="B1243" s="4"/>
      <c r="C1243" s="4"/>
      <c r="D1243" s="4"/>
      <c r="E1243" s="4"/>
      <c r="F1243" s="4"/>
    </row>
    <row r="1244" spans="1:6" x14ac:dyDescent="0.3">
      <c r="A1244" s="4"/>
      <c r="B1244" s="4"/>
      <c r="C1244" s="4"/>
      <c r="D1244" s="4"/>
      <c r="E1244" s="4"/>
      <c r="F1244" s="4"/>
    </row>
    <row r="1245" spans="1:6" x14ac:dyDescent="0.3">
      <c r="A1245" s="4"/>
      <c r="B1245" s="4"/>
      <c r="C1245" s="4"/>
      <c r="D1245" s="4"/>
      <c r="E1245" s="4"/>
      <c r="F1245" s="4"/>
    </row>
    <row r="1246" spans="1:6" x14ac:dyDescent="0.3">
      <c r="A1246" s="4"/>
      <c r="B1246" s="4"/>
      <c r="C1246" s="4"/>
      <c r="D1246" s="4"/>
      <c r="E1246" s="4"/>
      <c r="F1246" s="4"/>
    </row>
    <row r="1247" spans="1:6" x14ac:dyDescent="0.3">
      <c r="A1247" s="4"/>
      <c r="B1247" s="4"/>
      <c r="C1247" s="4"/>
      <c r="D1247" s="4"/>
      <c r="E1247" s="4"/>
      <c r="F1247" s="4"/>
    </row>
    <row r="1248" spans="1:6" x14ac:dyDescent="0.3">
      <c r="A1248" s="4"/>
      <c r="B1248" s="4"/>
      <c r="C1248" s="4"/>
      <c r="D1248" s="4"/>
      <c r="E1248" s="4"/>
      <c r="F1248" s="4"/>
    </row>
    <row r="1249" spans="1:6" x14ac:dyDescent="0.3">
      <c r="A1249" s="4"/>
      <c r="B1249" s="4"/>
      <c r="C1249" s="4"/>
      <c r="D1249" s="4"/>
      <c r="E1249" s="4"/>
      <c r="F1249" s="4"/>
    </row>
    <row r="1250" spans="1:6" x14ac:dyDescent="0.3">
      <c r="A1250" s="4"/>
      <c r="B1250" s="4"/>
      <c r="C1250" s="4"/>
      <c r="D1250" s="4"/>
      <c r="E1250" s="4"/>
      <c r="F1250" s="4"/>
    </row>
    <row r="1251" spans="1:6" x14ac:dyDescent="0.3">
      <c r="A1251" s="4"/>
      <c r="B1251" s="4"/>
      <c r="C1251" s="4"/>
      <c r="D1251" s="4"/>
      <c r="E1251" s="4"/>
      <c r="F1251" s="4"/>
    </row>
    <row r="1252" spans="1:6" x14ac:dyDescent="0.3">
      <c r="A1252" s="4"/>
      <c r="B1252" s="4"/>
      <c r="C1252" s="4"/>
      <c r="D1252" s="4"/>
      <c r="E1252" s="4"/>
      <c r="F1252" s="4"/>
    </row>
    <row r="1253" spans="1:6" x14ac:dyDescent="0.3">
      <c r="A1253" s="4"/>
      <c r="B1253" s="4"/>
      <c r="C1253" s="4"/>
      <c r="D1253" s="4"/>
      <c r="E1253" s="4"/>
      <c r="F1253" s="4"/>
    </row>
    <row r="1254" spans="1:6" x14ac:dyDescent="0.3">
      <c r="A1254" s="4"/>
      <c r="B1254" s="4"/>
      <c r="C1254" s="4"/>
      <c r="D1254" s="4"/>
      <c r="E1254" s="4"/>
      <c r="F1254" s="4"/>
    </row>
    <row r="1255" spans="1:6" x14ac:dyDescent="0.3">
      <c r="A1255" s="4"/>
      <c r="B1255" s="4"/>
      <c r="C1255" s="4"/>
      <c r="D1255" s="4"/>
      <c r="E1255" s="4"/>
      <c r="F1255" s="4"/>
    </row>
    <row r="1256" spans="1:6" x14ac:dyDescent="0.3">
      <c r="A1256" s="4"/>
      <c r="B1256" s="4"/>
      <c r="C1256" s="4"/>
      <c r="D1256" s="4"/>
      <c r="E1256" s="4"/>
      <c r="F1256" s="4"/>
    </row>
    <row r="1257" spans="1:6" x14ac:dyDescent="0.3">
      <c r="A1257" s="4"/>
      <c r="B1257" s="4"/>
      <c r="C1257" s="4"/>
      <c r="D1257" s="4"/>
      <c r="E1257" s="4"/>
      <c r="F1257" s="4"/>
    </row>
    <row r="1258" spans="1:6" x14ac:dyDescent="0.3">
      <c r="A1258" s="4"/>
      <c r="B1258" s="4"/>
      <c r="C1258" s="4"/>
      <c r="D1258" s="4"/>
      <c r="E1258" s="4"/>
      <c r="F1258" s="4"/>
    </row>
    <row r="1259" spans="1:6" x14ac:dyDescent="0.3">
      <c r="A1259" s="4"/>
      <c r="B1259" s="4"/>
      <c r="C1259" s="4"/>
      <c r="D1259" s="4"/>
      <c r="E1259" s="4"/>
      <c r="F1259" s="4"/>
    </row>
    <row r="1260" spans="1:6" x14ac:dyDescent="0.3">
      <c r="A1260" s="4"/>
      <c r="B1260" s="4"/>
      <c r="C1260" s="4"/>
      <c r="D1260" s="4"/>
      <c r="E1260" s="4"/>
      <c r="F1260" s="4"/>
    </row>
    <row r="1261" spans="1:6" x14ac:dyDescent="0.3">
      <c r="A1261" s="4"/>
      <c r="B1261" s="4"/>
      <c r="C1261" s="4"/>
      <c r="D1261" s="4"/>
      <c r="E1261" s="4"/>
      <c r="F1261" s="4"/>
    </row>
    <row r="1262" spans="1:6" x14ac:dyDescent="0.3">
      <c r="A1262" s="4"/>
      <c r="B1262" s="4"/>
      <c r="C1262" s="4"/>
      <c r="D1262" s="4"/>
      <c r="E1262" s="4"/>
      <c r="F1262" s="4"/>
    </row>
    <row r="1263" spans="1:6" x14ac:dyDescent="0.3">
      <c r="A1263" s="4"/>
      <c r="B1263" s="4"/>
      <c r="C1263" s="4"/>
      <c r="D1263" s="4"/>
      <c r="E1263" s="4"/>
      <c r="F1263" s="4"/>
    </row>
    <row r="1264" spans="1:6" x14ac:dyDescent="0.3">
      <c r="A1264" s="4"/>
      <c r="B1264" s="4"/>
      <c r="C1264" s="4"/>
      <c r="D1264" s="4"/>
      <c r="E1264" s="4"/>
      <c r="F1264" s="4"/>
    </row>
    <row r="1265" spans="1:6" x14ac:dyDescent="0.3">
      <c r="A1265" s="4"/>
      <c r="B1265" s="4"/>
      <c r="C1265" s="4"/>
      <c r="D1265" s="4"/>
      <c r="E1265" s="4"/>
      <c r="F1265" s="4"/>
    </row>
    <row r="1266" spans="1:6" x14ac:dyDescent="0.3">
      <c r="A1266" s="4"/>
      <c r="B1266" s="4"/>
      <c r="C1266" s="4"/>
      <c r="D1266" s="4"/>
      <c r="E1266" s="4"/>
      <c r="F1266" s="4"/>
    </row>
    <row r="1267" spans="1:6" x14ac:dyDescent="0.3">
      <c r="A1267" s="4"/>
      <c r="B1267" s="4"/>
      <c r="C1267" s="4"/>
      <c r="D1267" s="4"/>
      <c r="E1267" s="4"/>
      <c r="F1267" s="4"/>
    </row>
    <row r="1268" spans="1:6" x14ac:dyDescent="0.3">
      <c r="A1268" s="4"/>
      <c r="B1268" s="4"/>
      <c r="C1268" s="4"/>
      <c r="D1268" s="4"/>
      <c r="E1268" s="4"/>
      <c r="F1268" s="4"/>
    </row>
    <row r="1269" spans="1:6" x14ac:dyDescent="0.3">
      <c r="A1269" s="4"/>
      <c r="B1269" s="4"/>
      <c r="C1269" s="4"/>
      <c r="D1269" s="4"/>
      <c r="E1269" s="4"/>
      <c r="F1269" s="4"/>
    </row>
    <row r="1270" spans="1:6" x14ac:dyDescent="0.3">
      <c r="A1270" s="4"/>
      <c r="B1270" s="4"/>
      <c r="C1270" s="4"/>
      <c r="D1270" s="4"/>
      <c r="E1270" s="4"/>
      <c r="F1270" s="4"/>
    </row>
    <row r="1271" spans="1:6" x14ac:dyDescent="0.3">
      <c r="A1271" s="4"/>
      <c r="B1271" s="4"/>
      <c r="C1271" s="4"/>
      <c r="D1271" s="4"/>
      <c r="E1271" s="4"/>
      <c r="F1271" s="4"/>
    </row>
    <row r="1272" spans="1:6" x14ac:dyDescent="0.3">
      <c r="A1272" s="4"/>
      <c r="B1272" s="4"/>
      <c r="C1272" s="4"/>
      <c r="D1272" s="4"/>
      <c r="E1272" s="4"/>
      <c r="F1272" s="4"/>
    </row>
    <row r="1273" spans="1:6" x14ac:dyDescent="0.3">
      <c r="A1273" s="4"/>
      <c r="B1273" s="4"/>
      <c r="C1273" s="4"/>
      <c r="D1273" s="4"/>
      <c r="E1273" s="4"/>
      <c r="F1273" s="4"/>
    </row>
    <row r="1274" spans="1:6" x14ac:dyDescent="0.3">
      <c r="A1274" s="4"/>
      <c r="B1274" s="4"/>
      <c r="C1274" s="4"/>
      <c r="D1274" s="4"/>
      <c r="E1274" s="4"/>
      <c r="F1274" s="4"/>
    </row>
    <row r="1275" spans="1:6" x14ac:dyDescent="0.3">
      <c r="A1275" s="4"/>
      <c r="B1275" s="4"/>
      <c r="C1275" s="4"/>
      <c r="D1275" s="4"/>
      <c r="E1275" s="4"/>
      <c r="F1275" s="4"/>
    </row>
    <row r="1276" spans="1:6" x14ac:dyDescent="0.3">
      <c r="A1276" s="4"/>
      <c r="B1276" s="4"/>
      <c r="C1276" s="4"/>
      <c r="D1276" s="4"/>
      <c r="E1276" s="4"/>
      <c r="F1276" s="4"/>
    </row>
    <row r="1277" spans="1:6" x14ac:dyDescent="0.3">
      <c r="A1277" s="4"/>
      <c r="B1277" s="4"/>
      <c r="C1277" s="4"/>
      <c r="D1277" s="4"/>
      <c r="E1277" s="4"/>
      <c r="F1277" s="4"/>
    </row>
    <row r="1278" spans="1:6" x14ac:dyDescent="0.3">
      <c r="A1278" s="4"/>
      <c r="B1278" s="4"/>
      <c r="C1278" s="4"/>
      <c r="D1278" s="4"/>
      <c r="E1278" s="4"/>
      <c r="F1278" s="4"/>
    </row>
    <row r="1279" spans="1:6" x14ac:dyDescent="0.3">
      <c r="A1279" s="4"/>
      <c r="B1279" s="4"/>
      <c r="C1279" s="4"/>
      <c r="D1279" s="4"/>
      <c r="E1279" s="4"/>
      <c r="F1279" s="4"/>
    </row>
    <row r="1280" spans="1:6" x14ac:dyDescent="0.3">
      <c r="A1280" s="4"/>
      <c r="B1280" s="4"/>
      <c r="C1280" s="4"/>
      <c r="D1280" s="4"/>
      <c r="E1280" s="4"/>
      <c r="F1280" s="4"/>
    </row>
    <row r="1281" spans="1:6" x14ac:dyDescent="0.3">
      <c r="A1281" s="4"/>
      <c r="B1281" s="4"/>
      <c r="C1281" s="4"/>
      <c r="D1281" s="4"/>
      <c r="E1281" s="4"/>
      <c r="F1281" s="4"/>
    </row>
    <row r="1282" spans="1:6" x14ac:dyDescent="0.3">
      <c r="A1282" s="4"/>
      <c r="B1282" s="4"/>
      <c r="C1282" s="4"/>
      <c r="D1282" s="4"/>
      <c r="E1282" s="4"/>
      <c r="F1282" s="4"/>
    </row>
    <row r="1283" spans="1:6" x14ac:dyDescent="0.3">
      <c r="A1283" s="4"/>
      <c r="B1283" s="4"/>
      <c r="C1283" s="4"/>
      <c r="D1283" s="4"/>
      <c r="E1283" s="4"/>
      <c r="F1283" s="4"/>
    </row>
    <row r="1284" spans="1:6" x14ac:dyDescent="0.3">
      <c r="A1284" s="4"/>
      <c r="B1284" s="4"/>
      <c r="C1284" s="4"/>
      <c r="D1284" s="4"/>
      <c r="E1284" s="4"/>
      <c r="F1284" s="4"/>
    </row>
    <row r="1285" spans="1:6" x14ac:dyDescent="0.3">
      <c r="A1285" s="4"/>
      <c r="B1285" s="4"/>
      <c r="C1285" s="4"/>
      <c r="D1285" s="4"/>
      <c r="E1285" s="4"/>
      <c r="F1285" s="4"/>
    </row>
    <row r="1286" spans="1:6" x14ac:dyDescent="0.3">
      <c r="A1286" s="4"/>
      <c r="B1286" s="4"/>
      <c r="C1286" s="4"/>
      <c r="D1286" s="4"/>
      <c r="E1286" s="4"/>
      <c r="F1286" s="4"/>
    </row>
    <row r="1287" spans="1:6" x14ac:dyDescent="0.3">
      <c r="A1287" s="4"/>
      <c r="B1287" s="4"/>
      <c r="C1287" s="4"/>
      <c r="D1287" s="4"/>
      <c r="E1287" s="4"/>
      <c r="F1287" s="4"/>
    </row>
    <row r="1288" spans="1:6" x14ac:dyDescent="0.3">
      <c r="A1288" s="4"/>
      <c r="B1288" s="4"/>
      <c r="C1288" s="4"/>
      <c r="D1288" s="4"/>
      <c r="E1288" s="4"/>
      <c r="F1288" s="4"/>
    </row>
    <row r="1289" spans="1:6" x14ac:dyDescent="0.3">
      <c r="A1289" s="4"/>
      <c r="B1289" s="4"/>
      <c r="C1289" s="4"/>
      <c r="D1289" s="4"/>
      <c r="E1289" s="4"/>
      <c r="F1289" s="4"/>
    </row>
    <row r="1290" spans="1:6" x14ac:dyDescent="0.3">
      <c r="A1290" s="4"/>
      <c r="B1290" s="4"/>
      <c r="C1290" s="4"/>
      <c r="D1290" s="4"/>
      <c r="E1290" s="4"/>
      <c r="F1290" s="4"/>
    </row>
    <row r="1291" spans="1:6" x14ac:dyDescent="0.3">
      <c r="A1291" s="4"/>
      <c r="B1291" s="4"/>
      <c r="C1291" s="4"/>
      <c r="D1291" s="4"/>
      <c r="E1291" s="4"/>
      <c r="F1291" s="4"/>
    </row>
    <row r="1292" spans="1:6" x14ac:dyDescent="0.3">
      <c r="A1292" s="4"/>
      <c r="B1292" s="4"/>
      <c r="C1292" s="4"/>
      <c r="D1292" s="4"/>
      <c r="E1292" s="4"/>
      <c r="F1292" s="4"/>
    </row>
    <row r="1293" spans="1:6" x14ac:dyDescent="0.3">
      <c r="A1293" s="4"/>
      <c r="B1293" s="4"/>
      <c r="C1293" s="4"/>
      <c r="D1293" s="4"/>
      <c r="E1293" s="4"/>
      <c r="F1293" s="4"/>
    </row>
    <row r="1294" spans="1:6" x14ac:dyDescent="0.3">
      <c r="A1294" s="4"/>
      <c r="B1294" s="4"/>
      <c r="C1294" s="4"/>
      <c r="D1294" s="4"/>
      <c r="E1294" s="4"/>
      <c r="F1294" s="4"/>
    </row>
    <row r="1295" spans="1:6" x14ac:dyDescent="0.3">
      <c r="A1295" s="4"/>
      <c r="B1295" s="4"/>
      <c r="C1295" s="4"/>
      <c r="D1295" s="4"/>
      <c r="E1295" s="4"/>
      <c r="F1295" s="4"/>
    </row>
    <row r="1296" spans="1:6" x14ac:dyDescent="0.3">
      <c r="A1296" s="4"/>
      <c r="B1296" s="4"/>
      <c r="C1296" s="4"/>
      <c r="D1296" s="4"/>
      <c r="E1296" s="4"/>
      <c r="F1296" s="4"/>
    </row>
    <row r="1297" spans="1:6" x14ac:dyDescent="0.3">
      <c r="A1297" s="4"/>
      <c r="B1297" s="4"/>
      <c r="C1297" s="4"/>
      <c r="D1297" s="4"/>
      <c r="E1297" s="4"/>
      <c r="F1297" s="4"/>
    </row>
    <row r="1298" spans="1:6" x14ac:dyDescent="0.3">
      <c r="A1298" s="4"/>
      <c r="B1298" s="4"/>
      <c r="C1298" s="4"/>
      <c r="D1298" s="4"/>
      <c r="E1298" s="4"/>
      <c r="F1298" s="4"/>
    </row>
    <row r="1299" spans="1:6" x14ac:dyDescent="0.3">
      <c r="A1299" s="4"/>
      <c r="B1299" s="4"/>
      <c r="C1299" s="4"/>
      <c r="D1299" s="4"/>
      <c r="E1299" s="4"/>
      <c r="F1299" s="4"/>
    </row>
    <row r="1300" spans="1:6" x14ac:dyDescent="0.3">
      <c r="A1300" s="4"/>
      <c r="B1300" s="4"/>
      <c r="C1300" s="4"/>
      <c r="D1300" s="4"/>
      <c r="E1300" s="4"/>
      <c r="F1300" s="4"/>
    </row>
    <row r="1301" spans="1:6" x14ac:dyDescent="0.3">
      <c r="A1301" s="4"/>
      <c r="B1301" s="4"/>
      <c r="C1301" s="4"/>
      <c r="D1301" s="4"/>
      <c r="E1301" s="4"/>
      <c r="F1301" s="4"/>
    </row>
    <row r="1302" spans="1:6" x14ac:dyDescent="0.3">
      <c r="A1302" s="4"/>
      <c r="B1302" s="4"/>
      <c r="C1302" s="4"/>
      <c r="D1302" s="4"/>
      <c r="E1302" s="4"/>
      <c r="F1302" s="4"/>
    </row>
    <row r="1303" spans="1:6" x14ac:dyDescent="0.3">
      <c r="A1303" s="4"/>
      <c r="B1303" s="4"/>
      <c r="C1303" s="4"/>
      <c r="D1303" s="4"/>
      <c r="E1303" s="4"/>
      <c r="F1303" s="4"/>
    </row>
    <row r="1304" spans="1:6" x14ac:dyDescent="0.3">
      <c r="A1304" s="4"/>
      <c r="B1304" s="4"/>
      <c r="C1304" s="4"/>
      <c r="D1304" s="4"/>
      <c r="E1304" s="4"/>
      <c r="F1304" s="4"/>
    </row>
    <row r="1305" spans="1:6" x14ac:dyDescent="0.3">
      <c r="A1305" s="4"/>
      <c r="B1305" s="4"/>
      <c r="C1305" s="4"/>
      <c r="D1305" s="4"/>
      <c r="E1305" s="4"/>
      <c r="F1305" s="4"/>
    </row>
    <row r="1306" spans="1:6" x14ac:dyDescent="0.3">
      <c r="A1306" s="4"/>
      <c r="B1306" s="4"/>
      <c r="C1306" s="4"/>
      <c r="D1306" s="4"/>
      <c r="E1306" s="4"/>
      <c r="F1306" s="4"/>
    </row>
    <row r="1307" spans="1:6" x14ac:dyDescent="0.3">
      <c r="A1307" s="4"/>
      <c r="B1307" s="4"/>
      <c r="C1307" s="4"/>
      <c r="D1307" s="4"/>
      <c r="E1307" s="4"/>
      <c r="F1307" s="4"/>
    </row>
    <row r="1308" spans="1:6" x14ac:dyDescent="0.3">
      <c r="A1308" s="4"/>
      <c r="B1308" s="4"/>
      <c r="C1308" s="4"/>
      <c r="D1308" s="4"/>
      <c r="E1308" s="4"/>
      <c r="F1308" s="4"/>
    </row>
    <row r="1309" spans="1:6" x14ac:dyDescent="0.3">
      <c r="A1309" s="4"/>
      <c r="B1309" s="4"/>
      <c r="C1309" s="4"/>
      <c r="D1309" s="4"/>
      <c r="E1309" s="4"/>
      <c r="F1309" s="4"/>
    </row>
    <row r="1310" spans="1:6" x14ac:dyDescent="0.3">
      <c r="A1310" s="4"/>
      <c r="B1310" s="4"/>
      <c r="C1310" s="4"/>
      <c r="D1310" s="4"/>
      <c r="E1310" s="4"/>
      <c r="F1310" s="4"/>
    </row>
    <row r="1311" spans="1:6" x14ac:dyDescent="0.3">
      <c r="A1311" s="4"/>
      <c r="B1311" s="4"/>
      <c r="C1311" s="4"/>
      <c r="D1311" s="4"/>
      <c r="E1311" s="4"/>
      <c r="F1311" s="4"/>
    </row>
    <row r="1312" spans="1:6" x14ac:dyDescent="0.3">
      <c r="A1312" s="4"/>
      <c r="B1312" s="4"/>
      <c r="C1312" s="4"/>
      <c r="D1312" s="4"/>
      <c r="E1312" s="4"/>
      <c r="F1312" s="4"/>
    </row>
    <row r="1313" spans="1:6" x14ac:dyDescent="0.3">
      <c r="A1313" s="4"/>
      <c r="B1313" s="4"/>
      <c r="C1313" s="4"/>
      <c r="D1313" s="4"/>
      <c r="E1313" s="4"/>
      <c r="F1313" s="4"/>
    </row>
    <row r="1314" spans="1:6" x14ac:dyDescent="0.3">
      <c r="A1314" s="4"/>
      <c r="B1314" s="4"/>
      <c r="C1314" s="4"/>
      <c r="D1314" s="4"/>
      <c r="E1314" s="4"/>
      <c r="F1314" s="4"/>
    </row>
    <row r="1315" spans="1:6" x14ac:dyDescent="0.3">
      <c r="A1315" s="4"/>
      <c r="B1315" s="4"/>
      <c r="C1315" s="4"/>
      <c r="D1315" s="4"/>
      <c r="E1315" s="4"/>
      <c r="F1315" s="4"/>
    </row>
    <row r="1316" spans="1:6" x14ac:dyDescent="0.3">
      <c r="A1316" s="4"/>
      <c r="B1316" s="4"/>
      <c r="C1316" s="4"/>
      <c r="D1316" s="4"/>
      <c r="E1316" s="4"/>
      <c r="F1316" s="4"/>
    </row>
    <row r="1317" spans="1:6" x14ac:dyDescent="0.3">
      <c r="A1317" s="4"/>
      <c r="B1317" s="4"/>
      <c r="C1317" s="4"/>
      <c r="D1317" s="4"/>
      <c r="E1317" s="4"/>
      <c r="F1317" s="4"/>
    </row>
    <row r="1318" spans="1:6" x14ac:dyDescent="0.3">
      <c r="A1318" s="4"/>
      <c r="B1318" s="4"/>
      <c r="C1318" s="4"/>
      <c r="D1318" s="4"/>
      <c r="E1318" s="4"/>
      <c r="F1318" s="4"/>
    </row>
    <row r="1319" spans="1:6" x14ac:dyDescent="0.3">
      <c r="A1319" s="4"/>
      <c r="B1319" s="4"/>
      <c r="C1319" s="4"/>
      <c r="D1319" s="4"/>
      <c r="E1319" s="4"/>
      <c r="F1319" s="4"/>
    </row>
    <row r="1320" spans="1:6" x14ac:dyDescent="0.3">
      <c r="A1320" s="4"/>
      <c r="B1320" s="4"/>
      <c r="C1320" s="4"/>
      <c r="D1320" s="4"/>
      <c r="E1320" s="4"/>
      <c r="F1320" s="4"/>
    </row>
    <row r="1321" spans="1:6" x14ac:dyDescent="0.3">
      <c r="A1321" s="4"/>
      <c r="B1321" s="4"/>
      <c r="C1321" s="4"/>
      <c r="D1321" s="4"/>
      <c r="E1321" s="4"/>
      <c r="F1321" s="4"/>
    </row>
    <row r="1322" spans="1:6" x14ac:dyDescent="0.3">
      <c r="A1322" s="4"/>
      <c r="B1322" s="4"/>
      <c r="C1322" s="4"/>
      <c r="D1322" s="4"/>
      <c r="E1322" s="4"/>
      <c r="F1322" s="4"/>
    </row>
    <row r="1323" spans="1:6" x14ac:dyDescent="0.3">
      <c r="A1323" s="4"/>
      <c r="B1323" s="4"/>
      <c r="C1323" s="4"/>
      <c r="D1323" s="4"/>
      <c r="E1323" s="4"/>
      <c r="F1323" s="4"/>
    </row>
    <row r="1324" spans="1:6" x14ac:dyDescent="0.3">
      <c r="A1324" s="4"/>
      <c r="B1324" s="4"/>
      <c r="C1324" s="4"/>
      <c r="D1324" s="4"/>
      <c r="E1324" s="4"/>
      <c r="F1324" s="4"/>
    </row>
    <row r="1325" spans="1:6" x14ac:dyDescent="0.3">
      <c r="A1325" s="4"/>
      <c r="B1325" s="4"/>
      <c r="C1325" s="4"/>
      <c r="D1325" s="4"/>
      <c r="E1325" s="4"/>
      <c r="F1325" s="4"/>
    </row>
    <row r="1326" spans="1:6" x14ac:dyDescent="0.3">
      <c r="A1326" s="4"/>
      <c r="B1326" s="4"/>
      <c r="C1326" s="4"/>
      <c r="D1326" s="4"/>
      <c r="E1326" s="4"/>
      <c r="F1326" s="4"/>
    </row>
    <row r="1327" spans="1:6" x14ac:dyDescent="0.3">
      <c r="A1327" s="4"/>
      <c r="B1327" s="4"/>
      <c r="C1327" s="4"/>
      <c r="D1327" s="4"/>
      <c r="E1327" s="4"/>
      <c r="F1327" s="4"/>
    </row>
    <row r="1328" spans="1:6" x14ac:dyDescent="0.3">
      <c r="A1328" s="4"/>
      <c r="B1328" s="4"/>
      <c r="C1328" s="4"/>
      <c r="D1328" s="4"/>
      <c r="E1328" s="4"/>
      <c r="F1328" s="4"/>
    </row>
    <row r="1329" spans="1:6" x14ac:dyDescent="0.3">
      <c r="A1329" s="4"/>
      <c r="B1329" s="4"/>
      <c r="C1329" s="4"/>
      <c r="D1329" s="4"/>
      <c r="E1329" s="4"/>
      <c r="F1329" s="4"/>
    </row>
    <row r="1330" spans="1:6" x14ac:dyDescent="0.3">
      <c r="A1330" s="4"/>
      <c r="B1330" s="4"/>
      <c r="C1330" s="4"/>
      <c r="D1330" s="4"/>
      <c r="E1330" s="4"/>
      <c r="F1330" s="4"/>
    </row>
    <row r="1331" spans="1:6" x14ac:dyDescent="0.3">
      <c r="A1331" s="4"/>
      <c r="B1331" s="4"/>
      <c r="C1331" s="4"/>
      <c r="D1331" s="4"/>
      <c r="E1331" s="4"/>
      <c r="F1331" s="4"/>
    </row>
    <row r="1332" spans="1:6" x14ac:dyDescent="0.3">
      <c r="A1332" s="4"/>
      <c r="B1332" s="4"/>
      <c r="C1332" s="4"/>
      <c r="D1332" s="4"/>
      <c r="E1332" s="4"/>
      <c r="F1332" s="4"/>
    </row>
    <row r="1333" spans="1:6" x14ac:dyDescent="0.3">
      <c r="A1333" s="4"/>
      <c r="B1333" s="4"/>
      <c r="C1333" s="4"/>
      <c r="D1333" s="4"/>
      <c r="E1333" s="4"/>
      <c r="F1333" s="4"/>
    </row>
    <row r="1334" spans="1:6" x14ac:dyDescent="0.3">
      <c r="A1334" s="4"/>
      <c r="B1334" s="4"/>
      <c r="C1334" s="4"/>
      <c r="D1334" s="4"/>
      <c r="E1334" s="4"/>
      <c r="F1334" s="4"/>
    </row>
    <row r="1335" spans="1:6" x14ac:dyDescent="0.3">
      <c r="A1335" s="4"/>
      <c r="B1335" s="4"/>
      <c r="C1335" s="4"/>
      <c r="D1335" s="4"/>
      <c r="E1335" s="4"/>
      <c r="F1335" s="4"/>
    </row>
    <row r="1336" spans="1:6" x14ac:dyDescent="0.3">
      <c r="A1336" s="4"/>
      <c r="B1336" s="4"/>
      <c r="C1336" s="4"/>
      <c r="D1336" s="4"/>
      <c r="E1336" s="4"/>
      <c r="F1336" s="4"/>
    </row>
    <row r="1337" spans="1:6" x14ac:dyDescent="0.3">
      <c r="A1337" s="4"/>
      <c r="B1337" s="4"/>
      <c r="C1337" s="4"/>
      <c r="D1337" s="4"/>
      <c r="E1337" s="4"/>
      <c r="F1337" s="4"/>
    </row>
    <row r="1338" spans="1:6" x14ac:dyDescent="0.3">
      <c r="A1338" s="4"/>
      <c r="B1338" s="4"/>
      <c r="C1338" s="4"/>
      <c r="D1338" s="4"/>
      <c r="E1338" s="4"/>
      <c r="F1338" s="4"/>
    </row>
    <row r="1339" spans="1:6" x14ac:dyDescent="0.3">
      <c r="A1339" s="4"/>
      <c r="B1339" s="4"/>
      <c r="C1339" s="4"/>
      <c r="D1339" s="4"/>
      <c r="E1339" s="4"/>
      <c r="F1339" s="4"/>
    </row>
    <row r="1340" spans="1:6" x14ac:dyDescent="0.3">
      <c r="A1340" s="4"/>
      <c r="B1340" s="4"/>
      <c r="C1340" s="4"/>
      <c r="D1340" s="4"/>
      <c r="E1340" s="4"/>
      <c r="F1340" s="4"/>
    </row>
    <row r="1341" spans="1:6" x14ac:dyDescent="0.3">
      <c r="A1341" s="4"/>
      <c r="B1341" s="4"/>
      <c r="C1341" s="4"/>
      <c r="D1341" s="4"/>
      <c r="E1341" s="4"/>
      <c r="F1341" s="4"/>
    </row>
    <row r="1342" spans="1:6" x14ac:dyDescent="0.3">
      <c r="A1342" s="4"/>
      <c r="B1342" s="4"/>
      <c r="C1342" s="4"/>
      <c r="D1342" s="4"/>
      <c r="E1342" s="4"/>
      <c r="F1342" s="4"/>
    </row>
    <row r="1343" spans="1:6" x14ac:dyDescent="0.3">
      <c r="A1343" s="4"/>
      <c r="B1343" s="4"/>
      <c r="C1343" s="4"/>
      <c r="D1343" s="4"/>
      <c r="E1343" s="4"/>
      <c r="F1343" s="4"/>
    </row>
    <row r="1344" spans="1:6" x14ac:dyDescent="0.3">
      <c r="A1344" s="4"/>
      <c r="B1344" s="4"/>
      <c r="C1344" s="4"/>
      <c r="D1344" s="4"/>
      <c r="E1344" s="4"/>
      <c r="F1344" s="4"/>
    </row>
    <row r="1345" spans="1:6" x14ac:dyDescent="0.3">
      <c r="A1345" s="4"/>
      <c r="B1345" s="4"/>
      <c r="C1345" s="4"/>
      <c r="D1345" s="4"/>
      <c r="E1345" s="4"/>
      <c r="F1345" s="4"/>
    </row>
    <row r="1346" spans="1:6" x14ac:dyDescent="0.3">
      <c r="A1346" s="4"/>
      <c r="B1346" s="4"/>
      <c r="C1346" s="4"/>
      <c r="D1346" s="4"/>
      <c r="E1346" s="4"/>
      <c r="F1346" s="4"/>
    </row>
    <row r="1347" spans="1:6" x14ac:dyDescent="0.3">
      <c r="A1347" s="4"/>
      <c r="B1347" s="4"/>
      <c r="C1347" s="4"/>
      <c r="D1347" s="4"/>
      <c r="E1347" s="4"/>
      <c r="F1347" s="4"/>
    </row>
    <row r="1348" spans="1:6" x14ac:dyDescent="0.3">
      <c r="A1348" s="4"/>
      <c r="B1348" s="4"/>
      <c r="C1348" s="4"/>
      <c r="D1348" s="4"/>
      <c r="E1348" s="4"/>
      <c r="F1348" s="4"/>
    </row>
    <row r="1349" spans="1:6" x14ac:dyDescent="0.3">
      <c r="A1349" s="4"/>
      <c r="B1349" s="4"/>
      <c r="C1349" s="4"/>
      <c r="D1349" s="4"/>
      <c r="E1349" s="4"/>
      <c r="F1349" s="4"/>
    </row>
    <row r="1350" spans="1:6" x14ac:dyDescent="0.3">
      <c r="A1350" s="4"/>
      <c r="B1350" s="4"/>
      <c r="C1350" s="4"/>
      <c r="D1350" s="4"/>
      <c r="E1350" s="4"/>
      <c r="F1350" s="4"/>
    </row>
    <row r="1351" spans="1:6" x14ac:dyDescent="0.3">
      <c r="A1351" s="4"/>
      <c r="B1351" s="4"/>
      <c r="C1351" s="4"/>
      <c r="D1351" s="4"/>
      <c r="E1351" s="4"/>
      <c r="F1351" s="4"/>
    </row>
    <row r="1352" spans="1:6" x14ac:dyDescent="0.3">
      <c r="A1352" s="4"/>
      <c r="B1352" s="4"/>
      <c r="C1352" s="4"/>
      <c r="D1352" s="4"/>
      <c r="E1352" s="4"/>
      <c r="F1352" s="4"/>
    </row>
    <row r="1353" spans="1:6" x14ac:dyDescent="0.3">
      <c r="A1353" s="4"/>
      <c r="B1353" s="4"/>
      <c r="C1353" s="4"/>
      <c r="D1353" s="4"/>
      <c r="E1353" s="4"/>
      <c r="F1353" s="4"/>
    </row>
    <row r="1354" spans="1:6" x14ac:dyDescent="0.3">
      <c r="A1354" s="4"/>
      <c r="B1354" s="4"/>
      <c r="C1354" s="4"/>
      <c r="D1354" s="4"/>
      <c r="E1354" s="4"/>
      <c r="F1354" s="4"/>
    </row>
    <row r="1355" spans="1:6" x14ac:dyDescent="0.3">
      <c r="A1355" s="4"/>
      <c r="B1355" s="4"/>
      <c r="C1355" s="4"/>
      <c r="D1355" s="4"/>
      <c r="E1355" s="4"/>
      <c r="F1355" s="4"/>
    </row>
    <row r="1356" spans="1:6" x14ac:dyDescent="0.3">
      <c r="A1356" s="4"/>
      <c r="B1356" s="4"/>
      <c r="C1356" s="4"/>
      <c r="D1356" s="4"/>
      <c r="E1356" s="4"/>
      <c r="F1356" s="4"/>
    </row>
    <row r="1357" spans="1:6" x14ac:dyDescent="0.3">
      <c r="A1357" s="4"/>
      <c r="B1357" s="4"/>
      <c r="C1357" s="4"/>
      <c r="D1357" s="4"/>
      <c r="E1357" s="4"/>
      <c r="F1357" s="4"/>
    </row>
    <row r="1358" spans="1:6" x14ac:dyDescent="0.3">
      <c r="A1358" s="4"/>
      <c r="B1358" s="4"/>
      <c r="C1358" s="4"/>
      <c r="D1358" s="4"/>
      <c r="E1358" s="4"/>
      <c r="F1358" s="4"/>
    </row>
    <row r="1359" spans="1:6" x14ac:dyDescent="0.3">
      <c r="A1359" s="4"/>
      <c r="B1359" s="4"/>
      <c r="C1359" s="4"/>
      <c r="D1359" s="4"/>
      <c r="E1359" s="4"/>
      <c r="F1359" s="4"/>
    </row>
    <row r="1360" spans="1:6" x14ac:dyDescent="0.3">
      <c r="A1360" s="4"/>
      <c r="B1360" s="4"/>
      <c r="C1360" s="4"/>
      <c r="D1360" s="4"/>
      <c r="E1360" s="4"/>
      <c r="F1360" s="4"/>
    </row>
    <row r="1361" spans="1:6" x14ac:dyDescent="0.3">
      <c r="A1361" s="4"/>
      <c r="B1361" s="4"/>
      <c r="C1361" s="4"/>
      <c r="D1361" s="4"/>
      <c r="E1361" s="4"/>
      <c r="F1361" s="4"/>
    </row>
    <row r="1362" spans="1:6" x14ac:dyDescent="0.3">
      <c r="A1362" s="4"/>
      <c r="B1362" s="4"/>
      <c r="C1362" s="4"/>
      <c r="D1362" s="4"/>
      <c r="E1362" s="4"/>
      <c r="F1362" s="4"/>
    </row>
    <row r="1363" spans="1:6" x14ac:dyDescent="0.3">
      <c r="A1363" s="4"/>
      <c r="B1363" s="4"/>
      <c r="C1363" s="4"/>
      <c r="D1363" s="4"/>
      <c r="E1363" s="4"/>
      <c r="F1363" s="4"/>
    </row>
    <row r="1364" spans="1:6" x14ac:dyDescent="0.3">
      <c r="A1364" s="4"/>
      <c r="B1364" s="4"/>
      <c r="C1364" s="4"/>
      <c r="D1364" s="4"/>
      <c r="E1364" s="4"/>
      <c r="F1364" s="4"/>
    </row>
    <row r="1365" spans="1:6" x14ac:dyDescent="0.3">
      <c r="A1365" s="4"/>
      <c r="B1365" s="4"/>
      <c r="C1365" s="4"/>
      <c r="D1365" s="4"/>
      <c r="E1365" s="4"/>
      <c r="F1365" s="4"/>
    </row>
    <row r="1366" spans="1:6" x14ac:dyDescent="0.3">
      <c r="A1366" s="4"/>
      <c r="B1366" s="4"/>
      <c r="C1366" s="4"/>
      <c r="D1366" s="4"/>
      <c r="E1366" s="4"/>
      <c r="F1366" s="4"/>
    </row>
    <row r="1367" spans="1:6" x14ac:dyDescent="0.3">
      <c r="A1367" s="4"/>
      <c r="B1367" s="4"/>
      <c r="C1367" s="4"/>
      <c r="D1367" s="4"/>
      <c r="E1367" s="4"/>
      <c r="F1367" s="4"/>
    </row>
    <row r="1368" spans="1:6" x14ac:dyDescent="0.3">
      <c r="A1368" s="4"/>
      <c r="B1368" s="4"/>
      <c r="C1368" s="4"/>
      <c r="D1368" s="4"/>
      <c r="E1368" s="4"/>
      <c r="F1368" s="4"/>
    </row>
    <row r="1369" spans="1:6" x14ac:dyDescent="0.3">
      <c r="A1369" s="4"/>
      <c r="B1369" s="4"/>
      <c r="C1369" s="4"/>
      <c r="D1369" s="4"/>
      <c r="E1369" s="4"/>
      <c r="F1369" s="4"/>
    </row>
    <row r="1370" spans="1:6" x14ac:dyDescent="0.3">
      <c r="A1370" s="4"/>
      <c r="B1370" s="4"/>
      <c r="C1370" s="4"/>
      <c r="D1370" s="4"/>
      <c r="E1370" s="4"/>
      <c r="F1370" s="4"/>
    </row>
    <row r="1371" spans="1:6" x14ac:dyDescent="0.3">
      <c r="A1371" s="4"/>
      <c r="B1371" s="4"/>
      <c r="C1371" s="4"/>
      <c r="D1371" s="4"/>
      <c r="E1371" s="4"/>
      <c r="F1371" s="4"/>
    </row>
    <row r="1372" spans="1:6" x14ac:dyDescent="0.3">
      <c r="A1372" s="4"/>
      <c r="B1372" s="4"/>
      <c r="C1372" s="4"/>
      <c r="D1372" s="4"/>
      <c r="E1372" s="4"/>
      <c r="F1372" s="4"/>
    </row>
    <row r="1373" spans="1:6" x14ac:dyDescent="0.3">
      <c r="A1373" s="4"/>
      <c r="B1373" s="4"/>
      <c r="C1373" s="4"/>
      <c r="D1373" s="4"/>
      <c r="E1373" s="4"/>
      <c r="F1373" s="4"/>
    </row>
    <row r="1374" spans="1:6" x14ac:dyDescent="0.3">
      <c r="A1374" s="4"/>
      <c r="B1374" s="4"/>
      <c r="C1374" s="4"/>
      <c r="D1374" s="4"/>
      <c r="E1374" s="4"/>
      <c r="F1374" s="4"/>
    </row>
    <row r="1375" spans="1:6" x14ac:dyDescent="0.3">
      <c r="A1375" s="4"/>
      <c r="B1375" s="4"/>
      <c r="C1375" s="4"/>
      <c r="D1375" s="4"/>
      <c r="E1375" s="4"/>
      <c r="F1375" s="4"/>
    </row>
    <row r="1376" spans="1:6" x14ac:dyDescent="0.3">
      <c r="A1376" s="4"/>
      <c r="B1376" s="4"/>
      <c r="C1376" s="4"/>
      <c r="D1376" s="4"/>
      <c r="E1376" s="4"/>
      <c r="F1376" s="4"/>
    </row>
    <row r="1377" spans="1:6" x14ac:dyDescent="0.3">
      <c r="A1377" s="4"/>
      <c r="B1377" s="4"/>
      <c r="C1377" s="4"/>
      <c r="D1377" s="4"/>
      <c r="E1377" s="4"/>
      <c r="F1377" s="4"/>
    </row>
    <row r="1378" spans="1:6" x14ac:dyDescent="0.3">
      <c r="A1378" s="4"/>
      <c r="B1378" s="4"/>
      <c r="C1378" s="4"/>
      <c r="D1378" s="4"/>
      <c r="E1378" s="4"/>
      <c r="F1378" s="4"/>
    </row>
    <row r="1379" spans="1:6" x14ac:dyDescent="0.3">
      <c r="A1379" s="4"/>
      <c r="B1379" s="4"/>
      <c r="C1379" s="4"/>
      <c r="D1379" s="4"/>
      <c r="E1379" s="4"/>
      <c r="F1379" s="4"/>
    </row>
    <row r="1380" spans="1:6" x14ac:dyDescent="0.3">
      <c r="A1380" s="4"/>
      <c r="B1380" s="4"/>
      <c r="C1380" s="4"/>
      <c r="D1380" s="4"/>
      <c r="E1380" s="4"/>
      <c r="F1380" s="4"/>
    </row>
    <row r="1381" spans="1:6" x14ac:dyDescent="0.3">
      <c r="A1381" s="4"/>
      <c r="B1381" s="4"/>
      <c r="C1381" s="4"/>
      <c r="D1381" s="4"/>
      <c r="E1381" s="4"/>
      <c r="F1381" s="4"/>
    </row>
    <row r="1382" spans="1:6" x14ac:dyDescent="0.3">
      <c r="A1382" s="4"/>
      <c r="B1382" s="4"/>
      <c r="C1382" s="4"/>
      <c r="D1382" s="4"/>
      <c r="E1382" s="4"/>
      <c r="F1382" s="4"/>
    </row>
    <row r="1383" spans="1:6" x14ac:dyDescent="0.3">
      <c r="A1383" s="4"/>
      <c r="B1383" s="4"/>
      <c r="C1383" s="4"/>
      <c r="D1383" s="4"/>
      <c r="E1383" s="4"/>
      <c r="F1383" s="4"/>
    </row>
    <row r="1384" spans="1:6" x14ac:dyDescent="0.3">
      <c r="A1384" s="4"/>
      <c r="B1384" s="4"/>
      <c r="C1384" s="4"/>
      <c r="D1384" s="4"/>
      <c r="E1384" s="4"/>
      <c r="F1384" s="4"/>
    </row>
    <row r="1385" spans="1:6" x14ac:dyDescent="0.3">
      <c r="A1385" s="4"/>
      <c r="B1385" s="4"/>
      <c r="C1385" s="4"/>
      <c r="D1385" s="4"/>
      <c r="E1385" s="4"/>
      <c r="F1385" s="4"/>
    </row>
    <row r="1386" spans="1:6" x14ac:dyDescent="0.3">
      <c r="A1386" s="4"/>
      <c r="B1386" s="4"/>
      <c r="C1386" s="4"/>
      <c r="D1386" s="4"/>
      <c r="E1386" s="4"/>
      <c r="F1386" s="4"/>
    </row>
    <row r="1387" spans="1:6" x14ac:dyDescent="0.3">
      <c r="A1387" s="4"/>
      <c r="B1387" s="4"/>
      <c r="C1387" s="4"/>
      <c r="D1387" s="4"/>
      <c r="E1387" s="4"/>
      <c r="F1387" s="4"/>
    </row>
    <row r="1388" spans="1:6" x14ac:dyDescent="0.3">
      <c r="A1388" s="4"/>
      <c r="B1388" s="4"/>
      <c r="C1388" s="4"/>
      <c r="D1388" s="4"/>
      <c r="E1388" s="4"/>
      <c r="F1388" s="4"/>
    </row>
    <row r="1389" spans="1:6" x14ac:dyDescent="0.3">
      <c r="A1389" s="4"/>
      <c r="B1389" s="4"/>
      <c r="C1389" s="4"/>
      <c r="D1389" s="4"/>
      <c r="E1389" s="4"/>
      <c r="F1389" s="4"/>
    </row>
    <row r="1390" spans="1:6" x14ac:dyDescent="0.3">
      <c r="A1390" s="4"/>
      <c r="B1390" s="4"/>
      <c r="C1390" s="4"/>
      <c r="D1390" s="4"/>
      <c r="E1390" s="4"/>
      <c r="F1390" s="4"/>
    </row>
    <row r="1391" spans="1:6" x14ac:dyDescent="0.3">
      <c r="A1391" s="4"/>
      <c r="B1391" s="4"/>
      <c r="C1391" s="4"/>
      <c r="D1391" s="4"/>
      <c r="E1391" s="4"/>
      <c r="F1391" s="4"/>
    </row>
    <row r="1392" spans="1:6" x14ac:dyDescent="0.3">
      <c r="A1392" s="4"/>
      <c r="B1392" s="4"/>
      <c r="C1392" s="4"/>
      <c r="D1392" s="4"/>
      <c r="E1392" s="4"/>
      <c r="F1392" s="4"/>
    </row>
    <row r="1393" spans="1:6" x14ac:dyDescent="0.3">
      <c r="A1393" s="4"/>
      <c r="B1393" s="4"/>
      <c r="C1393" s="4"/>
      <c r="D1393" s="4"/>
      <c r="E1393" s="4"/>
      <c r="F1393" s="4"/>
    </row>
    <row r="1394" spans="1:6" x14ac:dyDescent="0.3">
      <c r="A1394" s="4"/>
      <c r="B1394" s="4"/>
      <c r="C1394" s="4"/>
      <c r="D1394" s="4"/>
      <c r="E1394" s="4"/>
      <c r="F1394" s="4"/>
    </row>
    <row r="1395" spans="1:6" x14ac:dyDescent="0.3">
      <c r="A1395" s="4"/>
      <c r="B1395" s="4"/>
      <c r="C1395" s="4"/>
      <c r="D1395" s="4"/>
      <c r="E1395" s="4"/>
      <c r="F1395" s="4"/>
    </row>
    <row r="1396" spans="1:6" x14ac:dyDescent="0.3">
      <c r="A1396" s="4"/>
      <c r="B1396" s="4"/>
      <c r="C1396" s="4"/>
      <c r="D1396" s="4"/>
      <c r="E1396" s="4"/>
      <c r="F1396" s="4"/>
    </row>
    <row r="1397" spans="1:6" x14ac:dyDescent="0.3">
      <c r="A1397" s="4"/>
      <c r="B1397" s="4"/>
      <c r="C1397" s="4"/>
      <c r="D1397" s="4"/>
      <c r="E1397" s="4"/>
      <c r="F1397" s="4"/>
    </row>
    <row r="1398" spans="1:6" x14ac:dyDescent="0.3">
      <c r="A1398" s="4"/>
      <c r="B1398" s="4"/>
      <c r="C1398" s="4"/>
      <c r="D1398" s="4"/>
      <c r="E1398" s="4"/>
      <c r="F1398" s="4"/>
    </row>
    <row r="1399" spans="1:6" x14ac:dyDescent="0.3">
      <c r="A1399" s="4"/>
      <c r="B1399" s="4"/>
      <c r="C1399" s="4"/>
      <c r="D1399" s="4"/>
      <c r="E1399" s="4"/>
      <c r="F1399" s="4"/>
    </row>
    <row r="1400" spans="1:6" x14ac:dyDescent="0.3">
      <c r="A1400" s="4"/>
      <c r="B1400" s="4"/>
      <c r="C1400" s="4"/>
      <c r="D1400" s="4"/>
      <c r="E1400" s="4"/>
      <c r="F1400" s="4"/>
    </row>
    <row r="1401" spans="1:6" x14ac:dyDescent="0.3">
      <c r="A1401" s="4"/>
      <c r="B1401" s="4"/>
      <c r="C1401" s="4"/>
      <c r="D1401" s="4"/>
      <c r="E1401" s="4"/>
      <c r="F1401" s="4"/>
    </row>
    <row r="1402" spans="1:6" x14ac:dyDescent="0.3">
      <c r="A1402" s="4"/>
      <c r="B1402" s="4"/>
      <c r="C1402" s="4"/>
      <c r="D1402" s="4"/>
      <c r="E1402" s="4"/>
      <c r="F1402" s="4"/>
    </row>
    <row r="1403" spans="1:6" x14ac:dyDescent="0.3">
      <c r="A1403" s="4"/>
      <c r="B1403" s="4"/>
      <c r="C1403" s="4"/>
      <c r="D1403" s="4"/>
      <c r="E1403" s="4"/>
      <c r="F1403" s="4"/>
    </row>
    <row r="1404" spans="1:6" x14ac:dyDescent="0.3">
      <c r="A1404" s="4"/>
      <c r="B1404" s="4"/>
      <c r="C1404" s="4"/>
      <c r="D1404" s="4"/>
      <c r="E1404" s="4"/>
      <c r="F1404" s="4"/>
    </row>
    <row r="1405" spans="1:6" x14ac:dyDescent="0.3">
      <c r="A1405" s="4"/>
      <c r="B1405" s="4"/>
      <c r="C1405" s="4"/>
      <c r="D1405" s="4"/>
      <c r="E1405" s="4"/>
      <c r="F1405" s="4"/>
    </row>
    <row r="1406" spans="1:6" x14ac:dyDescent="0.3">
      <c r="A1406" s="4"/>
      <c r="B1406" s="4"/>
      <c r="C1406" s="4"/>
      <c r="D1406" s="4"/>
      <c r="E1406" s="4"/>
      <c r="F1406" s="4"/>
    </row>
    <row r="1407" spans="1:6" x14ac:dyDescent="0.3">
      <c r="A1407" s="4"/>
      <c r="B1407" s="4"/>
      <c r="C1407" s="4"/>
      <c r="D1407" s="4"/>
      <c r="E1407" s="4"/>
      <c r="F1407" s="4"/>
    </row>
    <row r="1408" spans="1:6" x14ac:dyDescent="0.3">
      <c r="A1408" s="4"/>
      <c r="B1408" s="4"/>
      <c r="C1408" s="4"/>
      <c r="D1408" s="4"/>
      <c r="E1408" s="4"/>
      <c r="F1408" s="4"/>
    </row>
    <row r="1409" spans="1:6" x14ac:dyDescent="0.3">
      <c r="A1409" s="4"/>
      <c r="B1409" s="4"/>
      <c r="C1409" s="4"/>
      <c r="D1409" s="4"/>
      <c r="E1409" s="4"/>
      <c r="F1409" s="4"/>
    </row>
    <row r="1410" spans="1:6" x14ac:dyDescent="0.3">
      <c r="A1410" s="4"/>
      <c r="B1410" s="4"/>
      <c r="C1410" s="4"/>
      <c r="D1410" s="4"/>
      <c r="E1410" s="4"/>
      <c r="F1410" s="4"/>
    </row>
    <row r="1411" spans="1:6" x14ac:dyDescent="0.3">
      <c r="A1411" s="4"/>
      <c r="B1411" s="4"/>
      <c r="C1411" s="4"/>
      <c r="D1411" s="4"/>
      <c r="E1411" s="4"/>
      <c r="F1411" s="4"/>
    </row>
    <row r="1412" spans="1:6" x14ac:dyDescent="0.3">
      <c r="A1412" s="4"/>
      <c r="B1412" s="4"/>
      <c r="C1412" s="4"/>
      <c r="D1412" s="4"/>
      <c r="E1412" s="4"/>
      <c r="F1412" s="4"/>
    </row>
    <row r="1413" spans="1:6" x14ac:dyDescent="0.3">
      <c r="A1413" s="4"/>
      <c r="B1413" s="4"/>
      <c r="C1413" s="4"/>
      <c r="D1413" s="4"/>
      <c r="E1413" s="4"/>
      <c r="F1413" s="4"/>
    </row>
    <row r="1414" spans="1:6" x14ac:dyDescent="0.3">
      <c r="A1414" s="4"/>
      <c r="B1414" s="4"/>
      <c r="C1414" s="4"/>
      <c r="D1414" s="4"/>
      <c r="E1414" s="4"/>
      <c r="F1414" s="4"/>
    </row>
    <row r="1415" spans="1:6" x14ac:dyDescent="0.3">
      <c r="A1415" s="4"/>
      <c r="B1415" s="4"/>
      <c r="C1415" s="4"/>
      <c r="D1415" s="4"/>
      <c r="E1415" s="4"/>
      <c r="F1415" s="4"/>
    </row>
    <row r="1416" spans="1:6" x14ac:dyDescent="0.3">
      <c r="A1416" s="4"/>
      <c r="B1416" s="4"/>
      <c r="C1416" s="4"/>
      <c r="D1416" s="4"/>
      <c r="E1416" s="4"/>
      <c r="F1416" s="4"/>
    </row>
    <row r="1417" spans="1:6" x14ac:dyDescent="0.3">
      <c r="A1417" s="4"/>
      <c r="B1417" s="4"/>
      <c r="C1417" s="4"/>
      <c r="D1417" s="4"/>
      <c r="E1417" s="4"/>
      <c r="F1417" s="4"/>
    </row>
    <row r="1418" spans="1:6" x14ac:dyDescent="0.3">
      <c r="A1418" s="4"/>
      <c r="B1418" s="4"/>
      <c r="C1418" s="4"/>
      <c r="D1418" s="4"/>
      <c r="E1418" s="4"/>
      <c r="F1418" s="4"/>
    </row>
    <row r="1419" spans="1:6" x14ac:dyDescent="0.3">
      <c r="A1419" s="4"/>
      <c r="B1419" s="4"/>
      <c r="C1419" s="4"/>
      <c r="D1419" s="4"/>
      <c r="E1419" s="4"/>
      <c r="F1419" s="4"/>
    </row>
    <row r="1420" spans="1:6" x14ac:dyDescent="0.3">
      <c r="A1420" s="4"/>
      <c r="B1420" s="4"/>
      <c r="C1420" s="4"/>
      <c r="D1420" s="4"/>
      <c r="E1420" s="4"/>
      <c r="F1420" s="4"/>
    </row>
    <row r="1421" spans="1:6" x14ac:dyDescent="0.3">
      <c r="A1421" s="4"/>
      <c r="B1421" s="4"/>
      <c r="C1421" s="4"/>
      <c r="D1421" s="4"/>
      <c r="E1421" s="4"/>
      <c r="F1421" s="4"/>
    </row>
    <row r="1422" spans="1:6" x14ac:dyDescent="0.3">
      <c r="A1422" s="4"/>
      <c r="B1422" s="4"/>
      <c r="C1422" s="4"/>
      <c r="D1422" s="4"/>
      <c r="E1422" s="4"/>
      <c r="F1422" s="4"/>
    </row>
    <row r="1423" spans="1:6" x14ac:dyDescent="0.3">
      <c r="A1423" s="4"/>
      <c r="B1423" s="4"/>
      <c r="C1423" s="4"/>
      <c r="D1423" s="4"/>
      <c r="E1423" s="4"/>
      <c r="F1423" s="4"/>
    </row>
    <row r="1424" spans="1:6" x14ac:dyDescent="0.3">
      <c r="A1424" s="4"/>
      <c r="B1424" s="4"/>
      <c r="C1424" s="4"/>
      <c r="D1424" s="4"/>
      <c r="E1424" s="4"/>
      <c r="F1424" s="4"/>
    </row>
    <row r="1425" spans="1:6" x14ac:dyDescent="0.3">
      <c r="A1425" s="4"/>
      <c r="B1425" s="4"/>
      <c r="C1425" s="4"/>
      <c r="D1425" s="4"/>
      <c r="E1425" s="4"/>
      <c r="F1425" s="4"/>
    </row>
    <row r="1426" spans="1:6" x14ac:dyDescent="0.3">
      <c r="A1426" s="4"/>
      <c r="B1426" s="4"/>
      <c r="C1426" s="4"/>
      <c r="D1426" s="4"/>
      <c r="E1426" s="4"/>
      <c r="F1426" s="4"/>
    </row>
    <row r="1427" spans="1:6" x14ac:dyDescent="0.3">
      <c r="A1427" s="4"/>
      <c r="B1427" s="4"/>
      <c r="C1427" s="4"/>
      <c r="D1427" s="4"/>
      <c r="E1427" s="4"/>
      <c r="F1427" s="4"/>
    </row>
    <row r="1428" spans="1:6" x14ac:dyDescent="0.3">
      <c r="A1428" s="4"/>
      <c r="B1428" s="4"/>
      <c r="C1428" s="4"/>
      <c r="D1428" s="4"/>
      <c r="E1428" s="4"/>
      <c r="F1428" s="4"/>
    </row>
    <row r="1429" spans="1:6" x14ac:dyDescent="0.3">
      <c r="A1429" s="4"/>
      <c r="B1429" s="4"/>
      <c r="C1429" s="4"/>
      <c r="D1429" s="4"/>
      <c r="E1429" s="4"/>
      <c r="F1429" s="4"/>
    </row>
    <row r="1430" spans="1:6" x14ac:dyDescent="0.3">
      <c r="A1430" s="4"/>
      <c r="B1430" s="4"/>
      <c r="C1430" s="4"/>
      <c r="D1430" s="4"/>
      <c r="E1430" s="4"/>
      <c r="F1430" s="4"/>
    </row>
    <row r="1431" spans="1:6" x14ac:dyDescent="0.3">
      <c r="A1431" s="4"/>
      <c r="B1431" s="4"/>
      <c r="C1431" s="4"/>
      <c r="D1431" s="4"/>
      <c r="E1431" s="4"/>
      <c r="F1431" s="4"/>
    </row>
    <row r="1432" spans="1:6" x14ac:dyDescent="0.3">
      <c r="A1432" s="4"/>
      <c r="B1432" s="4"/>
      <c r="C1432" s="4"/>
      <c r="D1432" s="4"/>
      <c r="E1432" s="4"/>
      <c r="F1432" s="4"/>
    </row>
    <row r="1433" spans="1:6" x14ac:dyDescent="0.3">
      <c r="A1433" s="4"/>
      <c r="B1433" s="4"/>
      <c r="C1433" s="4"/>
      <c r="D1433" s="4"/>
      <c r="E1433" s="4"/>
      <c r="F1433" s="4"/>
    </row>
    <row r="1434" spans="1:6" x14ac:dyDescent="0.3">
      <c r="A1434" s="4"/>
      <c r="B1434" s="4"/>
      <c r="C1434" s="4"/>
      <c r="D1434" s="4"/>
      <c r="E1434" s="4"/>
      <c r="F1434" s="4"/>
    </row>
    <row r="1435" spans="1:6" x14ac:dyDescent="0.3">
      <c r="A1435" s="4"/>
      <c r="B1435" s="4"/>
      <c r="C1435" s="4"/>
      <c r="D1435" s="4"/>
      <c r="E1435" s="4"/>
      <c r="F1435" s="4"/>
    </row>
    <row r="1436" spans="1:6" x14ac:dyDescent="0.3">
      <c r="A1436" s="4"/>
      <c r="B1436" s="4"/>
      <c r="C1436" s="4"/>
      <c r="D1436" s="4"/>
      <c r="E1436" s="4"/>
      <c r="F1436" s="4"/>
    </row>
    <row r="1437" spans="1:6" x14ac:dyDescent="0.3">
      <c r="A1437" s="4"/>
      <c r="B1437" s="4"/>
      <c r="C1437" s="4"/>
      <c r="D1437" s="4"/>
      <c r="E1437" s="4"/>
      <c r="F1437" s="4"/>
    </row>
    <row r="1438" spans="1:6" x14ac:dyDescent="0.3">
      <c r="A1438" s="4"/>
      <c r="B1438" s="4"/>
      <c r="C1438" s="4"/>
      <c r="D1438" s="4"/>
      <c r="E1438" s="4"/>
      <c r="F1438" s="4"/>
    </row>
    <row r="1439" spans="1:6" x14ac:dyDescent="0.3">
      <c r="A1439" s="4"/>
      <c r="B1439" s="4"/>
      <c r="C1439" s="4"/>
      <c r="D1439" s="4"/>
      <c r="E1439" s="4"/>
      <c r="F1439" s="4"/>
    </row>
    <row r="1440" spans="1:6" x14ac:dyDescent="0.3">
      <c r="A1440" s="4"/>
      <c r="B1440" s="4"/>
      <c r="C1440" s="4"/>
      <c r="D1440" s="4"/>
      <c r="E1440" s="4"/>
      <c r="F1440" s="4"/>
    </row>
    <row r="1441" spans="1:6" x14ac:dyDescent="0.3">
      <c r="A1441" s="4"/>
      <c r="B1441" s="4"/>
      <c r="C1441" s="4"/>
      <c r="D1441" s="4"/>
      <c r="E1441" s="4"/>
      <c r="F1441" s="4"/>
    </row>
    <row r="1442" spans="1:6" x14ac:dyDescent="0.3">
      <c r="A1442" s="4"/>
      <c r="B1442" s="4"/>
      <c r="C1442" s="4"/>
      <c r="D1442" s="4"/>
      <c r="E1442" s="4"/>
      <c r="F1442" s="4"/>
    </row>
    <row r="1443" spans="1:6" x14ac:dyDescent="0.3">
      <c r="A1443" s="4"/>
      <c r="B1443" s="4"/>
      <c r="C1443" s="4"/>
      <c r="D1443" s="4"/>
      <c r="E1443" s="4"/>
      <c r="F1443" s="4"/>
    </row>
    <row r="1444" spans="1:6" x14ac:dyDescent="0.3">
      <c r="A1444" s="4"/>
      <c r="B1444" s="4"/>
      <c r="C1444" s="4"/>
      <c r="D1444" s="4"/>
      <c r="E1444" s="4"/>
      <c r="F1444" s="4"/>
    </row>
    <row r="1445" spans="1:6" x14ac:dyDescent="0.3">
      <c r="A1445" s="4"/>
      <c r="B1445" s="4"/>
      <c r="C1445" s="4"/>
      <c r="D1445" s="4"/>
      <c r="E1445" s="4"/>
      <c r="F1445" s="4"/>
    </row>
    <row r="1446" spans="1:6" x14ac:dyDescent="0.3">
      <c r="A1446" s="4"/>
      <c r="B1446" s="4"/>
      <c r="C1446" s="4"/>
      <c r="D1446" s="4"/>
      <c r="E1446" s="4"/>
      <c r="F1446" s="4"/>
    </row>
    <row r="1447" spans="1:6" x14ac:dyDescent="0.3">
      <c r="A1447" s="4"/>
      <c r="B1447" s="4"/>
      <c r="C1447" s="4"/>
      <c r="D1447" s="4"/>
      <c r="E1447" s="4"/>
      <c r="F1447" s="4"/>
    </row>
    <row r="1448" spans="1:6" x14ac:dyDescent="0.3">
      <c r="A1448" s="4"/>
      <c r="B1448" s="4"/>
      <c r="C1448" s="4"/>
      <c r="D1448" s="4"/>
      <c r="E1448" s="4"/>
      <c r="F1448" s="4"/>
    </row>
    <row r="1449" spans="1:6" x14ac:dyDescent="0.3">
      <c r="A1449" s="4"/>
      <c r="B1449" s="4"/>
      <c r="C1449" s="4"/>
      <c r="D1449" s="4"/>
      <c r="E1449" s="4"/>
      <c r="F1449" s="4"/>
    </row>
    <row r="1450" spans="1:6" x14ac:dyDescent="0.3">
      <c r="A1450" s="4"/>
      <c r="B1450" s="4"/>
      <c r="C1450" s="4"/>
      <c r="D1450" s="4"/>
      <c r="E1450" s="4"/>
      <c r="F1450" s="4"/>
    </row>
    <row r="1451" spans="1:6" x14ac:dyDescent="0.3">
      <c r="A1451" s="4"/>
      <c r="B1451" s="4"/>
      <c r="C1451" s="4"/>
      <c r="D1451" s="4"/>
      <c r="E1451" s="4"/>
      <c r="F1451" s="4"/>
    </row>
    <row r="1452" spans="1:6" x14ac:dyDescent="0.3">
      <c r="A1452" s="4"/>
      <c r="B1452" s="4"/>
      <c r="C1452" s="4"/>
      <c r="D1452" s="4"/>
      <c r="E1452" s="4"/>
      <c r="F1452" s="4"/>
    </row>
    <row r="1453" spans="1:6" x14ac:dyDescent="0.3">
      <c r="A1453" s="4"/>
      <c r="B1453" s="4"/>
      <c r="C1453" s="4"/>
      <c r="D1453" s="4"/>
      <c r="E1453" s="4"/>
      <c r="F1453" s="4"/>
    </row>
    <row r="1454" spans="1:6" x14ac:dyDescent="0.3">
      <c r="A1454" s="4"/>
      <c r="B1454" s="4"/>
      <c r="C1454" s="4"/>
      <c r="D1454" s="4"/>
      <c r="E1454" s="4"/>
      <c r="F1454" s="4"/>
    </row>
    <row r="1455" spans="1:6" x14ac:dyDescent="0.3">
      <c r="A1455" s="4"/>
      <c r="B1455" s="4"/>
      <c r="C1455" s="4"/>
      <c r="D1455" s="4"/>
      <c r="E1455" s="4"/>
      <c r="F1455" s="4"/>
    </row>
    <row r="1456" spans="1:6" x14ac:dyDescent="0.3">
      <c r="A1456" s="4"/>
      <c r="B1456" s="4"/>
      <c r="C1456" s="4"/>
      <c r="D1456" s="4"/>
      <c r="E1456" s="4"/>
      <c r="F1456" s="4"/>
    </row>
    <row r="1457" spans="1:6" x14ac:dyDescent="0.3">
      <c r="A1457" s="4"/>
      <c r="B1457" s="4"/>
      <c r="C1457" s="4"/>
      <c r="D1457" s="4"/>
      <c r="E1457" s="4"/>
      <c r="F1457" s="4"/>
    </row>
    <row r="1458" spans="1:6" x14ac:dyDescent="0.3">
      <c r="A1458" s="4"/>
      <c r="B1458" s="4"/>
      <c r="C1458" s="4"/>
      <c r="D1458" s="4"/>
      <c r="E1458" s="4"/>
      <c r="F1458" s="4"/>
    </row>
    <row r="1459" spans="1:6" x14ac:dyDescent="0.3">
      <c r="A1459" s="4"/>
      <c r="B1459" s="4"/>
      <c r="C1459" s="4"/>
      <c r="D1459" s="4"/>
      <c r="E1459" s="4"/>
      <c r="F1459" s="4"/>
    </row>
    <row r="1460" spans="1:6" x14ac:dyDescent="0.3">
      <c r="A1460" s="4"/>
      <c r="B1460" s="4"/>
      <c r="C1460" s="4"/>
      <c r="D1460" s="4"/>
      <c r="E1460" s="4"/>
      <c r="F1460" s="4"/>
    </row>
    <row r="1461" spans="1:6" x14ac:dyDescent="0.3">
      <c r="A1461" s="4"/>
      <c r="B1461" s="4"/>
      <c r="C1461" s="4"/>
      <c r="D1461" s="4"/>
      <c r="E1461" s="4"/>
      <c r="F1461" s="4"/>
    </row>
    <row r="1462" spans="1:6" x14ac:dyDescent="0.3">
      <c r="A1462" s="4"/>
      <c r="B1462" s="4"/>
      <c r="C1462" s="4"/>
      <c r="D1462" s="4"/>
      <c r="E1462" s="4"/>
      <c r="F1462" s="4"/>
    </row>
    <row r="1463" spans="1:6" x14ac:dyDescent="0.3">
      <c r="A1463" s="4"/>
      <c r="B1463" s="4"/>
      <c r="C1463" s="4"/>
      <c r="D1463" s="4"/>
      <c r="E1463" s="4"/>
      <c r="F1463" s="4"/>
    </row>
    <row r="1464" spans="1:6" x14ac:dyDescent="0.3">
      <c r="A1464" s="4"/>
      <c r="B1464" s="4"/>
      <c r="C1464" s="4"/>
      <c r="D1464" s="4"/>
      <c r="E1464" s="4"/>
      <c r="F1464" s="4"/>
    </row>
    <row r="1465" spans="1:6" x14ac:dyDescent="0.3">
      <c r="A1465" s="4"/>
      <c r="B1465" s="4"/>
      <c r="C1465" s="4"/>
      <c r="D1465" s="4"/>
      <c r="E1465" s="4"/>
      <c r="F1465" s="4"/>
    </row>
    <row r="1466" spans="1:6" x14ac:dyDescent="0.3">
      <c r="A1466" s="4"/>
      <c r="B1466" s="4"/>
      <c r="C1466" s="4"/>
      <c r="D1466" s="4"/>
      <c r="E1466" s="4"/>
      <c r="F1466" s="4"/>
    </row>
    <row r="1467" spans="1:6" x14ac:dyDescent="0.3">
      <c r="A1467" s="4"/>
      <c r="B1467" s="4"/>
      <c r="C1467" s="4"/>
      <c r="D1467" s="4"/>
      <c r="E1467" s="4"/>
      <c r="F1467" s="4"/>
    </row>
    <row r="1468" spans="1:6" x14ac:dyDescent="0.3">
      <c r="A1468" s="4"/>
      <c r="B1468" s="4"/>
      <c r="C1468" s="4"/>
      <c r="D1468" s="4"/>
      <c r="E1468" s="4"/>
      <c r="F1468" s="4"/>
    </row>
    <row r="1469" spans="1:6" x14ac:dyDescent="0.3">
      <c r="A1469" s="4"/>
      <c r="B1469" s="4"/>
      <c r="C1469" s="4"/>
      <c r="D1469" s="4"/>
      <c r="E1469" s="4"/>
      <c r="F1469" s="4"/>
    </row>
    <row r="1470" spans="1:6" x14ac:dyDescent="0.3">
      <c r="A1470" s="4"/>
      <c r="B1470" s="4"/>
      <c r="C1470" s="4"/>
      <c r="D1470" s="4"/>
      <c r="E1470" s="4"/>
      <c r="F1470" s="4"/>
    </row>
    <row r="1471" spans="1:6" x14ac:dyDescent="0.3">
      <c r="A1471" s="4"/>
      <c r="B1471" s="4"/>
      <c r="C1471" s="4"/>
      <c r="D1471" s="4"/>
      <c r="E1471" s="4"/>
      <c r="F1471" s="4"/>
    </row>
    <row r="1472" spans="1:6" x14ac:dyDescent="0.3">
      <c r="A1472" s="4"/>
      <c r="B1472" s="4"/>
      <c r="C1472" s="4"/>
      <c r="D1472" s="4"/>
      <c r="E1472" s="4"/>
      <c r="F1472" s="4"/>
    </row>
    <row r="1473" spans="1:6" x14ac:dyDescent="0.3">
      <c r="A1473" s="4"/>
      <c r="B1473" s="4"/>
      <c r="C1473" s="4"/>
      <c r="D1473" s="4"/>
      <c r="E1473" s="4"/>
      <c r="F1473" s="4"/>
    </row>
    <row r="1474" spans="1:6" x14ac:dyDescent="0.3">
      <c r="A1474" s="4"/>
      <c r="B1474" s="4"/>
      <c r="C1474" s="4"/>
      <c r="D1474" s="4"/>
      <c r="E1474" s="4"/>
      <c r="F1474" s="4"/>
    </row>
    <row r="1475" spans="1:6" x14ac:dyDescent="0.3">
      <c r="A1475" s="4"/>
      <c r="B1475" s="4"/>
      <c r="C1475" s="4"/>
      <c r="D1475" s="4"/>
      <c r="E1475" s="4"/>
      <c r="F1475" s="4"/>
    </row>
    <row r="1476" spans="1:6" x14ac:dyDescent="0.3">
      <c r="A1476" s="4"/>
      <c r="B1476" s="4"/>
      <c r="C1476" s="4"/>
      <c r="D1476" s="4"/>
      <c r="E1476" s="4"/>
      <c r="F1476" s="4"/>
    </row>
    <row r="1477" spans="1:6" x14ac:dyDescent="0.3">
      <c r="A1477" s="4"/>
      <c r="B1477" s="4"/>
      <c r="C1477" s="4"/>
      <c r="D1477" s="4"/>
      <c r="E1477" s="4"/>
      <c r="F1477" s="4"/>
    </row>
    <row r="1478" spans="1:6" x14ac:dyDescent="0.3">
      <c r="A1478" s="4"/>
      <c r="B1478" s="4"/>
      <c r="C1478" s="4"/>
      <c r="D1478" s="4"/>
      <c r="E1478" s="4"/>
      <c r="F1478" s="4"/>
    </row>
    <row r="1479" spans="1:6" x14ac:dyDescent="0.3">
      <c r="A1479" s="4"/>
      <c r="B1479" s="4"/>
      <c r="C1479" s="4"/>
      <c r="D1479" s="4"/>
      <c r="E1479" s="4"/>
      <c r="F1479" s="4"/>
    </row>
    <row r="1480" spans="1:6" x14ac:dyDescent="0.3">
      <c r="A1480" s="4"/>
      <c r="B1480" s="4"/>
      <c r="C1480" s="4"/>
      <c r="D1480" s="4"/>
      <c r="E1480" s="4"/>
      <c r="F1480" s="4"/>
    </row>
    <row r="1481" spans="1:6" x14ac:dyDescent="0.3">
      <c r="A1481" s="4"/>
      <c r="B1481" s="4"/>
      <c r="C1481" s="4"/>
      <c r="D1481" s="4"/>
      <c r="E1481" s="4"/>
      <c r="F1481" s="4"/>
    </row>
    <row r="1482" spans="1:6" x14ac:dyDescent="0.3">
      <c r="A1482" s="4"/>
      <c r="B1482" s="4"/>
      <c r="C1482" s="4"/>
      <c r="D1482" s="4"/>
      <c r="E1482" s="4"/>
      <c r="F1482" s="4"/>
    </row>
    <row r="1483" spans="1:6" x14ac:dyDescent="0.3">
      <c r="A1483" s="4"/>
      <c r="B1483" s="4"/>
      <c r="C1483" s="4"/>
      <c r="D1483" s="4"/>
      <c r="E1483" s="4"/>
      <c r="F1483" s="4"/>
    </row>
    <row r="1484" spans="1:6" x14ac:dyDescent="0.3">
      <c r="A1484" s="4"/>
      <c r="B1484" s="4"/>
      <c r="C1484" s="4"/>
      <c r="D1484" s="4"/>
      <c r="E1484" s="4"/>
      <c r="F1484" s="4"/>
    </row>
    <row r="1485" spans="1:6" x14ac:dyDescent="0.3">
      <c r="A1485" s="4"/>
      <c r="B1485" s="4"/>
      <c r="C1485" s="4"/>
      <c r="D1485" s="4"/>
      <c r="E1485" s="4"/>
      <c r="F1485" s="4"/>
    </row>
    <row r="1486" spans="1:6" x14ac:dyDescent="0.3">
      <c r="A1486" s="4"/>
      <c r="B1486" s="4"/>
      <c r="C1486" s="4"/>
      <c r="D1486" s="4"/>
      <c r="E1486" s="4"/>
      <c r="F1486" s="4"/>
    </row>
    <row r="1487" spans="1:6" x14ac:dyDescent="0.3">
      <c r="A1487" s="4"/>
      <c r="B1487" s="4"/>
      <c r="C1487" s="4"/>
      <c r="D1487" s="4"/>
      <c r="E1487" s="4"/>
      <c r="F1487" s="4"/>
    </row>
    <row r="1488" spans="1:6" x14ac:dyDescent="0.3">
      <c r="A1488" s="4"/>
      <c r="B1488" s="4"/>
      <c r="C1488" s="4"/>
      <c r="D1488" s="4"/>
      <c r="E1488" s="4"/>
      <c r="F1488" s="4"/>
    </row>
    <row r="1489" spans="1:6" x14ac:dyDescent="0.3">
      <c r="A1489" s="4"/>
      <c r="B1489" s="4"/>
      <c r="C1489" s="4"/>
      <c r="D1489" s="4"/>
      <c r="E1489" s="4"/>
      <c r="F1489" s="4"/>
    </row>
    <row r="1490" spans="1:6" x14ac:dyDescent="0.3">
      <c r="A1490" s="4"/>
      <c r="B1490" s="4"/>
      <c r="C1490" s="4"/>
      <c r="D1490" s="4"/>
      <c r="E1490" s="4"/>
      <c r="F1490" s="4"/>
    </row>
    <row r="1491" spans="1:6" x14ac:dyDescent="0.3">
      <c r="A1491" s="4"/>
      <c r="B1491" s="4"/>
      <c r="C1491" s="4"/>
      <c r="D1491" s="4"/>
      <c r="E1491" s="4"/>
      <c r="F1491" s="4"/>
    </row>
    <row r="1492" spans="1:6" x14ac:dyDescent="0.3">
      <c r="A1492" s="4"/>
      <c r="B1492" s="4"/>
      <c r="C1492" s="4"/>
      <c r="D1492" s="4"/>
      <c r="E1492" s="4"/>
      <c r="F1492" s="4"/>
    </row>
    <row r="1493" spans="1:6" x14ac:dyDescent="0.3">
      <c r="A1493" s="4"/>
      <c r="B1493" s="4"/>
      <c r="C1493" s="4"/>
      <c r="D1493" s="4"/>
      <c r="E1493" s="4"/>
      <c r="F1493" s="4"/>
    </row>
    <row r="1494" spans="1:6" x14ac:dyDescent="0.3">
      <c r="A1494" s="4"/>
      <c r="B1494" s="4"/>
      <c r="C1494" s="4"/>
      <c r="D1494" s="4"/>
      <c r="E1494" s="4"/>
      <c r="F1494" s="4"/>
    </row>
    <row r="1495" spans="1:6" x14ac:dyDescent="0.3">
      <c r="A1495" s="4"/>
      <c r="B1495" s="4"/>
      <c r="C1495" s="4"/>
      <c r="D1495" s="4"/>
      <c r="E1495" s="4"/>
      <c r="F1495" s="4"/>
    </row>
    <row r="1496" spans="1:6" x14ac:dyDescent="0.3">
      <c r="A1496" s="4"/>
      <c r="B1496" s="4"/>
      <c r="C1496" s="4"/>
      <c r="D1496" s="4"/>
      <c r="E1496" s="4"/>
      <c r="F1496" s="4"/>
    </row>
    <row r="1497" spans="1:6" x14ac:dyDescent="0.3">
      <c r="A1497" s="4"/>
      <c r="B1497" s="4"/>
      <c r="C1497" s="4"/>
      <c r="D1497" s="4"/>
      <c r="E1497" s="4"/>
      <c r="F1497" s="4"/>
    </row>
    <row r="1498" spans="1:6" x14ac:dyDescent="0.3">
      <c r="A1498" s="4"/>
      <c r="B1498" s="4"/>
      <c r="C1498" s="4"/>
      <c r="D1498" s="4"/>
      <c r="E1498" s="4"/>
      <c r="F1498" s="4"/>
    </row>
    <row r="1499" spans="1:6" x14ac:dyDescent="0.3">
      <c r="A1499" s="4"/>
      <c r="B1499" s="4"/>
      <c r="C1499" s="4"/>
      <c r="D1499" s="4"/>
      <c r="E1499" s="4"/>
      <c r="F1499" s="4"/>
    </row>
    <row r="1500" spans="1:6" x14ac:dyDescent="0.3">
      <c r="A1500" s="4"/>
      <c r="B1500" s="4"/>
      <c r="C1500" s="4"/>
      <c r="D1500" s="4"/>
      <c r="E1500" s="4"/>
      <c r="F1500" s="4"/>
    </row>
    <row r="1501" spans="1:6" x14ac:dyDescent="0.3">
      <c r="A1501" s="4"/>
      <c r="B1501" s="4"/>
      <c r="C1501" s="4"/>
      <c r="D1501" s="4"/>
      <c r="E1501" s="4"/>
      <c r="F1501" s="4"/>
    </row>
  </sheetData>
  <mergeCells count="8">
    <mergeCell ref="BO1:BP1"/>
    <mergeCell ref="BQ1:BR1"/>
    <mergeCell ref="B4:D5"/>
    <mergeCell ref="B36:D41"/>
    <mergeCell ref="B6:D8"/>
    <mergeCell ref="B1:E1"/>
    <mergeCell ref="BK1:BL1"/>
    <mergeCell ref="BM1:BN1"/>
  </mergeCells>
  <conditionalFormatting sqref="B15:B21">
    <cfRule type="containsText" dxfId="64" priority="33" operator="containsText" text=".">
      <formula>NOT(ISERROR(SEARCH(".",B15)))</formula>
    </cfRule>
  </conditionalFormatting>
  <conditionalFormatting sqref="B16:B21">
    <cfRule type="containsText" dxfId="63" priority="32" operator="containsText" text=".">
      <formula>NOT(ISERROR(SEARCH(".",B16)))</formula>
    </cfRule>
  </conditionalFormatting>
  <conditionalFormatting sqref="B16:B21">
    <cfRule type="containsText" dxfId="62" priority="29" operator="containsText" text=".">
      <formula>NOT(ISERROR(SEARCH(".",B16)))</formula>
    </cfRule>
  </conditionalFormatting>
  <conditionalFormatting sqref="B16">
    <cfRule type="containsText" dxfId="61" priority="20" operator="containsText" text=".">
      <formula>NOT(ISERROR(SEARCH(".",B16)))</formula>
    </cfRule>
  </conditionalFormatting>
  <conditionalFormatting sqref="B17">
    <cfRule type="containsText" dxfId="60" priority="18" operator="containsText" text=".">
      <formula>NOT(ISERROR(SEARCH(".",B17)))</formula>
    </cfRule>
  </conditionalFormatting>
  <conditionalFormatting sqref="B18">
    <cfRule type="containsText" dxfId="59" priority="16" operator="containsText" text=".">
      <formula>NOT(ISERROR(SEARCH(".",B18)))</formula>
    </cfRule>
  </conditionalFormatting>
  <conditionalFormatting sqref="B19">
    <cfRule type="containsText" dxfId="58" priority="14" operator="containsText" text=".">
      <formula>NOT(ISERROR(SEARCH(".",B19)))</formula>
    </cfRule>
  </conditionalFormatting>
  <conditionalFormatting sqref="B20">
    <cfRule type="containsText" dxfId="57" priority="12" operator="containsText" text=".">
      <formula>NOT(ISERROR(SEARCH(".",B20)))</formula>
    </cfRule>
  </conditionalFormatting>
  <conditionalFormatting sqref="B21">
    <cfRule type="containsText" dxfId="56" priority="10" operator="containsText" text=".">
      <formula>NOT(ISERROR(SEARCH(".",B21)))</formula>
    </cfRule>
  </conditionalFormatting>
  <conditionalFormatting sqref="B16:B21">
    <cfRule type="containsText" dxfId="55" priority="8" operator="containsText" text=".">
      <formula>NOT(ISERROR(SEARCH(".",B16)))</formula>
    </cfRule>
  </conditionalFormatting>
  <conditionalFormatting sqref="B25:B29">
    <cfRule type="containsText" dxfId="54" priority="5" operator="containsText" text=".">
      <formula>NOT(ISERROR(SEARCH(".",B25)))</formula>
    </cfRule>
  </conditionalFormatting>
  <conditionalFormatting sqref="B32:B34">
    <cfRule type="containsText" dxfId="53" priority="2" operator="containsText" text=".">
      <formula>NOT(ISERROR(SEARCH(".",B32)))</formula>
    </cfRule>
  </conditionalFormatting>
  <pageMargins left="0.7" right="0.7" top="0.75" bottom="0.75" header="0.3" footer="0.3"/>
  <pageSetup orientation="portrait" r:id="rId1"/>
  <headerFooter>
    <oddHeader xml:space="preserve">&amp;L&amp;"-,Bold"&amp;14&amp;G&amp;C&amp;"Arial Black,Regular"&amp;12&amp;K461E64Estimated Innocence NOVI&amp;R&amp;D
</oddHeader>
    <oddFooter>&amp;L&amp;A&amp;C&amp;P&amp;R&amp;G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1142" operator="containsText" id="{FE1CCA52-BF6C-46C0-81A2-A55AADC46EC9}">
            <xm:f>NOT(ISERROR(SEARCH($BM$9,B15)))</xm:f>
            <xm:f>$BM$9</xm:f>
            <x14:dxf>
              <fill>
                <patternFill>
                  <bgColor rgb="FFDBFD9F"/>
                </patternFill>
              </fill>
            </x14:dxf>
          </x14:cfRule>
          <xm:sqref>B15:B21</xm:sqref>
        </x14:conditionalFormatting>
        <x14:conditionalFormatting xmlns:xm="http://schemas.microsoft.com/office/excel/2006/main">
          <x14:cfRule type="containsText" priority="30" operator="containsText" id="{430C23DB-6A0D-45F0-8017-083EE7ED8A9E}">
            <xm:f>NOT(ISERROR(SEARCH($AH$15,B15)))</xm:f>
            <xm:f>$AH$15</xm:f>
            <x14:dxf>
              <font>
                <color rgb="FFCCFF99"/>
              </font>
            </x14:dxf>
          </x14:cfRule>
          <xm:sqref>B15:B21</xm:sqref>
        </x14:conditionalFormatting>
        <x14:conditionalFormatting xmlns:xm="http://schemas.microsoft.com/office/excel/2006/main">
          <x14:cfRule type="containsText" priority="28" operator="containsText" id="{C0DD3A5B-1272-4651-9E2B-E61FD21494F6}">
            <xm:f>NOT(ISERROR(SEARCH($AH$15,B16)))</xm:f>
            <xm:f>$AH$15</xm:f>
            <x14:dxf>
              <font>
                <color rgb="FFCCFF99"/>
              </font>
            </x14:dxf>
          </x14:cfRule>
          <xm:sqref>B16:B21</xm:sqref>
        </x14:conditionalFormatting>
        <x14:conditionalFormatting xmlns:xm="http://schemas.microsoft.com/office/excel/2006/main">
          <x14:cfRule type="containsText" priority="19" operator="containsText" id="{D226E48B-2BA3-41B5-B5B0-E986FB766732}">
            <xm:f>NOT(ISERROR(SEARCH($AH$15,B16)))</xm:f>
            <xm:f>$AH$15</xm:f>
            <x14:dxf>
              <font>
                <color rgb="FFCCFF99"/>
              </font>
            </x14:dxf>
          </x14:cfRule>
          <xm:sqref>B16</xm:sqref>
        </x14:conditionalFormatting>
        <x14:conditionalFormatting xmlns:xm="http://schemas.microsoft.com/office/excel/2006/main">
          <x14:cfRule type="containsText" priority="17" operator="containsText" id="{A3694EB3-6D33-4637-9780-2D8779BEA75B}">
            <xm:f>NOT(ISERROR(SEARCH($AH$15,B17)))</xm:f>
            <xm:f>$AH$15</xm:f>
            <x14:dxf>
              <font>
                <color rgb="FFCCFF99"/>
              </font>
            </x14:dxf>
          </x14:cfRule>
          <xm:sqref>B17</xm:sqref>
        </x14:conditionalFormatting>
        <x14:conditionalFormatting xmlns:xm="http://schemas.microsoft.com/office/excel/2006/main">
          <x14:cfRule type="containsText" priority="15" operator="containsText" id="{F3CC9180-3444-4540-AB98-7FF01A4E8DEA}">
            <xm:f>NOT(ISERROR(SEARCH($AH$15,B18)))</xm:f>
            <xm:f>$AH$15</xm:f>
            <x14:dxf>
              <font>
                <color rgb="FFCCFF99"/>
              </font>
            </x14:dxf>
          </x14:cfRule>
          <xm:sqref>B18</xm:sqref>
        </x14:conditionalFormatting>
        <x14:conditionalFormatting xmlns:xm="http://schemas.microsoft.com/office/excel/2006/main">
          <x14:cfRule type="containsText" priority="13" operator="containsText" id="{AC88E1A3-79B2-42A6-9D7D-568C0F5BFD0E}">
            <xm:f>NOT(ISERROR(SEARCH($AH$15,B19)))</xm:f>
            <xm:f>$AH$15</xm:f>
            <x14:dxf>
              <font>
                <color rgb="FFCCFF99"/>
              </font>
            </x14:dxf>
          </x14:cfRule>
          <xm:sqref>B19</xm:sqref>
        </x14:conditionalFormatting>
        <x14:conditionalFormatting xmlns:xm="http://schemas.microsoft.com/office/excel/2006/main">
          <x14:cfRule type="containsText" priority="11" operator="containsText" id="{72248098-F142-4FFF-AA90-E062BABDB078}">
            <xm:f>NOT(ISERROR(SEARCH($AH$15,B20)))</xm:f>
            <xm:f>$AH$15</xm:f>
            <x14:dxf>
              <font>
                <color rgb="FFCCFF99"/>
              </font>
            </x14:dxf>
          </x14:cfRule>
          <xm:sqref>B20</xm:sqref>
        </x14:conditionalFormatting>
        <x14:conditionalFormatting xmlns:xm="http://schemas.microsoft.com/office/excel/2006/main">
          <x14:cfRule type="containsText" priority="9" operator="containsText" id="{A545FD16-3957-4A79-989A-D4EA67E80CFD}">
            <xm:f>NOT(ISERROR(SEARCH($AH$15,B21)))</xm:f>
            <xm:f>$AH$15</xm:f>
            <x14:dxf>
              <font>
                <color rgb="FFCCFF99"/>
              </font>
            </x14:dxf>
          </x14:cfRule>
          <xm:sqref>B21</xm:sqref>
        </x14:conditionalFormatting>
        <x14:conditionalFormatting xmlns:xm="http://schemas.microsoft.com/office/excel/2006/main">
          <x14:cfRule type="containsText" priority="7" operator="containsText" id="{CE61D23F-5BA2-4890-A716-5EC3F7167DCE}">
            <xm:f>NOT(ISERROR(SEARCH($AH$15,B16)))</xm:f>
            <xm:f>$AH$15</xm:f>
            <x14:dxf>
              <font>
                <color rgb="FFCCFF99"/>
              </font>
            </x14:dxf>
          </x14:cfRule>
          <xm:sqref>B16:B21</xm:sqref>
        </x14:conditionalFormatting>
        <x14:conditionalFormatting xmlns:xm="http://schemas.microsoft.com/office/excel/2006/main">
          <x14:cfRule type="containsText" priority="1" operator="containsText" id="{2ACEA072-D666-485E-AA77-ADE32FBDEF51}">
            <xm:f>NOT(ISERROR(SEARCH($AH$15,B32)))</xm:f>
            <xm:f>$AH$15</xm:f>
            <x14:dxf>
              <font>
                <color rgb="FFCCFF99"/>
              </font>
            </x14:dxf>
          </x14:cfRule>
          <xm:sqref>B32:B34</xm:sqref>
        </x14:conditionalFormatting>
        <x14:conditionalFormatting xmlns:xm="http://schemas.microsoft.com/office/excel/2006/main">
          <x14:cfRule type="containsText" priority="6" operator="containsText" id="{FE2C044C-A0F0-4960-9637-50E2CA6ADDBC}">
            <xm:f>NOT(ISERROR(SEARCH($BM$9,B25)))</xm:f>
            <xm:f>$BM$9</xm:f>
            <x14:dxf>
              <fill>
                <patternFill>
                  <bgColor rgb="FFDBFD9F"/>
                </patternFill>
              </fill>
            </x14:dxf>
          </x14:cfRule>
          <xm:sqref>B25:B29</xm:sqref>
        </x14:conditionalFormatting>
        <x14:conditionalFormatting xmlns:xm="http://schemas.microsoft.com/office/excel/2006/main">
          <x14:cfRule type="containsText" priority="4" operator="containsText" id="{1C8E05F5-9FE6-4517-BD9F-94B6D670838D}">
            <xm:f>NOT(ISERROR(SEARCH($AH$15,B25)))</xm:f>
            <xm:f>$AH$15</xm:f>
            <x14:dxf>
              <font>
                <color rgb="FFCCFF99"/>
              </font>
            </x14:dxf>
          </x14:cfRule>
          <xm:sqref>B25:B29</xm:sqref>
        </x14:conditionalFormatting>
        <x14:conditionalFormatting xmlns:xm="http://schemas.microsoft.com/office/excel/2006/main">
          <x14:cfRule type="containsText" priority="3" operator="containsText" id="{BD382CAE-2F72-4C80-BD4A-14B5BC086033}">
            <xm:f>NOT(ISERROR(SEARCH($BM$9,B32)))</xm:f>
            <xm:f>$BM$9</xm:f>
            <x14:dxf>
              <fill>
                <patternFill>
                  <bgColor rgb="FFDBFD9F"/>
                </patternFill>
              </fill>
            </x14:dxf>
          </x14:cfRule>
          <xm:sqref>B32:B34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C328E-DC33-487D-B216-E491851A5AFE}">
  <dimension ref="A1:E14"/>
  <sheetViews>
    <sheetView topLeftCell="A7" zoomScaleNormal="100" workbookViewId="0">
      <selection activeCell="B12" sqref="B12"/>
    </sheetView>
  </sheetViews>
  <sheetFormatPr defaultColWidth="8.90625" defaultRowHeight="14" x14ac:dyDescent="0.3"/>
  <cols>
    <col min="1" max="1" width="4.81640625" style="4" customWidth="1"/>
    <col min="2" max="2" width="52.81640625" style="4" customWidth="1"/>
    <col min="3" max="3" width="6.81640625" style="4" customWidth="1"/>
    <col min="4" max="4" width="52.81640625" style="4" customWidth="1"/>
    <col min="5" max="5" width="4.81640625" style="4" customWidth="1"/>
    <col min="6" max="49" width="8.90625" style="4" customWidth="1"/>
    <col min="50" max="50" width="8.90625" style="4"/>
    <col min="51" max="51" width="25.81640625" style="4" customWidth="1"/>
    <col min="52" max="16384" width="8.90625" style="4"/>
  </cols>
  <sheetData>
    <row r="1" spans="1:5" ht="35" customHeight="1" x14ac:dyDescent="0.3">
      <c r="A1" s="845"/>
      <c r="B1" s="845"/>
      <c r="C1" s="845"/>
      <c r="D1" s="845"/>
      <c r="E1" s="845"/>
    </row>
    <row r="2" spans="1:5" ht="75" customHeight="1" x14ac:dyDescent="0.3">
      <c r="A2" s="845"/>
      <c r="B2" s="845"/>
      <c r="C2" s="845"/>
      <c r="D2" s="845"/>
      <c r="E2" s="845"/>
    </row>
    <row r="3" spans="1:5" ht="20" customHeight="1" x14ac:dyDescent="0.3">
      <c r="A3" s="845"/>
      <c r="B3" s="845"/>
      <c r="C3" s="845"/>
      <c r="D3" s="845"/>
      <c r="E3" s="845"/>
    </row>
    <row r="4" spans="1:5" ht="35" customHeight="1" x14ac:dyDescent="0.3">
      <c r="A4" s="845"/>
      <c r="B4" s="1172" t="str">
        <f>'EIF draft E01'!B44</f>
        <v>THIS CERTIFIES THAT</v>
      </c>
      <c r="C4" s="1172"/>
      <c r="D4" s="1172"/>
      <c r="E4" s="845"/>
    </row>
    <row r="5" spans="1:5" ht="10" customHeight="1" x14ac:dyDescent="0.3">
      <c r="A5" s="845"/>
      <c r="B5" s="883"/>
      <c r="C5" s="883"/>
      <c r="D5" s="883"/>
      <c r="E5" s="845"/>
    </row>
    <row r="6" spans="1:5" ht="75" customHeight="1" thickBot="1" x14ac:dyDescent="0.35">
      <c r="A6" s="845"/>
      <c r="B6" s="1173" t="str">
        <f>'EIF draft E01'!C44</f>
        <v>Claimant</v>
      </c>
      <c r="C6" s="1173"/>
      <c r="D6" s="1173"/>
      <c r="E6" s="845"/>
    </row>
    <row r="7" spans="1:5" ht="20" customHeight="1" x14ac:dyDescent="0.3">
      <c r="A7" s="845"/>
      <c r="B7" s="882"/>
      <c r="C7" s="882"/>
      <c r="D7" s="881"/>
      <c r="E7" s="845"/>
    </row>
    <row r="8" spans="1:5" ht="20" customHeight="1" x14ac:dyDescent="0.3">
      <c r="A8" s="845"/>
      <c r="B8" s="882"/>
      <c r="C8" s="882"/>
      <c r="D8" s="881"/>
      <c r="E8" s="845"/>
    </row>
    <row r="9" spans="1:5" ht="108" customHeight="1" x14ac:dyDescent="0.3">
      <c r="A9" s="845"/>
      <c r="B9" s="1174" t="str">
        <f>'EIF draft E01'!D44</f>
        <v>FILL IN EACH FIELD OF THE QUESTIONNAIRE, THEN THIS TURNS INTO A CAREFULLY WORDED CERTIFICATE FOR YOUR USE.</v>
      </c>
      <c r="C9" s="1174"/>
      <c r="D9" s="1174"/>
      <c r="E9" s="845"/>
    </row>
    <row r="10" spans="1:5" ht="20" customHeight="1" x14ac:dyDescent="0.3">
      <c r="A10" s="845"/>
      <c r="B10" s="845"/>
      <c r="C10" s="845"/>
      <c r="D10" s="845"/>
      <c r="E10" s="845"/>
    </row>
    <row r="11" spans="1:5" ht="20" customHeight="1" x14ac:dyDescent="0.3">
      <c r="A11" s="845"/>
      <c r="B11" s="845"/>
      <c r="C11" s="845"/>
      <c r="D11" s="845"/>
      <c r="E11" s="845"/>
    </row>
    <row r="12" spans="1:5" ht="20" customHeight="1" thickBot="1" x14ac:dyDescent="0.4">
      <c r="A12" s="845"/>
      <c r="B12" s="885" t="str">
        <f>'EIF draft E01'!E46</f>
        <v>Provided as a free service of need-response.</v>
      </c>
      <c r="C12" s="845"/>
      <c r="D12" s="884" t="str">
        <f>'EIF draft E01'!E44</f>
        <v>By using this certificate, you agree to our terms and privacy policy.</v>
      </c>
      <c r="E12" s="845"/>
    </row>
    <row r="13" spans="1:5" ht="20" customHeight="1" x14ac:dyDescent="0.3">
      <c r="A13" s="845"/>
      <c r="B13" s="845"/>
      <c r="C13" s="845"/>
      <c r="D13" s="845"/>
      <c r="E13" s="845"/>
    </row>
    <row r="14" spans="1:5" ht="20" customHeight="1" x14ac:dyDescent="0.3">
      <c r="A14" s="845"/>
      <c r="B14" s="845"/>
      <c r="C14" s="845"/>
      <c r="D14" s="845"/>
      <c r="E14" s="845"/>
    </row>
  </sheetData>
  <mergeCells count="3">
    <mergeCell ref="B4:D4"/>
    <mergeCell ref="B6:D6"/>
    <mergeCell ref="B9:D9"/>
  </mergeCells>
  <pageMargins left="0.7" right="0.7" top="0.75" bottom="0.75" header="0.3" footer="0.3"/>
  <pageSetup orientation="landscape" r:id="rId1"/>
  <headerFooter>
    <oddHeader xml:space="preserve">&amp;L&amp;"-,Bold"&amp;14&amp;G&amp;C&amp;"Arial Black,Regular"&amp;12&amp;K461E64Estimated Innocence COVI&amp;R&amp;D
</oddHeader>
    <oddFooter>&amp;L&amp;A&amp;C&amp;P&amp;R&amp;G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1318" operator="containsText" id="{20C418BF-3790-4D8F-8EC2-42DD5437BBDC}">
            <xm:f>NOT(ISERROR(SEARCH(#REF!,B9)))</xm:f>
            <xm:f>#REF!</xm:f>
            <x14:dxf>
              <font>
                <color rgb="FF00EB65"/>
              </font>
            </x14:dxf>
          </x14:cfRule>
          <xm:sqref>B9</xm:sqref>
        </x14:conditionalFormatting>
        <x14:conditionalFormatting xmlns:xm="http://schemas.microsoft.com/office/excel/2006/main">
          <x14:cfRule type="containsText" priority="1" operator="containsText" id="{A2517D10-AB34-4D27-BBCA-12BC2CDF6ADC}">
            <xm:f>NOT(ISERROR(SEARCH('EIF draft E01'!$CD$44,B9)))</xm:f>
            <xm:f>'EIF draft E01'!$CD$44</xm:f>
            <x14:dxf>
              <font>
                <color rgb="FF00EB65"/>
              </font>
            </x14:dxf>
          </x14:cfRule>
          <xm:sqref>B9:D9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5FED1-7BB7-4896-A24E-1D95580D9AAA}">
  <dimension ref="A1:CZ635"/>
  <sheetViews>
    <sheetView zoomScale="80" zoomScaleNormal="80" workbookViewId="0">
      <selection activeCell="B7" sqref="B7"/>
    </sheetView>
  </sheetViews>
  <sheetFormatPr defaultColWidth="8.90625" defaultRowHeight="14" x14ac:dyDescent="0.3"/>
  <cols>
    <col min="1" max="1" width="3.81640625" style="48" customWidth="1"/>
    <col min="2" max="2" width="15.81640625" style="48" customWidth="1"/>
    <col min="3" max="3" width="35.81640625" style="48" customWidth="1"/>
    <col min="4" max="4" width="28.81640625" style="48" customWidth="1"/>
    <col min="5" max="6" width="2.81640625" style="48" customWidth="1"/>
    <col min="7" max="8" width="8.90625" style="4" customWidth="1"/>
    <col min="9" max="9" width="32.36328125" style="4" customWidth="1"/>
    <col min="10" max="26" width="8.90625" style="4" customWidth="1"/>
    <col min="27" max="47" width="3.81640625" style="48" hidden="1" customWidth="1"/>
    <col min="48" max="48" width="4.81640625" style="48" hidden="1" customWidth="1"/>
    <col min="49" max="49" width="1.81640625" style="48" hidden="1" customWidth="1"/>
    <col min="50" max="50" width="3.81640625" style="48" hidden="1" customWidth="1"/>
    <col min="51" max="51" width="1.81640625" style="48" hidden="1" customWidth="1"/>
    <col min="52" max="52" width="3.81640625" style="48" hidden="1" customWidth="1"/>
    <col min="53" max="53" width="1.81640625" style="48" hidden="1" customWidth="1"/>
    <col min="54" max="54" width="6.81640625" style="14" hidden="1" customWidth="1"/>
    <col min="55" max="55" width="1.81640625" style="48" hidden="1" customWidth="1"/>
    <col min="56" max="56" width="6.81640625" style="48" hidden="1" customWidth="1"/>
    <col min="57" max="57" width="1.81640625" style="48" hidden="1" customWidth="1"/>
    <col min="58" max="58" width="5.81640625" style="48" hidden="1" customWidth="1"/>
    <col min="59" max="62" width="7.81640625" style="48" hidden="1" customWidth="1"/>
    <col min="63" max="77" width="3.81640625" style="48" hidden="1" customWidth="1"/>
    <col min="78" max="85" width="8.90625" style="48" hidden="1" customWidth="1"/>
    <col min="86" max="87" width="11.90625" style="48" hidden="1" customWidth="1"/>
    <col min="88" max="104" width="8.90625" style="48" hidden="1" customWidth="1"/>
    <col min="105" max="128" width="8.90625" style="48" customWidth="1"/>
    <col min="129" max="129" width="8.90625" style="48"/>
    <col min="130" max="130" width="25.81640625" style="48" customWidth="1"/>
    <col min="131" max="16384" width="8.90625" style="48"/>
  </cols>
  <sheetData>
    <row r="1" spans="1:70" ht="30" customHeight="1" thickTop="1" thickBot="1" x14ac:dyDescent="0.6">
      <c r="A1" s="1"/>
      <c r="B1" s="2">
        <f>'EIF draft E01'!B51</f>
        <v>0</v>
      </c>
      <c r="C1" s="592" t="str">
        <f>'EIF draft E01'!C51</f>
        <v>Likely innocence</v>
      </c>
      <c r="D1" s="3" t="str">
        <f>'EIF draft E01'!D51</f>
        <v/>
      </c>
      <c r="E1" s="1"/>
      <c r="F1" s="1"/>
      <c r="AD1" s="642" t="e">
        <f>IF(BK1&lt;#REF!,AI1,IF(AND(BK1=#REF!,BM1&gt;0),AQ1,IF(AND(BK1=#REF!,BQ1&gt;=BM1),BB1,"")))</f>
        <v>#REF!</v>
      </c>
      <c r="AI1" s="52" t="s">
        <v>5425</v>
      </c>
      <c r="AQ1" s="52" t="s">
        <v>5420</v>
      </c>
      <c r="BA1" s="52" t="s">
        <v>5424</v>
      </c>
      <c r="BK1" s="1159" t="e">
        <f>#REF!</f>
        <v>#REF!</v>
      </c>
      <c r="BL1" s="1159"/>
      <c r="BM1" s="1159" t="e">
        <f>#REF!</f>
        <v>#REF!</v>
      </c>
      <c r="BN1" s="1159"/>
      <c r="BO1" s="1160"/>
      <c r="BP1" s="1160"/>
      <c r="BQ1" s="1158" t="e">
        <f>#REF!</f>
        <v>#REF!</v>
      </c>
      <c r="BR1" s="1158"/>
    </row>
    <row r="2" spans="1:70" ht="20" customHeight="1" thickTop="1" x14ac:dyDescent="0.3">
      <c r="A2" s="1"/>
      <c r="B2" s="989">
        <f>'EIF draft E01'!B52</f>
        <v>0</v>
      </c>
      <c r="C2" s="991" t="str">
        <f>'EIF draft E01'!C52</f>
        <v>Verification progress</v>
      </c>
      <c r="D2" s="13"/>
      <c r="E2" s="1"/>
      <c r="F2" s="1"/>
      <c r="AQ2" s="7" t="e">
        <f>#REF!</f>
        <v>#REF!</v>
      </c>
      <c r="AR2" s="8" t="e">
        <f>#REF!</f>
        <v>#REF!</v>
      </c>
      <c r="AS2" s="9" t="e">
        <f>#REF!</f>
        <v>#REF!</v>
      </c>
      <c r="AT2" s="10" t="e">
        <f>#REF!</f>
        <v>#REF!</v>
      </c>
      <c r="AU2" s="11" t="e">
        <f>#REF!</f>
        <v>#REF!</v>
      </c>
      <c r="AX2" s="529">
        <f>IF(AND($B$2&gt;0,$B$2&lt;=0.2),AQ2,IF(AND($B$2&gt;0.2,$B$2&lt;=0.4),AR2,IF(AND($B$2&gt;0.4,$B$2&lt;=0.6),AS2,IF(AND($B$2&gt;0.6,$B$2&lt;=0.8),AT21,IF(AND($B$2&gt;0.8,$B$2&lt;=1),AU2,0)))))</f>
        <v>0</v>
      </c>
      <c r="BG2" s="13" t="str">
        <f>IF(AND(B2&gt;0.4,B2&lt;=0.6),AS2,IF(AND(B2&gt;0.6,B2&lt;=0.8),AT2,""))</f>
        <v/>
      </c>
      <c r="BJ2" s="591" t="e">
        <f>IF(#REF!="","Verification progress",#REF!)</f>
        <v>#REF!</v>
      </c>
      <c r="BQ2" s="591" t="s">
        <v>3984</v>
      </c>
    </row>
    <row r="3" spans="1:70" ht="20" customHeight="1" thickBot="1" x14ac:dyDescent="0.4">
      <c r="A3" s="1"/>
      <c r="B3" s="990"/>
      <c r="C3" s="992"/>
      <c r="D3" s="993" t="s">
        <v>7</v>
      </c>
      <c r="E3" s="1"/>
      <c r="F3" s="1"/>
      <c r="AE3"/>
      <c r="AQ3" s="7"/>
      <c r="AR3" s="8"/>
      <c r="AS3" s="9"/>
      <c r="AT3" s="10"/>
      <c r="AU3" s="11"/>
      <c r="BG3" s="13"/>
      <c r="BL3" s="245"/>
    </row>
    <row r="4" spans="1:70" ht="5" customHeight="1" thickTop="1" x14ac:dyDescent="0.3">
      <c r="A4" s="1"/>
      <c r="B4" s="1"/>
      <c r="C4" s="1"/>
      <c r="D4" s="993"/>
      <c r="E4" s="1"/>
      <c r="F4" s="1"/>
    </row>
    <row r="5" spans="1:70" ht="45" customHeight="1" x14ac:dyDescent="0.45">
      <c r="A5" s="15" t="s">
        <v>8</v>
      </c>
      <c r="B5" s="16"/>
      <c r="C5" s="16"/>
      <c r="D5" s="993"/>
      <c r="E5" s="1"/>
      <c r="F5" s="1"/>
      <c r="G5" s="440"/>
      <c r="AE5"/>
      <c r="BF5" s="17"/>
      <c r="BG5" s="18" t="s">
        <v>9</v>
      </c>
      <c r="BH5" s="18"/>
    </row>
    <row r="6" spans="1:70" ht="10" customHeight="1" thickBot="1" x14ac:dyDescent="0.35">
      <c r="A6" s="1"/>
      <c r="B6" s="1"/>
      <c r="C6" s="1"/>
      <c r="D6" s="993"/>
      <c r="E6" s="1"/>
      <c r="F6" s="1"/>
    </row>
    <row r="7" spans="1:70" ht="21" thickBot="1" x14ac:dyDescent="0.5">
      <c r="A7" s="1"/>
      <c r="B7" s="599" t="s">
        <v>3940</v>
      </c>
      <c r="C7" s="600" t="str">
        <f>'EIF draft E01'!C57</f>
        <v>FIRST NAME</v>
      </c>
      <c r="D7" s="993"/>
      <c r="E7" s="1"/>
      <c r="F7" s="1"/>
    </row>
    <row r="8" spans="1:70" ht="15" customHeight="1" thickBot="1" x14ac:dyDescent="0.35">
      <c r="A8" s="1"/>
      <c r="B8" s="19"/>
      <c r="C8" s="20"/>
      <c r="D8" s="993"/>
      <c r="E8" s="1"/>
      <c r="F8" s="1"/>
    </row>
    <row r="9" spans="1:70" ht="5" customHeight="1" thickBot="1" x14ac:dyDescent="0.35">
      <c r="A9" s="1"/>
      <c r="B9" s="19"/>
      <c r="C9" s="1"/>
      <c r="D9" s="993"/>
      <c r="E9" s="1"/>
      <c r="F9" s="1"/>
    </row>
    <row r="10" spans="1:70" ht="21" thickBot="1" x14ac:dyDescent="0.5">
      <c r="A10" s="1"/>
      <c r="B10" s="599" t="s">
        <v>3941</v>
      </c>
      <c r="C10" s="600" t="str">
        <f>'EIF draft E01'!C60</f>
        <v>FIRST NAME</v>
      </c>
      <c r="D10" s="993"/>
      <c r="E10" s="1"/>
      <c r="F10" s="1"/>
    </row>
    <row r="11" spans="1:70" ht="15" customHeight="1" thickBot="1" x14ac:dyDescent="0.35">
      <c r="A11" s="1"/>
      <c r="B11" s="19"/>
      <c r="C11" s="20"/>
      <c r="D11" s="994"/>
      <c r="E11" s="1"/>
      <c r="F11" s="1"/>
    </row>
    <row r="12" spans="1:70" ht="10" customHeight="1" x14ac:dyDescent="0.3">
      <c r="A12" s="1"/>
      <c r="B12" s="1"/>
      <c r="C12" s="1"/>
      <c r="D12" s="1"/>
      <c r="E12" s="1"/>
      <c r="F12" s="1"/>
    </row>
    <row r="13" spans="1:70" ht="20.399999999999999" customHeight="1" thickBot="1" x14ac:dyDescent="0.4">
      <c r="A13" s="1"/>
      <c r="B13" s="21" t="s">
        <v>10</v>
      </c>
      <c r="C13" s="1"/>
      <c r="D13" s="1"/>
      <c r="E13" s="1"/>
      <c r="F13" s="1"/>
    </row>
    <row r="14" spans="1:70" ht="90" customHeight="1" thickTop="1" thickBot="1" x14ac:dyDescent="0.35">
      <c r="A14" s="1"/>
      <c r="B14" s="995" t="str">
        <f>'EIF draft E01'!B64</f>
        <v>Enter text below in section F, then SYNOPSIS will automatically display here.</v>
      </c>
      <c r="C14" s="996"/>
      <c r="D14" s="997"/>
      <c r="E14" s="22"/>
      <c r="F14" s="1"/>
      <c r="AG14" s="23" t="s">
        <v>11</v>
      </c>
    </row>
    <row r="15" spans="1:70" ht="10" customHeight="1" thickTop="1" thickBot="1" x14ac:dyDescent="0.35">
      <c r="A15" s="1"/>
      <c r="B15" s="1"/>
      <c r="C15" s="1"/>
      <c r="D15" s="1"/>
      <c r="E15" s="1"/>
      <c r="F15" s="1"/>
    </row>
    <row r="16" spans="1:70" ht="16.25" customHeight="1" thickTop="1" thickBot="1" x14ac:dyDescent="0.4">
      <c r="A16" s="1"/>
      <c r="B16" s="24" t="str">
        <f>'EIF draft E01'!B66</f>
        <v/>
      </c>
      <c r="C16" s="998" t="str">
        <f>'EIF draft E01'!C66</f>
        <v>Highlight 1 will display here</v>
      </c>
      <c r="D16" s="998"/>
      <c r="E16" s="1"/>
      <c r="F16" s="1"/>
    </row>
    <row r="17" spans="1:33" ht="19" thickTop="1" thickBot="1" x14ac:dyDescent="0.4">
      <c r="A17" s="1"/>
      <c r="B17" s="24" t="str">
        <f>'EIF draft E01'!B67</f>
        <v/>
      </c>
      <c r="C17" s="998" t="str">
        <f>'EIF draft E01'!C67</f>
        <v>Highlight 2 will display here</v>
      </c>
      <c r="D17" s="998"/>
      <c r="E17" s="1"/>
      <c r="F17" s="1"/>
    </row>
    <row r="18" spans="1:33" ht="19" thickTop="1" thickBot="1" x14ac:dyDescent="0.4">
      <c r="A18" s="1"/>
      <c r="B18" s="24" t="str">
        <f>'EIF draft E01'!B68</f>
        <v/>
      </c>
      <c r="C18" s="998" t="str">
        <f>'EIF draft E01'!C68</f>
        <v>Highlight 3 will display here</v>
      </c>
      <c r="D18" s="998"/>
      <c r="E18" s="1"/>
      <c r="F18" s="1"/>
    </row>
    <row r="19" spans="1:33" ht="19" thickTop="1" thickBot="1" x14ac:dyDescent="0.4">
      <c r="A19" s="1"/>
      <c r="B19" s="24" t="str">
        <f>'EIF draft E01'!B69</f>
        <v/>
      </c>
      <c r="C19" s="998" t="str">
        <f>'EIF draft E01'!C69</f>
        <v>Highlight 4 will display here</v>
      </c>
      <c r="D19" s="998"/>
      <c r="E19" s="1"/>
      <c r="F19" s="1"/>
    </row>
    <row r="20" spans="1:33" ht="19" thickTop="1" thickBot="1" x14ac:dyDescent="0.4">
      <c r="A20" s="1"/>
      <c r="B20" s="24" t="str">
        <f>'EIF draft E01'!B70</f>
        <v/>
      </c>
      <c r="C20" s="998" t="str">
        <f>'EIF draft E01'!C70</f>
        <v>Highlight 5 will display here</v>
      </c>
      <c r="D20" s="998"/>
      <c r="E20" s="1"/>
      <c r="F20" s="1"/>
    </row>
    <row r="21" spans="1:33" ht="19" thickTop="1" thickBot="1" x14ac:dyDescent="0.4">
      <c r="A21" s="1"/>
      <c r="B21" s="24" t="str">
        <f>'EIF draft E01'!B71</f>
        <v/>
      </c>
      <c r="C21" s="998" t="str">
        <f>'EIF draft E01'!C71</f>
        <v>Highlight 6 will display here</v>
      </c>
      <c r="D21" s="998"/>
      <c r="E21" s="1"/>
      <c r="F21" s="1"/>
    </row>
    <row r="22" spans="1:33" ht="19" thickTop="1" thickBot="1" x14ac:dyDescent="0.4">
      <c r="A22" s="1"/>
      <c r="B22" s="24" t="str">
        <f>'EIF draft E01'!B72</f>
        <v/>
      </c>
      <c r="C22" s="998" t="str">
        <f>'EIF draft E01'!C72</f>
        <v>Highlight 7 will display here</v>
      </c>
      <c r="D22" s="998"/>
      <c r="E22" s="1"/>
      <c r="F22" s="1"/>
    </row>
    <row r="23" spans="1:33" ht="19" thickTop="1" thickBot="1" x14ac:dyDescent="0.4">
      <c r="A23" s="1"/>
      <c r="B23" s="24" t="str">
        <f>'EIF draft E01'!B73</f>
        <v/>
      </c>
      <c r="C23" s="998" t="str">
        <f>'EIF draft E01'!C73</f>
        <v>Highlight 8 will display here</v>
      </c>
      <c r="D23" s="998"/>
      <c r="E23" s="1"/>
      <c r="F23" s="1"/>
    </row>
    <row r="24" spans="1:33" ht="19" thickTop="1" thickBot="1" x14ac:dyDescent="0.35">
      <c r="A24" s="1"/>
      <c r="B24" s="24"/>
      <c r="C24" s="24"/>
      <c r="D24" s="24"/>
      <c r="E24" s="1"/>
      <c r="F24" s="1"/>
    </row>
    <row r="25" spans="1:33" ht="18.5" thickTop="1" thickBot="1" x14ac:dyDescent="0.4">
      <c r="A25" s="1"/>
      <c r="B25" s="616" t="str">
        <f>'EIF draft E01'!B75</f>
        <v>Tagline:</v>
      </c>
      <c r="C25" s="998" t="str">
        <f>'EIF draft E01'!C75</f>
        <v>Tagline will display here</v>
      </c>
      <c r="D25" s="998"/>
      <c r="E25" s="1"/>
      <c r="F25" s="1"/>
    </row>
    <row r="26" spans="1:33" ht="18.5" thickTop="1" x14ac:dyDescent="0.3">
      <c r="A26" s="1"/>
      <c r="B26" s="24"/>
      <c r="C26" s="1"/>
      <c r="D26" s="24"/>
      <c r="E26" s="1"/>
      <c r="F26" s="1"/>
    </row>
    <row r="27" spans="1:33" ht="18.5" thickBot="1" x14ac:dyDescent="0.4">
      <c r="A27" s="1"/>
      <c r="B27" s="21" t="s">
        <v>12</v>
      </c>
      <c r="C27" s="1"/>
      <c r="D27" s="24"/>
      <c r="E27" s="1"/>
      <c r="F27" s="1"/>
    </row>
    <row r="28" spans="1:33" ht="85" customHeight="1" thickTop="1" thickBot="1" x14ac:dyDescent="0.35">
      <c r="A28" s="1"/>
      <c r="B28" s="999" t="str">
        <f>'EIF draft E01'!B78</f>
        <v>Enter text below in section F, then FLIPSIDE will automatically display here.</v>
      </c>
      <c r="C28" s="1000"/>
      <c r="D28" s="1001"/>
      <c r="E28" s="1"/>
      <c r="F28" s="1"/>
      <c r="AG28" s="23" t="s">
        <v>13</v>
      </c>
    </row>
    <row r="29" spans="1:33" ht="10" customHeight="1" thickTop="1" x14ac:dyDescent="0.3">
      <c r="A29" s="1"/>
      <c r="B29" s="24"/>
      <c r="C29" s="1"/>
      <c r="D29" s="24"/>
      <c r="E29" s="1"/>
      <c r="F29" s="1"/>
    </row>
    <row r="30" spans="1:33" ht="10" customHeight="1" x14ac:dyDescent="0.3">
      <c r="A30" s="1"/>
      <c r="B30" s="1"/>
      <c r="C30" s="1"/>
      <c r="D30" s="24"/>
      <c r="E30" s="1"/>
      <c r="F30" s="1"/>
    </row>
    <row r="31" spans="1:33" ht="18" x14ac:dyDescent="0.35">
      <c r="A31" s="1"/>
      <c r="B31" s="21" t="s">
        <v>14</v>
      </c>
      <c r="C31" s="1"/>
      <c r="D31" s="24"/>
      <c r="E31" s="1"/>
      <c r="F31" s="1"/>
    </row>
    <row r="32" spans="1:33" ht="5" customHeight="1" thickBot="1" x14ac:dyDescent="0.35">
      <c r="A32" s="1"/>
      <c r="B32" s="1"/>
      <c r="C32" s="1"/>
      <c r="D32" s="1"/>
      <c r="E32" s="1"/>
      <c r="F32" s="1"/>
    </row>
    <row r="33" spans="1:62" ht="400" customHeight="1" thickTop="1" thickBot="1" x14ac:dyDescent="0.35">
      <c r="A33" s="1"/>
      <c r="B33" s="999" t="str">
        <f>'EIF draft E01'!B83</f>
        <v>Enter text below in section F, then SUMMARY will automatically display here.</v>
      </c>
      <c r="C33" s="1000"/>
      <c r="D33" s="1001"/>
      <c r="E33" s="1"/>
      <c r="F33" s="1"/>
      <c r="AG33" s="23" t="s">
        <v>15</v>
      </c>
    </row>
    <row r="34" spans="1:62" ht="30" customHeight="1" thickTop="1" x14ac:dyDescent="0.3">
      <c r="A34" s="1"/>
      <c r="B34" s="25" t="e">
        <f>IF(#REF!=0,0,#REF!)</f>
        <v>#REF!</v>
      </c>
      <c r="C34" s="26" t="e">
        <f>IF(B34="","","estimated eligible compensation under state law")</f>
        <v>#REF!</v>
      </c>
      <c r="D34" s="1"/>
      <c r="E34" s="1"/>
      <c r="F34" s="1"/>
    </row>
    <row r="35" spans="1:62" ht="5" customHeight="1" x14ac:dyDescent="0.3">
      <c r="A35" s="1"/>
      <c r="B35" s="25"/>
      <c r="C35" s="26"/>
      <c r="D35" s="1"/>
      <c r="E35" s="1"/>
      <c r="F35" s="1"/>
    </row>
    <row r="36" spans="1:62" x14ac:dyDescent="0.3">
      <c r="A36" s="1"/>
      <c r="B36" s="1"/>
      <c r="C36" s="1"/>
      <c r="D36" s="1"/>
      <c r="E36" s="1"/>
      <c r="F36" s="1"/>
    </row>
    <row r="37" spans="1:62" ht="30" customHeight="1" x14ac:dyDescent="0.3">
      <c r="A37" s="1"/>
      <c r="B37" s="27"/>
      <c r="C37" s="27"/>
      <c r="D37" s="27"/>
      <c r="E37" s="1"/>
      <c r="F37" s="1"/>
    </row>
    <row r="38" spans="1:62" ht="30" customHeight="1" x14ac:dyDescent="0.3">
      <c r="A38" s="1"/>
      <c r="B38" s="27"/>
      <c r="C38" s="27"/>
      <c r="D38" s="27"/>
      <c r="E38" s="1"/>
      <c r="F38" s="1"/>
    </row>
    <row r="39" spans="1:62" ht="30" customHeight="1" x14ac:dyDescent="0.3">
      <c r="A39" s="1"/>
      <c r="B39" s="27"/>
      <c r="C39" s="27"/>
      <c r="D39" s="27"/>
      <c r="E39" s="1"/>
      <c r="F39" s="1"/>
    </row>
    <row r="40" spans="1:62" ht="30" customHeight="1" x14ac:dyDescent="0.3">
      <c r="A40" s="1"/>
      <c r="B40" s="27"/>
      <c r="C40" s="27"/>
      <c r="D40" s="27"/>
      <c r="E40" s="1"/>
      <c r="F40" s="1"/>
    </row>
    <row r="41" spans="1:62" ht="30" customHeight="1" x14ac:dyDescent="0.3">
      <c r="A41" s="1"/>
      <c r="B41" s="27"/>
      <c r="C41" s="27"/>
      <c r="D41" s="27"/>
      <c r="E41" s="1"/>
      <c r="F41" s="1"/>
    </row>
    <row r="42" spans="1:62" ht="30" customHeight="1" x14ac:dyDescent="0.3">
      <c r="A42" s="1"/>
      <c r="B42" s="27"/>
      <c r="C42" s="27"/>
      <c r="D42" s="27"/>
      <c r="E42" s="1"/>
      <c r="F42" s="1"/>
    </row>
    <row r="43" spans="1:62" ht="30" customHeight="1" x14ac:dyDescent="0.3">
      <c r="A43" s="1"/>
      <c r="B43" s="1002" t="s">
        <v>16</v>
      </c>
      <c r="C43" s="1002"/>
      <c r="D43" s="1002"/>
      <c r="E43" s="1"/>
      <c r="F43" s="1"/>
    </row>
    <row r="44" spans="1:62" ht="15" customHeight="1" x14ac:dyDescent="0.3">
      <c r="A44" s="1"/>
      <c r="B44" s="25"/>
      <c r="C44" s="26"/>
      <c r="D44" s="1"/>
      <c r="E44" s="1"/>
      <c r="F44" s="1"/>
    </row>
    <row r="45" spans="1:62" ht="20" customHeight="1" x14ac:dyDescent="0.3">
      <c r="A45" s="1"/>
      <c r="B45" s="986" t="s">
        <v>17</v>
      </c>
      <c r="C45" s="986"/>
      <c r="D45" s="986"/>
      <c r="E45" s="1"/>
      <c r="F45" s="1"/>
    </row>
    <row r="46" spans="1:62" ht="72" customHeight="1" x14ac:dyDescent="0.3">
      <c r="A46" s="1"/>
      <c r="B46" s="988" t="str">
        <f>'EIF draft E01'!B96</f>
        <v>Collateral consequences create second-class citizens, often without measurable outcomes to test if meeting their intended purpose. Consequently, they can have the opposite effect, like enabling recidivism--even among the wrongly convicted.  You can help change this.</v>
      </c>
      <c r="C46" s="988"/>
      <c r="D46" s="988"/>
      <c r="E46" s="1"/>
      <c r="F46" s="1"/>
      <c r="BH46" s="25" t="s">
        <v>18</v>
      </c>
      <c r="BJ46" s="28" t="s">
        <v>19</v>
      </c>
    </row>
    <row r="47" spans="1:62" ht="5" customHeight="1" x14ac:dyDescent="0.3">
      <c r="A47" s="1"/>
      <c r="B47" s="25"/>
      <c r="C47" s="26"/>
      <c r="D47" s="1"/>
      <c r="E47" s="1"/>
      <c r="F47" s="1"/>
      <c r="BH47" s="25"/>
      <c r="BJ47" s="28"/>
    </row>
    <row r="48" spans="1:62" ht="20" customHeight="1" x14ac:dyDescent="0.3">
      <c r="A48" s="1"/>
      <c r="B48" s="986" t="s">
        <v>20</v>
      </c>
      <c r="C48" s="986"/>
      <c r="D48" s="986"/>
      <c r="E48" s="1"/>
      <c r="F48" s="1"/>
      <c r="BH48" s="25" t="s">
        <v>21</v>
      </c>
    </row>
    <row r="49" spans="1:60" ht="60" customHeight="1" x14ac:dyDescent="0.3">
      <c r="A49" s="1"/>
      <c r="B49" s="988" t="str">
        <f>'EIF draft E01'!B99</f>
        <v>Collateral consequences also impact others in this claimant's life.  This claimant shares how others have suffered. You can help improve their lives too!</v>
      </c>
      <c r="C49" s="988"/>
      <c r="D49" s="988"/>
      <c r="E49" s="1"/>
      <c r="F49" s="1"/>
      <c r="BH49" s="25"/>
    </row>
    <row r="50" spans="1:60" ht="5" customHeight="1" x14ac:dyDescent="0.3">
      <c r="A50" s="1"/>
      <c r="B50" s="25"/>
      <c r="C50" s="26"/>
      <c r="D50" s="1"/>
      <c r="E50" s="1"/>
      <c r="F50" s="1"/>
      <c r="BH50" s="25"/>
    </row>
    <row r="51" spans="1:60" ht="20" customHeight="1" x14ac:dyDescent="0.3">
      <c r="A51" s="1"/>
      <c r="B51" s="986" t="s">
        <v>22</v>
      </c>
      <c r="C51" s="986"/>
      <c r="D51" s="986"/>
      <c r="E51" s="1"/>
      <c r="F51" s="1"/>
      <c r="BH51" s="25" t="s">
        <v>23</v>
      </c>
    </row>
    <row r="52" spans="1:60" ht="60" customHeight="1" x14ac:dyDescent="0.3">
      <c r="A52" s="1"/>
      <c r="B52" s="988" t="str">
        <f>'EIF draft E01'!B102</f>
        <v xml:space="preserve">Despite challenging needs, this claimant aspires toward life improvements. Removing illicit discrimination will go a long way toward improving this claimant's life. </v>
      </c>
      <c r="C52" s="988"/>
      <c r="D52" s="988"/>
      <c r="E52" s="1"/>
      <c r="F52" s="1"/>
      <c r="BH52" s="25"/>
    </row>
    <row r="53" spans="1:60" ht="5" customHeight="1" x14ac:dyDescent="0.3">
      <c r="A53" s="1"/>
      <c r="B53" s="25"/>
      <c r="C53" s="26"/>
      <c r="D53" s="1"/>
      <c r="E53" s="1"/>
      <c r="F53" s="1"/>
      <c r="BH53" s="25"/>
    </row>
    <row r="54" spans="1:60" ht="15" customHeight="1" x14ac:dyDescent="0.3">
      <c r="A54" s="1"/>
      <c r="B54" s="25"/>
      <c r="C54" s="26"/>
      <c r="D54" s="1"/>
      <c r="E54" s="1"/>
      <c r="F54" s="1"/>
      <c r="AD54" s="807" t="e">
        <f>IF(#REF!="","",#REF!)</f>
        <v>#REF!</v>
      </c>
      <c r="AE54" s="30"/>
      <c r="AF54" s="30"/>
      <c r="AG54" s="30"/>
      <c r="AH54" s="31"/>
      <c r="AI54" s="806" t="e">
        <f>IF(#REF!=0,"",#REF!)</f>
        <v>#REF!</v>
      </c>
      <c r="BH54" s="25"/>
    </row>
    <row r="55" spans="1:60" ht="20" customHeight="1" x14ac:dyDescent="0.3">
      <c r="A55" s="1"/>
      <c r="B55" s="986" t="s">
        <v>24</v>
      </c>
      <c r="C55" s="986"/>
      <c r="D55" s="986"/>
      <c r="E55" s="1"/>
      <c r="F55" s="1"/>
      <c r="AD55" s="48" t="s">
        <v>25</v>
      </c>
      <c r="BH55" s="25" t="s">
        <v>26</v>
      </c>
    </row>
    <row r="56" spans="1:60" ht="60" customHeight="1" x14ac:dyDescent="0.3">
      <c r="A56" s="1"/>
      <c r="B56" s="988" t="str">
        <f>'EIF draft E01'!B106</f>
        <v>Most states allow employers to check criminal backgrounds stretching far into the past. These records provide no distinction between sound evidence-based convictions and non-exonerated wrongful convictions, permitting otherwise illicit disrimination.</v>
      </c>
      <c r="C56" s="988"/>
      <c r="D56" s="988"/>
      <c r="E56" s="1"/>
      <c r="F56" s="1"/>
      <c r="AD56" s="48" t="e">
        <f>IF(AND($AD$54=#REF!,$AI$54=#REF!),#REF!,"")</f>
        <v>#REF!</v>
      </c>
    </row>
    <row r="57" spans="1:60" ht="15" customHeight="1" x14ac:dyDescent="0.3">
      <c r="A57" s="1"/>
      <c r="B57" s="25"/>
      <c r="C57" s="26"/>
      <c r="D57" s="1"/>
      <c r="E57" s="1"/>
      <c r="F57" s="1"/>
    </row>
    <row r="58" spans="1:60" ht="20" customHeight="1" x14ac:dyDescent="0.3">
      <c r="A58" s="1"/>
      <c r="B58" s="986" t="s">
        <v>27</v>
      </c>
      <c r="C58" s="986"/>
      <c r="D58" s="986"/>
      <c r="E58" s="1"/>
      <c r="F58" s="1"/>
    </row>
    <row r="59" spans="1:60" ht="50" customHeight="1" x14ac:dyDescent="0.3">
      <c r="A59" s="1"/>
      <c r="B59" s="987" t="str">
        <f>'EIF draft E01'!B109</f>
        <v>Claimant understandably experiences some anxiety from the wrongful conviction. Once hired, much of that should clear up. If not, Value Relating can help.</v>
      </c>
      <c r="C59" s="987"/>
      <c r="D59" s="987"/>
      <c r="E59" s="1"/>
      <c r="F59" s="1"/>
    </row>
    <row r="60" spans="1:60" ht="50" customHeight="1" x14ac:dyDescent="0.3">
      <c r="A60" s="1"/>
      <c r="B60" s="987" t="str">
        <f>'EIF draft E01'!B110</f>
        <v>Claimant understandably experiences some depression from the wrongful conviction. The wrongful conviction produces plenty of depressing economic conditions. Once hired, much of that should clear up. If not, Value Relating can help.</v>
      </c>
      <c r="C60" s="987"/>
      <c r="D60" s="987"/>
      <c r="E60" s="1"/>
      <c r="F60" s="1"/>
      <c r="AD60" s="48" t="e">
        <f>CONCATENATE(AG61,AO62,AG63)</f>
        <v>#REF!</v>
      </c>
    </row>
    <row r="61" spans="1:60" ht="15" customHeight="1" x14ac:dyDescent="0.3">
      <c r="A61" s="1"/>
      <c r="B61" s="25"/>
      <c r="C61" s="26"/>
      <c r="D61" s="1"/>
      <c r="E61" s="1"/>
      <c r="F61" s="1"/>
      <c r="AG61" s="48" t="s">
        <v>28</v>
      </c>
    </row>
    <row r="62" spans="1:60" ht="15" customHeight="1" x14ac:dyDescent="0.3">
      <c r="A62" s="1"/>
      <c r="B62" s="986" t="s">
        <v>29</v>
      </c>
      <c r="C62" s="986"/>
      <c r="D62" s="986"/>
      <c r="E62" s="1"/>
      <c r="F62" s="1"/>
      <c r="AG62" s="48" t="s">
        <v>30</v>
      </c>
      <c r="AI62" s="48" t="e">
        <f>IF(#REF!="","You",#REF!)</f>
        <v>#REF!</v>
      </c>
      <c r="AO62" s="48" t="e">
        <f>IF(OR(AI62=#REF!,AI62=""),AG62,AI62)</f>
        <v>#REF!</v>
      </c>
    </row>
    <row r="63" spans="1:60" ht="85" customHeight="1" x14ac:dyDescent="0.3">
      <c r="A63" s="1"/>
      <c r="B63" s="988" t="str">
        <f>'EIF draft E01'!B113</f>
        <v>You need those you trust to be trustworthy. Right? You need them to make informed decisions about you, so they don’t waste your precious time. Likewise, claimant needs those they trust, like you, to be trustworthy. They need those like you to be better informed in their decisions regarding them. Acknowledging the widespread problem of wrongful convictions is a start. Using this estimate of innocence can help you make better decisions.</v>
      </c>
      <c r="C63" s="988"/>
      <c r="D63" s="988"/>
      <c r="E63" s="1"/>
      <c r="F63" s="1"/>
      <c r="AG63" s="48" t="s">
        <v>31</v>
      </c>
    </row>
    <row r="64" spans="1:60" ht="35" customHeight="1" x14ac:dyDescent="0.3">
      <c r="A64" s="1"/>
      <c r="B64" s="25"/>
      <c r="C64" s="26"/>
      <c r="D64" s="1"/>
      <c r="E64" s="1"/>
      <c r="F64" s="1"/>
    </row>
    <row r="65" spans="1:104" ht="30" customHeight="1" x14ac:dyDescent="0.4">
      <c r="A65" s="32" t="s">
        <v>32</v>
      </c>
      <c r="B65" s="1"/>
      <c r="C65" s="1"/>
      <c r="D65" s="1"/>
      <c r="E65" s="1"/>
      <c r="F65" s="1"/>
      <c r="AG65" s="48" t="e">
        <f>#REF!</f>
        <v>#REF!</v>
      </c>
    </row>
    <row r="66" spans="1:104" ht="15" customHeight="1" x14ac:dyDescent="0.3">
      <c r="A66" s="1"/>
      <c r="B66" s="25"/>
      <c r="C66" s="26"/>
      <c r="D66" s="1"/>
      <c r="E66" s="1"/>
      <c r="F66" s="1"/>
    </row>
    <row r="67" spans="1:104" ht="15" customHeight="1" x14ac:dyDescent="0.3">
      <c r="A67" s="1"/>
      <c r="B67" s="25"/>
      <c r="C67" s="26"/>
      <c r="D67" s="1"/>
      <c r="E67" s="1"/>
      <c r="F67" s="1"/>
    </row>
    <row r="68" spans="1:104" ht="15" customHeight="1" x14ac:dyDescent="0.3">
      <c r="A68" s="1"/>
      <c r="B68" s="25"/>
      <c r="C68" s="26"/>
      <c r="D68" s="1"/>
      <c r="E68" s="1"/>
      <c r="F68" s="1"/>
    </row>
    <row r="69" spans="1:104" ht="15" customHeight="1" x14ac:dyDescent="0.3">
      <c r="A69" s="1"/>
      <c r="B69" s="25"/>
      <c r="C69" s="26"/>
      <c r="D69" s="1"/>
      <c r="E69" s="1"/>
      <c r="F69" s="1"/>
    </row>
    <row r="70" spans="1:104" ht="15" customHeight="1" x14ac:dyDescent="0.3">
      <c r="A70" s="1"/>
      <c r="B70" s="25"/>
      <c r="C70" s="26"/>
      <c r="D70" s="1"/>
      <c r="E70" s="1"/>
      <c r="F70" s="1"/>
    </row>
    <row r="71" spans="1:104" ht="15" customHeight="1" x14ac:dyDescent="0.3">
      <c r="A71" s="1"/>
      <c r="B71" s="1"/>
      <c r="C71" s="26"/>
      <c r="D71" s="1"/>
      <c r="E71" s="1"/>
      <c r="F71" s="1"/>
    </row>
    <row r="72" spans="1:104" ht="30" customHeight="1" x14ac:dyDescent="0.3">
      <c r="A72" s="1"/>
      <c r="B72" s="1"/>
      <c r="C72" s="26"/>
      <c r="D72" s="1"/>
      <c r="E72" s="1"/>
      <c r="F72" s="1"/>
    </row>
    <row r="73" spans="1:104" ht="15" customHeight="1" x14ac:dyDescent="0.3">
      <c r="A73" s="1"/>
      <c r="B73" s="1"/>
      <c r="C73" s="26"/>
      <c r="D73" s="1"/>
      <c r="E73" s="1"/>
      <c r="F73" s="1"/>
    </row>
    <row r="74" spans="1:104" ht="15" customHeight="1" x14ac:dyDescent="0.3">
      <c r="A74" s="1"/>
      <c r="B74" s="1"/>
      <c r="C74" s="26"/>
      <c r="D74" s="1"/>
      <c r="E74" s="1"/>
      <c r="F74" s="1"/>
    </row>
    <row r="75" spans="1:104" ht="15" customHeight="1" x14ac:dyDescent="0.3">
      <c r="A75" s="1"/>
      <c r="B75" s="25"/>
      <c r="C75" s="26"/>
      <c r="D75" s="1"/>
      <c r="E75" s="1"/>
      <c r="F75" s="1"/>
    </row>
    <row r="76" spans="1:104" ht="15" customHeight="1" x14ac:dyDescent="0.3">
      <c r="A76" s="1"/>
      <c r="B76" s="25"/>
      <c r="C76" s="26"/>
      <c r="D76" s="1"/>
      <c r="E76" s="1"/>
      <c r="F76" s="1"/>
    </row>
    <row r="77" spans="1:104" ht="15" customHeight="1" x14ac:dyDescent="0.3">
      <c r="A77" s="1"/>
      <c r="B77" s="25"/>
      <c r="C77" s="26"/>
      <c r="D77" s="1"/>
      <c r="E77" s="1"/>
      <c r="F77" s="1"/>
    </row>
    <row r="78" spans="1:104" ht="15" customHeight="1" x14ac:dyDescent="0.3">
      <c r="A78" s="1"/>
      <c r="B78" s="25"/>
      <c r="C78" s="26"/>
      <c r="D78" s="1"/>
      <c r="E78" s="1"/>
      <c r="F78" s="1"/>
    </row>
    <row r="79" spans="1:104" s="4" customFormat="1" ht="15" customHeight="1" x14ac:dyDescent="0.3">
      <c r="A79" s="1"/>
      <c r="B79" s="25"/>
      <c r="C79" s="26"/>
      <c r="D79" s="1"/>
      <c r="E79" s="1"/>
      <c r="F79" s="1"/>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14"/>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row>
    <row r="80" spans="1:104" s="4" customFormat="1" ht="15" customHeight="1" x14ac:dyDescent="0.3">
      <c r="A80" s="1"/>
      <c r="B80" s="25"/>
      <c r="C80" s="26"/>
      <c r="D80" s="1"/>
      <c r="E80" s="1"/>
      <c r="F80" s="1"/>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14"/>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row>
    <row r="81" spans="1:104" s="4" customFormat="1" ht="15" customHeight="1" x14ac:dyDescent="0.3">
      <c r="A81" s="1"/>
      <c r="B81" s="25"/>
      <c r="C81" s="26"/>
      <c r="D81" s="1"/>
      <c r="E81" s="1"/>
      <c r="F81" s="1"/>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14"/>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row>
    <row r="82" spans="1:104" s="4" customFormat="1" ht="15" customHeight="1" x14ac:dyDescent="0.3">
      <c r="A82" s="1"/>
      <c r="B82" s="25"/>
      <c r="C82" s="26"/>
      <c r="D82" s="1"/>
      <c r="E82" s="1"/>
      <c r="F82" s="1"/>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14"/>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row>
    <row r="83" spans="1:104" s="4" customFormat="1" ht="15" customHeight="1" x14ac:dyDescent="0.3">
      <c r="A83" s="1"/>
      <c r="B83" s="25"/>
      <c r="C83" s="26"/>
      <c r="D83" s="1"/>
      <c r="E83" s="1"/>
      <c r="F83" s="1"/>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14"/>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row>
    <row r="84" spans="1:104" s="4" customFormat="1" ht="15" customHeight="1" x14ac:dyDescent="0.3">
      <c r="A84" s="1"/>
      <c r="B84" s="25"/>
      <c r="C84" s="1003" t="s">
        <v>33</v>
      </c>
      <c r="D84" s="1004" t="s">
        <v>34</v>
      </c>
      <c r="E84" s="1004"/>
      <c r="F84" s="1"/>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14"/>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row>
    <row r="85" spans="1:104" s="4" customFormat="1" ht="15" customHeight="1" thickBot="1" x14ac:dyDescent="0.35">
      <c r="A85" s="1"/>
      <c r="B85" s="25"/>
      <c r="C85" s="1003"/>
      <c r="D85" s="1004"/>
      <c r="E85" s="1004"/>
      <c r="F85" s="1"/>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14"/>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row>
    <row r="86" spans="1:104" s="4" customFormat="1" ht="15" customHeight="1" x14ac:dyDescent="0.3">
      <c r="A86" s="1"/>
      <c r="B86" s="979" t="s">
        <v>35</v>
      </c>
      <c r="C86" s="980" t="s">
        <v>36</v>
      </c>
      <c r="D86" s="982" t="s">
        <v>3924</v>
      </c>
      <c r="E86" s="983"/>
      <c r="F86" s="1"/>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14"/>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row>
    <row r="87" spans="1:104" s="4" customFormat="1" ht="15" customHeight="1" x14ac:dyDescent="0.3">
      <c r="A87" s="1"/>
      <c r="B87" s="979"/>
      <c r="C87" s="981"/>
      <c r="D87" s="984"/>
      <c r="E87" s="985"/>
      <c r="F87" s="1"/>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14"/>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row>
    <row r="88" spans="1:104" s="4" customFormat="1" ht="15" customHeight="1" x14ac:dyDescent="0.3">
      <c r="A88" s="1"/>
      <c r="B88" s="979" t="s">
        <v>37</v>
      </c>
      <c r="C88" s="981" t="s">
        <v>38</v>
      </c>
      <c r="D88" s="984" t="s">
        <v>39</v>
      </c>
      <c r="E88" s="985"/>
      <c r="F88" s="1"/>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14"/>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row>
    <row r="89" spans="1:104" s="4" customFormat="1" ht="15" customHeight="1" x14ac:dyDescent="0.3">
      <c r="A89" s="1"/>
      <c r="B89" s="979"/>
      <c r="C89" s="981"/>
      <c r="D89" s="984"/>
      <c r="E89" s="985"/>
      <c r="F89" s="1"/>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14"/>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row>
    <row r="90" spans="1:104" s="4" customFormat="1" ht="15" customHeight="1" x14ac:dyDescent="0.3">
      <c r="A90" s="1"/>
      <c r="B90" s="979" t="s">
        <v>40</v>
      </c>
      <c r="C90" s="981" t="s">
        <v>41</v>
      </c>
      <c r="D90" s="984" t="s">
        <v>42</v>
      </c>
      <c r="E90" s="985"/>
      <c r="F90" s="1"/>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14"/>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row>
    <row r="91" spans="1:104" s="4" customFormat="1" ht="15" customHeight="1" x14ac:dyDescent="0.3">
      <c r="A91" s="1"/>
      <c r="B91" s="979"/>
      <c r="C91" s="981"/>
      <c r="D91" s="984"/>
      <c r="E91" s="985"/>
      <c r="F91" s="1"/>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14"/>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row>
    <row r="92" spans="1:104" s="4" customFormat="1" ht="15" customHeight="1" x14ac:dyDescent="0.3">
      <c r="A92" s="1"/>
      <c r="B92" s="979" t="s">
        <v>43</v>
      </c>
      <c r="C92" s="981" t="s">
        <v>44</v>
      </c>
      <c r="D92" s="984" t="s">
        <v>45</v>
      </c>
      <c r="E92" s="985"/>
      <c r="F92" s="1"/>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14"/>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row>
    <row r="93" spans="1:104" s="4" customFormat="1" ht="15" customHeight="1" x14ac:dyDescent="0.3">
      <c r="A93" s="1"/>
      <c r="B93" s="979"/>
      <c r="C93" s="981"/>
      <c r="D93" s="984"/>
      <c r="E93" s="985"/>
      <c r="F93" s="1"/>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14"/>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row>
    <row r="94" spans="1:104" s="4" customFormat="1" ht="15" customHeight="1" x14ac:dyDescent="0.3">
      <c r="A94" s="1"/>
      <c r="B94" s="979" t="s">
        <v>46</v>
      </c>
      <c r="C94" s="981" t="s">
        <v>47</v>
      </c>
      <c r="D94" s="984" t="s">
        <v>48</v>
      </c>
      <c r="E94" s="985"/>
      <c r="F94" s="1"/>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14"/>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row>
    <row r="95" spans="1:104" ht="15" customHeight="1" x14ac:dyDescent="0.3">
      <c r="A95" s="1"/>
      <c r="B95" s="979"/>
      <c r="C95" s="981"/>
      <c r="D95" s="984"/>
      <c r="E95" s="985"/>
      <c r="F95" s="1"/>
    </row>
    <row r="96" spans="1:104" ht="15" customHeight="1" x14ac:dyDescent="0.3">
      <c r="A96" s="1"/>
      <c r="B96" s="979" t="s">
        <v>49</v>
      </c>
      <c r="C96" s="981" t="s">
        <v>50</v>
      </c>
      <c r="D96" s="984" t="s">
        <v>51</v>
      </c>
      <c r="E96" s="985"/>
      <c r="F96" s="1"/>
      <c r="BY96" s="28" t="s">
        <v>19</v>
      </c>
    </row>
    <row r="97" spans="1:104" ht="15" customHeight="1" x14ac:dyDescent="0.3">
      <c r="A97" s="1"/>
      <c r="B97" s="979"/>
      <c r="C97" s="981"/>
      <c r="D97" s="984"/>
      <c r="E97" s="985"/>
      <c r="F97" s="1"/>
      <c r="BY97" s="28" t="s">
        <v>52</v>
      </c>
    </row>
    <row r="98" spans="1:104" ht="15" customHeight="1" x14ac:dyDescent="0.3">
      <c r="A98" s="1"/>
      <c r="B98" s="979" t="s">
        <v>53</v>
      </c>
      <c r="C98" s="981" t="s">
        <v>54</v>
      </c>
      <c r="D98" s="984" t="s">
        <v>55</v>
      </c>
      <c r="E98" s="985"/>
      <c r="F98" s="1"/>
      <c r="BY98" s="28" t="s">
        <v>56</v>
      </c>
    </row>
    <row r="99" spans="1:104" ht="15" customHeight="1" x14ac:dyDescent="0.3">
      <c r="A99" s="1"/>
      <c r="B99" s="979"/>
      <c r="C99" s="981"/>
      <c r="D99" s="984"/>
      <c r="E99" s="985"/>
      <c r="F99" s="1"/>
      <c r="BY99" s="28" t="s">
        <v>57</v>
      </c>
    </row>
    <row r="100" spans="1:104" ht="15" customHeight="1" x14ac:dyDescent="0.3">
      <c r="A100" s="1"/>
      <c r="B100" s="979" t="s">
        <v>58</v>
      </c>
      <c r="C100" s="981" t="s">
        <v>59</v>
      </c>
      <c r="D100" s="984" t="s">
        <v>60</v>
      </c>
      <c r="E100" s="985"/>
      <c r="F100" s="1"/>
    </row>
    <row r="101" spans="1:104" ht="15" customHeight="1" thickBot="1" x14ac:dyDescent="0.35">
      <c r="A101" s="1"/>
      <c r="B101" s="979"/>
      <c r="C101" s="1011"/>
      <c r="D101" s="1012"/>
      <c r="E101" s="1013"/>
      <c r="F101" s="1"/>
    </row>
    <row r="102" spans="1:104" ht="15" customHeight="1" x14ac:dyDescent="0.35">
      <c r="A102" s="1"/>
      <c r="B102" s="25"/>
      <c r="C102" s="26"/>
      <c r="D102" s="1"/>
      <c r="E102" s="1"/>
      <c r="F102" s="1"/>
      <c r="AL102"/>
    </row>
    <row r="103" spans="1:104" ht="15" customHeight="1" x14ac:dyDescent="0.3">
      <c r="A103" s="1"/>
      <c r="B103" s="25"/>
      <c r="C103" s="26"/>
      <c r="D103" s="1"/>
      <c r="E103" s="1"/>
      <c r="F103" s="1"/>
    </row>
    <row r="104" spans="1:104" ht="50" customHeight="1" x14ac:dyDescent="0.3">
      <c r="A104" s="1"/>
      <c r="B104" s="25"/>
      <c r="C104" s="26"/>
      <c r="D104" s="1"/>
      <c r="E104" s="1"/>
      <c r="F104" s="1"/>
    </row>
    <row r="105" spans="1:104" ht="10" customHeight="1" x14ac:dyDescent="0.3">
      <c r="A105" s="1"/>
      <c r="B105" s="25"/>
      <c r="C105" s="26"/>
      <c r="D105" s="1"/>
      <c r="E105" s="1"/>
      <c r="F105" s="1"/>
    </row>
    <row r="106" spans="1:104" ht="25" customHeight="1" x14ac:dyDescent="0.4">
      <c r="A106" s="33" t="s">
        <v>61</v>
      </c>
      <c r="B106" s="1"/>
      <c r="C106" s="1"/>
      <c r="D106" s="1"/>
      <c r="E106" s="1"/>
      <c r="F106" s="1"/>
    </row>
    <row r="107" spans="1:104" ht="5" customHeight="1" x14ac:dyDescent="0.4">
      <c r="A107" s="33"/>
      <c r="B107" s="1"/>
      <c r="C107" s="1"/>
      <c r="D107" s="1"/>
      <c r="E107" s="1"/>
      <c r="F107" s="1"/>
    </row>
    <row r="108" spans="1:104" ht="18" customHeight="1" x14ac:dyDescent="0.65">
      <c r="A108" s="34" t="s">
        <v>62</v>
      </c>
      <c r="B108" s="34" t="str">
        <f>'EIF draft E01'!B158</f>
        <v>Case information</v>
      </c>
      <c r="C108" s="1"/>
      <c r="D108" s="1"/>
      <c r="E108" s="1"/>
      <c r="F108" s="1"/>
    </row>
    <row r="109" spans="1:104" ht="14" customHeight="1" x14ac:dyDescent="0.3">
      <c r="A109" s="35"/>
      <c r="B109" s="38" t="s">
        <v>63</v>
      </c>
      <c r="C109" s="35"/>
      <c r="D109" s="35"/>
      <c r="E109" s="1"/>
      <c r="F109" s="1"/>
    </row>
    <row r="110" spans="1:104" ht="18" customHeight="1" x14ac:dyDescent="0.65">
      <c r="A110" s="34" t="s">
        <v>64</v>
      </c>
      <c r="B110" s="34" t="str">
        <f>'EIF draft E01'!B160</f>
        <v>Documentation for verification</v>
      </c>
      <c r="C110" s="1"/>
      <c r="D110" s="1"/>
      <c r="E110" s="1"/>
      <c r="F110" s="1"/>
    </row>
    <row r="111" spans="1:104" s="4" customFormat="1" ht="14" customHeight="1" x14ac:dyDescent="0.3">
      <c r="A111" s="35"/>
      <c r="B111" s="38" t="s">
        <v>65</v>
      </c>
      <c r="C111" s="35"/>
      <c r="D111" s="35"/>
      <c r="E111" s="1"/>
      <c r="F111" s="1"/>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14"/>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row>
    <row r="112" spans="1:104" s="4" customFormat="1" ht="18" customHeight="1" x14ac:dyDescent="0.65">
      <c r="A112" s="36" t="s">
        <v>66</v>
      </c>
      <c r="B112" s="37" t="str">
        <f>'EIF draft E01'!B162</f>
        <v>Common factors in wrongful convictions</v>
      </c>
      <c r="C112" s="1"/>
      <c r="D112" s="1"/>
      <c r="E112" s="1"/>
      <c r="F112" s="1"/>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14"/>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row>
    <row r="113" spans="1:104" s="4" customFormat="1" ht="14" customHeight="1" x14ac:dyDescent="0.45">
      <c r="A113" s="36"/>
      <c r="B113" s="445" t="s">
        <v>67</v>
      </c>
      <c r="C113" s="35"/>
      <c r="D113" s="35"/>
      <c r="E113" s="1"/>
      <c r="F113" s="1"/>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14"/>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row>
    <row r="114" spans="1:104" s="4" customFormat="1" ht="18" customHeight="1" x14ac:dyDescent="0.65">
      <c r="A114" s="36" t="s">
        <v>68</v>
      </c>
      <c r="B114" s="37" t="str">
        <f>'EIF draft E01'!B164</f>
        <v>Evidentiary factors</v>
      </c>
      <c r="C114" s="1"/>
      <c r="D114" s="1"/>
      <c r="E114" s="1"/>
      <c r="F114" s="1"/>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14"/>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row>
    <row r="115" spans="1:104" s="4" customFormat="1" ht="14" customHeight="1" x14ac:dyDescent="0.45">
      <c r="A115" s="36"/>
      <c r="B115" s="445" t="s">
        <v>69</v>
      </c>
      <c r="C115" s="35"/>
      <c r="D115" s="35"/>
      <c r="E115" s="1"/>
      <c r="F115" s="1"/>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14"/>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row>
    <row r="116" spans="1:104" s="4" customFormat="1" ht="18" customHeight="1" x14ac:dyDescent="0.65">
      <c r="A116" s="36" t="s">
        <v>70</v>
      </c>
      <c r="B116" s="37" t="str">
        <f>'EIF draft E01'!B166</f>
        <v>Investigative factors</v>
      </c>
      <c r="C116" s="1"/>
      <c r="D116" s="1"/>
      <c r="E116" s="1"/>
      <c r="F116" s="1"/>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14"/>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row>
    <row r="117" spans="1:104" s="4" customFormat="1" ht="14" customHeight="1" x14ac:dyDescent="0.45">
      <c r="A117" s="36"/>
      <c r="B117" s="445" t="s">
        <v>71</v>
      </c>
      <c r="C117" s="35"/>
      <c r="D117" s="35"/>
      <c r="E117" s="1"/>
      <c r="F117" s="1"/>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14"/>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row>
    <row r="118" spans="1:104" s="4" customFormat="1" ht="18" customHeight="1" x14ac:dyDescent="0.65">
      <c r="A118" s="36" t="s">
        <v>72</v>
      </c>
      <c r="B118" s="37" t="str">
        <f>'EIF draft E01'!B168</f>
        <v>Complicating factors</v>
      </c>
      <c r="C118" s="1"/>
      <c r="D118" s="1"/>
      <c r="E118" s="1"/>
      <c r="F118" s="1"/>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14"/>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row>
    <row r="119" spans="1:104" s="4" customFormat="1" ht="14" customHeight="1" x14ac:dyDescent="0.45">
      <c r="A119" s="36"/>
      <c r="B119" s="445" t="s">
        <v>73</v>
      </c>
      <c r="C119" s="35"/>
      <c r="D119" s="35"/>
      <c r="E119" s="1"/>
      <c r="F119" s="1"/>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14"/>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row>
    <row r="120" spans="1:104" s="4" customFormat="1" ht="18" customHeight="1" x14ac:dyDescent="0.65">
      <c r="A120" s="36" t="s">
        <v>74</v>
      </c>
      <c r="B120" s="37" t="str">
        <f>'EIF draft E01'!B170</f>
        <v>Claimant’s demonstratable innocence</v>
      </c>
      <c r="C120" s="1"/>
      <c r="D120" s="1"/>
      <c r="E120" s="1"/>
      <c r="F120" s="1"/>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14"/>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row>
    <row r="121" spans="1:104" s="4" customFormat="1" ht="14" customHeight="1" x14ac:dyDescent="0.45">
      <c r="A121" s="36"/>
      <c r="B121" s="445" t="s">
        <v>75</v>
      </c>
      <c r="C121" s="35"/>
      <c r="D121" s="35"/>
      <c r="E121" s="1"/>
      <c r="F121" s="1"/>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14"/>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row>
    <row r="122" spans="1:104" s="4" customFormat="1" ht="18" customHeight="1" x14ac:dyDescent="0.65">
      <c r="A122" s="36" t="s">
        <v>76</v>
      </c>
      <c r="B122" s="37" t="str">
        <f>'EIF draft E01'!B172</f>
        <v>Claimant’s innocence recognized by others</v>
      </c>
      <c r="C122" s="1"/>
      <c r="D122" s="1"/>
      <c r="E122" s="1"/>
      <c r="F122" s="1"/>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14"/>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row>
    <row r="123" spans="1:104" s="4" customFormat="1" ht="14" customHeight="1" x14ac:dyDescent="0.45">
      <c r="A123" s="36"/>
      <c r="B123" s="445" t="s">
        <v>77</v>
      </c>
      <c r="C123" s="35"/>
      <c r="D123" s="35"/>
      <c r="E123" s="1"/>
      <c r="F123" s="1"/>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14"/>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row>
    <row r="124" spans="1:104" s="4" customFormat="1" ht="18" customHeight="1" x14ac:dyDescent="0.65">
      <c r="A124" s="36" t="s">
        <v>78</v>
      </c>
      <c r="B124" s="37" t="str">
        <f>'EIF draft E01'!B174</f>
        <v>Other</v>
      </c>
      <c r="C124" s="1"/>
      <c r="D124" s="1"/>
      <c r="E124" s="1"/>
      <c r="F124" s="1"/>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14"/>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row>
    <row r="125" spans="1:104" s="4" customFormat="1" ht="14" customHeight="1" x14ac:dyDescent="0.45">
      <c r="A125" s="36"/>
      <c r="B125" s="445" t="s">
        <v>79</v>
      </c>
      <c r="C125" s="35"/>
      <c r="D125" s="35"/>
      <c r="E125" s="1"/>
      <c r="F125" s="1"/>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14"/>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row>
    <row r="126" spans="1:104" s="4" customFormat="1" ht="18" customHeight="1" x14ac:dyDescent="0.65">
      <c r="A126" s="36" t="s">
        <v>80</v>
      </c>
      <c r="B126" s="37" t="str">
        <f>'EIF draft E01'!B176</f>
        <v>Process</v>
      </c>
      <c r="C126" s="1"/>
      <c r="D126" s="1"/>
      <c r="E126" s="1"/>
      <c r="F126" s="1"/>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14"/>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row>
    <row r="127" spans="1:104" ht="14" customHeight="1" x14ac:dyDescent="0.45">
      <c r="A127" s="36"/>
      <c r="B127" s="445" t="s">
        <v>81</v>
      </c>
      <c r="C127" s="35"/>
      <c r="D127" s="35"/>
      <c r="E127" s="1"/>
      <c r="F127" s="1"/>
    </row>
    <row r="128" spans="1:104" ht="18" customHeight="1" x14ac:dyDescent="0.65">
      <c r="A128" s="34" t="s">
        <v>82</v>
      </c>
      <c r="B128" s="34" t="str">
        <f>'EIF draft E01'!B178</f>
        <v>Requests and responses for exoneration help</v>
      </c>
      <c r="C128" s="1"/>
      <c r="D128" s="1"/>
      <c r="E128" s="1"/>
      <c r="F128" s="1"/>
      <c r="AU128"/>
    </row>
    <row r="129" spans="1:28" ht="14" customHeight="1" x14ac:dyDescent="0.65">
      <c r="A129" s="34"/>
      <c r="B129" s="38" t="s">
        <v>83</v>
      </c>
      <c r="C129" s="35"/>
      <c r="D129" s="35"/>
      <c r="E129" s="1"/>
      <c r="F129" s="1"/>
    </row>
    <row r="130" spans="1:28" ht="18" customHeight="1" x14ac:dyDescent="0.65">
      <c r="A130" s="34" t="s">
        <v>84</v>
      </c>
      <c r="B130" s="34" t="str">
        <f>'EIF draft E01'!B180</f>
        <v>Collateral consequences of wrongful conviction</v>
      </c>
      <c r="C130" s="1"/>
      <c r="D130" s="1"/>
      <c r="E130" s="1"/>
      <c r="F130" s="1"/>
      <c r="AB130"/>
    </row>
    <row r="131" spans="1:28" ht="14" customHeight="1" x14ac:dyDescent="0.3">
      <c r="A131" s="35"/>
      <c r="B131" s="38" t="s">
        <v>85</v>
      </c>
      <c r="C131" s="35"/>
      <c r="D131" s="35"/>
      <c r="E131" s="1"/>
      <c r="F131" s="1"/>
    </row>
    <row r="132" spans="1:28" ht="18" customHeight="1" x14ac:dyDescent="0.65">
      <c r="A132" s="34" t="s">
        <v>86</v>
      </c>
      <c r="B132" s="34" t="str">
        <f>'EIF draft E01'!B182</f>
        <v>Claimant narrative</v>
      </c>
      <c r="C132" s="1"/>
      <c r="D132" s="1"/>
      <c r="E132" s="1"/>
      <c r="F132" s="1"/>
    </row>
    <row r="133" spans="1:28" ht="14" customHeight="1" x14ac:dyDescent="0.3">
      <c r="A133" s="35"/>
      <c r="B133" s="38" t="s">
        <v>87</v>
      </c>
      <c r="C133" s="35"/>
      <c r="D133" s="35"/>
      <c r="E133" s="1"/>
      <c r="F133" s="1"/>
    </row>
    <row r="134" spans="1:28" ht="18" customHeight="1" x14ac:dyDescent="0.65">
      <c r="A134" s="34" t="s">
        <v>88</v>
      </c>
      <c r="B134" s="34" t="str">
        <f>'EIF draft E01'!B184</f>
        <v>Compensation</v>
      </c>
      <c r="C134" s="1"/>
      <c r="D134" s="1"/>
      <c r="E134" s="1"/>
      <c r="F134" s="1"/>
    </row>
    <row r="135" spans="1:28" ht="14" customHeight="1" x14ac:dyDescent="0.3">
      <c r="A135" s="1"/>
      <c r="B135" s="38" t="s">
        <v>90</v>
      </c>
      <c r="C135" s="1"/>
      <c r="D135" s="1"/>
      <c r="E135" s="1"/>
      <c r="F135" s="1"/>
    </row>
    <row r="136" spans="1:28" ht="18" customHeight="1" x14ac:dyDescent="0.65">
      <c r="A136" s="34" t="s">
        <v>89</v>
      </c>
      <c r="B136" s="34" t="str">
        <f>'EIF draft E01'!B186</f>
        <v>You're not alone</v>
      </c>
      <c r="C136" s="1"/>
      <c r="D136" s="1"/>
      <c r="E136" s="1"/>
      <c r="F136" s="1"/>
    </row>
    <row r="137" spans="1:28" ht="14" customHeight="1" x14ac:dyDescent="0.3">
      <c r="A137" s="1"/>
      <c r="B137" s="38" t="s">
        <v>93</v>
      </c>
      <c r="C137" s="1"/>
      <c r="D137" s="1"/>
      <c r="E137" s="1"/>
      <c r="F137" s="1"/>
    </row>
    <row r="138" spans="1:28" ht="18" customHeight="1" x14ac:dyDescent="0.65">
      <c r="A138" s="437"/>
      <c r="B138" s="437"/>
      <c r="C138" s="1"/>
      <c r="D138" s="1"/>
      <c r="E138" s="1"/>
      <c r="F138" s="1"/>
    </row>
    <row r="139" spans="1:28" ht="14" customHeight="1" x14ac:dyDescent="0.3">
      <c r="A139" s="438"/>
      <c r="B139" s="439"/>
      <c r="C139" s="1"/>
      <c r="D139" s="1"/>
      <c r="E139" s="1"/>
      <c r="F139" s="1"/>
    </row>
    <row r="140" spans="1:28" ht="18" customHeight="1" x14ac:dyDescent="0.65">
      <c r="A140" s="437"/>
      <c r="B140" s="437"/>
      <c r="C140" s="1"/>
      <c r="D140" s="1"/>
      <c r="E140" s="1"/>
      <c r="F140" s="1"/>
      <c r="AB140"/>
    </row>
    <row r="141" spans="1:28" ht="14" customHeight="1" x14ac:dyDescent="0.3">
      <c r="A141" s="438"/>
      <c r="B141" s="439"/>
      <c r="C141" s="1"/>
      <c r="D141" s="1"/>
      <c r="E141" s="1"/>
      <c r="F141" s="1"/>
    </row>
    <row r="142" spans="1:28" ht="18" customHeight="1" x14ac:dyDescent="0.65">
      <c r="A142" s="437"/>
      <c r="B142" s="437"/>
      <c r="C142" s="1"/>
      <c r="D142" s="1"/>
      <c r="E142" s="1"/>
      <c r="F142" s="1"/>
    </row>
    <row r="143" spans="1:28" ht="14" customHeight="1" x14ac:dyDescent="0.3">
      <c r="A143" s="438"/>
      <c r="B143" s="439"/>
      <c r="C143" s="1"/>
      <c r="D143" s="1"/>
      <c r="E143" s="1"/>
      <c r="F143" s="1"/>
    </row>
    <row r="144" spans="1:28" ht="18" customHeight="1" x14ac:dyDescent="0.65">
      <c r="A144" s="437"/>
      <c r="B144" s="437"/>
      <c r="C144" s="1"/>
      <c r="D144" s="1"/>
      <c r="E144" s="1"/>
      <c r="F144" s="1"/>
    </row>
    <row r="145" spans="1:104" ht="14" customHeight="1" x14ac:dyDescent="0.3">
      <c r="A145" s="438"/>
      <c r="B145" s="439"/>
      <c r="C145" s="1"/>
      <c r="D145" s="1"/>
      <c r="E145" s="1"/>
      <c r="F145" s="1"/>
    </row>
    <row r="146" spans="1:104" ht="18" customHeight="1" x14ac:dyDescent="0.3">
      <c r="A146" s="1"/>
      <c r="B146" s="1"/>
      <c r="C146" s="1"/>
      <c r="D146" s="1"/>
      <c r="E146" s="1"/>
      <c r="F146" s="1"/>
    </row>
    <row r="147" spans="1:104" ht="14" customHeight="1" x14ac:dyDescent="0.3">
      <c r="A147" s="1"/>
      <c r="B147" s="1"/>
      <c r="C147" s="1"/>
      <c r="D147" s="1"/>
      <c r="E147" s="1"/>
      <c r="F147" s="1"/>
    </row>
    <row r="148" spans="1:104" ht="8" customHeight="1" x14ac:dyDescent="0.3">
      <c r="A148" s="1"/>
      <c r="B148" s="1"/>
      <c r="C148" s="1"/>
      <c r="D148" s="1"/>
      <c r="E148" s="1"/>
      <c r="F148" s="1"/>
    </row>
    <row r="149" spans="1:104" s="4" customFormat="1" x14ac:dyDescent="0.3">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14"/>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row>
    <row r="150" spans="1:104" s="4" customFormat="1" x14ac:dyDescent="0.3">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14"/>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row>
    <row r="151" spans="1:104" s="4" customFormat="1" x14ac:dyDescent="0.3">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14"/>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row>
    <row r="152" spans="1:104" s="4" customFormat="1" x14ac:dyDescent="0.3">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14"/>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row>
    <row r="153" spans="1:104" s="4" customFormat="1" x14ac:dyDescent="0.3">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14"/>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row>
    <row r="154" spans="1:104" s="4" customFormat="1" x14ac:dyDescent="0.3">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14"/>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row>
    <row r="155" spans="1:104" s="4" customFormat="1" x14ac:dyDescent="0.3">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14"/>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row>
    <row r="156" spans="1:104" s="4" customFormat="1" x14ac:dyDescent="0.3">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14"/>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row>
    <row r="157" spans="1:104" s="4" customFormat="1" x14ac:dyDescent="0.3">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14"/>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row>
    <row r="158" spans="1:104" s="4" customFormat="1" x14ac:dyDescent="0.3">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14"/>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row>
    <row r="159" spans="1:104" s="4" customFormat="1" x14ac:dyDescent="0.3">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14"/>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row>
    <row r="160" spans="1:104" s="4" customFormat="1" x14ac:dyDescent="0.3">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14"/>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row>
    <row r="161" spans="27:104" s="4" customFormat="1" x14ac:dyDescent="0.3">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14"/>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row>
    <row r="162" spans="27:104" s="4" customFormat="1" x14ac:dyDescent="0.3">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14"/>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row>
    <row r="163" spans="27:104" s="4" customFormat="1" x14ac:dyDescent="0.3">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14"/>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row>
    <row r="164" spans="27:104" s="4" customFormat="1" x14ac:dyDescent="0.3">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14"/>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row>
    <row r="165" spans="27:104" s="4" customFormat="1" x14ac:dyDescent="0.3">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14"/>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row>
    <row r="166" spans="27:104" s="4" customFormat="1" x14ac:dyDescent="0.3">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14"/>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row>
    <row r="167" spans="27:104" s="4" customFormat="1" x14ac:dyDescent="0.3">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14"/>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row>
    <row r="168" spans="27:104" s="4" customFormat="1" x14ac:dyDescent="0.3">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14"/>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row>
    <row r="169" spans="27:104" s="4" customFormat="1" x14ac:dyDescent="0.3">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14"/>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row>
    <row r="170" spans="27:104" s="4" customFormat="1" x14ac:dyDescent="0.3">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14"/>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row>
    <row r="171" spans="27:104" s="4" customFormat="1" x14ac:dyDescent="0.3">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14"/>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row>
    <row r="172" spans="27:104" s="4" customFormat="1" x14ac:dyDescent="0.3">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14"/>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row>
    <row r="173" spans="27:104" s="4" customFormat="1" x14ac:dyDescent="0.3">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14"/>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row>
    <row r="174" spans="27:104" s="4" customFormat="1" x14ac:dyDescent="0.3">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14"/>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row>
    <row r="175" spans="27:104" s="4" customFormat="1" x14ac:dyDescent="0.3">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14"/>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row>
    <row r="176" spans="27:104" s="4" customFormat="1" x14ac:dyDescent="0.3">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14"/>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row>
    <row r="177" spans="27:104" s="4" customFormat="1" x14ac:dyDescent="0.3">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14"/>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row>
    <row r="178" spans="27:104" s="4" customFormat="1" x14ac:dyDescent="0.3">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14"/>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row>
    <row r="179" spans="27:104" s="4" customFormat="1" x14ac:dyDescent="0.3">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14"/>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row>
    <row r="180" spans="27:104" s="4" customFormat="1" x14ac:dyDescent="0.3">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14"/>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row>
    <row r="181" spans="27:104" s="4" customFormat="1" x14ac:dyDescent="0.3">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14"/>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row>
    <row r="182" spans="27:104" s="4" customFormat="1" x14ac:dyDescent="0.3">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14"/>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row>
    <row r="183" spans="27:104" s="4" customFormat="1" x14ac:dyDescent="0.3">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14"/>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row>
    <row r="184" spans="27:104" s="4" customFormat="1" x14ac:dyDescent="0.3">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14"/>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row>
    <row r="185" spans="27:104" s="4" customFormat="1" x14ac:dyDescent="0.3">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14"/>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row>
    <row r="186" spans="27:104" s="4" customFormat="1" x14ac:dyDescent="0.3">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14"/>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row>
    <row r="187" spans="27:104" s="4" customFormat="1" x14ac:dyDescent="0.3">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14"/>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row>
    <row r="188" spans="27:104" s="4" customFormat="1" x14ac:dyDescent="0.3">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14"/>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row>
    <row r="189" spans="27:104" s="4" customFormat="1" x14ac:dyDescent="0.3">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14"/>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row>
    <row r="190" spans="27:104" s="4" customFormat="1" x14ac:dyDescent="0.3">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14"/>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row>
    <row r="191" spans="27:104" s="4" customFormat="1" x14ac:dyDescent="0.3">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14"/>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row>
    <row r="192" spans="27:104" s="4" customFormat="1" x14ac:dyDescent="0.3">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14"/>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row>
    <row r="193" spans="27:104" s="4" customFormat="1" x14ac:dyDescent="0.3">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14"/>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row>
    <row r="194" spans="27:104" s="4" customFormat="1" x14ac:dyDescent="0.3">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14"/>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row>
    <row r="195" spans="27:104" s="4" customFormat="1" x14ac:dyDescent="0.3">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14"/>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row>
    <row r="196" spans="27:104" s="4" customFormat="1" x14ac:dyDescent="0.3">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14"/>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row>
    <row r="197" spans="27:104" s="4" customFormat="1" x14ac:dyDescent="0.3">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14"/>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row>
    <row r="198" spans="27:104" s="4" customFormat="1" x14ac:dyDescent="0.3">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14"/>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row>
    <row r="199" spans="27:104" s="4" customFormat="1" x14ac:dyDescent="0.3">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14"/>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row>
    <row r="200" spans="27:104" s="4" customFormat="1" x14ac:dyDescent="0.3">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14"/>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row>
    <row r="201" spans="27:104" s="4" customFormat="1" x14ac:dyDescent="0.3">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14"/>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row>
    <row r="202" spans="27:104" s="4" customFormat="1" x14ac:dyDescent="0.3">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14"/>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row>
    <row r="203" spans="27:104" s="4" customFormat="1" x14ac:dyDescent="0.3">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14"/>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row>
    <row r="204" spans="27:104" s="4" customFormat="1" x14ac:dyDescent="0.3">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14"/>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row>
    <row r="205" spans="27:104" s="4" customFormat="1" x14ac:dyDescent="0.3">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14"/>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row>
    <row r="206" spans="27:104" s="4" customFormat="1" x14ac:dyDescent="0.3">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14"/>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row>
    <row r="207" spans="27:104" s="4" customFormat="1" x14ac:dyDescent="0.3">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14"/>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row>
    <row r="208" spans="27:104" s="4" customFormat="1" x14ac:dyDescent="0.3">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14"/>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row>
    <row r="209" spans="27:104" s="4" customFormat="1" x14ac:dyDescent="0.3">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14"/>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row>
    <row r="210" spans="27:104" s="4" customFormat="1" x14ac:dyDescent="0.3">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14"/>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row>
    <row r="211" spans="27:104" s="4" customFormat="1" x14ac:dyDescent="0.3">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14"/>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row>
    <row r="212" spans="27:104" s="4" customFormat="1" x14ac:dyDescent="0.3">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14"/>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row>
    <row r="213" spans="27:104" s="4" customFormat="1" x14ac:dyDescent="0.3">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14"/>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row>
    <row r="214" spans="27:104" s="4" customFormat="1" x14ac:dyDescent="0.3">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14"/>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row>
    <row r="215" spans="27:104" s="4" customFormat="1" x14ac:dyDescent="0.3">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14"/>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row>
    <row r="216" spans="27:104" s="4" customFormat="1" x14ac:dyDescent="0.3">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14"/>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row>
    <row r="217" spans="27:104" s="4" customFormat="1" x14ac:dyDescent="0.3">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14"/>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row>
    <row r="218" spans="27:104" s="4" customFormat="1" x14ac:dyDescent="0.3">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14"/>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row>
    <row r="219" spans="27:104" s="4" customFormat="1" x14ac:dyDescent="0.3">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14"/>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row>
    <row r="220" spans="27:104" s="4" customFormat="1" x14ac:dyDescent="0.3">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14"/>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row>
    <row r="221" spans="27:104" s="4" customFormat="1" x14ac:dyDescent="0.3">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14"/>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row>
    <row r="222" spans="27:104" s="4" customFormat="1" x14ac:dyDescent="0.3">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14"/>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row>
    <row r="223" spans="27:104" s="4" customFormat="1" x14ac:dyDescent="0.3">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14"/>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row>
    <row r="224" spans="27:104" s="4" customFormat="1" x14ac:dyDescent="0.3">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14"/>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row>
    <row r="225" spans="27:104" s="4" customFormat="1" x14ac:dyDescent="0.3">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14"/>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row>
    <row r="226" spans="27:104" s="4" customFormat="1" x14ac:dyDescent="0.3">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14"/>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row>
    <row r="227" spans="27:104" s="4" customFormat="1" x14ac:dyDescent="0.3">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14"/>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row>
    <row r="228" spans="27:104" s="4" customFormat="1" x14ac:dyDescent="0.3">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14"/>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row>
    <row r="229" spans="27:104" s="4" customFormat="1" x14ac:dyDescent="0.3">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14"/>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row>
    <row r="230" spans="27:104" s="4" customFormat="1" x14ac:dyDescent="0.3">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14"/>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row>
    <row r="231" spans="27:104" s="4" customFormat="1" x14ac:dyDescent="0.3">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14"/>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row>
    <row r="232" spans="27:104" s="4" customFormat="1" x14ac:dyDescent="0.3">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14"/>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row>
    <row r="233" spans="27:104" s="4" customFormat="1" x14ac:dyDescent="0.3">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14"/>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row>
    <row r="234" spans="27:104" s="4" customFormat="1" x14ac:dyDescent="0.3">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14"/>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row>
    <row r="235" spans="27:104" s="4" customFormat="1" x14ac:dyDescent="0.3">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14"/>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row>
    <row r="236" spans="27:104" s="4" customFormat="1" x14ac:dyDescent="0.3">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14"/>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row>
    <row r="237" spans="27:104" s="4" customFormat="1" x14ac:dyDescent="0.3">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14"/>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row>
    <row r="238" spans="27:104" s="4" customFormat="1" x14ac:dyDescent="0.3">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14"/>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row>
    <row r="239" spans="27:104" s="4" customFormat="1" x14ac:dyDescent="0.3">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14"/>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row>
    <row r="240" spans="27:104" s="4" customFormat="1" x14ac:dyDescent="0.3">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14"/>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row>
    <row r="241" spans="27:104" s="4" customFormat="1" x14ac:dyDescent="0.3">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14"/>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row>
    <row r="242" spans="27:104" s="4" customFormat="1" x14ac:dyDescent="0.3">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14"/>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row>
    <row r="243" spans="27:104" s="4" customFormat="1" x14ac:dyDescent="0.3">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14"/>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row>
    <row r="244" spans="27:104" s="4" customFormat="1" x14ac:dyDescent="0.3">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14"/>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row>
    <row r="245" spans="27:104" s="4" customFormat="1" x14ac:dyDescent="0.3">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14"/>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row>
    <row r="246" spans="27:104" s="4" customFormat="1" x14ac:dyDescent="0.3">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14"/>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row>
    <row r="247" spans="27:104" s="4" customFormat="1" x14ac:dyDescent="0.3">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14"/>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row>
    <row r="248" spans="27:104" s="4" customFormat="1" x14ac:dyDescent="0.3">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14"/>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row>
    <row r="249" spans="27:104" s="4" customFormat="1" x14ac:dyDescent="0.3">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14"/>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row>
    <row r="250" spans="27:104" s="4" customFormat="1" x14ac:dyDescent="0.3">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14"/>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row>
    <row r="251" spans="27:104" s="4" customFormat="1" x14ac:dyDescent="0.3">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14"/>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row>
    <row r="252" spans="27:104" s="4" customFormat="1" x14ac:dyDescent="0.3">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14"/>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row>
    <row r="253" spans="27:104" s="4" customFormat="1" x14ac:dyDescent="0.3">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14"/>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row>
    <row r="254" spans="27:104" s="4" customFormat="1" x14ac:dyDescent="0.3">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14"/>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row>
    <row r="255" spans="27:104" s="4" customFormat="1" x14ac:dyDescent="0.3">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14"/>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row>
    <row r="256" spans="27:104" s="4" customFormat="1" x14ac:dyDescent="0.3">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14"/>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row>
    <row r="257" spans="27:104" s="4" customFormat="1" x14ac:dyDescent="0.3">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14"/>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row>
    <row r="258" spans="27:104" s="4" customFormat="1" x14ac:dyDescent="0.3">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14"/>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row>
    <row r="259" spans="27:104" s="4" customFormat="1" x14ac:dyDescent="0.3">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14"/>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row>
    <row r="260" spans="27:104" s="4" customFormat="1" x14ac:dyDescent="0.3">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14"/>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row>
    <row r="261" spans="27:104" s="4" customFormat="1" x14ac:dyDescent="0.3">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14"/>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row>
    <row r="262" spans="27:104" s="4" customFormat="1" x14ac:dyDescent="0.3">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14"/>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row>
    <row r="263" spans="27:104" s="4" customFormat="1" x14ac:dyDescent="0.3">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14"/>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row>
    <row r="264" spans="27:104" s="4" customFormat="1" x14ac:dyDescent="0.3">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14"/>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row>
    <row r="265" spans="27:104" s="4" customFormat="1" x14ac:dyDescent="0.3">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14"/>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row>
    <row r="266" spans="27:104" s="4" customFormat="1" x14ac:dyDescent="0.3">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14"/>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row>
    <row r="267" spans="27:104" s="4" customFormat="1" x14ac:dyDescent="0.3">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14"/>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row>
    <row r="268" spans="27:104" s="4" customFormat="1" x14ac:dyDescent="0.3">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14"/>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row>
    <row r="269" spans="27:104" s="4" customFormat="1" x14ac:dyDescent="0.3">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14"/>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row>
    <row r="270" spans="27:104" s="4" customFormat="1" x14ac:dyDescent="0.3">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14"/>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row>
    <row r="271" spans="27:104" s="4" customFormat="1" x14ac:dyDescent="0.3">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14"/>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row>
    <row r="272" spans="27:104" s="4" customFormat="1" x14ac:dyDescent="0.3">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14"/>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row>
    <row r="273" spans="27:104" s="4" customFormat="1" x14ac:dyDescent="0.3">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14"/>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row>
    <row r="274" spans="27:104" s="4" customFormat="1" x14ac:dyDescent="0.3">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14"/>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row>
    <row r="275" spans="27:104" s="4" customFormat="1" x14ac:dyDescent="0.3">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14"/>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row>
    <row r="276" spans="27:104" s="4" customFormat="1" x14ac:dyDescent="0.3">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14"/>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row>
    <row r="277" spans="27:104" s="4" customFormat="1" x14ac:dyDescent="0.3">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14"/>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row>
    <row r="278" spans="27:104" s="4" customFormat="1" x14ac:dyDescent="0.3">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14"/>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row>
    <row r="279" spans="27:104" s="4" customFormat="1" x14ac:dyDescent="0.3">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14"/>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row>
    <row r="280" spans="27:104" s="4" customFormat="1" x14ac:dyDescent="0.3">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14"/>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row>
    <row r="281" spans="27:104" s="4" customFormat="1" x14ac:dyDescent="0.3">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14"/>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row>
    <row r="282" spans="27:104" s="4" customFormat="1" x14ac:dyDescent="0.3">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14"/>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row>
    <row r="283" spans="27:104" s="4" customFormat="1" x14ac:dyDescent="0.3">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14"/>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row>
    <row r="284" spans="27:104" s="4" customFormat="1" x14ac:dyDescent="0.3">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14"/>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row>
    <row r="285" spans="27:104" s="4" customFormat="1" x14ac:dyDescent="0.3">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14"/>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row>
    <row r="286" spans="27:104" s="4" customFormat="1" x14ac:dyDescent="0.3">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14"/>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row>
    <row r="287" spans="27:104" s="4" customFormat="1" x14ac:dyDescent="0.3">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14"/>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row>
    <row r="288" spans="27:104" s="4" customFormat="1" x14ac:dyDescent="0.3">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14"/>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row>
    <row r="289" spans="27:104" s="4" customFormat="1" x14ac:dyDescent="0.3">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14"/>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row>
    <row r="290" spans="27:104" s="4" customFormat="1" x14ac:dyDescent="0.3">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14"/>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row>
    <row r="291" spans="27:104" s="4" customFormat="1" x14ac:dyDescent="0.3">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14"/>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row>
    <row r="292" spans="27:104" s="4" customFormat="1" x14ac:dyDescent="0.3">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14"/>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row>
    <row r="293" spans="27:104" s="4" customFormat="1" x14ac:dyDescent="0.3">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14"/>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row>
    <row r="294" spans="27:104" s="4" customFormat="1" x14ac:dyDescent="0.3">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14"/>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row>
    <row r="295" spans="27:104" s="4" customFormat="1" x14ac:dyDescent="0.3">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14"/>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row>
    <row r="296" spans="27:104" s="4" customFormat="1" x14ac:dyDescent="0.3">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14"/>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row>
    <row r="297" spans="27:104" s="4" customFormat="1" x14ac:dyDescent="0.3">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14"/>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row>
    <row r="298" spans="27:104" s="4" customFormat="1" x14ac:dyDescent="0.3">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14"/>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row>
    <row r="299" spans="27:104" s="4" customFormat="1" x14ac:dyDescent="0.3">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14"/>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row>
    <row r="300" spans="27:104" s="4" customFormat="1" x14ac:dyDescent="0.3">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14"/>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row>
    <row r="301" spans="27:104" s="4" customFormat="1" x14ac:dyDescent="0.3">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14"/>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row>
    <row r="302" spans="27:104" s="4" customFormat="1" x14ac:dyDescent="0.3">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14"/>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row>
    <row r="303" spans="27:104" s="4" customFormat="1" x14ac:dyDescent="0.3">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14"/>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row>
    <row r="304" spans="27:104" s="4" customFormat="1" x14ac:dyDescent="0.3">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14"/>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row>
    <row r="305" spans="27:104" s="4" customFormat="1" x14ac:dyDescent="0.3">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14"/>
      <c r="BC305" s="48"/>
      <c r="BD305" s="48"/>
      <c r="BE305" s="48"/>
      <c r="BF305" s="48"/>
      <c r="BG305" s="48"/>
      <c r="BH305" s="48"/>
      <c r="BI305" s="48"/>
      <c r="BJ305" s="48"/>
      <c r="BK305" s="48"/>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c r="CQ305" s="48"/>
      <c r="CR305" s="48"/>
      <c r="CS305" s="48"/>
      <c r="CT305" s="48"/>
      <c r="CU305" s="48"/>
      <c r="CV305" s="48"/>
      <c r="CW305" s="48"/>
      <c r="CX305" s="48"/>
      <c r="CY305" s="48"/>
      <c r="CZ305" s="48"/>
    </row>
    <row r="306" spans="27:104" s="4" customFormat="1" x14ac:dyDescent="0.3">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14"/>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row>
    <row r="307" spans="27:104" s="4" customFormat="1" x14ac:dyDescent="0.3">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14"/>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row>
    <row r="308" spans="27:104" s="4" customFormat="1" x14ac:dyDescent="0.3">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14"/>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row>
    <row r="309" spans="27:104" s="4" customFormat="1" x14ac:dyDescent="0.3">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14"/>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row>
    <row r="310" spans="27:104" s="4" customFormat="1" x14ac:dyDescent="0.3">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14"/>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row>
    <row r="311" spans="27:104" s="4" customFormat="1" x14ac:dyDescent="0.3">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14"/>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row>
    <row r="312" spans="27:104" s="4" customFormat="1" x14ac:dyDescent="0.3">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14"/>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row>
    <row r="313" spans="27:104" s="4" customFormat="1" x14ac:dyDescent="0.3">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14"/>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row>
    <row r="314" spans="27:104" s="4" customFormat="1" x14ac:dyDescent="0.3">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14"/>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row>
    <row r="315" spans="27:104" s="4" customFormat="1" x14ac:dyDescent="0.3">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14"/>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row>
    <row r="316" spans="27:104" s="4" customFormat="1" x14ac:dyDescent="0.3">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14"/>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row>
    <row r="317" spans="27:104" s="4" customFormat="1" x14ac:dyDescent="0.3">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14"/>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row>
    <row r="318" spans="27:104" s="4" customFormat="1" x14ac:dyDescent="0.3">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14"/>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row>
    <row r="319" spans="27:104" s="4" customFormat="1" x14ac:dyDescent="0.3">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14"/>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row>
    <row r="320" spans="27:104" s="4" customFormat="1" x14ac:dyDescent="0.3">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14"/>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row>
    <row r="321" spans="27:104" s="4" customFormat="1" x14ac:dyDescent="0.3">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14"/>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row>
    <row r="322" spans="27:104" s="4" customFormat="1" x14ac:dyDescent="0.3">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14"/>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row>
    <row r="323" spans="27:104" s="4" customFormat="1" x14ac:dyDescent="0.3">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14"/>
      <c r="BC323" s="48"/>
      <c r="BD323" s="48"/>
      <c r="BE323" s="48"/>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c r="CI323" s="48"/>
      <c r="CJ323" s="48"/>
      <c r="CK323" s="48"/>
      <c r="CL323" s="48"/>
      <c r="CM323" s="48"/>
      <c r="CN323" s="48"/>
      <c r="CO323" s="48"/>
      <c r="CP323" s="48"/>
      <c r="CQ323" s="48"/>
      <c r="CR323" s="48"/>
      <c r="CS323" s="48"/>
      <c r="CT323" s="48"/>
      <c r="CU323" s="48"/>
      <c r="CV323" s="48"/>
      <c r="CW323" s="48"/>
      <c r="CX323" s="48"/>
      <c r="CY323" s="48"/>
      <c r="CZ323" s="48"/>
    </row>
    <row r="324" spans="27:104" s="4" customFormat="1" x14ac:dyDescent="0.3">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14"/>
      <c r="BC324" s="48"/>
      <c r="BD324" s="48"/>
      <c r="BE324" s="48"/>
      <c r="BF324" s="48"/>
      <c r="BG324" s="48"/>
      <c r="BH324" s="48"/>
      <c r="BI324" s="48"/>
      <c r="BJ324" s="48"/>
      <c r="BK324" s="48"/>
      <c r="BL324" s="48"/>
      <c r="BM324" s="48"/>
      <c r="BN324" s="48"/>
      <c r="BO324" s="48"/>
      <c r="BP324" s="48"/>
      <c r="BQ324" s="48"/>
      <c r="BR324" s="48"/>
      <c r="BS324" s="48"/>
      <c r="BT324" s="48"/>
      <c r="BU324" s="48"/>
      <c r="BV324" s="48"/>
      <c r="BW324" s="48"/>
      <c r="BX324" s="48"/>
      <c r="BY324" s="48"/>
      <c r="BZ324" s="48"/>
      <c r="CA324" s="48"/>
      <c r="CB324" s="48"/>
      <c r="CC324" s="48"/>
      <c r="CD324" s="48"/>
      <c r="CE324" s="48"/>
      <c r="CF324" s="48"/>
      <c r="CG324" s="48"/>
      <c r="CH324" s="48"/>
      <c r="CI324" s="48"/>
      <c r="CJ324" s="48"/>
      <c r="CK324" s="48"/>
      <c r="CL324" s="48"/>
      <c r="CM324" s="48"/>
      <c r="CN324" s="48"/>
      <c r="CO324" s="48"/>
      <c r="CP324" s="48"/>
      <c r="CQ324" s="48"/>
      <c r="CR324" s="48"/>
      <c r="CS324" s="48"/>
      <c r="CT324" s="48"/>
      <c r="CU324" s="48"/>
      <c r="CV324" s="48"/>
      <c r="CW324" s="48"/>
      <c r="CX324" s="48"/>
      <c r="CY324" s="48"/>
      <c r="CZ324" s="48"/>
    </row>
    <row r="325" spans="27:104" s="4" customFormat="1" x14ac:dyDescent="0.3">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14"/>
      <c r="BC325" s="48"/>
      <c r="BD325" s="48"/>
      <c r="BE325" s="48"/>
      <c r="BF325" s="48"/>
      <c r="BG325" s="48"/>
      <c r="BH325" s="48"/>
      <c r="BI325" s="48"/>
      <c r="BJ325" s="48"/>
      <c r="BK325" s="48"/>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c r="CJ325" s="48"/>
      <c r="CK325" s="48"/>
      <c r="CL325" s="48"/>
      <c r="CM325" s="48"/>
      <c r="CN325" s="48"/>
      <c r="CO325" s="48"/>
      <c r="CP325" s="48"/>
      <c r="CQ325" s="48"/>
      <c r="CR325" s="48"/>
      <c r="CS325" s="48"/>
      <c r="CT325" s="48"/>
      <c r="CU325" s="48"/>
      <c r="CV325" s="48"/>
      <c r="CW325" s="48"/>
      <c r="CX325" s="48"/>
      <c r="CY325" s="48"/>
      <c r="CZ325" s="48"/>
    </row>
    <row r="326" spans="27:104" s="4" customFormat="1" x14ac:dyDescent="0.3">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14"/>
      <c r="BC326" s="48"/>
      <c r="BD326" s="48"/>
      <c r="BE326" s="48"/>
      <c r="BF326" s="48"/>
      <c r="BG326" s="48"/>
      <c r="BH326" s="48"/>
      <c r="BI326" s="48"/>
      <c r="BJ326" s="48"/>
      <c r="BK326" s="48"/>
      <c r="BL326" s="48"/>
      <c r="BM326" s="48"/>
      <c r="BN326" s="48"/>
      <c r="BO326" s="48"/>
      <c r="BP326" s="48"/>
      <c r="BQ326" s="48"/>
      <c r="BR326" s="48"/>
      <c r="BS326" s="48"/>
      <c r="BT326" s="48"/>
      <c r="BU326" s="48"/>
      <c r="BV326" s="48"/>
      <c r="BW326" s="48"/>
      <c r="BX326" s="48"/>
      <c r="BY326" s="48"/>
      <c r="BZ326" s="48"/>
      <c r="CA326" s="48"/>
      <c r="CB326" s="48"/>
      <c r="CC326" s="48"/>
      <c r="CD326" s="48"/>
      <c r="CE326" s="48"/>
      <c r="CF326" s="48"/>
      <c r="CG326" s="48"/>
      <c r="CH326" s="48"/>
      <c r="CI326" s="48"/>
      <c r="CJ326" s="48"/>
      <c r="CK326" s="48"/>
      <c r="CL326" s="48"/>
      <c r="CM326" s="48"/>
      <c r="CN326" s="48"/>
      <c r="CO326" s="48"/>
      <c r="CP326" s="48"/>
      <c r="CQ326" s="48"/>
      <c r="CR326" s="48"/>
      <c r="CS326" s="48"/>
      <c r="CT326" s="48"/>
      <c r="CU326" s="48"/>
      <c r="CV326" s="48"/>
      <c r="CW326" s="48"/>
      <c r="CX326" s="48"/>
      <c r="CY326" s="48"/>
      <c r="CZ326" s="48"/>
    </row>
    <row r="327" spans="27:104" s="4" customFormat="1" x14ac:dyDescent="0.3">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14"/>
      <c r="BC327" s="48"/>
      <c r="BD327" s="48"/>
      <c r="BE327" s="48"/>
      <c r="BF327" s="48"/>
      <c r="BG327" s="48"/>
      <c r="BH327" s="48"/>
      <c r="BI327" s="48"/>
      <c r="BJ327" s="48"/>
      <c r="BK327" s="48"/>
      <c r="BL327" s="48"/>
      <c r="BM327" s="48"/>
      <c r="BN327" s="48"/>
      <c r="BO327" s="48"/>
      <c r="BP327" s="48"/>
      <c r="BQ327" s="48"/>
      <c r="BR327" s="48"/>
      <c r="BS327" s="48"/>
      <c r="BT327" s="48"/>
      <c r="BU327" s="48"/>
      <c r="BV327" s="48"/>
      <c r="BW327" s="48"/>
      <c r="BX327" s="48"/>
      <c r="BY327" s="48"/>
      <c r="BZ327" s="48"/>
      <c r="CA327" s="48"/>
      <c r="CB327" s="48"/>
      <c r="CC327" s="48"/>
      <c r="CD327" s="48"/>
      <c r="CE327" s="48"/>
      <c r="CF327" s="48"/>
      <c r="CG327" s="48"/>
      <c r="CH327" s="48"/>
      <c r="CI327" s="48"/>
      <c r="CJ327" s="48"/>
      <c r="CK327" s="48"/>
      <c r="CL327" s="48"/>
      <c r="CM327" s="48"/>
      <c r="CN327" s="48"/>
      <c r="CO327" s="48"/>
      <c r="CP327" s="48"/>
      <c r="CQ327" s="48"/>
      <c r="CR327" s="48"/>
      <c r="CS327" s="48"/>
      <c r="CT327" s="48"/>
      <c r="CU327" s="48"/>
      <c r="CV327" s="48"/>
      <c r="CW327" s="48"/>
      <c r="CX327" s="48"/>
      <c r="CY327" s="48"/>
      <c r="CZ327" s="48"/>
    </row>
    <row r="328" spans="27:104" s="4" customFormat="1" x14ac:dyDescent="0.3">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14"/>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c r="CD328" s="48"/>
      <c r="CE328" s="48"/>
      <c r="CF328" s="48"/>
      <c r="CG328" s="48"/>
      <c r="CH328" s="48"/>
      <c r="CI328" s="48"/>
      <c r="CJ328" s="48"/>
      <c r="CK328" s="48"/>
      <c r="CL328" s="48"/>
      <c r="CM328" s="48"/>
      <c r="CN328" s="48"/>
      <c r="CO328" s="48"/>
      <c r="CP328" s="48"/>
      <c r="CQ328" s="48"/>
      <c r="CR328" s="48"/>
      <c r="CS328" s="48"/>
      <c r="CT328" s="48"/>
      <c r="CU328" s="48"/>
      <c r="CV328" s="48"/>
      <c r="CW328" s="48"/>
      <c r="CX328" s="48"/>
      <c r="CY328" s="48"/>
      <c r="CZ328" s="48"/>
    </row>
    <row r="329" spans="27:104" s="4" customFormat="1" x14ac:dyDescent="0.3">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14"/>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8"/>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row>
    <row r="330" spans="27:104" s="4" customFormat="1" x14ac:dyDescent="0.3">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14"/>
      <c r="BC330" s="48"/>
      <c r="BD330" s="48"/>
      <c r="BE330" s="48"/>
      <c r="BF330" s="48"/>
      <c r="BG330" s="48"/>
      <c r="BH330" s="48"/>
      <c r="BI330" s="48"/>
      <c r="BJ330" s="48"/>
      <c r="BK330" s="48"/>
      <c r="BL330" s="48"/>
      <c r="BM330" s="48"/>
      <c r="BN330" s="48"/>
      <c r="BO330" s="48"/>
      <c r="BP330" s="48"/>
      <c r="BQ330" s="48"/>
      <c r="BR330" s="48"/>
      <c r="BS330" s="48"/>
      <c r="BT330" s="48"/>
      <c r="BU330" s="48"/>
      <c r="BV330" s="48"/>
      <c r="BW330" s="48"/>
      <c r="BX330" s="48"/>
      <c r="BY330" s="48"/>
      <c r="BZ330" s="48"/>
      <c r="CA330" s="48"/>
      <c r="CB330" s="48"/>
      <c r="CC330" s="48"/>
      <c r="CD330" s="48"/>
      <c r="CE330" s="48"/>
      <c r="CF330" s="48"/>
      <c r="CG330" s="48"/>
      <c r="CH330" s="48"/>
      <c r="CI330" s="48"/>
      <c r="CJ330" s="48"/>
      <c r="CK330" s="48"/>
      <c r="CL330" s="48"/>
      <c r="CM330" s="48"/>
      <c r="CN330" s="48"/>
      <c r="CO330" s="48"/>
      <c r="CP330" s="48"/>
      <c r="CQ330" s="48"/>
      <c r="CR330" s="48"/>
      <c r="CS330" s="48"/>
      <c r="CT330" s="48"/>
      <c r="CU330" s="48"/>
      <c r="CV330" s="48"/>
      <c r="CW330" s="48"/>
      <c r="CX330" s="48"/>
      <c r="CY330" s="48"/>
      <c r="CZ330" s="48"/>
    </row>
    <row r="331" spans="27:104" s="4" customFormat="1" x14ac:dyDescent="0.3">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14"/>
      <c r="BC331" s="48"/>
      <c r="BD331" s="48"/>
      <c r="BE331" s="48"/>
      <c r="BF331" s="48"/>
      <c r="BG331" s="48"/>
      <c r="BH331" s="48"/>
      <c r="BI331" s="48"/>
      <c r="BJ331" s="48"/>
      <c r="BK331" s="48"/>
      <c r="BL331" s="48"/>
      <c r="BM331" s="48"/>
      <c r="BN331" s="48"/>
      <c r="BO331" s="48"/>
      <c r="BP331" s="48"/>
      <c r="BQ331" s="48"/>
      <c r="BR331" s="48"/>
      <c r="BS331" s="48"/>
      <c r="BT331" s="48"/>
      <c r="BU331" s="48"/>
      <c r="BV331" s="48"/>
      <c r="BW331" s="48"/>
      <c r="BX331" s="48"/>
      <c r="BY331" s="48"/>
      <c r="BZ331" s="48"/>
      <c r="CA331" s="48"/>
      <c r="CB331" s="48"/>
      <c r="CC331" s="48"/>
      <c r="CD331" s="48"/>
      <c r="CE331" s="48"/>
      <c r="CF331" s="48"/>
      <c r="CG331" s="48"/>
      <c r="CH331" s="48"/>
      <c r="CI331" s="48"/>
      <c r="CJ331" s="48"/>
      <c r="CK331" s="48"/>
      <c r="CL331" s="48"/>
      <c r="CM331" s="48"/>
      <c r="CN331" s="48"/>
      <c r="CO331" s="48"/>
      <c r="CP331" s="48"/>
      <c r="CQ331" s="48"/>
      <c r="CR331" s="48"/>
      <c r="CS331" s="48"/>
      <c r="CT331" s="48"/>
      <c r="CU331" s="48"/>
      <c r="CV331" s="48"/>
      <c r="CW331" s="48"/>
      <c r="CX331" s="48"/>
      <c r="CY331" s="48"/>
      <c r="CZ331" s="48"/>
    </row>
    <row r="332" spans="27:104" s="4" customFormat="1" x14ac:dyDescent="0.3">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14"/>
      <c r="BC332" s="48"/>
      <c r="BD332" s="48"/>
      <c r="BE332" s="48"/>
      <c r="BF332" s="48"/>
      <c r="BG332" s="48"/>
      <c r="BH332" s="48"/>
      <c r="BI332" s="48"/>
      <c r="BJ332" s="48"/>
      <c r="BK332" s="48"/>
      <c r="BL332" s="48"/>
      <c r="BM332" s="48"/>
      <c r="BN332" s="48"/>
      <c r="BO332" s="48"/>
      <c r="BP332" s="48"/>
      <c r="BQ332" s="48"/>
      <c r="BR332" s="48"/>
      <c r="BS332" s="48"/>
      <c r="BT332" s="48"/>
      <c r="BU332" s="48"/>
      <c r="BV332" s="48"/>
      <c r="BW332" s="48"/>
      <c r="BX332" s="48"/>
      <c r="BY332" s="48"/>
      <c r="BZ332" s="48"/>
      <c r="CA332" s="48"/>
      <c r="CB332" s="48"/>
      <c r="CC332" s="48"/>
      <c r="CD332" s="48"/>
      <c r="CE332" s="48"/>
      <c r="CF332" s="48"/>
      <c r="CG332" s="48"/>
      <c r="CH332" s="48"/>
      <c r="CI332" s="48"/>
      <c r="CJ332" s="48"/>
      <c r="CK332" s="48"/>
      <c r="CL332" s="48"/>
      <c r="CM332" s="48"/>
      <c r="CN332" s="48"/>
      <c r="CO332" s="48"/>
      <c r="CP332" s="48"/>
      <c r="CQ332" s="48"/>
      <c r="CR332" s="48"/>
      <c r="CS332" s="48"/>
      <c r="CT332" s="48"/>
      <c r="CU332" s="48"/>
      <c r="CV332" s="48"/>
      <c r="CW332" s="48"/>
      <c r="CX332" s="48"/>
      <c r="CY332" s="48"/>
      <c r="CZ332" s="48"/>
    </row>
    <row r="333" spans="27:104" s="4" customFormat="1" x14ac:dyDescent="0.3">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14"/>
      <c r="BC333" s="48"/>
      <c r="BD333" s="48"/>
      <c r="BE333" s="48"/>
      <c r="BF333" s="48"/>
      <c r="BG333" s="48"/>
      <c r="BH333" s="48"/>
      <c r="BI333" s="48"/>
      <c r="BJ333" s="48"/>
      <c r="BK333" s="48"/>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48"/>
      <c r="CM333" s="48"/>
      <c r="CN333" s="48"/>
      <c r="CO333" s="48"/>
      <c r="CP333" s="48"/>
      <c r="CQ333" s="48"/>
      <c r="CR333" s="48"/>
      <c r="CS333" s="48"/>
      <c r="CT333" s="48"/>
      <c r="CU333" s="48"/>
      <c r="CV333" s="48"/>
      <c r="CW333" s="48"/>
      <c r="CX333" s="48"/>
      <c r="CY333" s="48"/>
      <c r="CZ333" s="48"/>
    </row>
    <row r="334" spans="27:104" s="4" customFormat="1" x14ac:dyDescent="0.3">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14"/>
      <c r="BC334" s="48"/>
      <c r="BD334" s="48"/>
      <c r="BE334" s="48"/>
      <c r="BF334" s="48"/>
      <c r="BG334" s="48"/>
      <c r="BH334" s="48"/>
      <c r="BI334" s="48"/>
      <c r="BJ334" s="48"/>
      <c r="BK334" s="48"/>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48"/>
      <c r="CL334" s="48"/>
      <c r="CM334" s="48"/>
      <c r="CN334" s="48"/>
      <c r="CO334" s="48"/>
      <c r="CP334" s="48"/>
      <c r="CQ334" s="48"/>
      <c r="CR334" s="48"/>
      <c r="CS334" s="48"/>
      <c r="CT334" s="48"/>
      <c r="CU334" s="48"/>
      <c r="CV334" s="48"/>
      <c r="CW334" s="48"/>
      <c r="CX334" s="48"/>
      <c r="CY334" s="48"/>
      <c r="CZ334" s="48"/>
    </row>
    <row r="335" spans="27:104" s="4" customFormat="1" x14ac:dyDescent="0.3">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14"/>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8"/>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row>
    <row r="336" spans="27:104" s="4" customFormat="1" x14ac:dyDescent="0.3">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14"/>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row>
    <row r="337" spans="27:104" s="4" customFormat="1" x14ac:dyDescent="0.3">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14"/>
      <c r="BC337" s="48"/>
      <c r="BD337" s="48"/>
      <c r="BE337" s="48"/>
      <c r="BF337" s="48"/>
      <c r="BG337" s="48"/>
      <c r="BH337" s="48"/>
      <c r="BI337" s="48"/>
      <c r="BJ337" s="48"/>
      <c r="BK337" s="48"/>
      <c r="BL337" s="48"/>
      <c r="BM337" s="48"/>
      <c r="BN337" s="48"/>
      <c r="BO337" s="48"/>
      <c r="BP337" s="48"/>
      <c r="BQ337" s="48"/>
      <c r="BR337" s="48"/>
      <c r="BS337" s="48"/>
      <c r="BT337" s="48"/>
      <c r="BU337" s="48"/>
      <c r="BV337" s="48"/>
      <c r="BW337" s="48"/>
      <c r="BX337" s="48"/>
      <c r="BY337" s="48"/>
      <c r="BZ337" s="48"/>
      <c r="CA337" s="48"/>
      <c r="CB337" s="48"/>
      <c r="CC337" s="48"/>
      <c r="CD337" s="48"/>
      <c r="CE337" s="48"/>
      <c r="CF337" s="48"/>
      <c r="CG337" s="48"/>
      <c r="CH337" s="48"/>
      <c r="CI337" s="48"/>
      <c r="CJ337" s="48"/>
      <c r="CK337" s="48"/>
      <c r="CL337" s="48"/>
      <c r="CM337" s="48"/>
      <c r="CN337" s="48"/>
      <c r="CO337" s="48"/>
      <c r="CP337" s="48"/>
      <c r="CQ337" s="48"/>
      <c r="CR337" s="48"/>
      <c r="CS337" s="48"/>
      <c r="CT337" s="48"/>
      <c r="CU337" s="48"/>
      <c r="CV337" s="48"/>
      <c r="CW337" s="48"/>
      <c r="CX337" s="48"/>
      <c r="CY337" s="48"/>
      <c r="CZ337" s="48"/>
    </row>
    <row r="338" spans="27:104" s="4" customFormat="1" x14ac:dyDescent="0.3">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14"/>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c r="CQ338" s="48"/>
      <c r="CR338" s="48"/>
      <c r="CS338" s="48"/>
      <c r="CT338" s="48"/>
      <c r="CU338" s="48"/>
      <c r="CV338" s="48"/>
      <c r="CW338" s="48"/>
      <c r="CX338" s="48"/>
      <c r="CY338" s="48"/>
      <c r="CZ338" s="48"/>
    </row>
    <row r="339" spans="27:104" s="4" customFormat="1" x14ac:dyDescent="0.3">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14"/>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row>
    <row r="340" spans="27:104" s="4" customFormat="1" x14ac:dyDescent="0.3">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14"/>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row>
    <row r="341" spans="27:104" s="4" customFormat="1" x14ac:dyDescent="0.3">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14"/>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row>
    <row r="342" spans="27:104" s="4" customFormat="1" x14ac:dyDescent="0.3">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14"/>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row>
    <row r="343" spans="27:104" s="4" customFormat="1" x14ac:dyDescent="0.3">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14"/>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48"/>
      <c r="CM343" s="48"/>
      <c r="CN343" s="48"/>
      <c r="CO343" s="48"/>
      <c r="CP343" s="48"/>
      <c r="CQ343" s="48"/>
      <c r="CR343" s="48"/>
      <c r="CS343" s="48"/>
      <c r="CT343" s="48"/>
      <c r="CU343" s="48"/>
      <c r="CV343" s="48"/>
      <c r="CW343" s="48"/>
      <c r="CX343" s="48"/>
      <c r="CY343" s="48"/>
      <c r="CZ343" s="48"/>
    </row>
    <row r="344" spans="27:104" s="4" customFormat="1" x14ac:dyDescent="0.3">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14"/>
      <c r="BC344" s="48"/>
      <c r="BD344" s="48"/>
      <c r="BE344" s="48"/>
      <c r="BF344" s="48"/>
      <c r="BG344" s="48"/>
      <c r="BH344" s="48"/>
      <c r="BI344" s="48"/>
      <c r="BJ344" s="48"/>
      <c r="BK344" s="48"/>
      <c r="BL344" s="48"/>
      <c r="BM344" s="48"/>
      <c r="BN344" s="48"/>
      <c r="BO344" s="48"/>
      <c r="BP344" s="48"/>
      <c r="BQ344" s="48"/>
      <c r="BR344" s="48"/>
      <c r="BS344" s="48"/>
      <c r="BT344" s="48"/>
      <c r="BU344" s="48"/>
      <c r="BV344" s="48"/>
      <c r="BW344" s="48"/>
      <c r="BX344" s="48"/>
      <c r="BY344" s="48"/>
      <c r="BZ344" s="48"/>
      <c r="CA344" s="48"/>
      <c r="CB344" s="48"/>
      <c r="CC344" s="48"/>
      <c r="CD344" s="48"/>
      <c r="CE344" s="48"/>
      <c r="CF344" s="48"/>
      <c r="CG344" s="48"/>
      <c r="CH344" s="48"/>
      <c r="CI344" s="48"/>
      <c r="CJ344" s="48"/>
      <c r="CK344" s="48"/>
      <c r="CL344" s="48"/>
      <c r="CM344" s="48"/>
      <c r="CN344" s="48"/>
      <c r="CO344" s="48"/>
      <c r="CP344" s="48"/>
      <c r="CQ344" s="48"/>
      <c r="CR344" s="48"/>
      <c r="CS344" s="48"/>
      <c r="CT344" s="48"/>
      <c r="CU344" s="48"/>
      <c r="CV344" s="48"/>
      <c r="CW344" s="48"/>
      <c r="CX344" s="48"/>
      <c r="CY344" s="48"/>
      <c r="CZ344" s="48"/>
    </row>
    <row r="345" spans="27:104" s="4" customFormat="1" x14ac:dyDescent="0.3">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14"/>
      <c r="BC345" s="48"/>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row>
    <row r="346" spans="27:104" s="4" customFormat="1" x14ac:dyDescent="0.3">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14"/>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c r="CQ346" s="48"/>
      <c r="CR346" s="48"/>
      <c r="CS346" s="48"/>
      <c r="CT346" s="48"/>
      <c r="CU346" s="48"/>
      <c r="CV346" s="48"/>
      <c r="CW346" s="48"/>
      <c r="CX346" s="48"/>
      <c r="CY346" s="48"/>
      <c r="CZ346" s="48"/>
    </row>
    <row r="347" spans="27:104" s="4" customFormat="1" x14ac:dyDescent="0.3">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14"/>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8"/>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row>
    <row r="348" spans="27:104" s="4" customFormat="1" x14ac:dyDescent="0.3">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14"/>
      <c r="BC348" s="48"/>
      <c r="BD348" s="48"/>
      <c r="BE348" s="48"/>
      <c r="BF348" s="48"/>
      <c r="BG348" s="48"/>
      <c r="BH348" s="48"/>
      <c r="BI348" s="48"/>
      <c r="BJ348" s="48"/>
      <c r="BK348" s="48"/>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c r="CN348" s="48"/>
      <c r="CO348" s="48"/>
      <c r="CP348" s="48"/>
      <c r="CQ348" s="48"/>
      <c r="CR348" s="48"/>
      <c r="CS348" s="48"/>
      <c r="CT348" s="48"/>
      <c r="CU348" s="48"/>
      <c r="CV348" s="48"/>
      <c r="CW348" s="48"/>
      <c r="CX348" s="48"/>
      <c r="CY348" s="48"/>
      <c r="CZ348" s="48"/>
    </row>
    <row r="349" spans="27:104" s="4" customFormat="1" x14ac:dyDescent="0.3">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14"/>
      <c r="BC349" s="48"/>
      <c r="BD349" s="48"/>
      <c r="BE349" s="48"/>
      <c r="BF349" s="48"/>
      <c r="BG349" s="48"/>
      <c r="BH349" s="48"/>
      <c r="BI349" s="48"/>
      <c r="BJ349" s="48"/>
      <c r="BK349" s="48"/>
      <c r="BL349" s="48"/>
      <c r="BM349" s="48"/>
      <c r="BN349" s="48"/>
      <c r="BO349" s="48"/>
      <c r="BP349" s="48"/>
      <c r="BQ349" s="48"/>
      <c r="BR349" s="48"/>
      <c r="BS349" s="48"/>
      <c r="BT349" s="48"/>
      <c r="BU349" s="48"/>
      <c r="BV349" s="48"/>
      <c r="BW349" s="48"/>
      <c r="BX349" s="48"/>
      <c r="BY349" s="48"/>
      <c r="BZ349" s="48"/>
      <c r="CA349" s="48"/>
      <c r="CB349" s="48"/>
      <c r="CC349" s="48"/>
      <c r="CD349" s="48"/>
      <c r="CE349" s="48"/>
      <c r="CF349" s="48"/>
      <c r="CG349" s="48"/>
      <c r="CH349" s="48"/>
      <c r="CI349" s="48"/>
      <c r="CJ349" s="48"/>
      <c r="CK349" s="48"/>
      <c r="CL349" s="48"/>
      <c r="CM349" s="48"/>
      <c r="CN349" s="48"/>
      <c r="CO349" s="48"/>
      <c r="CP349" s="48"/>
      <c r="CQ349" s="48"/>
      <c r="CR349" s="48"/>
      <c r="CS349" s="48"/>
      <c r="CT349" s="48"/>
      <c r="CU349" s="48"/>
      <c r="CV349" s="48"/>
      <c r="CW349" s="48"/>
      <c r="CX349" s="48"/>
      <c r="CY349" s="48"/>
      <c r="CZ349" s="48"/>
    </row>
    <row r="350" spans="27:104" s="4" customFormat="1" x14ac:dyDescent="0.3">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14"/>
      <c r="BC350" s="48"/>
      <c r="BD350" s="48"/>
      <c r="BE350" s="48"/>
      <c r="BF350" s="48"/>
      <c r="BG350" s="48"/>
      <c r="BH350" s="48"/>
      <c r="BI350" s="48"/>
      <c r="BJ350" s="48"/>
      <c r="BK350" s="48"/>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c r="CJ350" s="48"/>
      <c r="CK350" s="48"/>
      <c r="CL350" s="48"/>
      <c r="CM350" s="48"/>
      <c r="CN350" s="48"/>
      <c r="CO350" s="48"/>
      <c r="CP350" s="48"/>
      <c r="CQ350" s="48"/>
      <c r="CR350" s="48"/>
      <c r="CS350" s="48"/>
      <c r="CT350" s="48"/>
      <c r="CU350" s="48"/>
      <c r="CV350" s="48"/>
      <c r="CW350" s="48"/>
      <c r="CX350" s="48"/>
      <c r="CY350" s="48"/>
      <c r="CZ350" s="48"/>
    </row>
    <row r="351" spans="27:104" s="4" customFormat="1" x14ac:dyDescent="0.3">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14"/>
      <c r="BC351" s="48"/>
      <c r="BD351" s="48"/>
      <c r="BE351" s="48"/>
      <c r="BF351" s="48"/>
      <c r="BG351" s="48"/>
      <c r="BH351" s="48"/>
      <c r="BI351" s="48"/>
      <c r="BJ351" s="48"/>
      <c r="BK351" s="48"/>
      <c r="BL351" s="48"/>
      <c r="BM351" s="48"/>
      <c r="BN351" s="48"/>
      <c r="BO351" s="48"/>
      <c r="BP351" s="48"/>
      <c r="BQ351" s="48"/>
      <c r="BR351" s="48"/>
      <c r="BS351" s="48"/>
      <c r="BT351" s="48"/>
      <c r="BU351" s="48"/>
      <c r="BV351" s="48"/>
      <c r="BW351" s="48"/>
      <c r="BX351" s="48"/>
      <c r="BY351" s="48"/>
      <c r="BZ351" s="48"/>
      <c r="CA351" s="48"/>
      <c r="CB351" s="48"/>
      <c r="CC351" s="48"/>
      <c r="CD351" s="48"/>
      <c r="CE351" s="48"/>
      <c r="CF351" s="48"/>
      <c r="CG351" s="48"/>
      <c r="CH351" s="48"/>
      <c r="CI351" s="48"/>
      <c r="CJ351" s="48"/>
      <c r="CK351" s="48"/>
      <c r="CL351" s="48"/>
      <c r="CM351" s="48"/>
      <c r="CN351" s="48"/>
      <c r="CO351" s="48"/>
      <c r="CP351" s="48"/>
      <c r="CQ351" s="48"/>
      <c r="CR351" s="48"/>
      <c r="CS351" s="48"/>
      <c r="CT351" s="48"/>
      <c r="CU351" s="48"/>
      <c r="CV351" s="48"/>
      <c r="CW351" s="48"/>
      <c r="CX351" s="48"/>
      <c r="CY351" s="48"/>
      <c r="CZ351" s="48"/>
    </row>
    <row r="352" spans="27:104" s="4" customFormat="1" x14ac:dyDescent="0.3">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14"/>
      <c r="BC352" s="48"/>
      <c r="BD352" s="48"/>
      <c r="BE352" s="48"/>
      <c r="BF352" s="48"/>
      <c r="BG352" s="48"/>
      <c r="BH352" s="48"/>
      <c r="BI352" s="48"/>
      <c r="BJ352" s="48"/>
      <c r="BK352" s="48"/>
      <c r="BL352" s="48"/>
      <c r="BM352" s="48"/>
      <c r="BN352" s="48"/>
      <c r="BO352" s="48"/>
      <c r="BP352" s="48"/>
      <c r="BQ352" s="48"/>
      <c r="BR352" s="48"/>
      <c r="BS352" s="48"/>
      <c r="BT352" s="48"/>
      <c r="BU352" s="48"/>
      <c r="BV352" s="48"/>
      <c r="BW352" s="48"/>
      <c r="BX352" s="48"/>
      <c r="BY352" s="48"/>
      <c r="BZ352" s="48"/>
      <c r="CA352" s="48"/>
      <c r="CB352" s="48"/>
      <c r="CC352" s="48"/>
      <c r="CD352" s="48"/>
      <c r="CE352" s="48"/>
      <c r="CF352" s="48"/>
      <c r="CG352" s="48"/>
      <c r="CH352" s="48"/>
      <c r="CI352" s="48"/>
      <c r="CJ352" s="48"/>
      <c r="CK352" s="48"/>
      <c r="CL352" s="48"/>
      <c r="CM352" s="48"/>
      <c r="CN352" s="48"/>
      <c r="CO352" s="48"/>
      <c r="CP352" s="48"/>
      <c r="CQ352" s="48"/>
      <c r="CR352" s="48"/>
      <c r="CS352" s="48"/>
      <c r="CT352" s="48"/>
      <c r="CU352" s="48"/>
      <c r="CV352" s="48"/>
      <c r="CW352" s="48"/>
      <c r="CX352" s="48"/>
      <c r="CY352" s="48"/>
      <c r="CZ352" s="48"/>
    </row>
    <row r="353" spans="27:104" s="4" customFormat="1" x14ac:dyDescent="0.3">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14"/>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8"/>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row>
    <row r="354" spans="27:104" s="4" customFormat="1" x14ac:dyDescent="0.3">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14"/>
      <c r="BC354" s="48"/>
      <c r="BD354" s="48"/>
      <c r="BE354" s="48"/>
      <c r="BF354" s="48"/>
      <c r="BG354" s="48"/>
      <c r="BH354" s="48"/>
      <c r="BI354" s="48"/>
      <c r="BJ354" s="48"/>
      <c r="BK354" s="48"/>
      <c r="BL354" s="48"/>
      <c r="BM354" s="48"/>
      <c r="BN354" s="48"/>
      <c r="BO354" s="48"/>
      <c r="BP354" s="48"/>
      <c r="BQ354" s="48"/>
      <c r="BR354" s="48"/>
      <c r="BS354" s="48"/>
      <c r="BT354" s="48"/>
      <c r="BU354" s="48"/>
      <c r="BV354" s="48"/>
      <c r="BW354" s="48"/>
      <c r="BX354" s="48"/>
      <c r="BY354" s="48"/>
      <c r="BZ354" s="48"/>
      <c r="CA354" s="48"/>
      <c r="CB354" s="48"/>
      <c r="CC354" s="48"/>
      <c r="CD354" s="48"/>
      <c r="CE354" s="48"/>
      <c r="CF354" s="48"/>
      <c r="CG354" s="48"/>
      <c r="CH354" s="48"/>
      <c r="CI354" s="48"/>
      <c r="CJ354" s="48"/>
      <c r="CK354" s="48"/>
      <c r="CL354" s="48"/>
      <c r="CM354" s="48"/>
      <c r="CN354" s="48"/>
      <c r="CO354" s="48"/>
      <c r="CP354" s="48"/>
      <c r="CQ354" s="48"/>
      <c r="CR354" s="48"/>
      <c r="CS354" s="48"/>
      <c r="CT354" s="48"/>
      <c r="CU354" s="48"/>
      <c r="CV354" s="48"/>
      <c r="CW354" s="48"/>
      <c r="CX354" s="48"/>
      <c r="CY354" s="48"/>
      <c r="CZ354" s="48"/>
    </row>
    <row r="355" spans="27:104" s="4" customFormat="1" x14ac:dyDescent="0.3">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14"/>
      <c r="BC355" s="48"/>
      <c r="BD355" s="48"/>
      <c r="BE355" s="48"/>
      <c r="BF355" s="48"/>
      <c r="BG355" s="48"/>
      <c r="BH355" s="48"/>
      <c r="BI355" s="48"/>
      <c r="BJ355" s="48"/>
      <c r="BK355" s="48"/>
      <c r="BL355" s="48"/>
      <c r="BM355" s="48"/>
      <c r="BN355" s="48"/>
      <c r="BO355" s="48"/>
      <c r="BP355" s="48"/>
      <c r="BQ355" s="48"/>
      <c r="BR355" s="48"/>
      <c r="BS355" s="48"/>
      <c r="BT355" s="48"/>
      <c r="BU355" s="48"/>
      <c r="BV355" s="48"/>
      <c r="BW355" s="48"/>
      <c r="BX355" s="48"/>
      <c r="BY355" s="48"/>
      <c r="BZ355" s="48"/>
      <c r="CA355" s="48"/>
      <c r="CB355" s="48"/>
      <c r="CC355" s="48"/>
      <c r="CD355" s="48"/>
      <c r="CE355" s="48"/>
      <c r="CF355" s="48"/>
      <c r="CG355" s="48"/>
      <c r="CH355" s="48"/>
      <c r="CI355" s="48"/>
      <c r="CJ355" s="48"/>
      <c r="CK355" s="48"/>
      <c r="CL355" s="48"/>
      <c r="CM355" s="48"/>
      <c r="CN355" s="48"/>
      <c r="CO355" s="48"/>
      <c r="CP355" s="48"/>
      <c r="CQ355" s="48"/>
      <c r="CR355" s="48"/>
      <c r="CS355" s="48"/>
      <c r="CT355" s="48"/>
      <c r="CU355" s="48"/>
      <c r="CV355" s="48"/>
      <c r="CW355" s="48"/>
      <c r="CX355" s="48"/>
      <c r="CY355" s="48"/>
      <c r="CZ355" s="48"/>
    </row>
    <row r="356" spans="27:104" s="4" customFormat="1" x14ac:dyDescent="0.3">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14"/>
      <c r="BC356" s="48"/>
      <c r="BD356" s="48"/>
      <c r="BE356" s="48"/>
      <c r="BF356" s="48"/>
      <c r="BG356" s="48"/>
      <c r="BH356" s="48"/>
      <c r="BI356" s="48"/>
      <c r="BJ356" s="48"/>
      <c r="BK356" s="48"/>
      <c r="BL356" s="48"/>
      <c r="BM356" s="48"/>
      <c r="BN356" s="48"/>
      <c r="BO356" s="48"/>
      <c r="BP356" s="48"/>
      <c r="BQ356" s="48"/>
      <c r="BR356" s="48"/>
      <c r="BS356" s="48"/>
      <c r="BT356" s="48"/>
      <c r="BU356" s="48"/>
      <c r="BV356" s="48"/>
      <c r="BW356" s="48"/>
      <c r="BX356" s="48"/>
      <c r="BY356" s="48"/>
      <c r="BZ356" s="48"/>
      <c r="CA356" s="48"/>
      <c r="CB356" s="48"/>
      <c r="CC356" s="48"/>
      <c r="CD356" s="48"/>
      <c r="CE356" s="48"/>
      <c r="CF356" s="48"/>
      <c r="CG356" s="48"/>
      <c r="CH356" s="48"/>
      <c r="CI356" s="48"/>
      <c r="CJ356" s="48"/>
      <c r="CK356" s="48"/>
      <c r="CL356" s="48"/>
      <c r="CM356" s="48"/>
      <c r="CN356" s="48"/>
      <c r="CO356" s="48"/>
      <c r="CP356" s="48"/>
      <c r="CQ356" s="48"/>
      <c r="CR356" s="48"/>
      <c r="CS356" s="48"/>
      <c r="CT356" s="48"/>
      <c r="CU356" s="48"/>
      <c r="CV356" s="48"/>
      <c r="CW356" s="48"/>
      <c r="CX356" s="48"/>
      <c r="CY356" s="48"/>
      <c r="CZ356" s="48"/>
    </row>
    <row r="357" spans="27:104" s="4" customFormat="1" x14ac:dyDescent="0.3">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14"/>
      <c r="BC357" s="48"/>
      <c r="BD357" s="48"/>
      <c r="BE357" s="48"/>
      <c r="BF357" s="48"/>
      <c r="BG357" s="48"/>
      <c r="BH357" s="48"/>
      <c r="BI357" s="48"/>
      <c r="BJ357" s="48"/>
      <c r="BK357" s="48"/>
      <c r="BL357" s="48"/>
      <c r="BM357" s="48"/>
      <c r="BN357" s="48"/>
      <c r="BO357" s="48"/>
      <c r="BP357" s="48"/>
      <c r="BQ357" s="48"/>
      <c r="BR357" s="48"/>
      <c r="BS357" s="48"/>
      <c r="BT357" s="48"/>
      <c r="BU357" s="48"/>
      <c r="BV357" s="48"/>
      <c r="BW357" s="48"/>
      <c r="BX357" s="48"/>
      <c r="BY357" s="48"/>
      <c r="BZ357" s="48"/>
      <c r="CA357" s="48"/>
      <c r="CB357" s="48"/>
      <c r="CC357" s="48"/>
      <c r="CD357" s="48"/>
      <c r="CE357" s="48"/>
      <c r="CF357" s="48"/>
      <c r="CG357" s="48"/>
      <c r="CH357" s="48"/>
      <c r="CI357" s="48"/>
      <c r="CJ357" s="48"/>
      <c r="CK357" s="48"/>
      <c r="CL357" s="48"/>
      <c r="CM357" s="48"/>
      <c r="CN357" s="48"/>
      <c r="CO357" s="48"/>
      <c r="CP357" s="48"/>
      <c r="CQ357" s="48"/>
      <c r="CR357" s="48"/>
      <c r="CS357" s="48"/>
      <c r="CT357" s="48"/>
      <c r="CU357" s="48"/>
      <c r="CV357" s="48"/>
      <c r="CW357" s="48"/>
      <c r="CX357" s="48"/>
      <c r="CY357" s="48"/>
      <c r="CZ357" s="48"/>
    </row>
    <row r="358" spans="27:104" s="4" customFormat="1" x14ac:dyDescent="0.3">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14"/>
      <c r="BC358" s="48"/>
      <c r="BD358" s="48"/>
      <c r="BE358" s="48"/>
      <c r="BF358" s="48"/>
      <c r="BG358" s="48"/>
      <c r="BH358" s="48"/>
      <c r="BI358" s="48"/>
      <c r="BJ358" s="48"/>
      <c r="BK358" s="48"/>
      <c r="BL358" s="48"/>
      <c r="BM358" s="48"/>
      <c r="BN358" s="48"/>
      <c r="BO358" s="48"/>
      <c r="BP358" s="48"/>
      <c r="BQ358" s="48"/>
      <c r="BR358" s="48"/>
      <c r="BS358" s="48"/>
      <c r="BT358" s="48"/>
      <c r="BU358" s="48"/>
      <c r="BV358" s="48"/>
      <c r="BW358" s="48"/>
      <c r="BX358" s="48"/>
      <c r="BY358" s="48"/>
      <c r="BZ358" s="48"/>
      <c r="CA358" s="48"/>
      <c r="CB358" s="48"/>
      <c r="CC358" s="48"/>
      <c r="CD358" s="48"/>
      <c r="CE358" s="48"/>
      <c r="CF358" s="48"/>
      <c r="CG358" s="48"/>
      <c r="CH358" s="48"/>
      <c r="CI358" s="48"/>
      <c r="CJ358" s="48"/>
      <c r="CK358" s="48"/>
      <c r="CL358" s="48"/>
      <c r="CM358" s="48"/>
      <c r="CN358" s="48"/>
      <c r="CO358" s="48"/>
      <c r="CP358" s="48"/>
      <c r="CQ358" s="48"/>
      <c r="CR358" s="48"/>
      <c r="CS358" s="48"/>
      <c r="CT358" s="48"/>
      <c r="CU358" s="48"/>
      <c r="CV358" s="48"/>
      <c r="CW358" s="48"/>
      <c r="CX358" s="48"/>
      <c r="CY358" s="48"/>
      <c r="CZ358" s="48"/>
    </row>
    <row r="359" spans="27:104" s="4" customFormat="1" x14ac:dyDescent="0.3">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14"/>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8"/>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row>
    <row r="360" spans="27:104" s="4" customFormat="1" x14ac:dyDescent="0.3">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14"/>
      <c r="BC360" s="48"/>
      <c r="BD360" s="48"/>
      <c r="BE360" s="48"/>
      <c r="BF360" s="48"/>
      <c r="BG360" s="48"/>
      <c r="BH360" s="48"/>
      <c r="BI360" s="48"/>
      <c r="BJ360" s="48"/>
      <c r="BK360" s="48"/>
      <c r="BL360" s="48"/>
      <c r="BM360" s="48"/>
      <c r="BN360" s="48"/>
      <c r="BO360" s="48"/>
      <c r="BP360" s="48"/>
      <c r="BQ360" s="48"/>
      <c r="BR360" s="48"/>
      <c r="BS360" s="48"/>
      <c r="BT360" s="48"/>
      <c r="BU360" s="48"/>
      <c r="BV360" s="48"/>
      <c r="BW360" s="48"/>
      <c r="BX360" s="48"/>
      <c r="BY360" s="48"/>
      <c r="BZ360" s="48"/>
      <c r="CA360" s="48"/>
      <c r="CB360" s="48"/>
      <c r="CC360" s="48"/>
      <c r="CD360" s="48"/>
      <c r="CE360" s="48"/>
      <c r="CF360" s="48"/>
      <c r="CG360" s="48"/>
      <c r="CH360" s="48"/>
      <c r="CI360" s="48"/>
      <c r="CJ360" s="48"/>
      <c r="CK360" s="48"/>
      <c r="CL360" s="48"/>
      <c r="CM360" s="48"/>
      <c r="CN360" s="48"/>
      <c r="CO360" s="48"/>
      <c r="CP360" s="48"/>
      <c r="CQ360" s="48"/>
      <c r="CR360" s="48"/>
      <c r="CS360" s="48"/>
      <c r="CT360" s="48"/>
      <c r="CU360" s="48"/>
      <c r="CV360" s="48"/>
      <c r="CW360" s="48"/>
      <c r="CX360" s="48"/>
      <c r="CY360" s="48"/>
      <c r="CZ360" s="48"/>
    </row>
    <row r="361" spans="27:104" s="4" customFormat="1" x14ac:dyDescent="0.3">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14"/>
      <c r="BC361" s="48"/>
      <c r="BD361" s="48"/>
      <c r="BE361" s="48"/>
      <c r="BF361" s="48"/>
      <c r="BG361" s="48"/>
      <c r="BH361" s="48"/>
      <c r="BI361" s="48"/>
      <c r="BJ361" s="48"/>
      <c r="BK361" s="48"/>
      <c r="BL361" s="48"/>
      <c r="BM361" s="48"/>
      <c r="BN361" s="48"/>
      <c r="BO361" s="48"/>
      <c r="BP361" s="48"/>
      <c r="BQ361" s="48"/>
      <c r="BR361" s="48"/>
      <c r="BS361" s="48"/>
      <c r="BT361" s="48"/>
      <c r="BU361" s="48"/>
      <c r="BV361" s="48"/>
      <c r="BW361" s="48"/>
      <c r="BX361" s="48"/>
      <c r="BY361" s="48"/>
      <c r="BZ361" s="48"/>
      <c r="CA361" s="48"/>
      <c r="CB361" s="48"/>
      <c r="CC361" s="48"/>
      <c r="CD361" s="48"/>
      <c r="CE361" s="48"/>
      <c r="CF361" s="48"/>
      <c r="CG361" s="48"/>
      <c r="CH361" s="48"/>
      <c r="CI361" s="48"/>
      <c r="CJ361" s="48"/>
      <c r="CK361" s="48"/>
      <c r="CL361" s="48"/>
      <c r="CM361" s="48"/>
      <c r="CN361" s="48"/>
      <c r="CO361" s="48"/>
      <c r="CP361" s="48"/>
      <c r="CQ361" s="48"/>
      <c r="CR361" s="48"/>
      <c r="CS361" s="48"/>
      <c r="CT361" s="48"/>
      <c r="CU361" s="48"/>
      <c r="CV361" s="48"/>
      <c r="CW361" s="48"/>
      <c r="CX361" s="48"/>
      <c r="CY361" s="48"/>
      <c r="CZ361" s="48"/>
    </row>
    <row r="362" spans="27:104" s="4" customFormat="1" x14ac:dyDescent="0.3">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14"/>
      <c r="BC362" s="48"/>
      <c r="BD362" s="48"/>
      <c r="BE362" s="48"/>
      <c r="BF362" s="48"/>
      <c r="BG362" s="48"/>
      <c r="BH362" s="48"/>
      <c r="BI362" s="48"/>
      <c r="BJ362" s="48"/>
      <c r="BK362" s="48"/>
      <c r="BL362" s="48"/>
      <c r="BM362" s="48"/>
      <c r="BN362" s="48"/>
      <c r="BO362" s="48"/>
      <c r="BP362" s="48"/>
      <c r="BQ362" s="48"/>
      <c r="BR362" s="48"/>
      <c r="BS362" s="48"/>
      <c r="BT362" s="48"/>
      <c r="BU362" s="48"/>
      <c r="BV362" s="48"/>
      <c r="BW362" s="48"/>
      <c r="BX362" s="48"/>
      <c r="BY362" s="48"/>
      <c r="BZ362" s="48"/>
      <c r="CA362" s="48"/>
      <c r="CB362" s="48"/>
      <c r="CC362" s="48"/>
      <c r="CD362" s="48"/>
      <c r="CE362" s="48"/>
      <c r="CF362" s="48"/>
      <c r="CG362" s="48"/>
      <c r="CH362" s="48"/>
      <c r="CI362" s="48"/>
      <c r="CJ362" s="48"/>
      <c r="CK362" s="48"/>
      <c r="CL362" s="48"/>
      <c r="CM362" s="48"/>
      <c r="CN362" s="48"/>
      <c r="CO362" s="48"/>
      <c r="CP362" s="48"/>
      <c r="CQ362" s="48"/>
      <c r="CR362" s="48"/>
      <c r="CS362" s="48"/>
      <c r="CT362" s="48"/>
      <c r="CU362" s="48"/>
      <c r="CV362" s="48"/>
      <c r="CW362" s="48"/>
      <c r="CX362" s="48"/>
      <c r="CY362" s="48"/>
      <c r="CZ362" s="48"/>
    </row>
    <row r="363" spans="27:104" s="4" customFormat="1" x14ac:dyDescent="0.3">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14"/>
      <c r="BC363" s="48"/>
      <c r="BD363" s="48"/>
      <c r="BE363" s="48"/>
      <c r="BF363" s="48"/>
      <c r="BG363" s="48"/>
      <c r="BH363" s="48"/>
      <c r="BI363" s="48"/>
      <c r="BJ363" s="48"/>
      <c r="BK363" s="48"/>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c r="CQ363" s="48"/>
      <c r="CR363" s="48"/>
      <c r="CS363" s="48"/>
      <c r="CT363" s="48"/>
      <c r="CU363" s="48"/>
      <c r="CV363" s="48"/>
      <c r="CW363" s="48"/>
      <c r="CX363" s="48"/>
      <c r="CY363" s="48"/>
      <c r="CZ363" s="48"/>
    </row>
    <row r="364" spans="27:104" s="4" customFormat="1" x14ac:dyDescent="0.3">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14"/>
      <c r="BC364" s="48"/>
      <c r="BD364" s="48"/>
      <c r="BE364" s="48"/>
      <c r="BF364" s="48"/>
      <c r="BG364" s="48"/>
      <c r="BH364" s="48"/>
      <c r="BI364" s="48"/>
      <c r="BJ364" s="48"/>
      <c r="BK364" s="48"/>
      <c r="BL364" s="48"/>
      <c r="BM364" s="48"/>
      <c r="BN364" s="48"/>
      <c r="BO364" s="48"/>
      <c r="BP364" s="48"/>
      <c r="BQ364" s="48"/>
      <c r="BR364" s="48"/>
      <c r="BS364" s="48"/>
      <c r="BT364" s="48"/>
      <c r="BU364" s="48"/>
      <c r="BV364" s="48"/>
      <c r="BW364" s="48"/>
      <c r="BX364" s="48"/>
      <c r="BY364" s="48"/>
      <c r="BZ364" s="48"/>
      <c r="CA364" s="48"/>
      <c r="CB364" s="48"/>
      <c r="CC364" s="48"/>
      <c r="CD364" s="48"/>
      <c r="CE364" s="48"/>
      <c r="CF364" s="48"/>
      <c r="CG364" s="48"/>
      <c r="CH364" s="48"/>
      <c r="CI364" s="48"/>
      <c r="CJ364" s="48"/>
      <c r="CK364" s="48"/>
      <c r="CL364" s="48"/>
      <c r="CM364" s="48"/>
      <c r="CN364" s="48"/>
      <c r="CO364" s="48"/>
      <c r="CP364" s="48"/>
      <c r="CQ364" s="48"/>
      <c r="CR364" s="48"/>
      <c r="CS364" s="48"/>
      <c r="CT364" s="48"/>
      <c r="CU364" s="48"/>
      <c r="CV364" s="48"/>
      <c r="CW364" s="48"/>
      <c r="CX364" s="48"/>
      <c r="CY364" s="48"/>
      <c r="CZ364" s="48"/>
    </row>
    <row r="365" spans="27:104" s="4" customFormat="1" x14ac:dyDescent="0.3">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14"/>
      <c r="BC365" s="48"/>
      <c r="BD365" s="48"/>
      <c r="BE365" s="48"/>
      <c r="BF365" s="48"/>
      <c r="BG365" s="48"/>
      <c r="BH365" s="48"/>
      <c r="BI365" s="48"/>
      <c r="BJ365" s="48"/>
      <c r="BK365" s="48"/>
      <c r="BL365" s="48"/>
      <c r="BM365" s="48"/>
      <c r="BN365" s="48"/>
      <c r="BO365" s="48"/>
      <c r="BP365" s="48"/>
      <c r="BQ365" s="48"/>
      <c r="BR365" s="48"/>
      <c r="BS365" s="48"/>
      <c r="BT365" s="48"/>
      <c r="BU365" s="48"/>
      <c r="BV365" s="48"/>
      <c r="BW365" s="48"/>
      <c r="BX365" s="48"/>
      <c r="BY365" s="48"/>
      <c r="BZ365" s="48"/>
      <c r="CA365" s="48"/>
      <c r="CB365" s="48"/>
      <c r="CC365" s="48"/>
      <c r="CD365" s="48"/>
      <c r="CE365" s="48"/>
      <c r="CF365" s="48"/>
      <c r="CG365" s="48"/>
      <c r="CH365" s="48"/>
      <c r="CI365" s="48"/>
      <c r="CJ365" s="48"/>
      <c r="CK365" s="48"/>
      <c r="CL365" s="48"/>
      <c r="CM365" s="48"/>
      <c r="CN365" s="48"/>
      <c r="CO365" s="48"/>
      <c r="CP365" s="48"/>
      <c r="CQ365" s="48"/>
      <c r="CR365" s="48"/>
      <c r="CS365" s="48"/>
      <c r="CT365" s="48"/>
      <c r="CU365" s="48"/>
      <c r="CV365" s="48"/>
      <c r="CW365" s="48"/>
      <c r="CX365" s="48"/>
      <c r="CY365" s="48"/>
      <c r="CZ365" s="48"/>
    </row>
    <row r="366" spans="27:104" s="4" customFormat="1" x14ac:dyDescent="0.3">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14"/>
      <c r="BC366" s="48"/>
      <c r="BD366" s="48"/>
      <c r="BE366" s="48"/>
      <c r="BF366" s="48"/>
      <c r="BG366" s="48"/>
      <c r="BH366" s="48"/>
      <c r="BI366" s="48"/>
      <c r="BJ366" s="48"/>
      <c r="BK366" s="48"/>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c r="CQ366" s="48"/>
      <c r="CR366" s="48"/>
      <c r="CS366" s="48"/>
      <c r="CT366" s="48"/>
      <c r="CU366" s="48"/>
      <c r="CV366" s="48"/>
      <c r="CW366" s="48"/>
      <c r="CX366" s="48"/>
      <c r="CY366" s="48"/>
      <c r="CZ366" s="48"/>
    </row>
    <row r="367" spans="27:104" s="4" customFormat="1" x14ac:dyDescent="0.3">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14"/>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row>
    <row r="368" spans="27:104" s="4" customFormat="1" x14ac:dyDescent="0.3">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14"/>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8"/>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row>
    <row r="369" spans="27:104" s="4" customFormat="1" x14ac:dyDescent="0.3">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14"/>
      <c r="BC369" s="48"/>
      <c r="BD369" s="48"/>
      <c r="BE369" s="48"/>
      <c r="BF369" s="48"/>
      <c r="BG369" s="48"/>
      <c r="BH369" s="48"/>
      <c r="BI369" s="48"/>
      <c r="BJ369" s="48"/>
      <c r="BK369" s="48"/>
      <c r="BL369" s="48"/>
      <c r="BM369" s="48"/>
      <c r="BN369" s="48"/>
      <c r="BO369" s="48"/>
      <c r="BP369" s="48"/>
      <c r="BQ369" s="48"/>
      <c r="BR369" s="48"/>
      <c r="BS369" s="48"/>
      <c r="BT369" s="48"/>
      <c r="BU369" s="48"/>
      <c r="BV369" s="48"/>
      <c r="BW369" s="48"/>
      <c r="BX369" s="48"/>
      <c r="BY369" s="48"/>
      <c r="BZ369" s="48"/>
      <c r="CA369" s="48"/>
      <c r="CB369" s="48"/>
      <c r="CC369" s="48"/>
      <c r="CD369" s="48"/>
      <c r="CE369" s="48"/>
      <c r="CF369" s="48"/>
      <c r="CG369" s="48"/>
      <c r="CH369" s="48"/>
      <c r="CI369" s="48"/>
      <c r="CJ369" s="48"/>
      <c r="CK369" s="48"/>
      <c r="CL369" s="48"/>
      <c r="CM369" s="48"/>
      <c r="CN369" s="48"/>
      <c r="CO369" s="48"/>
      <c r="CP369" s="48"/>
      <c r="CQ369" s="48"/>
      <c r="CR369" s="48"/>
      <c r="CS369" s="48"/>
      <c r="CT369" s="48"/>
      <c r="CU369" s="48"/>
      <c r="CV369" s="48"/>
      <c r="CW369" s="48"/>
      <c r="CX369" s="48"/>
      <c r="CY369" s="48"/>
      <c r="CZ369" s="48"/>
    </row>
    <row r="370" spans="27:104" s="4" customFormat="1" x14ac:dyDescent="0.3">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14"/>
      <c r="BC370" s="48"/>
      <c r="BD370" s="48"/>
      <c r="BE370" s="48"/>
      <c r="BF370" s="48"/>
      <c r="BG370" s="48"/>
      <c r="BH370" s="48"/>
      <c r="BI370" s="48"/>
      <c r="BJ370" s="48"/>
      <c r="BK370" s="48"/>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c r="CJ370" s="48"/>
      <c r="CK370" s="48"/>
      <c r="CL370" s="48"/>
      <c r="CM370" s="48"/>
      <c r="CN370" s="48"/>
      <c r="CO370" s="48"/>
      <c r="CP370" s="48"/>
      <c r="CQ370" s="48"/>
      <c r="CR370" s="48"/>
      <c r="CS370" s="48"/>
      <c r="CT370" s="48"/>
      <c r="CU370" s="48"/>
      <c r="CV370" s="48"/>
      <c r="CW370" s="48"/>
      <c r="CX370" s="48"/>
      <c r="CY370" s="48"/>
      <c r="CZ370" s="48"/>
    </row>
    <row r="371" spans="27:104" s="4" customFormat="1" x14ac:dyDescent="0.3">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14"/>
      <c r="BC371" s="48"/>
      <c r="BD371" s="48"/>
      <c r="BE371" s="48"/>
      <c r="BF371" s="48"/>
      <c r="BG371" s="48"/>
      <c r="BH371" s="48"/>
      <c r="BI371" s="48"/>
      <c r="BJ371" s="48"/>
      <c r="BK371" s="48"/>
      <c r="BL371" s="48"/>
      <c r="BM371" s="48"/>
      <c r="BN371" s="48"/>
      <c r="BO371" s="48"/>
      <c r="BP371" s="48"/>
      <c r="BQ371" s="48"/>
      <c r="BR371" s="48"/>
      <c r="BS371" s="48"/>
      <c r="BT371" s="48"/>
      <c r="BU371" s="48"/>
      <c r="BV371" s="48"/>
      <c r="BW371" s="48"/>
      <c r="BX371" s="48"/>
      <c r="BY371" s="48"/>
      <c r="BZ371" s="48"/>
      <c r="CA371" s="48"/>
      <c r="CB371" s="48"/>
      <c r="CC371" s="48"/>
      <c r="CD371" s="48"/>
      <c r="CE371" s="48"/>
      <c r="CF371" s="48"/>
      <c r="CG371" s="48"/>
      <c r="CH371" s="48"/>
      <c r="CI371" s="48"/>
      <c r="CJ371" s="48"/>
      <c r="CK371" s="48"/>
      <c r="CL371" s="48"/>
      <c r="CM371" s="48"/>
      <c r="CN371" s="48"/>
      <c r="CO371" s="48"/>
      <c r="CP371" s="48"/>
      <c r="CQ371" s="48"/>
      <c r="CR371" s="48"/>
      <c r="CS371" s="48"/>
      <c r="CT371" s="48"/>
      <c r="CU371" s="48"/>
      <c r="CV371" s="48"/>
      <c r="CW371" s="48"/>
      <c r="CX371" s="48"/>
      <c r="CY371" s="48"/>
      <c r="CZ371" s="48"/>
    </row>
    <row r="372" spans="27:104" s="4" customFormat="1" x14ac:dyDescent="0.3">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14"/>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c r="CQ372" s="48"/>
      <c r="CR372" s="48"/>
      <c r="CS372" s="48"/>
      <c r="CT372" s="48"/>
      <c r="CU372" s="48"/>
      <c r="CV372" s="48"/>
      <c r="CW372" s="48"/>
      <c r="CX372" s="48"/>
      <c r="CY372" s="48"/>
      <c r="CZ372" s="48"/>
    </row>
    <row r="373" spans="27:104" s="4" customFormat="1" x14ac:dyDescent="0.3">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14"/>
      <c r="BC373" s="48"/>
      <c r="BD373" s="48"/>
      <c r="BE373" s="48"/>
      <c r="BF373" s="48"/>
      <c r="BG373" s="48"/>
      <c r="BH373" s="48"/>
      <c r="BI373" s="48"/>
      <c r="BJ373" s="48"/>
      <c r="BK373" s="48"/>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c r="CQ373" s="48"/>
      <c r="CR373" s="48"/>
      <c r="CS373" s="48"/>
      <c r="CT373" s="48"/>
      <c r="CU373" s="48"/>
      <c r="CV373" s="48"/>
      <c r="CW373" s="48"/>
      <c r="CX373" s="48"/>
      <c r="CY373" s="48"/>
      <c r="CZ373" s="48"/>
    </row>
    <row r="374" spans="27:104" s="4" customFormat="1" x14ac:dyDescent="0.3">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14"/>
      <c r="BC374" s="48"/>
      <c r="BD374" s="48"/>
      <c r="BE374" s="48"/>
      <c r="BF374" s="48"/>
      <c r="BG374" s="48"/>
      <c r="BH374" s="48"/>
      <c r="BI374" s="48"/>
      <c r="BJ374" s="48"/>
      <c r="BK374" s="48"/>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row>
    <row r="375" spans="27:104" s="4" customFormat="1" x14ac:dyDescent="0.3">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14"/>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8"/>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row>
    <row r="376" spans="27:104" s="4" customFormat="1" x14ac:dyDescent="0.3">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14"/>
      <c r="BC376" s="48"/>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row>
    <row r="377" spans="27:104" s="4" customFormat="1" x14ac:dyDescent="0.3">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14"/>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c r="CQ377" s="48"/>
      <c r="CR377" s="48"/>
      <c r="CS377" s="48"/>
      <c r="CT377" s="48"/>
      <c r="CU377" s="48"/>
      <c r="CV377" s="48"/>
      <c r="CW377" s="48"/>
      <c r="CX377" s="48"/>
      <c r="CY377" s="48"/>
      <c r="CZ377" s="48"/>
    </row>
    <row r="378" spans="27:104" s="4" customFormat="1" x14ac:dyDescent="0.3">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14"/>
      <c r="BC378" s="48"/>
      <c r="BD378" s="48"/>
      <c r="BE378" s="48"/>
      <c r="BF378" s="48"/>
      <c r="BG378" s="48"/>
      <c r="BH378" s="48"/>
      <c r="BI378" s="48"/>
      <c r="BJ378" s="48"/>
      <c r="BK378" s="48"/>
      <c r="BL378" s="48"/>
      <c r="BM378" s="48"/>
      <c r="BN378" s="48"/>
      <c r="BO378" s="48"/>
      <c r="BP378" s="48"/>
      <c r="BQ378" s="48"/>
      <c r="BR378" s="48"/>
      <c r="BS378" s="48"/>
      <c r="BT378" s="48"/>
      <c r="BU378" s="48"/>
      <c r="BV378" s="48"/>
      <c r="BW378" s="48"/>
      <c r="BX378" s="48"/>
      <c r="BY378" s="48"/>
      <c r="BZ378" s="48"/>
      <c r="CA378" s="48"/>
      <c r="CB378" s="48"/>
      <c r="CC378" s="48"/>
      <c r="CD378" s="48"/>
      <c r="CE378" s="48"/>
      <c r="CF378" s="48"/>
      <c r="CG378" s="48"/>
      <c r="CH378" s="48"/>
      <c r="CI378" s="48"/>
      <c r="CJ378" s="48"/>
      <c r="CK378" s="48"/>
      <c r="CL378" s="48"/>
      <c r="CM378" s="48"/>
      <c r="CN378" s="48"/>
      <c r="CO378" s="48"/>
      <c r="CP378" s="48"/>
      <c r="CQ378" s="48"/>
      <c r="CR378" s="48"/>
      <c r="CS378" s="48"/>
      <c r="CT378" s="48"/>
      <c r="CU378" s="48"/>
      <c r="CV378" s="48"/>
      <c r="CW378" s="48"/>
      <c r="CX378" s="48"/>
      <c r="CY378" s="48"/>
      <c r="CZ378" s="48"/>
    </row>
    <row r="379" spans="27:104" s="4" customFormat="1" x14ac:dyDescent="0.3">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14"/>
      <c r="BC379" s="48"/>
      <c r="BD379" s="48"/>
      <c r="BE379" s="48"/>
      <c r="BF379" s="48"/>
      <c r="BG379" s="48"/>
      <c r="BH379" s="48"/>
      <c r="BI379" s="48"/>
      <c r="BJ379" s="48"/>
      <c r="BK379" s="48"/>
      <c r="BL379" s="48"/>
      <c r="BM379" s="48"/>
      <c r="BN379" s="48"/>
      <c r="BO379" s="48"/>
      <c r="BP379" s="48"/>
      <c r="BQ379" s="48"/>
      <c r="BR379" s="48"/>
      <c r="BS379" s="48"/>
      <c r="BT379" s="48"/>
      <c r="BU379" s="48"/>
      <c r="BV379" s="48"/>
      <c r="BW379" s="48"/>
      <c r="BX379" s="48"/>
      <c r="BY379" s="48"/>
      <c r="BZ379" s="48"/>
      <c r="CA379" s="48"/>
      <c r="CB379" s="48"/>
      <c r="CC379" s="48"/>
      <c r="CD379" s="48"/>
      <c r="CE379" s="48"/>
      <c r="CF379" s="48"/>
      <c r="CG379" s="48"/>
      <c r="CH379" s="48"/>
      <c r="CI379" s="48"/>
      <c r="CJ379" s="48"/>
      <c r="CK379" s="48"/>
      <c r="CL379" s="48"/>
      <c r="CM379" s="48"/>
      <c r="CN379" s="48"/>
      <c r="CO379" s="48"/>
      <c r="CP379" s="48"/>
      <c r="CQ379" s="48"/>
      <c r="CR379" s="48"/>
      <c r="CS379" s="48"/>
      <c r="CT379" s="48"/>
      <c r="CU379" s="48"/>
      <c r="CV379" s="48"/>
      <c r="CW379" s="48"/>
      <c r="CX379" s="48"/>
      <c r="CY379" s="48"/>
      <c r="CZ379" s="48"/>
    </row>
    <row r="380" spans="27:104" s="4" customFormat="1" x14ac:dyDescent="0.3">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14"/>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8"/>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row>
    <row r="381" spans="27:104" s="4" customFormat="1" x14ac:dyDescent="0.3">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14"/>
      <c r="BC381" s="48"/>
      <c r="BD381" s="48"/>
      <c r="BE381" s="48"/>
      <c r="BF381" s="48"/>
      <c r="BG381" s="48"/>
      <c r="BH381" s="48"/>
      <c r="BI381" s="48"/>
      <c r="BJ381" s="48"/>
      <c r="BK381" s="48"/>
      <c r="BL381" s="48"/>
      <c r="BM381" s="48"/>
      <c r="BN381" s="48"/>
      <c r="BO381" s="48"/>
      <c r="BP381" s="48"/>
      <c r="BQ381" s="48"/>
      <c r="BR381" s="48"/>
      <c r="BS381" s="48"/>
      <c r="BT381" s="48"/>
      <c r="BU381" s="48"/>
      <c r="BV381" s="48"/>
      <c r="BW381" s="48"/>
      <c r="BX381" s="48"/>
      <c r="BY381" s="48"/>
      <c r="BZ381" s="48"/>
      <c r="CA381" s="48"/>
      <c r="CB381" s="48"/>
      <c r="CC381" s="48"/>
      <c r="CD381" s="48"/>
      <c r="CE381" s="48"/>
      <c r="CF381" s="48"/>
      <c r="CG381" s="48"/>
      <c r="CH381" s="48"/>
      <c r="CI381" s="48"/>
      <c r="CJ381" s="48"/>
      <c r="CK381" s="48"/>
      <c r="CL381" s="48"/>
      <c r="CM381" s="48"/>
      <c r="CN381" s="48"/>
      <c r="CO381" s="48"/>
      <c r="CP381" s="48"/>
      <c r="CQ381" s="48"/>
      <c r="CR381" s="48"/>
      <c r="CS381" s="48"/>
      <c r="CT381" s="48"/>
      <c r="CU381" s="48"/>
      <c r="CV381" s="48"/>
      <c r="CW381" s="48"/>
      <c r="CX381" s="48"/>
      <c r="CY381" s="48"/>
      <c r="CZ381" s="48"/>
    </row>
    <row r="382" spans="27:104" s="4" customFormat="1" x14ac:dyDescent="0.3">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14"/>
      <c r="BC382" s="48"/>
      <c r="BD382" s="48"/>
      <c r="BE382" s="48"/>
      <c r="BF382" s="48"/>
      <c r="BG382" s="48"/>
      <c r="BH382" s="48"/>
      <c r="BI382" s="48"/>
      <c r="BJ382" s="48"/>
      <c r="BK382" s="48"/>
      <c r="BL382" s="48"/>
      <c r="BM382" s="48"/>
      <c r="BN382" s="48"/>
      <c r="BO382" s="48"/>
      <c r="BP382" s="48"/>
      <c r="BQ382" s="48"/>
      <c r="BR382" s="48"/>
      <c r="BS382" s="48"/>
      <c r="BT382" s="48"/>
      <c r="BU382" s="48"/>
      <c r="BV382" s="48"/>
      <c r="BW382" s="48"/>
      <c r="BX382" s="48"/>
      <c r="BY382" s="48"/>
      <c r="BZ382" s="48"/>
      <c r="CA382" s="48"/>
      <c r="CB382" s="48"/>
      <c r="CC382" s="48"/>
      <c r="CD382" s="48"/>
      <c r="CE382" s="48"/>
      <c r="CF382" s="48"/>
      <c r="CG382" s="48"/>
      <c r="CH382" s="48"/>
      <c r="CI382" s="48"/>
      <c r="CJ382" s="48"/>
      <c r="CK382" s="48"/>
      <c r="CL382" s="48"/>
      <c r="CM382" s="48"/>
      <c r="CN382" s="48"/>
      <c r="CO382" s="48"/>
      <c r="CP382" s="48"/>
      <c r="CQ382" s="48"/>
      <c r="CR382" s="48"/>
      <c r="CS382" s="48"/>
      <c r="CT382" s="48"/>
      <c r="CU382" s="48"/>
      <c r="CV382" s="48"/>
      <c r="CW382" s="48"/>
      <c r="CX382" s="48"/>
      <c r="CY382" s="48"/>
      <c r="CZ382" s="48"/>
    </row>
    <row r="383" spans="27:104" s="4" customFormat="1" x14ac:dyDescent="0.3">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14"/>
      <c r="BC383" s="48"/>
      <c r="BD383" s="48"/>
      <c r="BE383" s="48"/>
      <c r="BF383" s="48"/>
      <c r="BG383" s="48"/>
      <c r="BH383" s="48"/>
      <c r="BI383" s="48"/>
      <c r="BJ383" s="48"/>
      <c r="BK383" s="48"/>
      <c r="BL383" s="48"/>
      <c r="BM383" s="48"/>
      <c r="BN383" s="48"/>
      <c r="BO383" s="48"/>
      <c r="BP383" s="48"/>
      <c r="BQ383" s="48"/>
      <c r="BR383" s="48"/>
      <c r="BS383" s="48"/>
      <c r="BT383" s="48"/>
      <c r="BU383" s="48"/>
      <c r="BV383" s="48"/>
      <c r="BW383" s="48"/>
      <c r="BX383" s="48"/>
      <c r="BY383" s="48"/>
      <c r="BZ383" s="48"/>
      <c r="CA383" s="48"/>
      <c r="CB383" s="48"/>
      <c r="CC383" s="48"/>
      <c r="CD383" s="48"/>
      <c r="CE383" s="48"/>
      <c r="CF383" s="48"/>
      <c r="CG383" s="48"/>
      <c r="CH383" s="48"/>
      <c r="CI383" s="48"/>
      <c r="CJ383" s="48"/>
      <c r="CK383" s="48"/>
      <c r="CL383" s="48"/>
      <c r="CM383" s="48"/>
      <c r="CN383" s="48"/>
      <c r="CO383" s="48"/>
      <c r="CP383" s="48"/>
      <c r="CQ383" s="48"/>
      <c r="CR383" s="48"/>
      <c r="CS383" s="48"/>
      <c r="CT383" s="48"/>
      <c r="CU383" s="48"/>
      <c r="CV383" s="48"/>
      <c r="CW383" s="48"/>
      <c r="CX383" s="48"/>
      <c r="CY383" s="48"/>
      <c r="CZ383" s="48"/>
    </row>
    <row r="384" spans="27:104" s="4" customFormat="1" x14ac:dyDescent="0.3">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14"/>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row>
    <row r="385" spans="27:104" s="4" customFormat="1" x14ac:dyDescent="0.3">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14"/>
      <c r="BC385" s="48"/>
      <c r="BD385" s="48"/>
      <c r="BE385" s="48"/>
      <c r="BF385" s="48"/>
      <c r="BG385" s="48"/>
      <c r="BH385" s="48"/>
      <c r="BI385" s="48"/>
      <c r="BJ385" s="48"/>
      <c r="BK385" s="48"/>
      <c r="BL385" s="48"/>
      <c r="BM385" s="48"/>
      <c r="BN385" s="48"/>
      <c r="BO385" s="48"/>
      <c r="BP385" s="48"/>
      <c r="BQ385" s="48"/>
      <c r="BR385" s="48"/>
      <c r="BS385" s="48"/>
      <c r="BT385" s="48"/>
      <c r="BU385" s="48"/>
      <c r="BV385" s="48"/>
      <c r="BW385" s="48"/>
      <c r="BX385" s="48"/>
      <c r="BY385" s="48"/>
      <c r="BZ385" s="48"/>
      <c r="CA385" s="48"/>
      <c r="CB385" s="48"/>
      <c r="CC385" s="48"/>
      <c r="CD385" s="48"/>
      <c r="CE385" s="48"/>
      <c r="CF385" s="48"/>
      <c r="CG385" s="48"/>
      <c r="CH385" s="48"/>
      <c r="CI385" s="48"/>
      <c r="CJ385" s="48"/>
      <c r="CK385" s="48"/>
      <c r="CL385" s="48"/>
      <c r="CM385" s="48"/>
      <c r="CN385" s="48"/>
      <c r="CO385" s="48"/>
      <c r="CP385" s="48"/>
      <c r="CQ385" s="48"/>
      <c r="CR385" s="48"/>
      <c r="CS385" s="48"/>
      <c r="CT385" s="48"/>
      <c r="CU385" s="48"/>
      <c r="CV385" s="48"/>
      <c r="CW385" s="48"/>
      <c r="CX385" s="48"/>
      <c r="CY385" s="48"/>
      <c r="CZ385" s="48"/>
    </row>
    <row r="386" spans="27:104" s="4" customFormat="1" x14ac:dyDescent="0.3">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14"/>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8"/>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row>
    <row r="387" spans="27:104" s="4" customFormat="1" x14ac:dyDescent="0.3">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14"/>
      <c r="BC387" s="48"/>
      <c r="BD387" s="48"/>
      <c r="BE387" s="48"/>
      <c r="BF387" s="48"/>
      <c r="BG387" s="48"/>
      <c r="BH387" s="48"/>
      <c r="BI387" s="48"/>
      <c r="BJ387" s="48"/>
      <c r="BK387" s="48"/>
      <c r="BL387" s="48"/>
      <c r="BM387" s="48"/>
      <c r="BN387" s="48"/>
      <c r="BO387" s="48"/>
      <c r="BP387" s="48"/>
      <c r="BQ387" s="48"/>
      <c r="BR387" s="48"/>
      <c r="BS387" s="48"/>
      <c r="BT387" s="48"/>
      <c r="BU387" s="48"/>
      <c r="BV387" s="48"/>
      <c r="BW387" s="48"/>
      <c r="BX387" s="48"/>
      <c r="BY387" s="48"/>
      <c r="BZ387" s="48"/>
      <c r="CA387" s="48"/>
      <c r="CB387" s="48"/>
      <c r="CC387" s="48"/>
      <c r="CD387" s="48"/>
      <c r="CE387" s="48"/>
      <c r="CF387" s="48"/>
      <c r="CG387" s="48"/>
      <c r="CH387" s="48"/>
      <c r="CI387" s="48"/>
      <c r="CJ387" s="48"/>
      <c r="CK387" s="48"/>
      <c r="CL387" s="48"/>
      <c r="CM387" s="48"/>
      <c r="CN387" s="48"/>
      <c r="CO387" s="48"/>
      <c r="CP387" s="48"/>
      <c r="CQ387" s="48"/>
      <c r="CR387" s="48"/>
      <c r="CS387" s="48"/>
      <c r="CT387" s="48"/>
      <c r="CU387" s="48"/>
      <c r="CV387" s="48"/>
      <c r="CW387" s="48"/>
      <c r="CX387" s="48"/>
      <c r="CY387" s="48"/>
      <c r="CZ387" s="48"/>
    </row>
    <row r="388" spans="27:104" s="4" customFormat="1" x14ac:dyDescent="0.3">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14"/>
      <c r="BC388" s="48"/>
      <c r="BD388" s="48"/>
      <c r="BE388" s="48"/>
      <c r="BF388" s="48"/>
      <c r="BG388" s="48"/>
      <c r="BH388" s="48"/>
      <c r="BI388" s="48"/>
      <c r="BJ388" s="48"/>
      <c r="BK388" s="48"/>
      <c r="BL388" s="48"/>
      <c r="BM388" s="48"/>
      <c r="BN388" s="48"/>
      <c r="BO388" s="48"/>
      <c r="BP388" s="48"/>
      <c r="BQ388" s="48"/>
      <c r="BR388" s="48"/>
      <c r="BS388" s="48"/>
      <c r="BT388" s="48"/>
      <c r="BU388" s="48"/>
      <c r="BV388" s="48"/>
      <c r="BW388" s="48"/>
      <c r="BX388" s="48"/>
      <c r="BY388" s="48"/>
      <c r="BZ388" s="48"/>
      <c r="CA388" s="48"/>
      <c r="CB388" s="48"/>
      <c r="CC388" s="48"/>
      <c r="CD388" s="48"/>
      <c r="CE388" s="48"/>
      <c r="CF388" s="48"/>
      <c r="CG388" s="48"/>
      <c r="CH388" s="48"/>
      <c r="CI388" s="48"/>
      <c r="CJ388" s="48"/>
      <c r="CK388" s="48"/>
      <c r="CL388" s="48"/>
      <c r="CM388" s="48"/>
      <c r="CN388" s="48"/>
      <c r="CO388" s="48"/>
      <c r="CP388" s="48"/>
      <c r="CQ388" s="48"/>
      <c r="CR388" s="48"/>
      <c r="CS388" s="48"/>
      <c r="CT388" s="48"/>
      <c r="CU388" s="48"/>
      <c r="CV388" s="48"/>
      <c r="CW388" s="48"/>
      <c r="CX388" s="48"/>
      <c r="CY388" s="48"/>
      <c r="CZ388" s="48"/>
    </row>
    <row r="389" spans="27:104" s="4" customFormat="1" x14ac:dyDescent="0.3">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14"/>
      <c r="BC389" s="48"/>
      <c r="BD389" s="48"/>
      <c r="BE389" s="48"/>
      <c r="BF389" s="48"/>
      <c r="BG389" s="48"/>
      <c r="BH389" s="48"/>
      <c r="BI389" s="48"/>
      <c r="BJ389" s="48"/>
      <c r="BK389" s="48"/>
      <c r="BL389" s="48"/>
      <c r="BM389" s="48"/>
      <c r="BN389" s="48"/>
      <c r="BO389" s="48"/>
      <c r="BP389" s="48"/>
      <c r="BQ389" s="48"/>
      <c r="BR389" s="48"/>
      <c r="BS389" s="48"/>
      <c r="BT389" s="48"/>
      <c r="BU389" s="48"/>
      <c r="BV389" s="48"/>
      <c r="BW389" s="48"/>
      <c r="BX389" s="48"/>
      <c r="BY389" s="48"/>
      <c r="BZ389" s="48"/>
      <c r="CA389" s="48"/>
      <c r="CB389" s="48"/>
      <c r="CC389" s="48"/>
      <c r="CD389" s="48"/>
      <c r="CE389" s="48"/>
      <c r="CF389" s="48"/>
      <c r="CG389" s="48"/>
      <c r="CH389" s="48"/>
      <c r="CI389" s="48"/>
      <c r="CJ389" s="48"/>
      <c r="CK389" s="48"/>
      <c r="CL389" s="48"/>
      <c r="CM389" s="48"/>
      <c r="CN389" s="48"/>
      <c r="CO389" s="48"/>
      <c r="CP389" s="48"/>
      <c r="CQ389" s="48"/>
      <c r="CR389" s="48"/>
      <c r="CS389" s="48"/>
      <c r="CT389" s="48"/>
      <c r="CU389" s="48"/>
      <c r="CV389" s="48"/>
      <c r="CW389" s="48"/>
      <c r="CX389" s="48"/>
      <c r="CY389" s="48"/>
      <c r="CZ389" s="48"/>
    </row>
    <row r="390" spans="27:104" s="4" customFormat="1" x14ac:dyDescent="0.3">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14"/>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row>
    <row r="391" spans="27:104" s="4" customFormat="1" x14ac:dyDescent="0.3">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14"/>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row>
    <row r="392" spans="27:104" s="4" customFormat="1" x14ac:dyDescent="0.3">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14"/>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row>
    <row r="393" spans="27:104" s="4" customFormat="1" x14ac:dyDescent="0.3">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14"/>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row>
    <row r="394" spans="27:104" s="4" customFormat="1" x14ac:dyDescent="0.3">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14"/>
      <c r="BC394" s="48"/>
      <c r="BD394" s="48"/>
      <c r="BE394" s="48"/>
      <c r="BF394" s="48"/>
      <c r="BG394" s="48"/>
      <c r="BH394" s="48"/>
      <c r="BI394" s="48"/>
      <c r="BJ394" s="48"/>
      <c r="BK394" s="48"/>
      <c r="BL394" s="48"/>
      <c r="BM394" s="48"/>
      <c r="BN394" s="48"/>
      <c r="BO394" s="48"/>
      <c r="BP394" s="48"/>
      <c r="BQ394" s="48"/>
      <c r="BR394" s="48"/>
      <c r="BS394" s="48"/>
      <c r="BT394" s="48"/>
      <c r="BU394" s="48"/>
      <c r="BV394" s="48"/>
      <c r="BW394" s="48"/>
      <c r="BX394" s="48"/>
      <c r="BY394" s="48"/>
      <c r="BZ394" s="48"/>
      <c r="CA394" s="48"/>
      <c r="CB394" s="48"/>
      <c r="CC394" s="48"/>
      <c r="CD394" s="48"/>
      <c r="CE394" s="48"/>
      <c r="CF394" s="48"/>
      <c r="CG394" s="48"/>
      <c r="CH394" s="48"/>
      <c r="CI394" s="48"/>
      <c r="CJ394" s="48"/>
      <c r="CK394" s="48"/>
      <c r="CL394" s="48"/>
      <c r="CM394" s="48"/>
      <c r="CN394" s="48"/>
      <c r="CO394" s="48"/>
      <c r="CP394" s="48"/>
      <c r="CQ394" s="48"/>
      <c r="CR394" s="48"/>
      <c r="CS394" s="48"/>
      <c r="CT394" s="48"/>
      <c r="CU394" s="48"/>
      <c r="CV394" s="48"/>
      <c r="CW394" s="48"/>
      <c r="CX394" s="48"/>
      <c r="CY394" s="48"/>
      <c r="CZ394" s="48"/>
    </row>
    <row r="395" spans="27:104" s="4" customFormat="1" x14ac:dyDescent="0.3">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14"/>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row>
    <row r="396" spans="27:104" s="4" customFormat="1" x14ac:dyDescent="0.3">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14"/>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row>
    <row r="397" spans="27:104" s="4" customFormat="1" x14ac:dyDescent="0.3">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14"/>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48"/>
      <c r="CC397" s="48"/>
      <c r="CD397" s="48"/>
      <c r="CE397" s="48"/>
      <c r="CF397" s="48"/>
      <c r="CG397" s="48"/>
      <c r="CH397" s="48"/>
      <c r="CI397" s="48"/>
      <c r="CJ397" s="48"/>
      <c r="CK397" s="48"/>
      <c r="CL397" s="48"/>
      <c r="CM397" s="48"/>
      <c r="CN397" s="48"/>
      <c r="CO397" s="48"/>
      <c r="CP397" s="48"/>
      <c r="CQ397" s="48"/>
      <c r="CR397" s="48"/>
      <c r="CS397" s="48"/>
      <c r="CT397" s="48"/>
      <c r="CU397" s="48"/>
      <c r="CV397" s="48"/>
      <c r="CW397" s="48"/>
      <c r="CX397" s="48"/>
      <c r="CY397" s="48"/>
      <c r="CZ397" s="48"/>
    </row>
    <row r="398" spans="27:104" s="4" customFormat="1" x14ac:dyDescent="0.3">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14"/>
      <c r="BC398" s="48"/>
      <c r="BD398" s="48"/>
      <c r="BE398" s="48"/>
      <c r="BF398" s="48"/>
      <c r="BG398" s="48"/>
      <c r="BH398" s="48"/>
      <c r="BI398" s="48"/>
      <c r="BJ398" s="48"/>
      <c r="BK398" s="48"/>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c r="CQ398" s="48"/>
      <c r="CR398" s="48"/>
      <c r="CS398" s="48"/>
      <c r="CT398" s="48"/>
      <c r="CU398" s="48"/>
      <c r="CV398" s="48"/>
      <c r="CW398" s="48"/>
      <c r="CX398" s="48"/>
      <c r="CY398" s="48"/>
      <c r="CZ398" s="48"/>
    </row>
    <row r="399" spans="27:104" s="4" customFormat="1" x14ac:dyDescent="0.3">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14"/>
      <c r="BC399" s="48"/>
      <c r="BD399" s="48"/>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c r="CQ399" s="48"/>
      <c r="CR399" s="48"/>
      <c r="CS399" s="48"/>
      <c r="CT399" s="48"/>
      <c r="CU399" s="48"/>
      <c r="CV399" s="48"/>
      <c r="CW399" s="48"/>
      <c r="CX399" s="48"/>
      <c r="CY399" s="48"/>
      <c r="CZ399" s="48"/>
    </row>
    <row r="400" spans="27:104" s="4" customFormat="1" x14ac:dyDescent="0.3">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14"/>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row>
    <row r="401" spans="27:104" s="4" customFormat="1" x14ac:dyDescent="0.3">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14"/>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row>
    <row r="402" spans="27:104" s="4" customFormat="1" x14ac:dyDescent="0.3">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14"/>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row>
    <row r="403" spans="27:104" s="4" customFormat="1" x14ac:dyDescent="0.3">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14"/>
      <c r="BC403" s="48"/>
      <c r="BD403" s="48"/>
      <c r="BE403" s="48"/>
      <c r="BF403" s="48"/>
      <c r="BG403" s="48"/>
      <c r="BH403" s="48"/>
      <c r="BI403" s="48"/>
      <c r="BJ403" s="48"/>
      <c r="BK403" s="48"/>
      <c r="BL403" s="48"/>
      <c r="BM403" s="48"/>
      <c r="BN403" s="48"/>
      <c r="BO403" s="48"/>
      <c r="BP403" s="48"/>
      <c r="BQ403" s="48"/>
      <c r="BR403" s="48"/>
      <c r="BS403" s="48"/>
      <c r="BT403" s="48"/>
      <c r="BU403" s="48"/>
      <c r="BV403" s="48"/>
      <c r="BW403" s="48"/>
      <c r="BX403" s="48"/>
      <c r="BY403" s="48"/>
      <c r="BZ403" s="48"/>
      <c r="CA403" s="48"/>
      <c r="CB403" s="48"/>
      <c r="CC403" s="48"/>
      <c r="CD403" s="48"/>
      <c r="CE403" s="48"/>
      <c r="CF403" s="48"/>
      <c r="CG403" s="48"/>
      <c r="CH403" s="48"/>
      <c r="CI403" s="48"/>
      <c r="CJ403" s="48"/>
      <c r="CK403" s="48"/>
      <c r="CL403" s="48"/>
      <c r="CM403" s="48"/>
      <c r="CN403" s="48"/>
      <c r="CO403" s="48"/>
      <c r="CP403" s="48"/>
      <c r="CQ403" s="48"/>
      <c r="CR403" s="48"/>
      <c r="CS403" s="48"/>
      <c r="CT403" s="48"/>
      <c r="CU403" s="48"/>
      <c r="CV403" s="48"/>
      <c r="CW403" s="48"/>
      <c r="CX403" s="48"/>
      <c r="CY403" s="48"/>
      <c r="CZ403" s="48"/>
    </row>
    <row r="404" spans="27:104" s="4" customFormat="1" x14ac:dyDescent="0.3">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14"/>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c r="CT404" s="48"/>
      <c r="CU404" s="48"/>
      <c r="CV404" s="48"/>
      <c r="CW404" s="48"/>
      <c r="CX404" s="48"/>
      <c r="CY404" s="48"/>
      <c r="CZ404" s="48"/>
    </row>
    <row r="405" spans="27:104" s="4" customFormat="1" x14ac:dyDescent="0.3">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14"/>
      <c r="BC405" s="48"/>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row>
    <row r="406" spans="27:104" s="4" customFormat="1" x14ac:dyDescent="0.3">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14"/>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row>
    <row r="407" spans="27:104" s="4" customFormat="1" x14ac:dyDescent="0.3">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14"/>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row>
    <row r="408" spans="27:104" s="4" customFormat="1" x14ac:dyDescent="0.3">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14"/>
      <c r="BC408" s="48"/>
      <c r="BD408" s="48"/>
      <c r="BE408" s="48"/>
      <c r="BF408" s="48"/>
      <c r="BG408" s="48"/>
      <c r="BH408" s="48"/>
      <c r="BI408" s="48"/>
      <c r="BJ408" s="48"/>
      <c r="BK408" s="48"/>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row>
    <row r="409" spans="27:104" s="4" customFormat="1" x14ac:dyDescent="0.3">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14"/>
      <c r="BC409" s="48"/>
      <c r="BD409" s="48"/>
      <c r="BE409" s="48"/>
      <c r="BF409" s="48"/>
      <c r="BG409" s="48"/>
      <c r="BH409" s="48"/>
      <c r="BI409" s="48"/>
      <c r="BJ409" s="48"/>
      <c r="BK409" s="48"/>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c r="CQ409" s="48"/>
      <c r="CR409" s="48"/>
      <c r="CS409" s="48"/>
      <c r="CT409" s="48"/>
      <c r="CU409" s="48"/>
      <c r="CV409" s="48"/>
      <c r="CW409" s="48"/>
      <c r="CX409" s="48"/>
      <c r="CY409" s="48"/>
      <c r="CZ409" s="48"/>
    </row>
    <row r="410" spans="27:104" s="4" customFormat="1" x14ac:dyDescent="0.3">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14"/>
      <c r="BC410" s="48"/>
      <c r="BD410" s="48"/>
      <c r="BE410" s="48"/>
      <c r="BF410" s="48"/>
      <c r="BG410" s="48"/>
      <c r="BH410" s="48"/>
      <c r="BI410" s="48"/>
      <c r="BJ410" s="48"/>
      <c r="BK410" s="48"/>
      <c r="BL410" s="48"/>
      <c r="BM410" s="48"/>
      <c r="BN410" s="48"/>
      <c r="BO410" s="48"/>
      <c r="BP410" s="48"/>
      <c r="BQ410" s="48"/>
      <c r="BR410" s="48"/>
      <c r="BS410" s="48"/>
      <c r="BT410" s="48"/>
      <c r="BU410" s="48"/>
      <c r="BV410" s="48"/>
      <c r="BW410" s="48"/>
      <c r="BX410" s="48"/>
      <c r="BY410" s="48"/>
      <c r="BZ410" s="48"/>
      <c r="CA410" s="48"/>
      <c r="CB410" s="48"/>
      <c r="CC410" s="48"/>
      <c r="CD410" s="48"/>
      <c r="CE410" s="48"/>
      <c r="CF410" s="48"/>
      <c r="CG410" s="48"/>
      <c r="CH410" s="48"/>
      <c r="CI410" s="48"/>
      <c r="CJ410" s="48"/>
      <c r="CK410" s="48"/>
      <c r="CL410" s="48"/>
      <c r="CM410" s="48"/>
      <c r="CN410" s="48"/>
      <c r="CO410" s="48"/>
      <c r="CP410" s="48"/>
      <c r="CQ410" s="48"/>
      <c r="CR410" s="48"/>
      <c r="CS410" s="48"/>
      <c r="CT410" s="48"/>
      <c r="CU410" s="48"/>
      <c r="CV410" s="48"/>
      <c r="CW410" s="48"/>
      <c r="CX410" s="48"/>
      <c r="CY410" s="48"/>
      <c r="CZ410" s="48"/>
    </row>
    <row r="411" spans="27:104" s="4" customFormat="1" x14ac:dyDescent="0.3">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14"/>
      <c r="BC411" s="48"/>
      <c r="BD411" s="48"/>
      <c r="BE411" s="48"/>
      <c r="BF411" s="48"/>
      <c r="BG411" s="48"/>
      <c r="BH411" s="48"/>
      <c r="BI411" s="48"/>
      <c r="BJ411" s="48"/>
      <c r="BK411" s="48"/>
      <c r="BL411" s="48"/>
      <c r="BM411" s="48"/>
      <c r="BN411" s="48"/>
      <c r="BO411" s="48"/>
      <c r="BP411" s="48"/>
      <c r="BQ411" s="48"/>
      <c r="BR411" s="48"/>
      <c r="BS411" s="48"/>
      <c r="BT411" s="48"/>
      <c r="BU411" s="48"/>
      <c r="BV411" s="48"/>
      <c r="BW411" s="48"/>
      <c r="BX411" s="48"/>
      <c r="BY411" s="48"/>
      <c r="BZ411" s="48"/>
      <c r="CA411" s="48"/>
      <c r="CB411" s="48"/>
      <c r="CC411" s="48"/>
      <c r="CD411" s="48"/>
      <c r="CE411" s="48"/>
      <c r="CF411" s="48"/>
      <c r="CG411" s="48"/>
      <c r="CH411" s="48"/>
      <c r="CI411" s="48"/>
      <c r="CJ411" s="48"/>
      <c r="CK411" s="48"/>
      <c r="CL411" s="48"/>
      <c r="CM411" s="48"/>
      <c r="CN411" s="48"/>
      <c r="CO411" s="48"/>
      <c r="CP411" s="48"/>
      <c r="CQ411" s="48"/>
      <c r="CR411" s="48"/>
      <c r="CS411" s="48"/>
      <c r="CT411" s="48"/>
      <c r="CU411" s="48"/>
      <c r="CV411" s="48"/>
      <c r="CW411" s="48"/>
      <c r="CX411" s="48"/>
      <c r="CY411" s="48"/>
      <c r="CZ411" s="48"/>
    </row>
    <row r="412" spans="27:104" s="4" customFormat="1" x14ac:dyDescent="0.3">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14"/>
      <c r="BC412" s="48"/>
      <c r="BD412" s="48"/>
      <c r="BE412" s="48"/>
      <c r="BF412" s="48"/>
      <c r="BG412" s="48"/>
      <c r="BH412" s="48"/>
      <c r="BI412" s="48"/>
      <c r="BJ412" s="48"/>
      <c r="BK412" s="48"/>
      <c r="BL412" s="48"/>
      <c r="BM412" s="48"/>
      <c r="BN412" s="48"/>
      <c r="BO412" s="48"/>
      <c r="BP412" s="48"/>
      <c r="BQ412" s="48"/>
      <c r="BR412" s="48"/>
      <c r="BS412" s="48"/>
      <c r="BT412" s="48"/>
      <c r="BU412" s="48"/>
      <c r="BV412" s="48"/>
      <c r="BW412" s="48"/>
      <c r="BX412" s="48"/>
      <c r="BY412" s="48"/>
      <c r="BZ412" s="48"/>
      <c r="CA412" s="48"/>
      <c r="CB412" s="48"/>
      <c r="CC412" s="48"/>
      <c r="CD412" s="48"/>
      <c r="CE412" s="48"/>
      <c r="CF412" s="48"/>
      <c r="CG412" s="48"/>
      <c r="CH412" s="48"/>
      <c r="CI412" s="48"/>
      <c r="CJ412" s="48"/>
      <c r="CK412" s="48"/>
      <c r="CL412" s="48"/>
      <c r="CM412" s="48"/>
      <c r="CN412" s="48"/>
      <c r="CO412" s="48"/>
      <c r="CP412" s="48"/>
      <c r="CQ412" s="48"/>
      <c r="CR412" s="48"/>
      <c r="CS412" s="48"/>
      <c r="CT412" s="48"/>
      <c r="CU412" s="48"/>
      <c r="CV412" s="48"/>
      <c r="CW412" s="48"/>
      <c r="CX412" s="48"/>
      <c r="CY412" s="48"/>
      <c r="CZ412" s="48"/>
    </row>
    <row r="413" spans="27:104" s="4" customFormat="1" x14ac:dyDescent="0.3">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14"/>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8"/>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row>
    <row r="414" spans="27:104" s="4" customFormat="1" x14ac:dyDescent="0.3">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14"/>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8"/>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c r="CZ414" s="48"/>
    </row>
    <row r="415" spans="27:104" s="4" customFormat="1" x14ac:dyDescent="0.3">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14"/>
      <c r="BC415" s="48"/>
      <c r="BD415" s="48"/>
      <c r="BE415" s="48"/>
      <c r="BF415" s="48"/>
      <c r="BG415" s="48"/>
      <c r="BH415" s="48"/>
      <c r="BI415" s="48"/>
      <c r="BJ415" s="48"/>
      <c r="BK415" s="48"/>
      <c r="BL415" s="48"/>
      <c r="BM415" s="48"/>
      <c r="BN415" s="48"/>
      <c r="BO415" s="48"/>
      <c r="BP415" s="48"/>
      <c r="BQ415" s="48"/>
      <c r="BR415" s="48"/>
      <c r="BS415" s="48"/>
      <c r="BT415" s="48"/>
      <c r="BU415" s="48"/>
      <c r="BV415" s="48"/>
      <c r="BW415" s="48"/>
      <c r="BX415" s="48"/>
      <c r="BY415" s="48"/>
      <c r="BZ415" s="48"/>
      <c r="CA415" s="48"/>
      <c r="CB415" s="48"/>
      <c r="CC415" s="48"/>
      <c r="CD415" s="48"/>
      <c r="CE415" s="48"/>
      <c r="CF415" s="48"/>
      <c r="CG415" s="48"/>
      <c r="CH415" s="48"/>
      <c r="CI415" s="48"/>
      <c r="CJ415" s="48"/>
      <c r="CK415" s="48"/>
      <c r="CL415" s="48"/>
      <c r="CM415" s="48"/>
      <c r="CN415" s="48"/>
      <c r="CO415" s="48"/>
      <c r="CP415" s="48"/>
      <c r="CQ415" s="48"/>
      <c r="CR415" s="48"/>
      <c r="CS415" s="48"/>
      <c r="CT415" s="48"/>
      <c r="CU415" s="48"/>
      <c r="CV415" s="48"/>
      <c r="CW415" s="48"/>
      <c r="CX415" s="48"/>
      <c r="CY415" s="48"/>
      <c r="CZ415" s="48"/>
    </row>
    <row r="416" spans="27:104" s="4" customFormat="1" x14ac:dyDescent="0.3">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14"/>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c r="BY416" s="48"/>
      <c r="BZ416" s="48"/>
      <c r="CA416" s="48"/>
      <c r="CB416" s="48"/>
      <c r="CC416" s="48"/>
      <c r="CD416" s="48"/>
      <c r="CE416" s="48"/>
      <c r="CF416" s="48"/>
      <c r="CG416" s="48"/>
      <c r="CH416" s="48"/>
      <c r="CI416" s="48"/>
      <c r="CJ416" s="48"/>
      <c r="CK416" s="48"/>
      <c r="CL416" s="48"/>
      <c r="CM416" s="48"/>
      <c r="CN416" s="48"/>
      <c r="CO416" s="48"/>
      <c r="CP416" s="48"/>
      <c r="CQ416" s="48"/>
      <c r="CR416" s="48"/>
      <c r="CS416" s="48"/>
      <c r="CT416" s="48"/>
      <c r="CU416" s="48"/>
      <c r="CV416" s="48"/>
      <c r="CW416" s="48"/>
      <c r="CX416" s="48"/>
      <c r="CY416" s="48"/>
      <c r="CZ416" s="48"/>
    </row>
    <row r="417" spans="27:104" s="4" customFormat="1" x14ac:dyDescent="0.3">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14"/>
      <c r="BC417" s="48"/>
      <c r="BD417" s="48"/>
      <c r="BE417" s="48"/>
      <c r="BF417" s="48"/>
      <c r="BG417" s="48"/>
      <c r="BH417" s="48"/>
      <c r="BI417" s="48"/>
      <c r="BJ417" s="48"/>
      <c r="BK417" s="48"/>
      <c r="BL417" s="48"/>
      <c r="BM417" s="48"/>
      <c r="BN417" s="48"/>
      <c r="BO417" s="48"/>
      <c r="BP417" s="48"/>
      <c r="BQ417" s="48"/>
      <c r="BR417" s="48"/>
      <c r="BS417" s="48"/>
      <c r="BT417" s="48"/>
      <c r="BU417" s="48"/>
      <c r="BV417" s="48"/>
      <c r="BW417" s="48"/>
      <c r="BX417" s="48"/>
      <c r="BY417" s="48"/>
      <c r="BZ417" s="48"/>
      <c r="CA417" s="48"/>
      <c r="CB417" s="48"/>
      <c r="CC417" s="48"/>
      <c r="CD417" s="48"/>
      <c r="CE417" s="48"/>
      <c r="CF417" s="48"/>
      <c r="CG417" s="48"/>
      <c r="CH417" s="48"/>
      <c r="CI417" s="48"/>
      <c r="CJ417" s="48"/>
      <c r="CK417" s="48"/>
      <c r="CL417" s="48"/>
      <c r="CM417" s="48"/>
      <c r="CN417" s="48"/>
      <c r="CO417" s="48"/>
      <c r="CP417" s="48"/>
      <c r="CQ417" s="48"/>
      <c r="CR417" s="48"/>
      <c r="CS417" s="48"/>
      <c r="CT417" s="48"/>
      <c r="CU417" s="48"/>
      <c r="CV417" s="48"/>
      <c r="CW417" s="48"/>
      <c r="CX417" s="48"/>
      <c r="CY417" s="48"/>
      <c r="CZ417" s="48"/>
    </row>
    <row r="418" spans="27:104" s="4" customFormat="1" x14ac:dyDescent="0.3">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14"/>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row>
    <row r="419" spans="27:104" s="4" customFormat="1" x14ac:dyDescent="0.3">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14"/>
      <c r="BC419" s="48"/>
      <c r="BD419" s="48"/>
      <c r="BE419" s="48"/>
      <c r="BF419" s="48"/>
      <c r="BG419" s="48"/>
      <c r="BH419" s="48"/>
      <c r="BI419" s="48"/>
      <c r="BJ419" s="48"/>
      <c r="BK419" s="48"/>
      <c r="BL419" s="48"/>
      <c r="BM419" s="48"/>
      <c r="BN419" s="48"/>
      <c r="BO419" s="48"/>
      <c r="BP419" s="48"/>
      <c r="BQ419" s="48"/>
      <c r="BR419" s="48"/>
      <c r="BS419" s="48"/>
      <c r="BT419" s="48"/>
      <c r="BU419" s="48"/>
      <c r="BV419" s="48"/>
      <c r="BW419" s="48"/>
      <c r="BX419" s="48"/>
      <c r="BY419" s="48"/>
      <c r="BZ419" s="48"/>
      <c r="CA419" s="48"/>
      <c r="CB419" s="48"/>
      <c r="CC419" s="48"/>
      <c r="CD419" s="48"/>
      <c r="CE419" s="48"/>
      <c r="CF419" s="48"/>
      <c r="CG419" s="48"/>
      <c r="CH419" s="48"/>
      <c r="CI419" s="48"/>
      <c r="CJ419" s="48"/>
      <c r="CK419" s="48"/>
      <c r="CL419" s="48"/>
      <c r="CM419" s="48"/>
      <c r="CN419" s="48"/>
      <c r="CO419" s="48"/>
      <c r="CP419" s="48"/>
      <c r="CQ419" s="48"/>
      <c r="CR419" s="48"/>
      <c r="CS419" s="48"/>
      <c r="CT419" s="48"/>
      <c r="CU419" s="48"/>
      <c r="CV419" s="48"/>
      <c r="CW419" s="48"/>
      <c r="CX419" s="48"/>
      <c r="CY419" s="48"/>
      <c r="CZ419" s="48"/>
    </row>
    <row r="420" spans="27:104" s="4" customFormat="1" x14ac:dyDescent="0.3">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14"/>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8"/>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row>
    <row r="421" spans="27:104" s="4" customFormat="1" x14ac:dyDescent="0.3">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14"/>
      <c r="BC421" s="48"/>
      <c r="BD421" s="48"/>
      <c r="BE421" s="48"/>
      <c r="BF421" s="48"/>
      <c r="BG421" s="48"/>
      <c r="BH421" s="48"/>
      <c r="BI421" s="48"/>
      <c r="BJ421" s="48"/>
      <c r="BK421" s="48"/>
      <c r="BL421" s="48"/>
      <c r="BM421" s="48"/>
      <c r="BN421" s="48"/>
      <c r="BO421" s="48"/>
      <c r="BP421" s="48"/>
      <c r="BQ421" s="48"/>
      <c r="BR421" s="48"/>
      <c r="BS421" s="48"/>
      <c r="BT421" s="48"/>
      <c r="BU421" s="48"/>
      <c r="BV421" s="48"/>
      <c r="BW421" s="48"/>
      <c r="BX421" s="48"/>
      <c r="BY421" s="48"/>
      <c r="BZ421" s="48"/>
      <c r="CA421" s="48"/>
      <c r="CB421" s="48"/>
      <c r="CC421" s="48"/>
      <c r="CD421" s="48"/>
      <c r="CE421" s="48"/>
      <c r="CF421" s="48"/>
      <c r="CG421" s="48"/>
      <c r="CH421" s="48"/>
      <c r="CI421" s="48"/>
      <c r="CJ421" s="48"/>
      <c r="CK421" s="48"/>
      <c r="CL421" s="48"/>
      <c r="CM421" s="48"/>
      <c r="CN421" s="48"/>
      <c r="CO421" s="48"/>
      <c r="CP421" s="48"/>
      <c r="CQ421" s="48"/>
      <c r="CR421" s="48"/>
      <c r="CS421" s="48"/>
      <c r="CT421" s="48"/>
      <c r="CU421" s="48"/>
      <c r="CV421" s="48"/>
      <c r="CW421" s="48"/>
      <c r="CX421" s="48"/>
      <c r="CY421" s="48"/>
      <c r="CZ421" s="48"/>
    </row>
    <row r="422" spans="27:104" s="4" customFormat="1" x14ac:dyDescent="0.3">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14"/>
      <c r="BC422" s="48"/>
      <c r="BD422" s="48"/>
      <c r="BE422" s="48"/>
      <c r="BF422" s="48"/>
      <c r="BG422" s="48"/>
      <c r="BH422" s="48"/>
      <c r="BI422" s="48"/>
      <c r="BJ422" s="48"/>
      <c r="BK422" s="48"/>
      <c r="BL422" s="48"/>
      <c r="BM422" s="48"/>
      <c r="BN422" s="48"/>
      <c r="BO422" s="48"/>
      <c r="BP422" s="48"/>
      <c r="BQ422" s="48"/>
      <c r="BR422" s="48"/>
      <c r="BS422" s="48"/>
      <c r="BT422" s="48"/>
      <c r="BU422" s="48"/>
      <c r="BV422" s="48"/>
      <c r="BW422" s="48"/>
      <c r="BX422" s="48"/>
      <c r="BY422" s="48"/>
      <c r="BZ422" s="48"/>
      <c r="CA422" s="48"/>
      <c r="CB422" s="48"/>
      <c r="CC422" s="48"/>
      <c r="CD422" s="48"/>
      <c r="CE422" s="48"/>
      <c r="CF422" s="48"/>
      <c r="CG422" s="48"/>
      <c r="CH422" s="48"/>
      <c r="CI422" s="48"/>
      <c r="CJ422" s="48"/>
      <c r="CK422" s="48"/>
      <c r="CL422" s="48"/>
      <c r="CM422" s="48"/>
      <c r="CN422" s="48"/>
      <c r="CO422" s="48"/>
      <c r="CP422" s="48"/>
      <c r="CQ422" s="48"/>
      <c r="CR422" s="48"/>
      <c r="CS422" s="48"/>
      <c r="CT422" s="48"/>
      <c r="CU422" s="48"/>
      <c r="CV422" s="48"/>
      <c r="CW422" s="48"/>
      <c r="CX422" s="48"/>
      <c r="CY422" s="48"/>
      <c r="CZ422" s="48"/>
    </row>
    <row r="423" spans="27:104" s="4" customFormat="1" x14ac:dyDescent="0.3">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14"/>
      <c r="BC423" s="48"/>
      <c r="BD423" s="48"/>
      <c r="BE423" s="48"/>
      <c r="BF423" s="48"/>
      <c r="BG423" s="48"/>
      <c r="BH423" s="48"/>
      <c r="BI423" s="48"/>
      <c r="BJ423" s="48"/>
      <c r="BK423" s="48"/>
      <c r="BL423" s="48"/>
      <c r="BM423" s="48"/>
      <c r="BN423" s="48"/>
      <c r="BO423" s="48"/>
      <c r="BP423" s="48"/>
      <c r="BQ423" s="48"/>
      <c r="BR423" s="48"/>
      <c r="BS423" s="48"/>
      <c r="BT423" s="48"/>
      <c r="BU423" s="48"/>
      <c r="BV423" s="48"/>
      <c r="BW423" s="48"/>
      <c r="BX423" s="48"/>
      <c r="BY423" s="48"/>
      <c r="BZ423" s="48"/>
      <c r="CA423" s="48"/>
      <c r="CB423" s="48"/>
      <c r="CC423" s="48"/>
      <c r="CD423" s="48"/>
      <c r="CE423" s="48"/>
      <c r="CF423" s="48"/>
      <c r="CG423" s="48"/>
      <c r="CH423" s="48"/>
      <c r="CI423" s="48"/>
      <c r="CJ423" s="48"/>
      <c r="CK423" s="48"/>
      <c r="CL423" s="48"/>
      <c r="CM423" s="48"/>
      <c r="CN423" s="48"/>
      <c r="CO423" s="48"/>
      <c r="CP423" s="48"/>
      <c r="CQ423" s="48"/>
      <c r="CR423" s="48"/>
      <c r="CS423" s="48"/>
      <c r="CT423" s="48"/>
      <c r="CU423" s="48"/>
      <c r="CV423" s="48"/>
      <c r="CW423" s="48"/>
      <c r="CX423" s="48"/>
      <c r="CY423" s="48"/>
      <c r="CZ423" s="48"/>
    </row>
    <row r="424" spans="27:104" s="4" customFormat="1" x14ac:dyDescent="0.3">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14"/>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8"/>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c r="CZ424" s="48"/>
    </row>
    <row r="425" spans="27:104" s="4" customFormat="1" x14ac:dyDescent="0.3">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14"/>
      <c r="BC425" s="48"/>
      <c r="BD425" s="48"/>
      <c r="BE425" s="48"/>
      <c r="BF425" s="48"/>
      <c r="BG425" s="48"/>
      <c r="BH425" s="48"/>
      <c r="BI425" s="48"/>
      <c r="BJ425" s="48"/>
      <c r="BK425" s="48"/>
      <c r="BL425" s="48"/>
      <c r="BM425" s="48"/>
      <c r="BN425" s="48"/>
      <c r="BO425" s="48"/>
      <c r="BP425" s="48"/>
      <c r="BQ425" s="48"/>
      <c r="BR425" s="48"/>
      <c r="BS425" s="48"/>
      <c r="BT425" s="48"/>
      <c r="BU425" s="48"/>
      <c r="BV425" s="48"/>
      <c r="BW425" s="48"/>
      <c r="BX425" s="48"/>
      <c r="BY425" s="48"/>
      <c r="BZ425" s="48"/>
      <c r="CA425" s="48"/>
      <c r="CB425" s="48"/>
      <c r="CC425" s="48"/>
      <c r="CD425" s="48"/>
      <c r="CE425" s="48"/>
      <c r="CF425" s="48"/>
      <c r="CG425" s="48"/>
      <c r="CH425" s="48"/>
      <c r="CI425" s="48"/>
      <c r="CJ425" s="48"/>
      <c r="CK425" s="48"/>
      <c r="CL425" s="48"/>
      <c r="CM425" s="48"/>
      <c r="CN425" s="48"/>
      <c r="CO425" s="48"/>
      <c r="CP425" s="48"/>
      <c r="CQ425" s="48"/>
      <c r="CR425" s="48"/>
      <c r="CS425" s="48"/>
      <c r="CT425" s="48"/>
      <c r="CU425" s="48"/>
      <c r="CV425" s="48"/>
      <c r="CW425" s="48"/>
      <c r="CX425" s="48"/>
      <c r="CY425" s="48"/>
      <c r="CZ425" s="48"/>
    </row>
    <row r="426" spans="27:104" s="4" customFormat="1" x14ac:dyDescent="0.3">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14"/>
      <c r="BC426" s="48"/>
      <c r="BD426" s="48"/>
      <c r="BE426" s="48"/>
      <c r="BF426" s="48"/>
      <c r="BG426" s="48"/>
      <c r="BH426" s="48"/>
      <c r="BI426" s="48"/>
      <c r="BJ426" s="48"/>
      <c r="BK426" s="48"/>
      <c r="BL426" s="48"/>
      <c r="BM426" s="48"/>
      <c r="BN426" s="48"/>
      <c r="BO426" s="48"/>
      <c r="BP426" s="48"/>
      <c r="BQ426" s="48"/>
      <c r="BR426" s="48"/>
      <c r="BS426" s="48"/>
      <c r="BT426" s="48"/>
      <c r="BU426" s="48"/>
      <c r="BV426" s="48"/>
      <c r="BW426" s="48"/>
      <c r="BX426" s="48"/>
      <c r="BY426" s="48"/>
      <c r="BZ426" s="48"/>
      <c r="CA426" s="48"/>
      <c r="CB426" s="48"/>
      <c r="CC426" s="48"/>
      <c r="CD426" s="48"/>
      <c r="CE426" s="48"/>
      <c r="CF426" s="48"/>
      <c r="CG426" s="48"/>
      <c r="CH426" s="48"/>
      <c r="CI426" s="48"/>
      <c r="CJ426" s="48"/>
      <c r="CK426" s="48"/>
      <c r="CL426" s="48"/>
      <c r="CM426" s="48"/>
      <c r="CN426" s="48"/>
      <c r="CO426" s="48"/>
      <c r="CP426" s="48"/>
      <c r="CQ426" s="48"/>
      <c r="CR426" s="48"/>
      <c r="CS426" s="48"/>
      <c r="CT426" s="48"/>
      <c r="CU426" s="48"/>
      <c r="CV426" s="48"/>
      <c r="CW426" s="48"/>
      <c r="CX426" s="48"/>
      <c r="CY426" s="48"/>
      <c r="CZ426" s="48"/>
    </row>
    <row r="427" spans="27:104" s="4" customFormat="1" x14ac:dyDescent="0.3">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14"/>
      <c r="BC427" s="48"/>
      <c r="BD427" s="48"/>
      <c r="BE427" s="48"/>
      <c r="BF427" s="48"/>
      <c r="BG427" s="48"/>
      <c r="BH427" s="48"/>
      <c r="BI427" s="48"/>
      <c r="BJ427" s="48"/>
      <c r="BK427" s="48"/>
      <c r="BL427" s="48"/>
      <c r="BM427" s="48"/>
      <c r="BN427" s="48"/>
      <c r="BO427" s="48"/>
      <c r="BP427" s="48"/>
      <c r="BQ427" s="48"/>
      <c r="BR427" s="48"/>
      <c r="BS427" s="48"/>
      <c r="BT427" s="48"/>
      <c r="BU427" s="48"/>
      <c r="BV427" s="48"/>
      <c r="BW427" s="48"/>
      <c r="BX427" s="48"/>
      <c r="BY427" s="48"/>
      <c r="BZ427" s="48"/>
      <c r="CA427" s="48"/>
      <c r="CB427" s="48"/>
      <c r="CC427" s="48"/>
      <c r="CD427" s="48"/>
      <c r="CE427" s="48"/>
      <c r="CF427" s="48"/>
      <c r="CG427" s="48"/>
      <c r="CH427" s="48"/>
      <c r="CI427" s="48"/>
      <c r="CJ427" s="48"/>
      <c r="CK427" s="48"/>
      <c r="CL427" s="48"/>
      <c r="CM427" s="48"/>
      <c r="CN427" s="48"/>
      <c r="CO427" s="48"/>
      <c r="CP427" s="48"/>
      <c r="CQ427" s="48"/>
      <c r="CR427" s="48"/>
      <c r="CS427" s="48"/>
      <c r="CT427" s="48"/>
      <c r="CU427" s="48"/>
      <c r="CV427" s="48"/>
      <c r="CW427" s="48"/>
      <c r="CX427" s="48"/>
      <c r="CY427" s="48"/>
      <c r="CZ427" s="48"/>
    </row>
    <row r="428" spans="27:104" s="4" customFormat="1" x14ac:dyDescent="0.3">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14"/>
      <c r="BC428" s="48"/>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row>
    <row r="429" spans="27:104" s="4" customFormat="1" x14ac:dyDescent="0.3">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14"/>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row>
    <row r="430" spans="27:104" s="4" customFormat="1" x14ac:dyDescent="0.3">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14"/>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row>
    <row r="431" spans="27:104" s="4" customFormat="1" x14ac:dyDescent="0.3">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14"/>
      <c r="BC431" s="48"/>
      <c r="BD431" s="48"/>
      <c r="BE431" s="48"/>
      <c r="BF431" s="48"/>
      <c r="BG431" s="48"/>
      <c r="BH431" s="48"/>
      <c r="BI431" s="48"/>
      <c r="BJ431" s="48"/>
      <c r="BK431" s="48"/>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row>
    <row r="432" spans="27:104" s="4" customFormat="1" x14ac:dyDescent="0.3">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14"/>
      <c r="BC432" s="48"/>
      <c r="BD432" s="48"/>
      <c r="BE432" s="48"/>
      <c r="BF432" s="48"/>
      <c r="BG432" s="48"/>
      <c r="BH432" s="48"/>
      <c r="BI432" s="48"/>
      <c r="BJ432" s="48"/>
      <c r="BK432" s="48"/>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row>
    <row r="433" spans="27:104" s="4" customFormat="1" x14ac:dyDescent="0.3">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14"/>
      <c r="BC433" s="48"/>
      <c r="BD433" s="48"/>
      <c r="BE433" s="48"/>
      <c r="BF433" s="48"/>
      <c r="BG433" s="48"/>
      <c r="BH433" s="48"/>
      <c r="BI433" s="48"/>
      <c r="BJ433" s="48"/>
      <c r="BK433" s="48"/>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row>
    <row r="434" spans="27:104" s="4" customFormat="1" x14ac:dyDescent="0.3">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14"/>
      <c r="BC434" s="48"/>
      <c r="BD434" s="48"/>
      <c r="BE434" s="48"/>
      <c r="BF434" s="48"/>
      <c r="BG434" s="48"/>
      <c r="BH434" s="48"/>
      <c r="BI434" s="48"/>
      <c r="BJ434" s="48"/>
      <c r="BK434" s="48"/>
      <c r="BL434" s="48"/>
      <c r="BM434" s="48"/>
      <c r="BN434" s="48"/>
      <c r="BO434" s="48"/>
      <c r="BP434" s="48"/>
      <c r="BQ434" s="48"/>
      <c r="BR434" s="48"/>
      <c r="BS434" s="48"/>
      <c r="BT434" s="48"/>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row>
    <row r="435" spans="27:104" s="4" customFormat="1" x14ac:dyDescent="0.3">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14"/>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row>
    <row r="436" spans="27:104" s="4" customFormat="1" x14ac:dyDescent="0.3">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14"/>
      <c r="BC436" s="48"/>
      <c r="BD436" s="48"/>
      <c r="BE436" s="48"/>
      <c r="BF436" s="48"/>
      <c r="BG436" s="48"/>
      <c r="BH436" s="48"/>
      <c r="BI436" s="48"/>
      <c r="BJ436" s="48"/>
      <c r="BK436" s="48"/>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row>
    <row r="437" spans="27:104" s="4" customFormat="1" x14ac:dyDescent="0.3">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14"/>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row>
    <row r="438" spans="27:104" s="4" customFormat="1" x14ac:dyDescent="0.3">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14"/>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row>
    <row r="439" spans="27:104" s="4" customFormat="1" x14ac:dyDescent="0.3">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14"/>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row>
    <row r="440" spans="27:104" s="4" customFormat="1" x14ac:dyDescent="0.3">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14"/>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row>
    <row r="441" spans="27:104" s="4" customFormat="1" x14ac:dyDescent="0.3">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14"/>
      <c r="BC441" s="48"/>
      <c r="BD441" s="48"/>
      <c r="BE441" s="48"/>
      <c r="BF441" s="48"/>
      <c r="BG441" s="48"/>
      <c r="BH441" s="48"/>
      <c r="BI441" s="48"/>
      <c r="BJ441" s="48"/>
      <c r="BK441" s="48"/>
      <c r="BL441" s="48"/>
      <c r="BM441" s="48"/>
      <c r="BN441" s="48"/>
      <c r="BO441" s="48"/>
      <c r="BP441" s="48"/>
      <c r="BQ441" s="48"/>
      <c r="BR441" s="48"/>
      <c r="BS441" s="48"/>
      <c r="BT441" s="48"/>
      <c r="BU441" s="48"/>
      <c r="BV441" s="48"/>
      <c r="BW441" s="48"/>
      <c r="BX441" s="48"/>
      <c r="BY441" s="48"/>
      <c r="BZ441" s="48"/>
      <c r="CA441" s="48"/>
      <c r="CB441" s="48"/>
      <c r="CC441" s="48"/>
      <c r="CD441" s="48"/>
      <c r="CE441" s="48"/>
      <c r="CF441" s="48"/>
      <c r="CG441" s="48"/>
      <c r="CH441" s="48"/>
      <c r="CI441" s="48"/>
      <c r="CJ441" s="48"/>
      <c r="CK441" s="48"/>
      <c r="CL441" s="48"/>
      <c r="CM441" s="48"/>
      <c r="CN441" s="48"/>
      <c r="CO441" s="48"/>
      <c r="CP441" s="48"/>
      <c r="CQ441" s="48"/>
      <c r="CR441" s="48"/>
      <c r="CS441" s="48"/>
      <c r="CT441" s="48"/>
      <c r="CU441" s="48"/>
      <c r="CV441" s="48"/>
      <c r="CW441" s="48"/>
      <c r="CX441" s="48"/>
      <c r="CY441" s="48"/>
      <c r="CZ441" s="48"/>
    </row>
    <row r="442" spans="27:104" s="4" customFormat="1" x14ac:dyDescent="0.3">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14"/>
      <c r="BC442" s="48"/>
      <c r="BD442" s="48"/>
      <c r="BE442" s="48"/>
      <c r="BF442" s="48"/>
      <c r="BG442" s="48"/>
      <c r="BH442" s="48"/>
      <c r="BI442" s="48"/>
      <c r="BJ442" s="48"/>
      <c r="BK442" s="48"/>
      <c r="BL442" s="48"/>
      <c r="BM442" s="48"/>
      <c r="BN442" s="48"/>
      <c r="BO442" s="48"/>
      <c r="BP442" s="48"/>
      <c r="BQ442" s="48"/>
      <c r="BR442" s="48"/>
      <c r="BS442" s="48"/>
      <c r="BT442" s="48"/>
      <c r="BU442" s="48"/>
      <c r="BV442" s="48"/>
      <c r="BW442" s="48"/>
      <c r="BX442" s="48"/>
      <c r="BY442" s="48"/>
      <c r="BZ442" s="48"/>
      <c r="CA442" s="48"/>
      <c r="CB442" s="48"/>
      <c r="CC442" s="48"/>
      <c r="CD442" s="48"/>
      <c r="CE442" s="48"/>
      <c r="CF442" s="48"/>
      <c r="CG442" s="48"/>
      <c r="CH442" s="48"/>
      <c r="CI442" s="48"/>
      <c r="CJ442" s="48"/>
      <c r="CK442" s="48"/>
      <c r="CL442" s="48"/>
      <c r="CM442" s="48"/>
      <c r="CN442" s="48"/>
      <c r="CO442" s="48"/>
      <c r="CP442" s="48"/>
      <c r="CQ442" s="48"/>
      <c r="CR442" s="48"/>
      <c r="CS442" s="48"/>
      <c r="CT442" s="48"/>
      <c r="CU442" s="48"/>
      <c r="CV442" s="48"/>
      <c r="CW442" s="48"/>
      <c r="CX442" s="48"/>
      <c r="CY442" s="48"/>
      <c r="CZ442" s="48"/>
    </row>
    <row r="443" spans="27:104" s="4" customFormat="1" x14ac:dyDescent="0.3">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14"/>
      <c r="BC443" s="48"/>
      <c r="BD443" s="48"/>
      <c r="BE443" s="48"/>
      <c r="BF443" s="48"/>
      <c r="BG443" s="48"/>
      <c r="BH443" s="48"/>
      <c r="BI443" s="48"/>
      <c r="BJ443" s="48"/>
      <c r="BK443" s="48"/>
      <c r="BL443" s="48"/>
      <c r="BM443" s="48"/>
      <c r="BN443" s="48"/>
      <c r="BO443" s="48"/>
      <c r="BP443" s="48"/>
      <c r="BQ443" s="48"/>
      <c r="BR443" s="48"/>
      <c r="BS443" s="48"/>
      <c r="BT443" s="48"/>
      <c r="BU443" s="48"/>
      <c r="BV443" s="48"/>
      <c r="BW443" s="48"/>
      <c r="BX443" s="48"/>
      <c r="BY443" s="48"/>
      <c r="BZ443" s="48"/>
      <c r="CA443" s="48"/>
      <c r="CB443" s="48"/>
      <c r="CC443" s="48"/>
      <c r="CD443" s="48"/>
      <c r="CE443" s="48"/>
      <c r="CF443" s="48"/>
      <c r="CG443" s="48"/>
      <c r="CH443" s="48"/>
      <c r="CI443" s="48"/>
      <c r="CJ443" s="48"/>
      <c r="CK443" s="48"/>
      <c r="CL443" s="48"/>
      <c r="CM443" s="48"/>
      <c r="CN443" s="48"/>
      <c r="CO443" s="48"/>
      <c r="CP443" s="48"/>
      <c r="CQ443" s="48"/>
      <c r="CR443" s="48"/>
      <c r="CS443" s="48"/>
      <c r="CT443" s="48"/>
      <c r="CU443" s="48"/>
      <c r="CV443" s="48"/>
      <c r="CW443" s="48"/>
      <c r="CX443" s="48"/>
      <c r="CY443" s="48"/>
      <c r="CZ443" s="48"/>
    </row>
    <row r="444" spans="27:104" s="4" customFormat="1" x14ac:dyDescent="0.3">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14"/>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row>
    <row r="445" spans="27:104" s="4" customFormat="1" x14ac:dyDescent="0.3">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14"/>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row>
    <row r="446" spans="27:104" s="4" customFormat="1" x14ac:dyDescent="0.3">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14"/>
      <c r="BC446" s="48"/>
      <c r="BD446" s="48"/>
      <c r="BE446" s="48"/>
      <c r="BF446" s="48"/>
      <c r="BG446" s="48"/>
      <c r="BH446" s="48"/>
      <c r="BI446" s="48"/>
      <c r="BJ446" s="48"/>
      <c r="BK446" s="48"/>
      <c r="BL446" s="48"/>
      <c r="BM446" s="48"/>
      <c r="BN446" s="48"/>
      <c r="BO446" s="48"/>
      <c r="BP446" s="48"/>
      <c r="BQ446" s="48"/>
      <c r="BR446" s="48"/>
      <c r="BS446" s="48"/>
      <c r="BT446" s="48"/>
      <c r="BU446" s="48"/>
      <c r="BV446" s="48"/>
      <c r="BW446" s="48"/>
      <c r="BX446" s="48"/>
      <c r="BY446" s="48"/>
      <c r="BZ446" s="48"/>
      <c r="CA446" s="48"/>
      <c r="CB446" s="48"/>
      <c r="CC446" s="48"/>
      <c r="CD446" s="48"/>
      <c r="CE446" s="48"/>
      <c r="CF446" s="48"/>
      <c r="CG446" s="48"/>
      <c r="CH446" s="48"/>
      <c r="CI446" s="48"/>
      <c r="CJ446" s="48"/>
      <c r="CK446" s="48"/>
      <c r="CL446" s="48"/>
      <c r="CM446" s="48"/>
      <c r="CN446" s="48"/>
      <c r="CO446" s="48"/>
      <c r="CP446" s="48"/>
      <c r="CQ446" s="48"/>
      <c r="CR446" s="48"/>
      <c r="CS446" s="48"/>
      <c r="CT446" s="48"/>
      <c r="CU446" s="48"/>
      <c r="CV446" s="48"/>
      <c r="CW446" s="48"/>
      <c r="CX446" s="48"/>
      <c r="CY446" s="48"/>
      <c r="CZ446" s="48"/>
    </row>
    <row r="447" spans="27:104" s="4" customFormat="1" x14ac:dyDescent="0.3">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14"/>
      <c r="BC447" s="48"/>
      <c r="BD447" s="48"/>
      <c r="BE447" s="48"/>
      <c r="BF447" s="48"/>
      <c r="BG447" s="48"/>
      <c r="BH447" s="48"/>
      <c r="BI447" s="48"/>
      <c r="BJ447" s="48"/>
      <c r="BK447" s="48"/>
      <c r="BL447" s="48"/>
      <c r="BM447" s="48"/>
      <c r="BN447" s="48"/>
      <c r="BO447" s="48"/>
      <c r="BP447" s="48"/>
      <c r="BQ447" s="48"/>
      <c r="BR447" s="48"/>
      <c r="BS447" s="48"/>
      <c r="BT447" s="48"/>
      <c r="BU447" s="48"/>
      <c r="BV447" s="48"/>
      <c r="BW447" s="48"/>
      <c r="BX447" s="48"/>
      <c r="BY447" s="48"/>
      <c r="BZ447" s="48"/>
      <c r="CA447" s="48"/>
      <c r="CB447" s="48"/>
      <c r="CC447" s="48"/>
      <c r="CD447" s="48"/>
      <c r="CE447" s="48"/>
      <c r="CF447" s="48"/>
      <c r="CG447" s="48"/>
      <c r="CH447" s="48"/>
      <c r="CI447" s="48"/>
      <c r="CJ447" s="48"/>
      <c r="CK447" s="48"/>
      <c r="CL447" s="48"/>
      <c r="CM447" s="48"/>
      <c r="CN447" s="48"/>
      <c r="CO447" s="48"/>
      <c r="CP447" s="48"/>
      <c r="CQ447" s="48"/>
      <c r="CR447" s="48"/>
      <c r="CS447" s="48"/>
      <c r="CT447" s="48"/>
      <c r="CU447" s="48"/>
      <c r="CV447" s="48"/>
      <c r="CW447" s="48"/>
      <c r="CX447" s="48"/>
      <c r="CY447" s="48"/>
      <c r="CZ447" s="48"/>
    </row>
    <row r="448" spans="27:104" s="4" customFormat="1" x14ac:dyDescent="0.3">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14"/>
      <c r="BC448" s="48"/>
      <c r="BD448" s="48"/>
      <c r="BE448" s="48"/>
      <c r="BF448" s="48"/>
      <c r="BG448" s="48"/>
      <c r="BH448" s="48"/>
      <c r="BI448" s="48"/>
      <c r="BJ448" s="48"/>
      <c r="BK448" s="48"/>
      <c r="BL448" s="48"/>
      <c r="BM448" s="48"/>
      <c r="BN448" s="48"/>
      <c r="BO448" s="48"/>
      <c r="BP448" s="48"/>
      <c r="BQ448" s="48"/>
      <c r="BR448" s="48"/>
      <c r="BS448" s="48"/>
      <c r="BT448" s="48"/>
      <c r="BU448" s="48"/>
      <c r="BV448" s="48"/>
      <c r="BW448" s="48"/>
      <c r="BX448" s="48"/>
      <c r="BY448" s="48"/>
      <c r="BZ448" s="4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c r="CX448" s="48"/>
      <c r="CY448" s="48"/>
      <c r="CZ448" s="48"/>
    </row>
    <row r="449" spans="27:104" s="4" customFormat="1" x14ac:dyDescent="0.3">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14"/>
      <c r="BC449" s="48"/>
      <c r="BD449" s="48"/>
      <c r="BE449" s="48"/>
      <c r="BF449" s="48"/>
      <c r="BG449" s="48"/>
      <c r="BH449" s="48"/>
      <c r="BI449" s="48"/>
      <c r="BJ449" s="48"/>
      <c r="BK449" s="48"/>
      <c r="BL449" s="48"/>
      <c r="BM449" s="48"/>
      <c r="BN449" s="48"/>
      <c r="BO449" s="48"/>
      <c r="BP449" s="48"/>
      <c r="BQ449" s="48"/>
      <c r="BR449" s="48"/>
      <c r="BS449" s="48"/>
      <c r="BT449" s="48"/>
      <c r="BU449" s="48"/>
      <c r="BV449" s="48"/>
      <c r="BW449" s="48"/>
      <c r="BX449" s="48"/>
      <c r="BY449" s="48"/>
      <c r="BZ449" s="48"/>
      <c r="CA449" s="48"/>
      <c r="CB449" s="48"/>
      <c r="CC449" s="48"/>
      <c r="CD449" s="48"/>
      <c r="CE449" s="48"/>
      <c r="CF449" s="48"/>
      <c r="CG449" s="48"/>
      <c r="CH449" s="48"/>
      <c r="CI449" s="48"/>
      <c r="CJ449" s="48"/>
      <c r="CK449" s="48"/>
      <c r="CL449" s="48"/>
      <c r="CM449" s="48"/>
      <c r="CN449" s="48"/>
      <c r="CO449" s="48"/>
      <c r="CP449" s="48"/>
      <c r="CQ449" s="48"/>
      <c r="CR449" s="48"/>
      <c r="CS449" s="48"/>
      <c r="CT449" s="48"/>
      <c r="CU449" s="48"/>
      <c r="CV449" s="48"/>
      <c r="CW449" s="48"/>
      <c r="CX449" s="48"/>
      <c r="CY449" s="48"/>
      <c r="CZ449" s="48"/>
    </row>
    <row r="450" spans="27:104" s="4" customFormat="1" x14ac:dyDescent="0.3">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14"/>
      <c r="BC450" s="48"/>
      <c r="BD450" s="48"/>
      <c r="BE450" s="48"/>
      <c r="BF450" s="48"/>
      <c r="BG450" s="48"/>
      <c r="BH450" s="48"/>
      <c r="BI450" s="48"/>
      <c r="BJ450" s="48"/>
      <c r="BK450" s="48"/>
      <c r="BL450" s="48"/>
      <c r="BM450" s="48"/>
      <c r="BN450" s="48"/>
      <c r="BO450" s="48"/>
      <c r="BP450" s="48"/>
      <c r="BQ450" s="48"/>
      <c r="BR450" s="48"/>
      <c r="BS450" s="48"/>
      <c r="BT450" s="48"/>
      <c r="BU450" s="48"/>
      <c r="BV450" s="48"/>
      <c r="BW450" s="48"/>
      <c r="BX450" s="48"/>
      <c r="BY450" s="48"/>
      <c r="BZ450" s="48"/>
      <c r="CA450" s="48"/>
      <c r="CB450" s="48"/>
      <c r="CC450" s="48"/>
      <c r="CD450" s="48"/>
      <c r="CE450" s="48"/>
      <c r="CF450" s="48"/>
      <c r="CG450" s="48"/>
      <c r="CH450" s="48"/>
      <c r="CI450" s="48"/>
      <c r="CJ450" s="48"/>
      <c r="CK450" s="48"/>
      <c r="CL450" s="48"/>
      <c r="CM450" s="48"/>
      <c r="CN450" s="48"/>
      <c r="CO450" s="48"/>
      <c r="CP450" s="48"/>
      <c r="CQ450" s="48"/>
      <c r="CR450" s="48"/>
      <c r="CS450" s="48"/>
      <c r="CT450" s="48"/>
      <c r="CU450" s="48"/>
      <c r="CV450" s="48"/>
      <c r="CW450" s="48"/>
      <c r="CX450" s="48"/>
      <c r="CY450" s="48"/>
      <c r="CZ450" s="48"/>
    </row>
    <row r="451" spans="27:104" s="4" customFormat="1" x14ac:dyDescent="0.3">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14"/>
      <c r="BC451" s="48"/>
      <c r="BD451" s="48"/>
      <c r="BE451" s="48"/>
      <c r="BF451" s="48"/>
      <c r="BG451" s="48"/>
      <c r="BH451" s="48"/>
      <c r="BI451" s="48"/>
      <c r="BJ451" s="48"/>
      <c r="BK451" s="48"/>
      <c r="BL451" s="48"/>
      <c r="BM451" s="48"/>
      <c r="BN451" s="48"/>
      <c r="BO451" s="48"/>
      <c r="BP451" s="48"/>
      <c r="BQ451" s="48"/>
      <c r="BR451" s="48"/>
      <c r="BS451" s="48"/>
      <c r="BT451" s="48"/>
      <c r="BU451" s="48"/>
      <c r="BV451" s="48"/>
      <c r="BW451" s="48"/>
      <c r="BX451" s="48"/>
      <c r="BY451" s="48"/>
      <c r="BZ451" s="48"/>
      <c r="CA451" s="48"/>
      <c r="CB451" s="48"/>
      <c r="CC451" s="48"/>
      <c r="CD451" s="48"/>
      <c r="CE451" s="48"/>
      <c r="CF451" s="48"/>
      <c r="CG451" s="48"/>
      <c r="CH451" s="48"/>
      <c r="CI451" s="48"/>
      <c r="CJ451" s="48"/>
      <c r="CK451" s="48"/>
      <c r="CL451" s="48"/>
      <c r="CM451" s="48"/>
      <c r="CN451" s="48"/>
      <c r="CO451" s="48"/>
      <c r="CP451" s="48"/>
      <c r="CQ451" s="48"/>
      <c r="CR451" s="48"/>
      <c r="CS451" s="48"/>
      <c r="CT451" s="48"/>
      <c r="CU451" s="48"/>
      <c r="CV451" s="48"/>
      <c r="CW451" s="48"/>
      <c r="CX451" s="48"/>
      <c r="CY451" s="48"/>
      <c r="CZ451" s="48"/>
    </row>
    <row r="452" spans="27:104" s="4" customFormat="1" x14ac:dyDescent="0.3">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14"/>
      <c r="BC452" s="48"/>
      <c r="BD452" s="48"/>
      <c r="BE452" s="48"/>
      <c r="BF452" s="48"/>
      <c r="BG452" s="48"/>
      <c r="BH452" s="48"/>
      <c r="BI452" s="48"/>
      <c r="BJ452" s="48"/>
      <c r="BK452" s="48"/>
      <c r="BL452" s="48"/>
      <c r="BM452" s="48"/>
      <c r="BN452" s="48"/>
      <c r="BO452" s="48"/>
      <c r="BP452" s="48"/>
      <c r="BQ452" s="48"/>
      <c r="BR452" s="48"/>
      <c r="BS452" s="48"/>
      <c r="BT452" s="48"/>
      <c r="BU452" s="48"/>
      <c r="BV452" s="48"/>
      <c r="BW452" s="48"/>
      <c r="BX452" s="48"/>
      <c r="BY452" s="48"/>
      <c r="BZ452" s="48"/>
      <c r="CA452" s="48"/>
      <c r="CB452" s="48"/>
      <c r="CC452" s="48"/>
      <c r="CD452" s="48"/>
      <c r="CE452" s="48"/>
      <c r="CF452" s="48"/>
      <c r="CG452" s="48"/>
      <c r="CH452" s="48"/>
      <c r="CI452" s="48"/>
      <c r="CJ452" s="48"/>
      <c r="CK452" s="48"/>
      <c r="CL452" s="48"/>
      <c r="CM452" s="48"/>
      <c r="CN452" s="48"/>
      <c r="CO452" s="48"/>
      <c r="CP452" s="48"/>
      <c r="CQ452" s="48"/>
      <c r="CR452" s="48"/>
      <c r="CS452" s="48"/>
      <c r="CT452" s="48"/>
      <c r="CU452" s="48"/>
      <c r="CV452" s="48"/>
      <c r="CW452" s="48"/>
      <c r="CX452" s="48"/>
      <c r="CY452" s="48"/>
      <c r="CZ452" s="48"/>
    </row>
    <row r="453" spans="27:104" s="4" customFormat="1" x14ac:dyDescent="0.3">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14"/>
      <c r="BC453" s="48"/>
      <c r="BD453" s="48"/>
      <c r="BE453" s="48"/>
      <c r="BF453" s="48"/>
      <c r="BG453" s="48"/>
      <c r="BH453" s="48"/>
      <c r="BI453" s="48"/>
      <c r="BJ453" s="48"/>
      <c r="BK453" s="48"/>
      <c r="BL453" s="48"/>
      <c r="BM453" s="48"/>
      <c r="BN453" s="48"/>
      <c r="BO453" s="48"/>
      <c r="BP453" s="48"/>
      <c r="BQ453" s="48"/>
      <c r="BR453" s="48"/>
      <c r="BS453" s="48"/>
      <c r="BT453" s="48"/>
      <c r="BU453" s="48"/>
      <c r="BV453" s="48"/>
      <c r="BW453" s="48"/>
      <c r="BX453" s="48"/>
      <c r="BY453" s="48"/>
      <c r="BZ453" s="48"/>
      <c r="CA453" s="48"/>
      <c r="CB453" s="48"/>
      <c r="CC453" s="48"/>
      <c r="CD453" s="48"/>
      <c r="CE453" s="48"/>
      <c r="CF453" s="48"/>
      <c r="CG453" s="48"/>
      <c r="CH453" s="48"/>
      <c r="CI453" s="48"/>
      <c r="CJ453" s="48"/>
      <c r="CK453" s="48"/>
      <c r="CL453" s="48"/>
      <c r="CM453" s="48"/>
      <c r="CN453" s="48"/>
      <c r="CO453" s="48"/>
      <c r="CP453" s="48"/>
      <c r="CQ453" s="48"/>
      <c r="CR453" s="48"/>
      <c r="CS453" s="48"/>
      <c r="CT453" s="48"/>
      <c r="CU453" s="48"/>
      <c r="CV453" s="48"/>
      <c r="CW453" s="48"/>
      <c r="CX453" s="48"/>
      <c r="CY453" s="48"/>
      <c r="CZ453" s="48"/>
    </row>
    <row r="454" spans="27:104" s="4" customFormat="1" x14ac:dyDescent="0.3">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14"/>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8"/>
      <c r="BY454" s="48"/>
      <c r="BZ454" s="4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row>
    <row r="455" spans="27:104" s="4" customFormat="1" x14ac:dyDescent="0.3">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14"/>
      <c r="BC455" s="48"/>
      <c r="BD455" s="48"/>
      <c r="BE455" s="48"/>
      <c r="BF455" s="48"/>
      <c r="BG455" s="48"/>
      <c r="BH455" s="48"/>
      <c r="BI455" s="48"/>
      <c r="BJ455" s="48"/>
      <c r="BK455" s="48"/>
      <c r="BL455" s="48"/>
      <c r="BM455" s="48"/>
      <c r="BN455" s="48"/>
      <c r="BO455" s="48"/>
      <c r="BP455" s="48"/>
      <c r="BQ455" s="48"/>
      <c r="BR455" s="48"/>
      <c r="BS455" s="48"/>
      <c r="BT455" s="48"/>
      <c r="BU455" s="48"/>
      <c r="BV455" s="48"/>
      <c r="BW455" s="48"/>
      <c r="BX455" s="48"/>
      <c r="BY455" s="48"/>
      <c r="BZ455" s="48"/>
      <c r="CA455" s="48"/>
      <c r="CB455" s="48"/>
      <c r="CC455" s="48"/>
      <c r="CD455" s="48"/>
      <c r="CE455" s="48"/>
      <c r="CF455" s="48"/>
      <c r="CG455" s="48"/>
      <c r="CH455" s="48"/>
      <c r="CI455" s="48"/>
      <c r="CJ455" s="48"/>
      <c r="CK455" s="48"/>
      <c r="CL455" s="48"/>
      <c r="CM455" s="48"/>
      <c r="CN455" s="48"/>
      <c r="CO455" s="48"/>
      <c r="CP455" s="48"/>
      <c r="CQ455" s="48"/>
      <c r="CR455" s="48"/>
      <c r="CS455" s="48"/>
      <c r="CT455" s="48"/>
      <c r="CU455" s="48"/>
      <c r="CV455" s="48"/>
      <c r="CW455" s="48"/>
      <c r="CX455" s="48"/>
      <c r="CY455" s="48"/>
      <c r="CZ455" s="48"/>
    </row>
    <row r="456" spans="27:104" s="4" customFormat="1" x14ac:dyDescent="0.3">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14"/>
      <c r="BC456" s="48"/>
      <c r="BD456" s="48"/>
      <c r="BE456" s="48"/>
      <c r="BF456" s="48"/>
      <c r="BG456" s="48"/>
      <c r="BH456" s="48"/>
      <c r="BI456" s="48"/>
      <c r="BJ456" s="48"/>
      <c r="BK456" s="48"/>
      <c r="BL456" s="48"/>
      <c r="BM456" s="48"/>
      <c r="BN456" s="48"/>
      <c r="BO456" s="48"/>
      <c r="BP456" s="48"/>
      <c r="BQ456" s="48"/>
      <c r="BR456" s="48"/>
      <c r="BS456" s="48"/>
      <c r="BT456" s="48"/>
      <c r="BU456" s="48"/>
      <c r="BV456" s="48"/>
      <c r="BW456" s="48"/>
      <c r="BX456" s="48"/>
      <c r="BY456" s="48"/>
      <c r="BZ456" s="48"/>
      <c r="CA456" s="48"/>
      <c r="CB456" s="48"/>
      <c r="CC456" s="48"/>
      <c r="CD456" s="48"/>
      <c r="CE456" s="48"/>
      <c r="CF456" s="48"/>
      <c r="CG456" s="48"/>
      <c r="CH456" s="48"/>
      <c r="CI456" s="48"/>
      <c r="CJ456" s="48"/>
      <c r="CK456" s="48"/>
      <c r="CL456" s="48"/>
      <c r="CM456" s="48"/>
      <c r="CN456" s="48"/>
      <c r="CO456" s="48"/>
      <c r="CP456" s="48"/>
      <c r="CQ456" s="48"/>
      <c r="CR456" s="48"/>
      <c r="CS456" s="48"/>
      <c r="CT456" s="48"/>
      <c r="CU456" s="48"/>
      <c r="CV456" s="48"/>
      <c r="CW456" s="48"/>
      <c r="CX456" s="48"/>
      <c r="CY456" s="48"/>
      <c r="CZ456" s="48"/>
    </row>
    <row r="457" spans="27:104" s="4" customFormat="1" x14ac:dyDescent="0.3">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14"/>
      <c r="BC457" s="48"/>
      <c r="BD457" s="48"/>
      <c r="BE457" s="48"/>
      <c r="BF457" s="48"/>
      <c r="BG457" s="48"/>
      <c r="BH457" s="48"/>
      <c r="BI457" s="48"/>
      <c r="BJ457" s="48"/>
      <c r="BK457" s="48"/>
      <c r="BL457" s="48"/>
      <c r="BM457" s="48"/>
      <c r="BN457" s="48"/>
      <c r="BO457" s="48"/>
      <c r="BP457" s="48"/>
      <c r="BQ457" s="48"/>
      <c r="BR457" s="48"/>
      <c r="BS457" s="48"/>
      <c r="BT457" s="48"/>
      <c r="BU457" s="48"/>
      <c r="BV457" s="48"/>
      <c r="BW457" s="48"/>
      <c r="BX457" s="48"/>
      <c r="BY457" s="48"/>
      <c r="BZ457" s="48"/>
      <c r="CA457" s="48"/>
      <c r="CB457" s="48"/>
      <c r="CC457" s="48"/>
      <c r="CD457" s="48"/>
      <c r="CE457" s="48"/>
      <c r="CF457" s="48"/>
      <c r="CG457" s="48"/>
      <c r="CH457" s="48"/>
      <c r="CI457" s="48"/>
      <c r="CJ457" s="48"/>
      <c r="CK457" s="48"/>
      <c r="CL457" s="48"/>
      <c r="CM457" s="48"/>
      <c r="CN457" s="48"/>
      <c r="CO457" s="48"/>
      <c r="CP457" s="48"/>
      <c r="CQ457" s="48"/>
      <c r="CR457" s="48"/>
      <c r="CS457" s="48"/>
      <c r="CT457" s="48"/>
      <c r="CU457" s="48"/>
      <c r="CV457" s="48"/>
      <c r="CW457" s="48"/>
      <c r="CX457" s="48"/>
      <c r="CY457" s="48"/>
      <c r="CZ457" s="48"/>
    </row>
    <row r="458" spans="27:104" s="4" customFormat="1" x14ac:dyDescent="0.3">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14"/>
      <c r="BC458" s="48"/>
      <c r="BD458" s="48"/>
      <c r="BE458" s="48"/>
      <c r="BF458" s="48"/>
      <c r="BG458" s="48"/>
      <c r="BH458" s="48"/>
      <c r="BI458" s="48"/>
      <c r="BJ458" s="48"/>
      <c r="BK458" s="48"/>
      <c r="BL458" s="48"/>
      <c r="BM458" s="48"/>
      <c r="BN458" s="48"/>
      <c r="BO458" s="48"/>
      <c r="BP458" s="48"/>
      <c r="BQ458" s="48"/>
      <c r="BR458" s="48"/>
      <c r="BS458" s="48"/>
      <c r="BT458" s="48"/>
      <c r="BU458" s="48"/>
      <c r="BV458" s="48"/>
      <c r="BW458" s="48"/>
      <c r="BX458" s="48"/>
      <c r="BY458" s="48"/>
      <c r="BZ458" s="48"/>
      <c r="CA458" s="48"/>
      <c r="CB458" s="48"/>
      <c r="CC458" s="48"/>
      <c r="CD458" s="48"/>
      <c r="CE458" s="48"/>
      <c r="CF458" s="48"/>
      <c r="CG458" s="48"/>
      <c r="CH458" s="48"/>
      <c r="CI458" s="48"/>
      <c r="CJ458" s="48"/>
      <c r="CK458" s="48"/>
      <c r="CL458" s="48"/>
      <c r="CM458" s="48"/>
      <c r="CN458" s="48"/>
      <c r="CO458" s="48"/>
      <c r="CP458" s="48"/>
      <c r="CQ458" s="48"/>
      <c r="CR458" s="48"/>
      <c r="CS458" s="48"/>
      <c r="CT458" s="48"/>
      <c r="CU458" s="48"/>
      <c r="CV458" s="48"/>
      <c r="CW458" s="48"/>
      <c r="CX458" s="48"/>
      <c r="CY458" s="48"/>
      <c r="CZ458" s="48"/>
    </row>
    <row r="459" spans="27:104" s="4" customFormat="1" x14ac:dyDescent="0.3">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14"/>
      <c r="BC459" s="48"/>
      <c r="BD459" s="48"/>
      <c r="BE459" s="48"/>
      <c r="BF459" s="48"/>
      <c r="BG459" s="48"/>
      <c r="BH459" s="48"/>
      <c r="BI459" s="48"/>
      <c r="BJ459" s="48"/>
      <c r="BK459" s="48"/>
      <c r="BL459" s="48"/>
      <c r="BM459" s="48"/>
      <c r="BN459" s="48"/>
      <c r="BO459" s="48"/>
      <c r="BP459" s="48"/>
      <c r="BQ459" s="48"/>
      <c r="BR459" s="48"/>
      <c r="BS459" s="48"/>
      <c r="BT459" s="48"/>
      <c r="BU459" s="48"/>
      <c r="BV459" s="48"/>
      <c r="BW459" s="48"/>
      <c r="BX459" s="48"/>
      <c r="BY459" s="48"/>
      <c r="BZ459" s="48"/>
      <c r="CA459" s="48"/>
      <c r="CB459" s="48"/>
      <c r="CC459" s="48"/>
      <c r="CD459" s="48"/>
      <c r="CE459" s="48"/>
      <c r="CF459" s="48"/>
      <c r="CG459" s="48"/>
      <c r="CH459" s="48"/>
      <c r="CI459" s="48"/>
      <c r="CJ459" s="48"/>
      <c r="CK459" s="48"/>
      <c r="CL459" s="48"/>
      <c r="CM459" s="48"/>
      <c r="CN459" s="48"/>
      <c r="CO459" s="48"/>
      <c r="CP459" s="48"/>
      <c r="CQ459" s="48"/>
      <c r="CR459" s="48"/>
      <c r="CS459" s="48"/>
      <c r="CT459" s="48"/>
      <c r="CU459" s="48"/>
      <c r="CV459" s="48"/>
      <c r="CW459" s="48"/>
      <c r="CX459" s="48"/>
      <c r="CY459" s="48"/>
      <c r="CZ459" s="48"/>
    </row>
    <row r="460" spans="27:104" s="4" customFormat="1" x14ac:dyDescent="0.3">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14"/>
      <c r="BC460" s="48"/>
      <c r="BD460" s="48"/>
      <c r="BE460" s="48"/>
      <c r="BF460" s="48"/>
      <c r="BG460" s="48"/>
      <c r="BH460" s="48"/>
      <c r="BI460" s="48"/>
      <c r="BJ460" s="48"/>
      <c r="BK460" s="48"/>
      <c r="BL460" s="48"/>
      <c r="BM460" s="48"/>
      <c r="BN460" s="48"/>
      <c r="BO460" s="48"/>
      <c r="BP460" s="48"/>
      <c r="BQ460" s="48"/>
      <c r="BR460" s="48"/>
      <c r="BS460" s="48"/>
      <c r="BT460" s="48"/>
      <c r="BU460" s="48"/>
      <c r="BV460" s="48"/>
      <c r="BW460" s="48"/>
      <c r="BX460" s="48"/>
      <c r="BY460" s="48"/>
      <c r="BZ460" s="48"/>
      <c r="CA460" s="48"/>
      <c r="CB460" s="48"/>
      <c r="CC460" s="48"/>
      <c r="CD460" s="48"/>
      <c r="CE460" s="48"/>
      <c r="CF460" s="48"/>
      <c r="CG460" s="48"/>
      <c r="CH460" s="48"/>
      <c r="CI460" s="48"/>
      <c r="CJ460" s="48"/>
      <c r="CK460" s="48"/>
      <c r="CL460" s="48"/>
      <c r="CM460" s="48"/>
      <c r="CN460" s="48"/>
      <c r="CO460" s="48"/>
      <c r="CP460" s="48"/>
      <c r="CQ460" s="48"/>
      <c r="CR460" s="48"/>
      <c r="CS460" s="48"/>
      <c r="CT460" s="48"/>
      <c r="CU460" s="48"/>
      <c r="CV460" s="48"/>
      <c r="CW460" s="48"/>
      <c r="CX460" s="48"/>
      <c r="CY460" s="48"/>
      <c r="CZ460" s="48"/>
    </row>
    <row r="461" spans="27:104" s="4" customFormat="1" x14ac:dyDescent="0.3">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14"/>
      <c r="BC461" s="48"/>
      <c r="BD461" s="48"/>
      <c r="BE461" s="48"/>
      <c r="BF461" s="48"/>
      <c r="BG461" s="48"/>
      <c r="BH461" s="48"/>
      <c r="BI461" s="48"/>
      <c r="BJ461" s="48"/>
      <c r="BK461" s="48"/>
      <c r="BL461" s="48"/>
      <c r="BM461" s="48"/>
      <c r="BN461" s="48"/>
      <c r="BO461" s="48"/>
      <c r="BP461" s="48"/>
      <c r="BQ461" s="48"/>
      <c r="BR461" s="48"/>
      <c r="BS461" s="48"/>
      <c r="BT461" s="48"/>
      <c r="BU461" s="48"/>
      <c r="BV461" s="48"/>
      <c r="BW461" s="48"/>
      <c r="BX461" s="48"/>
      <c r="BY461" s="48"/>
      <c r="BZ461" s="48"/>
      <c r="CA461" s="48"/>
      <c r="CB461" s="48"/>
      <c r="CC461" s="48"/>
      <c r="CD461" s="48"/>
      <c r="CE461" s="48"/>
      <c r="CF461" s="48"/>
      <c r="CG461" s="48"/>
      <c r="CH461" s="48"/>
      <c r="CI461" s="48"/>
      <c r="CJ461" s="48"/>
      <c r="CK461" s="48"/>
      <c r="CL461" s="48"/>
      <c r="CM461" s="48"/>
      <c r="CN461" s="48"/>
      <c r="CO461" s="48"/>
      <c r="CP461" s="48"/>
      <c r="CQ461" s="48"/>
      <c r="CR461" s="48"/>
      <c r="CS461" s="48"/>
      <c r="CT461" s="48"/>
      <c r="CU461" s="48"/>
      <c r="CV461" s="48"/>
      <c r="CW461" s="48"/>
      <c r="CX461" s="48"/>
      <c r="CY461" s="48"/>
      <c r="CZ461" s="48"/>
    </row>
    <row r="462" spans="27:104" s="4" customFormat="1" x14ac:dyDescent="0.3">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14"/>
      <c r="BC462" s="48"/>
      <c r="BD462" s="48"/>
      <c r="BE462" s="48"/>
      <c r="BF462" s="48"/>
      <c r="BG462" s="48"/>
      <c r="BH462" s="48"/>
      <c r="BI462" s="48"/>
      <c r="BJ462" s="48"/>
      <c r="BK462" s="48"/>
      <c r="BL462" s="48"/>
      <c r="BM462" s="48"/>
      <c r="BN462" s="48"/>
      <c r="BO462" s="48"/>
      <c r="BP462" s="48"/>
      <c r="BQ462" s="48"/>
      <c r="BR462" s="48"/>
      <c r="BS462" s="48"/>
      <c r="BT462" s="48"/>
      <c r="BU462" s="48"/>
      <c r="BV462" s="48"/>
      <c r="BW462" s="48"/>
      <c r="BX462" s="48"/>
      <c r="BY462" s="48"/>
      <c r="BZ462" s="48"/>
      <c r="CA462" s="48"/>
      <c r="CB462" s="48"/>
      <c r="CC462" s="48"/>
      <c r="CD462" s="48"/>
      <c r="CE462" s="48"/>
      <c r="CF462" s="48"/>
      <c r="CG462" s="48"/>
      <c r="CH462" s="48"/>
      <c r="CI462" s="48"/>
      <c r="CJ462" s="48"/>
      <c r="CK462" s="48"/>
      <c r="CL462" s="48"/>
      <c r="CM462" s="48"/>
      <c r="CN462" s="48"/>
      <c r="CO462" s="48"/>
      <c r="CP462" s="48"/>
      <c r="CQ462" s="48"/>
      <c r="CR462" s="48"/>
      <c r="CS462" s="48"/>
      <c r="CT462" s="48"/>
      <c r="CU462" s="48"/>
      <c r="CV462" s="48"/>
      <c r="CW462" s="48"/>
      <c r="CX462" s="48"/>
      <c r="CY462" s="48"/>
      <c r="CZ462" s="48"/>
    </row>
    <row r="463" spans="27:104" s="4" customFormat="1" x14ac:dyDescent="0.3">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14"/>
      <c r="BC463" s="48"/>
      <c r="BD463" s="48"/>
      <c r="BE463" s="48"/>
      <c r="BF463" s="48"/>
      <c r="BG463" s="48"/>
      <c r="BH463" s="48"/>
      <c r="BI463" s="48"/>
      <c r="BJ463" s="48"/>
      <c r="BK463" s="48"/>
      <c r="BL463" s="48"/>
      <c r="BM463" s="48"/>
      <c r="BN463" s="48"/>
      <c r="BO463" s="48"/>
      <c r="BP463" s="48"/>
      <c r="BQ463" s="48"/>
      <c r="BR463" s="48"/>
      <c r="BS463" s="48"/>
      <c r="BT463" s="48"/>
      <c r="BU463" s="48"/>
      <c r="BV463" s="48"/>
      <c r="BW463" s="48"/>
      <c r="BX463" s="48"/>
      <c r="BY463" s="48"/>
      <c r="BZ463" s="48"/>
      <c r="CA463" s="48"/>
      <c r="CB463" s="48"/>
      <c r="CC463" s="48"/>
      <c r="CD463" s="48"/>
      <c r="CE463" s="48"/>
      <c r="CF463" s="48"/>
      <c r="CG463" s="48"/>
      <c r="CH463" s="48"/>
      <c r="CI463" s="48"/>
      <c r="CJ463" s="48"/>
      <c r="CK463" s="48"/>
      <c r="CL463" s="48"/>
      <c r="CM463" s="48"/>
      <c r="CN463" s="48"/>
      <c r="CO463" s="48"/>
      <c r="CP463" s="48"/>
      <c r="CQ463" s="48"/>
      <c r="CR463" s="48"/>
      <c r="CS463" s="48"/>
      <c r="CT463" s="48"/>
      <c r="CU463" s="48"/>
      <c r="CV463" s="48"/>
      <c r="CW463" s="48"/>
      <c r="CX463" s="48"/>
      <c r="CY463" s="48"/>
      <c r="CZ463" s="48"/>
    </row>
    <row r="464" spans="27:104" s="4" customFormat="1" x14ac:dyDescent="0.3">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14"/>
      <c r="BC464" s="48"/>
      <c r="BD464" s="48"/>
      <c r="BE464" s="48"/>
      <c r="BF464" s="48"/>
      <c r="BG464" s="48"/>
      <c r="BH464" s="48"/>
      <c r="BI464" s="48"/>
      <c r="BJ464" s="48"/>
      <c r="BK464" s="48"/>
      <c r="BL464" s="48"/>
      <c r="BM464" s="48"/>
      <c r="BN464" s="48"/>
      <c r="BO464" s="48"/>
      <c r="BP464" s="48"/>
      <c r="BQ464" s="48"/>
      <c r="BR464" s="48"/>
      <c r="BS464" s="48"/>
      <c r="BT464" s="48"/>
      <c r="BU464" s="48"/>
      <c r="BV464" s="48"/>
      <c r="BW464" s="48"/>
      <c r="BX464" s="48"/>
      <c r="BY464" s="48"/>
      <c r="BZ464" s="48"/>
      <c r="CA464" s="48"/>
      <c r="CB464" s="48"/>
      <c r="CC464" s="48"/>
      <c r="CD464" s="48"/>
      <c r="CE464" s="48"/>
      <c r="CF464" s="48"/>
      <c r="CG464" s="48"/>
      <c r="CH464" s="48"/>
      <c r="CI464" s="48"/>
      <c r="CJ464" s="48"/>
      <c r="CK464" s="48"/>
      <c r="CL464" s="48"/>
      <c r="CM464" s="48"/>
      <c r="CN464" s="48"/>
      <c r="CO464" s="48"/>
      <c r="CP464" s="48"/>
      <c r="CQ464" s="48"/>
      <c r="CR464" s="48"/>
      <c r="CS464" s="48"/>
      <c r="CT464" s="48"/>
      <c r="CU464" s="48"/>
      <c r="CV464" s="48"/>
      <c r="CW464" s="48"/>
      <c r="CX464" s="48"/>
      <c r="CY464" s="48"/>
      <c r="CZ464" s="48"/>
    </row>
    <row r="465" spans="27:104" s="4" customFormat="1" x14ac:dyDescent="0.3">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14"/>
      <c r="BC465" s="48"/>
      <c r="BD465" s="48"/>
      <c r="BE465" s="48"/>
      <c r="BF465" s="48"/>
      <c r="BG465" s="48"/>
      <c r="BH465" s="48"/>
      <c r="BI465" s="48"/>
      <c r="BJ465" s="48"/>
      <c r="BK465" s="48"/>
      <c r="BL465" s="48"/>
      <c r="BM465" s="48"/>
      <c r="BN465" s="48"/>
      <c r="BO465" s="48"/>
      <c r="BP465" s="48"/>
      <c r="BQ465" s="48"/>
      <c r="BR465" s="48"/>
      <c r="BS465" s="48"/>
      <c r="BT465" s="48"/>
      <c r="BU465" s="48"/>
      <c r="BV465" s="48"/>
      <c r="BW465" s="48"/>
      <c r="BX465" s="48"/>
      <c r="BY465" s="48"/>
      <c r="BZ465" s="48"/>
      <c r="CA465" s="48"/>
      <c r="CB465" s="48"/>
      <c r="CC465" s="48"/>
      <c r="CD465" s="48"/>
      <c r="CE465" s="48"/>
      <c r="CF465" s="48"/>
      <c r="CG465" s="48"/>
      <c r="CH465" s="48"/>
      <c r="CI465" s="48"/>
      <c r="CJ465" s="48"/>
      <c r="CK465" s="48"/>
      <c r="CL465" s="48"/>
      <c r="CM465" s="48"/>
      <c r="CN465" s="48"/>
      <c r="CO465" s="48"/>
      <c r="CP465" s="48"/>
      <c r="CQ465" s="48"/>
      <c r="CR465" s="48"/>
      <c r="CS465" s="48"/>
      <c r="CT465" s="48"/>
      <c r="CU465" s="48"/>
      <c r="CV465" s="48"/>
      <c r="CW465" s="48"/>
      <c r="CX465" s="48"/>
      <c r="CY465" s="48"/>
      <c r="CZ465" s="48"/>
    </row>
    <row r="466" spans="27:104" s="4" customFormat="1" x14ac:dyDescent="0.3">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14"/>
      <c r="BC466" s="48"/>
      <c r="BD466" s="48"/>
      <c r="BE466" s="48"/>
      <c r="BF466" s="48"/>
      <c r="BG466" s="48"/>
      <c r="BH466" s="48"/>
      <c r="BI466" s="48"/>
      <c r="BJ466" s="48"/>
      <c r="BK466" s="48"/>
      <c r="BL466" s="48"/>
      <c r="BM466" s="48"/>
      <c r="BN466" s="48"/>
      <c r="BO466" s="48"/>
      <c r="BP466" s="48"/>
      <c r="BQ466" s="48"/>
      <c r="BR466" s="48"/>
      <c r="BS466" s="48"/>
      <c r="BT466" s="48"/>
      <c r="BU466" s="48"/>
      <c r="BV466" s="48"/>
      <c r="BW466" s="48"/>
      <c r="BX466" s="48"/>
      <c r="BY466" s="48"/>
      <c r="BZ466" s="48"/>
      <c r="CA466" s="48"/>
      <c r="CB466" s="48"/>
      <c r="CC466" s="48"/>
      <c r="CD466" s="48"/>
      <c r="CE466" s="48"/>
      <c r="CF466" s="48"/>
      <c r="CG466" s="48"/>
      <c r="CH466" s="48"/>
      <c r="CI466" s="48"/>
      <c r="CJ466" s="48"/>
      <c r="CK466" s="48"/>
      <c r="CL466" s="48"/>
      <c r="CM466" s="48"/>
      <c r="CN466" s="48"/>
      <c r="CO466" s="48"/>
      <c r="CP466" s="48"/>
      <c r="CQ466" s="48"/>
      <c r="CR466" s="48"/>
      <c r="CS466" s="48"/>
      <c r="CT466" s="48"/>
      <c r="CU466" s="48"/>
      <c r="CV466" s="48"/>
      <c r="CW466" s="48"/>
      <c r="CX466" s="48"/>
      <c r="CY466" s="48"/>
      <c r="CZ466" s="48"/>
    </row>
    <row r="467" spans="27:104" s="4" customFormat="1" x14ac:dyDescent="0.3">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14"/>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8"/>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48"/>
      <c r="CZ467" s="48"/>
    </row>
    <row r="468" spans="27:104" s="4" customFormat="1" x14ac:dyDescent="0.3">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14"/>
      <c r="BC468" s="48"/>
      <c r="BD468" s="48"/>
      <c r="BE468" s="48"/>
      <c r="BF468" s="48"/>
      <c r="BG468" s="48"/>
      <c r="BH468" s="48"/>
      <c r="BI468" s="48"/>
      <c r="BJ468" s="48"/>
      <c r="BK468" s="48"/>
      <c r="BL468" s="48"/>
      <c r="BM468" s="48"/>
      <c r="BN468" s="48"/>
      <c r="BO468" s="48"/>
      <c r="BP468" s="48"/>
      <c r="BQ468" s="48"/>
      <c r="BR468" s="48"/>
      <c r="BS468" s="48"/>
      <c r="BT468" s="48"/>
      <c r="BU468" s="48"/>
      <c r="BV468" s="48"/>
      <c r="BW468" s="48"/>
      <c r="BX468" s="48"/>
      <c r="BY468" s="48"/>
      <c r="BZ468" s="48"/>
      <c r="CA468" s="48"/>
      <c r="CB468" s="48"/>
      <c r="CC468" s="48"/>
      <c r="CD468" s="48"/>
      <c r="CE468" s="48"/>
      <c r="CF468" s="48"/>
      <c r="CG468" s="48"/>
      <c r="CH468" s="48"/>
      <c r="CI468" s="48"/>
      <c r="CJ468" s="48"/>
      <c r="CK468" s="48"/>
      <c r="CL468" s="48"/>
      <c r="CM468" s="48"/>
      <c r="CN468" s="48"/>
      <c r="CO468" s="48"/>
      <c r="CP468" s="48"/>
      <c r="CQ468" s="48"/>
      <c r="CR468" s="48"/>
      <c r="CS468" s="48"/>
      <c r="CT468" s="48"/>
      <c r="CU468" s="48"/>
      <c r="CV468" s="48"/>
      <c r="CW468" s="48"/>
      <c r="CX468" s="48"/>
      <c r="CY468" s="48"/>
      <c r="CZ468" s="48"/>
    </row>
    <row r="469" spans="27:104" s="4" customFormat="1" x14ac:dyDescent="0.3">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14"/>
      <c r="BC469" s="48"/>
      <c r="BD469" s="48"/>
      <c r="BE469" s="48"/>
      <c r="BF469" s="48"/>
      <c r="BG469" s="48"/>
      <c r="BH469" s="48"/>
      <c r="BI469" s="48"/>
      <c r="BJ469" s="48"/>
      <c r="BK469" s="48"/>
      <c r="BL469" s="48"/>
      <c r="BM469" s="48"/>
      <c r="BN469" s="48"/>
      <c r="BO469" s="48"/>
      <c r="BP469" s="48"/>
      <c r="BQ469" s="48"/>
      <c r="BR469" s="48"/>
      <c r="BS469" s="48"/>
      <c r="BT469" s="48"/>
      <c r="BU469" s="48"/>
      <c r="BV469" s="48"/>
      <c r="BW469" s="48"/>
      <c r="BX469" s="48"/>
      <c r="BY469" s="48"/>
      <c r="BZ469" s="48"/>
      <c r="CA469" s="48"/>
      <c r="CB469" s="48"/>
      <c r="CC469" s="48"/>
      <c r="CD469" s="48"/>
      <c r="CE469" s="48"/>
      <c r="CF469" s="48"/>
      <c r="CG469" s="48"/>
      <c r="CH469" s="48"/>
      <c r="CI469" s="48"/>
      <c r="CJ469" s="48"/>
      <c r="CK469" s="48"/>
      <c r="CL469" s="48"/>
      <c r="CM469" s="48"/>
      <c r="CN469" s="48"/>
      <c r="CO469" s="48"/>
      <c r="CP469" s="48"/>
      <c r="CQ469" s="48"/>
      <c r="CR469" s="48"/>
      <c r="CS469" s="48"/>
      <c r="CT469" s="48"/>
      <c r="CU469" s="48"/>
      <c r="CV469" s="48"/>
      <c r="CW469" s="48"/>
      <c r="CX469" s="48"/>
      <c r="CY469" s="48"/>
      <c r="CZ469" s="48"/>
    </row>
    <row r="470" spans="27:104" s="4" customFormat="1" x14ac:dyDescent="0.3">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14"/>
      <c r="BC470" s="48"/>
      <c r="BD470" s="48"/>
      <c r="BE470" s="48"/>
      <c r="BF470" s="48"/>
      <c r="BG470" s="48"/>
      <c r="BH470" s="48"/>
      <c r="BI470" s="48"/>
      <c r="BJ470" s="48"/>
      <c r="BK470" s="48"/>
      <c r="BL470" s="48"/>
      <c r="BM470" s="48"/>
      <c r="BN470" s="48"/>
      <c r="BO470" s="48"/>
      <c r="BP470" s="48"/>
      <c r="BQ470" s="48"/>
      <c r="BR470" s="48"/>
      <c r="BS470" s="48"/>
      <c r="BT470" s="48"/>
      <c r="BU470" s="48"/>
      <c r="BV470" s="48"/>
      <c r="BW470" s="48"/>
      <c r="BX470" s="48"/>
      <c r="BY470" s="48"/>
      <c r="BZ470" s="48"/>
      <c r="CA470" s="48"/>
      <c r="CB470" s="48"/>
      <c r="CC470" s="48"/>
      <c r="CD470" s="48"/>
      <c r="CE470" s="48"/>
      <c r="CF470" s="48"/>
      <c r="CG470" s="48"/>
      <c r="CH470" s="48"/>
      <c r="CI470" s="48"/>
      <c r="CJ470" s="48"/>
      <c r="CK470" s="48"/>
      <c r="CL470" s="48"/>
      <c r="CM470" s="48"/>
      <c r="CN470" s="48"/>
      <c r="CO470" s="48"/>
      <c r="CP470" s="48"/>
      <c r="CQ470" s="48"/>
      <c r="CR470" s="48"/>
      <c r="CS470" s="48"/>
      <c r="CT470" s="48"/>
      <c r="CU470" s="48"/>
      <c r="CV470" s="48"/>
      <c r="CW470" s="48"/>
      <c r="CX470" s="48"/>
      <c r="CY470" s="48"/>
      <c r="CZ470" s="48"/>
    </row>
    <row r="471" spans="27:104" s="4" customFormat="1" x14ac:dyDescent="0.3">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14"/>
      <c r="BC471" s="48"/>
      <c r="BD471" s="48"/>
      <c r="BE471" s="48"/>
      <c r="BF471" s="48"/>
      <c r="BG471" s="48"/>
      <c r="BH471" s="48"/>
      <c r="BI471" s="48"/>
      <c r="BJ471" s="48"/>
      <c r="BK471" s="48"/>
      <c r="BL471" s="48"/>
      <c r="BM471" s="48"/>
      <c r="BN471" s="48"/>
      <c r="BO471" s="48"/>
      <c r="BP471" s="48"/>
      <c r="BQ471" s="48"/>
      <c r="BR471" s="48"/>
      <c r="BS471" s="48"/>
      <c r="BT471" s="48"/>
      <c r="BU471" s="48"/>
      <c r="BV471" s="48"/>
      <c r="BW471" s="48"/>
      <c r="BX471" s="48"/>
      <c r="BY471" s="48"/>
      <c r="BZ471" s="48"/>
      <c r="CA471" s="48"/>
      <c r="CB471" s="48"/>
      <c r="CC471" s="48"/>
      <c r="CD471" s="48"/>
      <c r="CE471" s="48"/>
      <c r="CF471" s="48"/>
      <c r="CG471" s="48"/>
      <c r="CH471" s="48"/>
      <c r="CI471" s="48"/>
      <c r="CJ471" s="48"/>
      <c r="CK471" s="48"/>
      <c r="CL471" s="48"/>
      <c r="CM471" s="48"/>
      <c r="CN471" s="48"/>
      <c r="CO471" s="48"/>
      <c r="CP471" s="48"/>
      <c r="CQ471" s="48"/>
      <c r="CR471" s="48"/>
      <c r="CS471" s="48"/>
      <c r="CT471" s="48"/>
      <c r="CU471" s="48"/>
      <c r="CV471" s="48"/>
      <c r="CW471" s="48"/>
      <c r="CX471" s="48"/>
      <c r="CY471" s="48"/>
      <c r="CZ471" s="48"/>
    </row>
    <row r="472" spans="27:104" s="4" customFormat="1" x14ac:dyDescent="0.3">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14"/>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c r="CQ472" s="48"/>
      <c r="CR472" s="48"/>
      <c r="CS472" s="48"/>
      <c r="CT472" s="48"/>
      <c r="CU472" s="48"/>
      <c r="CV472" s="48"/>
      <c r="CW472" s="48"/>
      <c r="CX472" s="48"/>
      <c r="CY472" s="48"/>
      <c r="CZ472" s="48"/>
    </row>
    <row r="473" spans="27:104" s="4" customFormat="1" x14ac:dyDescent="0.3">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14"/>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row>
    <row r="474" spans="27:104" s="4" customFormat="1" x14ac:dyDescent="0.3">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14"/>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c r="CQ474" s="48"/>
      <c r="CR474" s="48"/>
      <c r="CS474" s="48"/>
      <c r="CT474" s="48"/>
      <c r="CU474" s="48"/>
      <c r="CV474" s="48"/>
      <c r="CW474" s="48"/>
      <c r="CX474" s="48"/>
      <c r="CY474" s="48"/>
      <c r="CZ474" s="48"/>
    </row>
    <row r="475" spans="27:104" s="4" customFormat="1" x14ac:dyDescent="0.3">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14"/>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c r="CQ475" s="48"/>
      <c r="CR475" s="48"/>
      <c r="CS475" s="48"/>
      <c r="CT475" s="48"/>
      <c r="CU475" s="48"/>
      <c r="CV475" s="48"/>
      <c r="CW475" s="48"/>
      <c r="CX475" s="48"/>
      <c r="CY475" s="48"/>
      <c r="CZ475" s="48"/>
    </row>
    <row r="476" spans="27:104" s="4" customFormat="1" x14ac:dyDescent="0.3">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14"/>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c r="CQ476" s="48"/>
      <c r="CR476" s="48"/>
      <c r="CS476" s="48"/>
      <c r="CT476" s="48"/>
      <c r="CU476" s="48"/>
      <c r="CV476" s="48"/>
      <c r="CW476" s="48"/>
      <c r="CX476" s="48"/>
      <c r="CY476" s="48"/>
      <c r="CZ476" s="48"/>
    </row>
    <row r="477" spans="27:104" s="4" customFormat="1" x14ac:dyDescent="0.3">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14"/>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c r="CQ477" s="48"/>
      <c r="CR477" s="48"/>
      <c r="CS477" s="48"/>
      <c r="CT477" s="48"/>
      <c r="CU477" s="48"/>
      <c r="CV477" s="48"/>
      <c r="CW477" s="48"/>
      <c r="CX477" s="48"/>
      <c r="CY477" s="48"/>
      <c r="CZ477" s="48"/>
    </row>
    <row r="478" spans="27:104" s="4" customFormat="1" x14ac:dyDescent="0.3">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14"/>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c r="CQ478" s="48"/>
      <c r="CR478" s="48"/>
      <c r="CS478" s="48"/>
      <c r="CT478" s="48"/>
      <c r="CU478" s="48"/>
      <c r="CV478" s="48"/>
      <c r="CW478" s="48"/>
      <c r="CX478" s="48"/>
      <c r="CY478" s="48"/>
      <c r="CZ478" s="48"/>
    </row>
    <row r="479" spans="27:104" s="4" customFormat="1" x14ac:dyDescent="0.3">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14"/>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c r="CQ479" s="48"/>
      <c r="CR479" s="48"/>
      <c r="CS479" s="48"/>
      <c r="CT479" s="48"/>
      <c r="CU479" s="48"/>
      <c r="CV479" s="48"/>
      <c r="CW479" s="48"/>
      <c r="CX479" s="48"/>
      <c r="CY479" s="48"/>
      <c r="CZ479" s="48"/>
    </row>
    <row r="480" spans="27:104" s="4" customFormat="1" x14ac:dyDescent="0.3">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14"/>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c r="CQ480" s="48"/>
      <c r="CR480" s="48"/>
      <c r="CS480" s="48"/>
      <c r="CT480" s="48"/>
      <c r="CU480" s="48"/>
      <c r="CV480" s="48"/>
      <c r="CW480" s="48"/>
      <c r="CX480" s="48"/>
      <c r="CY480" s="48"/>
      <c r="CZ480" s="48"/>
    </row>
    <row r="481" spans="27:104" s="4" customFormat="1" x14ac:dyDescent="0.3">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14"/>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c r="CQ481" s="48"/>
      <c r="CR481" s="48"/>
      <c r="CS481" s="48"/>
      <c r="CT481" s="48"/>
      <c r="CU481" s="48"/>
      <c r="CV481" s="48"/>
      <c r="CW481" s="48"/>
      <c r="CX481" s="48"/>
      <c r="CY481" s="48"/>
      <c r="CZ481" s="48"/>
    </row>
    <row r="482" spans="27:104" s="4" customFormat="1" x14ac:dyDescent="0.3">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14"/>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row>
    <row r="483" spans="27:104" s="4" customFormat="1" x14ac:dyDescent="0.3">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14"/>
      <c r="BC483" s="48"/>
      <c r="BD483" s="48"/>
      <c r="BE483" s="48"/>
      <c r="BF483" s="48"/>
      <c r="BG483" s="48"/>
      <c r="BH483" s="48"/>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c r="CQ483" s="48"/>
      <c r="CR483" s="48"/>
      <c r="CS483" s="48"/>
      <c r="CT483" s="48"/>
      <c r="CU483" s="48"/>
      <c r="CV483" s="48"/>
      <c r="CW483" s="48"/>
      <c r="CX483" s="48"/>
      <c r="CY483" s="48"/>
      <c r="CZ483" s="48"/>
    </row>
    <row r="484" spans="27:104" s="4" customFormat="1" x14ac:dyDescent="0.3">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14"/>
      <c r="BC484" s="48"/>
      <c r="BD484" s="48"/>
      <c r="BE484" s="48"/>
      <c r="BF484" s="48"/>
      <c r="BG484" s="48"/>
      <c r="BH484" s="48"/>
      <c r="BI484" s="48"/>
      <c r="BJ484" s="48"/>
      <c r="BK484" s="48"/>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c r="CQ484" s="48"/>
      <c r="CR484" s="48"/>
      <c r="CS484" s="48"/>
      <c r="CT484" s="48"/>
      <c r="CU484" s="48"/>
      <c r="CV484" s="48"/>
      <c r="CW484" s="48"/>
      <c r="CX484" s="48"/>
      <c r="CY484" s="48"/>
      <c r="CZ484" s="48"/>
    </row>
    <row r="485" spans="27:104" s="4" customFormat="1" x14ac:dyDescent="0.3">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14"/>
      <c r="BC485" s="48"/>
      <c r="BD485" s="48"/>
      <c r="BE485" s="48"/>
      <c r="BF485" s="48"/>
      <c r="BG485" s="48"/>
      <c r="BH485" s="48"/>
      <c r="BI485" s="48"/>
      <c r="BJ485" s="48"/>
      <c r="BK485" s="48"/>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c r="CQ485" s="48"/>
      <c r="CR485" s="48"/>
      <c r="CS485" s="48"/>
      <c r="CT485" s="48"/>
      <c r="CU485" s="48"/>
      <c r="CV485" s="48"/>
      <c r="CW485" s="48"/>
      <c r="CX485" s="48"/>
      <c r="CY485" s="48"/>
      <c r="CZ485" s="48"/>
    </row>
    <row r="486" spans="27:104" s="4" customFormat="1" x14ac:dyDescent="0.3">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14"/>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row>
    <row r="487" spans="27:104" s="4" customFormat="1" x14ac:dyDescent="0.3">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14"/>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c r="CQ487" s="48"/>
      <c r="CR487" s="48"/>
      <c r="CS487" s="48"/>
      <c r="CT487" s="48"/>
      <c r="CU487" s="48"/>
      <c r="CV487" s="48"/>
      <c r="CW487" s="48"/>
      <c r="CX487" s="48"/>
      <c r="CY487" s="48"/>
      <c r="CZ487" s="48"/>
    </row>
    <row r="488" spans="27:104" s="4" customFormat="1" x14ac:dyDescent="0.3">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14"/>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c r="CQ488" s="48"/>
      <c r="CR488" s="48"/>
      <c r="CS488" s="48"/>
      <c r="CT488" s="48"/>
      <c r="CU488" s="48"/>
      <c r="CV488" s="48"/>
      <c r="CW488" s="48"/>
      <c r="CX488" s="48"/>
      <c r="CY488" s="48"/>
      <c r="CZ488" s="48"/>
    </row>
    <row r="489" spans="27:104" s="4" customFormat="1" x14ac:dyDescent="0.3">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14"/>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c r="CQ489" s="48"/>
      <c r="CR489" s="48"/>
      <c r="CS489" s="48"/>
      <c r="CT489" s="48"/>
      <c r="CU489" s="48"/>
      <c r="CV489" s="48"/>
      <c r="CW489" s="48"/>
      <c r="CX489" s="48"/>
      <c r="CY489" s="48"/>
      <c r="CZ489" s="48"/>
    </row>
    <row r="490" spans="27:104" s="4" customFormat="1" x14ac:dyDescent="0.3">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14"/>
      <c r="BC490" s="48"/>
      <c r="BD490" s="48"/>
      <c r="BE490" s="48"/>
      <c r="BF490" s="48"/>
      <c r="BG490" s="48"/>
      <c r="BH490" s="48"/>
      <c r="BI490" s="48"/>
      <c r="BJ490" s="48"/>
      <c r="BK490" s="48"/>
      <c r="BL490" s="48"/>
      <c r="BM490" s="48"/>
      <c r="BN490" s="48"/>
      <c r="BO490" s="48"/>
      <c r="BP490" s="48"/>
      <c r="BQ490" s="48"/>
      <c r="BR490" s="48"/>
      <c r="BS490" s="48"/>
      <c r="BT490" s="48"/>
      <c r="BU490" s="48"/>
      <c r="BV490" s="48"/>
      <c r="BW490" s="48"/>
      <c r="BX490" s="48"/>
      <c r="BY490" s="48"/>
      <c r="BZ490" s="48"/>
      <c r="CA490" s="48"/>
      <c r="CB490" s="48"/>
      <c r="CC490" s="48"/>
      <c r="CD490" s="48"/>
      <c r="CE490" s="48"/>
      <c r="CF490" s="48"/>
      <c r="CG490" s="48"/>
      <c r="CH490" s="48"/>
      <c r="CI490" s="48"/>
      <c r="CJ490" s="48"/>
      <c r="CK490" s="48"/>
      <c r="CL490" s="48"/>
      <c r="CM490" s="48"/>
      <c r="CN490" s="48"/>
      <c r="CO490" s="48"/>
      <c r="CP490" s="48"/>
      <c r="CQ490" s="48"/>
      <c r="CR490" s="48"/>
      <c r="CS490" s="48"/>
      <c r="CT490" s="48"/>
      <c r="CU490" s="48"/>
      <c r="CV490" s="48"/>
      <c r="CW490" s="48"/>
      <c r="CX490" s="48"/>
      <c r="CY490" s="48"/>
      <c r="CZ490" s="48"/>
    </row>
    <row r="491" spans="27:104" s="4" customFormat="1" x14ac:dyDescent="0.3">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14"/>
      <c r="BC491" s="48"/>
      <c r="BD491" s="48"/>
      <c r="BE491" s="48"/>
      <c r="BF491" s="48"/>
      <c r="BG491" s="48"/>
      <c r="BH491" s="48"/>
      <c r="BI491" s="48"/>
      <c r="BJ491" s="48"/>
      <c r="BK491" s="48"/>
      <c r="BL491" s="48"/>
      <c r="BM491" s="48"/>
      <c r="BN491" s="48"/>
      <c r="BO491" s="48"/>
      <c r="BP491" s="48"/>
      <c r="BQ491" s="48"/>
      <c r="BR491" s="48"/>
      <c r="BS491" s="48"/>
      <c r="BT491" s="48"/>
      <c r="BU491" s="48"/>
      <c r="BV491" s="48"/>
      <c r="BW491" s="48"/>
      <c r="BX491" s="48"/>
      <c r="BY491" s="48"/>
      <c r="BZ491" s="48"/>
      <c r="CA491" s="48"/>
      <c r="CB491" s="48"/>
      <c r="CC491" s="48"/>
      <c r="CD491" s="48"/>
      <c r="CE491" s="48"/>
      <c r="CF491" s="48"/>
      <c r="CG491" s="48"/>
      <c r="CH491" s="48"/>
      <c r="CI491" s="48"/>
      <c r="CJ491" s="48"/>
      <c r="CK491" s="48"/>
      <c r="CL491" s="48"/>
      <c r="CM491" s="48"/>
      <c r="CN491" s="48"/>
      <c r="CO491" s="48"/>
      <c r="CP491" s="48"/>
      <c r="CQ491" s="48"/>
      <c r="CR491" s="48"/>
      <c r="CS491" s="48"/>
      <c r="CT491" s="48"/>
      <c r="CU491" s="48"/>
      <c r="CV491" s="48"/>
      <c r="CW491" s="48"/>
      <c r="CX491" s="48"/>
      <c r="CY491" s="48"/>
      <c r="CZ491" s="48"/>
    </row>
    <row r="492" spans="27:104" s="4" customFormat="1" x14ac:dyDescent="0.3">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14"/>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row>
    <row r="493" spans="27:104" s="4" customFormat="1" x14ac:dyDescent="0.3">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14"/>
      <c r="BC493" s="48"/>
      <c r="BD493" s="48"/>
      <c r="BE493" s="48"/>
      <c r="BF493" s="48"/>
      <c r="BG493" s="48"/>
      <c r="BH493" s="48"/>
      <c r="BI493" s="48"/>
      <c r="BJ493" s="48"/>
      <c r="BK493" s="48"/>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48"/>
      <c r="CR493" s="48"/>
      <c r="CS493" s="48"/>
      <c r="CT493" s="48"/>
      <c r="CU493" s="48"/>
      <c r="CV493" s="48"/>
      <c r="CW493" s="48"/>
      <c r="CX493" s="48"/>
      <c r="CY493" s="48"/>
      <c r="CZ493" s="48"/>
    </row>
    <row r="494" spans="27:104" s="4" customFormat="1" x14ac:dyDescent="0.3">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14"/>
      <c r="BC494" s="48"/>
      <c r="BD494" s="48"/>
      <c r="BE494" s="48"/>
      <c r="BF494" s="48"/>
      <c r="BG494" s="48"/>
      <c r="BH494" s="48"/>
      <c r="BI494" s="48"/>
      <c r="BJ494" s="48"/>
      <c r="BK494" s="48"/>
      <c r="BL494" s="48"/>
      <c r="BM494" s="48"/>
      <c r="BN494" s="48"/>
      <c r="BO494" s="48"/>
      <c r="BP494" s="48"/>
      <c r="BQ494" s="48"/>
      <c r="BR494" s="48"/>
      <c r="BS494" s="48"/>
      <c r="BT494" s="48"/>
      <c r="BU494" s="48"/>
      <c r="BV494" s="48"/>
      <c r="BW494" s="48"/>
      <c r="BX494" s="48"/>
      <c r="BY494" s="48"/>
      <c r="BZ494" s="48"/>
      <c r="CA494" s="48"/>
      <c r="CB494" s="48"/>
      <c r="CC494" s="48"/>
      <c r="CD494" s="48"/>
      <c r="CE494" s="48"/>
      <c r="CF494" s="48"/>
      <c r="CG494" s="48"/>
      <c r="CH494" s="48"/>
      <c r="CI494" s="48"/>
      <c r="CJ494" s="48"/>
      <c r="CK494" s="48"/>
      <c r="CL494" s="48"/>
      <c r="CM494" s="48"/>
      <c r="CN494" s="48"/>
      <c r="CO494" s="48"/>
      <c r="CP494" s="48"/>
      <c r="CQ494" s="48"/>
      <c r="CR494" s="48"/>
      <c r="CS494" s="48"/>
      <c r="CT494" s="48"/>
      <c r="CU494" s="48"/>
      <c r="CV494" s="48"/>
      <c r="CW494" s="48"/>
      <c r="CX494" s="48"/>
      <c r="CY494" s="48"/>
      <c r="CZ494" s="48"/>
    </row>
    <row r="495" spans="27:104" s="4" customFormat="1" x14ac:dyDescent="0.3">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14"/>
      <c r="BC495" s="48"/>
      <c r="BD495" s="48"/>
      <c r="BE495" s="48"/>
      <c r="BF495" s="48"/>
      <c r="BG495" s="48"/>
      <c r="BH495" s="48"/>
      <c r="BI495" s="48"/>
      <c r="BJ495" s="48"/>
      <c r="BK495" s="48"/>
      <c r="BL495" s="48"/>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row>
    <row r="496" spans="27:104" s="4" customFormat="1" x14ac:dyDescent="0.3">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14"/>
      <c r="BC496" s="48"/>
      <c r="BD496" s="48"/>
      <c r="BE496" s="48"/>
      <c r="BF496" s="48"/>
      <c r="BG496" s="48"/>
      <c r="BH496" s="48"/>
      <c r="BI496" s="48"/>
      <c r="BJ496" s="48"/>
      <c r="BK496" s="48"/>
      <c r="BL496" s="48"/>
      <c r="BM496" s="48"/>
      <c r="BN496" s="48"/>
      <c r="BO496" s="48"/>
      <c r="BP496" s="48"/>
      <c r="BQ496" s="48"/>
      <c r="BR496" s="48"/>
      <c r="BS496" s="48"/>
      <c r="BT496" s="48"/>
      <c r="BU496" s="48"/>
      <c r="BV496" s="48"/>
      <c r="BW496" s="48"/>
      <c r="BX496" s="48"/>
      <c r="BY496" s="48"/>
      <c r="BZ496" s="48"/>
      <c r="CA496" s="48"/>
      <c r="CB496" s="48"/>
      <c r="CC496" s="48"/>
      <c r="CD496" s="48"/>
      <c r="CE496" s="48"/>
      <c r="CF496" s="48"/>
      <c r="CG496" s="48"/>
      <c r="CH496" s="48"/>
      <c r="CI496" s="48"/>
      <c r="CJ496" s="48"/>
      <c r="CK496" s="48"/>
      <c r="CL496" s="48"/>
      <c r="CM496" s="48"/>
      <c r="CN496" s="48"/>
      <c r="CO496" s="48"/>
      <c r="CP496" s="48"/>
      <c r="CQ496" s="48"/>
      <c r="CR496" s="48"/>
      <c r="CS496" s="48"/>
      <c r="CT496" s="48"/>
      <c r="CU496" s="48"/>
      <c r="CV496" s="48"/>
      <c r="CW496" s="48"/>
      <c r="CX496" s="48"/>
      <c r="CY496" s="48"/>
      <c r="CZ496" s="48"/>
    </row>
    <row r="497" spans="27:104" s="4" customFormat="1" x14ac:dyDescent="0.3">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14"/>
      <c r="BC497" s="48"/>
      <c r="BD497" s="48"/>
      <c r="BE497" s="48"/>
      <c r="BF497" s="48"/>
      <c r="BG497" s="48"/>
      <c r="BH497" s="48"/>
      <c r="BI497" s="48"/>
      <c r="BJ497" s="48"/>
      <c r="BK497" s="48"/>
      <c r="BL497" s="48"/>
      <c r="BM497" s="48"/>
      <c r="BN497" s="48"/>
      <c r="BO497" s="48"/>
      <c r="BP497" s="48"/>
      <c r="BQ497" s="48"/>
      <c r="BR497" s="48"/>
      <c r="BS497" s="48"/>
      <c r="BT497" s="48"/>
      <c r="BU497" s="48"/>
      <c r="BV497" s="48"/>
      <c r="BW497" s="48"/>
      <c r="BX497" s="48"/>
      <c r="BY497" s="48"/>
      <c r="BZ497" s="48"/>
      <c r="CA497" s="48"/>
      <c r="CB497" s="48"/>
      <c r="CC497" s="48"/>
      <c r="CD497" s="48"/>
      <c r="CE497" s="48"/>
      <c r="CF497" s="48"/>
      <c r="CG497" s="48"/>
      <c r="CH497" s="48"/>
      <c r="CI497" s="48"/>
      <c r="CJ497" s="48"/>
      <c r="CK497" s="48"/>
      <c r="CL497" s="48"/>
      <c r="CM497" s="48"/>
      <c r="CN497" s="48"/>
      <c r="CO497" s="48"/>
      <c r="CP497" s="48"/>
      <c r="CQ497" s="48"/>
      <c r="CR497" s="48"/>
      <c r="CS497" s="48"/>
      <c r="CT497" s="48"/>
      <c r="CU497" s="48"/>
      <c r="CV497" s="48"/>
      <c r="CW497" s="48"/>
      <c r="CX497" s="48"/>
      <c r="CY497" s="48"/>
      <c r="CZ497" s="48"/>
    </row>
    <row r="498" spans="27:104" s="4" customFormat="1" x14ac:dyDescent="0.3">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14"/>
      <c r="BC498" s="48"/>
      <c r="BD498" s="48"/>
      <c r="BE498" s="48"/>
      <c r="BF498" s="48"/>
      <c r="BG498" s="48"/>
      <c r="BH498" s="48"/>
      <c r="BI498" s="48"/>
      <c r="BJ498" s="48"/>
      <c r="BK498" s="48"/>
      <c r="BL498" s="48"/>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row>
    <row r="499" spans="27:104" s="4" customFormat="1" x14ac:dyDescent="0.3">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14"/>
      <c r="BC499" s="48"/>
      <c r="BD499" s="48"/>
      <c r="BE499" s="48"/>
      <c r="BF499" s="48"/>
      <c r="BG499" s="48"/>
      <c r="BH499" s="48"/>
      <c r="BI499" s="48"/>
      <c r="BJ499" s="48"/>
      <c r="BK499" s="48"/>
      <c r="BL499" s="48"/>
      <c r="BM499" s="48"/>
      <c r="BN499" s="48"/>
      <c r="BO499" s="48"/>
      <c r="BP499" s="48"/>
      <c r="BQ499" s="48"/>
      <c r="BR499" s="48"/>
      <c r="BS499" s="48"/>
      <c r="BT499" s="48"/>
      <c r="BU499" s="48"/>
      <c r="BV499" s="48"/>
      <c r="BW499" s="48"/>
      <c r="BX499" s="48"/>
      <c r="BY499" s="48"/>
      <c r="BZ499" s="48"/>
      <c r="CA499" s="48"/>
      <c r="CB499" s="48"/>
      <c r="CC499" s="48"/>
      <c r="CD499" s="48"/>
      <c r="CE499" s="48"/>
      <c r="CF499" s="48"/>
      <c r="CG499" s="48"/>
      <c r="CH499" s="48"/>
      <c r="CI499" s="48"/>
      <c r="CJ499" s="48"/>
      <c r="CK499" s="48"/>
      <c r="CL499" s="48"/>
      <c r="CM499" s="48"/>
      <c r="CN499" s="48"/>
      <c r="CO499" s="48"/>
      <c r="CP499" s="48"/>
      <c r="CQ499" s="48"/>
      <c r="CR499" s="48"/>
      <c r="CS499" s="48"/>
      <c r="CT499" s="48"/>
      <c r="CU499" s="48"/>
      <c r="CV499" s="48"/>
      <c r="CW499" s="48"/>
      <c r="CX499" s="48"/>
      <c r="CY499" s="48"/>
      <c r="CZ499" s="48"/>
    </row>
    <row r="500" spans="27:104" s="4" customFormat="1" x14ac:dyDescent="0.3">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14"/>
      <c r="BC500" s="48"/>
      <c r="BD500" s="48"/>
      <c r="BE500" s="48"/>
      <c r="BF500" s="48"/>
      <c r="BG500" s="48"/>
      <c r="BH500" s="48"/>
      <c r="BI500" s="48"/>
      <c r="BJ500" s="48"/>
      <c r="BK500" s="48"/>
      <c r="BL500" s="48"/>
      <c r="BM500" s="48"/>
      <c r="BN500" s="48"/>
      <c r="BO500" s="48"/>
      <c r="BP500" s="48"/>
      <c r="BQ500" s="48"/>
      <c r="BR500" s="48"/>
      <c r="BS500" s="48"/>
      <c r="BT500" s="48"/>
      <c r="BU500" s="48"/>
      <c r="BV500" s="48"/>
      <c r="BW500" s="48"/>
      <c r="BX500" s="48"/>
      <c r="BY500" s="48"/>
      <c r="BZ500" s="48"/>
      <c r="CA500" s="48"/>
      <c r="CB500" s="48"/>
      <c r="CC500" s="48"/>
      <c r="CD500" s="48"/>
      <c r="CE500" s="48"/>
      <c r="CF500" s="48"/>
      <c r="CG500" s="48"/>
      <c r="CH500" s="48"/>
      <c r="CI500" s="48"/>
      <c r="CJ500" s="48"/>
      <c r="CK500" s="48"/>
      <c r="CL500" s="48"/>
      <c r="CM500" s="48"/>
      <c r="CN500" s="48"/>
      <c r="CO500" s="48"/>
      <c r="CP500" s="48"/>
      <c r="CQ500" s="48"/>
      <c r="CR500" s="48"/>
      <c r="CS500" s="48"/>
      <c r="CT500" s="48"/>
      <c r="CU500" s="48"/>
      <c r="CV500" s="48"/>
      <c r="CW500" s="48"/>
      <c r="CX500" s="48"/>
      <c r="CY500" s="48"/>
      <c r="CZ500" s="48"/>
    </row>
    <row r="501" spans="27:104" s="4" customFormat="1" x14ac:dyDescent="0.3">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14"/>
      <c r="BC501" s="48"/>
      <c r="BD501" s="48"/>
      <c r="BE501" s="48"/>
      <c r="BF501" s="48"/>
      <c r="BG501" s="48"/>
      <c r="BH501" s="48"/>
      <c r="BI501" s="48"/>
      <c r="BJ501" s="48"/>
      <c r="BK501" s="48"/>
      <c r="BL501" s="48"/>
      <c r="BM501" s="48"/>
      <c r="BN501" s="48"/>
      <c r="BO501" s="48"/>
      <c r="BP501" s="48"/>
      <c r="BQ501" s="48"/>
      <c r="BR501" s="48"/>
      <c r="BS501" s="48"/>
      <c r="BT501" s="48"/>
      <c r="BU501" s="48"/>
      <c r="BV501" s="48"/>
      <c r="BW501" s="48"/>
      <c r="BX501" s="48"/>
      <c r="BY501" s="48"/>
      <c r="BZ501" s="48"/>
      <c r="CA501" s="48"/>
      <c r="CB501" s="48"/>
      <c r="CC501" s="48"/>
      <c r="CD501" s="48"/>
      <c r="CE501" s="48"/>
      <c r="CF501" s="48"/>
      <c r="CG501" s="48"/>
      <c r="CH501" s="48"/>
      <c r="CI501" s="48"/>
      <c r="CJ501" s="48"/>
      <c r="CK501" s="48"/>
      <c r="CL501" s="48"/>
      <c r="CM501" s="48"/>
      <c r="CN501" s="48"/>
      <c r="CO501" s="48"/>
      <c r="CP501" s="48"/>
      <c r="CQ501" s="48"/>
      <c r="CR501" s="48"/>
      <c r="CS501" s="48"/>
      <c r="CT501" s="48"/>
      <c r="CU501" s="48"/>
      <c r="CV501" s="48"/>
      <c r="CW501" s="48"/>
      <c r="CX501" s="48"/>
      <c r="CY501" s="48"/>
      <c r="CZ501" s="48"/>
    </row>
    <row r="502" spans="27:104" s="4" customFormat="1" x14ac:dyDescent="0.3">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14"/>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8"/>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c r="CZ502" s="48"/>
    </row>
    <row r="503" spans="27:104" s="4" customFormat="1" x14ac:dyDescent="0.3">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14"/>
      <c r="BC503" s="48"/>
      <c r="BD503" s="48"/>
      <c r="BE503" s="48"/>
      <c r="BF503" s="48"/>
      <c r="BG503" s="48"/>
      <c r="BH503" s="48"/>
      <c r="BI503" s="48"/>
      <c r="BJ503" s="48"/>
      <c r="BK503" s="48"/>
      <c r="BL503" s="48"/>
      <c r="BM503" s="48"/>
      <c r="BN503" s="48"/>
      <c r="BO503" s="48"/>
      <c r="BP503" s="48"/>
      <c r="BQ503" s="48"/>
      <c r="BR503" s="48"/>
      <c r="BS503" s="48"/>
      <c r="BT503" s="48"/>
      <c r="BU503" s="48"/>
      <c r="BV503" s="48"/>
      <c r="BW503" s="48"/>
      <c r="BX503" s="48"/>
      <c r="BY503" s="48"/>
      <c r="BZ503" s="48"/>
      <c r="CA503" s="48"/>
      <c r="CB503" s="48"/>
      <c r="CC503" s="48"/>
      <c r="CD503" s="48"/>
      <c r="CE503" s="48"/>
      <c r="CF503" s="48"/>
      <c r="CG503" s="48"/>
      <c r="CH503" s="48"/>
      <c r="CI503" s="48"/>
      <c r="CJ503" s="48"/>
      <c r="CK503" s="48"/>
      <c r="CL503" s="48"/>
      <c r="CM503" s="48"/>
      <c r="CN503" s="48"/>
      <c r="CO503" s="48"/>
      <c r="CP503" s="48"/>
      <c r="CQ503" s="48"/>
      <c r="CR503" s="48"/>
      <c r="CS503" s="48"/>
      <c r="CT503" s="48"/>
      <c r="CU503" s="48"/>
      <c r="CV503" s="48"/>
      <c r="CW503" s="48"/>
      <c r="CX503" s="48"/>
      <c r="CY503" s="48"/>
      <c r="CZ503" s="48"/>
    </row>
    <row r="504" spans="27:104" s="4" customFormat="1" x14ac:dyDescent="0.3">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14"/>
      <c r="BC504" s="48"/>
      <c r="BD504" s="48"/>
      <c r="BE504" s="48"/>
      <c r="BF504" s="48"/>
      <c r="BG504" s="48"/>
      <c r="BH504" s="48"/>
      <c r="BI504" s="48"/>
      <c r="BJ504" s="48"/>
      <c r="BK504" s="48"/>
      <c r="BL504" s="48"/>
      <c r="BM504" s="48"/>
      <c r="BN504" s="48"/>
      <c r="BO504" s="48"/>
      <c r="BP504" s="48"/>
      <c r="BQ504" s="48"/>
      <c r="BR504" s="48"/>
      <c r="BS504" s="48"/>
      <c r="BT504" s="48"/>
      <c r="BU504" s="48"/>
      <c r="BV504" s="48"/>
      <c r="BW504" s="48"/>
      <c r="BX504" s="48"/>
      <c r="BY504" s="48"/>
      <c r="BZ504" s="48"/>
      <c r="CA504" s="48"/>
      <c r="CB504" s="48"/>
      <c r="CC504" s="48"/>
      <c r="CD504" s="48"/>
      <c r="CE504" s="48"/>
      <c r="CF504" s="48"/>
      <c r="CG504" s="48"/>
      <c r="CH504" s="48"/>
      <c r="CI504" s="48"/>
      <c r="CJ504" s="48"/>
      <c r="CK504" s="48"/>
      <c r="CL504" s="48"/>
      <c r="CM504" s="48"/>
      <c r="CN504" s="48"/>
      <c r="CO504" s="48"/>
      <c r="CP504" s="48"/>
      <c r="CQ504" s="48"/>
      <c r="CR504" s="48"/>
      <c r="CS504" s="48"/>
      <c r="CT504" s="48"/>
      <c r="CU504" s="48"/>
      <c r="CV504" s="48"/>
      <c r="CW504" s="48"/>
      <c r="CX504" s="48"/>
      <c r="CY504" s="48"/>
      <c r="CZ504" s="48"/>
    </row>
    <row r="505" spans="27:104" s="4" customFormat="1" x14ac:dyDescent="0.3">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14"/>
      <c r="BC505" s="48"/>
      <c r="BD505" s="48"/>
      <c r="BE505" s="48"/>
      <c r="BF505" s="48"/>
      <c r="BG505" s="48"/>
      <c r="BH505" s="48"/>
      <c r="BI505" s="48"/>
      <c r="BJ505" s="48"/>
      <c r="BK505" s="48"/>
      <c r="BL505" s="48"/>
      <c r="BM505" s="48"/>
      <c r="BN505" s="48"/>
      <c r="BO505" s="48"/>
      <c r="BP505" s="48"/>
      <c r="BQ505" s="48"/>
      <c r="BR505" s="48"/>
      <c r="BS505" s="48"/>
      <c r="BT505" s="48"/>
      <c r="BU505" s="48"/>
      <c r="BV505" s="48"/>
      <c r="BW505" s="48"/>
      <c r="BX505" s="48"/>
      <c r="BY505" s="48"/>
      <c r="BZ505" s="48"/>
      <c r="CA505" s="48"/>
      <c r="CB505" s="48"/>
      <c r="CC505" s="48"/>
      <c r="CD505" s="48"/>
      <c r="CE505" s="48"/>
      <c r="CF505" s="48"/>
      <c r="CG505" s="48"/>
      <c r="CH505" s="48"/>
      <c r="CI505" s="48"/>
      <c r="CJ505" s="48"/>
      <c r="CK505" s="48"/>
      <c r="CL505" s="48"/>
      <c r="CM505" s="48"/>
      <c r="CN505" s="48"/>
      <c r="CO505" s="48"/>
      <c r="CP505" s="48"/>
      <c r="CQ505" s="48"/>
      <c r="CR505" s="48"/>
      <c r="CS505" s="48"/>
      <c r="CT505" s="48"/>
      <c r="CU505" s="48"/>
      <c r="CV505" s="48"/>
      <c r="CW505" s="48"/>
      <c r="CX505" s="48"/>
      <c r="CY505" s="48"/>
      <c r="CZ505" s="48"/>
    </row>
    <row r="506" spans="27:104" s="4" customFormat="1" x14ac:dyDescent="0.3">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14"/>
      <c r="BC506" s="48"/>
      <c r="BD506" s="48"/>
      <c r="BE506" s="48"/>
      <c r="BF506" s="48"/>
      <c r="BG506" s="48"/>
      <c r="BH506" s="48"/>
      <c r="BI506" s="48"/>
      <c r="BJ506" s="48"/>
      <c r="BK506" s="48"/>
      <c r="BL506" s="48"/>
      <c r="BM506" s="48"/>
      <c r="BN506" s="48"/>
      <c r="BO506" s="48"/>
      <c r="BP506" s="48"/>
      <c r="BQ506" s="48"/>
      <c r="BR506" s="48"/>
      <c r="BS506" s="48"/>
      <c r="BT506" s="48"/>
      <c r="BU506" s="48"/>
      <c r="BV506" s="48"/>
      <c r="BW506" s="48"/>
      <c r="BX506" s="48"/>
      <c r="BY506" s="48"/>
      <c r="BZ506" s="48"/>
      <c r="CA506" s="48"/>
      <c r="CB506" s="48"/>
      <c r="CC506" s="48"/>
      <c r="CD506" s="48"/>
      <c r="CE506" s="48"/>
      <c r="CF506" s="48"/>
      <c r="CG506" s="48"/>
      <c r="CH506" s="48"/>
      <c r="CI506" s="48"/>
      <c r="CJ506" s="48"/>
      <c r="CK506" s="48"/>
      <c r="CL506" s="48"/>
      <c r="CM506" s="48"/>
      <c r="CN506" s="48"/>
      <c r="CO506" s="48"/>
      <c r="CP506" s="48"/>
      <c r="CQ506" s="48"/>
      <c r="CR506" s="48"/>
      <c r="CS506" s="48"/>
      <c r="CT506" s="48"/>
      <c r="CU506" s="48"/>
      <c r="CV506" s="48"/>
      <c r="CW506" s="48"/>
      <c r="CX506" s="48"/>
      <c r="CY506" s="48"/>
      <c r="CZ506" s="48"/>
    </row>
    <row r="507" spans="27:104" s="4" customFormat="1" x14ac:dyDescent="0.3">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14"/>
      <c r="BC507" s="48"/>
      <c r="BD507" s="48"/>
      <c r="BE507" s="48"/>
      <c r="BF507" s="48"/>
      <c r="BG507" s="48"/>
      <c r="BH507" s="48"/>
      <c r="BI507" s="48"/>
      <c r="BJ507" s="48"/>
      <c r="BK507" s="48"/>
      <c r="BL507" s="48"/>
      <c r="BM507" s="48"/>
      <c r="BN507" s="48"/>
      <c r="BO507" s="48"/>
      <c r="BP507" s="48"/>
      <c r="BQ507" s="48"/>
      <c r="BR507" s="48"/>
      <c r="BS507" s="48"/>
      <c r="BT507" s="48"/>
      <c r="BU507" s="48"/>
      <c r="BV507" s="48"/>
      <c r="BW507" s="48"/>
      <c r="BX507" s="48"/>
      <c r="BY507" s="48"/>
      <c r="BZ507" s="48"/>
      <c r="CA507" s="48"/>
      <c r="CB507" s="48"/>
      <c r="CC507" s="48"/>
      <c r="CD507" s="48"/>
      <c r="CE507" s="48"/>
      <c r="CF507" s="48"/>
      <c r="CG507" s="48"/>
      <c r="CH507" s="48"/>
      <c r="CI507" s="48"/>
      <c r="CJ507" s="48"/>
      <c r="CK507" s="48"/>
      <c r="CL507" s="48"/>
      <c r="CM507" s="48"/>
      <c r="CN507" s="48"/>
      <c r="CO507" s="48"/>
      <c r="CP507" s="48"/>
      <c r="CQ507" s="48"/>
      <c r="CR507" s="48"/>
      <c r="CS507" s="48"/>
      <c r="CT507" s="48"/>
      <c r="CU507" s="48"/>
      <c r="CV507" s="48"/>
      <c r="CW507" s="48"/>
      <c r="CX507" s="48"/>
      <c r="CY507" s="48"/>
      <c r="CZ507" s="48"/>
    </row>
    <row r="508" spans="27:104" s="4" customFormat="1" x14ac:dyDescent="0.3">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14"/>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8"/>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row>
    <row r="509" spans="27:104" s="4" customFormat="1" x14ac:dyDescent="0.3">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14"/>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8"/>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c r="CZ509" s="48"/>
    </row>
    <row r="510" spans="27:104" s="4" customFormat="1" x14ac:dyDescent="0.3">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14"/>
      <c r="BC510" s="48"/>
      <c r="BD510" s="48"/>
      <c r="BE510" s="48"/>
      <c r="BF510" s="48"/>
      <c r="BG510" s="48"/>
      <c r="BH510" s="48"/>
      <c r="BI510" s="48"/>
      <c r="BJ510" s="48"/>
      <c r="BK510" s="48"/>
      <c r="BL510" s="48"/>
      <c r="BM510" s="48"/>
      <c r="BN510" s="48"/>
      <c r="BO510" s="48"/>
      <c r="BP510" s="48"/>
      <c r="BQ510" s="48"/>
      <c r="BR510" s="48"/>
      <c r="BS510" s="48"/>
      <c r="BT510" s="48"/>
      <c r="BU510" s="48"/>
      <c r="BV510" s="48"/>
      <c r="BW510" s="48"/>
      <c r="BX510" s="48"/>
      <c r="BY510" s="48"/>
      <c r="BZ510" s="48"/>
      <c r="CA510" s="48"/>
      <c r="CB510" s="48"/>
      <c r="CC510" s="48"/>
      <c r="CD510" s="48"/>
      <c r="CE510" s="48"/>
      <c r="CF510" s="48"/>
      <c r="CG510" s="48"/>
      <c r="CH510" s="48"/>
      <c r="CI510" s="48"/>
      <c r="CJ510" s="48"/>
      <c r="CK510" s="48"/>
      <c r="CL510" s="48"/>
      <c r="CM510" s="48"/>
      <c r="CN510" s="48"/>
      <c r="CO510" s="48"/>
      <c r="CP510" s="48"/>
      <c r="CQ510" s="48"/>
      <c r="CR510" s="48"/>
      <c r="CS510" s="48"/>
      <c r="CT510" s="48"/>
      <c r="CU510" s="48"/>
      <c r="CV510" s="48"/>
      <c r="CW510" s="48"/>
      <c r="CX510" s="48"/>
      <c r="CY510" s="48"/>
      <c r="CZ510" s="48"/>
    </row>
    <row r="511" spans="27:104" s="4" customFormat="1" x14ac:dyDescent="0.3">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14"/>
      <c r="BC511" s="48"/>
      <c r="BD511" s="48"/>
      <c r="BE511" s="48"/>
      <c r="BF511" s="48"/>
      <c r="BG511" s="48"/>
      <c r="BH511" s="48"/>
      <c r="BI511" s="48"/>
      <c r="BJ511" s="48"/>
      <c r="BK511" s="48"/>
      <c r="BL511" s="48"/>
      <c r="BM511" s="48"/>
      <c r="BN511" s="48"/>
      <c r="BO511" s="48"/>
      <c r="BP511" s="48"/>
      <c r="BQ511" s="48"/>
      <c r="BR511" s="48"/>
      <c r="BS511" s="48"/>
      <c r="BT511" s="48"/>
      <c r="BU511" s="48"/>
      <c r="BV511" s="48"/>
      <c r="BW511" s="48"/>
      <c r="BX511" s="48"/>
      <c r="BY511" s="48"/>
      <c r="BZ511" s="48"/>
      <c r="CA511" s="48"/>
      <c r="CB511" s="48"/>
      <c r="CC511" s="48"/>
      <c r="CD511" s="48"/>
      <c r="CE511" s="48"/>
      <c r="CF511" s="48"/>
      <c r="CG511" s="48"/>
      <c r="CH511" s="48"/>
      <c r="CI511" s="48"/>
      <c r="CJ511" s="48"/>
      <c r="CK511" s="48"/>
      <c r="CL511" s="48"/>
      <c r="CM511" s="48"/>
      <c r="CN511" s="48"/>
      <c r="CO511" s="48"/>
      <c r="CP511" s="48"/>
      <c r="CQ511" s="48"/>
      <c r="CR511" s="48"/>
      <c r="CS511" s="48"/>
      <c r="CT511" s="48"/>
      <c r="CU511" s="48"/>
      <c r="CV511" s="48"/>
      <c r="CW511" s="48"/>
      <c r="CX511" s="48"/>
      <c r="CY511" s="48"/>
      <c r="CZ511" s="48"/>
    </row>
    <row r="512" spans="27:104" s="4" customFormat="1" x14ac:dyDescent="0.3">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14"/>
      <c r="BC512" s="48"/>
      <c r="BD512" s="48"/>
      <c r="BE512" s="48"/>
      <c r="BF512" s="48"/>
      <c r="BG512" s="48"/>
      <c r="BH512" s="48"/>
      <c r="BI512" s="48"/>
      <c r="BJ512" s="48"/>
      <c r="BK512" s="48"/>
      <c r="BL512" s="48"/>
      <c r="BM512" s="48"/>
      <c r="BN512" s="48"/>
      <c r="BO512" s="48"/>
      <c r="BP512" s="48"/>
      <c r="BQ512" s="48"/>
      <c r="BR512" s="48"/>
      <c r="BS512" s="48"/>
      <c r="BT512" s="48"/>
      <c r="BU512" s="48"/>
      <c r="BV512" s="48"/>
      <c r="BW512" s="48"/>
      <c r="BX512" s="48"/>
      <c r="BY512" s="48"/>
      <c r="BZ512" s="48"/>
      <c r="CA512" s="48"/>
      <c r="CB512" s="48"/>
      <c r="CC512" s="48"/>
      <c r="CD512" s="48"/>
      <c r="CE512" s="48"/>
      <c r="CF512" s="48"/>
      <c r="CG512" s="48"/>
      <c r="CH512" s="48"/>
      <c r="CI512" s="48"/>
      <c r="CJ512" s="48"/>
      <c r="CK512" s="48"/>
      <c r="CL512" s="48"/>
      <c r="CM512" s="48"/>
      <c r="CN512" s="48"/>
      <c r="CO512" s="48"/>
      <c r="CP512" s="48"/>
      <c r="CQ512" s="48"/>
      <c r="CR512" s="48"/>
      <c r="CS512" s="48"/>
      <c r="CT512" s="48"/>
      <c r="CU512" s="48"/>
      <c r="CV512" s="48"/>
      <c r="CW512" s="48"/>
      <c r="CX512" s="48"/>
      <c r="CY512" s="48"/>
      <c r="CZ512" s="48"/>
    </row>
    <row r="513" spans="27:104" s="4" customFormat="1" x14ac:dyDescent="0.3">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14"/>
      <c r="BC513" s="48"/>
      <c r="BD513" s="48"/>
      <c r="BE513" s="48"/>
      <c r="BF513" s="48"/>
      <c r="BG513" s="48"/>
      <c r="BH513" s="48"/>
      <c r="BI513" s="48"/>
      <c r="BJ513" s="48"/>
      <c r="BK513" s="48"/>
      <c r="BL513" s="48"/>
      <c r="BM513" s="48"/>
      <c r="BN513" s="48"/>
      <c r="BO513" s="48"/>
      <c r="BP513" s="48"/>
      <c r="BQ513" s="48"/>
      <c r="BR513" s="48"/>
      <c r="BS513" s="48"/>
      <c r="BT513" s="48"/>
      <c r="BU513" s="48"/>
      <c r="BV513" s="48"/>
      <c r="BW513" s="48"/>
      <c r="BX513" s="48"/>
      <c r="BY513" s="48"/>
      <c r="BZ513" s="48"/>
      <c r="CA513" s="48"/>
      <c r="CB513" s="48"/>
      <c r="CC513" s="48"/>
      <c r="CD513" s="48"/>
      <c r="CE513" s="48"/>
      <c r="CF513" s="48"/>
      <c r="CG513" s="48"/>
      <c r="CH513" s="48"/>
      <c r="CI513" s="48"/>
      <c r="CJ513" s="48"/>
      <c r="CK513" s="48"/>
      <c r="CL513" s="48"/>
      <c r="CM513" s="48"/>
      <c r="CN513" s="48"/>
      <c r="CO513" s="48"/>
      <c r="CP513" s="48"/>
      <c r="CQ513" s="48"/>
      <c r="CR513" s="48"/>
      <c r="CS513" s="48"/>
      <c r="CT513" s="48"/>
      <c r="CU513" s="48"/>
      <c r="CV513" s="48"/>
      <c r="CW513" s="48"/>
      <c r="CX513" s="48"/>
      <c r="CY513" s="48"/>
      <c r="CZ513" s="48"/>
    </row>
    <row r="514" spans="27:104" s="4" customFormat="1" x14ac:dyDescent="0.3">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14"/>
      <c r="BC514" s="48"/>
      <c r="BD514" s="48"/>
      <c r="BE514" s="48"/>
      <c r="BF514" s="48"/>
      <c r="BG514" s="48"/>
      <c r="BH514" s="48"/>
      <c r="BI514" s="48"/>
      <c r="BJ514" s="48"/>
      <c r="BK514" s="48"/>
      <c r="BL514" s="48"/>
      <c r="BM514" s="48"/>
      <c r="BN514" s="48"/>
      <c r="BO514" s="48"/>
      <c r="BP514" s="48"/>
      <c r="BQ514" s="48"/>
      <c r="BR514" s="48"/>
      <c r="BS514" s="48"/>
      <c r="BT514" s="48"/>
      <c r="BU514" s="48"/>
      <c r="BV514" s="48"/>
      <c r="BW514" s="48"/>
      <c r="BX514" s="48"/>
      <c r="BY514" s="48"/>
      <c r="BZ514" s="48"/>
      <c r="CA514" s="48"/>
      <c r="CB514" s="48"/>
      <c r="CC514" s="48"/>
      <c r="CD514" s="48"/>
      <c r="CE514" s="48"/>
      <c r="CF514" s="48"/>
      <c r="CG514" s="48"/>
      <c r="CH514" s="48"/>
      <c r="CI514" s="48"/>
      <c r="CJ514" s="48"/>
      <c r="CK514" s="48"/>
      <c r="CL514" s="48"/>
      <c r="CM514" s="48"/>
      <c r="CN514" s="48"/>
      <c r="CO514" s="48"/>
      <c r="CP514" s="48"/>
      <c r="CQ514" s="48"/>
      <c r="CR514" s="48"/>
      <c r="CS514" s="48"/>
      <c r="CT514" s="48"/>
      <c r="CU514" s="48"/>
      <c r="CV514" s="48"/>
      <c r="CW514" s="48"/>
      <c r="CX514" s="48"/>
      <c r="CY514" s="48"/>
      <c r="CZ514" s="48"/>
    </row>
    <row r="515" spans="27:104" s="4" customFormat="1" x14ac:dyDescent="0.3">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14"/>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8"/>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row>
    <row r="516" spans="27:104" s="4" customFormat="1" x14ac:dyDescent="0.3">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14"/>
      <c r="BC516" s="48"/>
      <c r="BD516" s="48"/>
      <c r="BE516" s="48"/>
      <c r="BF516" s="48"/>
      <c r="BG516" s="48"/>
      <c r="BH516" s="48"/>
      <c r="BI516" s="48"/>
      <c r="BJ516" s="48"/>
      <c r="BK516" s="48"/>
      <c r="BL516" s="48"/>
      <c r="BM516" s="48"/>
      <c r="BN516" s="48"/>
      <c r="BO516" s="48"/>
      <c r="BP516" s="48"/>
      <c r="BQ516" s="48"/>
      <c r="BR516" s="48"/>
      <c r="BS516" s="48"/>
      <c r="BT516" s="48"/>
      <c r="BU516" s="48"/>
      <c r="BV516" s="48"/>
      <c r="BW516" s="48"/>
      <c r="BX516" s="48"/>
      <c r="BY516" s="48"/>
      <c r="BZ516" s="48"/>
      <c r="CA516" s="48"/>
      <c r="CB516" s="48"/>
      <c r="CC516" s="48"/>
      <c r="CD516" s="48"/>
      <c r="CE516" s="48"/>
      <c r="CF516" s="48"/>
      <c r="CG516" s="48"/>
      <c r="CH516" s="48"/>
      <c r="CI516" s="48"/>
      <c r="CJ516" s="48"/>
      <c r="CK516" s="48"/>
      <c r="CL516" s="48"/>
      <c r="CM516" s="48"/>
      <c r="CN516" s="48"/>
      <c r="CO516" s="48"/>
      <c r="CP516" s="48"/>
      <c r="CQ516" s="48"/>
      <c r="CR516" s="48"/>
      <c r="CS516" s="48"/>
      <c r="CT516" s="48"/>
      <c r="CU516" s="48"/>
      <c r="CV516" s="48"/>
      <c r="CW516" s="48"/>
      <c r="CX516" s="48"/>
      <c r="CY516" s="48"/>
      <c r="CZ516" s="48"/>
    </row>
    <row r="517" spans="27:104" s="4" customFormat="1" x14ac:dyDescent="0.3">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14"/>
      <c r="BC517" s="48"/>
      <c r="BD517" s="48"/>
      <c r="BE517" s="48"/>
      <c r="BF517" s="48"/>
      <c r="BG517" s="48"/>
      <c r="BH517" s="48"/>
      <c r="BI517" s="48"/>
      <c r="BJ517" s="48"/>
      <c r="BK517" s="48"/>
      <c r="BL517" s="48"/>
      <c r="BM517" s="48"/>
      <c r="BN517" s="48"/>
      <c r="BO517" s="48"/>
      <c r="BP517" s="48"/>
      <c r="BQ517" s="48"/>
      <c r="BR517" s="48"/>
      <c r="BS517" s="48"/>
      <c r="BT517" s="48"/>
      <c r="BU517" s="48"/>
      <c r="BV517" s="48"/>
      <c r="BW517" s="48"/>
      <c r="BX517" s="48"/>
      <c r="BY517" s="48"/>
      <c r="BZ517" s="48"/>
      <c r="CA517" s="48"/>
      <c r="CB517" s="48"/>
      <c r="CC517" s="48"/>
      <c r="CD517" s="48"/>
      <c r="CE517" s="48"/>
      <c r="CF517" s="48"/>
      <c r="CG517" s="48"/>
      <c r="CH517" s="48"/>
      <c r="CI517" s="48"/>
      <c r="CJ517" s="48"/>
      <c r="CK517" s="48"/>
      <c r="CL517" s="48"/>
      <c r="CM517" s="48"/>
      <c r="CN517" s="48"/>
      <c r="CO517" s="48"/>
      <c r="CP517" s="48"/>
      <c r="CQ517" s="48"/>
      <c r="CR517" s="48"/>
      <c r="CS517" s="48"/>
      <c r="CT517" s="48"/>
      <c r="CU517" s="48"/>
      <c r="CV517" s="48"/>
      <c r="CW517" s="48"/>
      <c r="CX517" s="48"/>
      <c r="CY517" s="48"/>
      <c r="CZ517" s="48"/>
    </row>
    <row r="518" spans="27:104" s="4" customFormat="1" x14ac:dyDescent="0.3">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14"/>
      <c r="BC518" s="48"/>
      <c r="BD518" s="48"/>
      <c r="BE518" s="48"/>
      <c r="BF518" s="48"/>
      <c r="BG518" s="48"/>
      <c r="BH518" s="48"/>
      <c r="BI518" s="48"/>
      <c r="BJ518" s="48"/>
      <c r="BK518" s="48"/>
      <c r="BL518" s="48"/>
      <c r="BM518" s="48"/>
      <c r="BN518" s="48"/>
      <c r="BO518" s="48"/>
      <c r="BP518" s="48"/>
      <c r="BQ518" s="48"/>
      <c r="BR518" s="48"/>
      <c r="BS518" s="48"/>
      <c r="BT518" s="48"/>
      <c r="BU518" s="48"/>
      <c r="BV518" s="48"/>
      <c r="BW518" s="48"/>
      <c r="BX518" s="48"/>
      <c r="BY518" s="48"/>
      <c r="BZ518" s="48"/>
      <c r="CA518" s="48"/>
      <c r="CB518" s="48"/>
      <c r="CC518" s="48"/>
      <c r="CD518" s="48"/>
      <c r="CE518" s="48"/>
      <c r="CF518" s="48"/>
      <c r="CG518" s="48"/>
      <c r="CH518" s="48"/>
      <c r="CI518" s="48"/>
      <c r="CJ518" s="48"/>
      <c r="CK518" s="48"/>
      <c r="CL518" s="48"/>
      <c r="CM518" s="48"/>
      <c r="CN518" s="48"/>
      <c r="CO518" s="48"/>
      <c r="CP518" s="48"/>
      <c r="CQ518" s="48"/>
      <c r="CR518" s="48"/>
      <c r="CS518" s="48"/>
      <c r="CT518" s="48"/>
      <c r="CU518" s="48"/>
      <c r="CV518" s="48"/>
      <c r="CW518" s="48"/>
      <c r="CX518" s="48"/>
      <c r="CY518" s="48"/>
      <c r="CZ518" s="48"/>
    </row>
    <row r="519" spans="27:104" s="4" customFormat="1" x14ac:dyDescent="0.3">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14"/>
      <c r="BC519" s="48"/>
      <c r="BD519" s="48"/>
      <c r="BE519" s="48"/>
      <c r="BF519" s="48"/>
      <c r="BG519" s="48"/>
      <c r="BH519" s="48"/>
      <c r="BI519" s="48"/>
      <c r="BJ519" s="48"/>
      <c r="BK519" s="48"/>
      <c r="BL519" s="48"/>
      <c r="BM519" s="48"/>
      <c r="BN519" s="48"/>
      <c r="BO519" s="48"/>
      <c r="BP519" s="48"/>
      <c r="BQ519" s="48"/>
      <c r="BR519" s="48"/>
      <c r="BS519" s="48"/>
      <c r="BT519" s="48"/>
      <c r="BU519" s="48"/>
      <c r="BV519" s="48"/>
      <c r="BW519" s="48"/>
      <c r="BX519" s="48"/>
      <c r="BY519" s="48"/>
      <c r="BZ519" s="48"/>
      <c r="CA519" s="48"/>
      <c r="CB519" s="48"/>
      <c r="CC519" s="48"/>
      <c r="CD519" s="48"/>
      <c r="CE519" s="48"/>
      <c r="CF519" s="48"/>
      <c r="CG519" s="48"/>
      <c r="CH519" s="48"/>
      <c r="CI519" s="48"/>
      <c r="CJ519" s="48"/>
      <c r="CK519" s="48"/>
      <c r="CL519" s="48"/>
      <c r="CM519" s="48"/>
      <c r="CN519" s="48"/>
      <c r="CO519" s="48"/>
      <c r="CP519" s="48"/>
      <c r="CQ519" s="48"/>
      <c r="CR519" s="48"/>
      <c r="CS519" s="48"/>
      <c r="CT519" s="48"/>
      <c r="CU519" s="48"/>
      <c r="CV519" s="48"/>
      <c r="CW519" s="48"/>
      <c r="CX519" s="48"/>
      <c r="CY519" s="48"/>
      <c r="CZ519" s="48"/>
    </row>
    <row r="520" spans="27:104" s="4" customFormat="1" x14ac:dyDescent="0.3">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14"/>
      <c r="BC520" s="48"/>
      <c r="BD520" s="48"/>
      <c r="BE520" s="48"/>
      <c r="BF520" s="48"/>
      <c r="BG520" s="48"/>
      <c r="BH520" s="48"/>
      <c r="BI520" s="48"/>
      <c r="BJ520" s="48"/>
      <c r="BK520" s="48"/>
      <c r="BL520" s="48"/>
      <c r="BM520" s="48"/>
      <c r="BN520" s="48"/>
      <c r="BO520" s="48"/>
      <c r="BP520" s="48"/>
      <c r="BQ520" s="48"/>
      <c r="BR520" s="48"/>
      <c r="BS520" s="48"/>
      <c r="BT520" s="48"/>
      <c r="BU520" s="48"/>
      <c r="BV520" s="48"/>
      <c r="BW520" s="48"/>
      <c r="BX520" s="48"/>
      <c r="BY520" s="48"/>
      <c r="BZ520" s="48"/>
      <c r="CA520" s="48"/>
      <c r="CB520" s="48"/>
      <c r="CC520" s="48"/>
      <c r="CD520" s="48"/>
      <c r="CE520" s="48"/>
      <c r="CF520" s="48"/>
      <c r="CG520" s="48"/>
      <c r="CH520" s="48"/>
      <c r="CI520" s="48"/>
      <c r="CJ520" s="48"/>
      <c r="CK520" s="48"/>
      <c r="CL520" s="48"/>
      <c r="CM520" s="48"/>
      <c r="CN520" s="48"/>
      <c r="CO520" s="48"/>
      <c r="CP520" s="48"/>
      <c r="CQ520" s="48"/>
      <c r="CR520" s="48"/>
      <c r="CS520" s="48"/>
      <c r="CT520" s="48"/>
      <c r="CU520" s="48"/>
      <c r="CV520" s="48"/>
      <c r="CW520" s="48"/>
      <c r="CX520" s="48"/>
      <c r="CY520" s="48"/>
      <c r="CZ520" s="48"/>
    </row>
    <row r="521" spans="27:104" s="4" customFormat="1" x14ac:dyDescent="0.3">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14"/>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8"/>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row>
    <row r="522" spans="27:104" s="4" customFormat="1" x14ac:dyDescent="0.3">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14"/>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8"/>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row>
    <row r="523" spans="27:104" s="4" customFormat="1" x14ac:dyDescent="0.3">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14"/>
      <c r="BC523" s="48"/>
      <c r="BD523" s="48"/>
      <c r="BE523" s="48"/>
      <c r="BF523" s="48"/>
      <c r="BG523" s="48"/>
      <c r="BH523" s="48"/>
      <c r="BI523" s="48"/>
      <c r="BJ523" s="48"/>
      <c r="BK523" s="48"/>
      <c r="BL523" s="48"/>
      <c r="BM523" s="48"/>
      <c r="BN523" s="48"/>
      <c r="BO523" s="48"/>
      <c r="BP523" s="48"/>
      <c r="BQ523" s="48"/>
      <c r="BR523" s="48"/>
      <c r="BS523" s="48"/>
      <c r="BT523" s="48"/>
      <c r="BU523" s="48"/>
      <c r="BV523" s="48"/>
      <c r="BW523" s="48"/>
      <c r="BX523" s="48"/>
      <c r="BY523" s="48"/>
      <c r="BZ523" s="48"/>
      <c r="CA523" s="48"/>
      <c r="CB523" s="48"/>
      <c r="CC523" s="48"/>
      <c r="CD523" s="48"/>
      <c r="CE523" s="48"/>
      <c r="CF523" s="48"/>
      <c r="CG523" s="48"/>
      <c r="CH523" s="48"/>
      <c r="CI523" s="48"/>
      <c r="CJ523" s="48"/>
      <c r="CK523" s="48"/>
      <c r="CL523" s="48"/>
      <c r="CM523" s="48"/>
      <c r="CN523" s="48"/>
      <c r="CO523" s="48"/>
      <c r="CP523" s="48"/>
      <c r="CQ523" s="48"/>
      <c r="CR523" s="48"/>
      <c r="CS523" s="48"/>
      <c r="CT523" s="48"/>
      <c r="CU523" s="48"/>
      <c r="CV523" s="48"/>
      <c r="CW523" s="48"/>
      <c r="CX523" s="48"/>
      <c r="CY523" s="48"/>
      <c r="CZ523" s="48"/>
    </row>
    <row r="524" spans="27:104" s="4" customFormat="1" x14ac:dyDescent="0.3">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14"/>
      <c r="BC524" s="48"/>
      <c r="BD524" s="48"/>
      <c r="BE524" s="48"/>
      <c r="BF524" s="48"/>
      <c r="BG524" s="48"/>
      <c r="BH524" s="48"/>
      <c r="BI524" s="48"/>
      <c r="BJ524" s="48"/>
      <c r="BK524" s="48"/>
      <c r="BL524" s="48"/>
      <c r="BM524" s="48"/>
      <c r="BN524" s="48"/>
      <c r="BO524" s="48"/>
      <c r="BP524" s="48"/>
      <c r="BQ524" s="48"/>
      <c r="BR524" s="48"/>
      <c r="BS524" s="48"/>
      <c r="BT524" s="48"/>
      <c r="BU524" s="48"/>
      <c r="BV524" s="48"/>
      <c r="BW524" s="48"/>
      <c r="BX524" s="48"/>
      <c r="BY524" s="48"/>
      <c r="BZ524" s="48"/>
      <c r="CA524" s="48"/>
      <c r="CB524" s="48"/>
      <c r="CC524" s="48"/>
      <c r="CD524" s="48"/>
      <c r="CE524" s="48"/>
      <c r="CF524" s="48"/>
      <c r="CG524" s="48"/>
      <c r="CH524" s="48"/>
      <c r="CI524" s="48"/>
      <c r="CJ524" s="48"/>
      <c r="CK524" s="48"/>
      <c r="CL524" s="48"/>
      <c r="CM524" s="48"/>
      <c r="CN524" s="48"/>
      <c r="CO524" s="48"/>
      <c r="CP524" s="48"/>
      <c r="CQ524" s="48"/>
      <c r="CR524" s="48"/>
      <c r="CS524" s="48"/>
      <c r="CT524" s="48"/>
      <c r="CU524" s="48"/>
      <c r="CV524" s="48"/>
      <c r="CW524" s="48"/>
      <c r="CX524" s="48"/>
      <c r="CY524" s="48"/>
      <c r="CZ524" s="48"/>
    </row>
    <row r="525" spans="27:104" s="4" customFormat="1" x14ac:dyDescent="0.3">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14"/>
      <c r="BC525" s="48"/>
      <c r="BD525" s="48"/>
      <c r="BE525" s="48"/>
      <c r="BF525" s="48"/>
      <c r="BG525" s="48"/>
      <c r="BH525" s="48"/>
      <c r="BI525" s="48"/>
      <c r="BJ525" s="48"/>
      <c r="BK525" s="48"/>
      <c r="BL525" s="48"/>
      <c r="BM525" s="48"/>
      <c r="BN525" s="48"/>
      <c r="BO525" s="48"/>
      <c r="BP525" s="48"/>
      <c r="BQ525" s="48"/>
      <c r="BR525" s="48"/>
      <c r="BS525" s="48"/>
      <c r="BT525" s="48"/>
      <c r="BU525" s="48"/>
      <c r="BV525" s="48"/>
      <c r="BW525" s="48"/>
      <c r="BX525" s="48"/>
      <c r="BY525" s="48"/>
      <c r="BZ525" s="48"/>
      <c r="CA525" s="48"/>
      <c r="CB525" s="48"/>
      <c r="CC525" s="48"/>
      <c r="CD525" s="48"/>
      <c r="CE525" s="48"/>
      <c r="CF525" s="48"/>
      <c r="CG525" s="48"/>
      <c r="CH525" s="48"/>
      <c r="CI525" s="48"/>
      <c r="CJ525" s="48"/>
      <c r="CK525" s="48"/>
      <c r="CL525" s="48"/>
      <c r="CM525" s="48"/>
      <c r="CN525" s="48"/>
      <c r="CO525" s="48"/>
      <c r="CP525" s="48"/>
      <c r="CQ525" s="48"/>
      <c r="CR525" s="48"/>
      <c r="CS525" s="48"/>
      <c r="CT525" s="48"/>
      <c r="CU525" s="48"/>
      <c r="CV525" s="48"/>
      <c r="CW525" s="48"/>
      <c r="CX525" s="48"/>
      <c r="CY525" s="48"/>
      <c r="CZ525" s="48"/>
    </row>
    <row r="526" spans="27:104" s="4" customFormat="1" x14ac:dyDescent="0.3">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14"/>
      <c r="BC526" s="48"/>
      <c r="BD526" s="48"/>
      <c r="BE526" s="48"/>
      <c r="BF526" s="48"/>
      <c r="BG526" s="48"/>
      <c r="BH526" s="48"/>
      <c r="BI526" s="48"/>
      <c r="BJ526" s="48"/>
      <c r="BK526" s="48"/>
      <c r="BL526" s="48"/>
      <c r="BM526" s="48"/>
      <c r="BN526" s="48"/>
      <c r="BO526" s="48"/>
      <c r="BP526" s="48"/>
      <c r="BQ526" s="48"/>
      <c r="BR526" s="48"/>
      <c r="BS526" s="48"/>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row>
    <row r="527" spans="27:104" s="4" customFormat="1" x14ac:dyDescent="0.3">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14"/>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8"/>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row>
    <row r="528" spans="27:104" s="4" customFormat="1" x14ac:dyDescent="0.3">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14"/>
      <c r="BC528" s="48"/>
      <c r="BD528" s="48"/>
      <c r="BE528" s="48"/>
      <c r="BF528" s="48"/>
      <c r="BG528" s="48"/>
      <c r="BH528" s="48"/>
      <c r="BI528" s="48"/>
      <c r="BJ528" s="48"/>
      <c r="BK528" s="48"/>
      <c r="BL528" s="48"/>
      <c r="BM528" s="48"/>
      <c r="BN528" s="48"/>
      <c r="BO528" s="48"/>
      <c r="BP528" s="48"/>
      <c r="BQ528" s="48"/>
      <c r="BR528" s="48"/>
      <c r="BS528" s="48"/>
      <c r="BT528" s="48"/>
      <c r="BU528" s="48"/>
      <c r="BV528" s="48"/>
      <c r="BW528" s="48"/>
      <c r="BX528" s="48"/>
      <c r="BY528" s="48"/>
      <c r="BZ528" s="4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row>
    <row r="529" spans="27:104" s="4" customFormat="1" x14ac:dyDescent="0.3">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14"/>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8"/>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c r="CZ529" s="48"/>
    </row>
    <row r="530" spans="27:104" s="4" customFormat="1" x14ac:dyDescent="0.3">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14"/>
      <c r="BC530" s="48"/>
      <c r="BD530" s="48"/>
      <c r="BE530" s="48"/>
      <c r="BF530" s="48"/>
      <c r="BG530" s="48"/>
      <c r="BH530" s="48"/>
      <c r="BI530" s="48"/>
      <c r="BJ530" s="48"/>
      <c r="BK530" s="48"/>
      <c r="BL530" s="48"/>
      <c r="BM530" s="48"/>
      <c r="BN530" s="48"/>
      <c r="BO530" s="48"/>
      <c r="BP530" s="48"/>
      <c r="BQ530" s="48"/>
      <c r="BR530" s="48"/>
      <c r="BS530" s="48"/>
      <c r="BT530" s="48"/>
      <c r="BU530" s="48"/>
      <c r="BV530" s="48"/>
      <c r="BW530" s="48"/>
      <c r="BX530" s="48"/>
      <c r="BY530" s="48"/>
      <c r="BZ530" s="48"/>
      <c r="CA530" s="48"/>
      <c r="CB530" s="48"/>
      <c r="CC530" s="48"/>
      <c r="CD530" s="48"/>
      <c r="CE530" s="48"/>
      <c r="CF530" s="48"/>
      <c r="CG530" s="48"/>
      <c r="CH530" s="48"/>
      <c r="CI530" s="48"/>
      <c r="CJ530" s="48"/>
      <c r="CK530" s="48"/>
      <c r="CL530" s="48"/>
      <c r="CM530" s="48"/>
      <c r="CN530" s="48"/>
      <c r="CO530" s="48"/>
      <c r="CP530" s="48"/>
      <c r="CQ530" s="48"/>
      <c r="CR530" s="48"/>
      <c r="CS530" s="48"/>
      <c r="CT530" s="48"/>
      <c r="CU530" s="48"/>
      <c r="CV530" s="48"/>
      <c r="CW530" s="48"/>
      <c r="CX530" s="48"/>
      <c r="CY530" s="48"/>
      <c r="CZ530" s="48"/>
    </row>
    <row r="531" spans="27:104" s="4" customFormat="1" x14ac:dyDescent="0.3">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14"/>
      <c r="BC531" s="48"/>
      <c r="BD531" s="48"/>
      <c r="BE531" s="48"/>
      <c r="BF531" s="48"/>
      <c r="BG531" s="48"/>
      <c r="BH531" s="48"/>
      <c r="BI531" s="48"/>
      <c r="BJ531" s="48"/>
      <c r="BK531" s="48"/>
      <c r="BL531" s="48"/>
      <c r="BM531" s="48"/>
      <c r="BN531" s="48"/>
      <c r="BO531" s="48"/>
      <c r="BP531" s="48"/>
      <c r="BQ531" s="48"/>
      <c r="BR531" s="48"/>
      <c r="BS531" s="48"/>
      <c r="BT531" s="48"/>
      <c r="BU531" s="48"/>
      <c r="BV531" s="48"/>
      <c r="BW531" s="48"/>
      <c r="BX531" s="48"/>
      <c r="BY531" s="48"/>
      <c r="BZ531" s="48"/>
      <c r="CA531" s="48"/>
      <c r="CB531" s="48"/>
      <c r="CC531" s="48"/>
      <c r="CD531" s="48"/>
      <c r="CE531" s="48"/>
      <c r="CF531" s="48"/>
      <c r="CG531" s="48"/>
      <c r="CH531" s="48"/>
      <c r="CI531" s="48"/>
      <c r="CJ531" s="48"/>
      <c r="CK531" s="48"/>
      <c r="CL531" s="48"/>
      <c r="CM531" s="48"/>
      <c r="CN531" s="48"/>
      <c r="CO531" s="48"/>
      <c r="CP531" s="48"/>
      <c r="CQ531" s="48"/>
      <c r="CR531" s="48"/>
      <c r="CS531" s="48"/>
      <c r="CT531" s="48"/>
      <c r="CU531" s="48"/>
      <c r="CV531" s="48"/>
      <c r="CW531" s="48"/>
      <c r="CX531" s="48"/>
      <c r="CY531" s="48"/>
      <c r="CZ531" s="48"/>
    </row>
    <row r="532" spans="27:104" s="4" customFormat="1" x14ac:dyDescent="0.3">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14"/>
      <c r="BC532" s="48"/>
      <c r="BD532" s="48"/>
      <c r="BE532" s="48"/>
      <c r="BF532" s="48"/>
      <c r="BG532" s="48"/>
      <c r="BH532" s="48"/>
      <c r="BI532" s="48"/>
      <c r="BJ532" s="48"/>
      <c r="BK532" s="48"/>
      <c r="BL532" s="48"/>
      <c r="BM532" s="48"/>
      <c r="BN532" s="48"/>
      <c r="BO532" s="48"/>
      <c r="BP532" s="48"/>
      <c r="BQ532" s="48"/>
      <c r="BR532" s="48"/>
      <c r="BS532" s="48"/>
      <c r="BT532" s="48"/>
      <c r="BU532" s="48"/>
      <c r="BV532" s="48"/>
      <c r="BW532" s="48"/>
      <c r="BX532" s="48"/>
      <c r="BY532" s="48"/>
      <c r="BZ532" s="48"/>
      <c r="CA532" s="48"/>
      <c r="CB532" s="48"/>
      <c r="CC532" s="48"/>
      <c r="CD532" s="48"/>
      <c r="CE532" s="48"/>
      <c r="CF532" s="48"/>
      <c r="CG532" s="48"/>
      <c r="CH532" s="48"/>
      <c r="CI532" s="48"/>
      <c r="CJ532" s="48"/>
      <c r="CK532" s="48"/>
      <c r="CL532" s="48"/>
      <c r="CM532" s="48"/>
      <c r="CN532" s="48"/>
      <c r="CO532" s="48"/>
      <c r="CP532" s="48"/>
      <c r="CQ532" s="48"/>
      <c r="CR532" s="48"/>
      <c r="CS532" s="48"/>
      <c r="CT532" s="48"/>
      <c r="CU532" s="48"/>
      <c r="CV532" s="48"/>
      <c r="CW532" s="48"/>
      <c r="CX532" s="48"/>
      <c r="CY532" s="48"/>
      <c r="CZ532" s="48"/>
    </row>
    <row r="533" spans="27:104" s="4" customFormat="1" x14ac:dyDescent="0.3">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14"/>
      <c r="BC533" s="48"/>
      <c r="BD533" s="48"/>
      <c r="BE533" s="48"/>
      <c r="BF533" s="48"/>
      <c r="BG533" s="48"/>
      <c r="BH533" s="48"/>
      <c r="BI533" s="48"/>
      <c r="BJ533" s="48"/>
      <c r="BK533" s="48"/>
      <c r="BL533" s="48"/>
      <c r="BM533" s="48"/>
      <c r="BN533" s="48"/>
      <c r="BO533" s="48"/>
      <c r="BP533" s="48"/>
      <c r="BQ533" s="48"/>
      <c r="BR533" s="48"/>
      <c r="BS533" s="48"/>
      <c r="BT533" s="48"/>
      <c r="BU533" s="48"/>
      <c r="BV533" s="48"/>
      <c r="BW533" s="48"/>
      <c r="BX533" s="48"/>
      <c r="BY533" s="48"/>
      <c r="BZ533" s="48"/>
      <c r="CA533" s="48"/>
      <c r="CB533" s="48"/>
      <c r="CC533" s="48"/>
      <c r="CD533" s="48"/>
      <c r="CE533" s="48"/>
      <c r="CF533" s="48"/>
      <c r="CG533" s="48"/>
      <c r="CH533" s="48"/>
      <c r="CI533" s="48"/>
      <c r="CJ533" s="48"/>
      <c r="CK533" s="48"/>
      <c r="CL533" s="48"/>
      <c r="CM533" s="48"/>
      <c r="CN533" s="48"/>
      <c r="CO533" s="48"/>
      <c r="CP533" s="48"/>
      <c r="CQ533" s="48"/>
      <c r="CR533" s="48"/>
      <c r="CS533" s="48"/>
      <c r="CT533" s="48"/>
      <c r="CU533" s="48"/>
      <c r="CV533" s="48"/>
      <c r="CW533" s="48"/>
      <c r="CX533" s="48"/>
      <c r="CY533" s="48"/>
      <c r="CZ533" s="48"/>
    </row>
    <row r="534" spans="27:104" s="4" customFormat="1" x14ac:dyDescent="0.3">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14"/>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8"/>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row>
    <row r="535" spans="27:104" s="4" customFormat="1" x14ac:dyDescent="0.3">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14"/>
      <c r="BC535" s="48"/>
      <c r="BD535" s="48"/>
      <c r="BE535" s="48"/>
      <c r="BF535" s="48"/>
      <c r="BG535" s="48"/>
      <c r="BH535" s="48"/>
      <c r="BI535" s="48"/>
      <c r="BJ535" s="48"/>
      <c r="BK535" s="48"/>
      <c r="BL535" s="48"/>
      <c r="BM535" s="48"/>
      <c r="BN535" s="48"/>
      <c r="BO535" s="48"/>
      <c r="BP535" s="48"/>
      <c r="BQ535" s="48"/>
      <c r="BR535" s="48"/>
      <c r="BS535" s="48"/>
      <c r="BT535" s="48"/>
      <c r="BU535" s="48"/>
      <c r="BV535" s="48"/>
      <c r="BW535" s="48"/>
      <c r="BX535" s="48"/>
      <c r="BY535" s="48"/>
      <c r="BZ535" s="48"/>
      <c r="CA535" s="48"/>
      <c r="CB535" s="48"/>
      <c r="CC535" s="48"/>
      <c r="CD535" s="48"/>
      <c r="CE535" s="48"/>
      <c r="CF535" s="48"/>
      <c r="CG535" s="48"/>
      <c r="CH535" s="48"/>
      <c r="CI535" s="48"/>
      <c r="CJ535" s="48"/>
      <c r="CK535" s="48"/>
      <c r="CL535" s="48"/>
      <c r="CM535" s="48"/>
      <c r="CN535" s="48"/>
      <c r="CO535" s="48"/>
      <c r="CP535" s="48"/>
      <c r="CQ535" s="48"/>
      <c r="CR535" s="48"/>
      <c r="CS535" s="48"/>
      <c r="CT535" s="48"/>
      <c r="CU535" s="48"/>
      <c r="CV535" s="48"/>
      <c r="CW535" s="48"/>
      <c r="CX535" s="48"/>
      <c r="CY535" s="48"/>
      <c r="CZ535" s="48"/>
    </row>
    <row r="536" spans="27:104" s="4" customFormat="1" x14ac:dyDescent="0.3">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14"/>
      <c r="BC536" s="48"/>
      <c r="BD536" s="48"/>
      <c r="BE536" s="48"/>
      <c r="BF536" s="48"/>
      <c r="BG536" s="48"/>
      <c r="BH536" s="48"/>
      <c r="BI536" s="48"/>
      <c r="BJ536" s="48"/>
      <c r="BK536" s="48"/>
      <c r="BL536" s="48"/>
      <c r="BM536" s="48"/>
      <c r="BN536" s="48"/>
      <c r="BO536" s="48"/>
      <c r="BP536" s="48"/>
      <c r="BQ536" s="48"/>
      <c r="BR536" s="48"/>
      <c r="BS536" s="48"/>
      <c r="BT536" s="48"/>
      <c r="BU536" s="48"/>
      <c r="BV536" s="48"/>
      <c r="BW536" s="48"/>
      <c r="BX536" s="48"/>
      <c r="BY536" s="48"/>
      <c r="BZ536" s="48"/>
      <c r="CA536" s="48"/>
      <c r="CB536" s="48"/>
      <c r="CC536" s="48"/>
      <c r="CD536" s="48"/>
      <c r="CE536" s="48"/>
      <c r="CF536" s="48"/>
      <c r="CG536" s="48"/>
      <c r="CH536" s="48"/>
      <c r="CI536" s="48"/>
      <c r="CJ536" s="48"/>
      <c r="CK536" s="48"/>
      <c r="CL536" s="48"/>
      <c r="CM536" s="48"/>
      <c r="CN536" s="48"/>
      <c r="CO536" s="48"/>
      <c r="CP536" s="48"/>
      <c r="CQ536" s="48"/>
      <c r="CR536" s="48"/>
      <c r="CS536" s="48"/>
      <c r="CT536" s="48"/>
      <c r="CU536" s="48"/>
      <c r="CV536" s="48"/>
      <c r="CW536" s="48"/>
      <c r="CX536" s="48"/>
      <c r="CY536" s="48"/>
      <c r="CZ536" s="48"/>
    </row>
    <row r="537" spans="27:104" s="4" customFormat="1" x14ac:dyDescent="0.3">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14"/>
      <c r="BC537" s="48"/>
      <c r="BD537" s="48"/>
      <c r="BE537" s="48"/>
      <c r="BF537" s="48"/>
      <c r="BG537" s="48"/>
      <c r="BH537" s="48"/>
      <c r="BI537" s="48"/>
      <c r="BJ537" s="48"/>
      <c r="BK537" s="48"/>
      <c r="BL537" s="48"/>
      <c r="BM537" s="48"/>
      <c r="BN537" s="48"/>
      <c r="BO537" s="48"/>
      <c r="BP537" s="48"/>
      <c r="BQ537" s="48"/>
      <c r="BR537" s="48"/>
      <c r="BS537" s="48"/>
      <c r="BT537" s="48"/>
      <c r="BU537" s="48"/>
      <c r="BV537" s="48"/>
      <c r="BW537" s="48"/>
      <c r="BX537" s="48"/>
      <c r="BY537" s="48"/>
      <c r="BZ537" s="48"/>
      <c r="CA537" s="48"/>
      <c r="CB537" s="48"/>
      <c r="CC537" s="48"/>
      <c r="CD537" s="48"/>
      <c r="CE537" s="48"/>
      <c r="CF537" s="48"/>
      <c r="CG537" s="48"/>
      <c r="CH537" s="48"/>
      <c r="CI537" s="48"/>
      <c r="CJ537" s="48"/>
      <c r="CK537" s="48"/>
      <c r="CL537" s="48"/>
      <c r="CM537" s="48"/>
      <c r="CN537" s="48"/>
      <c r="CO537" s="48"/>
      <c r="CP537" s="48"/>
      <c r="CQ537" s="48"/>
      <c r="CR537" s="48"/>
      <c r="CS537" s="48"/>
      <c r="CT537" s="48"/>
      <c r="CU537" s="48"/>
      <c r="CV537" s="48"/>
      <c r="CW537" s="48"/>
      <c r="CX537" s="48"/>
      <c r="CY537" s="48"/>
      <c r="CZ537" s="48"/>
    </row>
    <row r="538" spans="27:104" s="4" customFormat="1" x14ac:dyDescent="0.3">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14"/>
      <c r="BC538" s="48"/>
      <c r="BD538" s="48"/>
      <c r="BE538" s="48"/>
      <c r="BF538" s="48"/>
      <c r="BG538" s="48"/>
      <c r="BH538" s="48"/>
      <c r="BI538" s="48"/>
      <c r="BJ538" s="48"/>
      <c r="BK538" s="48"/>
      <c r="BL538" s="48"/>
      <c r="BM538" s="48"/>
      <c r="BN538" s="48"/>
      <c r="BO538" s="48"/>
      <c r="BP538" s="48"/>
      <c r="BQ538" s="48"/>
      <c r="BR538" s="48"/>
      <c r="BS538" s="48"/>
      <c r="BT538" s="48"/>
      <c r="BU538" s="48"/>
      <c r="BV538" s="48"/>
      <c r="BW538" s="48"/>
      <c r="BX538" s="48"/>
      <c r="BY538" s="48"/>
      <c r="BZ538" s="48"/>
      <c r="CA538" s="48"/>
      <c r="CB538" s="48"/>
      <c r="CC538" s="48"/>
      <c r="CD538" s="48"/>
      <c r="CE538" s="48"/>
      <c r="CF538" s="48"/>
      <c r="CG538" s="48"/>
      <c r="CH538" s="48"/>
      <c r="CI538" s="48"/>
      <c r="CJ538" s="48"/>
      <c r="CK538" s="48"/>
      <c r="CL538" s="48"/>
      <c r="CM538" s="48"/>
      <c r="CN538" s="48"/>
      <c r="CO538" s="48"/>
      <c r="CP538" s="48"/>
      <c r="CQ538" s="48"/>
      <c r="CR538" s="48"/>
      <c r="CS538" s="48"/>
      <c r="CT538" s="48"/>
      <c r="CU538" s="48"/>
      <c r="CV538" s="48"/>
      <c r="CW538" s="48"/>
      <c r="CX538" s="48"/>
      <c r="CY538" s="48"/>
      <c r="CZ538" s="48"/>
    </row>
    <row r="539" spans="27:104" s="4" customFormat="1" x14ac:dyDescent="0.3">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14"/>
      <c r="BC539" s="48"/>
      <c r="BD539" s="48"/>
      <c r="BE539" s="48"/>
      <c r="BF539" s="48"/>
      <c r="BG539" s="48"/>
      <c r="BH539" s="48"/>
      <c r="BI539" s="48"/>
      <c r="BJ539" s="48"/>
      <c r="BK539" s="48"/>
      <c r="BL539" s="48"/>
      <c r="BM539" s="48"/>
      <c r="BN539" s="48"/>
      <c r="BO539" s="48"/>
      <c r="BP539" s="48"/>
      <c r="BQ539" s="48"/>
      <c r="BR539" s="48"/>
      <c r="BS539" s="48"/>
      <c r="BT539" s="48"/>
      <c r="BU539" s="48"/>
      <c r="BV539" s="48"/>
      <c r="BW539" s="48"/>
      <c r="BX539" s="48"/>
      <c r="BY539" s="48"/>
      <c r="BZ539" s="48"/>
      <c r="CA539" s="48"/>
      <c r="CB539" s="48"/>
      <c r="CC539" s="48"/>
      <c r="CD539" s="48"/>
      <c r="CE539" s="48"/>
      <c r="CF539" s="48"/>
      <c r="CG539" s="48"/>
      <c r="CH539" s="48"/>
      <c r="CI539" s="48"/>
      <c r="CJ539" s="48"/>
      <c r="CK539" s="48"/>
      <c r="CL539" s="48"/>
      <c r="CM539" s="48"/>
      <c r="CN539" s="48"/>
      <c r="CO539" s="48"/>
      <c r="CP539" s="48"/>
      <c r="CQ539" s="48"/>
      <c r="CR539" s="48"/>
      <c r="CS539" s="48"/>
      <c r="CT539" s="48"/>
      <c r="CU539" s="48"/>
      <c r="CV539" s="48"/>
      <c r="CW539" s="48"/>
      <c r="CX539" s="48"/>
      <c r="CY539" s="48"/>
      <c r="CZ539" s="48"/>
    </row>
    <row r="540" spans="27:104" s="4" customFormat="1" x14ac:dyDescent="0.3">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14"/>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8"/>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row>
    <row r="541" spans="27:104" s="4" customFormat="1" x14ac:dyDescent="0.3">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14"/>
      <c r="BC541" s="48"/>
      <c r="BD541" s="48"/>
      <c r="BE541" s="48"/>
      <c r="BF541" s="48"/>
      <c r="BG541" s="48"/>
      <c r="BH541" s="48"/>
      <c r="BI541" s="48"/>
      <c r="BJ541" s="48"/>
      <c r="BK541" s="48"/>
      <c r="BL541" s="48"/>
      <c r="BM541" s="48"/>
      <c r="BN541" s="48"/>
      <c r="BO541" s="48"/>
      <c r="BP541" s="48"/>
      <c r="BQ541" s="48"/>
      <c r="BR541" s="48"/>
      <c r="BS541" s="48"/>
      <c r="BT541" s="48"/>
      <c r="BU541" s="48"/>
      <c r="BV541" s="48"/>
      <c r="BW541" s="48"/>
      <c r="BX541" s="48"/>
      <c r="BY541" s="48"/>
      <c r="BZ541" s="48"/>
      <c r="CA541" s="48"/>
      <c r="CB541" s="48"/>
      <c r="CC541" s="48"/>
      <c r="CD541" s="48"/>
      <c r="CE541" s="48"/>
      <c r="CF541" s="48"/>
      <c r="CG541" s="48"/>
      <c r="CH541" s="48"/>
      <c r="CI541" s="48"/>
      <c r="CJ541" s="48"/>
      <c r="CK541" s="48"/>
      <c r="CL541" s="48"/>
      <c r="CM541" s="48"/>
      <c r="CN541" s="48"/>
      <c r="CO541" s="48"/>
      <c r="CP541" s="48"/>
      <c r="CQ541" s="48"/>
      <c r="CR541" s="48"/>
      <c r="CS541" s="48"/>
      <c r="CT541" s="48"/>
      <c r="CU541" s="48"/>
      <c r="CV541" s="48"/>
      <c r="CW541" s="48"/>
      <c r="CX541" s="48"/>
      <c r="CY541" s="48"/>
      <c r="CZ541" s="48"/>
    </row>
    <row r="542" spans="27:104" s="4" customFormat="1" x14ac:dyDescent="0.3">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14"/>
      <c r="BC542" s="48"/>
      <c r="BD542" s="48"/>
      <c r="BE542" s="48"/>
      <c r="BF542" s="48"/>
      <c r="BG542" s="48"/>
      <c r="BH542" s="48"/>
      <c r="BI542" s="48"/>
      <c r="BJ542" s="48"/>
      <c r="BK542" s="48"/>
      <c r="BL542" s="48"/>
      <c r="BM542" s="48"/>
      <c r="BN542" s="48"/>
      <c r="BO542" s="48"/>
      <c r="BP542" s="48"/>
      <c r="BQ542" s="48"/>
      <c r="BR542" s="48"/>
      <c r="BS542" s="48"/>
      <c r="BT542" s="48"/>
      <c r="BU542" s="48"/>
      <c r="BV542" s="48"/>
      <c r="BW542" s="48"/>
      <c r="BX542" s="48"/>
      <c r="BY542" s="48"/>
      <c r="BZ542" s="48"/>
      <c r="CA542" s="48"/>
      <c r="CB542" s="48"/>
      <c r="CC542" s="48"/>
      <c r="CD542" s="48"/>
      <c r="CE542" s="48"/>
      <c r="CF542" s="48"/>
      <c r="CG542" s="48"/>
      <c r="CH542" s="48"/>
      <c r="CI542" s="48"/>
      <c r="CJ542" s="48"/>
      <c r="CK542" s="48"/>
      <c r="CL542" s="48"/>
      <c r="CM542" s="48"/>
      <c r="CN542" s="48"/>
      <c r="CO542" s="48"/>
      <c r="CP542" s="48"/>
      <c r="CQ542" s="48"/>
      <c r="CR542" s="48"/>
      <c r="CS542" s="48"/>
      <c r="CT542" s="48"/>
      <c r="CU542" s="48"/>
      <c r="CV542" s="48"/>
      <c r="CW542" s="48"/>
      <c r="CX542" s="48"/>
      <c r="CY542" s="48"/>
      <c r="CZ542" s="48"/>
    </row>
    <row r="543" spans="27:104" s="4" customFormat="1" x14ac:dyDescent="0.3">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14"/>
      <c r="BC543" s="48"/>
      <c r="BD543" s="48"/>
      <c r="BE543" s="48"/>
      <c r="BF543" s="48"/>
      <c r="BG543" s="48"/>
      <c r="BH543" s="48"/>
      <c r="BI543" s="48"/>
      <c r="BJ543" s="48"/>
      <c r="BK543" s="48"/>
      <c r="BL543" s="48"/>
      <c r="BM543" s="48"/>
      <c r="BN543" s="48"/>
      <c r="BO543" s="48"/>
      <c r="BP543" s="48"/>
      <c r="BQ543" s="48"/>
      <c r="BR543" s="48"/>
      <c r="BS543" s="48"/>
      <c r="BT543" s="48"/>
      <c r="BU543" s="48"/>
      <c r="BV543" s="48"/>
      <c r="BW543" s="48"/>
      <c r="BX543" s="48"/>
      <c r="BY543" s="48"/>
      <c r="BZ543" s="48"/>
      <c r="CA543" s="48"/>
      <c r="CB543" s="48"/>
      <c r="CC543" s="48"/>
      <c r="CD543" s="48"/>
      <c r="CE543" s="48"/>
      <c r="CF543" s="48"/>
      <c r="CG543" s="48"/>
      <c r="CH543" s="48"/>
      <c r="CI543" s="48"/>
      <c r="CJ543" s="48"/>
      <c r="CK543" s="48"/>
      <c r="CL543" s="48"/>
      <c r="CM543" s="48"/>
      <c r="CN543" s="48"/>
      <c r="CO543" s="48"/>
      <c r="CP543" s="48"/>
      <c r="CQ543" s="48"/>
      <c r="CR543" s="48"/>
      <c r="CS543" s="48"/>
      <c r="CT543" s="48"/>
      <c r="CU543" s="48"/>
      <c r="CV543" s="48"/>
      <c r="CW543" s="48"/>
      <c r="CX543" s="48"/>
      <c r="CY543" s="48"/>
      <c r="CZ543" s="48"/>
    </row>
    <row r="544" spans="27:104" s="4" customFormat="1" x14ac:dyDescent="0.3">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14"/>
      <c r="BC544" s="48"/>
      <c r="BD544" s="48"/>
      <c r="BE544" s="48"/>
      <c r="BF544" s="48"/>
      <c r="BG544" s="48"/>
      <c r="BH544" s="48"/>
      <c r="BI544" s="48"/>
      <c r="BJ544" s="48"/>
      <c r="BK544" s="48"/>
      <c r="BL544" s="48"/>
      <c r="BM544" s="48"/>
      <c r="BN544" s="48"/>
      <c r="BO544" s="48"/>
      <c r="BP544" s="48"/>
      <c r="BQ544" s="48"/>
      <c r="BR544" s="48"/>
      <c r="BS544" s="48"/>
      <c r="BT544" s="48"/>
      <c r="BU544" s="48"/>
      <c r="BV544" s="48"/>
      <c r="BW544" s="48"/>
      <c r="BX544" s="48"/>
      <c r="BY544" s="48"/>
      <c r="BZ544" s="48"/>
      <c r="CA544" s="48"/>
      <c r="CB544" s="48"/>
      <c r="CC544" s="48"/>
      <c r="CD544" s="48"/>
      <c r="CE544" s="48"/>
      <c r="CF544" s="48"/>
      <c r="CG544" s="48"/>
      <c r="CH544" s="48"/>
      <c r="CI544" s="48"/>
      <c r="CJ544" s="48"/>
      <c r="CK544" s="48"/>
      <c r="CL544" s="48"/>
      <c r="CM544" s="48"/>
      <c r="CN544" s="48"/>
      <c r="CO544" s="48"/>
      <c r="CP544" s="48"/>
      <c r="CQ544" s="48"/>
      <c r="CR544" s="48"/>
      <c r="CS544" s="48"/>
      <c r="CT544" s="48"/>
      <c r="CU544" s="48"/>
      <c r="CV544" s="48"/>
      <c r="CW544" s="48"/>
      <c r="CX544" s="48"/>
      <c r="CY544" s="48"/>
      <c r="CZ544" s="48"/>
    </row>
    <row r="545" spans="27:104" s="4" customFormat="1" x14ac:dyDescent="0.3">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14"/>
      <c r="BC545" s="48"/>
      <c r="BD545" s="48"/>
      <c r="BE545" s="48"/>
      <c r="BF545" s="48"/>
      <c r="BG545" s="48"/>
      <c r="BH545" s="48"/>
      <c r="BI545" s="48"/>
      <c r="BJ545" s="48"/>
      <c r="BK545" s="48"/>
      <c r="BL545" s="48"/>
      <c r="BM545" s="48"/>
      <c r="BN545" s="48"/>
      <c r="BO545" s="48"/>
      <c r="BP545" s="48"/>
      <c r="BQ545" s="48"/>
      <c r="BR545" s="48"/>
      <c r="BS545" s="48"/>
      <c r="BT545" s="48"/>
      <c r="BU545" s="48"/>
      <c r="BV545" s="48"/>
      <c r="BW545" s="48"/>
      <c r="BX545" s="48"/>
      <c r="BY545" s="48"/>
      <c r="BZ545" s="48"/>
      <c r="CA545" s="48"/>
      <c r="CB545" s="48"/>
      <c r="CC545" s="48"/>
      <c r="CD545" s="48"/>
      <c r="CE545" s="48"/>
      <c r="CF545" s="48"/>
      <c r="CG545" s="48"/>
      <c r="CH545" s="48"/>
      <c r="CI545" s="48"/>
      <c r="CJ545" s="48"/>
      <c r="CK545" s="48"/>
      <c r="CL545" s="48"/>
      <c r="CM545" s="48"/>
      <c r="CN545" s="48"/>
      <c r="CO545" s="48"/>
      <c r="CP545" s="48"/>
      <c r="CQ545" s="48"/>
      <c r="CR545" s="48"/>
      <c r="CS545" s="48"/>
      <c r="CT545" s="48"/>
      <c r="CU545" s="48"/>
      <c r="CV545" s="48"/>
      <c r="CW545" s="48"/>
      <c r="CX545" s="48"/>
      <c r="CY545" s="48"/>
      <c r="CZ545" s="48"/>
    </row>
    <row r="546" spans="27:104" s="4" customFormat="1" x14ac:dyDescent="0.3">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14"/>
      <c r="BC546" s="48"/>
      <c r="BD546" s="48"/>
      <c r="BE546" s="48"/>
      <c r="BF546" s="48"/>
      <c r="BG546" s="48"/>
      <c r="BH546" s="48"/>
      <c r="BI546" s="48"/>
      <c r="BJ546" s="48"/>
      <c r="BK546" s="48"/>
      <c r="BL546" s="48"/>
      <c r="BM546" s="48"/>
      <c r="BN546" s="48"/>
      <c r="BO546" s="48"/>
      <c r="BP546" s="48"/>
      <c r="BQ546" s="48"/>
      <c r="BR546" s="48"/>
      <c r="BS546" s="48"/>
      <c r="BT546" s="48"/>
      <c r="BU546" s="48"/>
      <c r="BV546" s="48"/>
      <c r="BW546" s="48"/>
      <c r="BX546" s="48"/>
      <c r="BY546" s="48"/>
      <c r="BZ546" s="4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row>
    <row r="547" spans="27:104" s="4" customFormat="1" x14ac:dyDescent="0.3">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14"/>
      <c r="BC547" s="48"/>
      <c r="BD547" s="48"/>
      <c r="BE547" s="48"/>
      <c r="BF547" s="48"/>
      <c r="BG547" s="48"/>
      <c r="BH547" s="48"/>
      <c r="BI547" s="48"/>
      <c r="BJ547" s="48"/>
      <c r="BK547" s="48"/>
      <c r="BL547" s="48"/>
      <c r="BM547" s="48"/>
      <c r="BN547" s="48"/>
      <c r="BO547" s="48"/>
      <c r="BP547" s="48"/>
      <c r="BQ547" s="48"/>
      <c r="BR547" s="48"/>
      <c r="BS547" s="48"/>
      <c r="BT547" s="48"/>
      <c r="BU547" s="48"/>
      <c r="BV547" s="48"/>
      <c r="BW547" s="48"/>
      <c r="BX547" s="48"/>
      <c r="BY547" s="48"/>
      <c r="BZ547" s="48"/>
      <c r="CA547" s="48"/>
      <c r="CB547" s="48"/>
      <c r="CC547" s="48"/>
      <c r="CD547" s="48"/>
      <c r="CE547" s="48"/>
      <c r="CF547" s="48"/>
      <c r="CG547" s="48"/>
      <c r="CH547" s="48"/>
      <c r="CI547" s="48"/>
      <c r="CJ547" s="48"/>
      <c r="CK547" s="48"/>
      <c r="CL547" s="48"/>
      <c r="CM547" s="48"/>
      <c r="CN547" s="48"/>
      <c r="CO547" s="48"/>
      <c r="CP547" s="48"/>
      <c r="CQ547" s="48"/>
      <c r="CR547" s="48"/>
      <c r="CS547" s="48"/>
      <c r="CT547" s="48"/>
      <c r="CU547" s="48"/>
      <c r="CV547" s="48"/>
      <c r="CW547" s="48"/>
      <c r="CX547" s="48"/>
      <c r="CY547" s="48"/>
      <c r="CZ547" s="48"/>
    </row>
    <row r="548" spans="27:104" s="4" customFormat="1" x14ac:dyDescent="0.3">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14"/>
      <c r="BC548" s="48"/>
      <c r="BD548" s="48"/>
      <c r="BE548" s="48"/>
      <c r="BF548" s="48"/>
      <c r="BG548" s="48"/>
      <c r="BH548" s="48"/>
      <c r="BI548" s="48"/>
      <c r="BJ548" s="48"/>
      <c r="BK548" s="48"/>
      <c r="BL548" s="48"/>
      <c r="BM548" s="48"/>
      <c r="BN548" s="48"/>
      <c r="BO548" s="48"/>
      <c r="BP548" s="48"/>
      <c r="BQ548" s="48"/>
      <c r="BR548" s="48"/>
      <c r="BS548" s="48"/>
      <c r="BT548" s="48"/>
      <c r="BU548" s="48"/>
      <c r="BV548" s="48"/>
      <c r="BW548" s="48"/>
      <c r="BX548" s="48"/>
      <c r="BY548" s="48"/>
      <c r="BZ548" s="48"/>
      <c r="CA548" s="48"/>
      <c r="CB548" s="48"/>
      <c r="CC548" s="48"/>
      <c r="CD548" s="48"/>
      <c r="CE548" s="48"/>
      <c r="CF548" s="48"/>
      <c r="CG548" s="48"/>
      <c r="CH548" s="48"/>
      <c r="CI548" s="48"/>
      <c r="CJ548" s="48"/>
      <c r="CK548" s="48"/>
      <c r="CL548" s="48"/>
      <c r="CM548" s="48"/>
      <c r="CN548" s="48"/>
      <c r="CO548" s="48"/>
      <c r="CP548" s="48"/>
      <c r="CQ548" s="48"/>
      <c r="CR548" s="48"/>
      <c r="CS548" s="48"/>
      <c r="CT548" s="48"/>
      <c r="CU548" s="48"/>
      <c r="CV548" s="48"/>
      <c r="CW548" s="48"/>
      <c r="CX548" s="48"/>
      <c r="CY548" s="48"/>
      <c r="CZ548" s="48"/>
    </row>
    <row r="549" spans="27:104" s="4" customFormat="1" x14ac:dyDescent="0.3">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14"/>
      <c r="BC549" s="48"/>
      <c r="BD549" s="48"/>
      <c r="BE549" s="48"/>
      <c r="BF549" s="48"/>
      <c r="BG549" s="48"/>
      <c r="BH549" s="48"/>
      <c r="BI549" s="48"/>
      <c r="BJ549" s="48"/>
      <c r="BK549" s="48"/>
      <c r="BL549" s="48"/>
      <c r="BM549" s="48"/>
      <c r="BN549" s="48"/>
      <c r="BO549" s="48"/>
      <c r="BP549" s="48"/>
      <c r="BQ549" s="48"/>
      <c r="BR549" s="48"/>
      <c r="BS549" s="48"/>
      <c r="BT549" s="48"/>
      <c r="BU549" s="48"/>
      <c r="BV549" s="48"/>
      <c r="BW549" s="48"/>
      <c r="BX549" s="48"/>
      <c r="BY549" s="48"/>
      <c r="BZ549" s="48"/>
      <c r="CA549" s="48"/>
      <c r="CB549" s="48"/>
      <c r="CC549" s="48"/>
      <c r="CD549" s="48"/>
      <c r="CE549" s="48"/>
      <c r="CF549" s="48"/>
      <c r="CG549" s="48"/>
      <c r="CH549" s="48"/>
      <c r="CI549" s="48"/>
      <c r="CJ549" s="48"/>
      <c r="CK549" s="48"/>
      <c r="CL549" s="48"/>
      <c r="CM549" s="48"/>
      <c r="CN549" s="48"/>
      <c r="CO549" s="48"/>
      <c r="CP549" s="48"/>
      <c r="CQ549" s="48"/>
      <c r="CR549" s="48"/>
      <c r="CS549" s="48"/>
      <c r="CT549" s="48"/>
      <c r="CU549" s="48"/>
      <c r="CV549" s="48"/>
      <c r="CW549" s="48"/>
      <c r="CX549" s="48"/>
      <c r="CY549" s="48"/>
      <c r="CZ549" s="48"/>
    </row>
    <row r="550" spans="27:104" s="4" customFormat="1" x14ac:dyDescent="0.3">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14"/>
      <c r="BC550" s="48"/>
      <c r="BD550" s="48"/>
      <c r="BE550" s="48"/>
      <c r="BF550" s="48"/>
      <c r="BG550" s="48"/>
      <c r="BH550" s="48"/>
      <c r="BI550" s="48"/>
      <c r="BJ550" s="48"/>
      <c r="BK550" s="48"/>
      <c r="BL550" s="48"/>
      <c r="BM550" s="48"/>
      <c r="BN550" s="48"/>
      <c r="BO550" s="48"/>
      <c r="BP550" s="48"/>
      <c r="BQ550" s="48"/>
      <c r="BR550" s="48"/>
      <c r="BS550" s="48"/>
      <c r="BT550" s="48"/>
      <c r="BU550" s="48"/>
      <c r="BV550" s="48"/>
      <c r="BW550" s="48"/>
      <c r="BX550" s="48"/>
      <c r="BY550" s="48"/>
      <c r="BZ550" s="48"/>
      <c r="CA550" s="48"/>
      <c r="CB550" s="48"/>
      <c r="CC550" s="48"/>
      <c r="CD550" s="48"/>
      <c r="CE550" s="48"/>
      <c r="CF550" s="48"/>
      <c r="CG550" s="48"/>
      <c r="CH550" s="48"/>
      <c r="CI550" s="48"/>
      <c r="CJ550" s="48"/>
      <c r="CK550" s="48"/>
      <c r="CL550" s="48"/>
      <c r="CM550" s="48"/>
      <c r="CN550" s="48"/>
      <c r="CO550" s="48"/>
      <c r="CP550" s="48"/>
      <c r="CQ550" s="48"/>
      <c r="CR550" s="48"/>
      <c r="CS550" s="48"/>
      <c r="CT550" s="48"/>
      <c r="CU550" s="48"/>
      <c r="CV550" s="48"/>
      <c r="CW550" s="48"/>
      <c r="CX550" s="48"/>
      <c r="CY550" s="48"/>
      <c r="CZ550" s="48"/>
    </row>
    <row r="551" spans="27:104" s="4" customFormat="1" x14ac:dyDescent="0.3">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14"/>
      <c r="BC551" s="48"/>
      <c r="BD551" s="48"/>
      <c r="BE551" s="48"/>
      <c r="BF551" s="48"/>
      <c r="BG551" s="48"/>
      <c r="BH551" s="48"/>
      <c r="BI551" s="48"/>
      <c r="BJ551" s="48"/>
      <c r="BK551" s="48"/>
      <c r="BL551" s="48"/>
      <c r="BM551" s="48"/>
      <c r="BN551" s="48"/>
      <c r="BO551" s="48"/>
      <c r="BP551" s="48"/>
      <c r="BQ551" s="48"/>
      <c r="BR551" s="48"/>
      <c r="BS551" s="48"/>
      <c r="BT551" s="48"/>
      <c r="BU551" s="48"/>
      <c r="BV551" s="48"/>
      <c r="BW551" s="48"/>
      <c r="BX551" s="48"/>
      <c r="BY551" s="48"/>
      <c r="BZ551" s="48"/>
      <c r="CA551" s="48"/>
      <c r="CB551" s="48"/>
      <c r="CC551" s="48"/>
      <c r="CD551" s="48"/>
      <c r="CE551" s="48"/>
      <c r="CF551" s="48"/>
      <c r="CG551" s="48"/>
      <c r="CH551" s="48"/>
      <c r="CI551" s="48"/>
      <c r="CJ551" s="48"/>
      <c r="CK551" s="48"/>
      <c r="CL551" s="48"/>
      <c r="CM551" s="48"/>
      <c r="CN551" s="48"/>
      <c r="CO551" s="48"/>
      <c r="CP551" s="48"/>
      <c r="CQ551" s="48"/>
      <c r="CR551" s="48"/>
      <c r="CS551" s="48"/>
      <c r="CT551" s="48"/>
      <c r="CU551" s="48"/>
      <c r="CV551" s="48"/>
      <c r="CW551" s="48"/>
      <c r="CX551" s="48"/>
      <c r="CY551" s="48"/>
      <c r="CZ551" s="48"/>
    </row>
    <row r="552" spans="27:104" s="4" customFormat="1" x14ac:dyDescent="0.3">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14"/>
      <c r="BC552" s="48"/>
      <c r="BD552" s="48"/>
      <c r="BE552" s="48"/>
      <c r="BF552" s="48"/>
      <c r="BG552" s="48"/>
      <c r="BH552" s="48"/>
      <c r="BI552" s="48"/>
      <c r="BJ552" s="48"/>
      <c r="BK552" s="48"/>
      <c r="BL552" s="48"/>
      <c r="BM552" s="48"/>
      <c r="BN552" s="48"/>
      <c r="BO552" s="48"/>
      <c r="BP552" s="48"/>
      <c r="BQ552" s="48"/>
      <c r="BR552" s="48"/>
      <c r="BS552" s="48"/>
      <c r="BT552" s="48"/>
      <c r="BU552" s="48"/>
      <c r="BV552" s="48"/>
      <c r="BW552" s="48"/>
      <c r="BX552" s="48"/>
      <c r="BY552" s="48"/>
      <c r="BZ552" s="48"/>
      <c r="CA552" s="48"/>
      <c r="CB552" s="48"/>
      <c r="CC552" s="48"/>
      <c r="CD552" s="48"/>
      <c r="CE552" s="48"/>
      <c r="CF552" s="48"/>
      <c r="CG552" s="48"/>
      <c r="CH552" s="48"/>
      <c r="CI552" s="48"/>
      <c r="CJ552" s="48"/>
      <c r="CK552" s="48"/>
      <c r="CL552" s="48"/>
      <c r="CM552" s="48"/>
      <c r="CN552" s="48"/>
      <c r="CO552" s="48"/>
      <c r="CP552" s="48"/>
      <c r="CQ552" s="48"/>
      <c r="CR552" s="48"/>
      <c r="CS552" s="48"/>
      <c r="CT552" s="48"/>
      <c r="CU552" s="48"/>
      <c r="CV552" s="48"/>
      <c r="CW552" s="48"/>
      <c r="CX552" s="48"/>
      <c r="CY552" s="48"/>
      <c r="CZ552" s="48"/>
    </row>
    <row r="553" spans="27:104" s="4" customFormat="1" x14ac:dyDescent="0.3">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14"/>
      <c r="BC553" s="48"/>
      <c r="BD553" s="48"/>
      <c r="BE553" s="48"/>
      <c r="BF553" s="48"/>
      <c r="BG553" s="48"/>
      <c r="BH553" s="48"/>
      <c r="BI553" s="48"/>
      <c r="BJ553" s="48"/>
      <c r="BK553" s="48"/>
      <c r="BL553" s="48"/>
      <c r="BM553" s="48"/>
      <c r="BN553" s="48"/>
      <c r="BO553" s="48"/>
      <c r="BP553" s="48"/>
      <c r="BQ553" s="48"/>
      <c r="BR553" s="48"/>
      <c r="BS553" s="48"/>
      <c r="BT553" s="48"/>
      <c r="BU553" s="48"/>
      <c r="BV553" s="48"/>
      <c r="BW553" s="48"/>
      <c r="BX553" s="48"/>
      <c r="BY553" s="48"/>
      <c r="BZ553" s="48"/>
      <c r="CA553" s="48"/>
      <c r="CB553" s="48"/>
      <c r="CC553" s="48"/>
      <c r="CD553" s="48"/>
      <c r="CE553" s="48"/>
      <c r="CF553" s="48"/>
      <c r="CG553" s="48"/>
      <c r="CH553" s="48"/>
      <c r="CI553" s="48"/>
      <c r="CJ553" s="48"/>
      <c r="CK553" s="48"/>
      <c r="CL553" s="48"/>
      <c r="CM553" s="48"/>
      <c r="CN553" s="48"/>
      <c r="CO553" s="48"/>
      <c r="CP553" s="48"/>
      <c r="CQ553" s="48"/>
      <c r="CR553" s="48"/>
      <c r="CS553" s="48"/>
      <c r="CT553" s="48"/>
      <c r="CU553" s="48"/>
      <c r="CV553" s="48"/>
      <c r="CW553" s="48"/>
      <c r="CX553" s="48"/>
      <c r="CY553" s="48"/>
      <c r="CZ553" s="48"/>
    </row>
    <row r="554" spans="27:104" s="4" customFormat="1" x14ac:dyDescent="0.3">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14"/>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row>
    <row r="555" spans="27:104" s="4" customFormat="1" x14ac:dyDescent="0.3">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14"/>
      <c r="BC555" s="48"/>
      <c r="BD555" s="48"/>
      <c r="BE555" s="48"/>
      <c r="BF555" s="48"/>
      <c r="BG555" s="48"/>
      <c r="BH555" s="48"/>
      <c r="BI555" s="48"/>
      <c r="BJ555" s="48"/>
      <c r="BK555" s="48"/>
      <c r="BL555" s="48"/>
      <c r="BM555" s="48"/>
      <c r="BN555" s="48"/>
      <c r="BO555" s="48"/>
      <c r="BP555" s="48"/>
      <c r="BQ555" s="48"/>
      <c r="BR555" s="48"/>
      <c r="BS555" s="48"/>
      <c r="BT555" s="48"/>
      <c r="BU555" s="48"/>
      <c r="BV555" s="48"/>
      <c r="BW555" s="48"/>
      <c r="BX555" s="48"/>
      <c r="BY555" s="48"/>
      <c r="BZ555" s="48"/>
      <c r="CA555" s="48"/>
      <c r="CB555" s="48"/>
      <c r="CC555" s="48"/>
      <c r="CD555" s="48"/>
      <c r="CE555" s="48"/>
      <c r="CF555" s="48"/>
      <c r="CG555" s="48"/>
      <c r="CH555" s="48"/>
      <c r="CI555" s="48"/>
      <c r="CJ555" s="48"/>
      <c r="CK555" s="48"/>
      <c r="CL555" s="48"/>
      <c r="CM555" s="48"/>
      <c r="CN555" s="48"/>
      <c r="CO555" s="48"/>
      <c r="CP555" s="48"/>
      <c r="CQ555" s="48"/>
      <c r="CR555" s="48"/>
      <c r="CS555" s="48"/>
      <c r="CT555" s="48"/>
      <c r="CU555" s="48"/>
      <c r="CV555" s="48"/>
      <c r="CW555" s="48"/>
      <c r="CX555" s="48"/>
      <c r="CY555" s="48"/>
      <c r="CZ555" s="48"/>
    </row>
    <row r="556" spans="27:104" s="4" customFormat="1" x14ac:dyDescent="0.3">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14"/>
      <c r="BC556" s="48"/>
      <c r="BD556" s="48"/>
      <c r="BE556" s="48"/>
      <c r="BF556" s="48"/>
      <c r="BG556" s="48"/>
      <c r="BH556" s="48"/>
      <c r="BI556" s="48"/>
      <c r="BJ556" s="48"/>
      <c r="BK556" s="48"/>
      <c r="BL556" s="48"/>
      <c r="BM556" s="48"/>
      <c r="BN556" s="48"/>
      <c r="BO556" s="48"/>
      <c r="BP556" s="48"/>
      <c r="BQ556" s="48"/>
      <c r="BR556" s="48"/>
      <c r="BS556" s="48"/>
      <c r="BT556" s="48"/>
      <c r="BU556" s="48"/>
      <c r="BV556" s="48"/>
      <c r="BW556" s="48"/>
      <c r="BX556" s="48"/>
      <c r="BY556" s="48"/>
      <c r="BZ556" s="48"/>
      <c r="CA556" s="48"/>
      <c r="CB556" s="48"/>
      <c r="CC556" s="48"/>
      <c r="CD556" s="48"/>
      <c r="CE556" s="48"/>
      <c r="CF556" s="48"/>
      <c r="CG556" s="48"/>
      <c r="CH556" s="48"/>
      <c r="CI556" s="48"/>
      <c r="CJ556" s="48"/>
      <c r="CK556" s="48"/>
      <c r="CL556" s="48"/>
      <c r="CM556" s="48"/>
      <c r="CN556" s="48"/>
      <c r="CO556" s="48"/>
      <c r="CP556" s="48"/>
      <c r="CQ556" s="48"/>
      <c r="CR556" s="48"/>
      <c r="CS556" s="48"/>
      <c r="CT556" s="48"/>
      <c r="CU556" s="48"/>
      <c r="CV556" s="48"/>
      <c r="CW556" s="48"/>
      <c r="CX556" s="48"/>
      <c r="CY556" s="48"/>
      <c r="CZ556" s="48"/>
    </row>
    <row r="557" spans="27:104" s="4" customFormat="1" x14ac:dyDescent="0.3">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14"/>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8"/>
      <c r="BY557" s="48"/>
      <c r="BZ557" s="48"/>
      <c r="CA557" s="48"/>
      <c r="CB557" s="48"/>
      <c r="CC557" s="48"/>
      <c r="CD557" s="48"/>
      <c r="CE557" s="48"/>
      <c r="CF557" s="48"/>
      <c r="CG557" s="48"/>
      <c r="CH557" s="48"/>
      <c r="CI557" s="48"/>
      <c r="CJ557" s="48"/>
      <c r="CK557" s="48"/>
      <c r="CL557" s="48"/>
      <c r="CM557" s="48"/>
      <c r="CN557" s="48"/>
      <c r="CO557" s="48"/>
      <c r="CP557" s="48"/>
      <c r="CQ557" s="48"/>
      <c r="CR557" s="48"/>
      <c r="CS557" s="48"/>
      <c r="CT557" s="48"/>
      <c r="CU557" s="48"/>
      <c r="CV557" s="48"/>
      <c r="CW557" s="48"/>
      <c r="CX557" s="48"/>
      <c r="CY557" s="48"/>
      <c r="CZ557" s="48"/>
    </row>
    <row r="558" spans="27:104" s="4" customFormat="1" x14ac:dyDescent="0.3">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14"/>
      <c r="BC558" s="48"/>
      <c r="BD558" s="48"/>
      <c r="BE558" s="48"/>
      <c r="BF558" s="48"/>
      <c r="BG558" s="48"/>
      <c r="BH558" s="48"/>
      <c r="BI558" s="48"/>
      <c r="BJ558" s="48"/>
      <c r="BK558" s="48"/>
      <c r="BL558" s="48"/>
      <c r="BM558" s="48"/>
      <c r="BN558" s="48"/>
      <c r="BO558" s="48"/>
      <c r="BP558" s="48"/>
      <c r="BQ558" s="48"/>
      <c r="BR558" s="48"/>
      <c r="BS558" s="48"/>
      <c r="BT558" s="48"/>
      <c r="BU558" s="48"/>
      <c r="BV558" s="48"/>
      <c r="BW558" s="48"/>
      <c r="BX558" s="48"/>
      <c r="BY558" s="48"/>
      <c r="BZ558" s="48"/>
      <c r="CA558" s="48"/>
      <c r="CB558" s="48"/>
      <c r="CC558" s="48"/>
      <c r="CD558" s="48"/>
      <c r="CE558" s="48"/>
      <c r="CF558" s="48"/>
      <c r="CG558" s="48"/>
      <c r="CH558" s="48"/>
      <c r="CI558" s="48"/>
      <c r="CJ558" s="48"/>
      <c r="CK558" s="48"/>
      <c r="CL558" s="48"/>
      <c r="CM558" s="48"/>
      <c r="CN558" s="48"/>
      <c r="CO558" s="48"/>
      <c r="CP558" s="48"/>
      <c r="CQ558" s="48"/>
      <c r="CR558" s="48"/>
      <c r="CS558" s="48"/>
      <c r="CT558" s="48"/>
      <c r="CU558" s="48"/>
      <c r="CV558" s="48"/>
      <c r="CW558" s="48"/>
      <c r="CX558" s="48"/>
      <c r="CY558" s="48"/>
      <c r="CZ558" s="48"/>
    </row>
    <row r="559" spans="27:104" s="4" customFormat="1" x14ac:dyDescent="0.3">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14"/>
      <c r="BC559" s="48"/>
      <c r="BD559" s="48"/>
      <c r="BE559" s="48"/>
      <c r="BF559" s="48"/>
      <c r="BG559" s="48"/>
      <c r="BH559" s="48"/>
      <c r="BI559" s="48"/>
      <c r="BJ559" s="48"/>
      <c r="BK559" s="48"/>
      <c r="BL559" s="48"/>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row>
    <row r="560" spans="27:104" s="4" customFormat="1" x14ac:dyDescent="0.3">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14"/>
      <c r="BC560" s="48"/>
      <c r="BD560" s="48"/>
      <c r="BE560" s="48"/>
      <c r="BF560" s="48"/>
      <c r="BG560" s="48"/>
      <c r="BH560" s="48"/>
      <c r="BI560" s="48"/>
      <c r="BJ560" s="48"/>
      <c r="BK560" s="48"/>
      <c r="BL560" s="48"/>
      <c r="BM560" s="48"/>
      <c r="BN560" s="48"/>
      <c r="BO560" s="48"/>
      <c r="BP560" s="48"/>
      <c r="BQ560" s="48"/>
      <c r="BR560" s="48"/>
      <c r="BS560" s="48"/>
      <c r="BT560" s="48"/>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row>
    <row r="561" spans="27:104" s="4" customFormat="1" x14ac:dyDescent="0.3">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14"/>
      <c r="BC561" s="48"/>
      <c r="BD561" s="48"/>
      <c r="BE561" s="48"/>
      <c r="BF561" s="48"/>
      <c r="BG561" s="48"/>
      <c r="BH561" s="48"/>
      <c r="BI561" s="48"/>
      <c r="BJ561" s="48"/>
      <c r="BK561" s="48"/>
      <c r="BL561" s="48"/>
      <c r="BM561" s="48"/>
      <c r="BN561" s="48"/>
      <c r="BO561" s="48"/>
      <c r="BP561" s="48"/>
      <c r="BQ561" s="48"/>
      <c r="BR561" s="48"/>
      <c r="BS561" s="48"/>
      <c r="BT561" s="48"/>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row>
    <row r="562" spans="27:104" s="4" customFormat="1" x14ac:dyDescent="0.3">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14"/>
      <c r="BC562" s="48"/>
      <c r="BD562" s="48"/>
      <c r="BE562" s="48"/>
      <c r="BF562" s="48"/>
      <c r="BG562" s="48"/>
      <c r="BH562" s="48"/>
      <c r="BI562" s="48"/>
      <c r="BJ562" s="48"/>
      <c r="BK562" s="48"/>
      <c r="BL562" s="48"/>
      <c r="BM562" s="48"/>
      <c r="BN562" s="48"/>
      <c r="BO562" s="48"/>
      <c r="BP562" s="48"/>
      <c r="BQ562" s="48"/>
      <c r="BR562" s="48"/>
      <c r="BS562" s="48"/>
      <c r="BT562" s="48"/>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row>
    <row r="563" spans="27:104" s="4" customFormat="1" x14ac:dyDescent="0.3">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14"/>
      <c r="BC563" s="48"/>
      <c r="BD563" s="48"/>
      <c r="BE563" s="48"/>
      <c r="BF563" s="48"/>
      <c r="BG563" s="48"/>
      <c r="BH563" s="48"/>
      <c r="BI563" s="48"/>
      <c r="BJ563" s="48"/>
      <c r="BK563" s="48"/>
      <c r="BL563" s="48"/>
      <c r="BM563" s="48"/>
      <c r="BN563" s="48"/>
      <c r="BO563" s="48"/>
      <c r="BP563" s="48"/>
      <c r="BQ563" s="48"/>
      <c r="BR563" s="48"/>
      <c r="BS563" s="48"/>
      <c r="BT563" s="48"/>
      <c r="BU563" s="48"/>
      <c r="BV563" s="48"/>
      <c r="BW563" s="48"/>
      <c r="BX563" s="48"/>
      <c r="BY563" s="48"/>
      <c r="BZ563" s="48"/>
      <c r="CA563" s="48"/>
      <c r="CB563" s="48"/>
      <c r="CC563" s="48"/>
      <c r="CD563" s="48"/>
      <c r="CE563" s="48"/>
      <c r="CF563" s="48"/>
      <c r="CG563" s="48"/>
      <c r="CH563" s="48"/>
      <c r="CI563" s="48"/>
      <c r="CJ563" s="48"/>
      <c r="CK563" s="48"/>
      <c r="CL563" s="48"/>
      <c r="CM563" s="48"/>
      <c r="CN563" s="48"/>
      <c r="CO563" s="48"/>
      <c r="CP563" s="48"/>
      <c r="CQ563" s="48"/>
      <c r="CR563" s="48"/>
      <c r="CS563" s="48"/>
      <c r="CT563" s="48"/>
      <c r="CU563" s="48"/>
      <c r="CV563" s="48"/>
      <c r="CW563" s="48"/>
      <c r="CX563" s="48"/>
      <c r="CY563" s="48"/>
      <c r="CZ563" s="48"/>
    </row>
    <row r="564" spans="27:104" s="4" customFormat="1" x14ac:dyDescent="0.3">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14"/>
      <c r="BC564" s="48"/>
      <c r="BD564" s="48"/>
      <c r="BE564" s="48"/>
      <c r="BF564" s="48"/>
      <c r="BG564" s="48"/>
      <c r="BH564" s="48"/>
      <c r="BI564" s="48"/>
      <c r="BJ564" s="48"/>
      <c r="BK564" s="48"/>
      <c r="BL564" s="4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row>
    <row r="565" spans="27:104" s="4" customFormat="1" x14ac:dyDescent="0.3">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14"/>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row>
    <row r="566" spans="27:104" s="4" customFormat="1" x14ac:dyDescent="0.3">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14"/>
      <c r="BC566" s="48"/>
      <c r="BD566" s="48"/>
      <c r="BE566" s="48"/>
      <c r="BF566" s="48"/>
      <c r="BG566" s="48"/>
      <c r="BH566" s="48"/>
      <c r="BI566" s="48"/>
      <c r="BJ566" s="48"/>
      <c r="BK566" s="48"/>
      <c r="BL566" s="48"/>
      <c r="BM566" s="48"/>
      <c r="BN566" s="48"/>
      <c r="BO566" s="48"/>
      <c r="BP566" s="48"/>
      <c r="BQ566" s="48"/>
      <c r="BR566" s="48"/>
      <c r="BS566" s="48"/>
      <c r="BT566" s="48"/>
      <c r="BU566" s="48"/>
      <c r="BV566" s="48"/>
      <c r="BW566" s="48"/>
      <c r="BX566" s="48"/>
      <c r="BY566" s="48"/>
      <c r="BZ566" s="48"/>
      <c r="CA566" s="48"/>
      <c r="CB566" s="48"/>
      <c r="CC566" s="48"/>
      <c r="CD566" s="48"/>
      <c r="CE566" s="48"/>
      <c r="CF566" s="48"/>
      <c r="CG566" s="48"/>
      <c r="CH566" s="48"/>
      <c r="CI566" s="48"/>
      <c r="CJ566" s="48"/>
      <c r="CK566" s="48"/>
      <c r="CL566" s="48"/>
      <c r="CM566" s="48"/>
      <c r="CN566" s="48"/>
      <c r="CO566" s="48"/>
      <c r="CP566" s="48"/>
      <c r="CQ566" s="48"/>
      <c r="CR566" s="48"/>
      <c r="CS566" s="48"/>
      <c r="CT566" s="48"/>
      <c r="CU566" s="48"/>
      <c r="CV566" s="48"/>
      <c r="CW566" s="48"/>
      <c r="CX566" s="48"/>
      <c r="CY566" s="48"/>
      <c r="CZ566" s="48"/>
    </row>
    <row r="567" spans="27:104" s="4" customFormat="1" x14ac:dyDescent="0.3">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14"/>
      <c r="BC567" s="48"/>
      <c r="BD567" s="48"/>
      <c r="BE567" s="48"/>
      <c r="BF567" s="48"/>
      <c r="BG567" s="48"/>
      <c r="BH567" s="48"/>
      <c r="BI567" s="48"/>
      <c r="BJ567" s="48"/>
      <c r="BK567" s="48"/>
      <c r="BL567" s="48"/>
      <c r="BM567" s="48"/>
      <c r="BN567" s="48"/>
      <c r="BO567" s="48"/>
      <c r="BP567" s="48"/>
      <c r="BQ567" s="48"/>
      <c r="BR567" s="48"/>
      <c r="BS567" s="48"/>
      <c r="BT567" s="48"/>
      <c r="BU567" s="48"/>
      <c r="BV567" s="48"/>
      <c r="BW567" s="48"/>
      <c r="BX567" s="48"/>
      <c r="BY567" s="48"/>
      <c r="BZ567" s="48"/>
      <c r="CA567" s="48"/>
      <c r="CB567" s="48"/>
      <c r="CC567" s="48"/>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row>
    <row r="568" spans="27:104" s="4" customFormat="1" x14ac:dyDescent="0.3">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14"/>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row>
    <row r="569" spans="27:104" s="4" customFormat="1" x14ac:dyDescent="0.3">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14"/>
      <c r="BC569" s="48"/>
      <c r="BD569" s="48"/>
      <c r="BE569" s="48"/>
      <c r="BF569" s="48"/>
      <c r="BG569" s="48"/>
      <c r="BH569" s="48"/>
      <c r="BI569" s="48"/>
      <c r="BJ569" s="48"/>
      <c r="BK569" s="48"/>
      <c r="BL569" s="48"/>
      <c r="BM569" s="48"/>
      <c r="BN569" s="48"/>
      <c r="BO569" s="48"/>
      <c r="BP569" s="48"/>
      <c r="BQ569" s="48"/>
      <c r="BR569" s="48"/>
      <c r="BS569" s="48"/>
      <c r="BT569" s="48"/>
      <c r="BU569" s="48"/>
      <c r="BV569" s="48"/>
      <c r="BW569" s="48"/>
      <c r="BX569" s="48"/>
      <c r="BY569" s="48"/>
      <c r="BZ569" s="48"/>
      <c r="CA569" s="48"/>
      <c r="CB569" s="48"/>
      <c r="CC569" s="48"/>
      <c r="CD569" s="48"/>
      <c r="CE569" s="48"/>
      <c r="CF569" s="48"/>
      <c r="CG569" s="48"/>
      <c r="CH569" s="48"/>
      <c r="CI569" s="48"/>
      <c r="CJ569" s="48"/>
      <c r="CK569" s="48"/>
      <c r="CL569" s="48"/>
      <c r="CM569" s="48"/>
      <c r="CN569" s="48"/>
      <c r="CO569" s="48"/>
      <c r="CP569" s="48"/>
      <c r="CQ569" s="48"/>
      <c r="CR569" s="48"/>
      <c r="CS569" s="48"/>
      <c r="CT569" s="48"/>
      <c r="CU569" s="48"/>
      <c r="CV569" s="48"/>
      <c r="CW569" s="48"/>
      <c r="CX569" s="48"/>
      <c r="CY569" s="48"/>
      <c r="CZ569" s="48"/>
    </row>
    <row r="570" spans="27:104" s="4" customFormat="1" x14ac:dyDescent="0.3">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14"/>
      <c r="BC570" s="48"/>
      <c r="BD570" s="48"/>
      <c r="BE570" s="48"/>
      <c r="BF570" s="48"/>
      <c r="BG570" s="48"/>
      <c r="BH570" s="48"/>
      <c r="BI570" s="48"/>
      <c r="BJ570" s="48"/>
      <c r="BK570" s="48"/>
      <c r="BL570" s="48"/>
      <c r="BM570" s="48"/>
      <c r="BN570" s="48"/>
      <c r="BO570" s="48"/>
      <c r="BP570" s="48"/>
      <c r="BQ570" s="48"/>
      <c r="BR570" s="48"/>
      <c r="BS570" s="48"/>
      <c r="BT570" s="48"/>
      <c r="BU570" s="48"/>
      <c r="BV570" s="48"/>
      <c r="BW570" s="48"/>
      <c r="BX570" s="48"/>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row>
    <row r="571" spans="27:104" s="4" customFormat="1" x14ac:dyDescent="0.3">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14"/>
      <c r="BC571" s="48"/>
      <c r="BD571" s="48"/>
      <c r="BE571" s="48"/>
      <c r="BF571" s="48"/>
      <c r="BG571" s="48"/>
      <c r="BH571" s="48"/>
      <c r="BI571" s="48"/>
      <c r="BJ571" s="48"/>
      <c r="BK571" s="48"/>
      <c r="BL571" s="48"/>
      <c r="BM571" s="48"/>
      <c r="BN571" s="48"/>
      <c r="BO571" s="48"/>
      <c r="BP571" s="48"/>
      <c r="BQ571" s="48"/>
      <c r="BR571" s="48"/>
      <c r="BS571" s="48"/>
      <c r="BT571" s="48"/>
      <c r="BU571" s="48"/>
      <c r="BV571" s="48"/>
      <c r="BW571" s="48"/>
      <c r="BX571" s="48"/>
      <c r="BY571" s="48"/>
      <c r="BZ571" s="48"/>
      <c r="CA571" s="48"/>
      <c r="CB571" s="48"/>
      <c r="CC571" s="48"/>
      <c r="CD571" s="48"/>
      <c r="CE571" s="48"/>
      <c r="CF571" s="48"/>
      <c r="CG571" s="48"/>
      <c r="CH571" s="48"/>
      <c r="CI571" s="48"/>
      <c r="CJ571" s="48"/>
      <c r="CK571" s="48"/>
      <c r="CL571" s="48"/>
      <c r="CM571" s="48"/>
      <c r="CN571" s="48"/>
      <c r="CO571" s="48"/>
      <c r="CP571" s="48"/>
      <c r="CQ571" s="48"/>
      <c r="CR571" s="48"/>
      <c r="CS571" s="48"/>
      <c r="CT571" s="48"/>
      <c r="CU571" s="48"/>
      <c r="CV571" s="48"/>
      <c r="CW571" s="48"/>
      <c r="CX571" s="48"/>
      <c r="CY571" s="48"/>
      <c r="CZ571" s="48"/>
    </row>
    <row r="572" spans="27:104" s="4" customFormat="1" x14ac:dyDescent="0.3">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14"/>
      <c r="BC572" s="48"/>
      <c r="BD572" s="48"/>
      <c r="BE572" s="48"/>
      <c r="BF572" s="48"/>
      <c r="BG572" s="48"/>
      <c r="BH572" s="48"/>
      <c r="BI572" s="48"/>
      <c r="BJ572" s="48"/>
      <c r="BK572" s="48"/>
      <c r="BL572" s="48"/>
      <c r="BM572" s="48"/>
      <c r="BN572" s="48"/>
      <c r="BO572" s="48"/>
      <c r="BP572" s="48"/>
      <c r="BQ572" s="48"/>
      <c r="BR572" s="48"/>
      <c r="BS572" s="48"/>
      <c r="BT572" s="48"/>
      <c r="BU572" s="48"/>
      <c r="BV572" s="48"/>
      <c r="BW572" s="48"/>
      <c r="BX572" s="48"/>
      <c r="BY572" s="48"/>
      <c r="BZ572" s="48"/>
      <c r="CA572" s="48"/>
      <c r="CB572" s="48"/>
      <c r="CC572" s="48"/>
      <c r="CD572" s="48"/>
      <c r="CE572" s="48"/>
      <c r="CF572" s="48"/>
      <c r="CG572" s="48"/>
      <c r="CH572" s="48"/>
      <c r="CI572" s="48"/>
      <c r="CJ572" s="48"/>
      <c r="CK572" s="48"/>
      <c r="CL572" s="48"/>
      <c r="CM572" s="48"/>
      <c r="CN572" s="48"/>
      <c r="CO572" s="48"/>
      <c r="CP572" s="48"/>
      <c r="CQ572" s="48"/>
      <c r="CR572" s="48"/>
      <c r="CS572" s="48"/>
      <c r="CT572" s="48"/>
      <c r="CU572" s="48"/>
      <c r="CV572" s="48"/>
      <c r="CW572" s="48"/>
      <c r="CX572" s="48"/>
      <c r="CY572" s="48"/>
      <c r="CZ572" s="48"/>
    </row>
    <row r="573" spans="27:104" s="4" customFormat="1" x14ac:dyDescent="0.3">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14"/>
      <c r="BC573" s="48"/>
      <c r="BD573" s="48"/>
      <c r="BE573" s="48"/>
      <c r="BF573" s="48"/>
      <c r="BG573" s="48"/>
      <c r="BH573" s="48"/>
      <c r="BI573" s="48"/>
      <c r="BJ573" s="48"/>
      <c r="BK573" s="48"/>
      <c r="BL573" s="48"/>
      <c r="BM573" s="48"/>
      <c r="BN573" s="48"/>
      <c r="BO573" s="48"/>
      <c r="BP573" s="48"/>
      <c r="BQ573" s="48"/>
      <c r="BR573" s="48"/>
      <c r="BS573" s="48"/>
      <c r="BT573" s="48"/>
      <c r="BU573" s="48"/>
      <c r="BV573" s="48"/>
      <c r="BW573" s="48"/>
      <c r="BX573" s="48"/>
      <c r="BY573" s="48"/>
      <c r="BZ573" s="4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48"/>
      <c r="CZ573" s="48"/>
    </row>
    <row r="574" spans="27:104" s="4" customFormat="1" x14ac:dyDescent="0.3">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14"/>
      <c r="BC574" s="48"/>
      <c r="BD574" s="48"/>
      <c r="BE574" s="48"/>
      <c r="BF574" s="48"/>
      <c r="BG574" s="48"/>
      <c r="BH574" s="48"/>
      <c r="BI574" s="48"/>
      <c r="BJ574" s="48"/>
      <c r="BK574" s="48"/>
      <c r="BL574" s="48"/>
      <c r="BM574" s="48"/>
      <c r="BN574" s="48"/>
      <c r="BO574" s="48"/>
      <c r="BP574" s="48"/>
      <c r="BQ574" s="48"/>
      <c r="BR574" s="48"/>
      <c r="BS574" s="48"/>
      <c r="BT574" s="48"/>
      <c r="BU574" s="48"/>
      <c r="BV574" s="48"/>
      <c r="BW574" s="48"/>
      <c r="BX574" s="48"/>
      <c r="BY574" s="48"/>
      <c r="BZ574" s="48"/>
      <c r="CA574" s="48"/>
      <c r="CB574" s="48"/>
      <c r="CC574" s="48"/>
      <c r="CD574" s="48"/>
      <c r="CE574" s="48"/>
      <c r="CF574" s="48"/>
      <c r="CG574" s="48"/>
      <c r="CH574" s="48"/>
      <c r="CI574" s="48"/>
      <c r="CJ574" s="48"/>
      <c r="CK574" s="48"/>
      <c r="CL574" s="48"/>
      <c r="CM574" s="48"/>
      <c r="CN574" s="48"/>
      <c r="CO574" s="48"/>
      <c r="CP574" s="48"/>
      <c r="CQ574" s="48"/>
      <c r="CR574" s="48"/>
      <c r="CS574" s="48"/>
      <c r="CT574" s="48"/>
      <c r="CU574" s="48"/>
      <c r="CV574" s="48"/>
      <c r="CW574" s="48"/>
      <c r="CX574" s="48"/>
      <c r="CY574" s="48"/>
      <c r="CZ574" s="48"/>
    </row>
    <row r="575" spans="27:104" s="4" customFormat="1" x14ac:dyDescent="0.3">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14"/>
      <c r="BC575" s="48"/>
      <c r="BD575" s="48"/>
      <c r="BE575" s="48"/>
      <c r="BF575" s="48"/>
      <c r="BG575" s="48"/>
      <c r="BH575" s="48"/>
      <c r="BI575" s="48"/>
      <c r="BJ575" s="48"/>
      <c r="BK575" s="48"/>
      <c r="BL575" s="48"/>
      <c r="BM575" s="48"/>
      <c r="BN575" s="48"/>
      <c r="BO575" s="48"/>
      <c r="BP575" s="48"/>
      <c r="BQ575" s="48"/>
      <c r="BR575" s="48"/>
      <c r="BS575" s="48"/>
      <c r="BT575" s="48"/>
      <c r="BU575" s="48"/>
      <c r="BV575" s="48"/>
      <c r="BW575" s="48"/>
      <c r="BX575" s="48"/>
      <c r="BY575" s="48"/>
      <c r="BZ575" s="48"/>
      <c r="CA575" s="48"/>
      <c r="CB575" s="48"/>
      <c r="CC575" s="48"/>
      <c r="CD575" s="48"/>
      <c r="CE575" s="48"/>
      <c r="CF575" s="48"/>
      <c r="CG575" s="48"/>
      <c r="CH575" s="48"/>
      <c r="CI575" s="48"/>
      <c r="CJ575" s="48"/>
      <c r="CK575" s="48"/>
      <c r="CL575" s="48"/>
      <c r="CM575" s="48"/>
      <c r="CN575" s="48"/>
      <c r="CO575" s="48"/>
      <c r="CP575" s="48"/>
      <c r="CQ575" s="48"/>
      <c r="CR575" s="48"/>
      <c r="CS575" s="48"/>
      <c r="CT575" s="48"/>
      <c r="CU575" s="48"/>
      <c r="CV575" s="48"/>
      <c r="CW575" s="48"/>
      <c r="CX575" s="48"/>
      <c r="CY575" s="48"/>
      <c r="CZ575" s="48"/>
    </row>
    <row r="576" spans="27:104" s="4" customFormat="1" x14ac:dyDescent="0.3">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14"/>
      <c r="BC576" s="48"/>
      <c r="BD576" s="48"/>
      <c r="BE576" s="48"/>
      <c r="BF576" s="48"/>
      <c r="BG576" s="48"/>
      <c r="BH576" s="48"/>
      <c r="BI576" s="48"/>
      <c r="BJ576" s="48"/>
      <c r="BK576" s="48"/>
      <c r="BL576" s="48"/>
      <c r="BM576" s="48"/>
      <c r="BN576" s="48"/>
      <c r="BO576" s="48"/>
      <c r="BP576" s="48"/>
      <c r="BQ576" s="48"/>
      <c r="BR576" s="48"/>
      <c r="BS576" s="48"/>
      <c r="BT576" s="48"/>
      <c r="BU576" s="48"/>
      <c r="BV576" s="48"/>
      <c r="BW576" s="48"/>
      <c r="BX576" s="48"/>
      <c r="BY576" s="48"/>
      <c r="BZ576" s="48"/>
      <c r="CA576" s="48"/>
      <c r="CB576" s="48"/>
      <c r="CC576" s="48"/>
      <c r="CD576" s="48"/>
      <c r="CE576" s="48"/>
      <c r="CF576" s="48"/>
      <c r="CG576" s="48"/>
      <c r="CH576" s="48"/>
      <c r="CI576" s="48"/>
      <c r="CJ576" s="48"/>
      <c r="CK576" s="48"/>
      <c r="CL576" s="48"/>
      <c r="CM576" s="48"/>
      <c r="CN576" s="48"/>
      <c r="CO576" s="48"/>
      <c r="CP576" s="48"/>
      <c r="CQ576" s="48"/>
      <c r="CR576" s="48"/>
      <c r="CS576" s="48"/>
      <c r="CT576" s="48"/>
      <c r="CU576" s="48"/>
      <c r="CV576" s="48"/>
      <c r="CW576" s="48"/>
      <c r="CX576" s="48"/>
      <c r="CY576" s="48"/>
      <c r="CZ576" s="48"/>
    </row>
    <row r="577" spans="27:104" s="4" customFormat="1" x14ac:dyDescent="0.3">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14"/>
      <c r="BC577" s="48"/>
      <c r="BD577" s="48"/>
      <c r="BE577" s="48"/>
      <c r="BF577" s="48"/>
      <c r="BG577" s="48"/>
      <c r="BH577" s="48"/>
      <c r="BI577" s="48"/>
      <c r="BJ577" s="48"/>
      <c r="BK577" s="48"/>
      <c r="BL577" s="48"/>
      <c r="BM577" s="48"/>
      <c r="BN577" s="48"/>
      <c r="BO577" s="48"/>
      <c r="BP577" s="48"/>
      <c r="BQ577" s="48"/>
      <c r="BR577" s="48"/>
      <c r="BS577" s="48"/>
      <c r="BT577" s="48"/>
      <c r="BU577" s="48"/>
      <c r="BV577" s="48"/>
      <c r="BW577" s="48"/>
      <c r="BX577" s="48"/>
      <c r="BY577" s="48"/>
      <c r="BZ577" s="48"/>
      <c r="CA577" s="48"/>
      <c r="CB577" s="48"/>
      <c r="CC577" s="48"/>
      <c r="CD577" s="48"/>
      <c r="CE577" s="48"/>
      <c r="CF577" s="48"/>
      <c r="CG577" s="48"/>
      <c r="CH577" s="48"/>
      <c r="CI577" s="48"/>
      <c r="CJ577" s="48"/>
      <c r="CK577" s="48"/>
      <c r="CL577" s="48"/>
      <c r="CM577" s="48"/>
      <c r="CN577" s="48"/>
      <c r="CO577" s="48"/>
      <c r="CP577" s="48"/>
      <c r="CQ577" s="48"/>
      <c r="CR577" s="48"/>
      <c r="CS577" s="48"/>
      <c r="CT577" s="48"/>
      <c r="CU577" s="48"/>
      <c r="CV577" s="48"/>
      <c r="CW577" s="48"/>
      <c r="CX577" s="48"/>
      <c r="CY577" s="48"/>
      <c r="CZ577" s="48"/>
    </row>
    <row r="578" spans="27:104" s="4" customFormat="1" x14ac:dyDescent="0.3">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14"/>
      <c r="BC578" s="48"/>
      <c r="BD578" s="48"/>
      <c r="BE578" s="48"/>
      <c r="BF578" s="48"/>
      <c r="BG578" s="48"/>
      <c r="BH578" s="48"/>
      <c r="BI578" s="48"/>
      <c r="BJ578" s="48"/>
      <c r="BK578" s="48"/>
      <c r="BL578" s="48"/>
      <c r="BM578" s="48"/>
      <c r="BN578" s="48"/>
      <c r="BO578" s="48"/>
      <c r="BP578" s="48"/>
      <c r="BQ578" s="48"/>
      <c r="BR578" s="48"/>
      <c r="BS578" s="48"/>
      <c r="BT578" s="48"/>
      <c r="BU578" s="48"/>
      <c r="BV578" s="48"/>
      <c r="BW578" s="48"/>
      <c r="BX578" s="48"/>
      <c r="BY578" s="48"/>
      <c r="BZ578" s="48"/>
      <c r="CA578" s="48"/>
      <c r="CB578" s="48"/>
      <c r="CC578" s="48"/>
      <c r="CD578" s="48"/>
      <c r="CE578" s="48"/>
      <c r="CF578" s="48"/>
      <c r="CG578" s="48"/>
      <c r="CH578" s="48"/>
      <c r="CI578" s="48"/>
      <c r="CJ578" s="48"/>
      <c r="CK578" s="48"/>
      <c r="CL578" s="48"/>
      <c r="CM578" s="48"/>
      <c r="CN578" s="48"/>
      <c r="CO578" s="48"/>
      <c r="CP578" s="48"/>
      <c r="CQ578" s="48"/>
      <c r="CR578" s="48"/>
      <c r="CS578" s="48"/>
      <c r="CT578" s="48"/>
      <c r="CU578" s="48"/>
      <c r="CV578" s="48"/>
      <c r="CW578" s="48"/>
      <c r="CX578" s="48"/>
      <c r="CY578" s="48"/>
      <c r="CZ578" s="48"/>
    </row>
    <row r="579" spans="27:104" s="4" customFormat="1" x14ac:dyDescent="0.3">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14"/>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8"/>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c r="CZ579" s="48"/>
    </row>
    <row r="580" spans="27:104" s="4" customFormat="1" x14ac:dyDescent="0.3">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14"/>
      <c r="BC580" s="48"/>
      <c r="BD580" s="48"/>
      <c r="BE580" s="48"/>
      <c r="BF580" s="48"/>
      <c r="BG580" s="48"/>
      <c r="BH580" s="48"/>
      <c r="BI580" s="48"/>
      <c r="BJ580" s="48"/>
      <c r="BK580" s="48"/>
      <c r="BL580" s="48"/>
      <c r="BM580" s="48"/>
      <c r="BN580" s="48"/>
      <c r="BO580" s="48"/>
      <c r="BP580" s="48"/>
      <c r="BQ580" s="48"/>
      <c r="BR580" s="48"/>
      <c r="BS580" s="48"/>
      <c r="BT580" s="48"/>
      <c r="BU580" s="48"/>
      <c r="BV580" s="48"/>
      <c r="BW580" s="48"/>
      <c r="BX580" s="48"/>
      <c r="BY580" s="48"/>
      <c r="BZ580" s="48"/>
      <c r="CA580" s="48"/>
      <c r="CB580" s="48"/>
      <c r="CC580" s="48"/>
      <c r="CD580" s="48"/>
      <c r="CE580" s="48"/>
      <c r="CF580" s="48"/>
      <c r="CG580" s="48"/>
      <c r="CH580" s="48"/>
      <c r="CI580" s="48"/>
      <c r="CJ580" s="48"/>
      <c r="CK580" s="48"/>
      <c r="CL580" s="48"/>
      <c r="CM580" s="48"/>
      <c r="CN580" s="48"/>
      <c r="CO580" s="48"/>
      <c r="CP580" s="48"/>
      <c r="CQ580" s="48"/>
      <c r="CR580" s="48"/>
      <c r="CS580" s="48"/>
      <c r="CT580" s="48"/>
      <c r="CU580" s="48"/>
      <c r="CV580" s="48"/>
      <c r="CW580" s="48"/>
      <c r="CX580" s="48"/>
      <c r="CY580" s="48"/>
      <c r="CZ580" s="48"/>
    </row>
    <row r="581" spans="27:104" s="4" customFormat="1" x14ac:dyDescent="0.3">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14"/>
      <c r="BC581" s="48"/>
      <c r="BD581" s="48"/>
      <c r="BE581" s="48"/>
      <c r="BF581" s="48"/>
      <c r="BG581" s="48"/>
      <c r="BH581" s="48"/>
      <c r="BI581" s="48"/>
      <c r="BJ581" s="48"/>
      <c r="BK581" s="48"/>
      <c r="BL581" s="48"/>
      <c r="BM581" s="48"/>
      <c r="BN581" s="48"/>
      <c r="BO581" s="48"/>
      <c r="BP581" s="48"/>
      <c r="BQ581" s="48"/>
      <c r="BR581" s="48"/>
      <c r="BS581" s="48"/>
      <c r="BT581" s="48"/>
      <c r="BU581" s="48"/>
      <c r="BV581" s="48"/>
      <c r="BW581" s="48"/>
      <c r="BX581" s="48"/>
      <c r="BY581" s="48"/>
      <c r="BZ581" s="48"/>
      <c r="CA581" s="48"/>
      <c r="CB581" s="48"/>
      <c r="CC581" s="48"/>
      <c r="CD581" s="48"/>
      <c r="CE581" s="48"/>
      <c r="CF581" s="48"/>
      <c r="CG581" s="48"/>
      <c r="CH581" s="48"/>
      <c r="CI581" s="48"/>
      <c r="CJ581" s="48"/>
      <c r="CK581" s="48"/>
      <c r="CL581" s="48"/>
      <c r="CM581" s="48"/>
      <c r="CN581" s="48"/>
      <c r="CO581" s="48"/>
      <c r="CP581" s="48"/>
      <c r="CQ581" s="48"/>
      <c r="CR581" s="48"/>
      <c r="CS581" s="48"/>
      <c r="CT581" s="48"/>
      <c r="CU581" s="48"/>
      <c r="CV581" s="48"/>
      <c r="CW581" s="48"/>
      <c r="CX581" s="48"/>
      <c r="CY581" s="48"/>
      <c r="CZ581" s="48"/>
    </row>
    <row r="582" spans="27:104" s="4" customFormat="1" x14ac:dyDescent="0.3">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14"/>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8"/>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row>
    <row r="583" spans="27:104" s="4" customFormat="1" x14ac:dyDescent="0.3">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14"/>
      <c r="BC583" s="48"/>
      <c r="BD583" s="48"/>
      <c r="BE583" s="48"/>
      <c r="BF583" s="48"/>
      <c r="BG583" s="48"/>
      <c r="BH583" s="48"/>
      <c r="BI583" s="48"/>
      <c r="BJ583" s="48"/>
      <c r="BK583" s="48"/>
      <c r="BL583" s="48"/>
      <c r="BM583" s="48"/>
      <c r="BN583" s="48"/>
      <c r="BO583" s="48"/>
      <c r="BP583" s="48"/>
      <c r="BQ583" s="48"/>
      <c r="BR583" s="48"/>
      <c r="BS583" s="48"/>
      <c r="BT583" s="48"/>
      <c r="BU583" s="48"/>
      <c r="BV583" s="48"/>
      <c r="BW583" s="48"/>
      <c r="BX583" s="48"/>
      <c r="BY583" s="48"/>
      <c r="BZ583" s="48"/>
      <c r="CA583" s="48"/>
      <c r="CB583" s="48"/>
      <c r="CC583" s="48"/>
      <c r="CD583" s="48"/>
      <c r="CE583" s="48"/>
      <c r="CF583" s="48"/>
      <c r="CG583" s="48"/>
      <c r="CH583" s="48"/>
      <c r="CI583" s="48"/>
      <c r="CJ583" s="48"/>
      <c r="CK583" s="48"/>
      <c r="CL583" s="48"/>
      <c r="CM583" s="48"/>
      <c r="CN583" s="48"/>
      <c r="CO583" s="48"/>
      <c r="CP583" s="48"/>
      <c r="CQ583" s="48"/>
      <c r="CR583" s="48"/>
      <c r="CS583" s="48"/>
      <c r="CT583" s="48"/>
      <c r="CU583" s="48"/>
      <c r="CV583" s="48"/>
      <c r="CW583" s="48"/>
      <c r="CX583" s="48"/>
      <c r="CY583" s="48"/>
      <c r="CZ583" s="48"/>
    </row>
    <row r="584" spans="27:104" s="4" customFormat="1" x14ac:dyDescent="0.3">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14"/>
      <c r="BC584" s="48"/>
      <c r="BD584" s="48"/>
      <c r="BE584" s="48"/>
      <c r="BF584" s="48"/>
      <c r="BG584" s="48"/>
      <c r="BH584" s="48"/>
      <c r="BI584" s="48"/>
      <c r="BJ584" s="48"/>
      <c r="BK584" s="48"/>
      <c r="BL584" s="48"/>
      <c r="BM584" s="48"/>
      <c r="BN584" s="48"/>
      <c r="BO584" s="48"/>
      <c r="BP584" s="48"/>
      <c r="BQ584" s="48"/>
      <c r="BR584" s="48"/>
      <c r="BS584" s="48"/>
      <c r="BT584" s="48"/>
      <c r="BU584" s="48"/>
      <c r="BV584" s="48"/>
      <c r="BW584" s="48"/>
      <c r="BX584" s="48"/>
      <c r="BY584" s="48"/>
      <c r="BZ584" s="48"/>
      <c r="CA584" s="48"/>
      <c r="CB584" s="48"/>
      <c r="CC584" s="48"/>
      <c r="CD584" s="48"/>
      <c r="CE584" s="48"/>
      <c r="CF584" s="48"/>
      <c r="CG584" s="48"/>
      <c r="CH584" s="48"/>
      <c r="CI584" s="48"/>
      <c r="CJ584" s="48"/>
      <c r="CK584" s="48"/>
      <c r="CL584" s="48"/>
      <c r="CM584" s="48"/>
      <c r="CN584" s="48"/>
      <c r="CO584" s="48"/>
      <c r="CP584" s="48"/>
      <c r="CQ584" s="48"/>
      <c r="CR584" s="48"/>
      <c r="CS584" s="48"/>
      <c r="CT584" s="48"/>
      <c r="CU584" s="48"/>
      <c r="CV584" s="48"/>
      <c r="CW584" s="48"/>
      <c r="CX584" s="48"/>
      <c r="CY584" s="48"/>
      <c r="CZ584" s="48"/>
    </row>
    <row r="585" spans="27:104" s="4" customFormat="1" x14ac:dyDescent="0.3">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14"/>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8"/>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c r="CZ585" s="48"/>
    </row>
    <row r="586" spans="27:104" s="4" customFormat="1" x14ac:dyDescent="0.3">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14"/>
      <c r="BC586" s="48"/>
      <c r="BD586" s="48"/>
      <c r="BE586" s="48"/>
      <c r="BF586" s="48"/>
      <c r="BG586" s="48"/>
      <c r="BH586" s="48"/>
      <c r="BI586" s="48"/>
      <c r="BJ586" s="48"/>
      <c r="BK586" s="48"/>
      <c r="BL586" s="48"/>
      <c r="BM586" s="48"/>
      <c r="BN586" s="48"/>
      <c r="BO586" s="48"/>
      <c r="BP586" s="48"/>
      <c r="BQ586" s="48"/>
      <c r="BR586" s="48"/>
      <c r="BS586" s="48"/>
      <c r="BT586" s="48"/>
      <c r="BU586" s="48"/>
      <c r="BV586" s="48"/>
      <c r="BW586" s="48"/>
      <c r="BX586" s="48"/>
      <c r="BY586" s="48"/>
      <c r="BZ586" s="48"/>
      <c r="CA586" s="48"/>
      <c r="CB586" s="48"/>
      <c r="CC586" s="48"/>
      <c r="CD586" s="48"/>
      <c r="CE586" s="48"/>
      <c r="CF586" s="48"/>
      <c r="CG586" s="48"/>
      <c r="CH586" s="48"/>
      <c r="CI586" s="48"/>
      <c r="CJ586" s="48"/>
      <c r="CK586" s="48"/>
      <c r="CL586" s="48"/>
      <c r="CM586" s="48"/>
      <c r="CN586" s="48"/>
      <c r="CO586" s="48"/>
      <c r="CP586" s="48"/>
      <c r="CQ586" s="48"/>
      <c r="CR586" s="48"/>
      <c r="CS586" s="48"/>
      <c r="CT586" s="48"/>
      <c r="CU586" s="48"/>
      <c r="CV586" s="48"/>
      <c r="CW586" s="48"/>
      <c r="CX586" s="48"/>
      <c r="CY586" s="48"/>
      <c r="CZ586" s="48"/>
    </row>
    <row r="587" spans="27:104" s="4" customFormat="1" x14ac:dyDescent="0.3">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14"/>
      <c r="BC587" s="48"/>
      <c r="BD587" s="48"/>
      <c r="BE587" s="48"/>
      <c r="BF587" s="48"/>
      <c r="BG587" s="48"/>
      <c r="BH587" s="48"/>
      <c r="BI587" s="48"/>
      <c r="BJ587" s="48"/>
      <c r="BK587" s="48"/>
      <c r="BL587" s="48"/>
      <c r="BM587" s="48"/>
      <c r="BN587" s="48"/>
      <c r="BO587" s="48"/>
      <c r="BP587" s="48"/>
      <c r="BQ587" s="48"/>
      <c r="BR587" s="48"/>
      <c r="BS587" s="48"/>
      <c r="BT587" s="48"/>
      <c r="BU587" s="48"/>
      <c r="BV587" s="48"/>
      <c r="BW587" s="48"/>
      <c r="BX587" s="48"/>
      <c r="BY587" s="48"/>
      <c r="BZ587" s="4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row>
    <row r="588" spans="27:104" s="4" customFormat="1" x14ac:dyDescent="0.3">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14"/>
      <c r="BC588" s="48"/>
      <c r="BD588" s="48"/>
      <c r="BE588" s="48"/>
      <c r="BF588" s="48"/>
      <c r="BG588" s="48"/>
      <c r="BH588" s="48"/>
      <c r="BI588" s="48"/>
      <c r="BJ588" s="48"/>
      <c r="BK588" s="48"/>
      <c r="BL588" s="48"/>
      <c r="BM588" s="48"/>
      <c r="BN588" s="48"/>
      <c r="BO588" s="48"/>
      <c r="BP588" s="48"/>
      <c r="BQ588" s="48"/>
      <c r="BR588" s="48"/>
      <c r="BS588" s="48"/>
      <c r="BT588" s="48"/>
      <c r="BU588" s="48"/>
      <c r="BV588" s="48"/>
      <c r="BW588" s="48"/>
      <c r="BX588" s="48"/>
      <c r="BY588" s="48"/>
      <c r="BZ588" s="48"/>
      <c r="CA588" s="48"/>
      <c r="CB588" s="48"/>
      <c r="CC588" s="48"/>
      <c r="CD588" s="48"/>
      <c r="CE588" s="48"/>
      <c r="CF588" s="48"/>
      <c r="CG588" s="48"/>
      <c r="CH588" s="48"/>
      <c r="CI588" s="48"/>
      <c r="CJ588" s="48"/>
      <c r="CK588" s="48"/>
      <c r="CL588" s="48"/>
      <c r="CM588" s="48"/>
      <c r="CN588" s="48"/>
      <c r="CO588" s="48"/>
      <c r="CP588" s="48"/>
      <c r="CQ588" s="48"/>
      <c r="CR588" s="48"/>
      <c r="CS588" s="48"/>
      <c r="CT588" s="48"/>
      <c r="CU588" s="48"/>
      <c r="CV588" s="48"/>
      <c r="CW588" s="48"/>
      <c r="CX588" s="48"/>
      <c r="CY588" s="48"/>
      <c r="CZ588" s="48"/>
    </row>
    <row r="589" spans="27:104" s="4" customFormat="1" x14ac:dyDescent="0.3">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14"/>
      <c r="BC589" s="48"/>
      <c r="BD589" s="48"/>
      <c r="BE589" s="48"/>
      <c r="BF589" s="48"/>
      <c r="BG589" s="48"/>
      <c r="BH589" s="48"/>
      <c r="BI589" s="48"/>
      <c r="BJ589" s="48"/>
      <c r="BK589" s="48"/>
      <c r="BL589" s="48"/>
      <c r="BM589" s="48"/>
      <c r="BN589" s="48"/>
      <c r="BO589" s="48"/>
      <c r="BP589" s="48"/>
      <c r="BQ589" s="48"/>
      <c r="BR589" s="48"/>
      <c r="BS589" s="48"/>
      <c r="BT589" s="48"/>
      <c r="BU589" s="48"/>
      <c r="BV589" s="48"/>
      <c r="BW589" s="48"/>
      <c r="BX589" s="48"/>
      <c r="BY589" s="48"/>
      <c r="BZ589" s="48"/>
      <c r="CA589" s="48"/>
      <c r="CB589" s="48"/>
      <c r="CC589" s="48"/>
      <c r="CD589" s="48"/>
      <c r="CE589" s="48"/>
      <c r="CF589" s="48"/>
      <c r="CG589" s="48"/>
      <c r="CH589" s="48"/>
      <c r="CI589" s="48"/>
      <c r="CJ589" s="48"/>
      <c r="CK589" s="48"/>
      <c r="CL589" s="48"/>
      <c r="CM589" s="48"/>
      <c r="CN589" s="48"/>
      <c r="CO589" s="48"/>
      <c r="CP589" s="48"/>
      <c r="CQ589" s="48"/>
      <c r="CR589" s="48"/>
      <c r="CS589" s="48"/>
      <c r="CT589" s="48"/>
      <c r="CU589" s="48"/>
      <c r="CV589" s="48"/>
      <c r="CW589" s="48"/>
      <c r="CX589" s="48"/>
      <c r="CY589" s="48"/>
      <c r="CZ589" s="48"/>
    </row>
    <row r="590" spans="27:104" s="4" customFormat="1" x14ac:dyDescent="0.3">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14"/>
      <c r="BC590" s="48"/>
      <c r="BD590" s="48"/>
      <c r="BE590" s="48"/>
      <c r="BF590" s="48"/>
      <c r="BG590" s="48"/>
      <c r="BH590" s="48"/>
      <c r="BI590" s="48"/>
      <c r="BJ590" s="48"/>
      <c r="BK590" s="48"/>
      <c r="BL590" s="48"/>
      <c r="BM590" s="48"/>
      <c r="BN590" s="48"/>
      <c r="BO590" s="48"/>
      <c r="BP590" s="48"/>
      <c r="BQ590" s="48"/>
      <c r="BR590" s="48"/>
      <c r="BS590" s="48"/>
      <c r="BT590" s="48"/>
      <c r="BU590" s="48"/>
      <c r="BV590" s="48"/>
      <c r="BW590" s="48"/>
      <c r="BX590" s="48"/>
      <c r="BY590" s="48"/>
      <c r="BZ590" s="48"/>
      <c r="CA590" s="48"/>
      <c r="CB590" s="48"/>
      <c r="CC590" s="48"/>
      <c r="CD590" s="48"/>
      <c r="CE590" s="48"/>
      <c r="CF590" s="48"/>
      <c r="CG590" s="48"/>
      <c r="CH590" s="48"/>
      <c r="CI590" s="48"/>
      <c r="CJ590" s="48"/>
      <c r="CK590" s="48"/>
      <c r="CL590" s="48"/>
      <c r="CM590" s="48"/>
      <c r="CN590" s="48"/>
      <c r="CO590" s="48"/>
      <c r="CP590" s="48"/>
      <c r="CQ590" s="48"/>
      <c r="CR590" s="48"/>
      <c r="CS590" s="48"/>
      <c r="CT590" s="48"/>
      <c r="CU590" s="48"/>
      <c r="CV590" s="48"/>
      <c r="CW590" s="48"/>
      <c r="CX590" s="48"/>
      <c r="CY590" s="48"/>
      <c r="CZ590" s="48"/>
    </row>
    <row r="591" spans="27:104" s="4" customFormat="1" x14ac:dyDescent="0.3">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14"/>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8"/>
      <c r="BY591" s="48"/>
      <c r="BZ591" s="48"/>
      <c r="CA591" s="48"/>
      <c r="CB591" s="48"/>
      <c r="CC591" s="48"/>
      <c r="CD591" s="48"/>
      <c r="CE591" s="48"/>
      <c r="CF591" s="48"/>
      <c r="CG591" s="48"/>
      <c r="CH591" s="48"/>
      <c r="CI591" s="48"/>
      <c r="CJ591" s="48"/>
      <c r="CK591" s="48"/>
      <c r="CL591" s="48"/>
      <c r="CM591" s="48"/>
      <c r="CN591" s="48"/>
      <c r="CO591" s="48"/>
      <c r="CP591" s="48"/>
      <c r="CQ591" s="48"/>
      <c r="CR591" s="48"/>
      <c r="CS591" s="48"/>
      <c r="CT591" s="48"/>
      <c r="CU591" s="48"/>
      <c r="CV591" s="48"/>
      <c r="CW591" s="48"/>
      <c r="CX591" s="48"/>
      <c r="CY591" s="48"/>
      <c r="CZ591" s="48"/>
    </row>
    <row r="592" spans="27:104" s="4" customFormat="1" x14ac:dyDescent="0.3">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14"/>
      <c r="BC592" s="48"/>
      <c r="BD592" s="48"/>
      <c r="BE592" s="48"/>
      <c r="BF592" s="48"/>
      <c r="BG592" s="48"/>
      <c r="BH592" s="48"/>
      <c r="BI592" s="48"/>
      <c r="BJ592" s="48"/>
      <c r="BK592" s="48"/>
      <c r="BL592" s="48"/>
      <c r="BM592" s="48"/>
      <c r="BN592" s="48"/>
      <c r="BO592" s="48"/>
      <c r="BP592" s="48"/>
      <c r="BQ592" s="48"/>
      <c r="BR592" s="48"/>
      <c r="BS592" s="48"/>
      <c r="BT592" s="48"/>
      <c r="BU592" s="48"/>
      <c r="BV592" s="48"/>
      <c r="BW592" s="48"/>
      <c r="BX592" s="48"/>
      <c r="BY592" s="48"/>
      <c r="BZ592" s="48"/>
      <c r="CA592" s="48"/>
      <c r="CB592" s="48"/>
      <c r="CC592" s="48"/>
      <c r="CD592" s="48"/>
      <c r="CE592" s="48"/>
      <c r="CF592" s="48"/>
      <c r="CG592" s="48"/>
      <c r="CH592" s="48"/>
      <c r="CI592" s="48"/>
      <c r="CJ592" s="48"/>
      <c r="CK592" s="48"/>
      <c r="CL592" s="48"/>
      <c r="CM592" s="48"/>
      <c r="CN592" s="48"/>
      <c r="CO592" s="48"/>
      <c r="CP592" s="48"/>
      <c r="CQ592" s="48"/>
      <c r="CR592" s="48"/>
      <c r="CS592" s="48"/>
      <c r="CT592" s="48"/>
      <c r="CU592" s="48"/>
      <c r="CV592" s="48"/>
      <c r="CW592" s="48"/>
      <c r="CX592" s="48"/>
      <c r="CY592" s="48"/>
      <c r="CZ592" s="48"/>
    </row>
    <row r="593" spans="27:104" s="4" customFormat="1" x14ac:dyDescent="0.3">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14"/>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8"/>
      <c r="BY593" s="48"/>
      <c r="BZ593" s="4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row>
    <row r="594" spans="27:104" s="4" customFormat="1" x14ac:dyDescent="0.3">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14"/>
      <c r="BC594" s="48"/>
      <c r="BD594" s="48"/>
      <c r="BE594" s="48"/>
      <c r="BF594" s="48"/>
      <c r="BG594" s="48"/>
      <c r="BH594" s="48"/>
      <c r="BI594" s="48"/>
      <c r="BJ594" s="48"/>
      <c r="BK594" s="48"/>
      <c r="BL594" s="48"/>
      <c r="BM594" s="48"/>
      <c r="BN594" s="48"/>
      <c r="BO594" s="48"/>
      <c r="BP594" s="48"/>
      <c r="BQ594" s="48"/>
      <c r="BR594" s="48"/>
      <c r="BS594" s="48"/>
      <c r="BT594" s="48"/>
      <c r="BU594" s="48"/>
      <c r="BV594" s="48"/>
      <c r="BW594" s="48"/>
      <c r="BX594" s="48"/>
      <c r="BY594" s="48"/>
      <c r="BZ594" s="48"/>
      <c r="CA594" s="48"/>
      <c r="CB594" s="48"/>
      <c r="CC594" s="48"/>
      <c r="CD594" s="48"/>
      <c r="CE594" s="48"/>
      <c r="CF594" s="48"/>
      <c r="CG594" s="48"/>
      <c r="CH594" s="48"/>
      <c r="CI594" s="48"/>
      <c r="CJ594" s="48"/>
      <c r="CK594" s="48"/>
      <c r="CL594" s="48"/>
      <c r="CM594" s="48"/>
      <c r="CN594" s="48"/>
      <c r="CO594" s="48"/>
      <c r="CP594" s="48"/>
      <c r="CQ594" s="48"/>
      <c r="CR594" s="48"/>
      <c r="CS594" s="48"/>
      <c r="CT594" s="48"/>
      <c r="CU594" s="48"/>
      <c r="CV594" s="48"/>
      <c r="CW594" s="48"/>
      <c r="CX594" s="48"/>
      <c r="CY594" s="48"/>
      <c r="CZ594" s="48"/>
    </row>
    <row r="595" spans="27:104" s="4" customFormat="1" x14ac:dyDescent="0.3">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14"/>
      <c r="BC595" s="48"/>
      <c r="BD595" s="48"/>
      <c r="BE595" s="48"/>
      <c r="BF595" s="48"/>
      <c r="BG595" s="48"/>
      <c r="BH595" s="48"/>
      <c r="BI595" s="48"/>
      <c r="BJ595" s="48"/>
      <c r="BK595" s="48"/>
      <c r="BL595" s="48"/>
      <c r="BM595" s="48"/>
      <c r="BN595" s="48"/>
      <c r="BO595" s="48"/>
      <c r="BP595" s="48"/>
      <c r="BQ595" s="48"/>
      <c r="BR595" s="48"/>
      <c r="BS595" s="48"/>
      <c r="BT595" s="48"/>
      <c r="BU595" s="48"/>
      <c r="BV595" s="48"/>
      <c r="BW595" s="48"/>
      <c r="BX595" s="48"/>
      <c r="BY595" s="48"/>
      <c r="BZ595" s="48"/>
      <c r="CA595" s="48"/>
      <c r="CB595" s="48"/>
      <c r="CC595" s="48"/>
      <c r="CD595" s="48"/>
      <c r="CE595" s="48"/>
      <c r="CF595" s="48"/>
      <c r="CG595" s="48"/>
      <c r="CH595" s="48"/>
      <c r="CI595" s="48"/>
      <c r="CJ595" s="48"/>
      <c r="CK595" s="48"/>
      <c r="CL595" s="48"/>
      <c r="CM595" s="48"/>
      <c r="CN595" s="48"/>
      <c r="CO595" s="48"/>
      <c r="CP595" s="48"/>
      <c r="CQ595" s="48"/>
      <c r="CR595" s="48"/>
      <c r="CS595" s="48"/>
      <c r="CT595" s="48"/>
      <c r="CU595" s="48"/>
      <c r="CV595" s="48"/>
      <c r="CW595" s="48"/>
      <c r="CX595" s="48"/>
      <c r="CY595" s="48"/>
      <c r="CZ595" s="48"/>
    </row>
    <row r="596" spans="27:104" s="4" customFormat="1" x14ac:dyDescent="0.3">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14"/>
      <c r="BC596" s="48"/>
      <c r="BD596" s="48"/>
      <c r="BE596" s="48"/>
      <c r="BF596" s="48"/>
      <c r="BG596" s="48"/>
      <c r="BH596" s="48"/>
      <c r="BI596" s="48"/>
      <c r="BJ596" s="48"/>
      <c r="BK596" s="48"/>
      <c r="BL596" s="48"/>
      <c r="BM596" s="48"/>
      <c r="BN596" s="48"/>
      <c r="BO596" s="48"/>
      <c r="BP596" s="48"/>
      <c r="BQ596" s="48"/>
      <c r="BR596" s="48"/>
      <c r="BS596" s="48"/>
      <c r="BT596" s="48"/>
      <c r="BU596" s="48"/>
      <c r="BV596" s="48"/>
      <c r="BW596" s="48"/>
      <c r="BX596" s="48"/>
      <c r="BY596" s="48"/>
      <c r="BZ596" s="48"/>
      <c r="CA596" s="48"/>
      <c r="CB596" s="48"/>
      <c r="CC596" s="48"/>
      <c r="CD596" s="48"/>
      <c r="CE596" s="48"/>
      <c r="CF596" s="48"/>
      <c r="CG596" s="48"/>
      <c r="CH596" s="48"/>
      <c r="CI596" s="48"/>
      <c r="CJ596" s="48"/>
      <c r="CK596" s="48"/>
      <c r="CL596" s="48"/>
      <c r="CM596" s="48"/>
      <c r="CN596" s="48"/>
      <c r="CO596" s="48"/>
      <c r="CP596" s="48"/>
      <c r="CQ596" s="48"/>
      <c r="CR596" s="48"/>
      <c r="CS596" s="48"/>
      <c r="CT596" s="48"/>
      <c r="CU596" s="48"/>
      <c r="CV596" s="48"/>
      <c r="CW596" s="48"/>
      <c r="CX596" s="48"/>
      <c r="CY596" s="48"/>
      <c r="CZ596" s="48"/>
    </row>
    <row r="597" spans="27:104" s="4" customFormat="1" x14ac:dyDescent="0.3">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14"/>
      <c r="BC597" s="48"/>
      <c r="BD597" s="48"/>
      <c r="BE597" s="48"/>
      <c r="BF597" s="48"/>
      <c r="BG597" s="48"/>
      <c r="BH597" s="48"/>
      <c r="BI597" s="48"/>
      <c r="BJ597" s="48"/>
      <c r="BK597" s="48"/>
      <c r="BL597" s="48"/>
      <c r="BM597" s="48"/>
      <c r="BN597" s="48"/>
      <c r="BO597" s="48"/>
      <c r="BP597" s="48"/>
      <c r="BQ597" s="48"/>
      <c r="BR597" s="48"/>
      <c r="BS597" s="48"/>
      <c r="BT597" s="48"/>
      <c r="BU597" s="48"/>
      <c r="BV597" s="48"/>
      <c r="BW597" s="48"/>
      <c r="BX597" s="48"/>
      <c r="BY597" s="48"/>
      <c r="BZ597" s="48"/>
      <c r="CA597" s="48"/>
      <c r="CB597" s="48"/>
      <c r="CC597" s="48"/>
      <c r="CD597" s="48"/>
      <c r="CE597" s="48"/>
      <c r="CF597" s="48"/>
      <c r="CG597" s="48"/>
      <c r="CH597" s="48"/>
      <c r="CI597" s="48"/>
      <c r="CJ597" s="48"/>
      <c r="CK597" s="48"/>
      <c r="CL597" s="48"/>
      <c r="CM597" s="48"/>
      <c r="CN597" s="48"/>
      <c r="CO597" s="48"/>
      <c r="CP597" s="48"/>
      <c r="CQ597" s="48"/>
      <c r="CR597" s="48"/>
      <c r="CS597" s="48"/>
      <c r="CT597" s="48"/>
      <c r="CU597" s="48"/>
      <c r="CV597" s="48"/>
      <c r="CW597" s="48"/>
      <c r="CX597" s="48"/>
      <c r="CY597" s="48"/>
      <c r="CZ597" s="48"/>
    </row>
    <row r="598" spans="27:104" s="4" customFormat="1" x14ac:dyDescent="0.3">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14"/>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8"/>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row>
    <row r="599" spans="27:104" s="4" customFormat="1" x14ac:dyDescent="0.3">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14"/>
      <c r="BC599" s="48"/>
      <c r="BD599" s="48"/>
      <c r="BE599" s="48"/>
      <c r="BF599" s="48"/>
      <c r="BG599" s="48"/>
      <c r="BH599" s="48"/>
      <c r="BI599" s="48"/>
      <c r="BJ599" s="48"/>
      <c r="BK599" s="48"/>
      <c r="BL599" s="48"/>
      <c r="BM599" s="48"/>
      <c r="BN599" s="48"/>
      <c r="BO599" s="48"/>
      <c r="BP599" s="48"/>
      <c r="BQ599" s="48"/>
      <c r="BR599" s="48"/>
      <c r="BS599" s="48"/>
      <c r="BT599" s="48"/>
      <c r="BU599" s="48"/>
      <c r="BV599" s="48"/>
      <c r="BW599" s="48"/>
      <c r="BX599" s="48"/>
      <c r="BY599" s="48"/>
      <c r="BZ599" s="48"/>
      <c r="CA599" s="48"/>
      <c r="CB599" s="48"/>
      <c r="CC599" s="48"/>
      <c r="CD599" s="48"/>
      <c r="CE599" s="48"/>
      <c r="CF599" s="48"/>
      <c r="CG599" s="48"/>
      <c r="CH599" s="48"/>
      <c r="CI599" s="48"/>
      <c r="CJ599" s="48"/>
      <c r="CK599" s="48"/>
      <c r="CL599" s="48"/>
      <c r="CM599" s="48"/>
      <c r="CN599" s="48"/>
      <c r="CO599" s="48"/>
      <c r="CP599" s="48"/>
      <c r="CQ599" s="48"/>
      <c r="CR599" s="48"/>
      <c r="CS599" s="48"/>
      <c r="CT599" s="48"/>
      <c r="CU599" s="48"/>
      <c r="CV599" s="48"/>
      <c r="CW599" s="48"/>
      <c r="CX599" s="48"/>
      <c r="CY599" s="48"/>
      <c r="CZ599" s="48"/>
    </row>
    <row r="600" spans="27:104" s="4" customFormat="1" x14ac:dyDescent="0.3">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14"/>
      <c r="BC600" s="48"/>
      <c r="BD600" s="48"/>
      <c r="BE600" s="48"/>
      <c r="BF600" s="48"/>
      <c r="BG600" s="48"/>
      <c r="BH600" s="48"/>
      <c r="BI600" s="48"/>
      <c r="BJ600" s="48"/>
      <c r="BK600" s="48"/>
      <c r="BL600" s="48"/>
      <c r="BM600" s="48"/>
      <c r="BN600" s="48"/>
      <c r="BO600" s="48"/>
      <c r="BP600" s="48"/>
      <c r="BQ600" s="48"/>
      <c r="BR600" s="48"/>
      <c r="BS600" s="48"/>
      <c r="BT600" s="48"/>
      <c r="BU600" s="48"/>
      <c r="BV600" s="48"/>
      <c r="BW600" s="48"/>
      <c r="BX600" s="48"/>
      <c r="BY600" s="48"/>
      <c r="BZ600" s="48"/>
      <c r="CA600" s="48"/>
      <c r="CB600" s="48"/>
      <c r="CC600" s="48"/>
      <c r="CD600" s="48"/>
      <c r="CE600" s="48"/>
      <c r="CF600" s="48"/>
      <c r="CG600" s="48"/>
      <c r="CH600" s="48"/>
      <c r="CI600" s="48"/>
      <c r="CJ600" s="48"/>
      <c r="CK600" s="48"/>
      <c r="CL600" s="48"/>
      <c r="CM600" s="48"/>
      <c r="CN600" s="48"/>
      <c r="CO600" s="48"/>
      <c r="CP600" s="48"/>
      <c r="CQ600" s="48"/>
      <c r="CR600" s="48"/>
      <c r="CS600" s="48"/>
      <c r="CT600" s="48"/>
      <c r="CU600" s="48"/>
      <c r="CV600" s="48"/>
      <c r="CW600" s="48"/>
      <c r="CX600" s="48"/>
      <c r="CY600" s="48"/>
      <c r="CZ600" s="48"/>
    </row>
    <row r="601" spans="27:104" s="4" customFormat="1" x14ac:dyDescent="0.3">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14"/>
      <c r="BC601" s="48"/>
      <c r="BD601" s="48"/>
      <c r="BE601" s="48"/>
      <c r="BF601" s="48"/>
      <c r="BG601" s="48"/>
      <c r="BH601" s="48"/>
      <c r="BI601" s="48"/>
      <c r="BJ601" s="48"/>
      <c r="BK601" s="48"/>
      <c r="BL601" s="48"/>
      <c r="BM601" s="48"/>
      <c r="BN601" s="48"/>
      <c r="BO601" s="48"/>
      <c r="BP601" s="48"/>
      <c r="BQ601" s="48"/>
      <c r="BR601" s="48"/>
      <c r="BS601" s="48"/>
      <c r="BT601" s="48"/>
      <c r="BU601" s="48"/>
      <c r="BV601" s="48"/>
      <c r="BW601" s="48"/>
      <c r="BX601" s="48"/>
      <c r="BY601" s="48"/>
      <c r="BZ601" s="48"/>
      <c r="CA601" s="48"/>
      <c r="CB601" s="48"/>
      <c r="CC601" s="48"/>
      <c r="CD601" s="48"/>
      <c r="CE601" s="48"/>
      <c r="CF601" s="48"/>
      <c r="CG601" s="48"/>
      <c r="CH601" s="48"/>
      <c r="CI601" s="48"/>
      <c r="CJ601" s="48"/>
      <c r="CK601" s="48"/>
      <c r="CL601" s="48"/>
      <c r="CM601" s="48"/>
      <c r="CN601" s="48"/>
      <c r="CO601" s="48"/>
      <c r="CP601" s="48"/>
      <c r="CQ601" s="48"/>
      <c r="CR601" s="48"/>
      <c r="CS601" s="48"/>
      <c r="CT601" s="48"/>
      <c r="CU601" s="48"/>
      <c r="CV601" s="48"/>
      <c r="CW601" s="48"/>
      <c r="CX601" s="48"/>
      <c r="CY601" s="48"/>
      <c r="CZ601" s="48"/>
    </row>
    <row r="602" spans="27:104" s="4" customFormat="1" x14ac:dyDescent="0.3">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14"/>
      <c r="BC602" s="48"/>
      <c r="BD602" s="48"/>
      <c r="BE602" s="48"/>
      <c r="BF602" s="48"/>
      <c r="BG602" s="48"/>
      <c r="BH602" s="48"/>
      <c r="BI602" s="48"/>
      <c r="BJ602" s="48"/>
      <c r="BK602" s="48"/>
      <c r="BL602" s="48"/>
      <c r="BM602" s="48"/>
      <c r="BN602" s="48"/>
      <c r="BO602" s="48"/>
      <c r="BP602" s="48"/>
      <c r="BQ602" s="48"/>
      <c r="BR602" s="48"/>
      <c r="BS602" s="48"/>
      <c r="BT602" s="48"/>
      <c r="BU602" s="48"/>
      <c r="BV602" s="48"/>
      <c r="BW602" s="48"/>
      <c r="BX602" s="48"/>
      <c r="BY602" s="48"/>
      <c r="BZ602" s="48"/>
      <c r="CA602" s="48"/>
      <c r="CB602" s="48"/>
      <c r="CC602" s="48"/>
      <c r="CD602" s="48"/>
      <c r="CE602" s="48"/>
      <c r="CF602" s="48"/>
      <c r="CG602" s="48"/>
      <c r="CH602" s="48"/>
      <c r="CI602" s="48"/>
      <c r="CJ602" s="48"/>
      <c r="CK602" s="48"/>
      <c r="CL602" s="48"/>
      <c r="CM602" s="48"/>
      <c r="CN602" s="48"/>
      <c r="CO602" s="48"/>
      <c r="CP602" s="48"/>
      <c r="CQ602" s="48"/>
      <c r="CR602" s="48"/>
      <c r="CS602" s="48"/>
      <c r="CT602" s="48"/>
      <c r="CU602" s="48"/>
      <c r="CV602" s="48"/>
      <c r="CW602" s="48"/>
      <c r="CX602" s="48"/>
      <c r="CY602" s="48"/>
      <c r="CZ602" s="48"/>
    </row>
    <row r="603" spans="27:104" s="4" customFormat="1" x14ac:dyDescent="0.3">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14"/>
      <c r="BC603" s="48"/>
      <c r="BD603" s="48"/>
      <c r="BE603" s="48"/>
      <c r="BF603" s="48"/>
      <c r="BG603" s="48"/>
      <c r="BH603" s="48"/>
      <c r="BI603" s="48"/>
      <c r="BJ603" s="48"/>
      <c r="BK603" s="48"/>
      <c r="BL603" s="48"/>
      <c r="BM603" s="48"/>
      <c r="BN603" s="48"/>
      <c r="BO603" s="48"/>
      <c r="BP603" s="48"/>
      <c r="BQ603" s="48"/>
      <c r="BR603" s="48"/>
      <c r="BS603" s="48"/>
      <c r="BT603" s="48"/>
      <c r="BU603" s="48"/>
      <c r="BV603" s="48"/>
      <c r="BW603" s="48"/>
      <c r="BX603" s="48"/>
      <c r="BY603" s="48"/>
      <c r="BZ603" s="48"/>
      <c r="CA603" s="48"/>
      <c r="CB603" s="48"/>
      <c r="CC603" s="48"/>
      <c r="CD603" s="48"/>
      <c r="CE603" s="48"/>
      <c r="CF603" s="48"/>
      <c r="CG603" s="48"/>
      <c r="CH603" s="48"/>
      <c r="CI603" s="48"/>
      <c r="CJ603" s="48"/>
      <c r="CK603" s="48"/>
      <c r="CL603" s="48"/>
      <c r="CM603" s="48"/>
      <c r="CN603" s="48"/>
      <c r="CO603" s="48"/>
      <c r="CP603" s="48"/>
      <c r="CQ603" s="48"/>
      <c r="CR603" s="48"/>
      <c r="CS603" s="48"/>
      <c r="CT603" s="48"/>
      <c r="CU603" s="48"/>
      <c r="CV603" s="48"/>
      <c r="CW603" s="48"/>
      <c r="CX603" s="48"/>
      <c r="CY603" s="48"/>
      <c r="CZ603" s="48"/>
    </row>
    <row r="604" spans="27:104" s="4" customFormat="1" x14ac:dyDescent="0.3">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14"/>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8"/>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row>
    <row r="605" spans="27:104" s="4" customFormat="1" x14ac:dyDescent="0.3">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14"/>
      <c r="BC605" s="48"/>
      <c r="BD605" s="48"/>
      <c r="BE605" s="48"/>
      <c r="BF605" s="48"/>
      <c r="BG605" s="48"/>
      <c r="BH605" s="48"/>
      <c r="BI605" s="48"/>
      <c r="BJ605" s="48"/>
      <c r="BK605" s="48"/>
      <c r="BL605" s="48"/>
      <c r="BM605" s="48"/>
      <c r="BN605" s="48"/>
      <c r="BO605" s="48"/>
      <c r="BP605" s="48"/>
      <c r="BQ605" s="48"/>
      <c r="BR605" s="48"/>
      <c r="BS605" s="48"/>
      <c r="BT605" s="48"/>
      <c r="BU605" s="48"/>
      <c r="BV605" s="48"/>
      <c r="BW605" s="48"/>
      <c r="BX605" s="48"/>
      <c r="BY605" s="48"/>
      <c r="BZ605" s="48"/>
      <c r="CA605" s="48"/>
      <c r="CB605" s="48"/>
      <c r="CC605" s="48"/>
      <c r="CD605" s="48"/>
      <c r="CE605" s="48"/>
      <c r="CF605" s="48"/>
      <c r="CG605" s="48"/>
      <c r="CH605" s="48"/>
      <c r="CI605" s="48"/>
      <c r="CJ605" s="48"/>
      <c r="CK605" s="48"/>
      <c r="CL605" s="48"/>
      <c r="CM605" s="48"/>
      <c r="CN605" s="48"/>
      <c r="CO605" s="48"/>
      <c r="CP605" s="48"/>
      <c r="CQ605" s="48"/>
      <c r="CR605" s="48"/>
      <c r="CS605" s="48"/>
      <c r="CT605" s="48"/>
      <c r="CU605" s="48"/>
      <c r="CV605" s="48"/>
      <c r="CW605" s="48"/>
      <c r="CX605" s="48"/>
      <c r="CY605" s="48"/>
      <c r="CZ605" s="48"/>
    </row>
    <row r="606" spans="27:104" s="4" customFormat="1" x14ac:dyDescent="0.3">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14"/>
      <c r="BC606" s="48"/>
      <c r="BD606" s="48"/>
      <c r="BE606" s="48"/>
      <c r="BF606" s="48"/>
      <c r="BG606" s="48"/>
      <c r="BH606" s="48"/>
      <c r="BI606" s="48"/>
      <c r="BJ606" s="48"/>
      <c r="BK606" s="48"/>
      <c r="BL606" s="48"/>
      <c r="BM606" s="48"/>
      <c r="BN606" s="48"/>
      <c r="BO606" s="48"/>
      <c r="BP606" s="48"/>
      <c r="BQ606" s="48"/>
      <c r="BR606" s="48"/>
      <c r="BS606" s="48"/>
      <c r="BT606" s="48"/>
      <c r="BU606" s="48"/>
      <c r="BV606" s="48"/>
      <c r="BW606" s="48"/>
      <c r="BX606" s="48"/>
      <c r="BY606" s="48"/>
      <c r="BZ606" s="48"/>
      <c r="CA606" s="48"/>
      <c r="CB606" s="48"/>
      <c r="CC606" s="48"/>
      <c r="CD606" s="48"/>
      <c r="CE606" s="48"/>
      <c r="CF606" s="48"/>
      <c r="CG606" s="48"/>
      <c r="CH606" s="48"/>
      <c r="CI606" s="48"/>
      <c r="CJ606" s="48"/>
      <c r="CK606" s="48"/>
      <c r="CL606" s="48"/>
      <c r="CM606" s="48"/>
      <c r="CN606" s="48"/>
      <c r="CO606" s="48"/>
      <c r="CP606" s="48"/>
      <c r="CQ606" s="48"/>
      <c r="CR606" s="48"/>
      <c r="CS606" s="48"/>
      <c r="CT606" s="48"/>
      <c r="CU606" s="48"/>
      <c r="CV606" s="48"/>
      <c r="CW606" s="48"/>
      <c r="CX606" s="48"/>
      <c r="CY606" s="48"/>
      <c r="CZ606" s="48"/>
    </row>
    <row r="607" spans="27:104" s="4" customFormat="1" x14ac:dyDescent="0.3">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14"/>
      <c r="BC607" s="48"/>
      <c r="BD607" s="48"/>
      <c r="BE607" s="48"/>
      <c r="BF607" s="48"/>
      <c r="BG607" s="48"/>
      <c r="BH607" s="48"/>
      <c r="BI607" s="48"/>
      <c r="BJ607" s="48"/>
      <c r="BK607" s="48"/>
      <c r="BL607" s="48"/>
      <c r="BM607" s="48"/>
      <c r="BN607" s="48"/>
      <c r="BO607" s="48"/>
      <c r="BP607" s="48"/>
      <c r="BQ607" s="48"/>
      <c r="BR607" s="48"/>
      <c r="BS607" s="48"/>
      <c r="BT607" s="48"/>
      <c r="BU607" s="48"/>
      <c r="BV607" s="48"/>
      <c r="BW607" s="48"/>
      <c r="BX607" s="48"/>
      <c r="BY607" s="48"/>
      <c r="BZ607" s="48"/>
      <c r="CA607" s="48"/>
      <c r="CB607" s="48"/>
      <c r="CC607" s="48"/>
      <c r="CD607" s="48"/>
      <c r="CE607" s="48"/>
      <c r="CF607" s="48"/>
      <c r="CG607" s="48"/>
      <c r="CH607" s="48"/>
      <c r="CI607" s="48"/>
      <c r="CJ607" s="48"/>
      <c r="CK607" s="48"/>
      <c r="CL607" s="48"/>
      <c r="CM607" s="48"/>
      <c r="CN607" s="48"/>
      <c r="CO607" s="48"/>
      <c r="CP607" s="48"/>
      <c r="CQ607" s="48"/>
      <c r="CR607" s="48"/>
      <c r="CS607" s="48"/>
      <c r="CT607" s="48"/>
      <c r="CU607" s="48"/>
      <c r="CV607" s="48"/>
      <c r="CW607" s="48"/>
      <c r="CX607" s="48"/>
      <c r="CY607" s="48"/>
      <c r="CZ607" s="48"/>
    </row>
    <row r="608" spans="27:104" s="4" customFormat="1" x14ac:dyDescent="0.3">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14"/>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8"/>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48"/>
      <c r="CZ608" s="48"/>
    </row>
    <row r="609" spans="27:104" s="4" customFormat="1" x14ac:dyDescent="0.3">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14"/>
      <c r="BC609" s="48"/>
      <c r="BD609" s="48"/>
      <c r="BE609" s="48"/>
      <c r="BF609" s="48"/>
      <c r="BG609" s="48"/>
      <c r="BH609" s="48"/>
      <c r="BI609" s="48"/>
      <c r="BJ609" s="48"/>
      <c r="BK609" s="48"/>
      <c r="BL609" s="48"/>
      <c r="BM609" s="48"/>
      <c r="BN609" s="48"/>
      <c r="BO609" s="48"/>
      <c r="BP609" s="48"/>
      <c r="BQ609" s="48"/>
      <c r="BR609" s="48"/>
      <c r="BS609" s="48"/>
      <c r="BT609" s="48"/>
      <c r="BU609" s="48"/>
      <c r="BV609" s="48"/>
      <c r="BW609" s="48"/>
      <c r="BX609" s="48"/>
      <c r="BY609" s="48"/>
      <c r="BZ609" s="48"/>
      <c r="CA609" s="48"/>
      <c r="CB609" s="48"/>
      <c r="CC609" s="48"/>
      <c r="CD609" s="48"/>
      <c r="CE609" s="48"/>
      <c r="CF609" s="48"/>
      <c r="CG609" s="48"/>
      <c r="CH609" s="48"/>
      <c r="CI609" s="48"/>
      <c r="CJ609" s="48"/>
      <c r="CK609" s="48"/>
      <c r="CL609" s="48"/>
      <c r="CM609" s="48"/>
      <c r="CN609" s="48"/>
      <c r="CO609" s="48"/>
      <c r="CP609" s="48"/>
      <c r="CQ609" s="48"/>
      <c r="CR609" s="48"/>
      <c r="CS609" s="48"/>
      <c r="CT609" s="48"/>
      <c r="CU609" s="48"/>
      <c r="CV609" s="48"/>
      <c r="CW609" s="48"/>
      <c r="CX609" s="48"/>
      <c r="CY609" s="48"/>
      <c r="CZ609" s="48"/>
    </row>
    <row r="610" spans="27:104" s="4" customFormat="1" x14ac:dyDescent="0.3">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14"/>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8"/>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row>
    <row r="611" spans="27:104" s="4" customFormat="1" x14ac:dyDescent="0.3">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14"/>
      <c r="BC611" s="48"/>
      <c r="BD611" s="48"/>
      <c r="BE611" s="48"/>
      <c r="BF611" s="48"/>
      <c r="BG611" s="48"/>
      <c r="BH611" s="48"/>
      <c r="BI611" s="48"/>
      <c r="BJ611" s="48"/>
      <c r="BK611" s="48"/>
      <c r="BL611" s="48"/>
      <c r="BM611" s="48"/>
      <c r="BN611" s="48"/>
      <c r="BO611" s="48"/>
      <c r="BP611" s="48"/>
      <c r="BQ611" s="48"/>
      <c r="BR611" s="48"/>
      <c r="BS611" s="48"/>
      <c r="BT611" s="48"/>
      <c r="BU611" s="48"/>
      <c r="BV611" s="48"/>
      <c r="BW611" s="48"/>
      <c r="BX611" s="48"/>
      <c r="BY611" s="48"/>
      <c r="BZ611" s="48"/>
      <c r="CA611" s="48"/>
      <c r="CB611" s="48"/>
      <c r="CC611" s="48"/>
      <c r="CD611" s="48"/>
      <c r="CE611" s="48"/>
      <c r="CF611" s="48"/>
      <c r="CG611" s="48"/>
      <c r="CH611" s="48"/>
      <c r="CI611" s="48"/>
      <c r="CJ611" s="48"/>
      <c r="CK611" s="48"/>
      <c r="CL611" s="48"/>
      <c r="CM611" s="48"/>
      <c r="CN611" s="48"/>
      <c r="CO611" s="48"/>
      <c r="CP611" s="48"/>
      <c r="CQ611" s="48"/>
      <c r="CR611" s="48"/>
      <c r="CS611" s="48"/>
      <c r="CT611" s="48"/>
      <c r="CU611" s="48"/>
      <c r="CV611" s="48"/>
      <c r="CW611" s="48"/>
      <c r="CX611" s="48"/>
      <c r="CY611" s="48"/>
      <c r="CZ611" s="48"/>
    </row>
    <row r="612" spans="27:104" s="4" customFormat="1" x14ac:dyDescent="0.3">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14"/>
      <c r="BC612" s="48"/>
      <c r="BD612" s="48"/>
      <c r="BE612" s="48"/>
      <c r="BF612" s="48"/>
      <c r="BG612" s="48"/>
      <c r="BH612" s="48"/>
      <c r="BI612" s="48"/>
      <c r="BJ612" s="48"/>
      <c r="BK612" s="48"/>
      <c r="BL612" s="48"/>
      <c r="BM612" s="48"/>
      <c r="BN612" s="48"/>
      <c r="BO612" s="48"/>
      <c r="BP612" s="48"/>
      <c r="BQ612" s="48"/>
      <c r="BR612" s="48"/>
      <c r="BS612" s="48"/>
      <c r="BT612" s="48"/>
      <c r="BU612" s="48"/>
      <c r="BV612" s="48"/>
      <c r="BW612" s="48"/>
      <c r="BX612" s="48"/>
      <c r="BY612" s="48"/>
      <c r="BZ612" s="48"/>
      <c r="CA612" s="48"/>
      <c r="CB612" s="48"/>
      <c r="CC612" s="48"/>
      <c r="CD612" s="48"/>
      <c r="CE612" s="48"/>
      <c r="CF612" s="48"/>
      <c r="CG612" s="48"/>
      <c r="CH612" s="48"/>
      <c r="CI612" s="48"/>
      <c r="CJ612" s="48"/>
      <c r="CK612" s="48"/>
      <c r="CL612" s="48"/>
      <c r="CM612" s="48"/>
      <c r="CN612" s="48"/>
      <c r="CO612" s="48"/>
      <c r="CP612" s="48"/>
      <c r="CQ612" s="48"/>
      <c r="CR612" s="48"/>
      <c r="CS612" s="48"/>
      <c r="CT612" s="48"/>
      <c r="CU612" s="48"/>
      <c r="CV612" s="48"/>
      <c r="CW612" s="48"/>
      <c r="CX612" s="48"/>
      <c r="CY612" s="48"/>
      <c r="CZ612" s="48"/>
    </row>
    <row r="613" spans="27:104" s="4" customFormat="1" x14ac:dyDescent="0.3">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14"/>
      <c r="BC613" s="48"/>
      <c r="BD613" s="48"/>
      <c r="BE613" s="48"/>
      <c r="BF613" s="48"/>
      <c r="BG613" s="48"/>
      <c r="BH613" s="48"/>
      <c r="BI613" s="48"/>
      <c r="BJ613" s="48"/>
      <c r="BK613" s="48"/>
      <c r="BL613" s="48"/>
      <c r="BM613" s="48"/>
      <c r="BN613" s="48"/>
      <c r="BO613" s="48"/>
      <c r="BP613" s="48"/>
      <c r="BQ613" s="48"/>
      <c r="BR613" s="48"/>
      <c r="BS613" s="48"/>
      <c r="BT613" s="48"/>
      <c r="BU613" s="48"/>
      <c r="BV613" s="48"/>
      <c r="BW613" s="48"/>
      <c r="BX613" s="48"/>
      <c r="BY613" s="48"/>
      <c r="BZ613" s="48"/>
      <c r="CA613" s="48"/>
      <c r="CB613" s="48"/>
      <c r="CC613" s="48"/>
      <c r="CD613" s="48"/>
      <c r="CE613" s="48"/>
      <c r="CF613" s="48"/>
      <c r="CG613" s="48"/>
      <c r="CH613" s="48"/>
      <c r="CI613" s="48"/>
      <c r="CJ613" s="48"/>
      <c r="CK613" s="48"/>
      <c r="CL613" s="48"/>
      <c r="CM613" s="48"/>
      <c r="CN613" s="48"/>
      <c r="CO613" s="48"/>
      <c r="CP613" s="48"/>
      <c r="CQ613" s="48"/>
      <c r="CR613" s="48"/>
      <c r="CS613" s="48"/>
      <c r="CT613" s="48"/>
      <c r="CU613" s="48"/>
      <c r="CV613" s="48"/>
      <c r="CW613" s="48"/>
      <c r="CX613" s="48"/>
      <c r="CY613" s="48"/>
      <c r="CZ613" s="48"/>
    </row>
    <row r="614" spans="27:104" s="4" customFormat="1" x14ac:dyDescent="0.3">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14"/>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row>
    <row r="615" spans="27:104" s="4" customFormat="1" x14ac:dyDescent="0.3">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14"/>
      <c r="BC615" s="48"/>
      <c r="BD615" s="48"/>
      <c r="BE615" s="48"/>
      <c r="BF615" s="48"/>
      <c r="BG615" s="48"/>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row>
    <row r="616" spans="27:104" s="4" customFormat="1" x14ac:dyDescent="0.3">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14"/>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row>
    <row r="617" spans="27:104" s="4" customFormat="1" x14ac:dyDescent="0.3">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14"/>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row>
    <row r="618" spans="27:104" s="4" customFormat="1" x14ac:dyDescent="0.3">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14"/>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row>
    <row r="619" spans="27:104" s="4" customFormat="1" x14ac:dyDescent="0.3">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14"/>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row>
    <row r="620" spans="27:104" s="4" customFormat="1" x14ac:dyDescent="0.3">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14"/>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row>
    <row r="621" spans="27:104" s="4" customFormat="1" x14ac:dyDescent="0.3">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14"/>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row>
    <row r="622" spans="27:104" s="4" customFormat="1" x14ac:dyDescent="0.3">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14"/>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row>
    <row r="623" spans="27:104" s="4" customFormat="1" x14ac:dyDescent="0.3">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14"/>
      <c r="BC623" s="48"/>
      <c r="BD623" s="48"/>
      <c r="BE623" s="48"/>
      <c r="BF623" s="48"/>
      <c r="BG623" s="48"/>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row>
    <row r="624" spans="27:104" s="4" customFormat="1" x14ac:dyDescent="0.3">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14"/>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row>
    <row r="625" spans="27:104" s="4" customFormat="1" x14ac:dyDescent="0.3">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14"/>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row>
    <row r="626" spans="27:104" s="4" customFormat="1" x14ac:dyDescent="0.3">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14"/>
      <c r="BC626" s="48"/>
      <c r="BD626" s="48"/>
      <c r="BE626" s="48"/>
      <c r="BF626" s="48"/>
      <c r="BG626" s="48"/>
      <c r="BH626" s="48"/>
      <c r="BI626" s="48"/>
      <c r="BJ626" s="48"/>
      <c r="BK626" s="48"/>
      <c r="BL626" s="48"/>
      <c r="BM626" s="48"/>
      <c r="BN626" s="48"/>
      <c r="BO626" s="48"/>
      <c r="BP626" s="48"/>
      <c r="BQ626" s="4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c r="CQ626" s="48"/>
      <c r="CR626" s="48"/>
      <c r="CS626" s="48"/>
      <c r="CT626" s="48"/>
      <c r="CU626" s="48"/>
      <c r="CV626" s="48"/>
      <c r="CW626" s="48"/>
      <c r="CX626" s="48"/>
      <c r="CY626" s="48"/>
      <c r="CZ626" s="48"/>
    </row>
    <row r="627" spans="27:104" s="4" customFormat="1" x14ac:dyDescent="0.3">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14"/>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row>
    <row r="628" spans="27:104" s="4" customFormat="1" x14ac:dyDescent="0.3">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14"/>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row>
    <row r="629" spans="27:104" s="4" customFormat="1" x14ac:dyDescent="0.3">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14"/>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row>
    <row r="630" spans="27:104" s="4" customFormat="1" x14ac:dyDescent="0.3">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14"/>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row>
    <row r="631" spans="27:104" s="4" customFormat="1" x14ac:dyDescent="0.3">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14"/>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row>
    <row r="632" spans="27:104" s="4" customFormat="1" x14ac:dyDescent="0.3">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14"/>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J632" s="48"/>
      <c r="CK632" s="48"/>
      <c r="CL632" s="48"/>
      <c r="CM632" s="48"/>
      <c r="CN632" s="48"/>
      <c r="CO632" s="48"/>
      <c r="CP632" s="48"/>
      <c r="CQ632" s="48"/>
      <c r="CR632" s="48"/>
      <c r="CS632" s="48"/>
      <c r="CT632" s="48"/>
      <c r="CU632" s="48"/>
      <c r="CV632" s="48"/>
      <c r="CW632" s="48"/>
      <c r="CX632" s="48"/>
      <c r="CY632" s="48"/>
      <c r="CZ632" s="48"/>
    </row>
    <row r="633" spans="27:104" s="4" customFormat="1" x14ac:dyDescent="0.3">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14"/>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row>
    <row r="634" spans="27:104" s="4" customFormat="1" x14ac:dyDescent="0.3">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14"/>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c r="CZ634" s="48"/>
    </row>
    <row r="635" spans="27:104" s="4" customFormat="1" x14ac:dyDescent="0.3">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14"/>
      <c r="BC635" s="48"/>
      <c r="BD635" s="48"/>
      <c r="BE635" s="48"/>
      <c r="BF635" s="48"/>
      <c r="BG635" s="48"/>
      <c r="BH635" s="48"/>
      <c r="BI635" s="48"/>
      <c r="BJ635" s="48"/>
      <c r="BK635" s="48"/>
      <c r="BL635" s="48"/>
      <c r="BM635" s="48"/>
      <c r="BN635" s="48"/>
      <c r="BO635" s="48"/>
      <c r="BP635" s="48"/>
      <c r="BQ635" s="48"/>
      <c r="BR635" s="48"/>
      <c r="BS635" s="48"/>
      <c r="BT635" s="48"/>
      <c r="BU635" s="48"/>
      <c r="BV635" s="48"/>
      <c r="BW635" s="48"/>
      <c r="BX635" s="48"/>
      <c r="BY635" s="48"/>
      <c r="BZ635" s="48"/>
      <c r="CA635" s="48"/>
      <c r="CB635" s="48"/>
      <c r="CC635" s="48"/>
      <c r="CD635" s="48"/>
      <c r="CE635" s="48"/>
      <c r="CF635" s="48"/>
      <c r="CG635" s="48"/>
      <c r="CH635" s="48"/>
      <c r="CI635" s="48"/>
      <c r="CJ635" s="48"/>
      <c r="CK635" s="48"/>
      <c r="CL635" s="48"/>
      <c r="CM635" s="48"/>
      <c r="CN635" s="48"/>
      <c r="CO635" s="48"/>
      <c r="CP635" s="48"/>
      <c r="CQ635" s="48"/>
      <c r="CR635" s="48"/>
      <c r="CS635" s="48"/>
      <c r="CT635" s="48"/>
      <c r="CU635" s="48"/>
      <c r="CV635" s="48"/>
      <c r="CW635" s="48"/>
      <c r="CX635" s="48"/>
      <c r="CY635" s="48"/>
      <c r="CZ635" s="48"/>
    </row>
  </sheetData>
  <mergeCells count="59">
    <mergeCell ref="B100:B101"/>
    <mergeCell ref="C100:C101"/>
    <mergeCell ref="D100:E101"/>
    <mergeCell ref="B96:B97"/>
    <mergeCell ref="C96:C97"/>
    <mergeCell ref="D96:E97"/>
    <mergeCell ref="B98:B99"/>
    <mergeCell ref="C98:C99"/>
    <mergeCell ref="D98:E99"/>
    <mergeCell ref="B92:B93"/>
    <mergeCell ref="C92:C93"/>
    <mergeCell ref="D92:E93"/>
    <mergeCell ref="B94:B95"/>
    <mergeCell ref="C94:C95"/>
    <mergeCell ref="D94:E95"/>
    <mergeCell ref="B88:B89"/>
    <mergeCell ref="C88:C89"/>
    <mergeCell ref="D88:E89"/>
    <mergeCell ref="B90:B91"/>
    <mergeCell ref="C90:C91"/>
    <mergeCell ref="D90:E91"/>
    <mergeCell ref="B63:D63"/>
    <mergeCell ref="C84:C85"/>
    <mergeCell ref="D84:E85"/>
    <mergeCell ref="B86:B87"/>
    <mergeCell ref="C86:C87"/>
    <mergeCell ref="D86:E87"/>
    <mergeCell ref="B55:D55"/>
    <mergeCell ref="B56:D56"/>
    <mergeCell ref="B58:D58"/>
    <mergeCell ref="B59:D59"/>
    <mergeCell ref="B60:D60"/>
    <mergeCell ref="B62:D62"/>
    <mergeCell ref="B45:D45"/>
    <mergeCell ref="B46:D46"/>
    <mergeCell ref="B48:D48"/>
    <mergeCell ref="B49:D49"/>
    <mergeCell ref="B51:D51"/>
    <mergeCell ref="B52:D52"/>
    <mergeCell ref="C22:D22"/>
    <mergeCell ref="C23:D23"/>
    <mergeCell ref="C25:D25"/>
    <mergeCell ref="B28:D28"/>
    <mergeCell ref="B33:D33"/>
    <mergeCell ref="B43:D43"/>
    <mergeCell ref="C16:D16"/>
    <mergeCell ref="C17:D17"/>
    <mergeCell ref="C18:D18"/>
    <mergeCell ref="C19:D19"/>
    <mergeCell ref="C20:D20"/>
    <mergeCell ref="C21:D21"/>
    <mergeCell ref="B2:B3"/>
    <mergeCell ref="C2:C3"/>
    <mergeCell ref="D3:D11"/>
    <mergeCell ref="B14:D14"/>
    <mergeCell ref="BK1:BL1"/>
    <mergeCell ref="BM1:BN1"/>
    <mergeCell ref="BO1:BP1"/>
    <mergeCell ref="BQ1:BR1"/>
  </mergeCells>
  <conditionalFormatting sqref="B1:B2">
    <cfRule type="cellIs" dxfId="34" priority="557" operator="between">
      <formula>0.8</formula>
      <formula>1</formula>
    </cfRule>
    <cfRule type="cellIs" dxfId="33" priority="558" operator="between">
      <formula>0.6</formula>
      <formula>0.799999</formula>
    </cfRule>
    <cfRule type="cellIs" dxfId="32" priority="559" operator="between">
      <formula>0.4</formula>
      <formula>0.599999</formula>
    </cfRule>
    <cfRule type="cellIs" dxfId="31" priority="560" operator="between">
      <formula>0.2</formula>
      <formula>0.399999</formula>
    </cfRule>
    <cfRule type="cellIs" dxfId="30" priority="561" operator="between">
      <formula>0</formula>
      <formula>0.199999</formula>
    </cfRule>
  </conditionalFormatting>
  <conditionalFormatting sqref="B28:D28">
    <cfRule type="containsText" dxfId="28" priority="288" operator="containsText" text="FLIPSIDE">
      <formula>NOT(ISERROR(SEARCH("FLIPSIDE",B28)))</formula>
    </cfRule>
  </conditionalFormatting>
  <conditionalFormatting sqref="B33:D33">
    <cfRule type="cellIs" dxfId="27" priority="465" operator="equal">
      <formula>$AG$33</formula>
    </cfRule>
  </conditionalFormatting>
  <conditionalFormatting sqref="B46:D46">
    <cfRule type="containsText" dxfId="26" priority="463" operator="containsText" text="being">
      <formula>NOT(ISERROR(SEARCH("being",B46)))</formula>
    </cfRule>
  </conditionalFormatting>
  <conditionalFormatting sqref="B49:D49">
    <cfRule type="containsText" dxfId="25" priority="462" operator="containsText" text="from">
      <formula>NOT(ISERROR(SEARCH("from",B49)))</formula>
    </cfRule>
  </conditionalFormatting>
  <conditionalFormatting sqref="B52:D52">
    <cfRule type="containsText" dxfId="24" priority="461" operator="containsText" text="and other">
      <formula>NOT(ISERROR(SEARCH("and other",B52)))</formula>
    </cfRule>
  </conditionalFormatting>
  <conditionalFormatting sqref="B56:D56">
    <cfRule type="containsText" dxfId="23" priority="459" operator="containsText" text="background check">
      <formula>NOT(ISERROR(SEARCH("background check",B56)))</formula>
    </cfRule>
    <cfRule type="containsText" dxfId="22" priority="460" operator="containsText" text="and other">
      <formula>NOT(ISERROR(SEARCH("and other",B56)))</formula>
    </cfRule>
  </conditionalFormatting>
  <conditionalFormatting sqref="B63:D63">
    <cfRule type="notContainsText" dxfId="21" priority="287" operator="notContains" text="claimant">
      <formula>ISERROR(SEARCH("claimant",B63))</formula>
    </cfRule>
  </conditionalFormatting>
  <conditionalFormatting sqref="C7">
    <cfRule type="containsText" dxfId="20" priority="453" operator="containsText" text="FIRST NAME">
      <formula>NOT(ISERROR(SEARCH("FIRST NAME",C7)))</formula>
    </cfRule>
  </conditionalFormatting>
  <conditionalFormatting sqref="C8">
    <cfRule type="notContainsText" dxfId="19" priority="451" operator="notContains" text="@">
      <formula>ISERROR(SEARCH("@",C8))</formula>
    </cfRule>
  </conditionalFormatting>
  <conditionalFormatting sqref="C10">
    <cfRule type="containsText" dxfId="18" priority="452" operator="containsText" text="FIRST NAME">
      <formula>NOT(ISERROR(SEARCH("FIRST NAME",C10)))</formula>
    </cfRule>
  </conditionalFormatting>
  <conditionalFormatting sqref="C11">
    <cfRule type="notContainsText" dxfId="17" priority="450" operator="notContains" text="@">
      <formula>ISERROR(SEARCH("@",C11))</formula>
    </cfRule>
  </conditionalFormatting>
  <conditionalFormatting sqref="C16:C23">
    <cfRule type="containsText" dxfId="7" priority="1334" operator="containsText" text="Highlight">
      <formula>NOT(ISERROR(SEARCH("Highlight",C16)))</formula>
    </cfRule>
  </conditionalFormatting>
  <conditionalFormatting sqref="BG5:BH5">
    <cfRule type="cellIs" dxfId="5" priority="1336" operator="equal">
      <formula>#REF!</formula>
    </cfRule>
    <cfRule type="cellIs" dxfId="4" priority="1337" operator="equal">
      <formula>#REF!</formula>
    </cfRule>
    <cfRule type="cellIs" dxfId="3" priority="1338" operator="equal">
      <formula>#REF!</formula>
    </cfRule>
  </conditionalFormatting>
  <conditionalFormatting sqref="C25">
    <cfRule type="containsText" dxfId="2" priority="2" operator="containsText" text="Hightlight">
      <formula>NOT(ISERROR(SEARCH("Hightlight",C25)))</formula>
    </cfRule>
    <cfRule type="containsText" dxfId="1" priority="3" operator="containsText" text="Highlight">
      <formula>NOT(ISERROR(SEARCH("Highlight",C25)))</formula>
    </cfRule>
  </conditionalFormatting>
  <dataValidations count="1">
    <dataValidation type="list" allowBlank="1" showInputMessage="1" showErrorMessage="1" sqref="BG5:BH5" xr:uid="{AAD8D38A-70D2-471B-BB63-F9050D6FDBF8}">
      <formula1>#REF!</formula1>
    </dataValidation>
  </dataValidations>
  <hyperlinks>
    <hyperlink ref="A108" location="'EIF-new'!A149:F295" tooltip="&gt;&gt; click to go to section A &lt;&lt;" display="A" xr:uid="{F8F3BD3A-2D38-4475-AAC4-7DADAFECE276}"/>
    <hyperlink ref="A110" location="'EIF-new'!A296:F461" tooltip="&gt;&gt; click to go to section B &lt;&lt;" display="B" xr:uid="{2FFAB443-4793-4243-AAF1-14193FED7F14}"/>
    <hyperlink ref="A130" location="'EIF-new'!A762:F838" tooltip="&gt;&gt; click to go to section E &lt;&lt;" display="E." xr:uid="{F15AF361-8C2C-4A73-895B-AFAF5AFA1B3D}"/>
    <hyperlink ref="A114" location="'EIF-new'!A497:F530" tooltip="&gt;&gt; click to go to section C.2 &lt;&lt;" display="C.2" xr:uid="{CA606614-AFDC-48B5-80AB-EF868E443C84}"/>
    <hyperlink ref="A116" location="'EIF-new'!A531:F564" tooltip="&gt;&gt; click to go to section C.3 &lt;&lt;" display="C.3" xr:uid="{92F4B05D-04BC-4E29-8CCB-D365F93A2F82}"/>
    <hyperlink ref="A118" location="'EIF-new'!A565:F598" tooltip="&gt;&gt; click to go section C.4 &lt;&lt;" display="C.4" xr:uid="{8BC6DB36-647E-4631-93CD-8C99696E9263}"/>
    <hyperlink ref="A120" location="'EIF-new'!A599:F641" tooltip="&gt;&gt; click to go to section C.5 &lt;&lt;" display="C.5" xr:uid="{A6E6A5F5-CC85-4291-88AA-61A320F14FEF}"/>
    <hyperlink ref="A122" location="'EIF-new'!A642:F680" tooltip="&gt;&gt; click to go to section C.6 &lt;&lt;" display="C.6" xr:uid="{5E7E5B60-30A6-4C3E-876B-2BD21EA7D772}"/>
    <hyperlink ref="A124" location="'EIF-new'!A681:F690" tooltip="&gt;&gt; click to go to section C.7 &lt;&lt;" display="C.7" xr:uid="{82117DA6-4DAD-4032-81A9-9A13895DF6B8}"/>
    <hyperlink ref="A126" location="'EIF-new'!A691:F718" tooltip="&gt;&gt; click to go to section C.8 &lt;&lt;" display="C.8" xr:uid="{357ED360-B6B1-4887-8AF5-EE35C0DCF637}"/>
    <hyperlink ref="A128" location="'EIF-new'!A719:F761" tooltip="&gt;&gt; click to go to section D &lt;&lt;" display="D." xr:uid="{0AF41EA8-40D6-4C6A-8672-33D3B968CA6F}"/>
    <hyperlink ref="A132" location="'EIF-new'!A839:F881" tooltip="&gt;&gt; click to go to section F &lt;&lt;" display="F." xr:uid="{EAA189F7-58F4-4539-9B98-795D5F11050A}"/>
    <hyperlink ref="A112" location="'EIF-new'!A462:F530" tooltip="&gt;&gt; click to go to section C.1 &lt;&lt;" display="C.1" xr:uid="{6745ADD8-6F7B-49B0-89FB-E100DE0DE4FC}"/>
    <hyperlink ref="A134" location="'EIF-new'!A1062:F1103" tooltip="&gt;&gt; click to go to section G &lt;&lt;" display="'EIF-new'!A1062:F1103" xr:uid="{F5AD0D67-A9E8-42C8-BDB6-D2D226F5EFC0}"/>
    <hyperlink ref="A136" location="'EIF-new'!A1597:F1646" tooltip="&gt;&gt; click to go to section H &lt;&lt;" display="'EIF-new'!A1597:F1646" xr:uid="{BD817912-C356-4E9B-A897-64141C64474E}"/>
  </hyperlinks>
  <pageMargins left="0.7" right="0.7" top="0.75" bottom="0.75" header="0.3" footer="0.3"/>
  <pageSetup orientation="portrait" horizontalDpi="4294967293" r:id="rId1"/>
  <headerFooter>
    <oddHeader xml:space="preserve">&amp;L&amp;"-,Bold"&amp;14&amp;G&amp;C&amp;"Arial Black,Regular"&amp;12&amp;K461E64Estimated Innocence&amp;R&amp;D
</oddHeader>
    <oddFooter>&amp;L&amp;A&amp;C&amp;P&amp;R&amp;G</odd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464" operator="containsText" id="{8CEBB83E-F28E-42FA-B017-C04C834A842B}">
            <xm:f>NOT(ISERROR(SEARCH($AG$14,B14)))</xm:f>
            <xm:f>$AG$14</xm:f>
            <x14:dxf>
              <font>
                <color theme="0" tint="-0.499984740745262"/>
              </font>
              <fill>
                <patternFill>
                  <bgColor theme="0" tint="-0.14996795556505021"/>
                </patternFill>
              </fill>
            </x14:dxf>
          </x14:cfRule>
          <xm:sqref>B14:D14</xm:sqref>
        </x14:conditionalFormatting>
        <x14:conditionalFormatting xmlns:xm="http://schemas.microsoft.com/office/excel/2006/main">
          <x14:cfRule type="containsText" priority="445" operator="containsText" id="{5B893494-BF0A-44CA-BA37-71375E754744}">
            <xm:f>NOT(ISERROR(SEARCH(#REF!,D1)))</xm:f>
            <xm:f>#REF!</xm:f>
            <x14:dxf>
              <font>
                <color rgb="FF00B050"/>
              </font>
              <fill>
                <patternFill>
                  <bgColor theme="2"/>
                </patternFill>
              </fill>
            </x14:dxf>
          </x14:cfRule>
          <x14:cfRule type="containsText" priority="446" operator="containsText" id="{A80E2BCC-ACC3-4770-B88E-74287FF622DB}">
            <xm:f>NOT(ISERROR(SEARCH(#REF!,D1)))</xm:f>
            <xm:f>#REF!</xm:f>
            <x14:dxf>
              <font>
                <color rgb="FF92D050"/>
              </font>
              <fill>
                <patternFill>
                  <bgColor theme="2"/>
                </patternFill>
              </fill>
            </x14:dxf>
          </x14:cfRule>
          <x14:cfRule type="containsText" priority="447" operator="containsText" id="{62C69E90-9A0F-4537-9575-2CEBF651DF8E}">
            <xm:f>NOT(ISERROR(SEARCH(#REF!,D1)))</xm:f>
            <xm:f>#REF!</xm:f>
            <x14:dxf>
              <font>
                <color theme="7" tint="-0.24994659260841701"/>
              </font>
              <fill>
                <patternFill patternType="solid">
                  <bgColor theme="2"/>
                </patternFill>
              </fill>
            </x14:dxf>
          </x14:cfRule>
          <x14:cfRule type="containsText" priority="448" operator="containsText" id="{FD2F378A-C811-45D1-AC73-78AB27CD3331}">
            <xm:f>NOT(ISERROR(SEARCH(#REF!,D1)))</xm:f>
            <xm:f>#REF!</xm:f>
            <x14:dxf>
              <font>
                <color theme="5" tint="-0.24994659260841701"/>
              </font>
              <fill>
                <patternFill patternType="solid">
                  <bgColor theme="2"/>
                </patternFill>
              </fill>
            </x14:dxf>
          </x14:cfRule>
          <x14:cfRule type="containsText" priority="449" operator="containsText" id="{D8E863EB-8D4D-42BD-8B6D-256CF87A0DAD}">
            <xm:f>NOT(ISERROR(SEARCH(#REF!,D1)))</xm:f>
            <xm:f>#REF!</xm:f>
            <x14:dxf>
              <font>
                <strike val="0"/>
                <color rgb="FF9C0006"/>
              </font>
              <fill>
                <patternFill patternType="solid">
                  <bgColor theme="2"/>
                </patternFill>
              </fill>
            </x14:dxf>
          </x14:cfRule>
          <xm:sqref>D1:D2 BG2:BG3</xm:sqref>
        </x14:conditionalFormatting>
        <x14:conditionalFormatting xmlns:xm="http://schemas.microsoft.com/office/excel/2006/main">
          <x14:cfRule type="containsText" priority="1332" operator="containsText" id="{E2402EC2-560B-4A8B-B38B-90139E94C63C}">
            <xm:f>NOT(ISERROR(SEARCH(#REF!,B59)))</xm:f>
            <xm:f>#REF!</xm:f>
            <x14:dxf>
              <font>
                <color auto="1"/>
              </font>
              <fill>
                <patternFill>
                  <bgColor theme="0"/>
                </patternFill>
              </fill>
            </x14:dxf>
          </x14:cfRule>
          <xm:sqref>B59:D60</xm:sqref>
        </x14:conditionalFormatting>
        <x14:conditionalFormatting xmlns:xm="http://schemas.microsoft.com/office/excel/2006/main">
          <x14:cfRule type="containsText" priority="1333" operator="containsText" id="{326AFB2F-3213-4ED1-BA37-0F0D9C7004E1}">
            <xm:f>NOT(ISERROR(SEARCH(#REF!,C16)))</xm:f>
            <xm:f>#REF!</xm:f>
            <x14:dxf>
              <font>
                <color theme="2" tint="-0.499984740745262"/>
              </font>
              <fill>
                <patternFill>
                  <bgColor theme="2"/>
                </patternFill>
              </fill>
            </x14:dxf>
          </x14:cfRule>
          <xm:sqref>C16:C23</xm:sqref>
        </x14:conditionalFormatting>
        <x14:conditionalFormatting xmlns:xm="http://schemas.microsoft.com/office/excel/2006/main">
          <x14:cfRule type="containsText" priority="1" operator="containsText" id="{D1E44F73-2ACD-449F-B144-0D80AE2558BE}">
            <xm:f>NOT(ISERROR(SEARCH($AR$922,C25)))</xm:f>
            <xm:f>$AR$922</xm:f>
            <x14:dxf>
              <font>
                <color theme="0" tint="-0.34998626667073579"/>
              </font>
              <fill>
                <patternFill>
                  <bgColor theme="0" tint="-4.9989318521683403E-2"/>
                </patternFill>
              </fill>
            </x14:dxf>
          </x14:cfRule>
          <xm:sqref>C25:D25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B8F6-73B4-4077-81DE-23D1A34BD881}">
  <dimension ref="A1:F49"/>
  <sheetViews>
    <sheetView workbookViewId="0">
      <selection activeCell="F1" sqref="A1:F1"/>
    </sheetView>
  </sheetViews>
  <sheetFormatPr defaultRowHeight="14.5" x14ac:dyDescent="0.35"/>
  <cols>
    <col min="1" max="1" width="3.81640625" style="48" customWidth="1"/>
    <col min="2" max="2" width="15.81640625" style="48" customWidth="1"/>
    <col min="3" max="3" width="35.81640625" style="48" customWidth="1"/>
    <col min="4" max="4" width="28.81640625" style="48" customWidth="1"/>
    <col min="5" max="6" width="2.81640625" style="48" customWidth="1"/>
  </cols>
  <sheetData>
    <row r="1" spans="1:6" ht="22.5" x14ac:dyDescent="0.35">
      <c r="A1" s="913" t="str">
        <f>'EIF draft E01'!A2170</f>
        <v>K. Conviction Quality Report</v>
      </c>
      <c r="B1" s="913"/>
      <c r="C1" s="913"/>
      <c r="D1" s="914" t="str">
        <f>'EIF draft E01'!D2170</f>
        <v>FIRST NAME</v>
      </c>
      <c r="E1" s="914"/>
      <c r="F1" s="565"/>
    </row>
    <row r="2" spans="1:6" ht="10" customHeight="1" x14ac:dyDescent="0.35">
      <c r="A2" s="246"/>
      <c r="B2" s="246"/>
      <c r="C2" s="246"/>
      <c r="D2" s="246"/>
      <c r="E2" s="246"/>
      <c r="F2" s="246"/>
    </row>
    <row r="3" spans="1:6" x14ac:dyDescent="0.35">
      <c r="A3" s="547" t="str">
        <f>'EIF draft E01'!A2172</f>
        <v>No.</v>
      </c>
      <c r="B3" s="547" t="str">
        <f>'EIF draft E01'!B2172</f>
        <v>Contribution</v>
      </c>
      <c r="C3" s="547" t="str">
        <f>'EIF draft E01'!C2172</f>
        <v>Item</v>
      </c>
      <c r="D3" s="547" t="str">
        <f>'EIF draft E01'!D2172</f>
        <v>Independent verification</v>
      </c>
      <c r="E3" s="547" t="str">
        <f>'EIF draft E01'!E2172</f>
        <v>score</v>
      </c>
      <c r="F3" s="547"/>
    </row>
    <row r="4" spans="1:6" x14ac:dyDescent="0.35">
      <c r="A4" s="566" t="str">
        <f>IF('EIF draft E01'!A2173="","",'EIF draft E01'!A2173)</f>
        <v/>
      </c>
      <c r="B4" s="562" t="str">
        <f>IF('EIF draft E01'!B2173="","",'EIF draft E01'!B2173)</f>
        <v/>
      </c>
      <c r="C4" s="544" t="str">
        <f>IF('EIF draft E01'!C2173="","",'EIF draft E01'!C2173)</f>
        <v>PRESUMPTION OF INNOCENCE</v>
      </c>
      <c r="D4" s="562" t="str">
        <f>IF('EIF draft E01'!D2173="","",'EIF draft E01'!D2173)</f>
        <v/>
      </c>
      <c r="E4" s="905">
        <f>IF('EIF draft E01'!E2173="","",'EIF draft E01'!E2173)</f>
        <v>0</v>
      </c>
      <c r="F4" s="905"/>
    </row>
    <row r="5" spans="1:6" x14ac:dyDescent="0.35">
      <c r="A5" s="566">
        <f>IF('EIF draft E01'!A2174="","",'EIF draft E01'!A2174)</f>
        <v>15</v>
      </c>
      <c r="B5" s="562" t="str">
        <f>IF('EIF draft E01'!B2174="","",'EIF draft E01'!B2174)</f>
        <v/>
      </c>
      <c r="C5" s="544" t="str">
        <f>IF('EIF draft E01'!C2174="","",'EIF draft E01'!C2174)</f>
        <v>Eyewitness Misidentification</v>
      </c>
      <c r="D5" s="562" t="str">
        <f>IF('EIF draft E01'!D2174="","",'EIF draft E01'!D2174)</f>
        <v/>
      </c>
      <c r="E5" s="905">
        <f>IF('EIF draft E01'!E2174="","",'EIF draft E01'!E2174)</f>
        <v>0</v>
      </c>
      <c r="F5" s="905"/>
    </row>
    <row r="6" spans="1:6" x14ac:dyDescent="0.35">
      <c r="A6" s="566">
        <f>IF('EIF draft E01'!A2175="","",'EIF draft E01'!A2175)</f>
        <v>16</v>
      </c>
      <c r="B6" s="562" t="str">
        <f>IF('EIF draft E01'!B2175="","",'EIF draft E01'!B2175)</f>
        <v/>
      </c>
      <c r="C6" s="544" t="str">
        <f>IF('EIF draft E01'!C2175="","",'EIF draft E01'!C2175)</f>
        <v>False Confessions or Admissions</v>
      </c>
      <c r="D6" s="562" t="str">
        <f>IF('EIF draft E01'!D2175="","",'EIF draft E01'!D2175)</f>
        <v/>
      </c>
      <c r="E6" s="905">
        <f>IF('EIF draft E01'!E2175="","",'EIF draft E01'!E2175)</f>
        <v>0</v>
      </c>
      <c r="F6" s="905"/>
    </row>
    <row r="7" spans="1:6" x14ac:dyDescent="0.35">
      <c r="A7" s="566">
        <f>IF('EIF draft E01'!A2176="","",'EIF draft E01'!A2176)</f>
        <v>17</v>
      </c>
      <c r="B7" s="562" t="str">
        <f>IF('EIF draft E01'!B2176="","",'EIF draft E01'!B2176)</f>
        <v/>
      </c>
      <c r="C7" s="544" t="str">
        <f>IF('EIF draft E01'!C2176="","",'EIF draft E01'!C2176)</f>
        <v>Government Misconduct</v>
      </c>
      <c r="D7" s="562" t="str">
        <f>IF('EIF draft E01'!D2176="","",'EIF draft E01'!D2176)</f>
        <v/>
      </c>
      <c r="E7" s="905">
        <f>IF('EIF draft E01'!E2176="","",'EIF draft E01'!E2176)</f>
        <v>0</v>
      </c>
      <c r="F7" s="905"/>
    </row>
    <row r="8" spans="1:6" x14ac:dyDescent="0.35">
      <c r="A8" s="566">
        <f>IF('EIF draft E01'!A2177="","",'EIF draft E01'!A2177)</f>
        <v>18</v>
      </c>
      <c r="B8" s="562" t="str">
        <f>IF('EIF draft E01'!B2177="","",'EIF draft E01'!B2177)</f>
        <v/>
      </c>
      <c r="C8" s="544" t="str">
        <f>IF('EIF draft E01'!C2177="","",'EIF draft E01'!C2177)</f>
        <v>Unvalidated or Improper Forensic Science</v>
      </c>
      <c r="D8" s="562" t="str">
        <f>IF('EIF draft E01'!D2177="","",'EIF draft E01'!D2177)</f>
        <v/>
      </c>
      <c r="E8" s="905">
        <f>IF('EIF draft E01'!E2177="","",'EIF draft E01'!E2177)</f>
        <v>0</v>
      </c>
      <c r="F8" s="905"/>
    </row>
    <row r="9" spans="1:6" x14ac:dyDescent="0.35">
      <c r="A9" s="566">
        <f>IF('EIF draft E01'!A2178="","",'EIF draft E01'!A2178)</f>
        <v>19</v>
      </c>
      <c r="B9" s="562" t="str">
        <f>IF('EIF draft E01'!B2178="","",'EIF draft E01'!B2178)</f>
        <v/>
      </c>
      <c r="C9" s="544" t="str">
        <f>IF('EIF draft E01'!C2178="","",'EIF draft E01'!C2178)</f>
        <v>Jail Informant</v>
      </c>
      <c r="D9" s="562" t="str">
        <f>IF('EIF draft E01'!D2178="","",'EIF draft E01'!D2178)</f>
        <v/>
      </c>
      <c r="E9" s="905">
        <f>IF('EIF draft E01'!E2178="","",'EIF draft E01'!E2178)</f>
        <v>0</v>
      </c>
      <c r="F9" s="905"/>
    </row>
    <row r="10" spans="1:6" x14ac:dyDescent="0.35">
      <c r="A10" s="566">
        <f>IF('EIF draft E01'!A2179="","",'EIF draft E01'!A2179)</f>
        <v>20</v>
      </c>
      <c r="B10" s="562" t="str">
        <f>IF('EIF draft E01'!B2179="","",'EIF draft E01'!B2179)</f>
        <v/>
      </c>
      <c r="C10" s="544" t="str">
        <f>IF('EIF draft E01'!C2179="","",'EIF draft E01'!C2179)</f>
        <v>Inadequate Defense</v>
      </c>
      <c r="D10" s="562" t="str">
        <f>IF('EIF draft E01'!D2179="","",'EIF draft E01'!D2179)</f>
        <v/>
      </c>
      <c r="E10" s="905">
        <f>IF('EIF draft E01'!E2179="","",'EIF draft E01'!E2179)</f>
        <v>0</v>
      </c>
      <c r="F10" s="905"/>
    </row>
    <row r="11" spans="1:6" x14ac:dyDescent="0.35">
      <c r="A11" s="566">
        <f>IF('EIF draft E01'!A2180="","",'EIF draft E01'!A2180)</f>
        <v>21</v>
      </c>
      <c r="B11" s="562" t="str">
        <f>IF('EIF draft E01'!B2180="","",'EIF draft E01'!B2180)</f>
        <v/>
      </c>
      <c r="C11" s="544" t="str">
        <f>IF('EIF draft E01'!C2180="","",'EIF draft E01'!C2180)</f>
        <v>Evidence yet to be DNA tested</v>
      </c>
      <c r="D11" s="562" t="str">
        <f>IF('EIF draft E01'!D2180="","",'EIF draft E01'!D2180)</f>
        <v/>
      </c>
      <c r="E11" s="905">
        <f>IF('EIF draft E01'!E2180="","",'EIF draft E01'!E2180)</f>
        <v>0</v>
      </c>
      <c r="F11" s="905"/>
    </row>
    <row r="12" spans="1:6" x14ac:dyDescent="0.35">
      <c r="A12" s="566">
        <f>IF('EIF draft E01'!A2181="","",'EIF draft E01'!A2181)</f>
        <v>22</v>
      </c>
      <c r="B12" s="562" t="str">
        <f>IF('EIF draft E01'!B2181="","",'EIF draft E01'!B2181)</f>
        <v/>
      </c>
      <c r="C12" s="544" t="str">
        <f>IF('EIF draft E01'!C2181="","",'EIF draft E01'!C2181)</f>
        <v>Non-DNA evidence yet to be considered</v>
      </c>
      <c r="D12" s="562" t="str">
        <f>IF('EIF draft E01'!D2181="","",'EIF draft E01'!D2181)</f>
        <v/>
      </c>
      <c r="E12" s="905">
        <f>IF('EIF draft E01'!E2181="","",'EIF draft E01'!E2181)</f>
        <v>0</v>
      </c>
      <c r="F12" s="905"/>
    </row>
    <row r="13" spans="1:6" x14ac:dyDescent="0.35">
      <c r="A13" s="566">
        <f>IF('EIF draft E01'!A2182="","",'EIF draft E01'!A2182)</f>
        <v>23</v>
      </c>
      <c r="B13" s="562" t="str">
        <f>IF('EIF draft E01'!B2182="","",'EIF draft E01'!B2182)</f>
        <v/>
      </c>
      <c r="C13" s="544" t="str">
        <f>IF('EIF draft E01'!C2182="","",'EIF draft E01'!C2182)</f>
        <v>Exculpatory evidence exists</v>
      </c>
      <c r="D13" s="562" t="str">
        <f>IF('EIF draft E01'!D2182="","",'EIF draft E01'!D2182)</f>
        <v/>
      </c>
      <c r="E13" s="905">
        <f>IF('EIF draft E01'!E2182="","",'EIF draft E01'!E2182)</f>
        <v>0</v>
      </c>
      <c r="F13" s="905"/>
    </row>
    <row r="14" spans="1:6" x14ac:dyDescent="0.35">
      <c r="A14" s="566">
        <f>IF('EIF draft E01'!A2183="","",'EIF draft E01'!A2183)</f>
        <v>24</v>
      </c>
      <c r="B14" s="562" t="str">
        <f>IF('EIF draft E01'!B2183="","",'EIF draft E01'!B2183)</f>
        <v/>
      </c>
      <c r="C14" s="544" t="str">
        <f>IF('EIF draft E01'!C2183="","",'EIF draft E01'!C2183)</f>
        <v>Conviction not corroborated by evidence</v>
      </c>
      <c r="D14" s="562" t="str">
        <f>IF('EIF draft E01'!D2183="","",'EIF draft E01'!D2183)</f>
        <v/>
      </c>
      <c r="E14" s="905">
        <f>IF('EIF draft E01'!E2183="","",'EIF draft E01'!E2183)</f>
        <v>0</v>
      </c>
      <c r="F14" s="905"/>
    </row>
    <row r="15" spans="1:6" x14ac:dyDescent="0.35">
      <c r="A15" s="566">
        <f>IF('EIF draft E01'!A2184="","",'EIF draft E01'!A2184)</f>
        <v>25</v>
      </c>
      <c r="B15" s="562" t="str">
        <f>IF('EIF draft E01'!B2184="","",'EIF draft E01'!B2184)</f>
        <v/>
      </c>
      <c r="C15" s="544" t="str">
        <f>IF('EIF draft E01'!C2184="","",'EIF draft E01'!C2184)</f>
        <v>Conviction based on irrational theory of guilt</v>
      </c>
      <c r="D15" s="562" t="str">
        <f>IF('EIF draft E01'!D2184="","",'EIF draft E01'!D2184)</f>
        <v/>
      </c>
      <c r="E15" s="905">
        <f>IF('EIF draft E01'!E2184="","",'EIF draft E01'!E2184)</f>
        <v>0</v>
      </c>
      <c r="F15" s="905"/>
    </row>
    <row r="16" spans="1:6" x14ac:dyDescent="0.35">
      <c r="A16" s="566">
        <f>IF('EIF draft E01'!A2185="","",'EIF draft E01'!A2185)</f>
        <v>26</v>
      </c>
      <c r="B16" s="562" t="str">
        <f>IF('EIF draft E01'!B2185="","",'EIF draft E01'!B2185)</f>
        <v/>
      </c>
      <c r="C16" s="544" t="str">
        <f>IF('EIF draft E01'!C2185="","",'EIF draft E01'!C2185)</f>
        <v>No actual crime</v>
      </c>
      <c r="D16" s="562" t="str">
        <f>IF('EIF draft E01'!D2185="","",'EIF draft E01'!D2185)</f>
        <v/>
      </c>
      <c r="E16" s="905">
        <f>IF('EIF draft E01'!E2185="","",'EIF draft E01'!E2185)</f>
        <v>0</v>
      </c>
      <c r="F16" s="905"/>
    </row>
    <row r="17" spans="1:6" x14ac:dyDescent="0.35">
      <c r="A17" s="566">
        <f>IF('EIF draft E01'!A2186="","",'EIF draft E01'!A2186)</f>
        <v>27</v>
      </c>
      <c r="B17" s="562" t="str">
        <f>IF('EIF draft E01'!B2186="","",'EIF draft E01'!B2186)</f>
        <v/>
      </c>
      <c r="C17" s="544" t="str">
        <f>IF('EIF draft E01'!C2186="","",'EIF draft E01'!C2186)</f>
        <v>Law enforcement tunnel vision</v>
      </c>
      <c r="D17" s="562" t="str">
        <f>IF('EIF draft E01'!D2186="","",'EIF draft E01'!D2186)</f>
        <v/>
      </c>
      <c r="E17" s="905">
        <f>IF('EIF draft E01'!E2186="","",'EIF draft E01'!E2186)</f>
        <v>0</v>
      </c>
      <c r="F17" s="905"/>
    </row>
    <row r="18" spans="1:6" x14ac:dyDescent="0.35">
      <c r="A18" s="566">
        <f>IF('EIF draft E01'!A2187="","",'EIF draft E01'!A2187)</f>
        <v>28</v>
      </c>
      <c r="B18" s="562" t="str">
        <f>IF('EIF draft E01'!B2187="","",'EIF draft E01'!B2187)</f>
        <v/>
      </c>
      <c r="C18" s="544" t="str">
        <f>IF('EIF draft E01'!C2187="","",'EIF draft E01'!C2187)</f>
        <v>Law enforcement noble cause corruption</v>
      </c>
      <c r="D18" s="562" t="str">
        <f>IF('EIF draft E01'!D2187="","",'EIF draft E01'!D2187)</f>
        <v/>
      </c>
      <c r="E18" s="905">
        <f>IF('EIF draft E01'!E2187="","",'EIF draft E01'!E2187)</f>
        <v>0</v>
      </c>
      <c r="F18" s="905"/>
    </row>
    <row r="19" spans="1:6" x14ac:dyDescent="0.35">
      <c r="A19" s="566">
        <f>IF('EIF draft E01'!A2188="","",'EIF draft E01'!A2188)</f>
        <v>29</v>
      </c>
      <c r="B19" s="562" t="str">
        <f>IF('EIF draft E01'!B2188="","",'EIF draft E01'!B2188)</f>
        <v/>
      </c>
      <c r="C19" s="544" t="str">
        <f>IF('EIF draft E01'!C2188="","",'EIF draft E01'!C2188)</f>
        <v>Complainant retraction</v>
      </c>
      <c r="D19" s="562" t="str">
        <f>IF('EIF draft E01'!D2188="","",'EIF draft E01'!D2188)</f>
        <v/>
      </c>
      <c r="E19" s="905">
        <f>IF('EIF draft E01'!E2188="","",'EIF draft E01'!E2188)</f>
        <v>0</v>
      </c>
      <c r="F19" s="905"/>
    </row>
    <row r="20" spans="1:6" x14ac:dyDescent="0.35">
      <c r="A20" s="566">
        <f>IF('EIF draft E01'!A2189="","",'EIF draft E01'!A2189)</f>
        <v>30</v>
      </c>
      <c r="B20" s="562" t="str">
        <f>IF('EIF draft E01'!B2189="","",'EIF draft E01'!B2189)</f>
        <v/>
      </c>
      <c r="C20" s="544" t="str">
        <f>IF('EIF draft E01'!C2189="","",'EIF draft E01'!C2189)</f>
        <v>Confession from actual perpetrator</v>
      </c>
      <c r="D20" s="562" t="str">
        <f>IF('EIF draft E01'!D2189="","",'EIF draft E01'!D2189)</f>
        <v/>
      </c>
      <c r="E20" s="905">
        <f>IF('EIF draft E01'!E2189="","",'EIF draft E01'!E2189)</f>
        <v>0</v>
      </c>
      <c r="F20" s="905"/>
    </row>
    <row r="21" spans="1:6" x14ac:dyDescent="0.35">
      <c r="A21" s="566">
        <f>IF('EIF draft E01'!A2190="","",'EIF draft E01'!A2190)</f>
        <v>31</v>
      </c>
      <c r="B21" s="562" t="str">
        <f>IF('EIF draft E01'!B2190="","",'EIF draft E01'!B2190)</f>
        <v/>
      </c>
      <c r="C21" s="544" t="str">
        <f>IF('EIF draft E01'!C2190="","",'EIF draft E01'!C2190)</f>
        <v>Another person implicated in the crime</v>
      </c>
      <c r="D21" s="562" t="str">
        <f>IF('EIF draft E01'!D2190="","",'EIF draft E01'!D2190)</f>
        <v/>
      </c>
      <c r="E21" s="905">
        <f>IF('EIF draft E01'!E2190="","",'EIF draft E01'!E2190)</f>
        <v>0</v>
      </c>
      <c r="F21" s="905"/>
    </row>
    <row r="22" spans="1:6" x14ac:dyDescent="0.35">
      <c r="A22" s="566">
        <f>IF('EIF draft E01'!A2191="","",'EIF draft E01'!A2191)</f>
        <v>32</v>
      </c>
      <c r="B22" s="562" t="str">
        <f>IF('EIF draft E01'!B2191="","",'EIF draft E01'!B2191)</f>
        <v/>
      </c>
      <c r="C22" s="544" t="str">
        <f>IF('EIF draft E01'!C2191="","",'EIF draft E01'!C2191)</f>
        <v>Conviction based upon outmoded law/beliefs</v>
      </c>
      <c r="D22" s="562" t="str">
        <f>IF('EIF draft E01'!D2191="","",'EIF draft E01'!D2191)</f>
        <v/>
      </c>
      <c r="E22" s="905">
        <f>IF('EIF draft E01'!E2191="","",'EIF draft E01'!E2191)</f>
        <v>0</v>
      </c>
      <c r="F22" s="905"/>
    </row>
    <row r="23" spans="1:6" x14ac:dyDescent="0.35">
      <c r="A23" s="566">
        <f>IF('EIF draft E01'!A2192="","",'EIF draft E01'!A2192)</f>
        <v>33</v>
      </c>
      <c r="B23" s="562" t="str">
        <f>IF('EIF draft E01'!B2192="","",'EIF draft E01'!B2192)</f>
        <v/>
      </c>
      <c r="C23" s="544" t="str">
        <f>IF('EIF draft E01'!C2192="","",'EIF draft E01'!C2192)</f>
        <v>Presenting conflict of interest</v>
      </c>
      <c r="D23" s="562" t="str">
        <f>IF('EIF draft E01'!D2192="","",'EIF draft E01'!D2192)</f>
        <v/>
      </c>
      <c r="E23" s="905">
        <f>IF('EIF draft E01'!E2192="","",'EIF draft E01'!E2192)</f>
        <v>0</v>
      </c>
      <c r="F23" s="905"/>
    </row>
    <row r="24" spans="1:6" x14ac:dyDescent="0.35">
      <c r="A24" s="566">
        <f>IF('EIF draft E01'!A2193="","",'EIF draft E01'!A2193)</f>
        <v>34</v>
      </c>
      <c r="B24" s="562" t="str">
        <f>IF('EIF draft E01'!B2193="","",'EIF draft E01'!B2193)</f>
        <v/>
      </c>
      <c r="C24" s="544" t="str">
        <f>IF('EIF draft E01'!C2193="","",'EIF draft E01'!C2193)</f>
        <v>Perjured testimony or false accusation</v>
      </c>
      <c r="D24" s="562" t="str">
        <f>IF('EIF draft E01'!D2193="","",'EIF draft E01'!D2193)</f>
        <v/>
      </c>
      <c r="E24" s="905">
        <f>IF('EIF draft E01'!E2193="","",'EIF draft E01'!E2193)</f>
        <v>0</v>
      </c>
      <c r="F24" s="905"/>
    </row>
    <row r="25" spans="1:6" x14ac:dyDescent="0.35">
      <c r="A25" s="566">
        <f>IF('EIF draft E01'!A2194="","",'EIF draft E01'!A2194)</f>
        <v>36</v>
      </c>
      <c r="B25" s="562" t="str">
        <f>IF('EIF draft E01'!B2194="","",'EIF draft E01'!B2194)</f>
        <v/>
      </c>
      <c r="C25" s="544" t="str">
        <f>IF('EIF draft E01'!C2194="","",'EIF draft E01'!C2194)</f>
        <v>Disparate impact</v>
      </c>
      <c r="D25" s="562" t="str">
        <f>IF('EIF draft E01'!D2194="","",'EIF draft E01'!D2194)</f>
        <v/>
      </c>
      <c r="E25" s="905">
        <f>IF('EIF draft E01'!E2194="","",'EIF draft E01'!E2194)</f>
        <v>0</v>
      </c>
      <c r="F25" s="905"/>
    </row>
    <row r="26" spans="1:6" x14ac:dyDescent="0.35">
      <c r="A26" s="566">
        <f>IF('EIF draft E01'!A2195="","",'EIF draft E01'!A2195)</f>
        <v>37</v>
      </c>
      <c r="B26" s="562" t="str">
        <f>IF('EIF draft E01'!B2195="","",'EIF draft E01'!B2195)</f>
        <v/>
      </c>
      <c r="C26" s="544" t="str">
        <f>IF('EIF draft E01'!C2195="","",'EIF draft E01'!C2195)</f>
        <v>Law enforcement prejudice</v>
      </c>
      <c r="D26" s="562" t="str">
        <f>IF('EIF draft E01'!D2195="","",'EIF draft E01'!D2195)</f>
        <v/>
      </c>
      <c r="E26" s="905">
        <f>IF('EIF draft E01'!E2195="","",'EIF draft E01'!E2195)</f>
        <v>0</v>
      </c>
      <c r="F26" s="905"/>
    </row>
    <row r="27" spans="1:6" x14ac:dyDescent="0.35">
      <c r="A27" s="566">
        <f>IF('EIF draft E01'!A2196="","",'EIF draft E01'!A2196)</f>
        <v>38</v>
      </c>
      <c r="B27" s="562" t="str">
        <f>IF('EIF draft E01'!B2196="","",'EIF draft E01'!B2196)</f>
        <v/>
      </c>
      <c r="C27" s="544" t="str">
        <f>IF('EIF draft E01'!C2196="","",'EIF draft E01'!C2196)</f>
        <v>Trial by media</v>
      </c>
      <c r="D27" s="562" t="str">
        <f>IF('EIF draft E01'!D2196="","",'EIF draft E01'!D2196)</f>
        <v/>
      </c>
      <c r="E27" s="905">
        <f>IF('EIF draft E01'!E2196="","",'EIF draft E01'!E2196)</f>
        <v>0</v>
      </c>
      <c r="F27" s="905"/>
    </row>
    <row r="28" spans="1:6" x14ac:dyDescent="0.35">
      <c r="A28" s="566">
        <f>IF('EIF draft E01'!A2197="","",'EIF draft E01'!A2197)</f>
        <v>39</v>
      </c>
      <c r="B28" s="562" t="str">
        <f>IF('EIF draft E01'!B2197="","",'EIF draft E01'!B2197)</f>
        <v/>
      </c>
      <c r="C28" s="544" t="str">
        <f>IF('EIF draft E01'!C2197="","",'EIF draft E01'!C2197)</f>
        <v>Pled not guilty</v>
      </c>
      <c r="D28" s="562" t="str">
        <f>IF('EIF draft E01'!D2197="","",'EIF draft E01'!D2197)</f>
        <v/>
      </c>
      <c r="E28" s="905">
        <f>IF('EIF draft E01'!E2197="","",'EIF draft E01'!E2197)</f>
        <v>0</v>
      </c>
      <c r="F28" s="905"/>
    </row>
    <row r="29" spans="1:6" x14ac:dyDescent="0.35">
      <c r="A29" s="566">
        <f>IF('EIF draft E01'!A2198="","",'EIF draft E01'!A2198)</f>
        <v>40</v>
      </c>
      <c r="B29" s="562" t="str">
        <f>IF('EIF draft E01'!B2198="","",'EIF draft E01'!B2198)</f>
        <v/>
      </c>
      <c r="C29" s="544" t="str">
        <f>IF('EIF draft E01'!C2198="","",'EIF draft E01'!C2198)</f>
        <v>Alford plea</v>
      </c>
      <c r="D29" s="562" t="str">
        <f>IF('EIF draft E01'!D2198="","",'EIF draft E01'!D2198)</f>
        <v/>
      </c>
      <c r="E29" s="905">
        <f>IF('EIF draft E01'!E2198="","",'EIF draft E01'!E2198)</f>
        <v>0</v>
      </c>
      <c r="F29" s="905"/>
    </row>
    <row r="30" spans="1:6" x14ac:dyDescent="0.35">
      <c r="A30" s="566">
        <f>IF('EIF draft E01'!A2199="","",'EIF draft E01'!A2199)</f>
        <v>41</v>
      </c>
      <c r="B30" s="562" t="str">
        <f>IF('EIF draft E01'!B2199="","",'EIF draft E01'!B2199)</f>
        <v/>
      </c>
      <c r="C30" s="544" t="str">
        <f>IF('EIF draft E01'!C2199="","",'EIF draft E01'!C2199)</f>
        <v>Duration of innocence claim</v>
      </c>
      <c r="D30" s="562" t="str">
        <f>IF('EIF draft E01'!D2199="","",'EIF draft E01'!D2199)</f>
        <v/>
      </c>
      <c r="E30" s="905">
        <f>IF('EIF draft E01'!E2199="","",'EIF draft E01'!E2199)</f>
        <v>0</v>
      </c>
      <c r="F30" s="905"/>
    </row>
    <row r="31" spans="1:6" x14ac:dyDescent="0.35">
      <c r="A31" s="566">
        <f>IF('EIF draft E01'!A2200="","",'EIF draft E01'!A2200)</f>
        <v>42</v>
      </c>
      <c r="B31" s="562" t="str">
        <f>IF('EIF draft E01'!B2200="","",'EIF draft E01'!B2200)</f>
        <v/>
      </c>
      <c r="C31" s="544" t="str">
        <f>IF('EIF draft E01'!C2200="","",'EIF draft E01'!C2200)</f>
        <v>Respect for crime victim(s)</v>
      </c>
      <c r="D31" s="562" t="str">
        <f>IF('EIF draft E01'!D2200="","",'EIF draft E01'!D2200)</f>
        <v/>
      </c>
      <c r="E31" s="905">
        <f>IF('EIF draft E01'!E2200="","",'EIF draft E01'!E2200)</f>
        <v>0</v>
      </c>
      <c r="F31" s="905"/>
    </row>
    <row r="32" spans="1:6" x14ac:dyDescent="0.35">
      <c r="A32" s="566">
        <f>IF('EIF draft E01'!A2201="","",'EIF draft E01'!A2201)</f>
        <v>43</v>
      </c>
      <c r="B32" s="562" t="str">
        <f>IF('EIF draft E01'!B2201="","",'EIF draft E01'!B2201)</f>
        <v/>
      </c>
      <c r="C32" s="544" t="str">
        <f>IF('EIF draft E01'!C2201="","",'EIF draft E01'!C2201)</f>
        <v>Positive institutional record</v>
      </c>
      <c r="D32" s="562" t="str">
        <f>IF('EIF draft E01'!D2201="","",'EIF draft E01'!D2201)</f>
        <v/>
      </c>
      <c r="E32" s="905">
        <f>IF('EIF draft E01'!E2201="","",'EIF draft E01'!E2201)</f>
        <v>0</v>
      </c>
      <c r="F32" s="905"/>
    </row>
    <row r="33" spans="1:6" x14ac:dyDescent="0.35">
      <c r="A33" s="566">
        <f>IF('EIF draft E01'!A2202="","",'EIF draft E01'!A2202)</f>
        <v>44</v>
      </c>
      <c r="B33" s="562" t="str">
        <f>IF('EIF draft E01'!B2202="","",'EIF draft E01'!B2202)</f>
        <v/>
      </c>
      <c r="C33" s="544" t="str">
        <f>IF('EIF draft E01'!C2202="","",'EIF draft E01'!C2202)</f>
        <v>No criminal history</v>
      </c>
      <c r="D33" s="562" t="str">
        <f>IF('EIF draft E01'!D2202="","",'EIF draft E01'!D2202)</f>
        <v/>
      </c>
      <c r="E33" s="905">
        <f>IF('EIF draft E01'!E2202="","",'EIF draft E01'!E2202)</f>
        <v>0</v>
      </c>
      <c r="F33" s="905"/>
    </row>
    <row r="34" spans="1:6" x14ac:dyDescent="0.35">
      <c r="A34" s="566">
        <f>IF('EIF draft E01'!A2203="","",'EIF draft E01'!A2203)</f>
        <v>45</v>
      </c>
      <c r="B34" s="562" t="str">
        <f>IF('EIF draft E01'!B2203="","",'EIF draft E01'!B2203)</f>
        <v/>
      </c>
      <c r="C34" s="544" t="str">
        <f>IF('EIF draft E01'!C2203="","",'EIF draft E01'!C2203)</f>
        <v>Parole denial from maintaining innocence</v>
      </c>
      <c r="D34" s="562" t="str">
        <f>IF('EIF draft E01'!D2203="","",'EIF draft E01'!D2203)</f>
        <v/>
      </c>
      <c r="E34" s="905">
        <f>IF('EIF draft E01'!E2203="","",'EIF draft E01'!E2203)</f>
        <v>0</v>
      </c>
      <c r="F34" s="905"/>
    </row>
    <row r="35" spans="1:6" x14ac:dyDescent="0.35">
      <c r="A35" s="566">
        <f>IF('EIF draft E01'!A2204="","",'EIF draft E01'!A2204)</f>
        <v>46</v>
      </c>
      <c r="B35" s="562" t="str">
        <f>IF('EIF draft E01'!B2204="","",'EIF draft E01'!B2204)</f>
        <v/>
      </c>
      <c r="C35" s="544" t="str">
        <f>IF('EIF draft E01'!C2204="","",'EIF draft E01'!C2204)</f>
        <v>Any relief on appeal</v>
      </c>
      <c r="D35" s="562" t="str">
        <f>IF('EIF draft E01'!D2204="","",'EIF draft E01'!D2204)</f>
        <v/>
      </c>
      <c r="E35" s="905">
        <f>IF('EIF draft E01'!E2204="","",'EIF draft E01'!E2204)</f>
        <v>0</v>
      </c>
      <c r="F35" s="905"/>
    </row>
    <row r="36" spans="1:6" x14ac:dyDescent="0.35">
      <c r="A36" s="566">
        <f>IF('EIF draft E01'!A2205="","",'EIF draft E01'!A2205)</f>
        <v>47</v>
      </c>
      <c r="B36" s="562" t="str">
        <f>IF('EIF draft E01'!B2205="","",'EIF draft E01'!B2205)</f>
        <v/>
      </c>
      <c r="C36" s="544" t="str">
        <f>IF('EIF draft E01'!C2205="","",'EIF draft E01'!C2205)</f>
        <v>Supporters</v>
      </c>
      <c r="D36" s="562" t="str">
        <f>IF('EIF draft E01'!D2205="","",'EIF draft E01'!D2205)</f>
        <v/>
      </c>
      <c r="E36" s="905">
        <f>IF('EIF draft E01'!E2205="","",'EIF draft E01'!E2205)</f>
        <v>0</v>
      </c>
      <c r="F36" s="905"/>
    </row>
    <row r="37" spans="1:6" x14ac:dyDescent="0.35">
      <c r="A37" s="566">
        <f>IF('EIF draft E01'!A2206="","",'EIF draft E01'!A2206)</f>
        <v>48</v>
      </c>
      <c r="B37" s="562" t="str">
        <f>IF('EIF draft E01'!B2206="","",'EIF draft E01'!B2206)</f>
        <v/>
      </c>
      <c r="C37" s="544" t="str">
        <f>IF('EIF draft E01'!C2206="","",'EIF draft E01'!C2206)</f>
        <v>Affidavits</v>
      </c>
      <c r="D37" s="562" t="str">
        <f>IF('EIF draft E01'!D2206="","",'EIF draft E01'!D2206)</f>
        <v/>
      </c>
      <c r="E37" s="905">
        <f>IF('EIF draft E01'!E2206="","",'EIF draft E01'!E2206)</f>
        <v>0</v>
      </c>
      <c r="F37" s="905"/>
    </row>
    <row r="38" spans="1:6" x14ac:dyDescent="0.35">
      <c r="A38" s="566">
        <f>IF('EIF draft E01'!A2207="","",'EIF draft E01'!A2207)</f>
        <v>49</v>
      </c>
      <c r="B38" s="562" t="str">
        <f>IF('EIF draft E01'!B2207="","",'EIF draft E01'!B2207)</f>
        <v/>
      </c>
      <c r="C38" s="544" t="str">
        <f>IF('EIF draft E01'!C2207="","",'EIF draft E01'!C2207)</f>
        <v>Judge support</v>
      </c>
      <c r="D38" s="562" t="str">
        <f>IF('EIF draft E01'!D2207="","",'EIF draft E01'!D2207)</f>
        <v/>
      </c>
      <c r="E38" s="905">
        <f>IF('EIF draft E01'!E2207="","",'EIF draft E01'!E2207)</f>
        <v>0</v>
      </c>
      <c r="F38" s="905"/>
    </row>
    <row r="39" spans="1:6" x14ac:dyDescent="0.35">
      <c r="A39" s="566">
        <f>IF('EIF draft E01'!A2208="","",'EIF draft E01'!A2208)</f>
        <v>50</v>
      </c>
      <c r="B39" s="562" t="str">
        <f>IF('EIF draft E01'!B2208="","",'EIF draft E01'!B2208)</f>
        <v/>
      </c>
      <c r="C39" s="544" t="str">
        <f>IF('EIF draft E01'!C2208="","",'EIF draft E01'!C2208)</f>
        <v>Prosecutor support</v>
      </c>
      <c r="D39" s="562" t="str">
        <f>IF('EIF draft E01'!D2208="","",'EIF draft E01'!D2208)</f>
        <v/>
      </c>
      <c r="E39" s="905">
        <f>IF('EIF draft E01'!E2208="","",'EIF draft E01'!E2208)</f>
        <v>0</v>
      </c>
      <c r="F39" s="905"/>
    </row>
    <row r="40" spans="1:6" x14ac:dyDescent="0.35">
      <c r="A40" s="566">
        <f>IF('EIF draft E01'!A2209="","",'EIF draft E01'!A2209)</f>
        <v>51</v>
      </c>
      <c r="B40" s="562" t="str">
        <f>IF('EIF draft E01'!B2209="","",'EIF draft E01'!B2209)</f>
        <v/>
      </c>
      <c r="C40" s="544" t="str">
        <f>IF('EIF draft E01'!C2209="","",'EIF draft E01'!C2209)</f>
        <v>Defense counsel support</v>
      </c>
      <c r="D40" s="562" t="str">
        <f>IF('EIF draft E01'!D2209="","",'EIF draft E01'!D2209)</f>
        <v/>
      </c>
      <c r="E40" s="905">
        <f>IF('EIF draft E01'!E2209="","",'EIF draft E01'!E2209)</f>
        <v>0</v>
      </c>
      <c r="F40" s="905"/>
    </row>
    <row r="41" spans="1:6" x14ac:dyDescent="0.35">
      <c r="A41" s="566">
        <f>IF('EIF draft E01'!A2210="","",'EIF draft E01'!A2210)</f>
        <v>52</v>
      </c>
      <c r="B41" s="562" t="str">
        <f>IF('EIF draft E01'!B2210="","",'EIF draft E01'!B2210)</f>
        <v/>
      </c>
      <c r="C41" s="544" t="str">
        <f>IF('EIF draft E01'!C2210="","",'EIF draft E01'!C2210)</f>
        <v>Influential support</v>
      </c>
      <c r="D41" s="562" t="str">
        <f>IF('EIF draft E01'!D2210="","",'EIF draft E01'!D2210)</f>
        <v/>
      </c>
      <c r="E41" s="905">
        <f>IF('EIF draft E01'!E2210="","",'EIF draft E01'!E2210)</f>
        <v>0</v>
      </c>
      <c r="F41" s="905"/>
    </row>
    <row r="42" spans="1:6" x14ac:dyDescent="0.35">
      <c r="A42" s="566">
        <f>IF('EIF draft E01'!A2211="","",'EIF draft E01'!A2211)</f>
        <v>53</v>
      </c>
      <c r="B42" s="562" t="str">
        <f>IF('EIF draft E01'!B2211="","",'EIF draft E01'!B2211)</f>
        <v/>
      </c>
      <c r="C42" s="544" t="str">
        <f>IF('EIF draft E01'!C2211="","",'EIF draft E01'!C2211)</f>
        <v>Any other relevant items</v>
      </c>
      <c r="D42" s="562" t="str">
        <f>IF('EIF draft E01'!D2211="","",'EIF draft E01'!D2211)</f>
        <v/>
      </c>
      <c r="E42" s="905">
        <f>IF('EIF draft E01'!E2211="","",'EIF draft E01'!E2211)</f>
        <v>0</v>
      </c>
      <c r="F42" s="905"/>
    </row>
    <row r="43" spans="1:6" x14ac:dyDescent="0.35">
      <c r="A43" s="566">
        <f>IF('EIF draft E01'!A2212="","",'EIF draft E01'!A2212)</f>
        <v>54</v>
      </c>
      <c r="B43" s="562" t="str">
        <f>IF('EIF draft E01'!B2212="","",'EIF draft E01'!B2212)</f>
        <v/>
      </c>
      <c r="C43" s="544" t="str">
        <f>IF('EIF draft E01'!C2212="","",'EIF draft E01'!C2212)</f>
        <v>Indictment changed</v>
      </c>
      <c r="D43" s="562" t="str">
        <f>IF('EIF draft E01'!D2212="","",'EIF draft E01'!D2212)</f>
        <v/>
      </c>
      <c r="E43" s="905">
        <f>IF('EIF draft E01'!E2212="","",'EIF draft E01'!E2212)</f>
        <v>0</v>
      </c>
      <c r="F43" s="905"/>
    </row>
    <row r="44" spans="1:6" x14ac:dyDescent="0.35">
      <c r="A44" s="566">
        <f>IF('EIF draft E01'!A2213="","",'EIF draft E01'!A2213)</f>
        <v>55</v>
      </c>
      <c r="B44" s="562" t="str">
        <f>IF('EIF draft E01'!B2213="","",'EIF draft E01'!B2213)</f>
        <v/>
      </c>
      <c r="C44" s="544" t="str">
        <f>IF('EIF draft E01'!C2213="","",'EIF draft E01'!C2213)</f>
        <v>Plea deal turned down</v>
      </c>
      <c r="D44" s="562" t="str">
        <f>IF('EIF draft E01'!D2213="","",'EIF draft E01'!D2213)</f>
        <v/>
      </c>
      <c r="E44" s="905">
        <f>IF('EIF draft E01'!E2213="","",'EIF draft E01'!E2213)</f>
        <v>0</v>
      </c>
      <c r="F44" s="905"/>
    </row>
    <row r="45" spans="1:6" x14ac:dyDescent="0.35">
      <c r="A45" s="566">
        <f>IF('EIF draft E01'!A2214="","",'EIF draft E01'!A2214)</f>
        <v>56</v>
      </c>
      <c r="B45" s="562" t="str">
        <f>IF('EIF draft E01'!B2214="","",'EIF draft E01'!B2214)</f>
        <v/>
      </c>
      <c r="C45" s="544" t="str">
        <f>IF('EIF draft E01'!C2214="","",'EIF draft E01'!C2214)</f>
        <v>Asserted right to trial</v>
      </c>
      <c r="D45" s="562" t="str">
        <f>IF('EIF draft E01'!D2214="","",'EIF draft E01'!D2214)</f>
        <v/>
      </c>
      <c r="E45" s="905">
        <f>IF('EIF draft E01'!E2214="","",'EIF draft E01'!E2214)</f>
        <v>0</v>
      </c>
      <c r="F45" s="905"/>
    </row>
    <row r="46" spans="1:6" x14ac:dyDescent="0.35">
      <c r="A46" s="566">
        <f>IF('EIF draft E01'!A2215="","",'EIF draft E01'!A2215)</f>
        <v>57</v>
      </c>
      <c r="B46" s="562" t="str">
        <f>IF('EIF draft E01'!B2215="","",'EIF draft E01'!B2215)</f>
        <v/>
      </c>
      <c r="C46" s="544" t="str">
        <f>IF('EIF draft E01'!C2215="","",'EIF draft E01'!C2215)</f>
        <v>Discovery with exculpatory evidence</v>
      </c>
      <c r="D46" s="562" t="str">
        <f>IF('EIF draft E01'!D2215="","",'EIF draft E01'!D2215)</f>
        <v/>
      </c>
      <c r="E46" s="905">
        <f>IF('EIF draft E01'!E2215="","",'EIF draft E01'!E2215)</f>
        <v>0</v>
      </c>
      <c r="F46" s="905"/>
    </row>
    <row r="47" spans="1:6" x14ac:dyDescent="0.35">
      <c r="A47" s="566">
        <f>IF('EIF draft E01'!A2216="","",'EIF draft E01'!A2216)</f>
        <v>58</v>
      </c>
      <c r="B47" s="562" t="str">
        <f>IF('EIF draft E01'!B2216="","",'EIF draft E01'!B2216)</f>
        <v/>
      </c>
      <c r="C47" s="544" t="str">
        <f>IF('EIF draft E01'!C2216="","",'EIF draft E01'!C2216)</f>
        <v>Exculpatory evidence not provided in discovery</v>
      </c>
      <c r="D47" s="562" t="str">
        <f>IF('EIF draft E01'!D2216="","",'EIF draft E01'!D2216)</f>
        <v/>
      </c>
      <c r="E47" s="905">
        <f>IF('EIF draft E01'!E2216="","",'EIF draft E01'!E2216)</f>
        <v>0</v>
      </c>
      <c r="F47" s="905"/>
    </row>
    <row r="48" spans="1:6" ht="10" customHeight="1" thickBot="1" x14ac:dyDescent="0.4">
      <c r="A48" s="545"/>
      <c r="B48" s="655"/>
      <c r="C48" s="656"/>
      <c r="D48" s="657"/>
      <c r="E48" s="658"/>
      <c r="F48" s="564"/>
    </row>
    <row r="49" spans="1:6" ht="5" customHeight="1" x14ac:dyDescent="0.35">
      <c r="A49" s="246"/>
      <c r="B49" s="246"/>
      <c r="C49" s="246"/>
      <c r="D49" s="246"/>
      <c r="E49" s="246"/>
      <c r="F49" s="246"/>
    </row>
  </sheetData>
  <mergeCells count="46">
    <mergeCell ref="E13:F13"/>
    <mergeCell ref="A1:C1"/>
    <mergeCell ref="D1:E1"/>
    <mergeCell ref="E4:F4"/>
    <mergeCell ref="E5:F5"/>
    <mergeCell ref="E6:F6"/>
    <mergeCell ref="E7:F7"/>
    <mergeCell ref="E8:F8"/>
    <mergeCell ref="E9:F9"/>
    <mergeCell ref="E10:F10"/>
    <mergeCell ref="E11:F11"/>
    <mergeCell ref="E12:F12"/>
    <mergeCell ref="E25:F25"/>
    <mergeCell ref="E14:F14"/>
    <mergeCell ref="E15:F15"/>
    <mergeCell ref="E16:F16"/>
    <mergeCell ref="E17:F17"/>
    <mergeCell ref="E18:F18"/>
    <mergeCell ref="E19:F19"/>
    <mergeCell ref="E20:F20"/>
    <mergeCell ref="E21:F21"/>
    <mergeCell ref="E22:F22"/>
    <mergeCell ref="E23:F23"/>
    <mergeCell ref="E24:F24"/>
    <mergeCell ref="E37:F37"/>
    <mergeCell ref="E26:F26"/>
    <mergeCell ref="E27:F27"/>
    <mergeCell ref="E28:F28"/>
    <mergeCell ref="E29:F29"/>
    <mergeCell ref="E30:F30"/>
    <mergeCell ref="E31:F31"/>
    <mergeCell ref="E32:F32"/>
    <mergeCell ref="E33:F33"/>
    <mergeCell ref="E34:F34"/>
    <mergeCell ref="E35:F35"/>
    <mergeCell ref="E36:F36"/>
    <mergeCell ref="E44:F44"/>
    <mergeCell ref="E45:F45"/>
    <mergeCell ref="E46:F46"/>
    <mergeCell ref="E47:F47"/>
    <mergeCell ref="E38:F38"/>
    <mergeCell ref="E39:F39"/>
    <mergeCell ref="E40:F40"/>
    <mergeCell ref="E41:F41"/>
    <mergeCell ref="E42:F42"/>
    <mergeCell ref="E43:F43"/>
  </mergeCells>
  <conditionalFormatting sqref="E4:F47">
    <cfRule type="cellIs" dxfId="36" priority="3" operator="equal">
      <formula>0</formula>
    </cfRule>
  </conditionalFormatting>
  <conditionalFormatting sqref="E4:F47">
    <cfRule type="cellIs" dxfId="35" priority="2" operator="equal">
      <formula>$E3</formula>
    </cfRule>
  </conditionalFormatting>
  <pageMargins left="0.7" right="0.7" top="0.75" bottom="0.5" header="0.3" footer="0.3"/>
  <pageSetup orientation="portrait" horizontalDpi="4294967293" verticalDpi="0" r:id="rId1"/>
  <headerFooter>
    <oddHeader>&amp;L&amp;G&amp;C&amp;"Arial Black,Regular"&amp;12&amp;K461E64Estimated Innocence CQR&amp;R&amp;D</oddHeader>
    <oddFooter>&amp;L&amp;A&amp;R&amp;G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EIF draft E01</vt:lpstr>
      <vt:lpstr>EIF E01 sample</vt:lpstr>
      <vt:lpstr>E01 NOVI</vt:lpstr>
      <vt:lpstr>E01  COVI</vt:lpstr>
      <vt:lpstr>E01 EIR</vt:lpstr>
      <vt:lpstr>E01 CQR</vt:lpstr>
      <vt:lpstr>'EIF draft E01'!_Hlk528272347</vt:lpstr>
      <vt:lpstr>'EIF E01 sample'!_Hlk528272347</vt:lpstr>
      <vt:lpstr>'EIF draft E01'!_Toc525862528</vt:lpstr>
      <vt:lpstr>'EIF E01 sample'!_Toc525862528</vt:lpstr>
      <vt:lpstr>'E01  COVI'!Print_Area</vt:lpstr>
      <vt:lpstr>'E01 EIR'!Print_Area</vt:lpstr>
      <vt:lpstr>'E01 NOVI'!Print_Area</vt:lpstr>
      <vt:lpstr>'EIF draft E01'!Print_Area</vt:lpstr>
      <vt:lpstr>'EIF E01 sample'!Print_Area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dc:creator>
  <cp:lastModifiedBy>Steph Turner</cp:lastModifiedBy>
  <cp:lastPrinted>2025-04-27T01:11:44Z</cp:lastPrinted>
  <dcterms:created xsi:type="dcterms:W3CDTF">2021-05-17T01:52:59Z</dcterms:created>
  <dcterms:modified xsi:type="dcterms:W3CDTF">2025-04-27T06:24:09Z</dcterms:modified>
</cp:coreProperties>
</file>